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yoffice365-my.sharepoint.com/personal/damian_camara_reynolds-cs_com/Documents/Desktop/"/>
    </mc:Choice>
  </mc:AlternateContent>
  <xr:revisionPtr revIDLastSave="3" documentId="8_{0C604E2C-4DEE-4011-81A6-2B412D59CC9F}" xr6:coauthVersionLast="47" xr6:coauthVersionMax="47" xr10:uidLastSave="{2224A4EF-6890-4C4F-A292-E725CB8DAC98}"/>
  <bookViews>
    <workbookView xWindow="-120" yWindow="-120" windowWidth="29040" windowHeight="15720" tabRatio="864" activeTab="1" xr2:uid="{00000000-000D-0000-FFFF-FFFF00000000}"/>
  </bookViews>
  <sheets>
    <sheet name="All Products" sheetId="4" r:id="rId1"/>
    <sheet name="BOM" sheetId="3" r:id="rId2"/>
    <sheet name="RM Cost" sheetId="6" r:id="rId3"/>
    <sheet name="RM W25" sheetId="21" r:id="rId4"/>
    <sheet name="Material Cost" sheetId="18" state="hidden" r:id="rId5"/>
    <sheet name="RM Used" sheetId="5" r:id="rId6"/>
    <sheet name="Yield &amp; Time" sheetId="8" r:id="rId7"/>
    <sheet name="Chemical Cost" sheetId="15" r:id="rId8"/>
    <sheet name="Packing Time" sheetId="7" r:id="rId9"/>
  </sheets>
  <externalReferences>
    <externalReference r:id="rId10"/>
    <externalReference r:id="rId11"/>
    <externalReference r:id="rId12"/>
  </externalReferences>
  <definedNames>
    <definedName name="_xlnm._FilterDatabase" localSheetId="0" hidden="1">'All Products'!$A$3:$AE$783</definedName>
    <definedName name="_xlnm._FilterDatabase" localSheetId="1" hidden="1">BOM!$A$1:$AT$2016</definedName>
    <definedName name="_xlnm._FilterDatabase" localSheetId="4" hidden="1">'Material Cost'!$A$1:$D$1204</definedName>
    <definedName name="_xlnm._FilterDatabase" localSheetId="8" hidden="1">'Packing Time'!$A$1:$I$784</definedName>
    <definedName name="_xlnm._FilterDatabase" localSheetId="2" hidden="1">'RM Cost'!$A$1:$X$153</definedName>
    <definedName name="_xlnm._FilterDatabase" localSheetId="5" hidden="1">'RM Used'!$A$1:$F$422</definedName>
    <definedName name="_xlnm._FilterDatabase" localSheetId="3" hidden="1">'RM W25'!$A$1:$F$155</definedName>
    <definedName name="_xlnm._FilterDatabase" localSheetId="6" hidden="1">'Yield &amp; Time'!$A$1:$AB$397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" i="6" l="1"/>
  <c r="F107" i="6"/>
  <c r="F118" i="6"/>
  <c r="F153" i="6"/>
  <c r="AJ2016" i="3" l="1"/>
  <c r="AF2016" i="3"/>
  <c r="U2016" i="3"/>
  <c r="W2016" i="3" s="1"/>
  <c r="R2016" i="3"/>
  <c r="S2016" i="3" s="1"/>
  <c r="O2016" i="3"/>
  <c r="AJ2015" i="3"/>
  <c r="AF2015" i="3"/>
  <c r="U2015" i="3"/>
  <c r="W2015" i="3" s="1"/>
  <c r="R2015" i="3"/>
  <c r="O2015" i="3"/>
  <c r="F2016" i="3"/>
  <c r="G2016" i="3" s="1"/>
  <c r="F2015" i="3"/>
  <c r="G2015" i="3" s="1"/>
  <c r="AJ2014" i="3"/>
  <c r="AF2014" i="3"/>
  <c r="U2014" i="3"/>
  <c r="W2014" i="3" s="1"/>
  <c r="R2014" i="3"/>
  <c r="AQ2014" i="3" s="1"/>
  <c r="O2014" i="3"/>
  <c r="AJ2013" i="3"/>
  <c r="AF2013" i="3"/>
  <c r="U2013" i="3"/>
  <c r="V2013" i="3" s="1"/>
  <c r="R2013" i="3"/>
  <c r="O2013" i="3"/>
  <c r="F2014" i="3"/>
  <c r="G2014" i="3" s="1"/>
  <c r="C423" i="5"/>
  <c r="AT2012" i="3"/>
  <c r="AS2012" i="3"/>
  <c r="AJ2012" i="3"/>
  <c r="AF2012" i="3"/>
  <c r="U2012" i="3"/>
  <c r="W2012" i="3" s="1"/>
  <c r="R2012" i="3"/>
  <c r="O2012" i="3"/>
  <c r="F2013" i="3"/>
  <c r="G2013" i="3" s="1"/>
  <c r="F2012" i="3"/>
  <c r="G2012" i="3" s="1"/>
  <c r="V397" i="8"/>
  <c r="U397" i="8"/>
  <c r="F784" i="7"/>
  <c r="AT2011" i="3"/>
  <c r="AS2011" i="3"/>
  <c r="AJ2011" i="3"/>
  <c r="AF2011" i="3"/>
  <c r="U2011" i="3"/>
  <c r="V2011" i="3" s="1"/>
  <c r="R2011" i="3"/>
  <c r="T2011" i="3" s="1"/>
  <c r="O2011" i="3"/>
  <c r="F2011" i="3"/>
  <c r="I2011" i="3" s="1"/>
  <c r="AT2010" i="3"/>
  <c r="AS2010" i="3"/>
  <c r="AJ2010" i="3"/>
  <c r="AF2010" i="3"/>
  <c r="U2010" i="3"/>
  <c r="R2010" i="3"/>
  <c r="T2010" i="3" s="1"/>
  <c r="O2010" i="3"/>
  <c r="F2010" i="3"/>
  <c r="I2010" i="3" s="1"/>
  <c r="AT2009" i="3"/>
  <c r="AS2009" i="3"/>
  <c r="AJ2009" i="3"/>
  <c r="AK2009" i="3" s="1"/>
  <c r="AE2009" i="3"/>
  <c r="U2009" i="3"/>
  <c r="O2009" i="3"/>
  <c r="F2009" i="3"/>
  <c r="I2009" i="3" s="1"/>
  <c r="AT2008" i="3"/>
  <c r="AS2008" i="3"/>
  <c r="AJ2008" i="3"/>
  <c r="AK2008" i="3" s="1"/>
  <c r="AE2008" i="3"/>
  <c r="U2008" i="3"/>
  <c r="W2008" i="3" s="1"/>
  <c r="O2008" i="3"/>
  <c r="F2008" i="3"/>
  <c r="I2008" i="3" s="1"/>
  <c r="AS2007" i="3"/>
  <c r="AJ2007" i="3"/>
  <c r="AF2007" i="3"/>
  <c r="U2007" i="3"/>
  <c r="V2007" i="3" s="1"/>
  <c r="R2007" i="3"/>
  <c r="O2007" i="3"/>
  <c r="F2007" i="3"/>
  <c r="AR2007" i="3" s="1"/>
  <c r="AS2006" i="3"/>
  <c r="AJ2006" i="3"/>
  <c r="AF2006" i="3"/>
  <c r="U2006" i="3"/>
  <c r="R2006" i="3"/>
  <c r="S2006" i="3" s="1"/>
  <c r="O2006" i="3"/>
  <c r="F2006" i="3"/>
  <c r="I2006" i="3" s="1"/>
  <c r="N2006" i="3" s="1"/>
  <c r="AA2006" i="3" s="1"/>
  <c r="AS2005" i="3"/>
  <c r="AJ2005" i="3"/>
  <c r="AK2005" i="3" s="1"/>
  <c r="AF2005" i="3"/>
  <c r="U2005" i="3"/>
  <c r="W2005" i="3" s="1"/>
  <c r="O2005" i="3"/>
  <c r="F2005" i="3"/>
  <c r="AR2005" i="3" s="1"/>
  <c r="AT2004" i="3"/>
  <c r="AS2004" i="3"/>
  <c r="AJ2004" i="3"/>
  <c r="AF2004" i="3"/>
  <c r="U2004" i="3"/>
  <c r="V2004" i="3" s="1"/>
  <c r="R2004" i="3"/>
  <c r="O2004" i="3"/>
  <c r="F2004" i="3"/>
  <c r="I2004" i="3" s="1"/>
  <c r="AT2003" i="3"/>
  <c r="AS2003" i="3"/>
  <c r="AJ2003" i="3"/>
  <c r="AF2003" i="3"/>
  <c r="U2003" i="3"/>
  <c r="R2003" i="3"/>
  <c r="T2003" i="3" s="1"/>
  <c r="O2003" i="3"/>
  <c r="F2003" i="3"/>
  <c r="I2003" i="3" s="1"/>
  <c r="AT2002" i="3"/>
  <c r="AS2002" i="3"/>
  <c r="AJ2002" i="3"/>
  <c r="AK2002" i="3" s="1"/>
  <c r="AE2002" i="3"/>
  <c r="U2002" i="3"/>
  <c r="O2002" i="3"/>
  <c r="F2002" i="3"/>
  <c r="I2002" i="3" s="1"/>
  <c r="K2002" i="3" s="1"/>
  <c r="L2002" i="3" s="1"/>
  <c r="AT2001" i="3"/>
  <c r="AS2001" i="3"/>
  <c r="AJ2001" i="3"/>
  <c r="AF2001" i="3"/>
  <c r="U2001" i="3"/>
  <c r="W2001" i="3" s="1"/>
  <c r="R2001" i="3"/>
  <c r="T2001" i="3" s="1"/>
  <c r="O2001" i="3"/>
  <c r="F2001" i="3"/>
  <c r="G2001" i="3" s="1"/>
  <c r="AT2000" i="3"/>
  <c r="AS2000" i="3"/>
  <c r="AJ2000" i="3"/>
  <c r="AF2000" i="3"/>
  <c r="U2000" i="3"/>
  <c r="R2000" i="3"/>
  <c r="S2000" i="3" s="1"/>
  <c r="O2000" i="3"/>
  <c r="F2000" i="3"/>
  <c r="I2000" i="3" s="1"/>
  <c r="AT1999" i="3"/>
  <c r="AS1999" i="3"/>
  <c r="AJ1999" i="3"/>
  <c r="AK1999" i="3" s="1"/>
  <c r="AE1999" i="3"/>
  <c r="U1999" i="3"/>
  <c r="O1999" i="3"/>
  <c r="F1999" i="3"/>
  <c r="I1999" i="3" s="1"/>
  <c r="F783" i="7"/>
  <c r="F782" i="7"/>
  <c r="F781" i="7"/>
  <c r="F780" i="7"/>
  <c r="X2015" i="3" l="1"/>
  <c r="Y2015" i="3" s="1"/>
  <c r="V2016" i="3"/>
  <c r="X2016" i="3"/>
  <c r="Y2016" i="3" s="1"/>
  <c r="X2012" i="3"/>
  <c r="Y2012" i="3" s="1"/>
  <c r="AC2015" i="3"/>
  <c r="AD2015" i="3" s="1"/>
  <c r="I2016" i="3"/>
  <c r="N2016" i="3" s="1"/>
  <c r="AA2016" i="3" s="1"/>
  <c r="AH2016" i="3" s="1"/>
  <c r="I2015" i="3"/>
  <c r="K2015" i="3" s="1"/>
  <c r="L2015" i="3" s="1"/>
  <c r="T2016" i="3"/>
  <c r="AC2016" i="3"/>
  <c r="AD2016" i="3" s="1"/>
  <c r="S2015" i="3"/>
  <c r="T2015" i="3"/>
  <c r="V2015" i="3"/>
  <c r="X2013" i="3"/>
  <c r="Y2013" i="3" s="1"/>
  <c r="AC2013" i="3"/>
  <c r="AD2013" i="3" s="1"/>
  <c r="V2014" i="3"/>
  <c r="AC2012" i="3"/>
  <c r="AD2012" i="3" s="1"/>
  <c r="X2014" i="3"/>
  <c r="Y2014" i="3" s="1"/>
  <c r="AC2014" i="3"/>
  <c r="AD2014" i="3" s="1"/>
  <c r="S2013" i="3"/>
  <c r="T2014" i="3"/>
  <c r="W2013" i="3"/>
  <c r="AQ2013" i="3"/>
  <c r="T2013" i="3"/>
  <c r="S2014" i="3"/>
  <c r="I2014" i="3"/>
  <c r="S2012" i="3"/>
  <c r="T2012" i="3"/>
  <c r="V2012" i="3"/>
  <c r="AQ2012" i="3"/>
  <c r="I2012" i="3"/>
  <c r="I2013" i="3"/>
  <c r="X2007" i="3"/>
  <c r="Y2007" i="3" s="1"/>
  <c r="X2004" i="3"/>
  <c r="Y2004" i="3" s="1"/>
  <c r="AR2002" i="3"/>
  <c r="AR2006" i="3"/>
  <c r="AR2009" i="3"/>
  <c r="AR2010" i="3"/>
  <c r="G2009" i="3"/>
  <c r="AC2011" i="3"/>
  <c r="AD2011" i="3" s="1"/>
  <c r="AC2010" i="3"/>
  <c r="AD2010" i="3" s="1"/>
  <c r="W2010" i="3"/>
  <c r="AQ2010" i="3"/>
  <c r="V2010" i="3"/>
  <c r="X2010" i="3"/>
  <c r="Y2010" i="3" s="1"/>
  <c r="K2008" i="3"/>
  <c r="L2008" i="3" s="1"/>
  <c r="K2011" i="3"/>
  <c r="L2011" i="3" s="1"/>
  <c r="N2011" i="3"/>
  <c r="AA2011" i="3" s="1"/>
  <c r="M2011" i="3" a="1"/>
  <c r="M2011" i="3" s="1"/>
  <c r="N2010" i="3"/>
  <c r="AA2010" i="3" s="1"/>
  <c r="M2010" i="3" a="1"/>
  <c r="M2010" i="3" s="1"/>
  <c r="K2010" i="3"/>
  <c r="L2010" i="3" s="1"/>
  <c r="S2010" i="3"/>
  <c r="W2011" i="3"/>
  <c r="AQ2011" i="3"/>
  <c r="G2010" i="3"/>
  <c r="X2011" i="3"/>
  <c r="Y2011" i="3" s="1"/>
  <c r="AR2011" i="3"/>
  <c r="G2008" i="3"/>
  <c r="K2009" i="3"/>
  <c r="L2009" i="3" s="1"/>
  <c r="V2009" i="3"/>
  <c r="W2009" i="3"/>
  <c r="V2008" i="3"/>
  <c r="S2011" i="3"/>
  <c r="G2011" i="3"/>
  <c r="G2006" i="3"/>
  <c r="AR1999" i="3"/>
  <c r="AC2007" i="3"/>
  <c r="AD2007" i="3" s="1"/>
  <c r="T2006" i="3"/>
  <c r="AC2006" i="3"/>
  <c r="AD2006" i="3" s="1"/>
  <c r="AG2006" i="3"/>
  <c r="AH2006" i="3"/>
  <c r="K2006" i="3"/>
  <c r="L2006" i="3" s="1"/>
  <c r="V2006" i="3"/>
  <c r="W2006" i="3"/>
  <c r="AQ2006" i="3"/>
  <c r="G2005" i="3"/>
  <c r="M2006" i="3" a="1"/>
  <c r="M2006" i="3" s="1"/>
  <c r="X2006" i="3"/>
  <c r="Y2006" i="3" s="1"/>
  <c r="I2005" i="3"/>
  <c r="W2007" i="3"/>
  <c r="AQ2007" i="3"/>
  <c r="V2005" i="3"/>
  <c r="S2007" i="3"/>
  <c r="G2007" i="3"/>
  <c r="T2007" i="3"/>
  <c r="I2007" i="3"/>
  <c r="AR2000" i="3"/>
  <c r="G2002" i="3"/>
  <c r="AR2003" i="3"/>
  <c r="AC2003" i="3"/>
  <c r="AD2003" i="3" s="1"/>
  <c r="AC2004" i="3"/>
  <c r="AD2004" i="3" s="1"/>
  <c r="V2003" i="3"/>
  <c r="X2003" i="3"/>
  <c r="Y2003" i="3" s="1"/>
  <c r="AQ2003" i="3"/>
  <c r="W2003" i="3"/>
  <c r="M2004" i="3" a="1"/>
  <c r="M2004" i="3" s="1"/>
  <c r="K2004" i="3"/>
  <c r="L2004" i="3" s="1"/>
  <c r="N2004" i="3"/>
  <c r="AA2004" i="3" s="1"/>
  <c r="M2003" i="3" a="1"/>
  <c r="M2003" i="3" s="1"/>
  <c r="N2003" i="3"/>
  <c r="AA2003" i="3" s="1"/>
  <c r="K2003" i="3"/>
  <c r="L2003" i="3" s="1"/>
  <c r="W2002" i="3"/>
  <c r="S2004" i="3"/>
  <c r="T2004" i="3"/>
  <c r="S2003" i="3"/>
  <c r="W2004" i="3"/>
  <c r="AQ2004" i="3"/>
  <c r="V2002" i="3"/>
  <c r="G2003" i="3"/>
  <c r="AR2004" i="3"/>
  <c r="G2004" i="3"/>
  <c r="G1999" i="3"/>
  <c r="AQ2000" i="3"/>
  <c r="AC2001" i="3"/>
  <c r="AD2001" i="3" s="1"/>
  <c r="W2000" i="3"/>
  <c r="X2000" i="3"/>
  <c r="Y2000" i="3" s="1"/>
  <c r="V2000" i="3"/>
  <c r="AC2000" i="3"/>
  <c r="AD2000" i="3" s="1"/>
  <c r="N2000" i="3"/>
  <c r="AA2000" i="3" s="1"/>
  <c r="M2000" i="3" a="1"/>
  <c r="M2000" i="3" s="1"/>
  <c r="K2000" i="3"/>
  <c r="L2000" i="3" s="1"/>
  <c r="K1999" i="3"/>
  <c r="L1999" i="3" s="1"/>
  <c r="V1999" i="3"/>
  <c r="W1999" i="3"/>
  <c r="S2001" i="3"/>
  <c r="I2001" i="3"/>
  <c r="V2001" i="3"/>
  <c r="AQ2001" i="3"/>
  <c r="G2000" i="3"/>
  <c r="T2000" i="3"/>
  <c r="X2001" i="3"/>
  <c r="Y2001" i="3" s="1"/>
  <c r="AR2001" i="3"/>
  <c r="AG2016" i="3" l="1"/>
  <c r="N2015" i="3"/>
  <c r="AA2015" i="3" s="1"/>
  <c r="AH2015" i="3" s="1"/>
  <c r="M2015" i="3" a="1"/>
  <c r="M2015" i="3" s="1"/>
  <c r="M2016" i="3" a="1"/>
  <c r="M2016" i="3" s="1"/>
  <c r="K2016" i="3"/>
  <c r="L2016" i="3" s="1"/>
  <c r="M2013" i="3" a="1"/>
  <c r="M2013" i="3" s="1"/>
  <c r="N2013" i="3" s="1"/>
  <c r="K2013" i="3"/>
  <c r="L2013" i="3" s="1"/>
  <c r="M2014" i="3" a="1"/>
  <c r="M2014" i="3" s="1"/>
  <c r="N2014" i="3" s="1"/>
  <c r="K2014" i="3"/>
  <c r="L2014" i="3" s="1"/>
  <c r="M2012" i="3" a="1"/>
  <c r="M2012" i="3" s="1"/>
  <c r="N2012" i="3" s="1"/>
  <c r="K2012" i="3"/>
  <c r="L2012" i="3" s="1"/>
  <c r="AG2003" i="3"/>
  <c r="AH2010" i="3"/>
  <c r="AG2010" i="3"/>
  <c r="AG2011" i="3"/>
  <c r="AH2011" i="3"/>
  <c r="K2005" i="3"/>
  <c r="L2005" i="3" s="1"/>
  <c r="M2007" i="3" a="1"/>
  <c r="M2007" i="3" s="1"/>
  <c r="K2007" i="3"/>
  <c r="L2007" i="3" s="1"/>
  <c r="N2007" i="3"/>
  <c r="AH2004" i="3"/>
  <c r="AG2004" i="3"/>
  <c r="AH2003" i="3"/>
  <c r="AG2000" i="3"/>
  <c r="M2001" i="3" a="1"/>
  <c r="M2001" i="3" s="1"/>
  <c r="K2001" i="3"/>
  <c r="L2001" i="3" s="1"/>
  <c r="N2001" i="3"/>
  <c r="AH2000" i="3"/>
  <c r="AG2015" i="3" l="1"/>
  <c r="AA2013" i="3"/>
  <c r="AG2013" i="3"/>
  <c r="AA2014" i="3"/>
  <c r="AG2014" i="3"/>
  <c r="AA2012" i="3"/>
  <c r="AG2012" i="3"/>
  <c r="AA2007" i="3"/>
  <c r="AG2007" i="3"/>
  <c r="AA2001" i="3"/>
  <c r="AG2001" i="3"/>
  <c r="AH2014" i="3" l="1"/>
  <c r="AH2013" i="3"/>
  <c r="AH2012" i="3"/>
  <c r="AH2007" i="3"/>
  <c r="AH2001" i="3"/>
  <c r="F779" i="7" l="1"/>
  <c r="AJ1998" i="3"/>
  <c r="AF1998" i="3"/>
  <c r="U1998" i="3"/>
  <c r="W1998" i="3" s="1"/>
  <c r="R1998" i="3"/>
  <c r="O1998" i="3"/>
  <c r="AJ1997" i="3"/>
  <c r="AF1997" i="3"/>
  <c r="U1997" i="3"/>
  <c r="W1997" i="3" s="1"/>
  <c r="R1997" i="3"/>
  <c r="O1997" i="3"/>
  <c r="AJ1996" i="3"/>
  <c r="AF1996" i="3"/>
  <c r="U1996" i="3"/>
  <c r="W1996" i="3" s="1"/>
  <c r="O1996" i="3"/>
  <c r="F1998" i="3"/>
  <c r="G1998" i="3" s="1"/>
  <c r="F1997" i="3"/>
  <c r="G1997" i="3" s="1"/>
  <c r="F1996" i="3"/>
  <c r="G1996" i="3" s="1"/>
  <c r="AT1907" i="3"/>
  <c r="AT1906" i="3"/>
  <c r="AT1419" i="3"/>
  <c r="AT1418" i="3"/>
  <c r="AT1373" i="3"/>
  <c r="AT1372" i="3"/>
  <c r="AT1371" i="3"/>
  <c r="AT1370" i="3"/>
  <c r="AT1354" i="3"/>
  <c r="AT1353" i="3"/>
  <c r="AT1266" i="3"/>
  <c r="AT1265" i="3"/>
  <c r="AT1264" i="3"/>
  <c r="AT1263" i="3"/>
  <c r="AT1262" i="3"/>
  <c r="AT1261" i="3"/>
  <c r="AT1260" i="3"/>
  <c r="AT1259" i="3"/>
  <c r="AT1258" i="3"/>
  <c r="AT1257" i="3"/>
  <c r="AT1256" i="3"/>
  <c r="AT1255" i="3"/>
  <c r="AT1254" i="3"/>
  <c r="AT1253" i="3"/>
  <c r="AT1240" i="3"/>
  <c r="AT1239" i="3"/>
  <c r="AT1238" i="3"/>
  <c r="AT1237" i="3"/>
  <c r="AT1196" i="3"/>
  <c r="AT1195" i="3"/>
  <c r="AT1194" i="3"/>
  <c r="AT1193" i="3"/>
  <c r="AT1118" i="3"/>
  <c r="AT1117" i="3"/>
  <c r="AT1114" i="3"/>
  <c r="AT1113" i="3"/>
  <c r="AT1112" i="3"/>
  <c r="AT1111" i="3"/>
  <c r="AT1098" i="3"/>
  <c r="AT1097" i="3"/>
  <c r="AT1048" i="3"/>
  <c r="AT1047" i="3"/>
  <c r="AT1046" i="3"/>
  <c r="AT1045" i="3"/>
  <c r="AT1044" i="3"/>
  <c r="AT1043" i="3"/>
  <c r="AT1042" i="3"/>
  <c r="AT1041" i="3"/>
  <c r="AT1038" i="3"/>
  <c r="AT1037" i="3"/>
  <c r="AT1036" i="3"/>
  <c r="AT1035" i="3"/>
  <c r="AT1034" i="3"/>
  <c r="AT1033" i="3"/>
  <c r="AT1032" i="3"/>
  <c r="AT1031" i="3"/>
  <c r="AT1030" i="3"/>
  <c r="AT1029" i="3"/>
  <c r="AT1024" i="3"/>
  <c r="AT1023" i="3"/>
  <c r="AT1022" i="3"/>
  <c r="AT1021" i="3"/>
  <c r="AT1016" i="3"/>
  <c r="AT1015" i="3"/>
  <c r="AT1014" i="3"/>
  <c r="AT1013" i="3"/>
  <c r="AT1012" i="3"/>
  <c r="AT1011" i="3"/>
  <c r="AT1010" i="3"/>
  <c r="AT1009" i="3"/>
  <c r="AT1000" i="3"/>
  <c r="AT999" i="3"/>
  <c r="AT998" i="3"/>
  <c r="AT997" i="3"/>
  <c r="AT996" i="3"/>
  <c r="AT995" i="3"/>
  <c r="AT994" i="3"/>
  <c r="AT993" i="3"/>
  <c r="AT992" i="3"/>
  <c r="AT991" i="3"/>
  <c r="AT990" i="3"/>
  <c r="AT989" i="3"/>
  <c r="AT984" i="3"/>
  <c r="AT983" i="3"/>
  <c r="AT982" i="3"/>
  <c r="AT981" i="3"/>
  <c r="AT980" i="3"/>
  <c r="AT979" i="3"/>
  <c r="AT978" i="3"/>
  <c r="AT977" i="3"/>
  <c r="AT976" i="3"/>
  <c r="AT975" i="3"/>
  <c r="AT974" i="3"/>
  <c r="AT973" i="3"/>
  <c r="AT972" i="3"/>
  <c r="AT971" i="3"/>
  <c r="AT970" i="3"/>
  <c r="AT969" i="3"/>
  <c r="AT968" i="3"/>
  <c r="AT967" i="3"/>
  <c r="AT966" i="3"/>
  <c r="AT965" i="3"/>
  <c r="AT964" i="3"/>
  <c r="AT963" i="3"/>
  <c r="AT962" i="3"/>
  <c r="AT961" i="3"/>
  <c r="AT952" i="3"/>
  <c r="AT951" i="3"/>
  <c r="AT950" i="3"/>
  <c r="AT949" i="3"/>
  <c r="AT948" i="3"/>
  <c r="AT947" i="3"/>
  <c r="AT946" i="3"/>
  <c r="AT945" i="3"/>
  <c r="AT940" i="3"/>
  <c r="AT939" i="3"/>
  <c r="AT938" i="3"/>
  <c r="AT937" i="3"/>
  <c r="AT936" i="3"/>
  <c r="AT935" i="3"/>
  <c r="AT934" i="3"/>
  <c r="AT933" i="3"/>
  <c r="AT932" i="3"/>
  <c r="AT931" i="3"/>
  <c r="AT928" i="3"/>
  <c r="AT927" i="3"/>
  <c r="AT926" i="3"/>
  <c r="AT925" i="3"/>
  <c r="AT924" i="3"/>
  <c r="AT923" i="3"/>
  <c r="AT906" i="3"/>
  <c r="AT905" i="3"/>
  <c r="AT900" i="3"/>
  <c r="AT899" i="3"/>
  <c r="AT898" i="3"/>
  <c r="AT897" i="3"/>
  <c r="AT884" i="3"/>
  <c r="AT883" i="3"/>
  <c r="AT880" i="3"/>
  <c r="AT879" i="3"/>
  <c r="AT878" i="3"/>
  <c r="AT877" i="3"/>
  <c r="AT876" i="3"/>
  <c r="AT875" i="3"/>
  <c r="AT874" i="3"/>
  <c r="AT873" i="3"/>
  <c r="AT866" i="3"/>
  <c r="AT865" i="3"/>
  <c r="AT860" i="3"/>
  <c r="AT859" i="3"/>
  <c r="AT858" i="3"/>
  <c r="AT857" i="3"/>
  <c r="AT856" i="3"/>
  <c r="AT855" i="3"/>
  <c r="AT854" i="3"/>
  <c r="AT853" i="3"/>
  <c r="AT848" i="3"/>
  <c r="AT847" i="3"/>
  <c r="AT846" i="3"/>
  <c r="AT845" i="3"/>
  <c r="AT844" i="3"/>
  <c r="AT843" i="3"/>
  <c r="AT842" i="3"/>
  <c r="AT841" i="3"/>
  <c r="AT840" i="3"/>
  <c r="AT839" i="3"/>
  <c r="AT838" i="3"/>
  <c r="AT837" i="3"/>
  <c r="AT836" i="3"/>
  <c r="AT835" i="3"/>
  <c r="AT834" i="3"/>
  <c r="AT833" i="3"/>
  <c r="AT828" i="3"/>
  <c r="AT827" i="3"/>
  <c r="AT826" i="3"/>
  <c r="AT825" i="3"/>
  <c r="AT820" i="3"/>
  <c r="AT819" i="3"/>
  <c r="AT818" i="3"/>
  <c r="AT817" i="3"/>
  <c r="AT812" i="3"/>
  <c r="AT811" i="3"/>
  <c r="AT810" i="3"/>
  <c r="AT809" i="3"/>
  <c r="AT804" i="3"/>
  <c r="AT803" i="3"/>
  <c r="AT802" i="3"/>
  <c r="AT801" i="3"/>
  <c r="AT796" i="3"/>
  <c r="AT795" i="3"/>
  <c r="AT794" i="3"/>
  <c r="AT793" i="3"/>
  <c r="AT780" i="3"/>
  <c r="AT779" i="3"/>
  <c r="AT778" i="3"/>
  <c r="AT777" i="3"/>
  <c r="AT776" i="3"/>
  <c r="AT775" i="3"/>
  <c r="AT774" i="3"/>
  <c r="AT773" i="3"/>
  <c r="AT772" i="3"/>
  <c r="AT771" i="3"/>
  <c r="AT770" i="3"/>
  <c r="AT769" i="3"/>
  <c r="AT764" i="3"/>
  <c r="AT763" i="3"/>
  <c r="AT758" i="3"/>
  <c r="AT757" i="3"/>
  <c r="AT756" i="3"/>
  <c r="AT755" i="3"/>
  <c r="AT754" i="3"/>
  <c r="AT753" i="3"/>
  <c r="AT750" i="3"/>
  <c r="AT749" i="3"/>
  <c r="AT748" i="3"/>
  <c r="AT747" i="3"/>
  <c r="AT746" i="3"/>
  <c r="AT745" i="3"/>
  <c r="AT744" i="3"/>
  <c r="AT743" i="3"/>
  <c r="AT740" i="3"/>
  <c r="AT739" i="3"/>
  <c r="AT734" i="3"/>
  <c r="AT733" i="3"/>
  <c r="AT732" i="3"/>
  <c r="AT731" i="3"/>
  <c r="AT730" i="3"/>
  <c r="AT729" i="3"/>
  <c r="AT728" i="3"/>
  <c r="AT727" i="3"/>
  <c r="AT724" i="3"/>
  <c r="AT723" i="3"/>
  <c r="AT718" i="3"/>
  <c r="AT717" i="3"/>
  <c r="AT716" i="3"/>
  <c r="AT715" i="3"/>
  <c r="AT710" i="3"/>
  <c r="AT709" i="3"/>
  <c r="AT708" i="3"/>
  <c r="AT707" i="3"/>
  <c r="AT706" i="3"/>
  <c r="AT705" i="3"/>
  <c r="AT704" i="3"/>
  <c r="AT703" i="3"/>
  <c r="AT702" i="3"/>
  <c r="AT701" i="3"/>
  <c r="AT700" i="3"/>
  <c r="AT699" i="3"/>
  <c r="AT690" i="3"/>
  <c r="AT689" i="3"/>
  <c r="AT688" i="3"/>
  <c r="AT687" i="3"/>
  <c r="AT672" i="3"/>
  <c r="AT671" i="3"/>
  <c r="AT668" i="3"/>
  <c r="AT667" i="3"/>
  <c r="AT666" i="3"/>
  <c r="AT665" i="3"/>
  <c r="AT664" i="3"/>
  <c r="AT663" i="3"/>
  <c r="AT662" i="3"/>
  <c r="AT661" i="3"/>
  <c r="AT656" i="3"/>
  <c r="AT655" i="3"/>
  <c r="AT654" i="3"/>
  <c r="AT653" i="3"/>
  <c r="AT652" i="3"/>
  <c r="AT651" i="3"/>
  <c r="AT650" i="3"/>
  <c r="AT649" i="3"/>
  <c r="AT648" i="3"/>
  <c r="AT647" i="3"/>
  <c r="AT646" i="3"/>
  <c r="AT645" i="3"/>
  <c r="AT644" i="3"/>
  <c r="AT643" i="3"/>
  <c r="AT638" i="3"/>
  <c r="AT637" i="3"/>
  <c r="AT636" i="3"/>
  <c r="AT635" i="3"/>
  <c r="AT634" i="3"/>
  <c r="AT633" i="3"/>
  <c r="AT632" i="3"/>
  <c r="AT631" i="3"/>
  <c r="AT628" i="3"/>
  <c r="AT627" i="3"/>
  <c r="AT622" i="3"/>
  <c r="AT621" i="3"/>
  <c r="AT620" i="3"/>
  <c r="AT619" i="3"/>
  <c r="AT618" i="3"/>
  <c r="AT617" i="3"/>
  <c r="AT616" i="3"/>
  <c r="AT615" i="3"/>
  <c r="AT614" i="3"/>
  <c r="AT613" i="3"/>
  <c r="AT612" i="3"/>
  <c r="AT611" i="3"/>
  <c r="AT610" i="3"/>
  <c r="AT609" i="3"/>
  <c r="AT608" i="3"/>
  <c r="AT607" i="3"/>
  <c r="AT606" i="3"/>
  <c r="AT605" i="3"/>
  <c r="AT604" i="3"/>
  <c r="AT603" i="3"/>
  <c r="AT602" i="3"/>
  <c r="AT601" i="3"/>
  <c r="AT600" i="3"/>
  <c r="AT599" i="3"/>
  <c r="AT598" i="3"/>
  <c r="AT597" i="3"/>
  <c r="AT596" i="3"/>
  <c r="AT595" i="3"/>
  <c r="AT586" i="3"/>
  <c r="AT585" i="3"/>
  <c r="AT584" i="3"/>
  <c r="AT583" i="3"/>
  <c r="AT576" i="3"/>
  <c r="AT575" i="3"/>
  <c r="AT574" i="3"/>
  <c r="AT573" i="3"/>
  <c r="AT564" i="3"/>
  <c r="AT563" i="3"/>
  <c r="AT562" i="3"/>
  <c r="AT561" i="3"/>
  <c r="AT560" i="3"/>
  <c r="AT559" i="3"/>
  <c r="AT558" i="3"/>
  <c r="AT557" i="3"/>
  <c r="AT542" i="3"/>
  <c r="AT541" i="3"/>
  <c r="AT540" i="3"/>
  <c r="AT539" i="3"/>
  <c r="AT534" i="3"/>
  <c r="AT533" i="3"/>
  <c r="AT532" i="3"/>
  <c r="AT531" i="3"/>
  <c r="AT526" i="3"/>
  <c r="AT525" i="3"/>
  <c r="AT524" i="3"/>
  <c r="AT523" i="3"/>
  <c r="AT522" i="3"/>
  <c r="AT521" i="3"/>
  <c r="AT512" i="3"/>
  <c r="AT511" i="3"/>
  <c r="AT510" i="3"/>
  <c r="AT509" i="3"/>
  <c r="AT508" i="3"/>
  <c r="AT507" i="3"/>
  <c r="AT502" i="3"/>
  <c r="AT501" i="3"/>
  <c r="AT500" i="3"/>
  <c r="AT499" i="3"/>
  <c r="AT498" i="3"/>
  <c r="AT497" i="3"/>
  <c r="AT496" i="3"/>
  <c r="AT495" i="3"/>
  <c r="AT494" i="3"/>
  <c r="AT493" i="3"/>
  <c r="AT492" i="3"/>
  <c r="AT491" i="3"/>
  <c r="AT486" i="3"/>
  <c r="AT485" i="3"/>
  <c r="AT484" i="3"/>
  <c r="AT483" i="3"/>
  <c r="AT474" i="3"/>
  <c r="AT473" i="3"/>
  <c r="AT472" i="3"/>
  <c r="AT471" i="3"/>
  <c r="AT438" i="3"/>
  <c r="AT437" i="3"/>
  <c r="AT422" i="3"/>
  <c r="AT1989" i="3"/>
  <c r="AT1988" i="3"/>
  <c r="AT1984" i="3"/>
  <c r="AT1983" i="3"/>
  <c r="AT1979" i="3"/>
  <c r="AT1978" i="3"/>
  <c r="AT1977" i="3"/>
  <c r="AT1975" i="3"/>
  <c r="AT1974" i="3"/>
  <c r="AT1973" i="3"/>
  <c r="AT1965" i="3"/>
  <c r="AT1964" i="3"/>
  <c r="AT1960" i="3"/>
  <c r="AT1959" i="3"/>
  <c r="AT1958" i="3"/>
  <c r="AT1957" i="3"/>
  <c r="AT1956" i="3"/>
  <c r="AT1955" i="3"/>
  <c r="AT1954" i="3"/>
  <c r="AT1953" i="3"/>
  <c r="AT1952" i="3"/>
  <c r="AT1951" i="3"/>
  <c r="AT1950" i="3"/>
  <c r="AT1949" i="3"/>
  <c r="AT1948" i="3"/>
  <c r="AT1947" i="3"/>
  <c r="AT1946" i="3"/>
  <c r="AT1945" i="3"/>
  <c r="AT1944" i="3"/>
  <c r="AT1943" i="3"/>
  <c r="AT1942" i="3"/>
  <c r="AT1940" i="3"/>
  <c r="AT1939" i="3"/>
  <c r="AT1937" i="3"/>
  <c r="AT1936" i="3"/>
  <c r="AT1934" i="3"/>
  <c r="AT1933" i="3"/>
  <c r="AT1930" i="3"/>
  <c r="AT1929" i="3"/>
  <c r="AT1927" i="3"/>
  <c r="AT1926" i="3"/>
  <c r="AT1924" i="3"/>
  <c r="AT1923" i="3"/>
  <c r="AT1922" i="3"/>
  <c r="AT1921" i="3"/>
  <c r="AT1920" i="3"/>
  <c r="AT1918" i="3"/>
  <c r="AT1917" i="3"/>
  <c r="AT1916" i="3"/>
  <c r="AT1915" i="3"/>
  <c r="AT1914" i="3"/>
  <c r="AT1913" i="3"/>
  <c r="AT1912" i="3"/>
  <c r="AT1911" i="3"/>
  <c r="AT1910" i="3"/>
  <c r="AT1909" i="3"/>
  <c r="AT1908" i="3"/>
  <c r="AT1905" i="3"/>
  <c r="AT1904" i="3"/>
  <c r="AT1903" i="3"/>
  <c r="AT1902" i="3"/>
  <c r="AT1900" i="3"/>
  <c r="AT1899" i="3"/>
  <c r="AT1897" i="3"/>
  <c r="AT1896" i="3"/>
  <c r="AT1893" i="3"/>
  <c r="AT1889" i="3"/>
  <c r="AT1888" i="3"/>
  <c r="AT1883" i="3"/>
  <c r="AT1882" i="3"/>
  <c r="AT1874" i="3"/>
  <c r="AT1873" i="3"/>
  <c r="AT1872" i="3"/>
  <c r="AT1871" i="3"/>
  <c r="AT1870" i="3"/>
  <c r="AT1869" i="3"/>
  <c r="AT1868" i="3"/>
  <c r="AT1867" i="3"/>
  <c r="AT1866" i="3"/>
  <c r="AT1861" i="3"/>
  <c r="AT1860" i="3"/>
  <c r="AT1859" i="3"/>
  <c r="AT1858" i="3"/>
  <c r="AT1852" i="3"/>
  <c r="AT1851" i="3"/>
  <c r="AT1849" i="3"/>
  <c r="AT1848" i="3"/>
  <c r="AT1847" i="3"/>
  <c r="AT1840" i="3"/>
  <c r="AT1839" i="3"/>
  <c r="AT1838" i="3"/>
  <c r="AT1837" i="3"/>
  <c r="AT1836" i="3"/>
  <c r="AT1833" i="3"/>
  <c r="AT1832" i="3"/>
  <c r="AT1830" i="3"/>
  <c r="AT1829" i="3"/>
  <c r="AT1828" i="3"/>
  <c r="AT1827" i="3"/>
  <c r="AT1826" i="3"/>
  <c r="AT1811" i="3"/>
  <c r="AT1810" i="3"/>
  <c r="AT1807" i="3"/>
  <c r="AT1806" i="3"/>
  <c r="AT1805" i="3"/>
  <c r="AT1803" i="3"/>
  <c r="AT1802" i="3"/>
  <c r="AT1801" i="3"/>
  <c r="AT1800" i="3"/>
  <c r="AT1799" i="3"/>
  <c r="AT1797" i="3"/>
  <c r="AT1796" i="3"/>
  <c r="AT1788" i="3"/>
  <c r="AT1787" i="3"/>
  <c r="AT1786" i="3"/>
  <c r="AT1784" i="3"/>
  <c r="AT1783" i="3"/>
  <c r="AT1782" i="3"/>
  <c r="AT1781" i="3"/>
  <c r="AT1777" i="3"/>
  <c r="AT1776" i="3"/>
  <c r="AT1775" i="3"/>
  <c r="AT1774" i="3"/>
  <c r="AT1773" i="3"/>
  <c r="AT1772" i="3"/>
  <c r="AT1771" i="3"/>
  <c r="AT1770" i="3"/>
  <c r="AT1769" i="3"/>
  <c r="AT1768" i="3"/>
  <c r="AT1767" i="3"/>
  <c r="AT1766" i="3"/>
  <c r="AT1765" i="3"/>
  <c r="AT1755" i="3"/>
  <c r="AT1754" i="3"/>
  <c r="AT1751" i="3"/>
  <c r="AT1749" i="3"/>
  <c r="AT1748" i="3"/>
  <c r="AT1747" i="3"/>
  <c r="AT1746" i="3"/>
  <c r="AT1745" i="3"/>
  <c r="AT1744" i="3"/>
  <c r="AT1707" i="3"/>
  <c r="AT1706" i="3"/>
  <c r="AT1705" i="3"/>
  <c r="AT1704" i="3"/>
  <c r="AT1703" i="3"/>
  <c r="AT1702" i="3"/>
  <c r="AT1701" i="3"/>
  <c r="AT1700" i="3"/>
  <c r="AT1699" i="3"/>
  <c r="AT1697" i="3"/>
  <c r="AT1696" i="3"/>
  <c r="AT1695" i="3"/>
  <c r="AT1694" i="3"/>
  <c r="AT1691" i="3"/>
  <c r="AT1689" i="3"/>
  <c r="AT1688" i="3"/>
  <c r="AT1687" i="3"/>
  <c r="AT1686" i="3"/>
  <c r="AT1685" i="3"/>
  <c r="AT1684" i="3"/>
  <c r="AT1683" i="3"/>
  <c r="AT1682" i="3"/>
  <c r="AT1679" i="3"/>
  <c r="AT1678" i="3"/>
  <c r="AT1677" i="3"/>
  <c r="AT1676" i="3"/>
  <c r="AT1673" i="3"/>
  <c r="AT1672" i="3"/>
  <c r="AT1665" i="3"/>
  <c r="AT1664" i="3"/>
  <c r="AT1659" i="3"/>
  <c r="AT1658" i="3"/>
  <c r="AT1657" i="3"/>
  <c r="AT1656" i="3"/>
  <c r="AT1650" i="3"/>
  <c r="AT1649" i="3"/>
  <c r="AT1593" i="3"/>
  <c r="AT1592" i="3"/>
  <c r="AT1591" i="3"/>
  <c r="AT1578" i="3"/>
  <c r="AT1577" i="3"/>
  <c r="AT1565" i="3"/>
  <c r="AT1564" i="3"/>
  <c r="AT1560" i="3"/>
  <c r="AT1559" i="3"/>
  <c r="AT1558" i="3"/>
  <c r="AT1557" i="3"/>
  <c r="AT1556" i="3"/>
  <c r="AT1555" i="3"/>
  <c r="AT1548" i="3"/>
  <c r="AT1547" i="3"/>
  <c r="AT1534" i="3"/>
  <c r="AT1533" i="3"/>
  <c r="AT1522" i="3"/>
  <c r="AT1521" i="3"/>
  <c r="AT1518" i="3"/>
  <c r="AT1517" i="3"/>
  <c r="AT1516" i="3"/>
  <c r="AT1515" i="3"/>
  <c r="AT1514" i="3"/>
  <c r="AT1513" i="3"/>
  <c r="AT1510" i="3"/>
  <c r="AT1509" i="3"/>
  <c r="AT1508" i="3"/>
  <c r="AT1496" i="3"/>
  <c r="AT1495" i="3"/>
  <c r="AT1486" i="3"/>
  <c r="AT1485" i="3"/>
  <c r="AT1482" i="3"/>
  <c r="AT1481" i="3"/>
  <c r="AT1474" i="3"/>
  <c r="AT1473" i="3"/>
  <c r="AT1470" i="3"/>
  <c r="AT1469" i="3"/>
  <c r="AT1468" i="3"/>
  <c r="AT1467" i="3"/>
  <c r="AT1386" i="3"/>
  <c r="AT1385" i="3"/>
  <c r="AT1338" i="3"/>
  <c r="AT1337" i="3"/>
  <c r="AT1336" i="3"/>
  <c r="AT1314" i="3"/>
  <c r="AT1313" i="3"/>
  <c r="AT1312" i="3"/>
  <c r="AT1311" i="3"/>
  <c r="AT1310" i="3"/>
  <c r="AT1309" i="3"/>
  <c r="AT1306" i="3"/>
  <c r="AT1305" i="3"/>
  <c r="AT1304" i="3"/>
  <c r="AT1168" i="3"/>
  <c r="AT1167" i="3"/>
  <c r="AT1166" i="3"/>
  <c r="AT1146" i="3"/>
  <c r="AT1145" i="3"/>
  <c r="AT1144" i="3"/>
  <c r="AT1137" i="3"/>
  <c r="AT1136" i="3"/>
  <c r="AT1133" i="3"/>
  <c r="AT421" i="3"/>
  <c r="AT414" i="3"/>
  <c r="AT413" i="3"/>
  <c r="AT412" i="3"/>
  <c r="AT404" i="3"/>
  <c r="AT403" i="3"/>
  <c r="AT402" i="3"/>
  <c r="AT401" i="3"/>
  <c r="AT400" i="3"/>
  <c r="AT399" i="3"/>
  <c r="AT395" i="3"/>
  <c r="AT394" i="3"/>
  <c r="AT393" i="3"/>
  <c r="AT391" i="3"/>
  <c r="AT390" i="3"/>
  <c r="AT389" i="3"/>
  <c r="AT384" i="3"/>
  <c r="AT383" i="3"/>
  <c r="AT382" i="3"/>
  <c r="AT368" i="3"/>
  <c r="AT367" i="3"/>
  <c r="AT366" i="3"/>
  <c r="AT359" i="3"/>
  <c r="AT358" i="3"/>
  <c r="AT357" i="3"/>
  <c r="AT355" i="3"/>
  <c r="AT354" i="3"/>
  <c r="AT353" i="3"/>
  <c r="AT352" i="3"/>
  <c r="AT351" i="3"/>
  <c r="AT350" i="3"/>
  <c r="AT332" i="3"/>
  <c r="AT331" i="3"/>
  <c r="AT330" i="3"/>
  <c r="AT329" i="3"/>
  <c r="AT328" i="3"/>
  <c r="AT327" i="3"/>
  <c r="AT325" i="3"/>
  <c r="AT324" i="3"/>
  <c r="AT323" i="3"/>
  <c r="AT322" i="3"/>
  <c r="AT321" i="3"/>
  <c r="AT319" i="3"/>
  <c r="AT318" i="3"/>
  <c r="AT317" i="3"/>
  <c r="AT313" i="3"/>
  <c r="AT312" i="3"/>
  <c r="AT311" i="3"/>
  <c r="AT301" i="3"/>
  <c r="AT300" i="3"/>
  <c r="AT299" i="3"/>
  <c r="AT298" i="3"/>
  <c r="AT297" i="3"/>
  <c r="AT296" i="3"/>
  <c r="AT289" i="3"/>
  <c r="AT288" i="3"/>
  <c r="AT287" i="3"/>
  <c r="AT282" i="3"/>
  <c r="AT281" i="3"/>
  <c r="AT279" i="3"/>
  <c r="AT278" i="3"/>
  <c r="AT277" i="3"/>
  <c r="AT276" i="3"/>
  <c r="AT275" i="3"/>
  <c r="AT274" i="3"/>
  <c r="AT270" i="3"/>
  <c r="AT269" i="3"/>
  <c r="AT268" i="3"/>
  <c r="AT267" i="3"/>
  <c r="AT260" i="3"/>
  <c r="AT259" i="3"/>
  <c r="AT258" i="3"/>
  <c r="AT254" i="3"/>
  <c r="AT253" i="3"/>
  <c r="AT251" i="3"/>
  <c r="AT250" i="3"/>
  <c r="AT248" i="3"/>
  <c r="AT247" i="3"/>
  <c r="AT246" i="3"/>
  <c r="AT245" i="3"/>
  <c r="AT244" i="3"/>
  <c r="AT243" i="3"/>
  <c r="AT242" i="3"/>
  <c r="AT241" i="3"/>
  <c r="AT240" i="3"/>
  <c r="AT239" i="3"/>
  <c r="AT238" i="3"/>
  <c r="AT237" i="3"/>
  <c r="AT236" i="3"/>
  <c r="AT235" i="3"/>
  <c r="AT234" i="3"/>
  <c r="AT233" i="3"/>
  <c r="AT232" i="3"/>
  <c r="AT231" i="3"/>
  <c r="AT230" i="3"/>
  <c r="AT229" i="3"/>
  <c r="AT228" i="3"/>
  <c r="AT227" i="3"/>
  <c r="AT226" i="3"/>
  <c r="AT224" i="3"/>
  <c r="AT223" i="3"/>
  <c r="AT221" i="3"/>
  <c r="AT220" i="3"/>
  <c r="AT211" i="3"/>
  <c r="AT210" i="3"/>
  <c r="AT208" i="3"/>
  <c r="AT207" i="3"/>
  <c r="AT206" i="3"/>
  <c r="AT197" i="3"/>
  <c r="AT196" i="3"/>
  <c r="AT195" i="3"/>
  <c r="AT190" i="3"/>
  <c r="AT189" i="3"/>
  <c r="AT188" i="3"/>
  <c r="AT186" i="3"/>
  <c r="AT185" i="3"/>
  <c r="AT180" i="3"/>
  <c r="AT179" i="3"/>
  <c r="AT178" i="3"/>
  <c r="AT177" i="3"/>
  <c r="AT176" i="3"/>
  <c r="AT174" i="3"/>
  <c r="AT173" i="3"/>
  <c r="AT172" i="3"/>
  <c r="AT170" i="3"/>
  <c r="AT169" i="3"/>
  <c r="AT167" i="3"/>
  <c r="AT166" i="3"/>
  <c r="AT164" i="3"/>
  <c r="AT163" i="3"/>
  <c r="AT162" i="3"/>
  <c r="AT161" i="3"/>
  <c r="AT156" i="3"/>
  <c r="AT155" i="3"/>
  <c r="AT154" i="3"/>
  <c r="AT152" i="3"/>
  <c r="AT151" i="3"/>
  <c r="AT149" i="3"/>
  <c r="AT148" i="3"/>
  <c r="AT146" i="3"/>
  <c r="AT145" i="3"/>
  <c r="AT144" i="3"/>
  <c r="AT133" i="3"/>
  <c r="AT132" i="3"/>
  <c r="AT131" i="3"/>
  <c r="AT130" i="3"/>
  <c r="AT129" i="3"/>
  <c r="AT128" i="3"/>
  <c r="AT127" i="3"/>
  <c r="AT126" i="3"/>
  <c r="AT125" i="3"/>
  <c r="AT124" i="3"/>
  <c r="AT123" i="3"/>
  <c r="AT122" i="3"/>
  <c r="AT115" i="3"/>
  <c r="AT114" i="3"/>
  <c r="AT113" i="3"/>
  <c r="AT101" i="3"/>
  <c r="AT100" i="3"/>
  <c r="AT99" i="3"/>
  <c r="AT98" i="3"/>
  <c r="AT97" i="3"/>
  <c r="AT96" i="3"/>
  <c r="AT95" i="3"/>
  <c r="AT94" i="3"/>
  <c r="AT84" i="3"/>
  <c r="AT83" i="3"/>
  <c r="AT82" i="3"/>
  <c r="AT81" i="3"/>
  <c r="AT80" i="3"/>
  <c r="AT79" i="3"/>
  <c r="AT77" i="3"/>
  <c r="AT69" i="3"/>
  <c r="AT68" i="3"/>
  <c r="AT44" i="3"/>
  <c r="AT43" i="3"/>
  <c r="AT41" i="3"/>
  <c r="AT40" i="3"/>
  <c r="AT22" i="3"/>
  <c r="AT21" i="3"/>
  <c r="AT18" i="3"/>
  <c r="AT17" i="3"/>
  <c r="AT14" i="3"/>
  <c r="AT13" i="3"/>
  <c r="AT10" i="3"/>
  <c r="AT9" i="3"/>
  <c r="AT8" i="3"/>
  <c r="AT7" i="3"/>
  <c r="AT6" i="3"/>
  <c r="AT5" i="3"/>
  <c r="AT4" i="3"/>
  <c r="AT3" i="3"/>
  <c r="AT1987" i="3"/>
  <c r="AT1986" i="3"/>
  <c r="AT1985" i="3"/>
  <c r="AT1982" i="3"/>
  <c r="AT1981" i="3"/>
  <c r="AT1980" i="3"/>
  <c r="AT1976" i="3"/>
  <c r="AT1972" i="3"/>
  <c r="AT1971" i="3"/>
  <c r="AT1970" i="3"/>
  <c r="AT1969" i="3"/>
  <c r="AT1968" i="3"/>
  <c r="AT1967" i="3"/>
  <c r="AT1966" i="3"/>
  <c r="AT1963" i="3"/>
  <c r="AT1962" i="3"/>
  <c r="AT1961" i="3"/>
  <c r="AT1941" i="3"/>
  <c r="AT1938" i="3"/>
  <c r="AT1935" i="3"/>
  <c r="AT1932" i="3"/>
  <c r="AT1931" i="3"/>
  <c r="AT1928" i="3"/>
  <c r="AT1925" i="3"/>
  <c r="AT1919" i="3"/>
  <c r="AT1901" i="3"/>
  <c r="AT1898" i="3"/>
  <c r="AT1895" i="3"/>
  <c r="AT1894" i="3"/>
  <c r="AT1892" i="3"/>
  <c r="AT1891" i="3"/>
  <c r="AT1890" i="3"/>
  <c r="AT1887" i="3"/>
  <c r="AT1886" i="3"/>
  <c r="AT1885" i="3"/>
  <c r="AT1884" i="3"/>
  <c r="AT1881" i="3"/>
  <c r="AT1880" i="3"/>
  <c r="AT1879" i="3"/>
  <c r="AT1865" i="3"/>
  <c r="AT1864" i="3"/>
  <c r="AT1863" i="3"/>
  <c r="AT1862" i="3"/>
  <c r="AT1857" i="3"/>
  <c r="AT1856" i="3"/>
  <c r="AT1850" i="3"/>
  <c r="AT1835" i="3"/>
  <c r="AT1834" i="3"/>
  <c r="AT1831" i="3"/>
  <c r="AT1825" i="3"/>
  <c r="AT1824" i="3"/>
  <c r="AT1823" i="3"/>
  <c r="AT1822" i="3"/>
  <c r="AT1809" i="3"/>
  <c r="AT1808" i="3"/>
  <c r="AT1804" i="3"/>
  <c r="AT1798" i="3"/>
  <c r="AT1795" i="3"/>
  <c r="AT1794" i="3"/>
  <c r="AT1793" i="3"/>
  <c r="AT1785" i="3"/>
  <c r="AT1764" i="3"/>
  <c r="AT1763" i="3"/>
  <c r="AT1762" i="3"/>
  <c r="AT1750" i="3"/>
  <c r="AT1698" i="3"/>
  <c r="AT1690" i="3"/>
  <c r="AT1563" i="3"/>
  <c r="AT1562" i="3"/>
  <c r="AT1561" i="3"/>
  <c r="AT1507" i="3"/>
  <c r="AT1384" i="3"/>
  <c r="AT1135" i="3"/>
  <c r="AT1134" i="3"/>
  <c r="AT1132" i="3"/>
  <c r="AT392" i="3"/>
  <c r="AT388" i="3"/>
  <c r="AT381" i="3"/>
  <c r="AT356" i="3"/>
  <c r="AT349" i="3"/>
  <c r="AT326" i="3"/>
  <c r="AT320" i="3"/>
  <c r="AT286" i="3"/>
  <c r="AT280" i="3"/>
  <c r="AT252" i="3"/>
  <c r="AT249" i="3"/>
  <c r="AT225" i="3"/>
  <c r="AT222" i="3"/>
  <c r="AT219" i="3"/>
  <c r="AT209" i="3"/>
  <c r="AT205" i="3"/>
  <c r="AT204" i="3"/>
  <c r="AT203" i="3"/>
  <c r="AT202" i="3"/>
  <c r="AT201" i="3"/>
  <c r="AT200" i="3"/>
  <c r="AT199" i="3"/>
  <c r="AT198" i="3"/>
  <c r="AT194" i="3"/>
  <c r="AT187" i="3"/>
  <c r="AT184" i="3"/>
  <c r="AT175" i="3"/>
  <c r="AT171" i="3"/>
  <c r="AT168" i="3"/>
  <c r="AT165" i="3"/>
  <c r="AT160" i="3"/>
  <c r="AT159" i="3"/>
  <c r="AT158" i="3"/>
  <c r="AT157" i="3"/>
  <c r="AT153" i="3"/>
  <c r="AT150" i="3"/>
  <c r="AT147" i="3"/>
  <c r="AT143" i="3"/>
  <c r="AT142" i="3"/>
  <c r="AT141" i="3"/>
  <c r="AT140" i="3"/>
  <c r="AT139" i="3"/>
  <c r="AT138" i="3"/>
  <c r="AT137" i="3"/>
  <c r="AT93" i="3"/>
  <c r="AT92" i="3"/>
  <c r="AT91" i="3"/>
  <c r="AT78" i="3"/>
  <c r="AT67" i="3"/>
  <c r="AT66" i="3"/>
  <c r="AT65" i="3"/>
  <c r="AT42" i="3"/>
  <c r="AT39" i="3"/>
  <c r="AT38" i="3"/>
  <c r="AT20" i="3"/>
  <c r="AT19" i="3"/>
  <c r="AT16" i="3"/>
  <c r="AT15" i="3"/>
  <c r="AT12" i="3"/>
  <c r="AT11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S1001" i="3"/>
  <c r="AS1002" i="3"/>
  <c r="AS1003" i="3"/>
  <c r="AS1004" i="3"/>
  <c r="AS1005" i="3"/>
  <c r="AS1006" i="3"/>
  <c r="AS1007" i="3"/>
  <c r="AS1008" i="3"/>
  <c r="AS1009" i="3"/>
  <c r="AS1010" i="3"/>
  <c r="AS1011" i="3"/>
  <c r="AS1012" i="3"/>
  <c r="AS1013" i="3"/>
  <c r="AS1014" i="3"/>
  <c r="AS1015" i="3"/>
  <c r="AS1016" i="3"/>
  <c r="AS1017" i="3"/>
  <c r="AS1018" i="3"/>
  <c r="AS1019" i="3"/>
  <c r="AS1020" i="3"/>
  <c r="AS1021" i="3"/>
  <c r="AS1022" i="3"/>
  <c r="AS1023" i="3"/>
  <c r="AS1024" i="3"/>
  <c r="AS1025" i="3"/>
  <c r="AS1026" i="3"/>
  <c r="AS1027" i="3"/>
  <c r="AS1028" i="3"/>
  <c r="AS1029" i="3"/>
  <c r="AS1030" i="3"/>
  <c r="AS1031" i="3"/>
  <c r="AS1032" i="3"/>
  <c r="AS1033" i="3"/>
  <c r="AS1034" i="3"/>
  <c r="AS1035" i="3"/>
  <c r="AS1036" i="3"/>
  <c r="AS1037" i="3"/>
  <c r="AS1038" i="3"/>
  <c r="AS1039" i="3"/>
  <c r="AS1040" i="3"/>
  <c r="AS1041" i="3"/>
  <c r="AS1042" i="3"/>
  <c r="AS1043" i="3"/>
  <c r="AS1044" i="3"/>
  <c r="AS1045" i="3"/>
  <c r="AS1046" i="3"/>
  <c r="AS1047" i="3"/>
  <c r="AS1048" i="3"/>
  <c r="AS1049" i="3"/>
  <c r="AS1050" i="3"/>
  <c r="AS1051" i="3"/>
  <c r="AS1052" i="3"/>
  <c r="AS1053" i="3"/>
  <c r="AS1054" i="3"/>
  <c r="AS1055" i="3"/>
  <c r="AS1056" i="3"/>
  <c r="AS1057" i="3"/>
  <c r="AS1058" i="3"/>
  <c r="AS1059" i="3"/>
  <c r="AS1060" i="3"/>
  <c r="AS1061" i="3"/>
  <c r="AS1062" i="3"/>
  <c r="AS1063" i="3"/>
  <c r="AS1064" i="3"/>
  <c r="AS1065" i="3"/>
  <c r="AS1066" i="3"/>
  <c r="AS1067" i="3"/>
  <c r="AS1068" i="3"/>
  <c r="AS1069" i="3"/>
  <c r="AS1070" i="3"/>
  <c r="AS1071" i="3"/>
  <c r="AS1072" i="3"/>
  <c r="AS1073" i="3"/>
  <c r="AS1074" i="3"/>
  <c r="AS1075" i="3"/>
  <c r="AS1076" i="3"/>
  <c r="AS1077" i="3"/>
  <c r="AS1078" i="3"/>
  <c r="AS1079" i="3"/>
  <c r="AS1080" i="3"/>
  <c r="AS1081" i="3"/>
  <c r="AS1082" i="3"/>
  <c r="AS1083" i="3"/>
  <c r="AS1084" i="3"/>
  <c r="AS1085" i="3"/>
  <c r="AS1086" i="3"/>
  <c r="AS1087" i="3"/>
  <c r="AS1088" i="3"/>
  <c r="AS1089" i="3"/>
  <c r="AS1090" i="3"/>
  <c r="AS1091" i="3"/>
  <c r="AS1092" i="3"/>
  <c r="AS1093" i="3"/>
  <c r="AS1094" i="3"/>
  <c r="AS1095" i="3"/>
  <c r="AS1096" i="3"/>
  <c r="AS1097" i="3"/>
  <c r="AS1098" i="3"/>
  <c r="AS1099" i="3"/>
  <c r="AS1100" i="3"/>
  <c r="AS1101" i="3"/>
  <c r="AS1102" i="3"/>
  <c r="AS1103" i="3"/>
  <c r="AS1104" i="3"/>
  <c r="AS1105" i="3"/>
  <c r="AS1106" i="3"/>
  <c r="AS1107" i="3"/>
  <c r="AS1108" i="3"/>
  <c r="AS1109" i="3"/>
  <c r="AS1110" i="3"/>
  <c r="AS1111" i="3"/>
  <c r="AS1112" i="3"/>
  <c r="AS1113" i="3"/>
  <c r="AS1114" i="3"/>
  <c r="AS1115" i="3"/>
  <c r="AS1116" i="3"/>
  <c r="AS1117" i="3"/>
  <c r="AS1118" i="3"/>
  <c r="AS1119" i="3"/>
  <c r="AS1120" i="3"/>
  <c r="AS1121" i="3"/>
  <c r="AS1122" i="3"/>
  <c r="AS1123" i="3"/>
  <c r="AS1124" i="3"/>
  <c r="AS1125" i="3"/>
  <c r="AS1126" i="3"/>
  <c r="AS1127" i="3"/>
  <c r="AS1128" i="3"/>
  <c r="AS1129" i="3"/>
  <c r="AS1130" i="3"/>
  <c r="AS1131" i="3"/>
  <c r="AS1132" i="3"/>
  <c r="AS1133" i="3"/>
  <c r="AS1134" i="3"/>
  <c r="AS1135" i="3"/>
  <c r="AS1136" i="3"/>
  <c r="AS1137" i="3"/>
  <c r="AS1138" i="3"/>
  <c r="AS1139" i="3"/>
  <c r="AS1140" i="3"/>
  <c r="AS1141" i="3"/>
  <c r="AS1142" i="3"/>
  <c r="AS1143" i="3"/>
  <c r="AS1144" i="3"/>
  <c r="AS1145" i="3"/>
  <c r="AS1146" i="3"/>
  <c r="AS1147" i="3"/>
  <c r="AS1148" i="3"/>
  <c r="AS1149" i="3"/>
  <c r="AS1150" i="3"/>
  <c r="AS1151" i="3"/>
  <c r="AS1152" i="3"/>
  <c r="AS1153" i="3"/>
  <c r="AS1154" i="3"/>
  <c r="AS1155" i="3"/>
  <c r="AS1156" i="3"/>
  <c r="AS1157" i="3"/>
  <c r="AS1158" i="3"/>
  <c r="AS1159" i="3"/>
  <c r="AS1160" i="3"/>
  <c r="AS1161" i="3"/>
  <c r="AS1162" i="3"/>
  <c r="AS1163" i="3"/>
  <c r="AS1164" i="3"/>
  <c r="AS1165" i="3"/>
  <c r="AS1166" i="3"/>
  <c r="AS1167" i="3"/>
  <c r="AS1168" i="3"/>
  <c r="AS1169" i="3"/>
  <c r="AS1170" i="3"/>
  <c r="AS1171" i="3"/>
  <c r="AS1172" i="3"/>
  <c r="AS1173" i="3"/>
  <c r="AS1174" i="3"/>
  <c r="AS1175" i="3"/>
  <c r="AS1176" i="3"/>
  <c r="AS1177" i="3"/>
  <c r="AS1178" i="3"/>
  <c r="AS1179" i="3"/>
  <c r="AS1180" i="3"/>
  <c r="AS1181" i="3"/>
  <c r="AS1182" i="3"/>
  <c r="AS1183" i="3"/>
  <c r="AS1184" i="3"/>
  <c r="AS1185" i="3"/>
  <c r="AS1186" i="3"/>
  <c r="AS1187" i="3"/>
  <c r="AS1188" i="3"/>
  <c r="AS1189" i="3"/>
  <c r="AS1190" i="3"/>
  <c r="AS1191" i="3"/>
  <c r="AS1192" i="3"/>
  <c r="AS1193" i="3"/>
  <c r="AS1194" i="3"/>
  <c r="AS1195" i="3"/>
  <c r="AS1196" i="3"/>
  <c r="AS1197" i="3"/>
  <c r="AS1198" i="3"/>
  <c r="AS1199" i="3"/>
  <c r="AS1200" i="3"/>
  <c r="AS1201" i="3"/>
  <c r="AS1202" i="3"/>
  <c r="AS1203" i="3"/>
  <c r="AS1204" i="3"/>
  <c r="AS1205" i="3"/>
  <c r="AS1206" i="3"/>
  <c r="AS1207" i="3"/>
  <c r="AS1208" i="3"/>
  <c r="AS1209" i="3"/>
  <c r="AS1210" i="3"/>
  <c r="AS1211" i="3"/>
  <c r="AS1212" i="3"/>
  <c r="AS1213" i="3"/>
  <c r="AS1214" i="3"/>
  <c r="AS1215" i="3"/>
  <c r="AS1216" i="3"/>
  <c r="AS1217" i="3"/>
  <c r="AS1218" i="3"/>
  <c r="AS1219" i="3"/>
  <c r="AS1220" i="3"/>
  <c r="AS1221" i="3"/>
  <c r="AS1222" i="3"/>
  <c r="AS1223" i="3"/>
  <c r="AS1224" i="3"/>
  <c r="AS1225" i="3"/>
  <c r="AS1226" i="3"/>
  <c r="AS1227" i="3"/>
  <c r="AS1228" i="3"/>
  <c r="AS1229" i="3"/>
  <c r="AS1230" i="3"/>
  <c r="AS1231" i="3"/>
  <c r="AS1232" i="3"/>
  <c r="AS1233" i="3"/>
  <c r="AS1234" i="3"/>
  <c r="AS1235" i="3"/>
  <c r="AS1236" i="3"/>
  <c r="AS1237" i="3"/>
  <c r="AS1238" i="3"/>
  <c r="AS1239" i="3"/>
  <c r="AS1240" i="3"/>
  <c r="AS1241" i="3"/>
  <c r="AS1242" i="3"/>
  <c r="AS1243" i="3"/>
  <c r="AS1244" i="3"/>
  <c r="AS1245" i="3"/>
  <c r="AS1246" i="3"/>
  <c r="AS1247" i="3"/>
  <c r="AS1248" i="3"/>
  <c r="AS1249" i="3"/>
  <c r="AS1250" i="3"/>
  <c r="AS1251" i="3"/>
  <c r="AS1252" i="3"/>
  <c r="AS1253" i="3"/>
  <c r="AS1254" i="3"/>
  <c r="AS1255" i="3"/>
  <c r="AS1256" i="3"/>
  <c r="AS1257" i="3"/>
  <c r="AS1258" i="3"/>
  <c r="AS1259" i="3"/>
  <c r="AS1260" i="3"/>
  <c r="AS1261" i="3"/>
  <c r="AS1262" i="3"/>
  <c r="AS1263" i="3"/>
  <c r="AS1264" i="3"/>
  <c r="AS1265" i="3"/>
  <c r="AS1266" i="3"/>
  <c r="AS1267" i="3"/>
  <c r="AS1268" i="3"/>
  <c r="AS1269" i="3"/>
  <c r="AS1270" i="3"/>
  <c r="AS1271" i="3"/>
  <c r="AS1272" i="3"/>
  <c r="AS1273" i="3"/>
  <c r="AS1274" i="3"/>
  <c r="AS1275" i="3"/>
  <c r="AS1276" i="3"/>
  <c r="AS1277" i="3"/>
  <c r="AS1278" i="3"/>
  <c r="AS1279" i="3"/>
  <c r="AS1280" i="3"/>
  <c r="AS1281" i="3"/>
  <c r="AS1282" i="3"/>
  <c r="AS1283" i="3"/>
  <c r="AS1284" i="3"/>
  <c r="AS1285" i="3"/>
  <c r="AS1286" i="3"/>
  <c r="AS1287" i="3"/>
  <c r="AS1288" i="3"/>
  <c r="AS1289" i="3"/>
  <c r="AS1290" i="3"/>
  <c r="AS1291" i="3"/>
  <c r="AS1292" i="3"/>
  <c r="AS1293" i="3"/>
  <c r="AS1294" i="3"/>
  <c r="AS1295" i="3"/>
  <c r="AS1296" i="3"/>
  <c r="AS1297" i="3"/>
  <c r="AS1298" i="3"/>
  <c r="AS1299" i="3"/>
  <c r="AS1300" i="3"/>
  <c r="AS1301" i="3"/>
  <c r="AS1302" i="3"/>
  <c r="AS1303" i="3"/>
  <c r="AS1304" i="3"/>
  <c r="AS1305" i="3"/>
  <c r="AS1306" i="3"/>
  <c r="AS1307" i="3"/>
  <c r="AS1308" i="3"/>
  <c r="AS1309" i="3"/>
  <c r="AS1310" i="3"/>
  <c r="AS1311" i="3"/>
  <c r="AS1312" i="3"/>
  <c r="AS1313" i="3"/>
  <c r="AS1314" i="3"/>
  <c r="AS1315" i="3"/>
  <c r="AS1316" i="3"/>
  <c r="AS1317" i="3"/>
  <c r="AS1318" i="3"/>
  <c r="AS1319" i="3"/>
  <c r="AS1320" i="3"/>
  <c r="AS1321" i="3"/>
  <c r="AS1322" i="3"/>
  <c r="AS1323" i="3"/>
  <c r="AS1324" i="3"/>
  <c r="AS1325" i="3"/>
  <c r="AS1326" i="3"/>
  <c r="AS1327" i="3"/>
  <c r="AS1328" i="3"/>
  <c r="AS1329" i="3"/>
  <c r="AS1330" i="3"/>
  <c r="AS1331" i="3"/>
  <c r="AS1332" i="3"/>
  <c r="AS1333" i="3"/>
  <c r="AS1334" i="3"/>
  <c r="AS1335" i="3"/>
  <c r="AS1336" i="3"/>
  <c r="AS1337" i="3"/>
  <c r="AS1338" i="3"/>
  <c r="AS1339" i="3"/>
  <c r="AS1340" i="3"/>
  <c r="AS1341" i="3"/>
  <c r="AS1342" i="3"/>
  <c r="AS1343" i="3"/>
  <c r="AS1344" i="3"/>
  <c r="AS1345" i="3"/>
  <c r="AS1346" i="3"/>
  <c r="AS1347" i="3"/>
  <c r="AS1348" i="3"/>
  <c r="AS1349" i="3"/>
  <c r="AS1350" i="3"/>
  <c r="AS1351" i="3"/>
  <c r="AS1352" i="3"/>
  <c r="AS1353" i="3"/>
  <c r="AS1354" i="3"/>
  <c r="AS1355" i="3"/>
  <c r="AS1356" i="3"/>
  <c r="AS1357" i="3"/>
  <c r="AS1358" i="3"/>
  <c r="AS1359" i="3"/>
  <c r="AS1360" i="3"/>
  <c r="AS1361" i="3"/>
  <c r="AS1362" i="3"/>
  <c r="AS1363" i="3"/>
  <c r="AS1364" i="3"/>
  <c r="AS1365" i="3"/>
  <c r="AS1366" i="3"/>
  <c r="AS1367" i="3"/>
  <c r="AS1368" i="3"/>
  <c r="AS1369" i="3"/>
  <c r="AS1370" i="3"/>
  <c r="AS1371" i="3"/>
  <c r="AS1372" i="3"/>
  <c r="AS1373" i="3"/>
  <c r="AS1374" i="3"/>
  <c r="AS1375" i="3"/>
  <c r="AS1376" i="3"/>
  <c r="AS1377" i="3"/>
  <c r="AS1378" i="3"/>
  <c r="AS1379" i="3"/>
  <c r="AS1380" i="3"/>
  <c r="AS1381" i="3"/>
  <c r="AS1382" i="3"/>
  <c r="AS1383" i="3"/>
  <c r="AS1384" i="3"/>
  <c r="AS1385" i="3"/>
  <c r="AS1386" i="3"/>
  <c r="AS1387" i="3"/>
  <c r="AS1388" i="3"/>
  <c r="AS1389" i="3"/>
  <c r="AS1390" i="3"/>
  <c r="AS1391" i="3"/>
  <c r="AS1392" i="3"/>
  <c r="AS1393" i="3"/>
  <c r="AS1394" i="3"/>
  <c r="AS1395" i="3"/>
  <c r="AS1396" i="3"/>
  <c r="AS1397" i="3"/>
  <c r="AS1398" i="3"/>
  <c r="AS1399" i="3"/>
  <c r="AS1400" i="3"/>
  <c r="AS1401" i="3"/>
  <c r="AS1402" i="3"/>
  <c r="AS1403" i="3"/>
  <c r="AS1404" i="3"/>
  <c r="AS1405" i="3"/>
  <c r="AS1406" i="3"/>
  <c r="AS1407" i="3"/>
  <c r="AS1408" i="3"/>
  <c r="AS1409" i="3"/>
  <c r="AS1410" i="3"/>
  <c r="AS1411" i="3"/>
  <c r="AS1412" i="3"/>
  <c r="AS1413" i="3"/>
  <c r="AS1414" i="3"/>
  <c r="AS1415" i="3"/>
  <c r="AS1416" i="3"/>
  <c r="AS1417" i="3"/>
  <c r="AS1418" i="3"/>
  <c r="AS1419" i="3"/>
  <c r="AS1420" i="3"/>
  <c r="AS1421" i="3"/>
  <c r="AS1422" i="3"/>
  <c r="AS1423" i="3"/>
  <c r="AS1424" i="3"/>
  <c r="AS1425" i="3"/>
  <c r="AS1426" i="3"/>
  <c r="AS1427" i="3"/>
  <c r="AS1428" i="3"/>
  <c r="AS1429" i="3"/>
  <c r="AS1430" i="3"/>
  <c r="AS1431" i="3"/>
  <c r="AS1432" i="3"/>
  <c r="AS1433" i="3"/>
  <c r="AS1434" i="3"/>
  <c r="AS1435" i="3"/>
  <c r="AS1436" i="3"/>
  <c r="AS1437" i="3"/>
  <c r="AS1438" i="3"/>
  <c r="AS1439" i="3"/>
  <c r="AS1440" i="3"/>
  <c r="AS1441" i="3"/>
  <c r="AS1442" i="3"/>
  <c r="AS1443" i="3"/>
  <c r="AS1444" i="3"/>
  <c r="AS1445" i="3"/>
  <c r="AS1446" i="3"/>
  <c r="AS1447" i="3"/>
  <c r="AS1448" i="3"/>
  <c r="AS1449" i="3"/>
  <c r="AS1450" i="3"/>
  <c r="AS1451" i="3"/>
  <c r="AS1452" i="3"/>
  <c r="AS1453" i="3"/>
  <c r="AS1454" i="3"/>
  <c r="AS1455" i="3"/>
  <c r="AS1456" i="3"/>
  <c r="AS1457" i="3"/>
  <c r="AS1458" i="3"/>
  <c r="AS1459" i="3"/>
  <c r="AS1460" i="3"/>
  <c r="AS1461" i="3"/>
  <c r="AS1462" i="3"/>
  <c r="AS1463" i="3"/>
  <c r="AS1464" i="3"/>
  <c r="AS1465" i="3"/>
  <c r="AS1466" i="3"/>
  <c r="AS1467" i="3"/>
  <c r="AS1468" i="3"/>
  <c r="AS1469" i="3"/>
  <c r="AS1470" i="3"/>
  <c r="AS1471" i="3"/>
  <c r="AS1472" i="3"/>
  <c r="AS1473" i="3"/>
  <c r="AS1474" i="3"/>
  <c r="AS1475" i="3"/>
  <c r="AS1476" i="3"/>
  <c r="AS1477" i="3"/>
  <c r="AS1478" i="3"/>
  <c r="AS1479" i="3"/>
  <c r="AS1480" i="3"/>
  <c r="AS1481" i="3"/>
  <c r="AS1482" i="3"/>
  <c r="AS1483" i="3"/>
  <c r="AS1484" i="3"/>
  <c r="AS1485" i="3"/>
  <c r="AS1486" i="3"/>
  <c r="AS1487" i="3"/>
  <c r="AS1488" i="3"/>
  <c r="AS1489" i="3"/>
  <c r="AS1490" i="3"/>
  <c r="AS1491" i="3"/>
  <c r="AS1492" i="3"/>
  <c r="AS1493" i="3"/>
  <c r="AS1494" i="3"/>
  <c r="AS1495" i="3"/>
  <c r="AS1496" i="3"/>
  <c r="AS1497" i="3"/>
  <c r="AS1498" i="3"/>
  <c r="AS1499" i="3"/>
  <c r="AS1500" i="3"/>
  <c r="AS1501" i="3"/>
  <c r="AS1502" i="3"/>
  <c r="AS1503" i="3"/>
  <c r="AS1504" i="3"/>
  <c r="AS1505" i="3"/>
  <c r="AS1506" i="3"/>
  <c r="AS1507" i="3"/>
  <c r="AS1508" i="3"/>
  <c r="AS1509" i="3"/>
  <c r="AS1510" i="3"/>
  <c r="AS1511" i="3"/>
  <c r="AS1512" i="3"/>
  <c r="AS1513" i="3"/>
  <c r="AS1514" i="3"/>
  <c r="AS1515" i="3"/>
  <c r="AS1516" i="3"/>
  <c r="AS1517" i="3"/>
  <c r="AS1518" i="3"/>
  <c r="AS1519" i="3"/>
  <c r="AS1520" i="3"/>
  <c r="AS1521" i="3"/>
  <c r="AS1522" i="3"/>
  <c r="AS1523" i="3"/>
  <c r="AS1524" i="3"/>
  <c r="AS1525" i="3"/>
  <c r="AS1526" i="3"/>
  <c r="AS1527" i="3"/>
  <c r="AS1528" i="3"/>
  <c r="AS1529" i="3"/>
  <c r="AS1530" i="3"/>
  <c r="AS1531" i="3"/>
  <c r="AS1532" i="3"/>
  <c r="AS1533" i="3"/>
  <c r="AS1534" i="3"/>
  <c r="AS1535" i="3"/>
  <c r="AS1536" i="3"/>
  <c r="AS1537" i="3"/>
  <c r="AS1538" i="3"/>
  <c r="AS1539" i="3"/>
  <c r="AS1540" i="3"/>
  <c r="AS1541" i="3"/>
  <c r="AS1542" i="3"/>
  <c r="AS1543" i="3"/>
  <c r="AS1544" i="3"/>
  <c r="AS1545" i="3"/>
  <c r="AS1546" i="3"/>
  <c r="AS1547" i="3"/>
  <c r="AS1548" i="3"/>
  <c r="AS1549" i="3"/>
  <c r="AS1550" i="3"/>
  <c r="AS1551" i="3"/>
  <c r="AS1552" i="3"/>
  <c r="AS1553" i="3"/>
  <c r="AS1554" i="3"/>
  <c r="AS1555" i="3"/>
  <c r="AS1556" i="3"/>
  <c r="AS1557" i="3"/>
  <c r="AS1558" i="3"/>
  <c r="AS1559" i="3"/>
  <c r="AS1560" i="3"/>
  <c r="AS1561" i="3"/>
  <c r="AS1562" i="3"/>
  <c r="AS1563" i="3"/>
  <c r="AS1564" i="3"/>
  <c r="AS1565" i="3"/>
  <c r="AS1566" i="3"/>
  <c r="AS1567" i="3"/>
  <c r="AS1568" i="3"/>
  <c r="AS1569" i="3"/>
  <c r="AS1570" i="3"/>
  <c r="AS1571" i="3"/>
  <c r="AS1572" i="3"/>
  <c r="AS1573" i="3"/>
  <c r="AS1574" i="3"/>
  <c r="AS1575" i="3"/>
  <c r="AS1577" i="3"/>
  <c r="AS1578" i="3"/>
  <c r="AS1579" i="3"/>
  <c r="AS1580" i="3"/>
  <c r="AS1581" i="3"/>
  <c r="AS1582" i="3"/>
  <c r="AS1583" i="3"/>
  <c r="AS1584" i="3"/>
  <c r="AS1585" i="3"/>
  <c r="AS1586" i="3"/>
  <c r="AS1587" i="3"/>
  <c r="AS1588" i="3"/>
  <c r="AS1589" i="3"/>
  <c r="AS1590" i="3"/>
  <c r="AS1591" i="3"/>
  <c r="AS1592" i="3"/>
  <c r="AS1593" i="3"/>
  <c r="AS1594" i="3"/>
  <c r="AS1595" i="3"/>
  <c r="AS1596" i="3"/>
  <c r="AS1597" i="3"/>
  <c r="AS1598" i="3"/>
  <c r="AS1599" i="3"/>
  <c r="AS1600" i="3"/>
  <c r="AS1601" i="3"/>
  <c r="AS1602" i="3"/>
  <c r="AS1603" i="3"/>
  <c r="AS1604" i="3"/>
  <c r="AS1605" i="3"/>
  <c r="AS1606" i="3"/>
  <c r="AS1607" i="3"/>
  <c r="AS1608" i="3"/>
  <c r="AS1609" i="3"/>
  <c r="AS1610" i="3"/>
  <c r="AS1611" i="3"/>
  <c r="AS1612" i="3"/>
  <c r="AS1613" i="3"/>
  <c r="AS1614" i="3"/>
  <c r="AS1615" i="3"/>
  <c r="AS1616" i="3"/>
  <c r="AS1617" i="3"/>
  <c r="AS1618" i="3"/>
  <c r="AS1619" i="3"/>
  <c r="AS1620" i="3"/>
  <c r="AS1621" i="3"/>
  <c r="AS1622" i="3"/>
  <c r="AS1623" i="3"/>
  <c r="AS1624" i="3"/>
  <c r="AS1625" i="3"/>
  <c r="AS1626" i="3"/>
  <c r="AS1627" i="3"/>
  <c r="AS1628" i="3"/>
  <c r="AS1629" i="3"/>
  <c r="AS1630" i="3"/>
  <c r="AS1631" i="3"/>
  <c r="AS1632" i="3"/>
  <c r="AS1633" i="3"/>
  <c r="AS1634" i="3"/>
  <c r="AS1635" i="3"/>
  <c r="AS1636" i="3"/>
  <c r="AS1637" i="3"/>
  <c r="AS1638" i="3"/>
  <c r="AS1639" i="3"/>
  <c r="AS1640" i="3"/>
  <c r="AS1641" i="3"/>
  <c r="AS1642" i="3"/>
  <c r="AS1643" i="3"/>
  <c r="AS1644" i="3"/>
  <c r="AS1645" i="3"/>
  <c r="AS1646" i="3"/>
  <c r="AS1647" i="3"/>
  <c r="AS1648" i="3"/>
  <c r="AS1649" i="3"/>
  <c r="AS1650" i="3"/>
  <c r="AS1651" i="3"/>
  <c r="AS1652" i="3"/>
  <c r="AS1653" i="3"/>
  <c r="AS1654" i="3"/>
  <c r="AS1655" i="3"/>
  <c r="AS1656" i="3"/>
  <c r="AS1658" i="3"/>
  <c r="AS1660" i="3"/>
  <c r="AS1662" i="3"/>
  <c r="AS1664" i="3"/>
  <c r="AS1666" i="3"/>
  <c r="AS1668" i="3"/>
  <c r="AS1672" i="3"/>
  <c r="AS1674" i="3"/>
  <c r="AS1676" i="3"/>
  <c r="AS1678" i="3"/>
  <c r="AS1680" i="3"/>
  <c r="AS1682" i="3"/>
  <c r="AS1684" i="3"/>
  <c r="AS1686" i="3"/>
  <c r="AS1688" i="3"/>
  <c r="AS1690" i="3"/>
  <c r="AS1692" i="3"/>
  <c r="AS1694" i="3"/>
  <c r="AS1696" i="3"/>
  <c r="AS1698" i="3"/>
  <c r="AS1700" i="3"/>
  <c r="AS1702" i="3"/>
  <c r="AS1704" i="3"/>
  <c r="AS1706" i="3"/>
  <c r="AS1707" i="3"/>
  <c r="AS1708" i="3"/>
  <c r="AS1710" i="3"/>
  <c r="AS1711" i="3"/>
  <c r="AS1712" i="3"/>
  <c r="AS1713" i="3"/>
  <c r="AS1714" i="3"/>
  <c r="AS1715" i="3"/>
  <c r="AS1716" i="3"/>
  <c r="AS1717" i="3"/>
  <c r="AS1718" i="3"/>
  <c r="AS1719" i="3"/>
  <c r="AS1720" i="3"/>
  <c r="AS1721" i="3"/>
  <c r="AS1722" i="3"/>
  <c r="AS1723" i="3"/>
  <c r="AS1724" i="3"/>
  <c r="AS1725" i="3"/>
  <c r="AS1726" i="3"/>
  <c r="AS1727" i="3"/>
  <c r="AS1728" i="3"/>
  <c r="AS1729" i="3"/>
  <c r="AS1730" i="3"/>
  <c r="AS1731" i="3"/>
  <c r="AS1732" i="3"/>
  <c r="AS1733" i="3"/>
  <c r="AS1734" i="3"/>
  <c r="AS1735" i="3"/>
  <c r="AS1736" i="3"/>
  <c r="AS1737" i="3"/>
  <c r="AS1738" i="3"/>
  <c r="AS1739" i="3"/>
  <c r="AS1740" i="3"/>
  <c r="AS1741" i="3"/>
  <c r="AS1742" i="3"/>
  <c r="AS1743" i="3"/>
  <c r="AS1744" i="3"/>
  <c r="AS1745" i="3"/>
  <c r="AS1746" i="3"/>
  <c r="AS1747" i="3"/>
  <c r="AS1748" i="3"/>
  <c r="AS1749" i="3"/>
  <c r="AS1750" i="3"/>
  <c r="AS1751" i="3"/>
  <c r="AS1752" i="3"/>
  <c r="AS1753" i="3"/>
  <c r="AS1754" i="3"/>
  <c r="AS1755" i="3"/>
  <c r="AS1756" i="3"/>
  <c r="AS1757" i="3"/>
  <c r="AS1758" i="3"/>
  <c r="AS1759" i="3"/>
  <c r="AS1760" i="3"/>
  <c r="AS1761" i="3"/>
  <c r="AS1762" i="3"/>
  <c r="AS1763" i="3"/>
  <c r="AS1764" i="3"/>
  <c r="AS1765" i="3"/>
  <c r="AS1766" i="3"/>
  <c r="AS1767" i="3"/>
  <c r="AS1768" i="3"/>
  <c r="AS1769" i="3"/>
  <c r="AS1770" i="3"/>
  <c r="AS1771" i="3"/>
  <c r="AS1772" i="3"/>
  <c r="AS1773" i="3"/>
  <c r="AS1774" i="3"/>
  <c r="AS1775" i="3"/>
  <c r="AS1776" i="3"/>
  <c r="AS1777" i="3"/>
  <c r="AS1778" i="3"/>
  <c r="AS1779" i="3"/>
  <c r="AS1780" i="3"/>
  <c r="AS1781" i="3"/>
  <c r="AS1782" i="3"/>
  <c r="AS1783" i="3"/>
  <c r="AS1784" i="3"/>
  <c r="AS1785" i="3"/>
  <c r="AS1786" i="3"/>
  <c r="AS1787" i="3"/>
  <c r="AS1788" i="3"/>
  <c r="AS1789" i="3"/>
  <c r="AS1790" i="3"/>
  <c r="AS1791" i="3"/>
  <c r="AS1792" i="3"/>
  <c r="AS1793" i="3"/>
  <c r="AS1794" i="3"/>
  <c r="AS1795" i="3"/>
  <c r="AS1796" i="3"/>
  <c r="AS1797" i="3"/>
  <c r="AS1798" i="3"/>
  <c r="AS1799" i="3"/>
  <c r="AS1800" i="3"/>
  <c r="AS1801" i="3"/>
  <c r="AS1802" i="3"/>
  <c r="AS1803" i="3"/>
  <c r="AS1804" i="3"/>
  <c r="AS1805" i="3"/>
  <c r="AS1806" i="3"/>
  <c r="AS1807" i="3"/>
  <c r="AS1808" i="3"/>
  <c r="AS1809" i="3"/>
  <c r="AS1810" i="3"/>
  <c r="AS1811" i="3"/>
  <c r="AS1812" i="3"/>
  <c r="AS1813" i="3"/>
  <c r="AS1814" i="3"/>
  <c r="AS1815" i="3"/>
  <c r="AS1816" i="3"/>
  <c r="AS1817" i="3"/>
  <c r="AS1818" i="3"/>
  <c r="AS1819" i="3"/>
  <c r="AS1820" i="3"/>
  <c r="AS1821" i="3"/>
  <c r="AS1822" i="3"/>
  <c r="AS1823" i="3"/>
  <c r="AS1824" i="3"/>
  <c r="AS1825" i="3"/>
  <c r="AS1826" i="3"/>
  <c r="AS1827" i="3"/>
  <c r="AS1828" i="3"/>
  <c r="AS1829" i="3"/>
  <c r="AS1830" i="3"/>
  <c r="AS1831" i="3"/>
  <c r="AS1832" i="3"/>
  <c r="AS1833" i="3"/>
  <c r="AS1834" i="3"/>
  <c r="AS1835" i="3"/>
  <c r="AS1836" i="3"/>
  <c r="AS1837" i="3"/>
  <c r="AS1838" i="3"/>
  <c r="AS1839" i="3"/>
  <c r="AS1840" i="3"/>
  <c r="AS1841" i="3"/>
  <c r="AS1842" i="3"/>
  <c r="AS1843" i="3"/>
  <c r="AS1844" i="3"/>
  <c r="AS1845" i="3"/>
  <c r="AS1846" i="3"/>
  <c r="AS1847" i="3"/>
  <c r="AS1848" i="3"/>
  <c r="AS1849" i="3"/>
  <c r="AS1850" i="3"/>
  <c r="AS1851" i="3"/>
  <c r="AS1852" i="3"/>
  <c r="AS1853" i="3"/>
  <c r="AS1854" i="3"/>
  <c r="AS1855" i="3"/>
  <c r="AS1856" i="3"/>
  <c r="AS1857" i="3"/>
  <c r="AS1858" i="3"/>
  <c r="AS1859" i="3"/>
  <c r="AS1860" i="3"/>
  <c r="AS1861" i="3"/>
  <c r="AS1862" i="3"/>
  <c r="AS1863" i="3"/>
  <c r="AS1864" i="3"/>
  <c r="AS1865" i="3"/>
  <c r="AS1866" i="3"/>
  <c r="AS1867" i="3"/>
  <c r="AS1868" i="3"/>
  <c r="AS1869" i="3"/>
  <c r="AS1870" i="3"/>
  <c r="AS1871" i="3"/>
  <c r="AS1872" i="3"/>
  <c r="AS1873" i="3"/>
  <c r="AS1874" i="3"/>
  <c r="AS1875" i="3"/>
  <c r="AS1876" i="3"/>
  <c r="AS1877" i="3"/>
  <c r="AS1878" i="3"/>
  <c r="AS1879" i="3"/>
  <c r="AS1880" i="3"/>
  <c r="AS1881" i="3"/>
  <c r="AS1882" i="3"/>
  <c r="AS1883" i="3"/>
  <c r="AS1884" i="3"/>
  <c r="AS1885" i="3"/>
  <c r="AS1886" i="3"/>
  <c r="AS1887" i="3"/>
  <c r="AS1888" i="3"/>
  <c r="AS1889" i="3"/>
  <c r="AS1890" i="3"/>
  <c r="AS1891" i="3"/>
  <c r="AS1892" i="3"/>
  <c r="AS1893" i="3"/>
  <c r="AS1894" i="3"/>
  <c r="AS1895" i="3"/>
  <c r="AS1896" i="3"/>
  <c r="AS1897" i="3"/>
  <c r="AS1898" i="3"/>
  <c r="AS1899" i="3"/>
  <c r="AS1900" i="3"/>
  <c r="AS1901" i="3"/>
  <c r="AS1902" i="3"/>
  <c r="AS1903" i="3"/>
  <c r="AS1904" i="3"/>
  <c r="AS1905" i="3"/>
  <c r="AS1906" i="3"/>
  <c r="AS1907" i="3"/>
  <c r="AS1908" i="3"/>
  <c r="AS1909" i="3"/>
  <c r="AS1910" i="3"/>
  <c r="AS1911" i="3"/>
  <c r="AS1912" i="3"/>
  <c r="AS1913" i="3"/>
  <c r="AS1914" i="3"/>
  <c r="AS1915" i="3"/>
  <c r="AS1916" i="3"/>
  <c r="AS1917" i="3"/>
  <c r="AS1918" i="3"/>
  <c r="AS1919" i="3"/>
  <c r="AS1920" i="3"/>
  <c r="AS1921" i="3"/>
  <c r="AS1922" i="3"/>
  <c r="AS1923" i="3"/>
  <c r="AS1924" i="3"/>
  <c r="AS1925" i="3"/>
  <c r="AS1926" i="3"/>
  <c r="AS1927" i="3"/>
  <c r="AS1928" i="3"/>
  <c r="AS1929" i="3"/>
  <c r="AS1930" i="3"/>
  <c r="AS1931" i="3"/>
  <c r="AS1932" i="3"/>
  <c r="AS1933" i="3"/>
  <c r="AS1934" i="3"/>
  <c r="AS1935" i="3"/>
  <c r="AS1936" i="3"/>
  <c r="AS1937" i="3"/>
  <c r="AS1938" i="3"/>
  <c r="AS1939" i="3"/>
  <c r="AS1940" i="3"/>
  <c r="AS1941" i="3"/>
  <c r="AS1942" i="3"/>
  <c r="AS1943" i="3"/>
  <c r="AS1944" i="3"/>
  <c r="AS1945" i="3"/>
  <c r="AS1946" i="3"/>
  <c r="AS1947" i="3"/>
  <c r="AS1948" i="3"/>
  <c r="AS1949" i="3"/>
  <c r="AS1950" i="3"/>
  <c r="AS1951" i="3"/>
  <c r="AS1952" i="3"/>
  <c r="AS1953" i="3"/>
  <c r="AS1954" i="3"/>
  <c r="AS1955" i="3"/>
  <c r="AS1956" i="3"/>
  <c r="AS1957" i="3"/>
  <c r="AS1958" i="3"/>
  <c r="AS1959" i="3"/>
  <c r="AS1960" i="3"/>
  <c r="AS1961" i="3"/>
  <c r="AS1962" i="3"/>
  <c r="AS1963" i="3"/>
  <c r="AS1964" i="3"/>
  <c r="AS1965" i="3"/>
  <c r="AS1966" i="3"/>
  <c r="AS1967" i="3"/>
  <c r="AS1968" i="3"/>
  <c r="AS1969" i="3"/>
  <c r="AS1970" i="3"/>
  <c r="AS1971" i="3"/>
  <c r="AS1972" i="3"/>
  <c r="AS1973" i="3"/>
  <c r="AS1974" i="3"/>
  <c r="AS1975" i="3"/>
  <c r="AS1976" i="3"/>
  <c r="AS1977" i="3"/>
  <c r="AS1978" i="3"/>
  <c r="AS1979" i="3"/>
  <c r="AS1980" i="3"/>
  <c r="AS1981" i="3"/>
  <c r="AS1982" i="3"/>
  <c r="AS1983" i="3"/>
  <c r="AS1984" i="3"/>
  <c r="AS1985" i="3"/>
  <c r="AS1986" i="3"/>
  <c r="AS1987" i="3"/>
  <c r="AS1988" i="3"/>
  <c r="AS1989" i="3"/>
  <c r="AS1990" i="3"/>
  <c r="AS1991" i="3"/>
  <c r="AS1992" i="3"/>
  <c r="AS1993" i="3"/>
  <c r="AS1994" i="3"/>
  <c r="AS1995" i="3"/>
  <c r="AS2" i="3"/>
  <c r="F778" i="7"/>
  <c r="AR1995" i="3"/>
  <c r="AJ1995" i="3"/>
  <c r="AF1995" i="3"/>
  <c r="U1995" i="3"/>
  <c r="W1995" i="3" s="1"/>
  <c r="R1995" i="3"/>
  <c r="O1995" i="3"/>
  <c r="AJ1994" i="3"/>
  <c r="AF1994" i="3"/>
  <c r="U1994" i="3"/>
  <c r="R1994" i="3"/>
  <c r="O1994" i="3"/>
  <c r="AJ1993" i="3"/>
  <c r="AF1993" i="3"/>
  <c r="U1993" i="3"/>
  <c r="O1993" i="3"/>
  <c r="F1995" i="3"/>
  <c r="G1995" i="3" s="1"/>
  <c r="F1994" i="3"/>
  <c r="G1994" i="3" s="1"/>
  <c r="F1993" i="3"/>
  <c r="G1993" i="3" s="1"/>
  <c r="F777" i="7"/>
  <c r="U1990" i="3" s="1"/>
  <c r="F760" i="7"/>
  <c r="AJ1992" i="3"/>
  <c r="AF1992" i="3"/>
  <c r="U1992" i="3"/>
  <c r="W1992" i="3" s="1"/>
  <c r="R1992" i="3"/>
  <c r="O1992" i="3"/>
  <c r="AJ1991" i="3"/>
  <c r="AF1991" i="3"/>
  <c r="U1991" i="3"/>
  <c r="W1991" i="3" s="1"/>
  <c r="R1991" i="3"/>
  <c r="O1991" i="3"/>
  <c r="AJ1990" i="3"/>
  <c r="AF1990" i="3"/>
  <c r="O1990" i="3"/>
  <c r="F1992" i="3"/>
  <c r="G1992" i="3" s="1"/>
  <c r="F1991" i="3"/>
  <c r="G1991" i="3" s="1"/>
  <c r="F1990" i="3"/>
  <c r="G1990" i="3" s="1"/>
  <c r="V396" i="8"/>
  <c r="U396" i="8"/>
  <c r="R1990" i="3" s="1"/>
  <c r="C422" i="5"/>
  <c r="I1996" i="3" l="1"/>
  <c r="I1997" i="3"/>
  <c r="I1998" i="3"/>
  <c r="X1997" i="3"/>
  <c r="Y1997" i="3" s="1"/>
  <c r="AQ1998" i="3"/>
  <c r="V1996" i="3"/>
  <c r="V1997" i="3"/>
  <c r="V1998" i="3"/>
  <c r="X1998" i="3"/>
  <c r="Y1998" i="3" s="1"/>
  <c r="AC1997" i="3"/>
  <c r="AD1997" i="3" s="1"/>
  <c r="AC1998" i="3"/>
  <c r="AD1998" i="3" s="1"/>
  <c r="S1997" i="3"/>
  <c r="T1997" i="3"/>
  <c r="S1998" i="3"/>
  <c r="T1998" i="3"/>
  <c r="AQ1997" i="3"/>
  <c r="AR1993" i="3"/>
  <c r="AC1994" i="3"/>
  <c r="I1992" i="3"/>
  <c r="K1992" i="3" s="1"/>
  <c r="L1992" i="3" s="1"/>
  <c r="I1993" i="3"/>
  <c r="K1993" i="3" s="1"/>
  <c r="L1993" i="3" s="1"/>
  <c r="AR1994" i="3"/>
  <c r="I1995" i="3"/>
  <c r="N1995" i="3" s="1"/>
  <c r="AA1995" i="3" s="1"/>
  <c r="I1991" i="3"/>
  <c r="N1991" i="3" s="1"/>
  <c r="I1994" i="3"/>
  <c r="AR1991" i="3"/>
  <c r="W1994" i="3"/>
  <c r="W1993" i="3"/>
  <c r="T1994" i="3"/>
  <c r="AC1995" i="3"/>
  <c r="AQ1994" i="3"/>
  <c r="T1995" i="3"/>
  <c r="AQ1995" i="3"/>
  <c r="AR1992" i="3"/>
  <c r="I1990" i="3"/>
  <c r="M1990" i="3" s="1" a="1"/>
  <c r="M1990" i="3" s="1"/>
  <c r="N1990" i="3" s="1"/>
  <c r="T1990" i="3"/>
  <c r="AR1990" i="3"/>
  <c r="AC1991" i="3"/>
  <c r="AC1992" i="3"/>
  <c r="W1990" i="3"/>
  <c r="AC1990" i="3"/>
  <c r="AQ1990" i="3"/>
  <c r="T1991" i="3"/>
  <c r="AQ1991" i="3"/>
  <c r="T1992" i="3"/>
  <c r="AQ1992" i="3"/>
  <c r="M1998" i="3" l="1" a="1"/>
  <c r="M1998" i="3" s="1"/>
  <c r="K1998" i="3"/>
  <c r="L1998" i="3" s="1"/>
  <c r="N1998" i="3"/>
  <c r="N1997" i="3"/>
  <c r="M1997" i="3" a="1"/>
  <c r="M1997" i="3" s="1"/>
  <c r="K1997" i="3"/>
  <c r="L1997" i="3" s="1"/>
  <c r="K1996" i="3"/>
  <c r="L1996" i="3" s="1"/>
  <c r="M1991" i="3" a="1"/>
  <c r="M1991" i="3" s="1"/>
  <c r="M1995" i="3" a="1"/>
  <c r="M1995" i="3" s="1"/>
  <c r="N1992" i="3"/>
  <c r="AA1992" i="3" s="1"/>
  <c r="AH1992" i="3" s="1"/>
  <c r="M1992" i="3" a="1"/>
  <c r="M1992" i="3" s="1"/>
  <c r="K1991" i="3"/>
  <c r="L1991" i="3" s="1"/>
  <c r="AG1991" i="3"/>
  <c r="K1995" i="3"/>
  <c r="L1995" i="3" s="1"/>
  <c r="AA1991" i="3"/>
  <c r="AH1995" i="3"/>
  <c r="AG1995" i="3"/>
  <c r="M1994" i="3" a="1"/>
  <c r="M1994" i="3" s="1"/>
  <c r="K1994" i="3"/>
  <c r="L1994" i="3" s="1"/>
  <c r="N1994" i="3"/>
  <c r="AA1990" i="3"/>
  <c r="AH1990" i="3" s="1"/>
  <c r="AG1990" i="3"/>
  <c r="K1990" i="3"/>
  <c r="L1990" i="3" s="1"/>
  <c r="AG1992" i="3" l="1"/>
  <c r="AG1997" i="3"/>
  <c r="AA1997" i="3"/>
  <c r="AA1998" i="3"/>
  <c r="AG1998" i="3"/>
  <c r="AH1991" i="3"/>
  <c r="AA1994" i="3"/>
  <c r="AG1994" i="3"/>
  <c r="AH1998" i="3" l="1"/>
  <c r="AH1997" i="3"/>
  <c r="AH1994" i="3"/>
  <c r="AJ1989" i="3"/>
  <c r="AF1989" i="3"/>
  <c r="U1989" i="3"/>
  <c r="W1989" i="3" s="1"/>
  <c r="R1989" i="3"/>
  <c r="O1989" i="3"/>
  <c r="AJ1988" i="3"/>
  <c r="AF1988" i="3"/>
  <c r="U1988" i="3"/>
  <c r="R1988" i="3"/>
  <c r="O1988" i="3"/>
  <c r="AJ1987" i="3"/>
  <c r="AF1987" i="3"/>
  <c r="U1987" i="3"/>
  <c r="W1987" i="3" s="1"/>
  <c r="O1987" i="3"/>
  <c r="AJ1986" i="3"/>
  <c r="AF1986" i="3"/>
  <c r="U1986" i="3"/>
  <c r="O1986" i="3"/>
  <c r="AJ1985" i="3"/>
  <c r="AF1985" i="3"/>
  <c r="U1985" i="3"/>
  <c r="W1985" i="3" s="1"/>
  <c r="O1985" i="3"/>
  <c r="F1985" i="3"/>
  <c r="G1985" i="3" s="1"/>
  <c r="F1986" i="3"/>
  <c r="I1986" i="3" s="1"/>
  <c r="F1987" i="3"/>
  <c r="I1987" i="3" s="1"/>
  <c r="K1987" i="3" s="1"/>
  <c r="L1987" i="3" s="1"/>
  <c r="F1988" i="3"/>
  <c r="I1988" i="3" s="1"/>
  <c r="N1988" i="3" s="1"/>
  <c r="AA1988" i="3" s="1"/>
  <c r="F1989" i="3"/>
  <c r="G1989" i="3" s="1"/>
  <c r="F776" i="7"/>
  <c r="AR1985" i="3" l="1"/>
  <c r="I1985" i="3"/>
  <c r="K1985" i="3" s="1"/>
  <c r="L1985" i="3" s="1"/>
  <c r="G1986" i="3"/>
  <c r="AR1988" i="3"/>
  <c r="K1988" i="3"/>
  <c r="L1988" i="3" s="1"/>
  <c r="G1988" i="3"/>
  <c r="M1988" i="3" a="1"/>
  <c r="M1988" i="3" s="1"/>
  <c r="K1986" i="3"/>
  <c r="L1986" i="3" s="1"/>
  <c r="AC1988" i="3"/>
  <c r="AR1989" i="3"/>
  <c r="AH1988" i="3"/>
  <c r="W1986" i="3"/>
  <c r="AG1988" i="3"/>
  <c r="AC1989" i="3"/>
  <c r="T1988" i="3"/>
  <c r="W1988" i="3"/>
  <c r="AQ1988" i="3"/>
  <c r="T1989" i="3"/>
  <c r="AQ1989" i="3"/>
  <c r="I1989" i="3"/>
  <c r="G1987" i="3"/>
  <c r="K1989" i="3" l="1"/>
  <c r="L1989" i="3" s="1"/>
  <c r="N1989" i="3"/>
  <c r="M1989" i="3" a="1"/>
  <c r="M1989" i="3" s="1"/>
  <c r="AA1989" i="3" l="1"/>
  <c r="AG1989" i="3"/>
  <c r="F775" i="7"/>
  <c r="AJ1984" i="3"/>
  <c r="AF1984" i="3"/>
  <c r="U1984" i="3"/>
  <c r="W1984" i="3" s="1"/>
  <c r="R1984" i="3"/>
  <c r="O1984" i="3"/>
  <c r="F1984" i="3"/>
  <c r="AR1984" i="3" s="1"/>
  <c r="AJ1983" i="3"/>
  <c r="AF1983" i="3"/>
  <c r="U1983" i="3"/>
  <c r="R1983" i="3"/>
  <c r="T1983" i="3" s="1"/>
  <c r="O1983" i="3"/>
  <c r="F1983" i="3"/>
  <c r="I1983" i="3" s="1"/>
  <c r="AJ1982" i="3"/>
  <c r="AK1982" i="3" s="1"/>
  <c r="AE1982" i="3"/>
  <c r="U1982" i="3"/>
  <c r="O1982" i="3"/>
  <c r="F1982" i="3"/>
  <c r="AJ1981" i="3"/>
  <c r="AK1981" i="3" s="1"/>
  <c r="AE1981" i="3"/>
  <c r="U1981" i="3"/>
  <c r="O1981" i="3"/>
  <c r="F1981" i="3"/>
  <c r="G1981" i="3" s="1"/>
  <c r="AJ1980" i="3"/>
  <c r="AK1980" i="3" s="1"/>
  <c r="AE1980" i="3"/>
  <c r="U1980" i="3"/>
  <c r="W1980" i="3" s="1"/>
  <c r="O1980" i="3"/>
  <c r="F1980" i="3"/>
  <c r="AR1980" i="3" s="1"/>
  <c r="AJ1979" i="3"/>
  <c r="AF1979" i="3"/>
  <c r="U1979" i="3"/>
  <c r="W1979" i="3" s="1"/>
  <c r="R1979" i="3"/>
  <c r="O1979" i="3"/>
  <c r="F1979" i="3"/>
  <c r="AR1979" i="3" s="1"/>
  <c r="AJ1978" i="3"/>
  <c r="AF1978" i="3"/>
  <c r="U1978" i="3"/>
  <c r="R1978" i="3"/>
  <c r="O1978" i="3"/>
  <c r="F1978" i="3"/>
  <c r="I1978" i="3" s="1"/>
  <c r="AJ1977" i="3"/>
  <c r="AK1977" i="3" s="1"/>
  <c r="AE1977" i="3"/>
  <c r="AF1977" i="3" s="1"/>
  <c r="U1977" i="3"/>
  <c r="R1977" i="3"/>
  <c r="T1977" i="3" s="1"/>
  <c r="O1977" i="3"/>
  <c r="F1977" i="3"/>
  <c r="AR1977" i="3" s="1"/>
  <c r="AJ1976" i="3"/>
  <c r="AK1976" i="3" s="1"/>
  <c r="AE1976" i="3"/>
  <c r="O1976" i="3"/>
  <c r="F1976" i="3"/>
  <c r="I1976" i="3" s="1"/>
  <c r="AJ1975" i="3"/>
  <c r="AF1975" i="3"/>
  <c r="U1975" i="3"/>
  <c r="W1975" i="3" s="1"/>
  <c r="R1975" i="3"/>
  <c r="O1975" i="3"/>
  <c r="F1975" i="3"/>
  <c r="AR1975" i="3" s="1"/>
  <c r="AJ1974" i="3"/>
  <c r="AF1974" i="3"/>
  <c r="U1974" i="3"/>
  <c r="R1974" i="3"/>
  <c r="O1974" i="3"/>
  <c r="F1974" i="3"/>
  <c r="AR1974" i="3" s="1"/>
  <c r="AJ1973" i="3"/>
  <c r="AK1973" i="3" s="1"/>
  <c r="AE1973" i="3"/>
  <c r="AF1973" i="3" s="1"/>
  <c r="U1973" i="3"/>
  <c r="R1973" i="3"/>
  <c r="O1973" i="3"/>
  <c r="F1973" i="3"/>
  <c r="I1973" i="3" s="1"/>
  <c r="AJ1972" i="3"/>
  <c r="AK1972" i="3" s="1"/>
  <c r="AE1972" i="3"/>
  <c r="U1972" i="3"/>
  <c r="O1972" i="3"/>
  <c r="F1972" i="3"/>
  <c r="I1972" i="3" s="1"/>
  <c r="AJ1971" i="3"/>
  <c r="AK1971" i="3" s="1"/>
  <c r="AE1971" i="3"/>
  <c r="U1971" i="3"/>
  <c r="O1971" i="3"/>
  <c r="F1971" i="3"/>
  <c r="G1971" i="3" s="1"/>
  <c r="AJ1970" i="3"/>
  <c r="AK1970" i="3" s="1"/>
  <c r="AE1970" i="3"/>
  <c r="U1970" i="3"/>
  <c r="O1970" i="3"/>
  <c r="F1970" i="3"/>
  <c r="I1970" i="3" s="1"/>
  <c r="AJ1969" i="3"/>
  <c r="AK1969" i="3" s="1"/>
  <c r="AE1969" i="3"/>
  <c r="U1969" i="3"/>
  <c r="W1969" i="3" s="1"/>
  <c r="O1969" i="3"/>
  <c r="F1969" i="3"/>
  <c r="I1969" i="3" s="1"/>
  <c r="AJ1968" i="3"/>
  <c r="AK1968" i="3" s="1"/>
  <c r="AE1968" i="3"/>
  <c r="U1968" i="3"/>
  <c r="O1968" i="3"/>
  <c r="F1968" i="3"/>
  <c r="I1968" i="3" s="1"/>
  <c r="AJ1967" i="3"/>
  <c r="AK1967" i="3" s="1"/>
  <c r="AE1967" i="3"/>
  <c r="U1967" i="3"/>
  <c r="O1967" i="3"/>
  <c r="F1967" i="3"/>
  <c r="I1967" i="3" s="1"/>
  <c r="AJ1966" i="3"/>
  <c r="AK1966" i="3" s="1"/>
  <c r="AE1966" i="3"/>
  <c r="O1966" i="3"/>
  <c r="F1966" i="3"/>
  <c r="I1966" i="3" s="1"/>
  <c r="F774" i="7"/>
  <c r="U1976" i="3" s="1"/>
  <c r="F773" i="7"/>
  <c r="U1966" i="3" s="1"/>
  <c r="AQ1978" i="3" l="1"/>
  <c r="I1981" i="3"/>
  <c r="AR1976" i="3"/>
  <c r="AQ1983" i="3"/>
  <c r="AH1989" i="3"/>
  <c r="W1982" i="3"/>
  <c r="G1984" i="3"/>
  <c r="I1984" i="3"/>
  <c r="K1984" i="3" s="1"/>
  <c r="L1984" i="3" s="1"/>
  <c r="AC1984" i="3"/>
  <c r="N1983" i="3"/>
  <c r="K1983" i="3"/>
  <c r="L1983" i="3" s="1"/>
  <c r="M1983" i="3" a="1"/>
  <c r="M1983" i="3" s="1"/>
  <c r="G1982" i="3"/>
  <c r="AR1983" i="3"/>
  <c r="I1982" i="3"/>
  <c r="G1983" i="3"/>
  <c r="W1981" i="3"/>
  <c r="G1980" i="3"/>
  <c r="I1980" i="3"/>
  <c r="T1984" i="3"/>
  <c r="AC1983" i="3"/>
  <c r="AQ1984" i="3"/>
  <c r="W1983" i="3"/>
  <c r="W1977" i="3"/>
  <c r="AQ1973" i="3"/>
  <c r="AR1978" i="3"/>
  <c r="G1970" i="3"/>
  <c r="AC1974" i="3"/>
  <c r="AC1979" i="3"/>
  <c r="AC1978" i="3"/>
  <c r="W1978" i="3"/>
  <c r="W1976" i="3"/>
  <c r="M1978" i="3" a="1"/>
  <c r="M1978" i="3" s="1"/>
  <c r="N1978" i="3"/>
  <c r="K1978" i="3"/>
  <c r="L1978" i="3" s="1"/>
  <c r="K1976" i="3"/>
  <c r="L1976" i="3" s="1"/>
  <c r="AC1977" i="3"/>
  <c r="G1978" i="3"/>
  <c r="T1978" i="3"/>
  <c r="I1977" i="3"/>
  <c r="G1979" i="3"/>
  <c r="T1979" i="3"/>
  <c r="I1979" i="3"/>
  <c r="G1976" i="3"/>
  <c r="AQ1977" i="3"/>
  <c r="AQ1979" i="3"/>
  <c r="G1977" i="3"/>
  <c r="AR1970" i="3"/>
  <c r="AR1966" i="3"/>
  <c r="AR1973" i="3"/>
  <c r="G1973" i="3"/>
  <c r="G1967" i="3"/>
  <c r="AR1969" i="3"/>
  <c r="AR1967" i="3"/>
  <c r="AR1972" i="3"/>
  <c r="W1972" i="3"/>
  <c r="W1973" i="3"/>
  <c r="W1970" i="3"/>
  <c r="W1967" i="3"/>
  <c r="W1966" i="3"/>
  <c r="K1968" i="3"/>
  <c r="L1968" i="3" s="1"/>
  <c r="K1966" i="3"/>
  <c r="L1966" i="3" s="1"/>
  <c r="K1967" i="3"/>
  <c r="L1967" i="3" s="1"/>
  <c r="K1972" i="3"/>
  <c r="L1972" i="3" s="1"/>
  <c r="K1973" i="3"/>
  <c r="L1973" i="3" s="1"/>
  <c r="K1970" i="3"/>
  <c r="L1970" i="3" s="1"/>
  <c r="K1969" i="3"/>
  <c r="L1969" i="3" s="1"/>
  <c r="G1968" i="3"/>
  <c r="AC1973" i="3"/>
  <c r="G1974" i="3"/>
  <c r="T1974" i="3"/>
  <c r="I1971" i="3"/>
  <c r="I1974" i="3"/>
  <c r="AC1975" i="3"/>
  <c r="W1968" i="3"/>
  <c r="W1971" i="3"/>
  <c r="W1974" i="3"/>
  <c r="AQ1974" i="3"/>
  <c r="T1973" i="3"/>
  <c r="AR1968" i="3"/>
  <c r="AR1971" i="3"/>
  <c r="G1975" i="3"/>
  <c r="T1975" i="3"/>
  <c r="I1975" i="3"/>
  <c r="G1966" i="3"/>
  <c r="G1969" i="3"/>
  <c r="G1972" i="3"/>
  <c r="AQ1975" i="3"/>
  <c r="F772" i="7"/>
  <c r="U1961" i="3" s="1"/>
  <c r="W1961" i="3" s="1"/>
  <c r="AJ1965" i="3"/>
  <c r="AF1965" i="3"/>
  <c r="U1965" i="3"/>
  <c r="W1965" i="3" s="1"/>
  <c r="R1965" i="3"/>
  <c r="O1965" i="3"/>
  <c r="AJ1964" i="3"/>
  <c r="AF1964" i="3"/>
  <c r="U1964" i="3"/>
  <c r="W1964" i="3" s="1"/>
  <c r="R1964" i="3"/>
  <c r="T1964" i="3" s="1"/>
  <c r="O1964" i="3"/>
  <c r="AJ1963" i="3"/>
  <c r="AF1963" i="3"/>
  <c r="U1963" i="3"/>
  <c r="W1963" i="3" s="1"/>
  <c r="O1963" i="3"/>
  <c r="AJ1962" i="3"/>
  <c r="AF1962" i="3"/>
  <c r="U1962" i="3"/>
  <c r="W1962" i="3" s="1"/>
  <c r="O1962" i="3"/>
  <c r="AJ1961" i="3"/>
  <c r="AF1961" i="3"/>
  <c r="O1961" i="3"/>
  <c r="F1961" i="3"/>
  <c r="G1961" i="3" s="1"/>
  <c r="F1962" i="3"/>
  <c r="G1962" i="3" s="1"/>
  <c r="F1963" i="3"/>
  <c r="G1963" i="3" s="1"/>
  <c r="F1964" i="3"/>
  <c r="G1964" i="3" s="1"/>
  <c r="F1965" i="3"/>
  <c r="G1965" i="3" s="1"/>
  <c r="U1925" i="3"/>
  <c r="W1925" i="3" s="1"/>
  <c r="AJ1960" i="3"/>
  <c r="AF1960" i="3"/>
  <c r="U1960" i="3"/>
  <c r="W1960" i="3" s="1"/>
  <c r="R1960" i="3"/>
  <c r="O1960" i="3"/>
  <c r="F1960" i="3"/>
  <c r="AR1960" i="3" s="1"/>
  <c r="AJ1959" i="3"/>
  <c r="AK1959" i="3" s="1"/>
  <c r="AE1959" i="3"/>
  <c r="U1959" i="3"/>
  <c r="O1959" i="3"/>
  <c r="F1959" i="3"/>
  <c r="G1959" i="3" s="1"/>
  <c r="AJ1958" i="3"/>
  <c r="AK1958" i="3" s="1"/>
  <c r="AF1958" i="3"/>
  <c r="U1958" i="3"/>
  <c r="W1958" i="3" s="1"/>
  <c r="O1958" i="3"/>
  <c r="F1958" i="3"/>
  <c r="AR1958" i="3" s="1"/>
  <c r="AJ1957" i="3"/>
  <c r="AK1957" i="3" s="1"/>
  <c r="AF1957" i="3"/>
  <c r="U1957" i="3"/>
  <c r="W1957" i="3" s="1"/>
  <c r="O1957" i="3"/>
  <c r="F1957" i="3"/>
  <c r="G1957" i="3" s="1"/>
  <c r="AJ1956" i="3"/>
  <c r="AK1956" i="3" s="1"/>
  <c r="AE1956" i="3"/>
  <c r="U1956" i="3"/>
  <c r="O1956" i="3"/>
  <c r="F1956" i="3"/>
  <c r="I1956" i="3" s="1"/>
  <c r="AJ1955" i="3"/>
  <c r="AK1955" i="3" s="1"/>
  <c r="AF1955" i="3"/>
  <c r="U1955" i="3"/>
  <c r="W1955" i="3" s="1"/>
  <c r="O1955" i="3"/>
  <c r="F1955" i="3"/>
  <c r="AR1955" i="3" s="1"/>
  <c r="AJ1954" i="3"/>
  <c r="AK1954" i="3" s="1"/>
  <c r="AF1954" i="3"/>
  <c r="U1954" i="3"/>
  <c r="O1954" i="3"/>
  <c r="F1954" i="3"/>
  <c r="G1954" i="3" s="1"/>
  <c r="AJ1953" i="3"/>
  <c r="AK1953" i="3" s="1"/>
  <c r="AF1953" i="3"/>
  <c r="O1953" i="3"/>
  <c r="F1953" i="3"/>
  <c r="AR1953" i="3" s="1"/>
  <c r="AJ1952" i="3"/>
  <c r="AF1952" i="3"/>
  <c r="U1952" i="3"/>
  <c r="W1952" i="3" s="1"/>
  <c r="R1952" i="3"/>
  <c r="O1952" i="3"/>
  <c r="F1952" i="3"/>
  <c r="AR1952" i="3" s="1"/>
  <c r="AJ1951" i="3"/>
  <c r="AF1951" i="3"/>
  <c r="U1951" i="3"/>
  <c r="W1951" i="3" s="1"/>
  <c r="R1951" i="3"/>
  <c r="O1951" i="3"/>
  <c r="F1951" i="3"/>
  <c r="AR1951" i="3" s="1"/>
  <c r="AJ1950" i="3"/>
  <c r="AK1950" i="3" s="1"/>
  <c r="AF1950" i="3"/>
  <c r="O1950" i="3"/>
  <c r="F1950" i="3"/>
  <c r="AR1950" i="3" s="1"/>
  <c r="AJ1949" i="3"/>
  <c r="AF1949" i="3"/>
  <c r="U1949" i="3"/>
  <c r="W1949" i="3" s="1"/>
  <c r="R1949" i="3"/>
  <c r="O1949" i="3"/>
  <c r="F1949" i="3"/>
  <c r="AR1949" i="3" s="1"/>
  <c r="AJ1948" i="3"/>
  <c r="AF1948" i="3"/>
  <c r="U1948" i="3"/>
  <c r="W1948" i="3" s="1"/>
  <c r="R1948" i="3"/>
  <c r="T1948" i="3" s="1"/>
  <c r="O1948" i="3"/>
  <c r="F1948" i="3"/>
  <c r="I1948" i="3" s="1"/>
  <c r="AJ1947" i="3"/>
  <c r="AE1947" i="3"/>
  <c r="AF1947" i="3" s="1"/>
  <c r="O1947" i="3"/>
  <c r="F1947" i="3"/>
  <c r="AR1947" i="3" s="1"/>
  <c r="AJ1946" i="3"/>
  <c r="AF1946" i="3"/>
  <c r="U1946" i="3"/>
  <c r="W1946" i="3" s="1"/>
  <c r="R1946" i="3"/>
  <c r="O1946" i="3"/>
  <c r="F1946" i="3"/>
  <c r="AR1946" i="3" s="1"/>
  <c r="AJ1945" i="3"/>
  <c r="AF1945" i="3"/>
  <c r="U1945" i="3"/>
  <c r="W1945" i="3" s="1"/>
  <c r="R1945" i="3"/>
  <c r="O1945" i="3"/>
  <c r="F1945" i="3"/>
  <c r="I1945" i="3" s="1"/>
  <c r="AJ1944" i="3"/>
  <c r="AK1944" i="3" s="1"/>
  <c r="AF1944" i="3"/>
  <c r="O1944" i="3"/>
  <c r="F1944" i="3"/>
  <c r="AR1944" i="3" s="1"/>
  <c r="AJ1943" i="3"/>
  <c r="AF1943" i="3"/>
  <c r="U1943" i="3"/>
  <c r="W1943" i="3" s="1"/>
  <c r="R1943" i="3"/>
  <c r="O1943" i="3"/>
  <c r="F1943" i="3"/>
  <c r="AR1943" i="3" s="1"/>
  <c r="AJ1942" i="3"/>
  <c r="AF1942" i="3"/>
  <c r="U1942" i="3"/>
  <c r="W1942" i="3" s="1"/>
  <c r="R1942" i="3"/>
  <c r="O1942" i="3"/>
  <c r="F1942" i="3"/>
  <c r="AR1942" i="3" s="1"/>
  <c r="AJ1941" i="3"/>
  <c r="AK1941" i="3" s="1"/>
  <c r="AE1941" i="3"/>
  <c r="O1941" i="3"/>
  <c r="F1941" i="3"/>
  <c r="AR1941" i="3" s="1"/>
  <c r="AJ1940" i="3"/>
  <c r="AF1940" i="3"/>
  <c r="U1940" i="3"/>
  <c r="W1940" i="3" s="1"/>
  <c r="R1940" i="3"/>
  <c r="O1940" i="3"/>
  <c r="F1940" i="3"/>
  <c r="AR1940" i="3" s="1"/>
  <c r="AJ1939" i="3"/>
  <c r="AF1939" i="3"/>
  <c r="U1939" i="3"/>
  <c r="W1939" i="3" s="1"/>
  <c r="R1939" i="3"/>
  <c r="T1939" i="3" s="1"/>
  <c r="O1939" i="3"/>
  <c r="F1939" i="3"/>
  <c r="AR1939" i="3" s="1"/>
  <c r="AJ1938" i="3"/>
  <c r="AK1938" i="3" s="1"/>
  <c r="AE1938" i="3"/>
  <c r="O1938" i="3"/>
  <c r="F1938" i="3"/>
  <c r="I1938" i="3" s="1"/>
  <c r="AJ1937" i="3"/>
  <c r="AF1937" i="3"/>
  <c r="U1937" i="3"/>
  <c r="W1937" i="3" s="1"/>
  <c r="R1937" i="3"/>
  <c r="O1937" i="3"/>
  <c r="F1937" i="3"/>
  <c r="AR1937" i="3" s="1"/>
  <c r="AJ1936" i="3"/>
  <c r="AF1936" i="3"/>
  <c r="U1936" i="3"/>
  <c r="W1936" i="3" s="1"/>
  <c r="R1936" i="3"/>
  <c r="T1936" i="3" s="1"/>
  <c r="O1936" i="3"/>
  <c r="F1936" i="3"/>
  <c r="AR1936" i="3" s="1"/>
  <c r="AJ1935" i="3"/>
  <c r="AK1935" i="3" s="1"/>
  <c r="AE1935" i="3"/>
  <c r="O1935" i="3"/>
  <c r="F1935" i="3"/>
  <c r="I1935" i="3" s="1"/>
  <c r="AJ1934" i="3"/>
  <c r="AF1934" i="3"/>
  <c r="U1934" i="3"/>
  <c r="R1934" i="3"/>
  <c r="O1934" i="3"/>
  <c r="F1934" i="3"/>
  <c r="AR1934" i="3" s="1"/>
  <c r="AJ1933" i="3"/>
  <c r="AF1933" i="3"/>
  <c r="U1933" i="3"/>
  <c r="W1933" i="3" s="1"/>
  <c r="R1933" i="3"/>
  <c r="O1933" i="3"/>
  <c r="F1933" i="3"/>
  <c r="I1933" i="3" s="1"/>
  <c r="AJ1932" i="3"/>
  <c r="AK1932" i="3" s="1"/>
  <c r="AE1932" i="3"/>
  <c r="U1932" i="3"/>
  <c r="W1932" i="3" s="1"/>
  <c r="O1932" i="3"/>
  <c r="F1932" i="3"/>
  <c r="I1932" i="3" s="1"/>
  <c r="AJ1931" i="3"/>
  <c r="AK1931" i="3" s="1"/>
  <c r="AE1931" i="3"/>
  <c r="O1931" i="3"/>
  <c r="F1931" i="3"/>
  <c r="I1931" i="3" s="1"/>
  <c r="AJ1930" i="3"/>
  <c r="AF1930" i="3"/>
  <c r="U1930" i="3"/>
  <c r="W1930" i="3" s="1"/>
  <c r="R1930" i="3"/>
  <c r="O1930" i="3"/>
  <c r="F1930" i="3"/>
  <c r="AR1930" i="3" s="1"/>
  <c r="AJ1929" i="3"/>
  <c r="AF1929" i="3"/>
  <c r="U1929" i="3"/>
  <c r="W1929" i="3" s="1"/>
  <c r="R1929" i="3"/>
  <c r="O1929" i="3"/>
  <c r="F1929" i="3"/>
  <c r="AR1929" i="3" s="1"/>
  <c r="AJ1928" i="3"/>
  <c r="AK1928" i="3" s="1"/>
  <c r="AE1928" i="3"/>
  <c r="O1928" i="3"/>
  <c r="F1928" i="3"/>
  <c r="AJ1927" i="3"/>
  <c r="AF1927" i="3"/>
  <c r="U1927" i="3"/>
  <c r="W1927" i="3" s="1"/>
  <c r="R1927" i="3"/>
  <c r="O1927" i="3"/>
  <c r="F1927" i="3"/>
  <c r="AR1927" i="3" s="1"/>
  <c r="AJ1926" i="3"/>
  <c r="AF1926" i="3"/>
  <c r="U1926" i="3"/>
  <c r="W1926" i="3" s="1"/>
  <c r="R1926" i="3"/>
  <c r="O1926" i="3"/>
  <c r="F1926" i="3"/>
  <c r="AR1926" i="3" s="1"/>
  <c r="AJ1925" i="3"/>
  <c r="AK1925" i="3" s="1"/>
  <c r="AE1925" i="3"/>
  <c r="O1925" i="3"/>
  <c r="F1925" i="3"/>
  <c r="G1925" i="3" s="1"/>
  <c r="AJ1924" i="3"/>
  <c r="AF1924" i="3"/>
  <c r="U1924" i="3"/>
  <c r="W1924" i="3" s="1"/>
  <c r="R1924" i="3"/>
  <c r="O1924" i="3"/>
  <c r="F1924" i="3"/>
  <c r="AR1924" i="3" s="1"/>
  <c r="AJ1923" i="3"/>
  <c r="AF1923" i="3"/>
  <c r="U1923" i="3"/>
  <c r="W1923" i="3" s="1"/>
  <c r="R1923" i="3"/>
  <c r="O1923" i="3"/>
  <c r="F1923" i="3"/>
  <c r="AR1923" i="3" s="1"/>
  <c r="AJ1922" i="3"/>
  <c r="AK1922" i="3" s="1"/>
  <c r="AE1922" i="3"/>
  <c r="O1922" i="3"/>
  <c r="F1922" i="3"/>
  <c r="G1922" i="3" s="1"/>
  <c r="AF1921" i="3"/>
  <c r="U1921" i="3"/>
  <c r="W1921" i="3" s="1"/>
  <c r="R1921" i="3"/>
  <c r="O1921" i="3"/>
  <c r="F1921" i="3"/>
  <c r="AR1921" i="3" s="1"/>
  <c r="AJ1920" i="3"/>
  <c r="AF1920" i="3"/>
  <c r="U1920" i="3"/>
  <c r="R1920" i="3"/>
  <c r="T1920" i="3" s="1"/>
  <c r="O1920" i="3"/>
  <c r="F1920" i="3"/>
  <c r="G1920" i="3" s="1"/>
  <c r="AE1919" i="3"/>
  <c r="O1919" i="3"/>
  <c r="F1919" i="3"/>
  <c r="I1919" i="3" s="1"/>
  <c r="AJ1918" i="3"/>
  <c r="AF1918" i="3"/>
  <c r="U1918" i="3"/>
  <c r="W1918" i="3" s="1"/>
  <c r="R1918" i="3"/>
  <c r="O1918" i="3"/>
  <c r="F1918" i="3"/>
  <c r="AR1918" i="3" s="1"/>
  <c r="AJ1917" i="3"/>
  <c r="AF1917" i="3"/>
  <c r="U1917" i="3"/>
  <c r="W1917" i="3" s="1"/>
  <c r="R1917" i="3"/>
  <c r="O1917" i="3"/>
  <c r="F1917" i="3"/>
  <c r="I1917" i="3" s="1"/>
  <c r="AJ1916" i="3"/>
  <c r="AK1916" i="3" s="1"/>
  <c r="AF1916" i="3"/>
  <c r="O1916" i="3"/>
  <c r="F1916" i="3"/>
  <c r="I1916" i="3" s="1"/>
  <c r="F771" i="7"/>
  <c r="U1947" i="3" s="1"/>
  <c r="F770" i="7"/>
  <c r="U1944" i="3" s="1"/>
  <c r="F769" i="7"/>
  <c r="U1913" i="3" s="1"/>
  <c r="W1913" i="3" s="1"/>
  <c r="F768" i="7"/>
  <c r="U1928" i="3" s="1"/>
  <c r="W1928" i="3" s="1"/>
  <c r="F767" i="7"/>
  <c r="U1953" i="3" s="1"/>
  <c r="W1953" i="3" s="1"/>
  <c r="F766" i="7"/>
  <c r="U1950" i="3" s="1"/>
  <c r="W1950" i="3" s="1"/>
  <c r="F765" i="7"/>
  <c r="U1916" i="3" s="1"/>
  <c r="W1916" i="3" s="1"/>
  <c r="F764" i="7"/>
  <c r="U1935" i="3" s="1"/>
  <c r="W1935" i="3" s="1"/>
  <c r="F763" i="7"/>
  <c r="U1938" i="3" s="1"/>
  <c r="W1938" i="3" s="1"/>
  <c r="F762" i="7"/>
  <c r="U1941" i="3" s="1"/>
  <c r="W1941" i="3" s="1"/>
  <c r="F761" i="7"/>
  <c r="U1922" i="3" s="1"/>
  <c r="F759" i="7"/>
  <c r="U1931" i="3" s="1"/>
  <c r="F758" i="7"/>
  <c r="U1919" i="3" s="1"/>
  <c r="W1919" i="3" s="1"/>
  <c r="AJ1915" i="3"/>
  <c r="AF1915" i="3"/>
  <c r="U1915" i="3"/>
  <c r="W1915" i="3" s="1"/>
  <c r="R1915" i="3"/>
  <c r="O1915" i="3"/>
  <c r="F1915" i="3"/>
  <c r="AR1915" i="3" s="1"/>
  <c r="AJ1914" i="3"/>
  <c r="AF1914" i="3"/>
  <c r="U1914" i="3"/>
  <c r="W1914" i="3" s="1"/>
  <c r="R1914" i="3"/>
  <c r="T1914" i="3" s="1"/>
  <c r="O1914" i="3"/>
  <c r="F1914" i="3"/>
  <c r="AR1914" i="3" s="1"/>
  <c r="AJ1913" i="3"/>
  <c r="AK1913" i="3" s="1"/>
  <c r="AE1913" i="3"/>
  <c r="O1913" i="3"/>
  <c r="F1913" i="3"/>
  <c r="G1913" i="3" s="1"/>
  <c r="C421" i="5"/>
  <c r="AJ1912" i="3"/>
  <c r="AF1912" i="3"/>
  <c r="U1912" i="3"/>
  <c r="R1912" i="3"/>
  <c r="O1912" i="3"/>
  <c r="AJ1911" i="3"/>
  <c r="AF1911" i="3"/>
  <c r="U1911" i="3"/>
  <c r="R1911" i="3"/>
  <c r="O1911" i="3"/>
  <c r="AJ1910" i="3"/>
  <c r="AF1910" i="3"/>
  <c r="U1910" i="3"/>
  <c r="O1910" i="3"/>
  <c r="AJ1909" i="3"/>
  <c r="AF1909" i="3"/>
  <c r="U1909" i="3"/>
  <c r="O1909" i="3"/>
  <c r="AJ1908" i="3"/>
  <c r="AF1908" i="3"/>
  <c r="U1908" i="3"/>
  <c r="O1908" i="3"/>
  <c r="AJ1907" i="3"/>
  <c r="AF1907" i="3"/>
  <c r="U1907" i="3"/>
  <c r="R1907" i="3"/>
  <c r="O1907" i="3"/>
  <c r="AJ1906" i="3"/>
  <c r="AF1906" i="3"/>
  <c r="O1906" i="3"/>
  <c r="AJ1905" i="3"/>
  <c r="AF1905" i="3"/>
  <c r="U1905" i="3"/>
  <c r="R1905" i="3"/>
  <c r="O1905" i="3"/>
  <c r="AJ1904" i="3"/>
  <c r="AF1904" i="3"/>
  <c r="U1904" i="3"/>
  <c r="O1904" i="3"/>
  <c r="F1904" i="3"/>
  <c r="F1905" i="3"/>
  <c r="F1906" i="3"/>
  <c r="F1907" i="3"/>
  <c r="F1908" i="3"/>
  <c r="F1909" i="3"/>
  <c r="F1910" i="3"/>
  <c r="F1911" i="3"/>
  <c r="F1912" i="3"/>
  <c r="D115" i="6"/>
  <c r="E115" i="6" s="1"/>
  <c r="F115" i="6" s="1"/>
  <c r="F420" i="5" s="1"/>
  <c r="P1912" i="3" s="1"/>
  <c r="C420" i="5"/>
  <c r="C419" i="5"/>
  <c r="V395" i="8"/>
  <c r="U395" i="8"/>
  <c r="R1904" i="3" s="1"/>
  <c r="F757" i="7"/>
  <c r="F756" i="7"/>
  <c r="U1906" i="3" s="1"/>
  <c r="F760" i="4"/>
  <c r="AJ1919" i="3" s="1"/>
  <c r="AK1919" i="3" s="1"/>
  <c r="K1981" i="3" l="1"/>
  <c r="L1981" i="3" s="1"/>
  <c r="M1984" i="3" a="1"/>
  <c r="M1984" i="3" s="1"/>
  <c r="N1984" i="3"/>
  <c r="AA1983" i="3"/>
  <c r="AG1983" i="3"/>
  <c r="K1980" i="3"/>
  <c r="L1980" i="3" s="1"/>
  <c r="K1982" i="3"/>
  <c r="L1982" i="3" s="1"/>
  <c r="K1977" i="3"/>
  <c r="L1977" i="3" s="1"/>
  <c r="M1979" i="3" a="1"/>
  <c r="M1979" i="3" s="1"/>
  <c r="K1979" i="3"/>
  <c r="L1979" i="3" s="1"/>
  <c r="N1979" i="3"/>
  <c r="AA1978" i="3"/>
  <c r="AG1978" i="3"/>
  <c r="K1974" i="3"/>
  <c r="L1974" i="3" s="1"/>
  <c r="N1974" i="3"/>
  <c r="M1974" i="3" a="1"/>
  <c r="M1974" i="3" s="1"/>
  <c r="K1971" i="3"/>
  <c r="L1971" i="3" s="1"/>
  <c r="M1975" i="3" a="1"/>
  <c r="M1975" i="3" s="1"/>
  <c r="K1975" i="3"/>
  <c r="L1975" i="3" s="1"/>
  <c r="N1975" i="3"/>
  <c r="AQ1965" i="3"/>
  <c r="I1962" i="3"/>
  <c r="I1961" i="3"/>
  <c r="I1965" i="3"/>
  <c r="I1964" i="3"/>
  <c r="I1963" i="3"/>
  <c r="AJ1921" i="3"/>
  <c r="AC1964" i="3"/>
  <c r="AC1965" i="3"/>
  <c r="T1965" i="3"/>
  <c r="AQ1964" i="3"/>
  <c r="AR1959" i="3"/>
  <c r="K1956" i="3"/>
  <c r="T1951" i="3"/>
  <c r="G1956" i="3"/>
  <c r="AR1956" i="3"/>
  <c r="AR1954" i="3"/>
  <c r="I1957" i="3"/>
  <c r="G1951" i="3"/>
  <c r="I1951" i="3"/>
  <c r="W1956" i="3"/>
  <c r="W1959" i="3"/>
  <c r="AC1960" i="3"/>
  <c r="W1954" i="3"/>
  <c r="I1954" i="3"/>
  <c r="I1959" i="3"/>
  <c r="G1953" i="3"/>
  <c r="I1953" i="3"/>
  <c r="I1958" i="3"/>
  <c r="G1958" i="3"/>
  <c r="G1955" i="3"/>
  <c r="I1955" i="3"/>
  <c r="G1960" i="3"/>
  <c r="T1960" i="3"/>
  <c r="I1960" i="3"/>
  <c r="AQ1960" i="3"/>
  <c r="AC1951" i="3"/>
  <c r="AC1952" i="3"/>
  <c r="AQ1951" i="3"/>
  <c r="G1950" i="3"/>
  <c r="I1950" i="3"/>
  <c r="G1952" i="3"/>
  <c r="T1952" i="3"/>
  <c r="I1952" i="3"/>
  <c r="AQ1952" i="3"/>
  <c r="N1948" i="3"/>
  <c r="M1948" i="3" a="1"/>
  <c r="M1948" i="3" s="1"/>
  <c r="K1948" i="3"/>
  <c r="G1948" i="3"/>
  <c r="AR1948" i="3"/>
  <c r="T1945" i="3"/>
  <c r="G1941" i="3"/>
  <c r="AC1948" i="3"/>
  <c r="AQ1948" i="3"/>
  <c r="W1947" i="3"/>
  <c r="AC1949" i="3"/>
  <c r="G1947" i="3"/>
  <c r="I1947" i="3"/>
  <c r="G1949" i="3"/>
  <c r="T1949" i="3"/>
  <c r="I1949" i="3"/>
  <c r="AQ1949" i="3"/>
  <c r="N1945" i="3"/>
  <c r="M1945" i="3" a="1"/>
  <c r="M1945" i="3" s="1"/>
  <c r="K1945" i="3"/>
  <c r="G1945" i="3"/>
  <c r="AR1945" i="3"/>
  <c r="AC1945" i="3"/>
  <c r="AQ1945" i="3"/>
  <c r="W1944" i="3"/>
  <c r="AC1946" i="3"/>
  <c r="G1944" i="3"/>
  <c r="I1944" i="3"/>
  <c r="G1946" i="3"/>
  <c r="T1946" i="3"/>
  <c r="I1946" i="3"/>
  <c r="AQ1946" i="3"/>
  <c r="I1941" i="3"/>
  <c r="I1925" i="3"/>
  <c r="AC1942" i="3"/>
  <c r="AC1943" i="3"/>
  <c r="G1942" i="3"/>
  <c r="T1942" i="3"/>
  <c r="I1942" i="3"/>
  <c r="AQ1942" i="3"/>
  <c r="G1943" i="3"/>
  <c r="T1943" i="3"/>
  <c r="I1943" i="3"/>
  <c r="AQ1943" i="3"/>
  <c r="AR1932" i="3"/>
  <c r="AR1938" i="3"/>
  <c r="G1938" i="3"/>
  <c r="AC1939" i="3"/>
  <c r="G1939" i="3"/>
  <c r="I1939" i="3"/>
  <c r="AC1940" i="3"/>
  <c r="AQ1939" i="3"/>
  <c r="K1938" i="3"/>
  <c r="G1940" i="3"/>
  <c r="T1940" i="3"/>
  <c r="I1940" i="3"/>
  <c r="AQ1940" i="3"/>
  <c r="AR1925" i="3"/>
  <c r="AR1935" i="3"/>
  <c r="G1932" i="3"/>
  <c r="G1935" i="3"/>
  <c r="AC1936" i="3"/>
  <c r="G1936" i="3"/>
  <c r="I1936" i="3"/>
  <c r="AC1937" i="3"/>
  <c r="AQ1936" i="3"/>
  <c r="K1935" i="3"/>
  <c r="G1937" i="3"/>
  <c r="T1937" i="3"/>
  <c r="I1937" i="3"/>
  <c r="AQ1937" i="3"/>
  <c r="I1922" i="3"/>
  <c r="AR1933" i="3"/>
  <c r="AR1917" i="3"/>
  <c r="AQ1934" i="3"/>
  <c r="W1934" i="3"/>
  <c r="AC1933" i="3"/>
  <c r="W1931" i="3"/>
  <c r="K1931" i="3"/>
  <c r="N1933" i="3"/>
  <c r="M1933" i="3" a="1"/>
  <c r="M1933" i="3" s="1"/>
  <c r="K1933" i="3"/>
  <c r="G1933" i="3"/>
  <c r="T1933" i="3"/>
  <c r="AC1934" i="3"/>
  <c r="AQ1933" i="3"/>
  <c r="K1932" i="3"/>
  <c r="G1934" i="3"/>
  <c r="T1934" i="3"/>
  <c r="I1934" i="3"/>
  <c r="G1931" i="3"/>
  <c r="AC1929" i="3"/>
  <c r="G1929" i="3"/>
  <c r="T1929" i="3"/>
  <c r="I1929" i="3"/>
  <c r="AC1930" i="3"/>
  <c r="AQ1929" i="3"/>
  <c r="G1928" i="3"/>
  <c r="I1928" i="3"/>
  <c r="G1930" i="3"/>
  <c r="T1930" i="3"/>
  <c r="I1930" i="3"/>
  <c r="AQ1930" i="3"/>
  <c r="AR1919" i="3"/>
  <c r="AC1926" i="3"/>
  <c r="G1926" i="3"/>
  <c r="T1926" i="3"/>
  <c r="I1926" i="3"/>
  <c r="AC1927" i="3"/>
  <c r="AQ1926" i="3"/>
  <c r="G1927" i="3"/>
  <c r="T1927" i="3"/>
  <c r="I1927" i="3"/>
  <c r="AQ1927" i="3"/>
  <c r="AQ1918" i="3"/>
  <c r="I1920" i="3"/>
  <c r="AR1922" i="3"/>
  <c r="G1919" i="3"/>
  <c r="W1922" i="3"/>
  <c r="AC1923" i="3"/>
  <c r="G1923" i="3"/>
  <c r="T1923" i="3"/>
  <c r="I1923" i="3"/>
  <c r="AC1924" i="3"/>
  <c r="AQ1923" i="3"/>
  <c r="G1924" i="3"/>
  <c r="T1924" i="3"/>
  <c r="I1924" i="3"/>
  <c r="AQ1924" i="3"/>
  <c r="G1914" i="3"/>
  <c r="AR1920" i="3"/>
  <c r="I1914" i="3"/>
  <c r="AC1920" i="3"/>
  <c r="AC1921" i="3"/>
  <c r="W1920" i="3"/>
  <c r="AQ1920" i="3"/>
  <c r="K1919" i="3"/>
  <c r="G1921" i="3"/>
  <c r="T1921" i="3"/>
  <c r="I1921" i="3"/>
  <c r="AQ1921" i="3"/>
  <c r="K1917" i="3"/>
  <c r="N1917" i="3"/>
  <c r="M1917" i="3" a="1"/>
  <c r="M1917" i="3" s="1"/>
  <c r="I1913" i="3"/>
  <c r="G1917" i="3"/>
  <c r="G1918" i="3"/>
  <c r="I1918" i="3"/>
  <c r="T1918" i="3"/>
  <c r="AC1917" i="3"/>
  <c r="K1916" i="3"/>
  <c r="AR1916" i="3"/>
  <c r="T1917" i="3"/>
  <c r="AC1918" i="3"/>
  <c r="AQ1917" i="3"/>
  <c r="G1916" i="3"/>
  <c r="AR1913" i="3"/>
  <c r="AC1915" i="3"/>
  <c r="AC1914" i="3"/>
  <c r="AQ1914" i="3"/>
  <c r="G1915" i="3"/>
  <c r="T1915" i="3"/>
  <c r="I1915" i="3"/>
  <c r="AQ1915" i="3"/>
  <c r="W1904" i="3"/>
  <c r="W1910" i="3"/>
  <c r="W1912" i="3"/>
  <c r="G1909" i="3"/>
  <c r="G1908" i="3"/>
  <c r="G1907" i="3"/>
  <c r="W1906" i="3"/>
  <c r="G1912" i="3"/>
  <c r="G1910" i="3"/>
  <c r="G1905" i="3"/>
  <c r="G1911" i="3"/>
  <c r="G1906" i="3"/>
  <c r="T1905" i="3"/>
  <c r="I1908" i="3"/>
  <c r="W1909" i="3"/>
  <c r="W1911" i="3"/>
  <c r="G1904" i="3"/>
  <c r="W1907" i="3"/>
  <c r="I1904" i="3"/>
  <c r="AQ1904" i="3"/>
  <c r="AR1911" i="3"/>
  <c r="AR1908" i="3"/>
  <c r="I1912" i="3"/>
  <c r="I1911" i="3"/>
  <c r="AR1906" i="3"/>
  <c r="I1910" i="3"/>
  <c r="AR1910" i="3"/>
  <c r="I1909" i="3"/>
  <c r="AR1905" i="3"/>
  <c r="I1907" i="3"/>
  <c r="AR1904" i="3"/>
  <c r="I1906" i="3"/>
  <c r="AQ1907" i="3"/>
  <c r="AR1909" i="3"/>
  <c r="I1905" i="3"/>
  <c r="AR1907" i="3"/>
  <c r="AR1912" i="3"/>
  <c r="AC1907" i="3"/>
  <c r="AC1911" i="3"/>
  <c r="W1905" i="3"/>
  <c r="AQ1905" i="3"/>
  <c r="AC1912" i="3"/>
  <c r="AC1904" i="3"/>
  <c r="T1907" i="3"/>
  <c r="T1911" i="3"/>
  <c r="AC1905" i="3"/>
  <c r="T1904" i="3"/>
  <c r="AQ1911" i="3"/>
  <c r="T1912" i="3"/>
  <c r="W1908" i="3"/>
  <c r="AQ1912" i="3"/>
  <c r="N152" i="6"/>
  <c r="N151" i="6"/>
  <c r="N150" i="6"/>
  <c r="L150" i="6" s="1"/>
  <c r="N149" i="6"/>
  <c r="L149" i="6" s="1"/>
  <c r="N148" i="6"/>
  <c r="L148" i="6" s="1"/>
  <c r="N147" i="6"/>
  <c r="L147" i="6" s="1"/>
  <c r="N146" i="6"/>
  <c r="N145" i="6"/>
  <c r="N144" i="6"/>
  <c r="L144" i="6" s="1"/>
  <c r="N143" i="6"/>
  <c r="N142" i="6"/>
  <c r="N141" i="6"/>
  <c r="L141" i="6" s="1"/>
  <c r="N140" i="6"/>
  <c r="N139" i="6"/>
  <c r="L139" i="6" s="1"/>
  <c r="N138" i="6"/>
  <c r="N137" i="6"/>
  <c r="L137" i="6" s="1"/>
  <c r="N136" i="6"/>
  <c r="L136" i="6" s="1"/>
  <c r="N135" i="6"/>
  <c r="L135" i="6" s="1"/>
  <c r="N134" i="6"/>
  <c r="L134" i="6" s="1"/>
  <c r="N133" i="6"/>
  <c r="L133" i="6" s="1"/>
  <c r="N132" i="6"/>
  <c r="N131" i="6"/>
  <c r="L131" i="6" s="1"/>
  <c r="N130" i="6"/>
  <c r="L130" i="6" s="1"/>
  <c r="N129" i="6"/>
  <c r="L129" i="6" s="1"/>
  <c r="N128" i="6"/>
  <c r="L128" i="6" s="1"/>
  <c r="N127" i="6"/>
  <c r="N126" i="6"/>
  <c r="L126" i="6" s="1"/>
  <c r="N125" i="6"/>
  <c r="N124" i="6"/>
  <c r="L124" i="6" s="1"/>
  <c r="F124" i="6" s="1"/>
  <c r="N123" i="6"/>
  <c r="L123" i="6" s="1"/>
  <c r="N122" i="6"/>
  <c r="L122" i="6" s="1"/>
  <c r="N121" i="6"/>
  <c r="L121" i="6" s="1"/>
  <c r="N120" i="6"/>
  <c r="N118" i="6"/>
  <c r="N117" i="6"/>
  <c r="N116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L93" i="6" s="1"/>
  <c r="N92" i="6"/>
  <c r="L92" i="6" s="1"/>
  <c r="N91" i="6"/>
  <c r="L91" i="6" s="1"/>
  <c r="N90" i="6"/>
  <c r="L90" i="6" s="1"/>
  <c r="N89" i="6"/>
  <c r="L89" i="6" s="1"/>
  <c r="N88" i="6"/>
  <c r="N87" i="6"/>
  <c r="L87" i="6" s="1"/>
  <c r="N86" i="6"/>
  <c r="N85" i="6"/>
  <c r="L85" i="6" s="1"/>
  <c r="N84" i="6"/>
  <c r="L84" i="6" s="1"/>
  <c r="N83" i="6"/>
  <c r="L83" i="6" s="1"/>
  <c r="N82" i="6"/>
  <c r="L82" i="6" s="1"/>
  <c r="N81" i="6"/>
  <c r="N80" i="6"/>
  <c r="L80" i="6" s="1"/>
  <c r="N79" i="6"/>
  <c r="L79" i="6" s="1"/>
  <c r="N78" i="6"/>
  <c r="L78" i="6" s="1"/>
  <c r="N77" i="6"/>
  <c r="L77" i="6" s="1"/>
  <c r="N76" i="6"/>
  <c r="L76" i="6" s="1"/>
  <c r="N75" i="6"/>
  <c r="L75" i="6" s="1"/>
  <c r="N74" i="6"/>
  <c r="L74" i="6" s="1"/>
  <c r="N73" i="6"/>
  <c r="L73" i="6" s="1"/>
  <c r="N72" i="6"/>
  <c r="L72" i="6" s="1"/>
  <c r="N71" i="6"/>
  <c r="L71" i="6" s="1"/>
  <c r="N70" i="6"/>
  <c r="L70" i="6" s="1"/>
  <c r="N69" i="6"/>
  <c r="L69" i="6" s="1"/>
  <c r="N68" i="6"/>
  <c r="L68" i="6" s="1"/>
  <c r="N67" i="6"/>
  <c r="L67" i="6" s="1"/>
  <c r="N65" i="6"/>
  <c r="N64" i="6"/>
  <c r="L64" i="6" s="1"/>
  <c r="N63" i="6"/>
  <c r="L63" i="6" s="1"/>
  <c r="N62" i="6"/>
  <c r="L62" i="6" s="1"/>
  <c r="N61" i="6"/>
  <c r="L61" i="6" s="1"/>
  <c r="N60" i="6"/>
  <c r="N59" i="6"/>
  <c r="L59" i="6" s="1"/>
  <c r="N58" i="6"/>
  <c r="L58" i="6" s="1"/>
  <c r="N57" i="6"/>
  <c r="L57" i="6" s="1"/>
  <c r="N56" i="6"/>
  <c r="L56" i="6" s="1"/>
  <c r="N55" i="6"/>
  <c r="L55" i="6" s="1"/>
  <c r="N54" i="6"/>
  <c r="L54" i="6" s="1"/>
  <c r="N53" i="6"/>
  <c r="L53" i="6" s="1"/>
  <c r="N52" i="6"/>
  <c r="N51" i="6"/>
  <c r="L51" i="6" s="1"/>
  <c r="N50" i="6"/>
  <c r="L50" i="6" s="1"/>
  <c r="N49" i="6"/>
  <c r="L49" i="6" s="1"/>
  <c r="N48" i="6"/>
  <c r="L48" i="6" s="1"/>
  <c r="N47" i="6"/>
  <c r="L47" i="6" s="1"/>
  <c r="N46" i="6"/>
  <c r="L46" i="6" s="1"/>
  <c r="N45" i="6"/>
  <c r="L45" i="6" s="1"/>
  <c r="N44" i="6"/>
  <c r="L44" i="6" s="1"/>
  <c r="N43" i="6"/>
  <c r="L43" i="6" s="1"/>
  <c r="N42" i="6"/>
  <c r="L42" i="6" s="1"/>
  <c r="N41" i="6"/>
  <c r="L41" i="6" s="1"/>
  <c r="N40" i="6"/>
  <c r="L40" i="6" s="1"/>
  <c r="N39" i="6"/>
  <c r="L39" i="6" s="1"/>
  <c r="N38" i="6"/>
  <c r="L38" i="6" s="1"/>
  <c r="N37" i="6"/>
  <c r="L37" i="6" s="1"/>
  <c r="N36" i="6"/>
  <c r="L36" i="6" s="1"/>
  <c r="N35" i="6"/>
  <c r="L35" i="6" s="1"/>
  <c r="N34" i="6"/>
  <c r="L34" i="6" s="1"/>
  <c r="N33" i="6"/>
  <c r="L33" i="6" s="1"/>
  <c r="N32" i="6"/>
  <c r="L32" i="6" s="1"/>
  <c r="N31" i="6"/>
  <c r="N30" i="6"/>
  <c r="L30" i="6" s="1"/>
  <c r="N29" i="6"/>
  <c r="L29" i="6" s="1"/>
  <c r="N28" i="6"/>
  <c r="L28" i="6" s="1"/>
  <c r="N27" i="6"/>
  <c r="L27" i="6" s="1"/>
  <c r="N26" i="6"/>
  <c r="L26" i="6" s="1"/>
  <c r="N25" i="6"/>
  <c r="L25" i="6" s="1"/>
  <c r="N24" i="6"/>
  <c r="L24" i="6" s="1"/>
  <c r="N23" i="6"/>
  <c r="L23" i="6" s="1"/>
  <c r="N22" i="6"/>
  <c r="L22" i="6" s="1"/>
  <c r="N21" i="6"/>
  <c r="L21" i="6" s="1"/>
  <c r="N20" i="6"/>
  <c r="L20" i="6" s="1"/>
  <c r="N19" i="6"/>
  <c r="L19" i="6" s="1"/>
  <c r="N18" i="6"/>
  <c r="L18" i="6" s="1"/>
  <c r="N16" i="6"/>
  <c r="L16" i="6" s="1"/>
  <c r="N15" i="6"/>
  <c r="L15" i="6" s="1"/>
  <c r="N14" i="6"/>
  <c r="L14" i="6" s="1"/>
  <c r="N13" i="6"/>
  <c r="L13" i="6" s="1"/>
  <c r="N12" i="6"/>
  <c r="N11" i="6"/>
  <c r="L11" i="6" s="1"/>
  <c r="N10" i="6"/>
  <c r="L10" i="6" s="1"/>
  <c r="N9" i="6"/>
  <c r="L9" i="6" s="1"/>
  <c r="N8" i="6"/>
  <c r="L8" i="6" s="1"/>
  <c r="N7" i="6"/>
  <c r="L7" i="6" s="1"/>
  <c r="N6" i="6"/>
  <c r="L6" i="6" s="1"/>
  <c r="N5" i="6"/>
  <c r="L5" i="6" s="1"/>
  <c r="N4" i="6"/>
  <c r="L4" i="6" s="1"/>
  <c r="N3" i="6"/>
  <c r="L3" i="6" s="1"/>
  <c r="N2" i="6"/>
  <c r="L2" i="6" s="1"/>
  <c r="AA1984" i="3" l="1"/>
  <c r="AG1984" i="3"/>
  <c r="AH1983" i="3"/>
  <c r="AH1978" i="3"/>
  <c r="AA1979" i="3"/>
  <c r="AG1979" i="3"/>
  <c r="AA1975" i="3"/>
  <c r="AG1975" i="3"/>
  <c r="AA1974" i="3"/>
  <c r="AG1974" i="3"/>
  <c r="L1919" i="3"/>
  <c r="AA1945" i="3"/>
  <c r="N1965" i="3"/>
  <c r="AG1965" i="3" s="1"/>
  <c r="K1918" i="3"/>
  <c r="N1920" i="3"/>
  <c r="AG1920" i="3" s="1"/>
  <c r="L1935" i="3"/>
  <c r="K1962" i="3"/>
  <c r="K1911" i="3"/>
  <c r="L1911" i="3" s="1"/>
  <c r="K1912" i="3"/>
  <c r="L1912" i="3" s="1"/>
  <c r="L1933" i="3"/>
  <c r="L1938" i="3"/>
  <c r="AA1917" i="3"/>
  <c r="AH1917" i="3" s="1"/>
  <c r="L1948" i="3"/>
  <c r="L1917" i="3"/>
  <c r="AA1933" i="3"/>
  <c r="AH1933" i="3" s="1"/>
  <c r="L1916" i="3"/>
  <c r="L1931" i="3"/>
  <c r="AA1948" i="3"/>
  <c r="L1932" i="3"/>
  <c r="L1945" i="3"/>
  <c r="N1951" i="3"/>
  <c r="AG1951" i="3" s="1"/>
  <c r="L1956" i="3"/>
  <c r="K1964" i="3"/>
  <c r="M1965" i="3" a="1"/>
  <c r="M1965" i="3" s="1"/>
  <c r="K1965" i="3"/>
  <c r="K1961" i="3"/>
  <c r="K1963" i="3"/>
  <c r="N1964" i="3"/>
  <c r="M1964" i="3" a="1"/>
  <c r="M1964" i="3" s="1"/>
  <c r="K1941" i="3"/>
  <c r="M1951" i="3" a="1"/>
  <c r="M1951" i="3" s="1"/>
  <c r="K1951" i="3"/>
  <c r="K1957" i="3"/>
  <c r="K1958" i="3"/>
  <c r="K1955" i="3"/>
  <c r="K1953" i="3"/>
  <c r="K1959" i="3"/>
  <c r="M1960" i="3" a="1"/>
  <c r="M1960" i="3" s="1"/>
  <c r="K1960" i="3"/>
  <c r="N1960" i="3"/>
  <c r="K1954" i="3"/>
  <c r="AG1948" i="3"/>
  <c r="K1925" i="3"/>
  <c r="AG1945" i="3"/>
  <c r="M1952" i="3" a="1"/>
  <c r="M1952" i="3" s="1"/>
  <c r="K1952" i="3"/>
  <c r="N1952" i="3"/>
  <c r="K1950" i="3"/>
  <c r="M1949" i="3" a="1"/>
  <c r="M1949" i="3" s="1"/>
  <c r="K1949" i="3"/>
  <c r="N1949" i="3"/>
  <c r="K1947" i="3"/>
  <c r="M1946" i="3" a="1"/>
  <c r="M1946" i="3" s="1"/>
  <c r="K1946" i="3"/>
  <c r="N1946" i="3"/>
  <c r="K1944" i="3"/>
  <c r="N1942" i="3"/>
  <c r="M1942" i="3" a="1"/>
  <c r="M1942" i="3" s="1"/>
  <c r="K1942" i="3"/>
  <c r="M1943" i="3" a="1"/>
  <c r="M1943" i="3" s="1"/>
  <c r="K1943" i="3"/>
  <c r="N1943" i="3"/>
  <c r="N1939" i="3"/>
  <c r="M1939" i="3" a="1"/>
  <c r="M1939" i="3" s="1"/>
  <c r="K1939" i="3"/>
  <c r="M1940" i="3" a="1"/>
  <c r="M1940" i="3" s="1"/>
  <c r="K1940" i="3"/>
  <c r="N1940" i="3"/>
  <c r="M1920" i="3" a="1"/>
  <c r="M1920" i="3" s="1"/>
  <c r="N1936" i="3"/>
  <c r="M1936" i="3" a="1"/>
  <c r="M1936" i="3" s="1"/>
  <c r="K1936" i="3"/>
  <c r="M1937" i="3" a="1"/>
  <c r="M1937" i="3" s="1"/>
  <c r="K1937" i="3"/>
  <c r="N1937" i="3"/>
  <c r="K1922" i="3"/>
  <c r="K1934" i="3"/>
  <c r="N1934" i="3"/>
  <c r="M1934" i="3" a="1"/>
  <c r="M1934" i="3" s="1"/>
  <c r="AG1933" i="3"/>
  <c r="M1930" i="3" a="1"/>
  <c r="M1930" i="3" s="1"/>
  <c r="K1930" i="3"/>
  <c r="N1930" i="3"/>
  <c r="N1929" i="3"/>
  <c r="M1929" i="3" a="1"/>
  <c r="M1929" i="3" s="1"/>
  <c r="K1929" i="3"/>
  <c r="K1928" i="3"/>
  <c r="K1920" i="3"/>
  <c r="N1926" i="3"/>
  <c r="M1926" i="3" a="1"/>
  <c r="M1926" i="3" s="1"/>
  <c r="K1926" i="3"/>
  <c r="M1927" i="3" a="1"/>
  <c r="M1927" i="3" s="1"/>
  <c r="K1927" i="3"/>
  <c r="N1927" i="3"/>
  <c r="AG1917" i="3"/>
  <c r="N1923" i="3"/>
  <c r="M1923" i="3" a="1"/>
  <c r="M1923" i="3" s="1"/>
  <c r="K1923" i="3"/>
  <c r="M1924" i="3" a="1"/>
  <c r="M1924" i="3" s="1"/>
  <c r="K1924" i="3"/>
  <c r="N1924" i="3"/>
  <c r="K1913" i="3"/>
  <c r="N1914" i="3"/>
  <c r="M1914" i="3" a="1"/>
  <c r="M1914" i="3" s="1"/>
  <c r="K1914" i="3"/>
  <c r="N1918" i="3"/>
  <c r="M1921" i="3" a="1"/>
  <c r="M1921" i="3" s="1"/>
  <c r="K1921" i="3"/>
  <c r="N1921" i="3"/>
  <c r="M1918" i="3" a="1"/>
  <c r="M1918" i="3" s="1"/>
  <c r="M1915" i="3" a="1"/>
  <c r="M1915" i="3" s="1"/>
  <c r="K1915" i="3"/>
  <c r="N1915" i="3"/>
  <c r="M1912" i="3" a="1"/>
  <c r="M1912" i="3" s="1"/>
  <c r="M1904" i="3" a="1"/>
  <c r="M1904" i="3" s="1"/>
  <c r="K1904" i="3"/>
  <c r="K1908" i="3"/>
  <c r="N1911" i="3"/>
  <c r="N1912" i="3"/>
  <c r="M1911" i="3" a="1"/>
  <c r="M1911" i="3" s="1"/>
  <c r="K1906" i="3"/>
  <c r="K1910" i="3"/>
  <c r="K1909" i="3"/>
  <c r="N1907" i="3"/>
  <c r="M1907" i="3" a="1"/>
  <c r="M1907" i="3" s="1"/>
  <c r="K1907" i="3"/>
  <c r="M1905" i="3" a="1"/>
  <c r="M1905" i="3" s="1"/>
  <c r="K1905" i="3"/>
  <c r="N1905" i="3"/>
  <c r="F109" i="6"/>
  <c r="AH1984" i="3" l="1"/>
  <c r="AH1979" i="3"/>
  <c r="AH1975" i="3"/>
  <c r="AH1974" i="3"/>
  <c r="L1915" i="3"/>
  <c r="L1913" i="3"/>
  <c r="L1927" i="3"/>
  <c r="L1937" i="3"/>
  <c r="L1954" i="3"/>
  <c r="L1930" i="3"/>
  <c r="L1926" i="3"/>
  <c r="L1936" i="3"/>
  <c r="L1949" i="3"/>
  <c r="L1957" i="3"/>
  <c r="L1965" i="3"/>
  <c r="AA1951" i="3"/>
  <c r="L1943" i="3"/>
  <c r="L1960" i="3"/>
  <c r="AH1948" i="3"/>
  <c r="AA1920" i="3"/>
  <c r="L1950" i="3"/>
  <c r="L1951" i="3"/>
  <c r="L1942" i="3"/>
  <c r="L1959" i="3"/>
  <c r="L1918" i="3"/>
  <c r="L1961" i="3"/>
  <c r="L1923" i="3"/>
  <c r="L1920" i="3"/>
  <c r="L1944" i="3"/>
  <c r="L1941" i="3"/>
  <c r="L1924" i="3"/>
  <c r="L1921" i="3"/>
  <c r="L1928" i="3"/>
  <c r="L1934" i="3"/>
  <c r="L1940" i="3"/>
  <c r="L1952" i="3"/>
  <c r="L1953" i="3"/>
  <c r="AA1965" i="3"/>
  <c r="L1964" i="3"/>
  <c r="AA1918" i="3"/>
  <c r="L1929" i="3"/>
  <c r="L1939" i="3"/>
  <c r="L1946" i="3"/>
  <c r="L1955" i="3"/>
  <c r="AH1945" i="3"/>
  <c r="L1914" i="3"/>
  <c r="L1925" i="3"/>
  <c r="L1922" i="3"/>
  <c r="L1947" i="3"/>
  <c r="L1958" i="3"/>
  <c r="L1963" i="3"/>
  <c r="L1962" i="3"/>
  <c r="AA1964" i="3"/>
  <c r="AG1964" i="3"/>
  <c r="AA1960" i="3"/>
  <c r="AG1960" i="3"/>
  <c r="AA1952" i="3"/>
  <c r="AG1952" i="3"/>
  <c r="AA1949" i="3"/>
  <c r="AG1949" i="3"/>
  <c r="AA1946" i="3"/>
  <c r="AG1946" i="3"/>
  <c r="AA1943" i="3"/>
  <c r="AG1943" i="3"/>
  <c r="AA1942" i="3"/>
  <c r="AG1942" i="3"/>
  <c r="AA1940" i="3"/>
  <c r="AG1940" i="3"/>
  <c r="AA1939" i="3"/>
  <c r="AG1939" i="3"/>
  <c r="AA1937" i="3"/>
  <c r="AG1937" i="3"/>
  <c r="AG1936" i="3"/>
  <c r="AA1936" i="3"/>
  <c r="AA1934" i="3"/>
  <c r="AG1934" i="3"/>
  <c r="AA1929" i="3"/>
  <c r="AG1929" i="3"/>
  <c r="AA1930" i="3"/>
  <c r="AG1930" i="3"/>
  <c r="AG1918" i="3"/>
  <c r="AA1927" i="3"/>
  <c r="AG1927" i="3"/>
  <c r="AA1926" i="3"/>
  <c r="AG1926" i="3"/>
  <c r="AA1924" i="3"/>
  <c r="AG1924" i="3"/>
  <c r="AA1923" i="3"/>
  <c r="AG1923" i="3"/>
  <c r="AA1914" i="3"/>
  <c r="AG1914" i="3"/>
  <c r="AA1921" i="3"/>
  <c r="AG1921" i="3"/>
  <c r="AA1915" i="3"/>
  <c r="AG1915" i="3"/>
  <c r="AA1912" i="3"/>
  <c r="AG1912" i="3"/>
  <c r="L1907" i="3"/>
  <c r="L1910" i="3"/>
  <c r="L1908" i="3"/>
  <c r="L1906" i="3"/>
  <c r="N1904" i="3"/>
  <c r="AA1911" i="3"/>
  <c r="AG1911" i="3"/>
  <c r="L1905" i="3"/>
  <c r="Q1912" i="3"/>
  <c r="L1904" i="3"/>
  <c r="L1909" i="3"/>
  <c r="AA1907" i="3"/>
  <c r="AG1907" i="3"/>
  <c r="AA1905" i="3"/>
  <c r="AG1905" i="3"/>
  <c r="L146" i="6"/>
  <c r="X146" i="6" s="1"/>
  <c r="AH1918" i="3" l="1"/>
  <c r="AH1964" i="3"/>
  <c r="AH1951" i="3"/>
  <c r="AH1965" i="3"/>
  <c r="AH1920" i="3"/>
  <c r="AH1960" i="3"/>
  <c r="AH1952" i="3"/>
  <c r="AH1949" i="3"/>
  <c r="AH1946" i="3"/>
  <c r="AH1942" i="3"/>
  <c r="AH1943" i="3"/>
  <c r="AH1939" i="3"/>
  <c r="AH1940" i="3"/>
  <c r="AH1936" i="3"/>
  <c r="AH1937" i="3"/>
  <c r="AH1934" i="3"/>
  <c r="AH1930" i="3"/>
  <c r="AH1929" i="3"/>
  <c r="AH1926" i="3"/>
  <c r="AH1927" i="3"/>
  <c r="AH1923" i="3"/>
  <c r="AH1924" i="3"/>
  <c r="AH1914" i="3"/>
  <c r="AH1921" i="3"/>
  <c r="AH1915" i="3"/>
  <c r="AH1911" i="3"/>
  <c r="AA1904" i="3"/>
  <c r="AG1904" i="3"/>
  <c r="AH1912" i="3"/>
  <c r="AB1912" i="3"/>
  <c r="AH1905" i="3"/>
  <c r="AH1907" i="3"/>
  <c r="F146" i="6"/>
  <c r="F243" i="5"/>
  <c r="F303" i="5"/>
  <c r="F372" i="5"/>
  <c r="L12" i="6"/>
  <c r="F12" i="6" s="1"/>
  <c r="L31" i="6"/>
  <c r="F31" i="6" s="1"/>
  <c r="L52" i="6"/>
  <c r="F52" i="6" s="1"/>
  <c r="L60" i="6"/>
  <c r="F60" i="6" s="1"/>
  <c r="L65" i="6"/>
  <c r="F65" i="6" s="1"/>
  <c r="L81" i="6"/>
  <c r="F81" i="6" s="1"/>
  <c r="L86" i="6"/>
  <c r="F86" i="6" s="1"/>
  <c r="L88" i="6"/>
  <c r="F88" i="6" s="1"/>
  <c r="L94" i="6"/>
  <c r="F94" i="6" s="1"/>
  <c r="L95" i="6"/>
  <c r="F95" i="6" s="1"/>
  <c r="L96" i="6"/>
  <c r="L97" i="6"/>
  <c r="L98" i="6"/>
  <c r="L99" i="6"/>
  <c r="L100" i="6"/>
  <c r="L101" i="6"/>
  <c r="F385" i="5" s="1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6" i="6"/>
  <c r="L117" i="6"/>
  <c r="L118" i="6"/>
  <c r="G118" i="6" s="1"/>
  <c r="L120" i="6"/>
  <c r="L125" i="6"/>
  <c r="L127" i="6"/>
  <c r="X128" i="6"/>
  <c r="L132" i="6"/>
  <c r="L138" i="6"/>
  <c r="F138" i="6" s="1"/>
  <c r="X139" i="6"/>
  <c r="L140" i="6"/>
  <c r="F140" i="6" s="1"/>
  <c r="L142" i="6"/>
  <c r="L143" i="6"/>
  <c r="X144" i="6"/>
  <c r="L145" i="6"/>
  <c r="F406" i="5"/>
  <c r="X147" i="6"/>
  <c r="L151" i="6"/>
  <c r="F419" i="5" s="1"/>
  <c r="P1904" i="3" s="1"/>
  <c r="L152" i="6"/>
  <c r="AJ1903" i="3"/>
  <c r="AF1903" i="3"/>
  <c r="U1903" i="3"/>
  <c r="R1903" i="3"/>
  <c r="O1903" i="3"/>
  <c r="AJ1902" i="3"/>
  <c r="AF1902" i="3"/>
  <c r="U1902" i="3"/>
  <c r="R1902" i="3"/>
  <c r="O1902" i="3"/>
  <c r="AJ1901" i="3"/>
  <c r="AF1901" i="3"/>
  <c r="U1901" i="3"/>
  <c r="O1901" i="3"/>
  <c r="F1903" i="3"/>
  <c r="F1902" i="3"/>
  <c r="F1901" i="3"/>
  <c r="AJ1900" i="3"/>
  <c r="AF1900" i="3"/>
  <c r="U1900" i="3"/>
  <c r="R1900" i="3"/>
  <c r="O1900" i="3"/>
  <c r="AJ1899" i="3"/>
  <c r="AF1899" i="3"/>
  <c r="U1899" i="3"/>
  <c r="R1899" i="3"/>
  <c r="O1899" i="3"/>
  <c r="AJ1898" i="3"/>
  <c r="AF1898" i="3"/>
  <c r="U1898" i="3"/>
  <c r="O1898" i="3"/>
  <c r="C418" i="5"/>
  <c r="F1900" i="3"/>
  <c r="F1899" i="3"/>
  <c r="F1898" i="3"/>
  <c r="F754" i="7"/>
  <c r="F753" i="7"/>
  <c r="C417" i="5"/>
  <c r="C416" i="5"/>
  <c r="U394" i="8"/>
  <c r="R1898" i="3" s="1"/>
  <c r="V394" i="8"/>
  <c r="V393" i="8"/>
  <c r="U393" i="8"/>
  <c r="R1901" i="3" s="1"/>
  <c r="Q1904" i="3" l="1"/>
  <c r="W1900" i="3"/>
  <c r="W1902" i="3"/>
  <c r="G1901" i="3"/>
  <c r="AB1904" i="3"/>
  <c r="AH1904" i="3"/>
  <c r="G1902" i="3"/>
  <c r="G1903" i="3"/>
  <c r="W1903" i="3"/>
  <c r="W1899" i="3"/>
  <c r="T1901" i="3"/>
  <c r="W1901" i="3"/>
  <c r="G1898" i="3"/>
  <c r="G1899" i="3"/>
  <c r="G1900" i="3"/>
  <c r="F83" i="6"/>
  <c r="F257" i="5" s="1"/>
  <c r="X83" i="6"/>
  <c r="F71" i="6"/>
  <c r="F230" i="5" s="1"/>
  <c r="X71" i="6"/>
  <c r="F59" i="6"/>
  <c r="F180" i="5" s="1"/>
  <c r="X59" i="6"/>
  <c r="F47" i="6"/>
  <c r="X47" i="6"/>
  <c r="F35" i="6"/>
  <c r="X35" i="6"/>
  <c r="F23" i="6"/>
  <c r="X23" i="6"/>
  <c r="F11" i="6"/>
  <c r="X11" i="6"/>
  <c r="F131" i="6"/>
  <c r="X131" i="6"/>
  <c r="F82" i="6"/>
  <c r="F315" i="5" s="1"/>
  <c r="X82" i="6"/>
  <c r="F70" i="6"/>
  <c r="F227" i="5" s="1"/>
  <c r="X70" i="6"/>
  <c r="F58" i="6"/>
  <c r="F269" i="5" s="1"/>
  <c r="X58" i="6"/>
  <c r="F46" i="6"/>
  <c r="F156" i="5" s="1"/>
  <c r="X46" i="6"/>
  <c r="F34" i="6"/>
  <c r="F66" i="5" s="1"/>
  <c r="X34" i="6"/>
  <c r="F22" i="6"/>
  <c r="X22" i="6"/>
  <c r="F10" i="6"/>
  <c r="F170" i="5" s="1"/>
  <c r="X10" i="6"/>
  <c r="F93" i="6"/>
  <c r="X93" i="6"/>
  <c r="F69" i="6"/>
  <c r="X69" i="6"/>
  <c r="F57" i="6"/>
  <c r="F284" i="5" s="1"/>
  <c r="X57" i="6"/>
  <c r="F45" i="6"/>
  <c r="F118" i="5" s="1"/>
  <c r="X45" i="6"/>
  <c r="F33" i="6"/>
  <c r="F58" i="5" s="1"/>
  <c r="P1955" i="3" s="1"/>
  <c r="X33" i="6"/>
  <c r="F21" i="6"/>
  <c r="X21" i="6"/>
  <c r="F9" i="6"/>
  <c r="F289" i="5" s="1"/>
  <c r="X9" i="6"/>
  <c r="F130" i="6"/>
  <c r="F231" i="5" s="1"/>
  <c r="X130" i="6"/>
  <c r="F141" i="6"/>
  <c r="F399" i="5" s="1"/>
  <c r="X141" i="6"/>
  <c r="F129" i="6"/>
  <c r="F136" i="5" s="1"/>
  <c r="X129" i="6"/>
  <c r="F92" i="6"/>
  <c r="F290" i="5" s="1"/>
  <c r="X92" i="6"/>
  <c r="F80" i="6"/>
  <c r="F253" i="5" s="1"/>
  <c r="X80" i="6"/>
  <c r="F68" i="6"/>
  <c r="F224" i="5" s="1"/>
  <c r="X68" i="6"/>
  <c r="F56" i="6"/>
  <c r="F367" i="5" s="1"/>
  <c r="X56" i="6"/>
  <c r="F44" i="6"/>
  <c r="F244" i="5" s="1"/>
  <c r="X44" i="6"/>
  <c r="F32" i="6"/>
  <c r="F73" i="5" s="1"/>
  <c r="X32" i="6"/>
  <c r="F20" i="6"/>
  <c r="X20" i="6"/>
  <c r="F8" i="6"/>
  <c r="F128" i="5" s="1"/>
  <c r="X8" i="6"/>
  <c r="F91" i="6"/>
  <c r="F286" i="5" s="1"/>
  <c r="X91" i="6"/>
  <c r="F79" i="6"/>
  <c r="F251" i="5" s="1"/>
  <c r="X79" i="6"/>
  <c r="F67" i="6"/>
  <c r="F220" i="5" s="1"/>
  <c r="X67" i="6"/>
  <c r="F55" i="6"/>
  <c r="F166" i="5" s="1"/>
  <c r="X55" i="6"/>
  <c r="F43" i="6"/>
  <c r="F179" i="5" s="1"/>
  <c r="X43" i="6"/>
  <c r="F19" i="6"/>
  <c r="F294" i="5" s="1"/>
  <c r="X19" i="6"/>
  <c r="F7" i="6"/>
  <c r="F11" i="5" s="1"/>
  <c r="X7" i="6"/>
  <c r="F90" i="6"/>
  <c r="F276" i="5" s="1"/>
  <c r="X90" i="6"/>
  <c r="F78" i="6"/>
  <c r="F250" i="5" s="1"/>
  <c r="X78" i="6"/>
  <c r="F54" i="6"/>
  <c r="F159" i="5" s="1"/>
  <c r="X54" i="6"/>
  <c r="F42" i="6"/>
  <c r="X42" i="6"/>
  <c r="F30" i="6"/>
  <c r="F54" i="5" s="1"/>
  <c r="X30" i="6"/>
  <c r="F18" i="6"/>
  <c r="F415" i="5" s="1"/>
  <c r="X18" i="6"/>
  <c r="F6" i="6"/>
  <c r="F80" i="5" s="1"/>
  <c r="X6" i="6"/>
  <c r="F89" i="6"/>
  <c r="F274" i="5" s="1"/>
  <c r="X89" i="6"/>
  <c r="F77" i="6"/>
  <c r="F249" i="5" s="1"/>
  <c r="X77" i="6"/>
  <c r="F53" i="6"/>
  <c r="F144" i="5" s="1"/>
  <c r="X53" i="6"/>
  <c r="F41" i="6"/>
  <c r="F299" i="5" s="1"/>
  <c r="X41" i="6"/>
  <c r="F29" i="6"/>
  <c r="X29" i="6"/>
  <c r="F5" i="6"/>
  <c r="F116" i="5" s="1"/>
  <c r="X5" i="6"/>
  <c r="F76" i="6"/>
  <c r="F247" i="5" s="1"/>
  <c r="X76" i="6"/>
  <c r="F64" i="6"/>
  <c r="F196" i="5" s="1"/>
  <c r="X64" i="6"/>
  <c r="F40" i="6"/>
  <c r="F109" i="5" s="1"/>
  <c r="X40" i="6"/>
  <c r="F28" i="6"/>
  <c r="X28" i="6"/>
  <c r="F16" i="6"/>
  <c r="F392" i="5" s="1"/>
  <c r="X16" i="6"/>
  <c r="F4" i="6"/>
  <c r="F187" i="5" s="1"/>
  <c r="X4" i="6"/>
  <c r="F133" i="6"/>
  <c r="F339" i="5" s="1"/>
  <c r="X133" i="6"/>
  <c r="F121" i="6"/>
  <c r="F255" i="5" s="1"/>
  <c r="X121" i="6"/>
  <c r="F150" i="6"/>
  <c r="X150" i="6"/>
  <c r="F126" i="6"/>
  <c r="F366" i="5" s="1"/>
  <c r="X126" i="6"/>
  <c r="F149" i="6"/>
  <c r="F13" i="5" s="1"/>
  <c r="X149" i="6"/>
  <c r="F137" i="6"/>
  <c r="F387" i="5" s="1"/>
  <c r="X137" i="6"/>
  <c r="F148" i="6"/>
  <c r="F22" i="5" s="1"/>
  <c r="X148" i="6"/>
  <c r="F136" i="6"/>
  <c r="F29" i="5" s="1"/>
  <c r="X136" i="6"/>
  <c r="F345" i="5"/>
  <c r="X124" i="6"/>
  <c r="F87" i="6"/>
  <c r="F268" i="5" s="1"/>
  <c r="X87" i="6"/>
  <c r="F75" i="6"/>
  <c r="F246" i="5" s="1"/>
  <c r="X75" i="6"/>
  <c r="F63" i="6"/>
  <c r="F192" i="5" s="1"/>
  <c r="X63" i="6"/>
  <c r="F51" i="6"/>
  <c r="F134" i="5" s="1"/>
  <c r="X51" i="6"/>
  <c r="F39" i="6"/>
  <c r="F101" i="5" s="1"/>
  <c r="X39" i="6"/>
  <c r="F27" i="6"/>
  <c r="X27" i="6"/>
  <c r="F15" i="6"/>
  <c r="X15" i="6"/>
  <c r="F3" i="6"/>
  <c r="F3" i="5" s="1"/>
  <c r="X3" i="6"/>
  <c r="F74" i="6"/>
  <c r="F308" i="5" s="1"/>
  <c r="X74" i="6"/>
  <c r="F62" i="6"/>
  <c r="F267" i="5" s="1"/>
  <c r="X62" i="6"/>
  <c r="F50" i="6"/>
  <c r="F352" i="5" s="1"/>
  <c r="X50" i="6"/>
  <c r="F38" i="6"/>
  <c r="X38" i="6"/>
  <c r="F26" i="6"/>
  <c r="X26" i="6"/>
  <c r="F14" i="6"/>
  <c r="F337" i="5" s="1"/>
  <c r="X14" i="6"/>
  <c r="F135" i="6"/>
  <c r="X135" i="6"/>
  <c r="F123" i="6"/>
  <c r="X123" i="6"/>
  <c r="F134" i="6"/>
  <c r="X134" i="6"/>
  <c r="F122" i="6"/>
  <c r="F311" i="5" s="1"/>
  <c r="X122" i="6"/>
  <c r="F85" i="6"/>
  <c r="F262" i="5" s="1"/>
  <c r="X85" i="6"/>
  <c r="F73" i="6"/>
  <c r="F234" i="5" s="1"/>
  <c r="X73" i="6"/>
  <c r="F61" i="6"/>
  <c r="F185" i="5" s="1"/>
  <c r="X61" i="6"/>
  <c r="F49" i="6"/>
  <c r="F127" i="5" s="1"/>
  <c r="X49" i="6"/>
  <c r="F37" i="6"/>
  <c r="F81" i="5" s="1"/>
  <c r="X37" i="6"/>
  <c r="F25" i="6"/>
  <c r="X25" i="6"/>
  <c r="F13" i="6"/>
  <c r="F18" i="5" s="1"/>
  <c r="X13" i="6"/>
  <c r="F84" i="6"/>
  <c r="F105" i="5" s="1"/>
  <c r="P2002" i="3" s="1"/>
  <c r="X84" i="6"/>
  <c r="F72" i="6"/>
  <c r="F393" i="5" s="1"/>
  <c r="X72" i="6"/>
  <c r="F48" i="6"/>
  <c r="X48" i="6"/>
  <c r="F36" i="6"/>
  <c r="F178" i="5" s="1"/>
  <c r="X36" i="6"/>
  <c r="F24" i="6"/>
  <c r="X24" i="6"/>
  <c r="F2" i="6"/>
  <c r="F151" i="5" s="1"/>
  <c r="X2" i="6"/>
  <c r="F145" i="6"/>
  <c r="F396" i="5" s="1"/>
  <c r="F147" i="6"/>
  <c r="F411" i="5" s="1"/>
  <c r="G101" i="6"/>
  <c r="F143" i="6"/>
  <c r="F401" i="5" s="1"/>
  <c r="F144" i="6"/>
  <c r="F400" i="5" s="1"/>
  <c r="F142" i="6"/>
  <c r="F398" i="5" s="1"/>
  <c r="F128" i="6"/>
  <c r="G128" i="6" s="1"/>
  <c r="G125" i="6"/>
  <c r="F333" i="5"/>
  <c r="AC1902" i="3"/>
  <c r="F265" i="5"/>
  <c r="F384" i="5"/>
  <c r="G100" i="6"/>
  <c r="F181" i="5"/>
  <c r="F132" i="5"/>
  <c r="F322" i="5"/>
  <c r="G103" i="6"/>
  <c r="F314" i="5"/>
  <c r="F323" i="5"/>
  <c r="G104" i="6"/>
  <c r="F254" i="5"/>
  <c r="F327" i="5"/>
  <c r="G109" i="6"/>
  <c r="F31" i="5"/>
  <c r="F328" i="5"/>
  <c r="G110" i="6"/>
  <c r="F302" i="5"/>
  <c r="F201" i="5"/>
  <c r="F368" i="5"/>
  <c r="G127" i="6"/>
  <c r="F271" i="5"/>
  <c r="G88" i="6"/>
  <c r="F374" i="5"/>
  <c r="F334" i="5"/>
  <c r="G132" i="6"/>
  <c r="F45" i="5"/>
  <c r="F140" i="5"/>
  <c r="F17" i="5"/>
  <c r="AQ1899" i="3"/>
  <c r="AQ1900" i="3"/>
  <c r="AR1902" i="3"/>
  <c r="I1902" i="3"/>
  <c r="I1899" i="3"/>
  <c r="I1903" i="3"/>
  <c r="AR1900" i="3"/>
  <c r="AC1898" i="3"/>
  <c r="I1900" i="3"/>
  <c r="AR1899" i="3"/>
  <c r="AR1903" i="3"/>
  <c r="I1901" i="3"/>
  <c r="AR1901" i="3"/>
  <c r="I1898" i="3"/>
  <c r="AR1898" i="3"/>
  <c r="AC1903" i="3"/>
  <c r="AQ1901" i="3"/>
  <c r="T1902" i="3"/>
  <c r="AQ1902" i="3"/>
  <c r="T1903" i="3"/>
  <c r="AC1901" i="3"/>
  <c r="AQ1903" i="3"/>
  <c r="AC1899" i="3"/>
  <c r="T1898" i="3"/>
  <c r="AC1900" i="3"/>
  <c r="W1898" i="3"/>
  <c r="AQ1898" i="3"/>
  <c r="T1899" i="3"/>
  <c r="T1900" i="3"/>
  <c r="F422" i="5" l="1"/>
  <c r="P1990" i="3" s="1"/>
  <c r="Q1990" i="3" s="1"/>
  <c r="F423" i="5"/>
  <c r="P2014" i="3" s="1"/>
  <c r="F353" i="5"/>
  <c r="F42" i="5"/>
  <c r="P1970" i="3" s="1"/>
  <c r="F43" i="5"/>
  <c r="P1971" i="3" s="1"/>
  <c r="F44" i="5"/>
  <c r="P1972" i="3" s="1"/>
  <c r="F100" i="5"/>
  <c r="F46" i="5"/>
  <c r="F405" i="5"/>
  <c r="F51" i="5"/>
  <c r="F407" i="5"/>
  <c r="F421" i="5"/>
  <c r="F40" i="5"/>
  <c r="P1968" i="3" s="1"/>
  <c r="F49" i="5"/>
  <c r="F124" i="5"/>
  <c r="F158" i="5"/>
  <c r="F41" i="5"/>
  <c r="P1969" i="3" s="1"/>
  <c r="F260" i="5"/>
  <c r="F61" i="5"/>
  <c r="P1958" i="3" s="1"/>
  <c r="F137" i="5"/>
  <c r="F84" i="5"/>
  <c r="F76" i="5"/>
  <c r="P1908" i="3" s="1"/>
  <c r="F88" i="5"/>
  <c r="F375" i="5"/>
  <c r="F232" i="5"/>
  <c r="F233" i="5"/>
  <c r="F56" i="5"/>
  <c r="P1953" i="3" s="1"/>
  <c r="F245" i="5"/>
  <c r="F301" i="5"/>
  <c r="F16" i="5"/>
  <c r="F98" i="5"/>
  <c r="F119" i="5"/>
  <c r="F383" i="5"/>
  <c r="F168" i="5"/>
  <c r="F380" i="5"/>
  <c r="P1975" i="3"/>
  <c r="P1979" i="3"/>
  <c r="F157" i="5"/>
  <c r="F53" i="5"/>
  <c r="F57" i="5"/>
  <c r="P1954" i="3" s="1"/>
  <c r="F59" i="5"/>
  <c r="P1956" i="3" s="1"/>
  <c r="F165" i="5"/>
  <c r="F351" i="5"/>
  <c r="F138" i="5"/>
  <c r="F139" i="5"/>
  <c r="P1993" i="3" s="1"/>
  <c r="P1973" i="3"/>
  <c r="P1977" i="3"/>
  <c r="P1974" i="3"/>
  <c r="P1978" i="3"/>
  <c r="F4" i="5"/>
  <c r="F175" i="5"/>
  <c r="F15" i="5"/>
  <c r="F225" i="5"/>
  <c r="F256" i="5"/>
  <c r="F378" i="5"/>
  <c r="F47" i="5"/>
  <c r="F104" i="5"/>
  <c r="F364" i="5"/>
  <c r="F110" i="5"/>
  <c r="F60" i="5"/>
  <c r="P1957" i="3" s="1"/>
  <c r="F221" i="5"/>
  <c r="F145" i="5"/>
  <c r="F305" i="5"/>
  <c r="P1906" i="3" s="1"/>
  <c r="F296" i="5"/>
  <c r="F169" i="5"/>
  <c r="F112" i="5"/>
  <c r="F174" i="5"/>
  <c r="F259" i="5"/>
  <c r="F295" i="5"/>
  <c r="F219" i="5"/>
  <c r="F173" i="5"/>
  <c r="F359" i="5"/>
  <c r="F217" i="5"/>
  <c r="F209" i="5"/>
  <c r="F223" i="5"/>
  <c r="F382" i="5"/>
  <c r="F291" i="5"/>
  <c r="F413" i="5"/>
  <c r="F362" i="5"/>
  <c r="F376" i="5"/>
  <c r="F389" i="5"/>
  <c r="F386" i="5"/>
  <c r="F412" i="5"/>
  <c r="F30" i="5"/>
  <c r="F363" i="5"/>
  <c r="F228" i="5"/>
  <c r="F27" i="5"/>
  <c r="F206" i="5"/>
  <c r="F354" i="5"/>
  <c r="F278" i="5"/>
  <c r="F177" i="5"/>
  <c r="F160" i="5"/>
  <c r="F115" i="5"/>
  <c r="F369" i="5"/>
  <c r="F395" i="5"/>
  <c r="F75" i="5"/>
  <c r="F373" i="5"/>
  <c r="P1947" i="3" s="1"/>
  <c r="F87" i="5"/>
  <c r="F86" i="5"/>
  <c r="F102" i="5"/>
  <c r="P1976" i="3" s="1"/>
  <c r="F203" i="5"/>
  <c r="F216" i="5"/>
  <c r="F222" i="5"/>
  <c r="F117" i="5"/>
  <c r="F103" i="5"/>
  <c r="P1935" i="3" s="1"/>
  <c r="F21" i="5"/>
  <c r="F123" i="5"/>
  <c r="F68" i="5"/>
  <c r="F357" i="5"/>
  <c r="F24" i="5"/>
  <c r="F176" i="5"/>
  <c r="F82" i="5"/>
  <c r="F129" i="5"/>
  <c r="F36" i="5"/>
  <c r="F23" i="5"/>
  <c r="F143" i="5"/>
  <c r="F172" i="5"/>
  <c r="F381" i="5"/>
  <c r="F313" i="5"/>
  <c r="F99" i="5"/>
  <c r="P1938" i="3" s="1"/>
  <c r="F199" i="5"/>
  <c r="F63" i="5"/>
  <c r="F266" i="5"/>
  <c r="F114" i="5"/>
  <c r="F8" i="5"/>
  <c r="F125" i="5"/>
  <c r="F149" i="5"/>
  <c r="F355" i="5"/>
  <c r="F416" i="5"/>
  <c r="F270" i="5"/>
  <c r="F20" i="5"/>
  <c r="F33" i="5"/>
  <c r="F316" i="5"/>
  <c r="F340" i="5"/>
  <c r="F248" i="5"/>
  <c r="F414" i="5"/>
  <c r="F150" i="5"/>
  <c r="F121" i="5"/>
  <c r="F146" i="5"/>
  <c r="F280" i="5"/>
  <c r="F236" i="5"/>
  <c r="F39" i="5"/>
  <c r="P1967" i="3" s="1"/>
  <c r="F133" i="5"/>
  <c r="F135" i="5"/>
  <c r="F390" i="5"/>
  <c r="F7" i="5"/>
  <c r="F32" i="5"/>
  <c r="F238" i="5"/>
  <c r="F108" i="5"/>
  <c r="F90" i="5"/>
  <c r="P1996" i="3" s="1"/>
  <c r="F91" i="5"/>
  <c r="F275" i="5"/>
  <c r="F402" i="5"/>
  <c r="F50" i="5"/>
  <c r="F341" i="5"/>
  <c r="F371" i="5"/>
  <c r="F6" i="5"/>
  <c r="F79" i="5"/>
  <c r="F92" i="5"/>
  <c r="F167" i="5"/>
  <c r="F25" i="5"/>
  <c r="F261" i="5"/>
  <c r="F279" i="5"/>
  <c r="F283" i="5"/>
  <c r="F34" i="5"/>
  <c r="F346" i="5"/>
  <c r="F288" i="5"/>
  <c r="F342" i="5"/>
  <c r="F343" i="5"/>
  <c r="F130" i="5"/>
  <c r="F235" i="5"/>
  <c r="F403" i="5"/>
  <c r="F155" i="5"/>
  <c r="F19" i="5"/>
  <c r="P1962" i="3" s="1"/>
  <c r="F48" i="5"/>
  <c r="F264" i="5"/>
  <c r="F193" i="5"/>
  <c r="F154" i="5"/>
  <c r="F237" i="5"/>
  <c r="F5" i="5"/>
  <c r="F272" i="5"/>
  <c r="F273" i="5"/>
  <c r="F277" i="5"/>
  <c r="F218" i="5"/>
  <c r="F111" i="5"/>
  <c r="F148" i="5"/>
  <c r="F281" i="5"/>
  <c r="F126" i="5"/>
  <c r="F67" i="5"/>
  <c r="F307" i="5"/>
  <c r="F285" i="5"/>
  <c r="F71" i="5"/>
  <c r="F72" i="5"/>
  <c r="F336" i="5"/>
  <c r="F147" i="5"/>
  <c r="F191" i="5"/>
  <c r="F12" i="5"/>
  <c r="F208" i="5"/>
  <c r="F89" i="5"/>
  <c r="P1922" i="3" s="1"/>
  <c r="F344" i="5"/>
  <c r="F83" i="5"/>
  <c r="F397" i="5"/>
  <c r="F171" i="5"/>
  <c r="F113" i="5"/>
  <c r="F365" i="5"/>
  <c r="F186" i="5"/>
  <c r="F391" i="5"/>
  <c r="F152" i="5"/>
  <c r="F356" i="5"/>
  <c r="F153" i="5"/>
  <c r="F202" i="5"/>
  <c r="F370" i="5"/>
  <c r="F38" i="5"/>
  <c r="P1966" i="3" s="1"/>
  <c r="F388" i="5"/>
  <c r="F188" i="5"/>
  <c r="F404" i="5"/>
  <c r="F189" i="5"/>
  <c r="F70" i="5"/>
  <c r="F347" i="5"/>
  <c r="F287" i="5"/>
  <c r="F312" i="5"/>
  <c r="F131" i="5"/>
  <c r="F94" i="5"/>
  <c r="P1941" i="3" s="1"/>
  <c r="F26" i="5"/>
  <c r="F309" i="5"/>
  <c r="F194" i="5"/>
  <c r="F93" i="5"/>
  <c r="F96" i="5"/>
  <c r="F10" i="5"/>
  <c r="F190" i="5"/>
  <c r="F2" i="5"/>
  <c r="F35" i="5"/>
  <c r="F252" i="5"/>
  <c r="F207" i="5"/>
  <c r="F297" i="5"/>
  <c r="F64" i="5"/>
  <c r="F200" i="5"/>
  <c r="F240" i="5"/>
  <c r="F350" i="5"/>
  <c r="F239" i="5"/>
  <c r="F241" i="5"/>
  <c r="F195" i="5"/>
  <c r="F37" i="5"/>
  <c r="F214" i="5"/>
  <c r="F184" i="5"/>
  <c r="F78" i="5"/>
  <c r="P1910" i="3" s="1"/>
  <c r="F306" i="5"/>
  <c r="F379" i="5"/>
  <c r="F69" i="5"/>
  <c r="F52" i="5"/>
  <c r="F65" i="5"/>
  <c r="F62" i="5"/>
  <c r="P1959" i="3" s="1"/>
  <c r="F300" i="5"/>
  <c r="F183" i="5"/>
  <c r="F198" i="5"/>
  <c r="F197" i="5"/>
  <c r="F349" i="5"/>
  <c r="F182" i="5"/>
  <c r="K1899" i="3"/>
  <c r="N1902" i="3"/>
  <c r="M1901" i="3" a="1"/>
  <c r="M1901" i="3" s="1"/>
  <c r="F120" i="5"/>
  <c r="F417" i="5"/>
  <c r="F377" i="5"/>
  <c r="F107" i="5"/>
  <c r="P1950" i="3" s="1"/>
  <c r="F215" i="5"/>
  <c r="F360" i="5"/>
  <c r="F204" i="5"/>
  <c r="F14" i="5"/>
  <c r="F205" i="5"/>
  <c r="F9" i="5"/>
  <c r="F226" i="5"/>
  <c r="F298" i="5"/>
  <c r="P1913" i="3" s="1"/>
  <c r="F310" i="5"/>
  <c r="F28" i="5"/>
  <c r="F229" i="5"/>
  <c r="F74" i="5"/>
  <c r="F95" i="5"/>
  <c r="F258" i="5"/>
  <c r="F292" i="5"/>
  <c r="F77" i="5"/>
  <c r="P1909" i="3" s="1"/>
  <c r="F293" i="5"/>
  <c r="F408" i="5"/>
  <c r="G124" i="6"/>
  <c r="F122" i="5"/>
  <c r="F211" i="5"/>
  <c r="F304" i="5"/>
  <c r="M1902" i="3" a="1"/>
  <c r="M1902" i="3" s="1"/>
  <c r="K1902" i="3"/>
  <c r="M1899" i="3" a="1"/>
  <c r="M1899" i="3" s="1"/>
  <c r="N1899" i="3"/>
  <c r="K1901" i="3"/>
  <c r="N1900" i="3"/>
  <c r="M1900" i="3" a="1"/>
  <c r="M1900" i="3" s="1"/>
  <c r="K1900" i="3"/>
  <c r="M1903" i="3" a="1"/>
  <c r="M1903" i="3" s="1"/>
  <c r="N1903" i="3"/>
  <c r="K1903" i="3"/>
  <c r="M1898" i="3" a="1"/>
  <c r="M1898" i="3" s="1"/>
  <c r="K1898" i="3"/>
  <c r="P2008" i="3" l="1"/>
  <c r="P2012" i="3"/>
  <c r="AB1990" i="3"/>
  <c r="P1999" i="3"/>
  <c r="P2009" i="3"/>
  <c r="P2013" i="3"/>
  <c r="P1944" i="3"/>
  <c r="P2005" i="3"/>
  <c r="Q2014" i="3"/>
  <c r="AI2014" i="3" s="1"/>
  <c r="AB2014" i="3"/>
  <c r="P1987" i="3"/>
  <c r="P1982" i="3"/>
  <c r="P1986" i="3"/>
  <c r="P1981" i="3"/>
  <c r="P1963" i="3"/>
  <c r="P1985" i="3"/>
  <c r="P1980" i="3"/>
  <c r="Q1975" i="3"/>
  <c r="AB1975" i="3"/>
  <c r="Q1979" i="3"/>
  <c r="AB1979" i="3"/>
  <c r="Q1978" i="3"/>
  <c r="AB1978" i="3"/>
  <c r="Q1974" i="3"/>
  <c r="AB1974" i="3"/>
  <c r="P1931" i="3"/>
  <c r="P1961" i="3"/>
  <c r="P1932" i="3"/>
  <c r="P1925" i="3"/>
  <c r="P1919" i="3"/>
  <c r="N1898" i="3"/>
  <c r="L1903" i="3"/>
  <c r="L1900" i="3"/>
  <c r="AA1902" i="3"/>
  <c r="N1901" i="3"/>
  <c r="L1899" i="3"/>
  <c r="AG1902" i="3"/>
  <c r="L1898" i="3"/>
  <c r="L1902" i="3"/>
  <c r="L1901" i="3"/>
  <c r="AA1899" i="3"/>
  <c r="AG1899" i="3"/>
  <c r="AA1903" i="3"/>
  <c r="AG1903" i="3"/>
  <c r="AA1900" i="3"/>
  <c r="AG1900" i="3"/>
  <c r="Q2013" i="3" l="1"/>
  <c r="AI2013" i="3" s="1"/>
  <c r="AB2013" i="3"/>
  <c r="Q2012" i="3"/>
  <c r="AB2012" i="3"/>
  <c r="AA1898" i="3"/>
  <c r="AG1898" i="3"/>
  <c r="AA1901" i="3"/>
  <c r="AG1901" i="3"/>
  <c r="AH1899" i="3"/>
  <c r="AH1902" i="3"/>
  <c r="AH1900" i="3"/>
  <c r="AH1903" i="3"/>
  <c r="AI2012" i="3" l="1"/>
  <c r="AH1898" i="3"/>
  <c r="AH1901" i="3"/>
  <c r="V392" i="8"/>
  <c r="V391" i="8"/>
  <c r="V390" i="8"/>
  <c r="V389" i="8"/>
  <c r="V388" i="8"/>
  <c r="AJ1897" i="3"/>
  <c r="AF1897" i="3"/>
  <c r="U1897" i="3"/>
  <c r="R1897" i="3"/>
  <c r="O1897" i="3"/>
  <c r="AJ1896" i="3"/>
  <c r="AF1896" i="3"/>
  <c r="U1896" i="3"/>
  <c r="R1896" i="3"/>
  <c r="O1896" i="3"/>
  <c r="AJ1895" i="3"/>
  <c r="AF1895" i="3"/>
  <c r="U1895" i="3"/>
  <c r="O1895" i="3"/>
  <c r="AJ1894" i="3"/>
  <c r="AF1894" i="3"/>
  <c r="U1894" i="3"/>
  <c r="O1894" i="3"/>
  <c r="AJ1893" i="3"/>
  <c r="AF1893" i="3"/>
  <c r="U1893" i="3"/>
  <c r="O1893" i="3"/>
  <c r="AJ1892" i="3"/>
  <c r="AF1892" i="3"/>
  <c r="U1892" i="3"/>
  <c r="O1892" i="3"/>
  <c r="AJ1891" i="3"/>
  <c r="AF1891" i="3"/>
  <c r="U1891" i="3"/>
  <c r="O1891" i="3"/>
  <c r="AJ1890" i="3"/>
  <c r="AF1890" i="3"/>
  <c r="O1890" i="3"/>
  <c r="F1896" i="3"/>
  <c r="F1897" i="3"/>
  <c r="F1895" i="3"/>
  <c r="F1894" i="3"/>
  <c r="F1893" i="3"/>
  <c r="F1892" i="3"/>
  <c r="F1891" i="3"/>
  <c r="F1890" i="3"/>
  <c r="E147" i="6"/>
  <c r="P1891" i="3" s="1"/>
  <c r="C411" i="5"/>
  <c r="C412" i="5"/>
  <c r="C413" i="5"/>
  <c r="C414" i="5"/>
  <c r="C415" i="5"/>
  <c r="U392" i="8"/>
  <c r="R1895" i="3" s="1"/>
  <c r="U391" i="8"/>
  <c r="U390" i="8"/>
  <c r="R1893" i="3" s="1"/>
  <c r="U389" i="8"/>
  <c r="R1892" i="3" s="1"/>
  <c r="U388" i="8"/>
  <c r="R1891" i="3" s="1"/>
  <c r="R1894" i="3" l="1"/>
  <c r="W1897" i="3"/>
  <c r="G1897" i="3"/>
  <c r="W1895" i="3"/>
  <c r="G1895" i="3"/>
  <c r="W1892" i="3"/>
  <c r="W1893" i="3"/>
  <c r="G1896" i="3"/>
  <c r="G1891" i="3"/>
  <c r="W1891" i="3"/>
  <c r="G1890" i="3"/>
  <c r="G1892" i="3"/>
  <c r="W1896" i="3"/>
  <c r="G1893" i="3"/>
  <c r="G1894" i="3"/>
  <c r="W1894" i="3"/>
  <c r="I1892" i="3"/>
  <c r="I1890" i="3"/>
  <c r="AC1895" i="3"/>
  <c r="AR1890" i="3"/>
  <c r="AQ1893" i="3"/>
  <c r="I1897" i="3"/>
  <c r="AQ1892" i="3"/>
  <c r="AR1893" i="3"/>
  <c r="AR1897" i="3"/>
  <c r="AR1895" i="3"/>
  <c r="I1896" i="3"/>
  <c r="I1895" i="3"/>
  <c r="I1894" i="3"/>
  <c r="AR1892" i="3"/>
  <c r="AR1891" i="3"/>
  <c r="I1893" i="3"/>
  <c r="AC1891" i="3"/>
  <c r="I1891" i="3"/>
  <c r="AR1894" i="3"/>
  <c r="AR1896" i="3"/>
  <c r="AC1892" i="3"/>
  <c r="AC1896" i="3"/>
  <c r="T1891" i="3"/>
  <c r="T1895" i="3"/>
  <c r="AC1893" i="3"/>
  <c r="AC1897" i="3"/>
  <c r="AQ1891" i="3"/>
  <c r="T1892" i="3"/>
  <c r="AQ1895" i="3"/>
  <c r="T1896" i="3"/>
  <c r="T1893" i="3"/>
  <c r="AQ1896" i="3"/>
  <c r="T1897" i="3"/>
  <c r="AQ1897" i="3"/>
  <c r="T1894" i="3" l="1"/>
  <c r="AQ1894" i="3"/>
  <c r="AC1894" i="3"/>
  <c r="M1893" i="3" a="1"/>
  <c r="M1893" i="3" s="1"/>
  <c r="K1890" i="3"/>
  <c r="M1892" i="3" a="1"/>
  <c r="M1892" i="3" s="1"/>
  <c r="M1895" i="3" a="1"/>
  <c r="M1895" i="3" s="1"/>
  <c r="N1896" i="3"/>
  <c r="K1892" i="3"/>
  <c r="N1897" i="3"/>
  <c r="M1891" i="3" a="1"/>
  <c r="M1891" i="3" s="1"/>
  <c r="M1897" i="3" a="1"/>
  <c r="M1897" i="3" s="1"/>
  <c r="K1897" i="3"/>
  <c r="K1893" i="3"/>
  <c r="M1894" i="3" a="1"/>
  <c r="M1894" i="3" s="1"/>
  <c r="K1894" i="3"/>
  <c r="K1896" i="3"/>
  <c r="K1895" i="3"/>
  <c r="M1896" i="3" a="1"/>
  <c r="M1896" i="3" s="1"/>
  <c r="K1891" i="3"/>
  <c r="F752" i="7"/>
  <c r="U1890" i="3" s="1"/>
  <c r="AG1897" i="3" l="1"/>
  <c r="AG1896" i="3"/>
  <c r="AA1897" i="3"/>
  <c r="L1892" i="3"/>
  <c r="N1892" i="3"/>
  <c r="N1891" i="3"/>
  <c r="AA1896" i="3"/>
  <c r="L1894" i="3"/>
  <c r="L1890" i="3"/>
  <c r="N1894" i="3"/>
  <c r="L1895" i="3"/>
  <c r="L1897" i="3"/>
  <c r="L1896" i="3"/>
  <c r="L1891" i="3"/>
  <c r="L1893" i="3"/>
  <c r="N1895" i="3"/>
  <c r="N1893" i="3"/>
  <c r="W1890" i="3"/>
  <c r="W97" i="8"/>
  <c r="AA1895" i="3" l="1"/>
  <c r="AG1895" i="3"/>
  <c r="AA1894" i="3"/>
  <c r="AA1893" i="3"/>
  <c r="AG1893" i="3"/>
  <c r="AH1897" i="3"/>
  <c r="AH1896" i="3"/>
  <c r="AG1894" i="3"/>
  <c r="AA1891" i="3"/>
  <c r="Q1891" i="3"/>
  <c r="AG1891" i="3"/>
  <c r="AA1892" i="3"/>
  <c r="AG1892" i="3"/>
  <c r="C410" i="5"/>
  <c r="D114" i="6"/>
  <c r="E114" i="6" s="1"/>
  <c r="F114" i="6" s="1"/>
  <c r="O1889" i="3"/>
  <c r="R1889" i="3"/>
  <c r="U1889" i="3"/>
  <c r="AF1889" i="3"/>
  <c r="AJ1889" i="3"/>
  <c r="F1889" i="3"/>
  <c r="AJ1888" i="3"/>
  <c r="AF1888" i="3"/>
  <c r="U1888" i="3"/>
  <c r="R1888" i="3"/>
  <c r="O1888" i="3"/>
  <c r="AJ1887" i="3"/>
  <c r="AF1887" i="3"/>
  <c r="U1887" i="3"/>
  <c r="O1887" i="3"/>
  <c r="AJ1886" i="3"/>
  <c r="AF1886" i="3"/>
  <c r="U1886" i="3"/>
  <c r="O1886" i="3"/>
  <c r="AJ1885" i="3"/>
  <c r="AF1885" i="3"/>
  <c r="U1885" i="3"/>
  <c r="O1885" i="3"/>
  <c r="AJ1884" i="3"/>
  <c r="AF1884" i="3"/>
  <c r="U1884" i="3"/>
  <c r="O1884" i="3"/>
  <c r="F1888" i="3"/>
  <c r="F1887" i="3"/>
  <c r="F1886" i="3"/>
  <c r="F1885" i="3"/>
  <c r="F1884" i="3"/>
  <c r="F1880" i="3"/>
  <c r="O1880" i="3"/>
  <c r="U1880" i="3"/>
  <c r="AE1880" i="3"/>
  <c r="AJ1880" i="3"/>
  <c r="U1879" i="3"/>
  <c r="AJ1883" i="3"/>
  <c r="AF1883" i="3"/>
  <c r="U1883" i="3"/>
  <c r="R1883" i="3"/>
  <c r="O1883" i="3"/>
  <c r="F1883" i="3"/>
  <c r="AJ1882" i="3"/>
  <c r="AF1882" i="3"/>
  <c r="U1882" i="3"/>
  <c r="R1882" i="3"/>
  <c r="O1882" i="3"/>
  <c r="F1882" i="3"/>
  <c r="AJ1881" i="3"/>
  <c r="AE1881" i="3"/>
  <c r="U1881" i="3"/>
  <c r="O1881" i="3"/>
  <c r="F1881" i="3"/>
  <c r="AJ1879" i="3"/>
  <c r="AE1879" i="3"/>
  <c r="O1879" i="3"/>
  <c r="F1879" i="3"/>
  <c r="F750" i="7"/>
  <c r="G1880" i="3" l="1"/>
  <c r="W1888" i="3"/>
  <c r="AR1883" i="3"/>
  <c r="G1884" i="3"/>
  <c r="AK1879" i="3"/>
  <c r="AH1893" i="3"/>
  <c r="G1886" i="3"/>
  <c r="G1889" i="3"/>
  <c r="AH1892" i="3"/>
  <c r="W1885" i="3"/>
  <c r="G1885" i="3"/>
  <c r="W1883" i="3"/>
  <c r="G1887" i="3"/>
  <c r="G1888" i="3"/>
  <c r="AK1881" i="3"/>
  <c r="AH1895" i="3"/>
  <c r="W1884" i="3"/>
  <c r="W1887" i="3"/>
  <c r="AB1891" i="3"/>
  <c r="AH1891" i="3"/>
  <c r="W1879" i="3"/>
  <c r="AK1880" i="3"/>
  <c r="AH1894" i="3"/>
  <c r="AR1882" i="3"/>
  <c r="I1879" i="3"/>
  <c r="W1882" i="3"/>
  <c r="I1888" i="3"/>
  <c r="AR1889" i="3"/>
  <c r="AR1887" i="3"/>
  <c r="AR1885" i="3"/>
  <c r="AR1888" i="3"/>
  <c r="W1889" i="3"/>
  <c r="AQ1889" i="3"/>
  <c r="T1889" i="3"/>
  <c r="AC1889" i="3"/>
  <c r="I1889" i="3"/>
  <c r="AC1888" i="3"/>
  <c r="W1886" i="3"/>
  <c r="T1888" i="3"/>
  <c r="AQ1888" i="3"/>
  <c r="I1887" i="3"/>
  <c r="I1886" i="3"/>
  <c r="I1885" i="3"/>
  <c r="I1884" i="3"/>
  <c r="AC1882" i="3"/>
  <c r="AR1879" i="3"/>
  <c r="W1880" i="3"/>
  <c r="I1880" i="3"/>
  <c r="I1882" i="3"/>
  <c r="G1881" i="3"/>
  <c r="I1881" i="3"/>
  <c r="G1882" i="3"/>
  <c r="W1881" i="3"/>
  <c r="T1882" i="3"/>
  <c r="AC1883" i="3"/>
  <c r="AQ1882" i="3"/>
  <c r="G1883" i="3"/>
  <c r="T1883" i="3"/>
  <c r="I1883" i="3"/>
  <c r="G1879" i="3"/>
  <c r="AQ1883" i="3"/>
  <c r="K1879" i="3" l="1"/>
  <c r="L1879" i="3" s="1"/>
  <c r="K1884" i="3"/>
  <c r="K1886" i="3"/>
  <c r="K1887" i="3"/>
  <c r="K1888" i="3"/>
  <c r="N1882" i="3"/>
  <c r="K1885" i="3"/>
  <c r="F410" i="5"/>
  <c r="G114" i="6"/>
  <c r="N1888" i="3"/>
  <c r="M1888" i="3" a="1"/>
  <c r="M1888" i="3" s="1"/>
  <c r="K1889" i="3"/>
  <c r="M1889" i="3" a="1"/>
  <c r="M1889" i="3" s="1"/>
  <c r="N1889" i="3"/>
  <c r="K1882" i="3"/>
  <c r="K1880" i="3"/>
  <c r="M1882" i="3" a="1"/>
  <c r="M1882" i="3" s="1"/>
  <c r="K1881" i="3"/>
  <c r="M1883" i="3" a="1"/>
  <c r="M1883" i="3" s="1"/>
  <c r="K1883" i="3"/>
  <c r="N1883" i="3"/>
  <c r="AG1882" i="3" l="1"/>
  <c r="L1887" i="3"/>
  <c r="L1880" i="3"/>
  <c r="AA1882" i="3"/>
  <c r="L1882" i="3"/>
  <c r="L1886" i="3"/>
  <c r="L1884" i="3"/>
  <c r="L1885" i="3"/>
  <c r="L1888" i="3"/>
  <c r="L1881" i="3"/>
  <c r="L1889" i="3"/>
  <c r="L1883" i="3"/>
  <c r="AA1888" i="3"/>
  <c r="AG1888" i="3"/>
  <c r="AA1889" i="3"/>
  <c r="AG1889" i="3"/>
  <c r="AA1883" i="3"/>
  <c r="AG1883" i="3"/>
  <c r="AH1882" i="3" l="1"/>
  <c r="AH1888" i="3"/>
  <c r="AH1889" i="3"/>
  <c r="AH1883" i="3"/>
  <c r="F749" i="7" l="1"/>
  <c r="AJ1878" i="3"/>
  <c r="AF1878" i="3"/>
  <c r="U1878" i="3"/>
  <c r="R1878" i="3"/>
  <c r="O1878" i="3"/>
  <c r="F1878" i="3"/>
  <c r="AJ1877" i="3"/>
  <c r="AF1877" i="3"/>
  <c r="U1877" i="3"/>
  <c r="R1877" i="3"/>
  <c r="O1877" i="3"/>
  <c r="F1877" i="3"/>
  <c r="AJ1876" i="3"/>
  <c r="AE1876" i="3"/>
  <c r="U1876" i="3"/>
  <c r="R1876" i="3"/>
  <c r="O1876" i="3"/>
  <c r="L1876" i="3"/>
  <c r="F1876" i="3"/>
  <c r="AJ1875" i="3"/>
  <c r="AE1875" i="3"/>
  <c r="U1875" i="3"/>
  <c r="O1875" i="3"/>
  <c r="F1875" i="3"/>
  <c r="E152" i="6"/>
  <c r="F152" i="6" s="1"/>
  <c r="W1875" i="3" l="1"/>
  <c r="W1877" i="3"/>
  <c r="AR1878" i="3"/>
  <c r="AK1875" i="3"/>
  <c r="W1878" i="3"/>
  <c r="I1876" i="3"/>
  <c r="AF1876" i="3"/>
  <c r="AK1876" i="3"/>
  <c r="G1875" i="3"/>
  <c r="I1877" i="3"/>
  <c r="AR1876" i="3"/>
  <c r="I1875" i="3"/>
  <c r="AQ1876" i="3"/>
  <c r="W1876" i="3"/>
  <c r="AC1878" i="3"/>
  <c r="AR1875" i="3"/>
  <c r="AQ1877" i="3"/>
  <c r="T1876" i="3"/>
  <c r="AR1877" i="3"/>
  <c r="G1876" i="3"/>
  <c r="G1877" i="3"/>
  <c r="T1877" i="3"/>
  <c r="G1878" i="3"/>
  <c r="T1878" i="3"/>
  <c r="I1878" i="3"/>
  <c r="AC1876" i="3"/>
  <c r="AC1877" i="3"/>
  <c r="AQ1878" i="3"/>
  <c r="F748" i="7"/>
  <c r="AJ1874" i="3"/>
  <c r="AF1874" i="3"/>
  <c r="U1874" i="3"/>
  <c r="R1874" i="3"/>
  <c r="O1874" i="3"/>
  <c r="AJ1873" i="3"/>
  <c r="AF1873" i="3"/>
  <c r="U1873" i="3"/>
  <c r="O1873" i="3"/>
  <c r="F1874" i="3"/>
  <c r="F1873" i="3"/>
  <c r="F747" i="7"/>
  <c r="AJ1872" i="3"/>
  <c r="AF1872" i="3"/>
  <c r="U1872" i="3"/>
  <c r="R1872" i="3"/>
  <c r="O1872" i="3"/>
  <c r="AJ1871" i="3"/>
  <c r="AF1871" i="3"/>
  <c r="U1871" i="3"/>
  <c r="R1871" i="3"/>
  <c r="O1871" i="3"/>
  <c r="AJ1870" i="3"/>
  <c r="AF1870" i="3"/>
  <c r="U1870" i="3"/>
  <c r="O1870" i="3"/>
  <c r="K1877" i="3" l="1"/>
  <c r="M1877" i="3" a="1"/>
  <c r="M1877" i="3" s="1"/>
  <c r="N1877" i="3"/>
  <c r="K1875" i="3"/>
  <c r="M1878" i="3" a="1"/>
  <c r="M1878" i="3" s="1"/>
  <c r="K1878" i="3"/>
  <c r="N1878" i="3"/>
  <c r="G1874" i="3"/>
  <c r="W1873" i="3"/>
  <c r="W1874" i="3"/>
  <c r="G1873" i="3"/>
  <c r="AR1873" i="3"/>
  <c r="AR1874" i="3"/>
  <c r="I1873" i="3"/>
  <c r="I1874" i="3"/>
  <c r="AC1874" i="3"/>
  <c r="T1874" i="3"/>
  <c r="AQ1874" i="3"/>
  <c r="T1872" i="3"/>
  <c r="W1872" i="3"/>
  <c r="AC1871" i="3"/>
  <c r="W1870" i="3"/>
  <c r="W1871" i="3"/>
  <c r="AC1872" i="3"/>
  <c r="T1871" i="3"/>
  <c r="F1872" i="3"/>
  <c r="F1871" i="3"/>
  <c r="F1870" i="3"/>
  <c r="L1878" i="3" l="1"/>
  <c r="L1877" i="3"/>
  <c r="AA1877" i="3"/>
  <c r="AG1877" i="3"/>
  <c r="L1875" i="3"/>
  <c r="AA1878" i="3"/>
  <c r="AG1878" i="3"/>
  <c r="AR1872" i="3"/>
  <c r="N1874" i="3"/>
  <c r="K1873" i="3"/>
  <c r="AR1871" i="3"/>
  <c r="M1874" i="3" a="1"/>
  <c r="M1874" i="3" s="1"/>
  <c r="K1874" i="3"/>
  <c r="G1871" i="3"/>
  <c r="I1872" i="3"/>
  <c r="I1870" i="3"/>
  <c r="AR1870" i="3"/>
  <c r="I1871" i="3"/>
  <c r="G1870" i="3"/>
  <c r="G1872" i="3"/>
  <c r="AH1877" i="3" l="1"/>
  <c r="AH1878" i="3"/>
  <c r="L1873" i="3"/>
  <c r="AA1874" i="3"/>
  <c r="L1874" i="3"/>
  <c r="AG1874" i="3"/>
  <c r="K1871" i="3"/>
  <c r="N1871" i="3"/>
  <c r="M1871" i="3" a="1"/>
  <c r="M1871" i="3" s="1"/>
  <c r="M1872" i="3" a="1"/>
  <c r="M1872" i="3" s="1"/>
  <c r="K1872" i="3"/>
  <c r="N1872" i="3"/>
  <c r="K1870" i="3"/>
  <c r="AH1874" i="3" l="1"/>
  <c r="L1872" i="3"/>
  <c r="AA1871" i="3"/>
  <c r="AG1871" i="3"/>
  <c r="AA1872" i="3"/>
  <c r="AG1872" i="3"/>
  <c r="L1871" i="3"/>
  <c r="L1870" i="3"/>
  <c r="C409" i="5"/>
  <c r="AJ1869" i="3"/>
  <c r="AF1869" i="3"/>
  <c r="U1869" i="3"/>
  <c r="R1869" i="3"/>
  <c r="O1869" i="3"/>
  <c r="AJ1868" i="3"/>
  <c r="AF1868" i="3"/>
  <c r="U1868" i="3"/>
  <c r="R1868" i="3"/>
  <c r="O1868" i="3"/>
  <c r="AJ1867" i="3"/>
  <c r="AF1867" i="3"/>
  <c r="U1867" i="3"/>
  <c r="R1867" i="3"/>
  <c r="O1867" i="3"/>
  <c r="AJ1866" i="3"/>
  <c r="AF1866" i="3"/>
  <c r="U1866" i="3"/>
  <c r="R1866" i="3"/>
  <c r="O1866" i="3"/>
  <c r="AJ1865" i="3"/>
  <c r="AF1865" i="3"/>
  <c r="U1865" i="3"/>
  <c r="O1865" i="3"/>
  <c r="AJ1864" i="3"/>
  <c r="AF1864" i="3"/>
  <c r="U1864" i="3"/>
  <c r="O1864" i="3"/>
  <c r="AJ1863" i="3"/>
  <c r="AF1863" i="3"/>
  <c r="U1863" i="3"/>
  <c r="O1863" i="3"/>
  <c r="AJ1862" i="3"/>
  <c r="AF1862" i="3"/>
  <c r="U1862" i="3"/>
  <c r="O1862" i="3"/>
  <c r="F1862" i="3"/>
  <c r="F1863" i="3"/>
  <c r="F1864" i="3"/>
  <c r="F1865" i="3"/>
  <c r="F1866" i="3"/>
  <c r="F1867" i="3"/>
  <c r="F1868" i="3"/>
  <c r="F1869" i="3"/>
  <c r="AJ1861" i="3"/>
  <c r="AF1861" i="3"/>
  <c r="U1861" i="3"/>
  <c r="R1861" i="3"/>
  <c r="O1861" i="3"/>
  <c r="AJ1860" i="3"/>
  <c r="AF1860" i="3"/>
  <c r="U1860" i="3"/>
  <c r="R1860" i="3"/>
  <c r="O1860" i="3"/>
  <c r="AJ1859" i="3"/>
  <c r="AF1859" i="3"/>
  <c r="U1859" i="3"/>
  <c r="R1859" i="3"/>
  <c r="O1859" i="3"/>
  <c r="AJ1858" i="3"/>
  <c r="AF1858" i="3"/>
  <c r="U1858" i="3"/>
  <c r="R1858" i="3"/>
  <c r="O1858" i="3"/>
  <c r="AJ1857" i="3"/>
  <c r="AF1857" i="3"/>
  <c r="U1857" i="3"/>
  <c r="O1857" i="3"/>
  <c r="AJ1856" i="3"/>
  <c r="AF1856" i="3"/>
  <c r="U1856" i="3"/>
  <c r="O1856" i="3"/>
  <c r="F1861" i="3"/>
  <c r="F1860" i="3"/>
  <c r="F1859" i="3"/>
  <c r="F1858" i="3"/>
  <c r="F1857" i="3"/>
  <c r="F1856" i="3"/>
  <c r="C408" i="5"/>
  <c r="C407" i="5"/>
  <c r="P1857" i="3"/>
  <c r="C406" i="5"/>
  <c r="AH1872" i="3" l="1"/>
  <c r="AH1871" i="3"/>
  <c r="G1856" i="3"/>
  <c r="I1857" i="3"/>
  <c r="I1858" i="3"/>
  <c r="I1859" i="3"/>
  <c r="G1860" i="3"/>
  <c r="G1861" i="3"/>
  <c r="W1857" i="3"/>
  <c r="W1858" i="3"/>
  <c r="W1859" i="3"/>
  <c r="T1860" i="3"/>
  <c r="W1860" i="3"/>
  <c r="T1861" i="3"/>
  <c r="W1861" i="3"/>
  <c r="G1869" i="3"/>
  <c r="G1868" i="3"/>
  <c r="G1867" i="3"/>
  <c r="G1866" i="3"/>
  <c r="G1865" i="3"/>
  <c r="G1864" i="3"/>
  <c r="G1863" i="3"/>
  <c r="G1862" i="3"/>
  <c r="W1862" i="3"/>
  <c r="W1863" i="3"/>
  <c r="W1864" i="3"/>
  <c r="W1865" i="3"/>
  <c r="T1866" i="3"/>
  <c r="W1866" i="3"/>
  <c r="T1867" i="3"/>
  <c r="T1868" i="3"/>
  <c r="W1868" i="3"/>
  <c r="T1869" i="3"/>
  <c r="W1869" i="3"/>
  <c r="W1867" i="3"/>
  <c r="AQ1858" i="3"/>
  <c r="I1866" i="3"/>
  <c r="I1864" i="3"/>
  <c r="AQ1859" i="3"/>
  <c r="T1858" i="3"/>
  <c r="I1862" i="3"/>
  <c r="G1857" i="3"/>
  <c r="AQ1860" i="3"/>
  <c r="AQ1861" i="3"/>
  <c r="I1869" i="3"/>
  <c r="G1858" i="3"/>
  <c r="G1859" i="3"/>
  <c r="I1856" i="3"/>
  <c r="AC1859" i="3"/>
  <c r="I1868" i="3"/>
  <c r="I1867" i="3"/>
  <c r="AQ1866" i="3"/>
  <c r="I1865" i="3"/>
  <c r="AQ1867" i="3"/>
  <c r="AQ1868" i="3"/>
  <c r="I1863" i="3"/>
  <c r="AQ1869" i="3"/>
  <c r="AC1866" i="3"/>
  <c r="AC1867" i="3"/>
  <c r="AC1868" i="3"/>
  <c r="AC1869" i="3"/>
  <c r="I1861" i="3"/>
  <c r="T1859" i="3"/>
  <c r="I1860" i="3"/>
  <c r="AC1858" i="3"/>
  <c r="AC1860" i="3"/>
  <c r="AC1861" i="3"/>
  <c r="W1856" i="3"/>
  <c r="N1859" i="3" l="1"/>
  <c r="K1858" i="3"/>
  <c r="K1857" i="3"/>
  <c r="N1858" i="3"/>
  <c r="M1858" i="3" a="1"/>
  <c r="M1858" i="3" s="1"/>
  <c r="K1859" i="3"/>
  <c r="M1859" i="3" a="1"/>
  <c r="M1859" i="3" s="1"/>
  <c r="K1869" i="3"/>
  <c r="K1862" i="3"/>
  <c r="K1864" i="3"/>
  <c r="K1866" i="3"/>
  <c r="N1866" i="3"/>
  <c r="M1866" i="3" a="1"/>
  <c r="M1866" i="3" s="1"/>
  <c r="K1856" i="3"/>
  <c r="N1868" i="3"/>
  <c r="M1868" i="3" a="1"/>
  <c r="M1868" i="3" s="1"/>
  <c r="N1869" i="3"/>
  <c r="K1867" i="3"/>
  <c r="M1867" i="3" a="1"/>
  <c r="M1867" i="3" s="1"/>
  <c r="N1867" i="3"/>
  <c r="K1865" i="3"/>
  <c r="K1863" i="3"/>
  <c r="K1868" i="3"/>
  <c r="M1869" i="3" a="1"/>
  <c r="M1869" i="3" s="1"/>
  <c r="M1861" i="3" a="1"/>
  <c r="M1861" i="3" s="1"/>
  <c r="N1861" i="3"/>
  <c r="K1861" i="3"/>
  <c r="K1860" i="3"/>
  <c r="M1860" i="3" a="1"/>
  <c r="M1860" i="3" s="1"/>
  <c r="N1860" i="3"/>
  <c r="L1858" i="3" l="1"/>
  <c r="L1857" i="3"/>
  <c r="L1859" i="3"/>
  <c r="AG1858" i="3"/>
  <c r="AG1859" i="3"/>
  <c r="AA1859" i="3"/>
  <c r="AA1858" i="3"/>
  <c r="AG1866" i="3"/>
  <c r="L1860" i="3"/>
  <c r="L1861" i="3"/>
  <c r="L1868" i="3"/>
  <c r="L1863" i="3"/>
  <c r="L1865" i="3"/>
  <c r="L1867" i="3"/>
  <c r="L1856" i="3"/>
  <c r="AA1866" i="3"/>
  <c r="L1866" i="3"/>
  <c r="L1864" i="3"/>
  <c r="L1862" i="3"/>
  <c r="L1869" i="3"/>
  <c r="AA1867" i="3"/>
  <c r="AG1867" i="3"/>
  <c r="AA1869" i="3"/>
  <c r="AG1869" i="3"/>
  <c r="AA1868" i="3"/>
  <c r="AG1868" i="3"/>
  <c r="AA1860" i="3"/>
  <c r="AG1860" i="3"/>
  <c r="AA1861" i="3"/>
  <c r="AG1861" i="3"/>
  <c r="AH1858" i="3" l="1"/>
  <c r="AH1859" i="3"/>
  <c r="AH1868" i="3"/>
  <c r="AH1869" i="3"/>
  <c r="AH1867" i="3"/>
  <c r="AH1866" i="3"/>
  <c r="AH1861" i="3"/>
  <c r="AH1860" i="3"/>
  <c r="C405" i="5"/>
  <c r="U387" i="8"/>
  <c r="V387" i="8"/>
  <c r="U386" i="8"/>
  <c r="V386" i="8"/>
  <c r="U385" i="8"/>
  <c r="V385" i="8"/>
  <c r="V384" i="8"/>
  <c r="U384" i="8"/>
  <c r="R1864" i="3" l="1"/>
  <c r="AQ1864" i="3" s="1"/>
  <c r="M1857" i="3" a="1"/>
  <c r="M1857" i="3" s="1"/>
  <c r="R1857" i="3"/>
  <c r="AQ1857" i="3" s="1"/>
  <c r="M1864" i="3" a="1"/>
  <c r="M1864" i="3" s="1"/>
  <c r="R1865" i="3"/>
  <c r="R1856" i="3"/>
  <c r="M1856" i="3" a="1"/>
  <c r="M1856" i="3" s="1"/>
  <c r="M1865" i="3" a="1"/>
  <c r="M1865" i="3" s="1"/>
  <c r="W382" i="8"/>
  <c r="W383" i="8"/>
  <c r="X383" i="8"/>
  <c r="C404" i="5"/>
  <c r="C403" i="5"/>
  <c r="AJ1855" i="3"/>
  <c r="AF1855" i="3"/>
  <c r="U1855" i="3"/>
  <c r="R1855" i="3"/>
  <c r="O1855" i="3"/>
  <c r="F1855" i="3"/>
  <c r="AJ1854" i="3"/>
  <c r="AF1854" i="3"/>
  <c r="U1854" i="3"/>
  <c r="R1854" i="3"/>
  <c r="O1854" i="3"/>
  <c r="F1854" i="3"/>
  <c r="AJ1853" i="3"/>
  <c r="AE1853" i="3"/>
  <c r="O1853" i="3"/>
  <c r="F1853" i="3"/>
  <c r="F744" i="7"/>
  <c r="U1853" i="3" s="1"/>
  <c r="AJ1852" i="3"/>
  <c r="AF1852" i="3"/>
  <c r="U1852" i="3"/>
  <c r="R1852" i="3"/>
  <c r="O1852" i="3"/>
  <c r="F1852" i="3"/>
  <c r="AJ1851" i="3"/>
  <c r="AF1851" i="3"/>
  <c r="U1851" i="3"/>
  <c r="R1851" i="3"/>
  <c r="O1851" i="3"/>
  <c r="F1851" i="3"/>
  <c r="AJ1850" i="3"/>
  <c r="AE1850" i="3"/>
  <c r="O1850" i="3"/>
  <c r="F1850" i="3"/>
  <c r="F743" i="7"/>
  <c r="U1850" i="3" s="1"/>
  <c r="F742" i="7"/>
  <c r="U1847" i="3" s="1"/>
  <c r="AJ1849" i="3"/>
  <c r="AF1849" i="3"/>
  <c r="U1849" i="3"/>
  <c r="R1849" i="3"/>
  <c r="O1849" i="3"/>
  <c r="F1849" i="3"/>
  <c r="AJ1848" i="3"/>
  <c r="AF1848" i="3"/>
  <c r="U1848" i="3"/>
  <c r="R1848" i="3"/>
  <c r="O1848" i="3"/>
  <c r="F1848" i="3"/>
  <c r="AJ1847" i="3"/>
  <c r="AF1847" i="3"/>
  <c r="O1847" i="3"/>
  <c r="F1847" i="3"/>
  <c r="AJ1846" i="3"/>
  <c r="AF1846" i="3"/>
  <c r="U1846" i="3"/>
  <c r="R1846" i="3"/>
  <c r="O1846" i="3"/>
  <c r="F1846" i="3"/>
  <c r="AJ1845" i="3"/>
  <c r="AF1845" i="3"/>
  <c r="U1845" i="3"/>
  <c r="R1845" i="3"/>
  <c r="O1845" i="3"/>
  <c r="F1845" i="3"/>
  <c r="AJ1844" i="3"/>
  <c r="AF1844" i="3"/>
  <c r="O1844" i="3"/>
  <c r="F1844" i="3"/>
  <c r="AJ1843" i="3"/>
  <c r="AF1843" i="3"/>
  <c r="U1843" i="3"/>
  <c r="R1843" i="3"/>
  <c r="O1843" i="3"/>
  <c r="F1843" i="3"/>
  <c r="AJ1842" i="3"/>
  <c r="AF1842" i="3"/>
  <c r="U1842" i="3"/>
  <c r="R1842" i="3"/>
  <c r="O1842" i="3"/>
  <c r="F1842" i="3"/>
  <c r="AJ1841" i="3"/>
  <c r="AF1841" i="3"/>
  <c r="O1841" i="3"/>
  <c r="F1841" i="3"/>
  <c r="AJ1840" i="3"/>
  <c r="AF1840" i="3"/>
  <c r="U1840" i="3"/>
  <c r="R1840" i="3"/>
  <c r="O1840" i="3"/>
  <c r="F1840" i="3"/>
  <c r="AJ1839" i="3"/>
  <c r="AF1839" i="3"/>
  <c r="U1839" i="3"/>
  <c r="R1839" i="3"/>
  <c r="O1839" i="3"/>
  <c r="F1839" i="3"/>
  <c r="AJ1838" i="3"/>
  <c r="AE1838" i="3"/>
  <c r="O1838" i="3"/>
  <c r="F1838" i="3"/>
  <c r="F740" i="7"/>
  <c r="U1841" i="3" s="1"/>
  <c r="F741" i="7"/>
  <c r="U1844" i="3" s="1"/>
  <c r="F739" i="7"/>
  <c r="U1838" i="3" s="1"/>
  <c r="T1864" i="3" l="1"/>
  <c r="AC1864" i="3"/>
  <c r="N1864" i="3"/>
  <c r="AA1864" i="3" s="1"/>
  <c r="N1857" i="3"/>
  <c r="AA1857" i="3" s="1"/>
  <c r="T1857" i="3"/>
  <c r="AC1857" i="3"/>
  <c r="W1838" i="3"/>
  <c r="W1844" i="3"/>
  <c r="AR1838" i="3"/>
  <c r="AF1838" i="3"/>
  <c r="AR1839" i="3"/>
  <c r="AR1840" i="3"/>
  <c r="W1840" i="3"/>
  <c r="AR1841" i="3"/>
  <c r="AK1841" i="3"/>
  <c r="AR1842" i="3"/>
  <c r="AR1843" i="3"/>
  <c r="W1843" i="3"/>
  <c r="AR1844" i="3"/>
  <c r="AK1844" i="3"/>
  <c r="AR1845" i="3"/>
  <c r="T1845" i="3"/>
  <c r="AR1846" i="3"/>
  <c r="W1846" i="3"/>
  <c r="I1847" i="3"/>
  <c r="AK1847" i="3"/>
  <c r="I1848" i="3"/>
  <c r="I1849" i="3"/>
  <c r="W1849" i="3"/>
  <c r="I1850" i="3"/>
  <c r="AK1850" i="3"/>
  <c r="I1851" i="3"/>
  <c r="I1852" i="3"/>
  <c r="W1852" i="3"/>
  <c r="G1853" i="3"/>
  <c r="W1853" i="3"/>
  <c r="AK1853" i="3"/>
  <c r="AR1854" i="3"/>
  <c r="W1854" i="3"/>
  <c r="AR1855" i="3"/>
  <c r="N1865" i="3"/>
  <c r="N1856" i="3"/>
  <c r="AQ1848" i="3"/>
  <c r="T1856" i="3"/>
  <c r="AC1856" i="3"/>
  <c r="AQ1856" i="3"/>
  <c r="T1865" i="3"/>
  <c r="AC1865" i="3"/>
  <c r="AQ1865" i="3"/>
  <c r="T1849" i="3"/>
  <c r="AQ1849" i="3"/>
  <c r="AQ1851" i="3"/>
  <c r="T1852" i="3"/>
  <c r="AQ1852" i="3"/>
  <c r="AQ1855" i="3"/>
  <c r="AR1853" i="3"/>
  <c r="I1853" i="3"/>
  <c r="I1854" i="3"/>
  <c r="T1855" i="3"/>
  <c r="W1855" i="3"/>
  <c r="AC1854" i="3"/>
  <c r="G1854" i="3"/>
  <c r="T1854" i="3"/>
  <c r="AC1855" i="3"/>
  <c r="AQ1854" i="3"/>
  <c r="G1855" i="3"/>
  <c r="I1855" i="3"/>
  <c r="G1850" i="3"/>
  <c r="W1851" i="3"/>
  <c r="AC1851" i="3"/>
  <c r="W1850" i="3"/>
  <c r="G1851" i="3"/>
  <c r="T1851" i="3"/>
  <c r="AC1852" i="3"/>
  <c r="G1852" i="3"/>
  <c r="W1848" i="3"/>
  <c r="AC1849" i="3"/>
  <c r="G1847" i="3"/>
  <c r="AC1848" i="3"/>
  <c r="W1847" i="3"/>
  <c r="G1848" i="3"/>
  <c r="T1848" i="3"/>
  <c r="G1849" i="3"/>
  <c r="AC1846" i="3"/>
  <c r="AC1845" i="3"/>
  <c r="I1845" i="3"/>
  <c r="W1845" i="3"/>
  <c r="G1844" i="3"/>
  <c r="I1846" i="3"/>
  <c r="AQ1845" i="3"/>
  <c r="G1845" i="3"/>
  <c r="I1844" i="3"/>
  <c r="G1846" i="3"/>
  <c r="T1846" i="3"/>
  <c r="AQ1846" i="3"/>
  <c r="T1839" i="3"/>
  <c r="AQ1839" i="3"/>
  <c r="T1842" i="3"/>
  <c r="AC1843" i="3"/>
  <c r="W1842" i="3"/>
  <c r="AQ1842" i="3"/>
  <c r="G1841" i="3"/>
  <c r="I1841" i="3"/>
  <c r="T1843" i="3"/>
  <c r="AC1842" i="3"/>
  <c r="G1842" i="3"/>
  <c r="I1842" i="3"/>
  <c r="I1843" i="3"/>
  <c r="W1841" i="3"/>
  <c r="AQ1843" i="3"/>
  <c r="G1843" i="3"/>
  <c r="AC1840" i="3"/>
  <c r="AC1839" i="3"/>
  <c r="G1839" i="3"/>
  <c r="I1839" i="3"/>
  <c r="G1840" i="3"/>
  <c r="T1840" i="3"/>
  <c r="I1840" i="3"/>
  <c r="W1839" i="3"/>
  <c r="G1838" i="3"/>
  <c r="I1838" i="3"/>
  <c r="AQ1840" i="3"/>
  <c r="AG1864" i="3" l="1"/>
  <c r="Q1857" i="3"/>
  <c r="AG1857" i="3"/>
  <c r="AA1865" i="3"/>
  <c r="AH1864" i="3"/>
  <c r="AH1857" i="3"/>
  <c r="AB1857" i="3"/>
  <c r="M1852" i="3" a="1"/>
  <c r="M1852" i="3" s="1"/>
  <c r="N1851" i="3"/>
  <c r="M1849" i="3" a="1"/>
  <c r="M1849" i="3" s="1"/>
  <c r="N1848" i="3"/>
  <c r="AG1865" i="3"/>
  <c r="K1851" i="3"/>
  <c r="M1848" i="3" a="1"/>
  <c r="M1848" i="3" s="1"/>
  <c r="N1852" i="3"/>
  <c r="N1849" i="3"/>
  <c r="K1852" i="3"/>
  <c r="K1849" i="3"/>
  <c r="AG1856" i="3"/>
  <c r="K1848" i="3"/>
  <c r="K1850" i="3"/>
  <c r="AA1856" i="3"/>
  <c r="M1851" i="3" a="1"/>
  <c r="M1851" i="3" s="1"/>
  <c r="K1847" i="3"/>
  <c r="N1854" i="3"/>
  <c r="K1853" i="3"/>
  <c r="M1854" i="3" a="1"/>
  <c r="M1854" i="3" s="1"/>
  <c r="K1854" i="3"/>
  <c r="M1855" i="3" a="1"/>
  <c r="M1855" i="3" s="1"/>
  <c r="K1855" i="3"/>
  <c r="N1855" i="3"/>
  <c r="K1844" i="3"/>
  <c r="M1845" i="3" a="1"/>
  <c r="M1845" i="3" s="1"/>
  <c r="N1845" i="3"/>
  <c r="K1845" i="3"/>
  <c r="M1846" i="3" a="1"/>
  <c r="M1846" i="3" s="1"/>
  <c r="K1846" i="3"/>
  <c r="N1846" i="3"/>
  <c r="M1843" i="3" a="1"/>
  <c r="M1843" i="3" s="1"/>
  <c r="N1843" i="3"/>
  <c r="K1843" i="3"/>
  <c r="M1842" i="3" a="1"/>
  <c r="M1842" i="3" s="1"/>
  <c r="N1842" i="3"/>
  <c r="K1842" i="3"/>
  <c r="K1841" i="3"/>
  <c r="K1838" i="3"/>
  <c r="K1839" i="3"/>
  <c r="N1839" i="3"/>
  <c r="M1839" i="3" a="1"/>
  <c r="M1839" i="3" s="1"/>
  <c r="M1840" i="3" a="1"/>
  <c r="M1840" i="3" s="1"/>
  <c r="K1840" i="3"/>
  <c r="N1840" i="3"/>
  <c r="AA1851" i="3" l="1"/>
  <c r="AH1865" i="3"/>
  <c r="AA1852" i="3"/>
  <c r="AG1848" i="3"/>
  <c r="AG1851" i="3"/>
  <c r="AG1849" i="3"/>
  <c r="AA1848" i="3"/>
  <c r="AG1852" i="3"/>
  <c r="L1848" i="3"/>
  <c r="L1850" i="3"/>
  <c r="L1849" i="3"/>
  <c r="L1852" i="3"/>
  <c r="AA1849" i="3"/>
  <c r="L1851" i="3"/>
  <c r="AH1856" i="3"/>
  <c r="AG1854" i="3"/>
  <c r="L1847" i="3"/>
  <c r="L1840" i="3"/>
  <c r="L1839" i="3"/>
  <c r="L1838" i="3"/>
  <c r="L1841" i="3"/>
  <c r="L1842" i="3"/>
  <c r="L1843" i="3"/>
  <c r="L1846" i="3"/>
  <c r="L1845" i="3"/>
  <c r="L1844" i="3"/>
  <c r="L1855" i="3"/>
  <c r="L1854" i="3"/>
  <c r="L1853" i="3"/>
  <c r="AA1854" i="3"/>
  <c r="AA1855" i="3"/>
  <c r="AG1855" i="3"/>
  <c r="AA1846" i="3"/>
  <c r="AG1846" i="3"/>
  <c r="AG1845" i="3"/>
  <c r="AA1845" i="3"/>
  <c r="AA1842" i="3"/>
  <c r="AG1842" i="3"/>
  <c r="AA1843" i="3"/>
  <c r="AG1843" i="3"/>
  <c r="AA1840" i="3"/>
  <c r="AG1840" i="3"/>
  <c r="AG1839" i="3"/>
  <c r="AA1839" i="3"/>
  <c r="AH1851" i="3" l="1"/>
  <c r="AH1852" i="3"/>
  <c r="AH1848" i="3"/>
  <c r="AH1849" i="3"/>
  <c r="AH1854" i="3"/>
  <c r="AH1855" i="3"/>
  <c r="AH1845" i="3"/>
  <c r="AH1846" i="3"/>
  <c r="AH1842" i="3"/>
  <c r="AH1843" i="3"/>
  <c r="AH1840" i="3"/>
  <c r="AH1839" i="3"/>
  <c r="F738" i="7" l="1"/>
  <c r="U1834" i="3" s="1"/>
  <c r="AJ1837" i="3"/>
  <c r="AF1837" i="3"/>
  <c r="U1837" i="3"/>
  <c r="R1837" i="3" a="1"/>
  <c r="R1837" i="3" s="1"/>
  <c r="O1837" i="3"/>
  <c r="AJ1836" i="3"/>
  <c r="AF1836" i="3"/>
  <c r="U1836" i="3"/>
  <c r="R1836" i="3" a="1"/>
  <c r="R1836" i="3" s="1"/>
  <c r="O1836" i="3"/>
  <c r="AJ1835" i="3"/>
  <c r="AF1835" i="3"/>
  <c r="U1835" i="3"/>
  <c r="O1835" i="3"/>
  <c r="AJ1834" i="3"/>
  <c r="AF1834" i="3"/>
  <c r="O1834" i="3"/>
  <c r="F1837" i="3"/>
  <c r="F1836" i="3"/>
  <c r="F1835" i="3"/>
  <c r="F1834" i="3"/>
  <c r="AJ1833" i="3"/>
  <c r="AF1833" i="3"/>
  <c r="U1833" i="3"/>
  <c r="R1833" i="3"/>
  <c r="O1833" i="3"/>
  <c r="AJ1832" i="3"/>
  <c r="AF1832" i="3"/>
  <c r="U1832" i="3"/>
  <c r="R1832" i="3"/>
  <c r="O1832" i="3"/>
  <c r="AJ1831" i="3"/>
  <c r="AF1831" i="3"/>
  <c r="U1831" i="3"/>
  <c r="O1831" i="3"/>
  <c r="F1833" i="3"/>
  <c r="F1832" i="3"/>
  <c r="F1831" i="3"/>
  <c r="C402" i="5"/>
  <c r="V381" i="8"/>
  <c r="U381" i="8"/>
  <c r="R1831" i="3" l="1"/>
  <c r="AQ1831" i="3" s="1"/>
  <c r="G1831" i="3"/>
  <c r="G1832" i="3"/>
  <c r="G1833" i="3"/>
  <c r="W1832" i="3"/>
  <c r="W1833" i="3"/>
  <c r="G1834" i="3"/>
  <c r="G1835" i="3"/>
  <c r="G1836" i="3"/>
  <c r="G1837" i="3"/>
  <c r="W1835" i="3"/>
  <c r="T1836" i="3"/>
  <c r="W1837" i="3"/>
  <c r="W1834" i="3"/>
  <c r="T1833" i="3"/>
  <c r="AQ1833" i="3"/>
  <c r="T1832" i="3"/>
  <c r="AQ1832" i="3"/>
  <c r="AR1837" i="3"/>
  <c r="I1834" i="3"/>
  <c r="I1835" i="3"/>
  <c r="AR1836" i="3"/>
  <c r="I1837" i="3"/>
  <c r="I1836" i="3"/>
  <c r="AQ1837" i="3"/>
  <c r="T1837" i="3"/>
  <c r="AC1837" i="3"/>
  <c r="W1836" i="3"/>
  <c r="AQ1836" i="3"/>
  <c r="AC1836" i="3"/>
  <c r="I1832" i="3"/>
  <c r="I1833" i="3"/>
  <c r="I1831" i="3"/>
  <c r="AC1832" i="3"/>
  <c r="AC1833" i="3"/>
  <c r="W1831" i="3"/>
  <c r="AC1831" i="3" l="1"/>
  <c r="T1831" i="3"/>
  <c r="M1831" i="3" a="1"/>
  <c r="M1831" i="3" s="1"/>
  <c r="N1833" i="3"/>
  <c r="N1832" i="3"/>
  <c r="N1836" i="3"/>
  <c r="K1834" i="3"/>
  <c r="M1837" i="3" a="1"/>
  <c r="M1837" i="3" s="1"/>
  <c r="N1837" i="3"/>
  <c r="K1837" i="3"/>
  <c r="M1836" i="3" a="1"/>
  <c r="M1836" i="3" s="1"/>
  <c r="K1836" i="3"/>
  <c r="K1835" i="3"/>
  <c r="K1831" i="3"/>
  <c r="M1832" i="3" a="1"/>
  <c r="M1832" i="3" s="1"/>
  <c r="K1832" i="3"/>
  <c r="M1833" i="3" a="1"/>
  <c r="M1833" i="3" s="1"/>
  <c r="K1833" i="3"/>
  <c r="AG1833" i="3" l="1"/>
  <c r="AA1832" i="3"/>
  <c r="AG1836" i="3"/>
  <c r="N1831" i="3"/>
  <c r="L1833" i="3"/>
  <c r="L1832" i="3"/>
  <c r="L1831" i="3"/>
  <c r="L1835" i="3"/>
  <c r="L1836" i="3"/>
  <c r="L1837" i="3"/>
  <c r="L1834" i="3"/>
  <c r="AA1836" i="3"/>
  <c r="AG1832" i="3"/>
  <c r="AA1833" i="3"/>
  <c r="AA1837" i="3"/>
  <c r="AG1837" i="3"/>
  <c r="C395" i="5"/>
  <c r="C396" i="5"/>
  <c r="C397" i="5"/>
  <c r="C398" i="5"/>
  <c r="C399" i="5"/>
  <c r="C400" i="5"/>
  <c r="C401" i="5"/>
  <c r="O1828" i="3"/>
  <c r="AF1828" i="3"/>
  <c r="AJ1828" i="3"/>
  <c r="O1829" i="3"/>
  <c r="R1829" i="3"/>
  <c r="U1829" i="3"/>
  <c r="AF1829" i="3"/>
  <c r="AJ1829" i="3"/>
  <c r="O1830" i="3"/>
  <c r="R1830" i="3"/>
  <c r="U1830" i="3"/>
  <c r="AF1830" i="3"/>
  <c r="AJ1830" i="3"/>
  <c r="F1828" i="3"/>
  <c r="F1829" i="3"/>
  <c r="F1830" i="3"/>
  <c r="O1808" i="3"/>
  <c r="AF1808" i="3"/>
  <c r="AJ1808" i="3"/>
  <c r="O1809" i="3"/>
  <c r="U1809" i="3"/>
  <c r="AF1809" i="3"/>
  <c r="AJ1809" i="3"/>
  <c r="O1810" i="3"/>
  <c r="R1810" i="3"/>
  <c r="U1810" i="3"/>
  <c r="AF1810" i="3"/>
  <c r="AJ1810" i="3"/>
  <c r="O1811" i="3"/>
  <c r="R1811" i="3"/>
  <c r="U1811" i="3"/>
  <c r="AF1811" i="3"/>
  <c r="AJ1811" i="3"/>
  <c r="O1812" i="3"/>
  <c r="AF1812" i="3"/>
  <c r="AJ1812" i="3"/>
  <c r="O1813" i="3"/>
  <c r="U1813" i="3"/>
  <c r="AF1813" i="3"/>
  <c r="AJ1813" i="3"/>
  <c r="O1814" i="3"/>
  <c r="R1814" i="3"/>
  <c r="U1814" i="3"/>
  <c r="AF1814" i="3"/>
  <c r="AJ1814" i="3"/>
  <c r="O1815" i="3"/>
  <c r="R1815" i="3"/>
  <c r="U1815" i="3"/>
  <c r="AF1815" i="3"/>
  <c r="AJ1815" i="3"/>
  <c r="O1816" i="3"/>
  <c r="U1816" i="3"/>
  <c r="AF1816" i="3"/>
  <c r="AJ1816" i="3"/>
  <c r="O1817" i="3"/>
  <c r="U1817" i="3"/>
  <c r="AF1817" i="3"/>
  <c r="AJ1817" i="3"/>
  <c r="O1818" i="3"/>
  <c r="U1818" i="3"/>
  <c r="AF1818" i="3"/>
  <c r="AJ1818" i="3"/>
  <c r="O1819" i="3"/>
  <c r="U1819" i="3"/>
  <c r="AF1819" i="3"/>
  <c r="AJ1819" i="3"/>
  <c r="O1820" i="3"/>
  <c r="R1820" i="3"/>
  <c r="U1820" i="3"/>
  <c r="AF1820" i="3"/>
  <c r="AJ1820" i="3"/>
  <c r="O1821" i="3"/>
  <c r="R1821" i="3"/>
  <c r="U1821" i="3"/>
  <c r="AF1821" i="3"/>
  <c r="AJ1821" i="3"/>
  <c r="O1822" i="3"/>
  <c r="AF1822" i="3"/>
  <c r="AJ1822" i="3"/>
  <c r="O1823" i="3"/>
  <c r="U1823" i="3"/>
  <c r="AF1823" i="3"/>
  <c r="AJ1823" i="3"/>
  <c r="O1824" i="3"/>
  <c r="U1824" i="3"/>
  <c r="AF1824" i="3"/>
  <c r="AJ1824" i="3"/>
  <c r="O1825" i="3"/>
  <c r="U1825" i="3"/>
  <c r="AF1825" i="3"/>
  <c r="AJ1825" i="3"/>
  <c r="O1826" i="3"/>
  <c r="R1826" i="3"/>
  <c r="U1826" i="3"/>
  <c r="AF1826" i="3"/>
  <c r="AJ1826" i="3"/>
  <c r="O1827" i="3"/>
  <c r="R1827" i="3"/>
  <c r="U1827" i="3"/>
  <c r="AF1827" i="3"/>
  <c r="AJ182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E143" i="6"/>
  <c r="E144" i="6"/>
  <c r="E145" i="6"/>
  <c r="E142" i="6"/>
  <c r="AG1831" i="3" l="1"/>
  <c r="AH1832" i="3"/>
  <c r="AA1831" i="3"/>
  <c r="AH1836" i="3"/>
  <c r="W1823" i="3"/>
  <c r="W1818" i="3"/>
  <c r="T1814" i="3"/>
  <c r="W1813" i="3"/>
  <c r="W1811" i="3"/>
  <c r="G1830" i="3"/>
  <c r="AH1833" i="3"/>
  <c r="AQ1829" i="3"/>
  <c r="G1819" i="3"/>
  <c r="I1818" i="3"/>
  <c r="G1816" i="3"/>
  <c r="G1828" i="3"/>
  <c r="G1815" i="3"/>
  <c r="G1824" i="3"/>
  <c r="G1811" i="3"/>
  <c r="G1810" i="3"/>
  <c r="G1826" i="3"/>
  <c r="G1813" i="3"/>
  <c r="G1822" i="3"/>
  <c r="G1821" i="3"/>
  <c r="G1809" i="3"/>
  <c r="G1820" i="3"/>
  <c r="G1808" i="3"/>
  <c r="G1814" i="3"/>
  <c r="G1825" i="3"/>
  <c r="I1812" i="3"/>
  <c r="G1823" i="3"/>
  <c r="G1827" i="3"/>
  <c r="G1817" i="3"/>
  <c r="G1829" i="3"/>
  <c r="AQ1830" i="3"/>
  <c r="AH1837" i="3"/>
  <c r="AC1820" i="3"/>
  <c r="W1817" i="3"/>
  <c r="W1827" i="3"/>
  <c r="I1830" i="3"/>
  <c r="W1825" i="3"/>
  <c r="AQ1815" i="3"/>
  <c r="AR1824" i="3"/>
  <c r="W1814" i="3"/>
  <c r="W1821" i="3"/>
  <c r="W1810" i="3"/>
  <c r="AR1825" i="3"/>
  <c r="AR1818" i="3"/>
  <c r="I1816" i="3"/>
  <c r="AR1811" i="3"/>
  <c r="I1815" i="3"/>
  <c r="I1814" i="3"/>
  <c r="AR1814" i="3"/>
  <c r="AC1826" i="3"/>
  <c r="G1818" i="3"/>
  <c r="I1825" i="3"/>
  <c r="AC1827" i="3"/>
  <c r="I1817" i="3"/>
  <c r="AR1826" i="3"/>
  <c r="AQ1814" i="3"/>
  <c r="T1815" i="3"/>
  <c r="T1820" i="3"/>
  <c r="AC1815" i="3"/>
  <c r="AQ1811" i="3"/>
  <c r="T1810" i="3"/>
  <c r="AQ1826" i="3"/>
  <c r="AQ1827" i="3"/>
  <c r="AR1822" i="3"/>
  <c r="I1822" i="3"/>
  <c r="I1810" i="3"/>
  <c r="AC1811" i="3"/>
  <c r="W1809" i="3"/>
  <c r="G1812" i="3"/>
  <c r="I1821" i="3"/>
  <c r="I1809" i="3"/>
  <c r="T1826" i="3"/>
  <c r="AR1813" i="3"/>
  <c r="T1811" i="3"/>
  <c r="I1829" i="3"/>
  <c r="I1820" i="3"/>
  <c r="I1808" i="3"/>
  <c r="AR1816" i="3"/>
  <c r="I1819" i="3"/>
  <c r="AR1827" i="3"/>
  <c r="W1815" i="3"/>
  <c r="AC1830" i="3"/>
  <c r="AR1819" i="3"/>
  <c r="AR1817" i="3"/>
  <c r="I1827" i="3"/>
  <c r="AC1810" i="3"/>
  <c r="W1830" i="3"/>
  <c r="I1826" i="3"/>
  <c r="AR1810" i="3"/>
  <c r="AR1808" i="3"/>
  <c r="I1813" i="3"/>
  <c r="AQ1810" i="3"/>
  <c r="AR1809" i="3"/>
  <c r="I1824" i="3"/>
  <c r="W1826" i="3"/>
  <c r="AR1823" i="3"/>
  <c r="AR1820" i="3"/>
  <c r="AR1815" i="3"/>
  <c r="I1828" i="3"/>
  <c r="I1823" i="3"/>
  <c r="I1811" i="3"/>
  <c r="T1827" i="3"/>
  <c r="AR1821" i="3"/>
  <c r="W1819" i="3"/>
  <c r="AC1814" i="3"/>
  <c r="W1829" i="3"/>
  <c r="T1830" i="3"/>
  <c r="AC1829" i="3"/>
  <c r="T1829" i="3"/>
  <c r="AQ1821" i="3"/>
  <c r="W1824" i="3"/>
  <c r="T1821" i="3"/>
  <c r="AQ1820" i="3"/>
  <c r="W1820" i="3"/>
  <c r="W1816" i="3"/>
  <c r="AC1821" i="3"/>
  <c r="AH1831" i="3" l="1"/>
  <c r="K1823" i="3"/>
  <c r="K1828" i="3"/>
  <c r="K1824" i="3"/>
  <c r="K1826" i="3"/>
  <c r="K1819" i="3"/>
  <c r="K1808" i="3"/>
  <c r="K1820" i="3"/>
  <c r="K1810" i="3"/>
  <c r="K1817" i="3"/>
  <c r="K1825" i="3"/>
  <c r="K1814" i="3"/>
  <c r="N1815" i="3"/>
  <c r="K1816" i="3"/>
  <c r="K1830" i="3"/>
  <c r="K1812" i="3"/>
  <c r="K1818" i="3"/>
  <c r="M1830" i="3" a="1"/>
  <c r="M1830" i="3" s="1"/>
  <c r="K1815" i="3"/>
  <c r="M1815" i="3" a="1"/>
  <c r="M1815" i="3" s="1"/>
  <c r="M1814" i="3" a="1"/>
  <c r="M1814" i="3" s="1"/>
  <c r="N1830" i="3"/>
  <c r="AA1814" i="3"/>
  <c r="AA1826" i="3"/>
  <c r="N1820" i="3"/>
  <c r="M1820" i="3" a="1"/>
  <c r="M1820" i="3" s="1"/>
  <c r="N1810" i="3"/>
  <c r="M1810" i="3" a="1"/>
  <c r="M1810" i="3" s="1"/>
  <c r="K1813" i="3"/>
  <c r="K1827" i="3"/>
  <c r="M1827" i="3" a="1"/>
  <c r="M1827" i="3" s="1"/>
  <c r="K1809" i="3"/>
  <c r="K1821" i="3"/>
  <c r="M1821" i="3" a="1"/>
  <c r="M1821" i="3" s="1"/>
  <c r="N1821" i="3"/>
  <c r="K1829" i="3"/>
  <c r="N1829" i="3"/>
  <c r="M1829" i="3" a="1"/>
  <c r="M1829" i="3" s="1"/>
  <c r="M1826" i="3" a="1"/>
  <c r="M1826" i="3" s="1"/>
  <c r="N1811" i="3"/>
  <c r="M1811" i="3" a="1"/>
  <c r="M1811" i="3" s="1"/>
  <c r="K1811" i="3"/>
  <c r="K1822" i="3"/>
  <c r="AG1814" i="3"/>
  <c r="AG1826" i="3"/>
  <c r="AA1815" i="3" l="1"/>
  <c r="L1822" i="3"/>
  <c r="L1811" i="3"/>
  <c r="L1829" i="3"/>
  <c r="L1821" i="3"/>
  <c r="L1809" i="3"/>
  <c r="L1827" i="3"/>
  <c r="L1813" i="3"/>
  <c r="AA1810" i="3"/>
  <c r="AA1820" i="3"/>
  <c r="AH1826" i="3"/>
  <c r="AH1814" i="3"/>
  <c r="AA1830" i="3"/>
  <c r="L1815" i="3"/>
  <c r="L1818" i="3"/>
  <c r="L1812" i="3"/>
  <c r="L1830" i="3"/>
  <c r="L1816" i="3"/>
  <c r="AG1815" i="3"/>
  <c r="L1814" i="3"/>
  <c r="L1825" i="3"/>
  <c r="L1817" i="3"/>
  <c r="L1810" i="3"/>
  <c r="L1820" i="3"/>
  <c r="L1808" i="3"/>
  <c r="L1819" i="3"/>
  <c r="L1826" i="3"/>
  <c r="L1824" i="3"/>
  <c r="L1828" i="3"/>
  <c r="L1823" i="3"/>
  <c r="AG1830" i="3"/>
  <c r="AG1810" i="3"/>
  <c r="AG1820" i="3"/>
  <c r="AA1829" i="3"/>
  <c r="AG1829" i="3"/>
  <c r="AA1821" i="3"/>
  <c r="AG1821" i="3"/>
  <c r="AA1811" i="3"/>
  <c r="AG1811" i="3"/>
  <c r="AA1827" i="3"/>
  <c r="AG1827" i="3"/>
  <c r="P1808" i="3"/>
  <c r="V380" i="8"/>
  <c r="U380" i="8"/>
  <c r="V379" i="8"/>
  <c r="U379" i="8"/>
  <c r="V378" i="8"/>
  <c r="U378" i="8"/>
  <c r="V377" i="8"/>
  <c r="U377" i="8"/>
  <c r="V376" i="8"/>
  <c r="U376" i="8"/>
  <c r="V375" i="8"/>
  <c r="U375" i="8"/>
  <c r="F736" i="7"/>
  <c r="U1828" i="3" s="1"/>
  <c r="F735" i="7"/>
  <c r="U1822" i="3" s="1"/>
  <c r="F734" i="7"/>
  <c r="U1812" i="3" s="1"/>
  <c r="F733" i="7"/>
  <c r="U1808" i="3" s="1"/>
  <c r="R1808" i="3" l="1"/>
  <c r="AQ1808" i="3" s="1"/>
  <c r="M1809" i="3" a="1"/>
  <c r="M1809" i="3" s="1"/>
  <c r="M1808" i="3" a="1"/>
  <c r="M1808" i="3" s="1"/>
  <c r="R1809" i="3"/>
  <c r="T1809" i="3" s="1"/>
  <c r="AH1815" i="3"/>
  <c r="AH1820" i="3"/>
  <c r="AH1827" i="3"/>
  <c r="AH1811" i="3"/>
  <c r="AH1821" i="3"/>
  <c r="AH1829" i="3"/>
  <c r="AH1830" i="3"/>
  <c r="AH1810" i="3"/>
  <c r="W1808" i="3"/>
  <c r="W1812" i="3"/>
  <c r="W1822" i="3"/>
  <c r="W1828" i="3"/>
  <c r="R1818" i="3"/>
  <c r="R1824" i="3"/>
  <c r="R1817" i="3"/>
  <c r="R1823" i="3"/>
  <c r="M1818" i="3" a="1"/>
  <c r="M1818" i="3" s="1"/>
  <c r="M1824" i="3" a="1"/>
  <c r="M1824" i="3" s="1"/>
  <c r="R1819" i="3"/>
  <c r="R1825" i="3"/>
  <c r="M1816" i="3" a="1"/>
  <c r="M1816" i="3" s="1"/>
  <c r="M1822" i="3" a="1"/>
  <c r="M1822" i="3" s="1"/>
  <c r="M1817" i="3" a="1"/>
  <c r="M1817" i="3" s="1"/>
  <c r="M1823" i="3" a="1"/>
  <c r="M1823" i="3" s="1"/>
  <c r="M1825" i="3" a="1"/>
  <c r="M1825" i="3" s="1"/>
  <c r="M1819" i="3" a="1"/>
  <c r="M1819" i="3" s="1"/>
  <c r="R1822" i="3"/>
  <c r="R1816" i="3"/>
  <c r="P1825" i="3"/>
  <c r="P1819" i="3"/>
  <c r="P1822" i="3"/>
  <c r="P1816" i="3"/>
  <c r="P1818" i="3"/>
  <c r="P1824" i="3"/>
  <c r="AQ1809" i="3" l="1"/>
  <c r="AC1809" i="3"/>
  <c r="AC1808" i="3"/>
  <c r="T1808" i="3"/>
  <c r="N1808" i="3"/>
  <c r="Q1808" i="3" s="1"/>
  <c r="N1809" i="3"/>
  <c r="AA1809" i="3" s="1"/>
  <c r="N1819" i="3"/>
  <c r="N1825" i="3"/>
  <c r="N1823" i="3"/>
  <c r="N1817" i="3"/>
  <c r="N1822" i="3"/>
  <c r="N1816" i="3"/>
  <c r="N1824" i="3"/>
  <c r="N1818" i="3"/>
  <c r="AQ1825" i="3"/>
  <c r="T1825" i="3"/>
  <c r="AC1825" i="3"/>
  <c r="T1819" i="3"/>
  <c r="AC1819" i="3"/>
  <c r="AQ1819" i="3"/>
  <c r="AC1822" i="3"/>
  <c r="AQ1822" i="3"/>
  <c r="T1822" i="3"/>
  <c r="AC1823" i="3"/>
  <c r="T1823" i="3"/>
  <c r="AQ1823" i="3"/>
  <c r="T1816" i="3"/>
  <c r="AC1816" i="3"/>
  <c r="AQ1816" i="3"/>
  <c r="AC1817" i="3"/>
  <c r="T1817" i="3"/>
  <c r="AQ1817" i="3"/>
  <c r="T1824" i="3"/>
  <c r="AC1824" i="3"/>
  <c r="AQ1824" i="3"/>
  <c r="AC1818" i="3"/>
  <c r="T1818" i="3"/>
  <c r="AQ1818" i="3"/>
  <c r="O1804" i="3"/>
  <c r="U1804" i="3"/>
  <c r="AF1804" i="3"/>
  <c r="AJ1804" i="3"/>
  <c r="O1805" i="3"/>
  <c r="U1805" i="3"/>
  <c r="AF1805" i="3"/>
  <c r="AJ1805" i="3"/>
  <c r="O1806" i="3"/>
  <c r="R1806" i="3"/>
  <c r="U1806" i="3"/>
  <c r="AF1806" i="3"/>
  <c r="AJ1806" i="3"/>
  <c r="O1807" i="3"/>
  <c r="R1807" i="3"/>
  <c r="U1807" i="3"/>
  <c r="AF1807" i="3"/>
  <c r="AJ1807" i="3"/>
  <c r="F1807" i="3"/>
  <c r="F1806" i="3"/>
  <c r="F1805" i="3"/>
  <c r="F1804" i="3"/>
  <c r="AA1808" i="3" l="1"/>
  <c r="AB1808" i="3" s="1"/>
  <c r="AG1809" i="3"/>
  <c r="AG1808" i="3"/>
  <c r="AG1825" i="3"/>
  <c r="AA1819" i="3"/>
  <c r="AB1819" i="3" s="1"/>
  <c r="AH1809" i="3"/>
  <c r="Q1816" i="3"/>
  <c r="Q1822" i="3"/>
  <c r="AG1817" i="3"/>
  <c r="AA1823" i="3"/>
  <c r="AA1825" i="3"/>
  <c r="Q1819" i="3"/>
  <c r="AA1818" i="3"/>
  <c r="AG1819" i="3"/>
  <c r="Q1825" i="3"/>
  <c r="AG1823" i="3"/>
  <c r="AG1818" i="3"/>
  <c r="AA1817" i="3"/>
  <c r="Q1818" i="3"/>
  <c r="AG1822" i="3"/>
  <c r="AG1816" i="3"/>
  <c r="AA1822" i="3"/>
  <c r="AA1816" i="3"/>
  <c r="Q1824" i="3"/>
  <c r="AA1824" i="3"/>
  <c r="AG1824" i="3"/>
  <c r="W1807" i="3"/>
  <c r="W1806" i="3"/>
  <c r="T1806" i="3"/>
  <c r="G1804" i="3"/>
  <c r="G1805" i="3"/>
  <c r="G1806" i="3"/>
  <c r="G1807" i="3"/>
  <c r="I1804" i="3"/>
  <c r="I1805" i="3"/>
  <c r="AQ1806" i="3"/>
  <c r="I1806" i="3"/>
  <c r="AC1806" i="3"/>
  <c r="AC1807" i="3"/>
  <c r="AR1806" i="3"/>
  <c r="AR1805" i="3"/>
  <c r="AQ1807" i="3"/>
  <c r="I1807" i="3"/>
  <c r="T1807" i="3"/>
  <c r="AR1807" i="3"/>
  <c r="W1805" i="3"/>
  <c r="W1804" i="3"/>
  <c r="AH1808" i="3" l="1"/>
  <c r="AH1819" i="3"/>
  <c r="AB1818" i="3"/>
  <c r="AH1824" i="3"/>
  <c r="AH1816" i="3"/>
  <c r="AB1825" i="3"/>
  <c r="AB1822" i="3"/>
  <c r="AH1818" i="3"/>
  <c r="AH1825" i="3"/>
  <c r="AH1823" i="3"/>
  <c r="AH1817" i="3"/>
  <c r="AB1824" i="3"/>
  <c r="AB1816" i="3"/>
  <c r="AH1822" i="3"/>
  <c r="K1806" i="3"/>
  <c r="K1805" i="3"/>
  <c r="K1804" i="3"/>
  <c r="M1806" i="3" a="1"/>
  <c r="M1806" i="3" s="1"/>
  <c r="N1806" i="3"/>
  <c r="K1807" i="3"/>
  <c r="M1807" i="3" a="1"/>
  <c r="M1807" i="3" s="1"/>
  <c r="N1807" i="3"/>
  <c r="L1807" i="3" l="1"/>
  <c r="AA1806" i="3"/>
  <c r="L1804" i="3"/>
  <c r="L1805" i="3"/>
  <c r="L1806" i="3"/>
  <c r="AG1806" i="3"/>
  <c r="AA1807" i="3"/>
  <c r="AG1807" i="3"/>
  <c r="AH1806" i="3" l="1"/>
  <c r="AH1807" i="3"/>
  <c r="O1801" i="3" l="1"/>
  <c r="U1801" i="3"/>
  <c r="AF1801" i="3"/>
  <c r="AJ1801" i="3"/>
  <c r="O1802" i="3"/>
  <c r="R1802" i="3"/>
  <c r="U1802" i="3"/>
  <c r="AF1802" i="3"/>
  <c r="AJ1802" i="3"/>
  <c r="O1803" i="3"/>
  <c r="R1803" i="3"/>
  <c r="U1803" i="3"/>
  <c r="AF1803" i="3"/>
  <c r="AJ1803" i="3"/>
  <c r="F1803" i="3"/>
  <c r="F1802" i="3"/>
  <c r="F1801" i="3"/>
  <c r="V374" i="8"/>
  <c r="U374" i="8"/>
  <c r="R1801" i="3" l="1"/>
  <c r="W1802" i="3"/>
  <c r="G1801" i="3"/>
  <c r="G1802" i="3"/>
  <c r="G1803" i="3"/>
  <c r="I1803" i="3"/>
  <c r="I1801" i="3"/>
  <c r="T1803" i="3"/>
  <c r="AR1803" i="3"/>
  <c r="AR1801" i="3"/>
  <c r="AR1802" i="3"/>
  <c r="I1802" i="3"/>
  <c r="W1803" i="3"/>
  <c r="AC1803" i="3"/>
  <c r="AQ1803" i="3"/>
  <c r="AC1802" i="3"/>
  <c r="AQ1802" i="3"/>
  <c r="T1802" i="3"/>
  <c r="W1801" i="3"/>
  <c r="T1801" i="3" l="1"/>
  <c r="AC1801" i="3"/>
  <c r="AQ1801" i="3"/>
  <c r="K1801" i="3"/>
  <c r="K1803" i="3"/>
  <c r="M1801" i="3" a="1"/>
  <c r="M1801" i="3" s="1"/>
  <c r="N1803" i="3"/>
  <c r="M1803" i="3" a="1"/>
  <c r="M1803" i="3" s="1"/>
  <c r="M1802" i="3" a="1"/>
  <c r="M1802" i="3" s="1"/>
  <c r="K1802" i="3"/>
  <c r="N1802" i="3"/>
  <c r="L1802" i="3" l="1"/>
  <c r="N1801" i="3"/>
  <c r="L1803" i="3"/>
  <c r="L1801" i="3"/>
  <c r="AA1803" i="3"/>
  <c r="AG1803" i="3"/>
  <c r="AA1802" i="3"/>
  <c r="AG1802" i="3"/>
  <c r="AA1801" i="3" l="1"/>
  <c r="AG1801" i="3"/>
  <c r="AH1803" i="3"/>
  <c r="AH1802" i="3"/>
  <c r="AH1801" i="3" l="1"/>
  <c r="AJ1800" i="3"/>
  <c r="AF1800" i="3"/>
  <c r="U1800" i="3"/>
  <c r="R1800" i="3"/>
  <c r="O1800" i="3"/>
  <c r="AJ1799" i="3"/>
  <c r="AF1799" i="3"/>
  <c r="U1799" i="3"/>
  <c r="R1799" i="3"/>
  <c r="O1799" i="3"/>
  <c r="AJ1798" i="3"/>
  <c r="AF1798" i="3"/>
  <c r="O1798" i="3"/>
  <c r="F1799" i="3"/>
  <c r="F1800" i="3"/>
  <c r="F1798" i="3"/>
  <c r="F729" i="7"/>
  <c r="U1798" i="3" s="1"/>
  <c r="W1800" i="3" l="1"/>
  <c r="G1798" i="3"/>
  <c r="G1800" i="3"/>
  <c r="G1799" i="3"/>
  <c r="AC1799" i="3"/>
  <c r="I1799" i="3"/>
  <c r="I1798" i="3"/>
  <c r="AR1799" i="3"/>
  <c r="AR1800" i="3"/>
  <c r="I1800" i="3"/>
  <c r="AR1798" i="3"/>
  <c r="AG1799" i="3"/>
  <c r="W1798" i="3"/>
  <c r="W1799" i="3"/>
  <c r="AQ1799" i="3"/>
  <c r="T1800" i="3"/>
  <c r="T1799" i="3"/>
  <c r="AC1800" i="3"/>
  <c r="AQ1800" i="3"/>
  <c r="P1805" i="3"/>
  <c r="P1876" i="3"/>
  <c r="P1871" i="3" l="1"/>
  <c r="P1877" i="3"/>
  <c r="P1872" i="3"/>
  <c r="P1878" i="3"/>
  <c r="K1798" i="3"/>
  <c r="AA1799" i="3"/>
  <c r="P1860" i="3"/>
  <c r="P1868" i="3"/>
  <c r="P1810" i="3"/>
  <c r="P1829" i="3"/>
  <c r="P1811" i="3"/>
  <c r="P1830" i="3"/>
  <c r="K1799" i="3"/>
  <c r="M1799" i="3" a="1"/>
  <c r="M1799" i="3" s="1"/>
  <c r="N1800" i="3"/>
  <c r="M1800" i="3" a="1"/>
  <c r="M1800" i="3" s="1"/>
  <c r="K1800" i="3"/>
  <c r="E141" i="6"/>
  <c r="G141" i="6" s="1"/>
  <c r="E140" i="6"/>
  <c r="G140" i="6" s="1"/>
  <c r="J139" i="6"/>
  <c r="H139" i="6"/>
  <c r="E138" i="6"/>
  <c r="G138" i="6" s="1"/>
  <c r="E137" i="6"/>
  <c r="G137" i="6" s="1"/>
  <c r="E136" i="6"/>
  <c r="G136" i="6" s="1"/>
  <c r="E135" i="6"/>
  <c r="G135" i="6" s="1"/>
  <c r="E134" i="6"/>
  <c r="G134" i="6" s="1"/>
  <c r="E133" i="6"/>
  <c r="E131" i="6"/>
  <c r="G131" i="6" s="1"/>
  <c r="E130" i="6"/>
  <c r="G130" i="6" s="1"/>
  <c r="E129" i="6"/>
  <c r="G129" i="6" s="1"/>
  <c r="E126" i="6"/>
  <c r="G126" i="6" s="1"/>
  <c r="T125" i="6"/>
  <c r="T124" i="6"/>
  <c r="E123" i="6"/>
  <c r="G123" i="6" s="1"/>
  <c r="E122" i="6"/>
  <c r="E121" i="6"/>
  <c r="G121" i="6" s="1"/>
  <c r="R120" i="6"/>
  <c r="P120" i="6"/>
  <c r="E120" i="6"/>
  <c r="R119" i="6"/>
  <c r="P119" i="6"/>
  <c r="E119" i="6"/>
  <c r="T118" i="6"/>
  <c r="R118" i="6"/>
  <c r="P118" i="6"/>
  <c r="R117" i="6"/>
  <c r="P117" i="6"/>
  <c r="E117" i="6"/>
  <c r="F117" i="6" s="1"/>
  <c r="R116" i="6"/>
  <c r="P116" i="6"/>
  <c r="E116" i="6"/>
  <c r="F116" i="6" s="1"/>
  <c r="E113" i="6"/>
  <c r="F113" i="6" s="1"/>
  <c r="R112" i="6"/>
  <c r="P112" i="6"/>
  <c r="E112" i="6"/>
  <c r="F112" i="6" s="1"/>
  <c r="R111" i="6"/>
  <c r="P111" i="6"/>
  <c r="E111" i="6"/>
  <c r="F111" i="6" s="1"/>
  <c r="T110" i="6"/>
  <c r="R110" i="6"/>
  <c r="P110" i="6"/>
  <c r="E108" i="6"/>
  <c r="R107" i="6"/>
  <c r="P107" i="6"/>
  <c r="E107" i="6"/>
  <c r="E106" i="6"/>
  <c r="R105" i="6"/>
  <c r="P105" i="6"/>
  <c r="E105" i="6"/>
  <c r="T103" i="6"/>
  <c r="R103" i="6"/>
  <c r="P103" i="6"/>
  <c r="R102" i="6"/>
  <c r="P102" i="6"/>
  <c r="E102" i="6"/>
  <c r="T100" i="6"/>
  <c r="R100" i="6"/>
  <c r="P100" i="6"/>
  <c r="R99" i="6"/>
  <c r="P99" i="6"/>
  <c r="E99" i="6"/>
  <c r="F99" i="6" s="1"/>
  <c r="R98" i="6"/>
  <c r="P98" i="6"/>
  <c r="E98" i="6"/>
  <c r="F98" i="6" s="1"/>
  <c r="R97" i="6"/>
  <c r="P97" i="6"/>
  <c r="E97" i="6"/>
  <c r="F97" i="6" s="1"/>
  <c r="R96" i="6"/>
  <c r="P96" i="6"/>
  <c r="E96" i="6"/>
  <c r="F96" i="6" s="1"/>
  <c r="R95" i="6"/>
  <c r="P95" i="6"/>
  <c r="E95" i="6"/>
  <c r="G95" i="6" s="1"/>
  <c r="E94" i="6"/>
  <c r="G94" i="6" s="1"/>
  <c r="E93" i="6"/>
  <c r="R92" i="6"/>
  <c r="Q92" i="6"/>
  <c r="P92" i="6"/>
  <c r="E92" i="6"/>
  <c r="G92" i="6" s="1"/>
  <c r="R91" i="6"/>
  <c r="Q91" i="6"/>
  <c r="P91" i="6"/>
  <c r="E91" i="6"/>
  <c r="G91" i="6" s="1"/>
  <c r="E90" i="6"/>
  <c r="G90" i="6" s="1"/>
  <c r="R89" i="6"/>
  <c r="Q89" i="6"/>
  <c r="P89" i="6"/>
  <c r="E89" i="6"/>
  <c r="G89" i="6" s="1"/>
  <c r="T88" i="6"/>
  <c r="R88" i="6"/>
  <c r="P88" i="6"/>
  <c r="E87" i="6"/>
  <c r="G87" i="6" s="1"/>
  <c r="E86" i="6"/>
  <c r="G86" i="6" s="1"/>
  <c r="R85" i="6"/>
  <c r="Q85" i="6"/>
  <c r="P85" i="6"/>
  <c r="E85" i="6"/>
  <c r="E84" i="6"/>
  <c r="E83" i="6"/>
  <c r="G83" i="6" s="1"/>
  <c r="E82" i="6"/>
  <c r="G82" i="6" s="1"/>
  <c r="E81" i="6"/>
  <c r="G81" i="6" s="1"/>
  <c r="E80" i="6"/>
  <c r="G80" i="6" s="1"/>
  <c r="E79" i="6"/>
  <c r="G79" i="6" s="1"/>
  <c r="R78" i="6"/>
  <c r="Q78" i="6"/>
  <c r="P78" i="6"/>
  <c r="E78" i="6"/>
  <c r="G78" i="6" s="1"/>
  <c r="E77" i="6"/>
  <c r="E76" i="6"/>
  <c r="G76" i="6" s="1"/>
  <c r="E75" i="6"/>
  <c r="G75" i="6" s="1"/>
  <c r="R74" i="6"/>
  <c r="Q74" i="6"/>
  <c r="P74" i="6"/>
  <c r="E74" i="6"/>
  <c r="G74" i="6" s="1"/>
  <c r="E73" i="6"/>
  <c r="G73" i="6" s="1"/>
  <c r="E72" i="6"/>
  <c r="G72" i="6" s="1"/>
  <c r="R71" i="6"/>
  <c r="Q71" i="6"/>
  <c r="P71" i="6"/>
  <c r="E71" i="6"/>
  <c r="G71" i="6" s="1"/>
  <c r="E70" i="6"/>
  <c r="G70" i="6" s="1"/>
  <c r="E69" i="6"/>
  <c r="G69" i="6" s="1"/>
  <c r="E68" i="6"/>
  <c r="G68" i="6" s="1"/>
  <c r="E67" i="6"/>
  <c r="G67" i="6" s="1"/>
  <c r="E66" i="6"/>
  <c r="E65" i="6"/>
  <c r="G65" i="6" s="1"/>
  <c r="E64" i="6"/>
  <c r="G64" i="6" s="1"/>
  <c r="E63" i="6"/>
  <c r="G63" i="6" s="1"/>
  <c r="E62" i="6"/>
  <c r="G62" i="6" s="1"/>
  <c r="R61" i="6"/>
  <c r="Q61" i="6"/>
  <c r="P61" i="6"/>
  <c r="E61" i="6"/>
  <c r="G61" i="6" s="1"/>
  <c r="R60" i="6"/>
  <c r="P60" i="6"/>
  <c r="E60" i="6"/>
  <c r="G60" i="6" s="1"/>
  <c r="R59" i="6"/>
  <c r="Q59" i="6"/>
  <c r="P59" i="6"/>
  <c r="E59" i="6"/>
  <c r="G59" i="6" s="1"/>
  <c r="E58" i="6"/>
  <c r="G58" i="6" s="1"/>
  <c r="E57" i="6"/>
  <c r="G57" i="6" s="1"/>
  <c r="R56" i="6"/>
  <c r="Q56" i="6"/>
  <c r="P56" i="6"/>
  <c r="E56" i="6"/>
  <c r="G56" i="6" s="1"/>
  <c r="E55" i="6"/>
  <c r="G55" i="6" s="1"/>
  <c r="E54" i="6"/>
  <c r="G54" i="6" s="1"/>
  <c r="R53" i="6"/>
  <c r="Q53" i="6"/>
  <c r="P53" i="6"/>
  <c r="E53" i="6"/>
  <c r="G53" i="6" s="1"/>
  <c r="E52" i="6"/>
  <c r="G52" i="6" s="1"/>
  <c r="E51" i="6"/>
  <c r="G51" i="6" s="1"/>
  <c r="R50" i="6"/>
  <c r="P50" i="6"/>
  <c r="E50" i="6"/>
  <c r="G50" i="6" s="1"/>
  <c r="E49" i="6"/>
  <c r="G49" i="6" s="1"/>
  <c r="R48" i="6"/>
  <c r="P48" i="6"/>
  <c r="E48" i="6"/>
  <c r="G48" i="6" s="1"/>
  <c r="R47" i="6"/>
  <c r="Q47" i="6"/>
  <c r="P47" i="6"/>
  <c r="E47" i="6"/>
  <c r="G47" i="6" s="1"/>
  <c r="E46" i="6"/>
  <c r="G46" i="6" s="1"/>
  <c r="E45" i="6"/>
  <c r="G45" i="6" s="1"/>
  <c r="E44" i="6"/>
  <c r="G44" i="6" s="1"/>
  <c r="E43" i="6"/>
  <c r="G43" i="6" s="1"/>
  <c r="R42" i="6"/>
  <c r="P42" i="6"/>
  <c r="E42" i="6"/>
  <c r="G42" i="6" s="1"/>
  <c r="E41" i="6"/>
  <c r="G41" i="6" s="1"/>
  <c r="R40" i="6"/>
  <c r="Q40" i="6"/>
  <c r="P40" i="6"/>
  <c r="E40" i="6"/>
  <c r="G40" i="6" s="1"/>
  <c r="R39" i="6"/>
  <c r="P39" i="6"/>
  <c r="E39" i="6"/>
  <c r="G39" i="6" s="1"/>
  <c r="R38" i="6"/>
  <c r="P38" i="6"/>
  <c r="E38" i="6"/>
  <c r="G38" i="6" s="1"/>
  <c r="E37" i="6"/>
  <c r="G37" i="6" s="1"/>
  <c r="E36" i="6"/>
  <c r="G36" i="6" s="1"/>
  <c r="E35" i="6"/>
  <c r="E34" i="6"/>
  <c r="G34" i="6" s="1"/>
  <c r="E33" i="6"/>
  <c r="G33" i="6" s="1"/>
  <c r="E32" i="6"/>
  <c r="G32" i="6" s="1"/>
  <c r="R31" i="6"/>
  <c r="Q31" i="6"/>
  <c r="P31" i="6"/>
  <c r="E31" i="6"/>
  <c r="R30" i="6"/>
  <c r="S30" i="6" s="1"/>
  <c r="Q30" i="6"/>
  <c r="P30" i="6"/>
  <c r="E30" i="6"/>
  <c r="G30" i="6" s="1"/>
  <c r="R29" i="6"/>
  <c r="Q29" i="6"/>
  <c r="P29" i="6"/>
  <c r="E29" i="6"/>
  <c r="G29" i="6" s="1"/>
  <c r="R28" i="6"/>
  <c r="P28" i="6"/>
  <c r="E28" i="6"/>
  <c r="G28" i="6" s="1"/>
  <c r="E27" i="6"/>
  <c r="E26" i="6"/>
  <c r="G26" i="6" s="1"/>
  <c r="R25" i="6"/>
  <c r="Q25" i="6"/>
  <c r="P25" i="6"/>
  <c r="E25" i="6"/>
  <c r="G25" i="6" s="1"/>
  <c r="R24" i="6"/>
  <c r="Q24" i="6"/>
  <c r="P24" i="6"/>
  <c r="E24" i="6"/>
  <c r="G24" i="6" s="1"/>
  <c r="R23" i="6"/>
  <c r="Q23" i="6"/>
  <c r="P23" i="6"/>
  <c r="E23" i="6"/>
  <c r="E22" i="6"/>
  <c r="G22" i="6" s="1"/>
  <c r="R21" i="6"/>
  <c r="P21" i="6"/>
  <c r="E21" i="6"/>
  <c r="G21" i="6" s="1"/>
  <c r="R20" i="6"/>
  <c r="P20" i="6"/>
  <c r="E20" i="6"/>
  <c r="G20" i="6" s="1"/>
  <c r="E19" i="6"/>
  <c r="G19" i="6" s="1"/>
  <c r="E18" i="6"/>
  <c r="E17" i="6"/>
  <c r="E16" i="6"/>
  <c r="G16" i="6" s="1"/>
  <c r="E15" i="6"/>
  <c r="G15" i="6" s="1"/>
  <c r="E14" i="6"/>
  <c r="G14" i="6" s="1"/>
  <c r="E13" i="6"/>
  <c r="G13" i="6" s="1"/>
  <c r="E12" i="6"/>
  <c r="G12" i="6" s="1"/>
  <c r="E11" i="6"/>
  <c r="R10" i="6"/>
  <c r="S10" i="6" s="1"/>
  <c r="AR1957" i="3" s="1"/>
  <c r="Q10" i="6"/>
  <c r="P10" i="6"/>
  <c r="E10" i="6"/>
  <c r="G10" i="6" s="1"/>
  <c r="E9" i="6"/>
  <c r="G9" i="6" s="1"/>
  <c r="E8" i="6"/>
  <c r="G8" i="6" s="1"/>
  <c r="R7" i="6"/>
  <c r="S7" i="6" s="1"/>
  <c r="P7" i="6"/>
  <c r="E7" i="6"/>
  <c r="G7" i="6" s="1"/>
  <c r="R6" i="6"/>
  <c r="S6" i="6" s="1"/>
  <c r="P6" i="6"/>
  <c r="E6" i="6"/>
  <c r="G6" i="6" s="1"/>
  <c r="E5" i="6"/>
  <c r="G5" i="6" s="1"/>
  <c r="R4" i="6"/>
  <c r="Q4" i="6"/>
  <c r="P4" i="6"/>
  <c r="E4" i="6"/>
  <c r="G4" i="6" s="1"/>
  <c r="E3" i="6"/>
  <c r="G3" i="6" s="1"/>
  <c r="E2" i="6"/>
  <c r="G2" i="6" s="1"/>
  <c r="E138" i="21"/>
  <c r="F138" i="21" s="1"/>
  <c r="E136" i="21"/>
  <c r="F136" i="21" s="1"/>
  <c r="E95" i="21"/>
  <c r="Q95" i="21" s="1"/>
  <c r="E81" i="21"/>
  <c r="Q81" i="21" s="1"/>
  <c r="E70" i="21"/>
  <c r="Q70" i="21" s="1"/>
  <c r="E12" i="21"/>
  <c r="F100" i="21"/>
  <c r="F101" i="21"/>
  <c r="F103" i="21"/>
  <c r="F104" i="21"/>
  <c r="F109" i="21"/>
  <c r="F110" i="21"/>
  <c r="F116" i="21"/>
  <c r="F123" i="21"/>
  <c r="F125" i="21"/>
  <c r="F130" i="21"/>
  <c r="G137" i="21"/>
  <c r="E3" i="21"/>
  <c r="Q3" i="21" s="1"/>
  <c r="E4" i="21"/>
  <c r="Q4" i="21" s="1"/>
  <c r="E5" i="21"/>
  <c r="Q5" i="21" s="1"/>
  <c r="E6" i="21"/>
  <c r="Q6" i="21" s="1"/>
  <c r="E7" i="21"/>
  <c r="Q7" i="21" s="1"/>
  <c r="E8" i="21"/>
  <c r="Q8" i="21" s="1"/>
  <c r="E9" i="21"/>
  <c r="Q9" i="21" s="1"/>
  <c r="E10" i="21"/>
  <c r="Q10" i="21" s="1"/>
  <c r="E11" i="21"/>
  <c r="Q11" i="21" s="1"/>
  <c r="E13" i="21"/>
  <c r="Q13" i="21" s="1"/>
  <c r="E14" i="21"/>
  <c r="Q14" i="21" s="1"/>
  <c r="E15" i="21"/>
  <c r="Q15" i="21" s="1"/>
  <c r="E16" i="21"/>
  <c r="Q16" i="21" s="1"/>
  <c r="E17" i="21"/>
  <c r="Q17" i="21" s="1"/>
  <c r="E18" i="21"/>
  <c r="Q18" i="21" s="1"/>
  <c r="E19" i="21"/>
  <c r="Q19" i="21" s="1"/>
  <c r="E20" i="21"/>
  <c r="Q20" i="21" s="1"/>
  <c r="E21" i="21"/>
  <c r="Q21" i="21" s="1"/>
  <c r="E22" i="21"/>
  <c r="Q22" i="21" s="1"/>
  <c r="E23" i="21"/>
  <c r="Q23" i="21" s="1"/>
  <c r="E24" i="21"/>
  <c r="Q24" i="21" s="1"/>
  <c r="E25" i="21"/>
  <c r="F25" i="21" s="1"/>
  <c r="E26" i="21"/>
  <c r="Q26" i="21" s="1"/>
  <c r="E27" i="21"/>
  <c r="Q27" i="21" s="1"/>
  <c r="E28" i="21"/>
  <c r="Q28" i="21" s="1"/>
  <c r="E29" i="21"/>
  <c r="Q29" i="21" s="1"/>
  <c r="E30" i="21"/>
  <c r="Q30" i="21" s="1"/>
  <c r="E31" i="21"/>
  <c r="Q31" i="21" s="1"/>
  <c r="E32" i="21"/>
  <c r="Q32" i="21" s="1"/>
  <c r="E33" i="21"/>
  <c r="Q33" i="21" s="1"/>
  <c r="E34" i="21"/>
  <c r="Q34" i="21" s="1"/>
  <c r="E35" i="21"/>
  <c r="Q35" i="21" s="1"/>
  <c r="E36" i="21"/>
  <c r="Q36" i="21" s="1"/>
  <c r="E37" i="21"/>
  <c r="Q37" i="21" s="1"/>
  <c r="E38" i="21"/>
  <c r="Q38" i="21" s="1"/>
  <c r="E39" i="21"/>
  <c r="Q39" i="21" s="1"/>
  <c r="E40" i="21"/>
  <c r="Q40" i="21" s="1"/>
  <c r="E41" i="21"/>
  <c r="Q41" i="21" s="1"/>
  <c r="E42" i="21"/>
  <c r="Q42" i="21" s="1"/>
  <c r="E43" i="21"/>
  <c r="Q43" i="21" s="1"/>
  <c r="E44" i="21"/>
  <c r="Q44" i="21" s="1"/>
  <c r="E45" i="21"/>
  <c r="Q45" i="21" s="1"/>
  <c r="E46" i="21"/>
  <c r="Q46" i="21" s="1"/>
  <c r="E47" i="21"/>
  <c r="Q47" i="21" s="1"/>
  <c r="E48" i="21"/>
  <c r="Q48" i="21" s="1"/>
  <c r="E49" i="21"/>
  <c r="Q49" i="21" s="1"/>
  <c r="E50" i="21"/>
  <c r="Q50" i="21" s="1"/>
  <c r="E51" i="21"/>
  <c r="Q51" i="21" s="1"/>
  <c r="E52" i="21"/>
  <c r="Q52" i="21" s="1"/>
  <c r="E53" i="21"/>
  <c r="Q53" i="21" s="1"/>
  <c r="E54" i="21"/>
  <c r="Q54" i="21" s="1"/>
  <c r="E55" i="21"/>
  <c r="Q55" i="21" s="1"/>
  <c r="E56" i="21"/>
  <c r="Q56" i="21" s="1"/>
  <c r="E57" i="21"/>
  <c r="Q57" i="21" s="1"/>
  <c r="E58" i="21"/>
  <c r="Q58" i="21" s="1"/>
  <c r="E59" i="21"/>
  <c r="Q59" i="21" s="1"/>
  <c r="E60" i="21"/>
  <c r="Q60" i="21" s="1"/>
  <c r="E61" i="21"/>
  <c r="Q61" i="21" s="1"/>
  <c r="E62" i="21"/>
  <c r="F62" i="21" s="1"/>
  <c r="E63" i="21"/>
  <c r="Q63" i="21" s="1"/>
  <c r="E64" i="21"/>
  <c r="Q64" i="21" s="1"/>
  <c r="E65" i="21"/>
  <c r="Q65" i="21" s="1"/>
  <c r="E66" i="21"/>
  <c r="Q66" i="21" s="1"/>
  <c r="E67" i="21"/>
  <c r="Q67" i="21" s="1"/>
  <c r="E68" i="21"/>
  <c r="Q68" i="21" s="1"/>
  <c r="E69" i="21"/>
  <c r="Q69" i="21" s="1"/>
  <c r="E71" i="21"/>
  <c r="Q71" i="21" s="1"/>
  <c r="E72" i="21"/>
  <c r="Q72" i="21" s="1"/>
  <c r="E73" i="21"/>
  <c r="Q73" i="21" s="1"/>
  <c r="E74" i="21"/>
  <c r="Q74" i="21" s="1"/>
  <c r="E75" i="21"/>
  <c r="Q75" i="21" s="1"/>
  <c r="E76" i="21"/>
  <c r="Q76" i="21" s="1"/>
  <c r="E77" i="21"/>
  <c r="Q77" i="21" s="1"/>
  <c r="E78" i="21"/>
  <c r="Q78" i="21" s="1"/>
  <c r="E79" i="21"/>
  <c r="Q79" i="21" s="1"/>
  <c r="E80" i="21"/>
  <c r="Q80" i="21" s="1"/>
  <c r="E82" i="21"/>
  <c r="Q82" i="21" s="1"/>
  <c r="E83" i="21"/>
  <c r="Q83" i="21" s="1"/>
  <c r="E84" i="21"/>
  <c r="Q84" i="21" s="1"/>
  <c r="E85" i="21"/>
  <c r="Q85" i="21" s="1"/>
  <c r="E86" i="21"/>
  <c r="Q86" i="21" s="1"/>
  <c r="E87" i="21"/>
  <c r="Q87" i="21" s="1"/>
  <c r="Q88" i="21"/>
  <c r="E89" i="21"/>
  <c r="Q89" i="21" s="1"/>
  <c r="E90" i="21"/>
  <c r="Q90" i="21" s="1"/>
  <c r="E91" i="21"/>
  <c r="F91" i="21" s="1"/>
  <c r="E117" i="21"/>
  <c r="Q117" i="21" s="1"/>
  <c r="E119" i="21"/>
  <c r="Q119" i="21" s="1"/>
  <c r="E120" i="21"/>
  <c r="Q120" i="21" s="1"/>
  <c r="E121" i="21"/>
  <c r="Q121" i="21" s="1"/>
  <c r="Q122" i="21"/>
  <c r="E124" i="21"/>
  <c r="F124" i="21" s="1"/>
  <c r="F126" i="21"/>
  <c r="E127" i="21"/>
  <c r="F127" i="21" s="1"/>
  <c r="E128" i="21"/>
  <c r="F128" i="21" s="1"/>
  <c r="E129" i="21"/>
  <c r="F129" i="21" s="1"/>
  <c r="E131" i="21"/>
  <c r="F131" i="21" s="1"/>
  <c r="E132" i="21"/>
  <c r="F132" i="21" s="1"/>
  <c r="E133" i="21"/>
  <c r="F133" i="21" s="1"/>
  <c r="E134" i="21"/>
  <c r="F134" i="21" s="1"/>
  <c r="E135" i="21"/>
  <c r="F135" i="21" s="1"/>
  <c r="F137" i="21"/>
  <c r="E139" i="21"/>
  <c r="F139" i="21" s="1"/>
  <c r="E2" i="21"/>
  <c r="Q2" i="21" s="1"/>
  <c r="G145" i="21"/>
  <c r="G146" i="21" s="1"/>
  <c r="I137" i="21"/>
  <c r="Q123" i="21"/>
  <c r="O118" i="21"/>
  <c r="M118" i="21"/>
  <c r="E118" i="21"/>
  <c r="Q118" i="21" s="1"/>
  <c r="O117" i="21"/>
  <c r="M117" i="21"/>
  <c r="Q116" i="21"/>
  <c r="O116" i="21"/>
  <c r="M116" i="21"/>
  <c r="O115" i="21"/>
  <c r="M115" i="21"/>
  <c r="E115" i="21"/>
  <c r="Q115" i="21" s="1"/>
  <c r="O114" i="21"/>
  <c r="M114" i="21"/>
  <c r="E114" i="21"/>
  <c r="Q114" i="21" s="1"/>
  <c r="E113" i="21"/>
  <c r="F113" i="21" s="1"/>
  <c r="O112" i="21"/>
  <c r="M112" i="21"/>
  <c r="E112" i="21"/>
  <c r="Q112" i="21" s="1"/>
  <c r="O111" i="21"/>
  <c r="M111" i="21"/>
  <c r="E111" i="21"/>
  <c r="Q111" i="21" s="1"/>
  <c r="Q110" i="21"/>
  <c r="O110" i="21"/>
  <c r="M110" i="21"/>
  <c r="E108" i="21"/>
  <c r="F108" i="21" s="1"/>
  <c r="O107" i="21"/>
  <c r="M107" i="21"/>
  <c r="E107" i="21"/>
  <c r="Q107" i="21" s="1"/>
  <c r="E106" i="21"/>
  <c r="F106" i="21" s="1"/>
  <c r="O105" i="21"/>
  <c r="M105" i="21"/>
  <c r="E105" i="21"/>
  <c r="Q105" i="21" s="1"/>
  <c r="Q103" i="21"/>
  <c r="O103" i="21"/>
  <c r="M103" i="21"/>
  <c r="O102" i="21"/>
  <c r="M102" i="21"/>
  <c r="E102" i="21"/>
  <c r="Q102" i="21" s="1"/>
  <c r="Q100" i="21"/>
  <c r="O100" i="21"/>
  <c r="M100" i="21"/>
  <c r="O99" i="21"/>
  <c r="M99" i="21"/>
  <c r="E99" i="21"/>
  <c r="Q99" i="21" s="1"/>
  <c r="O98" i="21"/>
  <c r="M98" i="21"/>
  <c r="E98" i="21"/>
  <c r="Q98" i="21" s="1"/>
  <c r="O97" i="21"/>
  <c r="M97" i="21"/>
  <c r="E97" i="21"/>
  <c r="Q97" i="21" s="1"/>
  <c r="O96" i="21"/>
  <c r="M96" i="21"/>
  <c r="E96" i="21"/>
  <c r="Q96" i="21" s="1"/>
  <c r="O95" i="21"/>
  <c r="M95" i="21"/>
  <c r="O92" i="21"/>
  <c r="N92" i="21"/>
  <c r="M92" i="21"/>
  <c r="O91" i="21"/>
  <c r="N91" i="21"/>
  <c r="M91" i="21"/>
  <c r="O89" i="21"/>
  <c r="N89" i="21"/>
  <c r="M89" i="21"/>
  <c r="O88" i="21"/>
  <c r="M88" i="21"/>
  <c r="O85" i="21"/>
  <c r="N85" i="21"/>
  <c r="M85" i="21"/>
  <c r="O78" i="21"/>
  <c r="N78" i="21"/>
  <c r="M78" i="21"/>
  <c r="O74" i="21"/>
  <c r="N74" i="21"/>
  <c r="M74" i="21"/>
  <c r="O71" i="21"/>
  <c r="N71" i="21"/>
  <c r="M71" i="21"/>
  <c r="O61" i="21"/>
  <c r="N61" i="21"/>
  <c r="M61" i="21"/>
  <c r="O60" i="21"/>
  <c r="M60" i="21"/>
  <c r="O59" i="21"/>
  <c r="N59" i="21"/>
  <c r="M59" i="21"/>
  <c r="O56" i="21"/>
  <c r="N56" i="21"/>
  <c r="M56" i="21"/>
  <c r="O53" i="21"/>
  <c r="N53" i="21"/>
  <c r="M53" i="21"/>
  <c r="O50" i="21"/>
  <c r="M50" i="21"/>
  <c r="O48" i="21"/>
  <c r="M48" i="21"/>
  <c r="O47" i="21"/>
  <c r="N47" i="21"/>
  <c r="M47" i="21"/>
  <c r="O42" i="21"/>
  <c r="M42" i="21"/>
  <c r="O40" i="21"/>
  <c r="N40" i="21"/>
  <c r="M40" i="21"/>
  <c r="O39" i="21"/>
  <c r="M39" i="21"/>
  <c r="O38" i="21"/>
  <c r="M38" i="21"/>
  <c r="O31" i="21"/>
  <c r="N31" i="21"/>
  <c r="M31" i="21"/>
  <c r="O30" i="21"/>
  <c r="P30" i="21" s="1"/>
  <c r="N30" i="21"/>
  <c r="M30" i="21"/>
  <c r="O29" i="21"/>
  <c r="N29" i="21"/>
  <c r="M29" i="21"/>
  <c r="O28" i="21"/>
  <c r="M28" i="21"/>
  <c r="O25" i="21"/>
  <c r="N25" i="21"/>
  <c r="M25" i="21"/>
  <c r="O24" i="21"/>
  <c r="N24" i="21"/>
  <c r="M24" i="21"/>
  <c r="O23" i="21"/>
  <c r="N23" i="21"/>
  <c r="M23" i="21"/>
  <c r="O21" i="21"/>
  <c r="M21" i="21"/>
  <c r="O20" i="21"/>
  <c r="M20" i="21"/>
  <c r="O10" i="21"/>
  <c r="P10" i="21" s="1"/>
  <c r="N10" i="21"/>
  <c r="M10" i="21"/>
  <c r="O7" i="21"/>
  <c r="P7" i="21" s="1"/>
  <c r="M7" i="21"/>
  <c r="O6" i="21"/>
  <c r="P6" i="21" s="1"/>
  <c r="M6" i="21"/>
  <c r="O4" i="21"/>
  <c r="N4" i="21"/>
  <c r="M4" i="21"/>
  <c r="C394" i="5"/>
  <c r="AJ1797" i="3"/>
  <c r="AF1797" i="3"/>
  <c r="U1797" i="3"/>
  <c r="R1797" i="3" a="1"/>
  <c r="R1797" i="3" s="1"/>
  <c r="O1797" i="3"/>
  <c r="AJ1796" i="3"/>
  <c r="AF1796" i="3"/>
  <c r="U1796" i="3"/>
  <c r="R1796" i="3" a="1"/>
  <c r="R1796" i="3" s="1"/>
  <c r="O1796" i="3"/>
  <c r="AJ1795" i="3"/>
  <c r="AF1795" i="3"/>
  <c r="U1795" i="3"/>
  <c r="O1795" i="3"/>
  <c r="AJ1794" i="3"/>
  <c r="AF1794" i="3"/>
  <c r="U1794" i="3"/>
  <c r="O1794" i="3"/>
  <c r="AJ1793" i="3"/>
  <c r="AF1793" i="3"/>
  <c r="U1793" i="3"/>
  <c r="O1793" i="3"/>
  <c r="F1797" i="3"/>
  <c r="F1796" i="3"/>
  <c r="F1795" i="3"/>
  <c r="F1794" i="3"/>
  <c r="F1793" i="3"/>
  <c r="AR1986" i="3" l="1"/>
  <c r="AR2008" i="3"/>
  <c r="AR2012" i="3"/>
  <c r="AR1886" i="3"/>
  <c r="AR1987" i="3"/>
  <c r="AR1982" i="3"/>
  <c r="AR1928" i="3"/>
  <c r="AR1931" i="3"/>
  <c r="Q1872" i="3"/>
  <c r="AB1871" i="3"/>
  <c r="F325" i="5"/>
  <c r="G107" i="6"/>
  <c r="G108" i="6"/>
  <c r="F326" i="5"/>
  <c r="P1859" i="3" s="1"/>
  <c r="F139" i="6"/>
  <c r="G139" i="6" s="1"/>
  <c r="F319" i="5"/>
  <c r="P1896" i="3" s="1"/>
  <c r="G98" i="6"/>
  <c r="F332" i="5"/>
  <c r="G117" i="6"/>
  <c r="P1892" i="3"/>
  <c r="G93" i="6"/>
  <c r="P1898" i="3"/>
  <c r="G122" i="6"/>
  <c r="P1809" i="3"/>
  <c r="G23" i="6"/>
  <c r="P1901" i="3"/>
  <c r="G84" i="6"/>
  <c r="P1862" i="3"/>
  <c r="G27" i="6"/>
  <c r="T31" i="6"/>
  <c r="G31" i="6"/>
  <c r="P1894" i="3"/>
  <c r="G85" i="6"/>
  <c r="F320" i="5"/>
  <c r="G99" i="6"/>
  <c r="F324" i="5"/>
  <c r="P1806" i="3" s="1"/>
  <c r="G105" i="6"/>
  <c r="P1801" i="3"/>
  <c r="G11" i="6"/>
  <c r="T35" i="6"/>
  <c r="G35" i="6"/>
  <c r="F330" i="5"/>
  <c r="G112" i="6"/>
  <c r="F317" i="5"/>
  <c r="G96" i="6"/>
  <c r="F409" i="5"/>
  <c r="P1905" i="3" s="1"/>
  <c r="G106" i="6"/>
  <c r="P1893" i="3"/>
  <c r="G77" i="6"/>
  <c r="P1895" i="3"/>
  <c r="G18" i="6"/>
  <c r="F318" i="5"/>
  <c r="G97" i="6"/>
  <c r="F321" i="5"/>
  <c r="G102" i="6"/>
  <c r="F331" i="5"/>
  <c r="G116" i="6"/>
  <c r="F335" i="5"/>
  <c r="G120" i="6"/>
  <c r="P1831" i="3"/>
  <c r="G133" i="6"/>
  <c r="G113" i="6"/>
  <c r="AR1835" i="3"/>
  <c r="AR1884" i="3"/>
  <c r="Q1871" i="3"/>
  <c r="AR1834" i="3"/>
  <c r="AR1881" i="3"/>
  <c r="AB1872" i="3"/>
  <c r="Q1878" i="3"/>
  <c r="AB1878" i="3"/>
  <c r="Q1877" i="3"/>
  <c r="AB1877" i="3"/>
  <c r="AH1799" i="3"/>
  <c r="W1793" i="3"/>
  <c r="W1794" i="3"/>
  <c r="L1800" i="3"/>
  <c r="L1799" i="3"/>
  <c r="L1798" i="3"/>
  <c r="G1795" i="3"/>
  <c r="G1793" i="3"/>
  <c r="G1794" i="3"/>
  <c r="G1796" i="3"/>
  <c r="G1797" i="3"/>
  <c r="P1856" i="3"/>
  <c r="P1865" i="3"/>
  <c r="P1864" i="3"/>
  <c r="Q1868" i="3"/>
  <c r="AB1868" i="3"/>
  <c r="Q1860" i="3"/>
  <c r="AB1860" i="3"/>
  <c r="P1823" i="3"/>
  <c r="P1817" i="3"/>
  <c r="Q1830" i="3"/>
  <c r="AB1830" i="3"/>
  <c r="AR1804" i="3"/>
  <c r="AR1812" i="3"/>
  <c r="Q1811" i="3"/>
  <c r="AB1811" i="3"/>
  <c r="Q1829" i="3"/>
  <c r="AB1829" i="3"/>
  <c r="AB1810" i="3"/>
  <c r="Q1810" i="3"/>
  <c r="T107" i="6"/>
  <c r="AA1800" i="3"/>
  <c r="AG1800" i="3"/>
  <c r="P1863" i="3"/>
  <c r="T17" i="6"/>
  <c r="T2" i="6"/>
  <c r="T10" i="6"/>
  <c r="T19" i="6"/>
  <c r="T55" i="6"/>
  <c r="T87" i="6"/>
  <c r="T92" i="6"/>
  <c r="P1798" i="3"/>
  <c r="P1838" i="3"/>
  <c r="T65" i="6"/>
  <c r="T74" i="6"/>
  <c r="P1841" i="3"/>
  <c r="T78" i="6"/>
  <c r="T36" i="6"/>
  <c r="P1873" i="3"/>
  <c r="T6" i="6"/>
  <c r="P1886" i="3"/>
  <c r="T13" i="6"/>
  <c r="T23" i="6"/>
  <c r="T40" i="6"/>
  <c r="P1844" i="3"/>
  <c r="T86" i="6"/>
  <c r="T105" i="6"/>
  <c r="T3" i="6"/>
  <c r="P1887" i="3"/>
  <c r="T67" i="6"/>
  <c r="T26" i="6"/>
  <c r="T68" i="6"/>
  <c r="T84" i="6"/>
  <c r="T32" i="6"/>
  <c r="T62" i="6"/>
  <c r="P1884" i="3"/>
  <c r="T11" i="6"/>
  <c r="T46" i="6"/>
  <c r="P337" i="3"/>
  <c r="T49" i="6"/>
  <c r="T72" i="6"/>
  <c r="P1828" i="3"/>
  <c r="T75" i="6"/>
  <c r="T33" i="6"/>
  <c r="T90" i="6"/>
  <c r="T96" i="6"/>
  <c r="T16" i="6"/>
  <c r="P1870" i="3"/>
  <c r="T21" i="6"/>
  <c r="T57" i="6"/>
  <c r="T76" i="6"/>
  <c r="T12" i="6"/>
  <c r="T70" i="6"/>
  <c r="T8" i="6"/>
  <c r="T28" i="6"/>
  <c r="P1875" i="3"/>
  <c r="T47" i="6"/>
  <c r="T99" i="6"/>
  <c r="T117" i="6"/>
  <c r="T51" i="6"/>
  <c r="T56" i="6"/>
  <c r="T50" i="6"/>
  <c r="T39" i="6"/>
  <c r="T95" i="6"/>
  <c r="T91" i="6"/>
  <c r="T45" i="6"/>
  <c r="T48" i="6"/>
  <c r="T121" i="6"/>
  <c r="T30" i="6"/>
  <c r="T116" i="6"/>
  <c r="T93" i="6"/>
  <c r="T54" i="6"/>
  <c r="T25" i="6"/>
  <c r="T77" i="6"/>
  <c r="T98" i="6"/>
  <c r="T60" i="6"/>
  <c r="T44" i="6"/>
  <c r="T64" i="6"/>
  <c r="T81" i="6"/>
  <c r="T29" i="6"/>
  <c r="T69" i="6"/>
  <c r="T85" i="6"/>
  <c r="T97" i="6"/>
  <c r="T112" i="6"/>
  <c r="T102" i="6"/>
  <c r="T5" i="6"/>
  <c r="T41" i="6"/>
  <c r="T61" i="6"/>
  <c r="T59" i="6"/>
  <c r="T82" i="6"/>
  <c r="T14" i="6"/>
  <c r="T22" i="6"/>
  <c r="T37" i="6"/>
  <c r="T80" i="6"/>
  <c r="T38" i="6"/>
  <c r="T43" i="6"/>
  <c r="T63" i="6"/>
  <c r="T94" i="6"/>
  <c r="T4" i="6"/>
  <c r="T24" i="6"/>
  <c r="T89" i="6"/>
  <c r="T53" i="6"/>
  <c r="T119" i="6"/>
  <c r="T58" i="6"/>
  <c r="T111" i="6"/>
  <c r="T122" i="6"/>
  <c r="T83" i="6"/>
  <c r="T7" i="6"/>
  <c r="T15" i="6"/>
  <c r="T18" i="6"/>
  <c r="T73" i="6"/>
  <c r="T27" i="6"/>
  <c r="T42" i="6"/>
  <c r="T52" i="6"/>
  <c r="T66" i="6"/>
  <c r="T79" i="6"/>
  <c r="T9" i="6"/>
  <c r="T34" i="6"/>
  <c r="T71" i="6"/>
  <c r="T123" i="6"/>
  <c r="T20" i="6"/>
  <c r="T120" i="6"/>
  <c r="Q12" i="21"/>
  <c r="Q25" i="21"/>
  <c r="W1797" i="3"/>
  <c r="Q62" i="21"/>
  <c r="F107" i="21"/>
  <c r="F2" i="21"/>
  <c r="F117" i="21"/>
  <c r="F105" i="21"/>
  <c r="F81" i="21"/>
  <c r="F70" i="21"/>
  <c r="F59" i="21"/>
  <c r="F47" i="21"/>
  <c r="F37" i="21"/>
  <c r="F14" i="21"/>
  <c r="F80" i="21"/>
  <c r="F69" i="21"/>
  <c r="F58" i="21"/>
  <c r="F36" i="21"/>
  <c r="F24" i="21"/>
  <c r="F13" i="21"/>
  <c r="F115" i="21"/>
  <c r="F79" i="21"/>
  <c r="F68" i="21"/>
  <c r="F57" i="21"/>
  <c r="F46" i="21"/>
  <c r="F35" i="21"/>
  <c r="F23" i="21"/>
  <c r="F12" i="21"/>
  <c r="F114" i="21"/>
  <c r="F102" i="21"/>
  <c r="F90" i="21"/>
  <c r="F78" i="21"/>
  <c r="F56" i="21"/>
  <c r="F45" i="21"/>
  <c r="F34" i="21"/>
  <c r="F22" i="21"/>
  <c r="F11" i="21"/>
  <c r="F89" i="21"/>
  <c r="F77" i="21"/>
  <c r="F67" i="21"/>
  <c r="F55" i="21"/>
  <c r="F44" i="21"/>
  <c r="F33" i="21"/>
  <c r="F21" i="21"/>
  <c r="F10" i="21"/>
  <c r="F112" i="21"/>
  <c r="F88" i="21"/>
  <c r="F76" i="21"/>
  <c r="F66" i="21"/>
  <c r="F54" i="21"/>
  <c r="F43" i="21"/>
  <c r="F32" i="21"/>
  <c r="F20" i="21"/>
  <c r="F9" i="21"/>
  <c r="F111" i="21"/>
  <c r="F99" i="21"/>
  <c r="F87" i="21"/>
  <c r="F75" i="21"/>
  <c r="F65" i="21"/>
  <c r="F53" i="21"/>
  <c r="F42" i="21"/>
  <c r="F31" i="21"/>
  <c r="F19" i="21"/>
  <c r="F8" i="21"/>
  <c r="F122" i="21"/>
  <c r="F98" i="21"/>
  <c r="F86" i="21"/>
  <c r="F64" i="21"/>
  <c r="F52" i="21"/>
  <c r="F41" i="21"/>
  <c r="F30" i="21"/>
  <c r="F18" i="21"/>
  <c r="F7" i="21"/>
  <c r="F121" i="21"/>
  <c r="F97" i="21"/>
  <c r="F85" i="21"/>
  <c r="F74" i="21"/>
  <c r="F63" i="21"/>
  <c r="F51" i="21"/>
  <c r="F40" i="21"/>
  <c r="F29" i="21"/>
  <c r="F17" i="21"/>
  <c r="F6" i="21"/>
  <c r="F120" i="21"/>
  <c r="F96" i="21"/>
  <c r="F84" i="21"/>
  <c r="F73" i="21"/>
  <c r="F50" i="21"/>
  <c r="F39" i="21"/>
  <c r="F28" i="21"/>
  <c r="F16" i="21"/>
  <c r="F5" i="21"/>
  <c r="F119" i="21"/>
  <c r="F95" i="21"/>
  <c r="F83" i="21"/>
  <c r="F72" i="21"/>
  <c r="F61" i="21"/>
  <c r="F49" i="21"/>
  <c r="F38" i="21"/>
  <c r="F27" i="21"/>
  <c r="F15" i="21"/>
  <c r="F4" i="21"/>
  <c r="F118" i="21"/>
  <c r="F82" i="21"/>
  <c r="F71" i="21"/>
  <c r="F60" i="21"/>
  <c r="F48" i="21"/>
  <c r="F26" i="21"/>
  <c r="F3" i="21"/>
  <c r="E92" i="21"/>
  <c r="E93" i="21"/>
  <c r="E94" i="21"/>
  <c r="Q91" i="21"/>
  <c r="AR1794" i="3"/>
  <c r="AR1796" i="3"/>
  <c r="I1793" i="3"/>
  <c r="I1794" i="3"/>
  <c r="AR1793" i="3"/>
  <c r="I1795" i="3"/>
  <c r="AR1795" i="3"/>
  <c r="AR1797" i="3"/>
  <c r="AC1796" i="3"/>
  <c r="AQ1796" i="3"/>
  <c r="T1796" i="3"/>
  <c r="AQ1797" i="3"/>
  <c r="T1797" i="3"/>
  <c r="AC1797" i="3"/>
  <c r="W1795" i="3"/>
  <c r="W1796" i="3"/>
  <c r="I1796" i="3"/>
  <c r="I1797" i="3"/>
  <c r="P2003" i="3" l="1"/>
  <c r="P2006" i="3"/>
  <c r="P2000" i="3"/>
  <c r="P2010" i="3"/>
  <c r="P1998" i="3"/>
  <c r="Q1998" i="3" s="1"/>
  <c r="AI1998" i="3" s="1"/>
  <c r="P2011" i="3"/>
  <c r="P2016" i="3"/>
  <c r="P2004" i="3"/>
  <c r="P2007" i="3"/>
  <c r="P2001" i="3"/>
  <c r="P1882" i="3"/>
  <c r="Q1882" i="3" s="1"/>
  <c r="P2015" i="3"/>
  <c r="P1964" i="3"/>
  <c r="AB1964" i="3" s="1"/>
  <c r="P1997" i="3"/>
  <c r="P1991" i="3"/>
  <c r="P1994" i="3"/>
  <c r="P1965" i="3"/>
  <c r="AB1965" i="3" s="1"/>
  <c r="P1992" i="3"/>
  <c r="P1995" i="3"/>
  <c r="P1988" i="3"/>
  <c r="P1983" i="3"/>
  <c r="F163" i="5"/>
  <c r="F162" i="5"/>
  <c r="F161" i="5"/>
  <c r="F348" i="5"/>
  <c r="F85" i="5"/>
  <c r="P1929" i="3"/>
  <c r="P1951" i="3"/>
  <c r="P1939" i="3"/>
  <c r="P1923" i="3"/>
  <c r="P1960" i="3"/>
  <c r="P1942" i="3"/>
  <c r="P1945" i="3"/>
  <c r="P1936" i="3"/>
  <c r="P1917" i="3"/>
  <c r="P1914" i="3"/>
  <c r="P1948" i="3"/>
  <c r="P1854" i="3"/>
  <c r="P1926" i="3"/>
  <c r="P1933" i="3"/>
  <c r="P1920" i="3"/>
  <c r="P1946" i="3"/>
  <c r="P1934" i="3"/>
  <c r="P1930" i="3"/>
  <c r="P1915" i="3"/>
  <c r="P1918" i="3"/>
  <c r="P1949" i="3"/>
  <c r="P1937" i="3"/>
  <c r="P1952" i="3"/>
  <c r="P1940" i="3"/>
  <c r="P1921" i="3"/>
  <c r="P1943" i="3"/>
  <c r="P1924" i="3"/>
  <c r="P1867" i="3"/>
  <c r="F55" i="5"/>
  <c r="F282" i="5"/>
  <c r="F164" i="5"/>
  <c r="P1907" i="3"/>
  <c r="P1911" i="3"/>
  <c r="Q1905" i="3"/>
  <c r="AB1905" i="3"/>
  <c r="Q1895" i="3"/>
  <c r="AB1901" i="3"/>
  <c r="AB1801" i="3"/>
  <c r="Q1893" i="3"/>
  <c r="Q1809" i="3"/>
  <c r="AB1831" i="3"/>
  <c r="Q1898" i="3"/>
  <c r="Q1894" i="3"/>
  <c r="AB1892" i="3"/>
  <c r="AB1898" i="3"/>
  <c r="AB1809" i="3"/>
  <c r="Q1892" i="3"/>
  <c r="Q1801" i="3"/>
  <c r="Q1901" i="3"/>
  <c r="AB1895" i="3"/>
  <c r="F329" i="5"/>
  <c r="G111" i="6"/>
  <c r="Q1831" i="3"/>
  <c r="AB1893" i="3"/>
  <c r="AB1894" i="3"/>
  <c r="F394" i="5"/>
  <c r="F418" i="5"/>
  <c r="P1927" i="3" s="1"/>
  <c r="P1902" i="3"/>
  <c r="P1899" i="3"/>
  <c r="P1885" i="3"/>
  <c r="P1890" i="3"/>
  <c r="AB1896" i="3"/>
  <c r="Q1896" i="3"/>
  <c r="P1883" i="3"/>
  <c r="P1897" i="3"/>
  <c r="P1879" i="3"/>
  <c r="P1874" i="3"/>
  <c r="P1889" i="3"/>
  <c r="P1888" i="3"/>
  <c r="P1804" i="3"/>
  <c r="P1881" i="3"/>
  <c r="P1835" i="3"/>
  <c r="P1880" i="3"/>
  <c r="K1794" i="3"/>
  <c r="P1861" i="3"/>
  <c r="P1869" i="3"/>
  <c r="P1866" i="3"/>
  <c r="P1858" i="3"/>
  <c r="Q1864" i="3"/>
  <c r="AB1864" i="3"/>
  <c r="AB1865" i="3"/>
  <c r="Q1865" i="3"/>
  <c r="Q1856" i="3"/>
  <c r="AB1856" i="3"/>
  <c r="Q1859" i="3"/>
  <c r="AB1859" i="3"/>
  <c r="P1832" i="3"/>
  <c r="P1839" i="3"/>
  <c r="P1836" i="3"/>
  <c r="P1833" i="3"/>
  <c r="P1840" i="3"/>
  <c r="P1849" i="3"/>
  <c r="P1852" i="3"/>
  <c r="P1843" i="3"/>
  <c r="P1855" i="3"/>
  <c r="P1846" i="3"/>
  <c r="P1837" i="3"/>
  <c r="P1842" i="3"/>
  <c r="P1845" i="3"/>
  <c r="P1848" i="3"/>
  <c r="P1814" i="3"/>
  <c r="P1851" i="3"/>
  <c r="P1813" i="3"/>
  <c r="P1850" i="3"/>
  <c r="P1853" i="3"/>
  <c r="P1812" i="3"/>
  <c r="P1834" i="3"/>
  <c r="P1800" i="3"/>
  <c r="P1815" i="3"/>
  <c r="P1821" i="3"/>
  <c r="P1827" i="3"/>
  <c r="P1826" i="3"/>
  <c r="P1820" i="3"/>
  <c r="Q1817" i="3"/>
  <c r="AB1817" i="3"/>
  <c r="Q1823" i="3"/>
  <c r="AB1823" i="3"/>
  <c r="Q1806" i="3"/>
  <c r="AB1806" i="3"/>
  <c r="P1799" i="3"/>
  <c r="P1802" i="3"/>
  <c r="AH1800" i="3"/>
  <c r="Q94" i="21"/>
  <c r="F94" i="21"/>
  <c r="Q93" i="21"/>
  <c r="F93" i="21"/>
  <c r="Q92" i="21"/>
  <c r="F92" i="21"/>
  <c r="K1795" i="3"/>
  <c r="K1793" i="3"/>
  <c r="N1797" i="3"/>
  <c r="M1797" i="3" a="1"/>
  <c r="M1797" i="3" s="1"/>
  <c r="K1797" i="3"/>
  <c r="N1796" i="3"/>
  <c r="M1796" i="3" a="1"/>
  <c r="M1796" i="3" s="1"/>
  <c r="K1796" i="3"/>
  <c r="AB1882" i="3" l="1"/>
  <c r="AB2011" i="3"/>
  <c r="Q2011" i="3"/>
  <c r="AI2011" i="3" s="1"/>
  <c r="Q2004" i="3"/>
  <c r="AI2004" i="3" s="1"/>
  <c r="AB2004" i="3"/>
  <c r="AB1998" i="3"/>
  <c r="AB2010" i="3"/>
  <c r="Q2010" i="3"/>
  <c r="AI2010" i="3" s="1"/>
  <c r="Q2015" i="3"/>
  <c r="AB2015" i="3"/>
  <c r="Q2000" i="3"/>
  <c r="AI2000" i="3" s="1"/>
  <c r="AB2000" i="3"/>
  <c r="Q2007" i="3"/>
  <c r="AI2007" i="3" s="1"/>
  <c r="AB2007" i="3"/>
  <c r="Q2016" i="3"/>
  <c r="AI2016" i="3" s="1"/>
  <c r="AB2016" i="3"/>
  <c r="AB2006" i="3"/>
  <c r="Q2006" i="3"/>
  <c r="AI2006" i="3" s="1"/>
  <c r="Q2001" i="3"/>
  <c r="AI2001" i="3" s="1"/>
  <c r="AB2001" i="3"/>
  <c r="AB2003" i="3"/>
  <c r="Q2003" i="3"/>
  <c r="AI2003" i="3" s="1"/>
  <c r="Q1964" i="3"/>
  <c r="Q1965" i="3"/>
  <c r="Q1997" i="3"/>
  <c r="AI1997" i="3" s="1"/>
  <c r="AB1997" i="3"/>
  <c r="AB1995" i="3"/>
  <c r="Q1995" i="3"/>
  <c r="Q1992" i="3"/>
  <c r="AB1992" i="3"/>
  <c r="Q1994" i="3"/>
  <c r="AB1994" i="3"/>
  <c r="Q1991" i="3"/>
  <c r="AB1991" i="3"/>
  <c r="P1807" i="3"/>
  <c r="Q1807" i="3" s="1"/>
  <c r="P1989" i="3"/>
  <c r="P1984" i="3"/>
  <c r="Q1983" i="3"/>
  <c r="AB1983" i="3"/>
  <c r="Q1988" i="3"/>
  <c r="AB1988" i="3"/>
  <c r="Q1854" i="3"/>
  <c r="AB1867" i="3"/>
  <c r="AB1854" i="3"/>
  <c r="Q1952" i="3"/>
  <c r="AB1952" i="3"/>
  <c r="Q1949" i="3"/>
  <c r="AB1949" i="3"/>
  <c r="Q1914" i="3"/>
  <c r="AB1914" i="3"/>
  <c r="Q1937" i="3"/>
  <c r="AB1937" i="3"/>
  <c r="Q1915" i="3"/>
  <c r="AB1915" i="3"/>
  <c r="Q1936" i="3"/>
  <c r="AB1936" i="3"/>
  <c r="Q1930" i="3"/>
  <c r="AB1930" i="3"/>
  <c r="Q1927" i="3"/>
  <c r="AB1927" i="3"/>
  <c r="Q1942" i="3"/>
  <c r="AB1942" i="3"/>
  <c r="Q1934" i="3"/>
  <c r="AB1934" i="3"/>
  <c r="Q1960" i="3"/>
  <c r="AB1960" i="3"/>
  <c r="Q1924" i="3"/>
  <c r="AB1924" i="3"/>
  <c r="Q1946" i="3"/>
  <c r="AB1946" i="3"/>
  <c r="Q1923" i="3"/>
  <c r="AB1923" i="3"/>
  <c r="Q1943" i="3"/>
  <c r="AB1943" i="3"/>
  <c r="Q1939" i="3"/>
  <c r="AB1939" i="3"/>
  <c r="Q1921" i="3"/>
  <c r="AB1921" i="3"/>
  <c r="Q1940" i="3"/>
  <c r="AB1940" i="3"/>
  <c r="Q1926" i="3"/>
  <c r="AB1926" i="3"/>
  <c r="Q1929" i="3"/>
  <c r="AB1929" i="3"/>
  <c r="AB1918" i="3"/>
  <c r="Q1918" i="3"/>
  <c r="AB1920" i="3"/>
  <c r="Q1920" i="3"/>
  <c r="AB1933" i="3"/>
  <c r="Q1933" i="3"/>
  <c r="Q1948" i="3"/>
  <c r="AB1948" i="3"/>
  <c r="AB1917" i="3"/>
  <c r="Q1917" i="3"/>
  <c r="AB1945" i="3"/>
  <c r="Q1945" i="3"/>
  <c r="AB1951" i="3"/>
  <c r="Q1951" i="3"/>
  <c r="Q1867" i="3"/>
  <c r="Q1911" i="3"/>
  <c r="AB1911" i="3"/>
  <c r="Q1907" i="3"/>
  <c r="AB1907" i="3"/>
  <c r="Q1883" i="3"/>
  <c r="AB1874" i="3"/>
  <c r="P1803" i="3"/>
  <c r="P1797" i="3"/>
  <c r="P1900" i="3"/>
  <c r="P1903" i="3"/>
  <c r="Q1899" i="3"/>
  <c r="AB1899" i="3"/>
  <c r="Q1902" i="3"/>
  <c r="AB1902" i="3"/>
  <c r="AB1883" i="3"/>
  <c r="Q1897" i="3"/>
  <c r="AB1897" i="3"/>
  <c r="Q1874" i="3"/>
  <c r="Q1888" i="3"/>
  <c r="AB1888" i="3"/>
  <c r="Q1889" i="3"/>
  <c r="AB1889" i="3"/>
  <c r="L1796" i="3"/>
  <c r="L1797" i="3"/>
  <c r="L1793" i="3"/>
  <c r="L1795" i="3"/>
  <c r="Q1799" i="3"/>
  <c r="Q1800" i="3"/>
  <c r="AB1814" i="3"/>
  <c r="Q1833" i="3"/>
  <c r="Q1832" i="3"/>
  <c r="L1794" i="3"/>
  <c r="AB1832" i="3"/>
  <c r="Q1858" i="3"/>
  <c r="AB1858" i="3"/>
  <c r="Q1866" i="3"/>
  <c r="AB1866" i="3"/>
  <c r="Q1869" i="3"/>
  <c r="AB1869" i="3"/>
  <c r="Q1861" i="3"/>
  <c r="AB1861" i="3"/>
  <c r="Q1842" i="3"/>
  <c r="AB1842" i="3"/>
  <c r="Q1837" i="3"/>
  <c r="AB1837" i="3"/>
  <c r="Q1846" i="3"/>
  <c r="AB1846" i="3"/>
  <c r="Q1814" i="3"/>
  <c r="Q1855" i="3"/>
  <c r="AB1855" i="3"/>
  <c r="Q1843" i="3"/>
  <c r="AB1843" i="3"/>
  <c r="AB1852" i="3"/>
  <c r="Q1852" i="3"/>
  <c r="Q1851" i="3"/>
  <c r="AB1851" i="3"/>
  <c r="AB1849" i="3"/>
  <c r="Q1849" i="3"/>
  <c r="Q1840" i="3"/>
  <c r="AB1840" i="3"/>
  <c r="AB1833" i="3"/>
  <c r="AB1836" i="3"/>
  <c r="Q1836" i="3"/>
  <c r="AB1848" i="3"/>
  <c r="Q1848" i="3"/>
  <c r="Q1839" i="3"/>
  <c r="AB1839" i="3"/>
  <c r="Q1845" i="3"/>
  <c r="AB1845" i="3"/>
  <c r="AB1800" i="3"/>
  <c r="Q1826" i="3"/>
  <c r="AB1826" i="3"/>
  <c r="Q1827" i="3"/>
  <c r="AB1827" i="3"/>
  <c r="Q1820" i="3"/>
  <c r="AB1820" i="3"/>
  <c r="Q1821" i="3"/>
  <c r="AB1821" i="3"/>
  <c r="Q1815" i="3"/>
  <c r="AB1815" i="3"/>
  <c r="AB1799" i="3"/>
  <c r="Q1802" i="3"/>
  <c r="AB1802" i="3"/>
  <c r="AA1796" i="3"/>
  <c r="AG1796" i="3"/>
  <c r="AA1797" i="3"/>
  <c r="AG1797" i="3"/>
  <c r="AI2015" i="3" l="1"/>
  <c r="AB1807" i="3"/>
  <c r="Q1984" i="3"/>
  <c r="AB1984" i="3"/>
  <c r="Q1989" i="3"/>
  <c r="AB1989" i="3"/>
  <c r="Q1803" i="3"/>
  <c r="Q1797" i="3"/>
  <c r="AB1803" i="3"/>
  <c r="Q1903" i="3"/>
  <c r="AB1903" i="3"/>
  <c r="Q1900" i="3"/>
  <c r="AB1900" i="3"/>
  <c r="AH1796" i="3"/>
  <c r="AH1797" i="3"/>
  <c r="AR1001" i="3" l="1"/>
  <c r="AR1003" i="3"/>
  <c r="AR1645" i="3"/>
  <c r="AR1646" i="3"/>
  <c r="AR1647" i="3"/>
  <c r="AR1648" i="3"/>
  <c r="F727" i="7"/>
  <c r="U1789" i="3" s="1"/>
  <c r="AJ1792" i="3"/>
  <c r="AF1792" i="3"/>
  <c r="U1792" i="3"/>
  <c r="R1792" i="3"/>
  <c r="O1792" i="3"/>
  <c r="F1792" i="3"/>
  <c r="AJ1791" i="3"/>
  <c r="AF1791" i="3"/>
  <c r="AA1791" i="3"/>
  <c r="U1791" i="3"/>
  <c r="R1791" i="3"/>
  <c r="O1791" i="3"/>
  <c r="F1791" i="3"/>
  <c r="AJ1790" i="3"/>
  <c r="AE1790" i="3"/>
  <c r="U1790" i="3"/>
  <c r="O1790" i="3"/>
  <c r="F1790" i="3"/>
  <c r="AJ1789" i="3"/>
  <c r="AE1789" i="3"/>
  <c r="O1789" i="3"/>
  <c r="F1789" i="3"/>
  <c r="AR1791" i="3" l="1"/>
  <c r="AR1789" i="3"/>
  <c r="AR1790" i="3"/>
  <c r="AR1792" i="3"/>
  <c r="I1792" i="3"/>
  <c r="G1790" i="3"/>
  <c r="W1792" i="3"/>
  <c r="AK1790" i="3"/>
  <c r="I1791" i="3"/>
  <c r="I1789" i="3"/>
  <c r="AK1789" i="3"/>
  <c r="W1790" i="3"/>
  <c r="AG1791" i="3"/>
  <c r="I1790" i="3"/>
  <c r="AQ1792" i="3"/>
  <c r="W1791" i="3"/>
  <c r="AC1791" i="3"/>
  <c r="AC1792" i="3"/>
  <c r="T1791" i="3"/>
  <c r="AH1791" i="3"/>
  <c r="G1791" i="3"/>
  <c r="W1789" i="3"/>
  <c r="AQ1791" i="3"/>
  <c r="G1792" i="3"/>
  <c r="T1792" i="3"/>
  <c r="G1789" i="3"/>
  <c r="K1789" i="3" l="1"/>
  <c r="K1792" i="3"/>
  <c r="M1792" i="3" a="1"/>
  <c r="M1792" i="3" s="1"/>
  <c r="N1792" i="3"/>
  <c r="K1791" i="3"/>
  <c r="M1791" i="3" a="1"/>
  <c r="M1791" i="3" s="1"/>
  <c r="K1790" i="3"/>
  <c r="AG1792" i="3" l="1"/>
  <c r="L1792" i="3"/>
  <c r="L1789" i="3"/>
  <c r="L1790" i="3"/>
  <c r="L1791" i="3"/>
  <c r="AA1792" i="3"/>
  <c r="F414" i="3"/>
  <c r="O414" i="3"/>
  <c r="R414" i="3"/>
  <c r="U414" i="3"/>
  <c r="AA414" i="3"/>
  <c r="AF414" i="3"/>
  <c r="AJ414" i="3"/>
  <c r="AH1792" i="3" l="1"/>
  <c r="AR414" i="3"/>
  <c r="G414" i="3"/>
  <c r="AG414" i="3"/>
  <c r="AQ414" i="3"/>
  <c r="AC414" i="3"/>
  <c r="AH414" i="3"/>
  <c r="T414" i="3"/>
  <c r="W414" i="3"/>
  <c r="I414" i="3"/>
  <c r="K414" i="3" l="1"/>
  <c r="M414" i="3" a="1"/>
  <c r="M414" i="3" s="1"/>
  <c r="L414" i="3" l="1"/>
  <c r="F726" i="7"/>
  <c r="U1785" i="3" s="1"/>
  <c r="AJ1788" i="3"/>
  <c r="AF1788" i="3"/>
  <c r="U1788" i="3"/>
  <c r="R1788" i="3"/>
  <c r="O1788" i="3"/>
  <c r="AJ1787" i="3"/>
  <c r="AF1787" i="3"/>
  <c r="U1787" i="3"/>
  <c r="R1787" i="3"/>
  <c r="O1787" i="3"/>
  <c r="AJ1786" i="3"/>
  <c r="AF1786" i="3"/>
  <c r="U1786" i="3"/>
  <c r="O1786" i="3"/>
  <c r="AJ1785" i="3"/>
  <c r="AF1785" i="3"/>
  <c r="O1785" i="3"/>
  <c r="F1788" i="3"/>
  <c r="F1787" i="3"/>
  <c r="F1786" i="3"/>
  <c r="F1785" i="3"/>
  <c r="U3" i="3"/>
  <c r="U4" i="3"/>
  <c r="U6" i="3"/>
  <c r="U7" i="3"/>
  <c r="U8" i="3"/>
  <c r="U9" i="3"/>
  <c r="U10" i="3"/>
  <c r="U12" i="3"/>
  <c r="U13" i="3"/>
  <c r="U14" i="3"/>
  <c r="U16" i="3"/>
  <c r="U17" i="3"/>
  <c r="U18" i="3"/>
  <c r="U20" i="3"/>
  <c r="U21" i="3"/>
  <c r="U22" i="3"/>
  <c r="U24" i="3"/>
  <c r="U25" i="3"/>
  <c r="U26" i="3"/>
  <c r="U27" i="3"/>
  <c r="U28" i="3"/>
  <c r="U30" i="3"/>
  <c r="U31" i="3"/>
  <c r="U32" i="3"/>
  <c r="U33" i="3"/>
  <c r="U34" i="3"/>
  <c r="U35" i="3"/>
  <c r="U36" i="3"/>
  <c r="U37" i="3"/>
  <c r="U39" i="3"/>
  <c r="U40" i="3"/>
  <c r="U41" i="3"/>
  <c r="U43" i="3"/>
  <c r="U44" i="3"/>
  <c r="U46" i="3"/>
  <c r="U47" i="3"/>
  <c r="U48" i="3"/>
  <c r="U49" i="3"/>
  <c r="U50" i="3"/>
  <c r="U52" i="3"/>
  <c r="U53" i="3"/>
  <c r="U54" i="3"/>
  <c r="U55" i="3"/>
  <c r="U57" i="3"/>
  <c r="U58" i="3"/>
  <c r="U60" i="3"/>
  <c r="U61" i="3"/>
  <c r="U63" i="3"/>
  <c r="U64" i="3"/>
  <c r="U66" i="3"/>
  <c r="U67" i="3"/>
  <c r="U68" i="3"/>
  <c r="U69" i="3"/>
  <c r="U71" i="3"/>
  <c r="U72" i="3"/>
  <c r="U74" i="3"/>
  <c r="U75" i="3"/>
  <c r="U76" i="3"/>
  <c r="U78" i="3"/>
  <c r="U79" i="3"/>
  <c r="U80" i="3"/>
  <c r="U81" i="3"/>
  <c r="U82" i="3"/>
  <c r="U83" i="3"/>
  <c r="U84" i="3"/>
  <c r="U86" i="3"/>
  <c r="U87" i="3"/>
  <c r="U89" i="3"/>
  <c r="U90" i="3"/>
  <c r="U92" i="3"/>
  <c r="U93" i="3"/>
  <c r="U94" i="3"/>
  <c r="U95" i="3"/>
  <c r="U97" i="3"/>
  <c r="U98" i="3"/>
  <c r="U99" i="3"/>
  <c r="U100" i="3"/>
  <c r="U101" i="3"/>
  <c r="U103" i="3"/>
  <c r="U104" i="3"/>
  <c r="U105" i="3"/>
  <c r="U107" i="3"/>
  <c r="U108" i="3"/>
  <c r="U109" i="3"/>
  <c r="U110" i="3"/>
  <c r="U111" i="3"/>
  <c r="U112" i="3"/>
  <c r="U114" i="3"/>
  <c r="U115" i="3"/>
  <c r="U117" i="3"/>
  <c r="U118" i="3"/>
  <c r="U119" i="3"/>
  <c r="U120" i="3"/>
  <c r="U121" i="3"/>
  <c r="U123" i="3"/>
  <c r="U124" i="3"/>
  <c r="U126" i="3"/>
  <c r="U127" i="3"/>
  <c r="U129" i="3"/>
  <c r="U130" i="3"/>
  <c r="U132" i="3"/>
  <c r="U133" i="3"/>
  <c r="U135" i="3"/>
  <c r="U136" i="3"/>
  <c r="U138" i="3"/>
  <c r="U139" i="3"/>
  <c r="U140" i="3"/>
  <c r="U141" i="3"/>
  <c r="U142" i="3"/>
  <c r="U143" i="3"/>
  <c r="U144" i="3"/>
  <c r="U145" i="3"/>
  <c r="U146" i="3"/>
  <c r="U148" i="3"/>
  <c r="U149" i="3"/>
  <c r="U151" i="3"/>
  <c r="U152" i="3"/>
  <c r="U154" i="3"/>
  <c r="U155" i="3"/>
  <c r="U156" i="3"/>
  <c r="U158" i="3"/>
  <c r="U159" i="3"/>
  <c r="U160" i="3"/>
  <c r="U161" i="3"/>
  <c r="U162" i="3"/>
  <c r="U163" i="3"/>
  <c r="U164" i="3"/>
  <c r="U166" i="3"/>
  <c r="U167" i="3"/>
  <c r="U169" i="3"/>
  <c r="U170" i="3"/>
  <c r="U172" i="3"/>
  <c r="U173" i="3"/>
  <c r="U174" i="3"/>
  <c r="U176" i="3"/>
  <c r="U177" i="3"/>
  <c r="U179" i="3"/>
  <c r="U180" i="3"/>
  <c r="U182" i="3"/>
  <c r="U183" i="3"/>
  <c r="U185" i="3"/>
  <c r="U186" i="3"/>
  <c r="U188" i="3"/>
  <c r="U189" i="3"/>
  <c r="U190" i="3"/>
  <c r="U192" i="3"/>
  <c r="U193" i="3"/>
  <c r="U195" i="3"/>
  <c r="U196" i="3"/>
  <c r="U197" i="3"/>
  <c r="U199" i="3"/>
  <c r="U200" i="3"/>
  <c r="U201" i="3"/>
  <c r="U202" i="3"/>
  <c r="U203" i="3"/>
  <c r="U204" i="3"/>
  <c r="U205" i="3"/>
  <c r="U206" i="3"/>
  <c r="U207" i="3"/>
  <c r="U208" i="3"/>
  <c r="U210" i="3"/>
  <c r="U211" i="3"/>
  <c r="U213" i="3"/>
  <c r="U214" i="3"/>
  <c r="U216" i="3"/>
  <c r="U217" i="3"/>
  <c r="U218" i="3"/>
  <c r="U220" i="3"/>
  <c r="U221" i="3"/>
  <c r="U223" i="3"/>
  <c r="U224" i="3"/>
  <c r="U225" i="3"/>
  <c r="U226" i="3"/>
  <c r="U227" i="3"/>
  <c r="U228" i="3"/>
  <c r="U229" i="3"/>
  <c r="U230" i="3"/>
  <c r="U231" i="3"/>
  <c r="U233" i="3"/>
  <c r="U234" i="3"/>
  <c r="U236" i="3"/>
  <c r="U237" i="3"/>
  <c r="U239" i="3"/>
  <c r="U240" i="3"/>
  <c r="U242" i="3"/>
  <c r="U243" i="3"/>
  <c r="U244" i="3"/>
  <c r="U245" i="3"/>
  <c r="U246" i="3"/>
  <c r="U247" i="3"/>
  <c r="U248" i="3"/>
  <c r="U250" i="3"/>
  <c r="U251" i="3"/>
  <c r="U253" i="3"/>
  <c r="U254" i="3"/>
  <c r="U256" i="3"/>
  <c r="U257" i="3"/>
  <c r="U259" i="3"/>
  <c r="U260" i="3"/>
  <c r="U262" i="3"/>
  <c r="U263" i="3"/>
  <c r="U265" i="3"/>
  <c r="U266" i="3"/>
  <c r="U268" i="3"/>
  <c r="U269" i="3"/>
  <c r="U270" i="3"/>
  <c r="U272" i="3"/>
  <c r="U273" i="3"/>
  <c r="U275" i="3"/>
  <c r="U276" i="3"/>
  <c r="U278" i="3"/>
  <c r="U279" i="3"/>
  <c r="U281" i="3"/>
  <c r="U282" i="3"/>
  <c r="U284" i="3"/>
  <c r="U285" i="3"/>
  <c r="U287" i="3"/>
  <c r="U288" i="3"/>
  <c r="U289" i="3"/>
  <c r="U291" i="3"/>
  <c r="U292" i="3"/>
  <c r="U293" i="3"/>
  <c r="U294" i="3"/>
  <c r="U295" i="3"/>
  <c r="U297" i="3"/>
  <c r="U298" i="3"/>
  <c r="U300" i="3"/>
  <c r="U301" i="3"/>
  <c r="U303" i="3"/>
  <c r="U304" i="3"/>
  <c r="U305" i="3"/>
  <c r="U306" i="3"/>
  <c r="U307" i="3"/>
  <c r="U308" i="3"/>
  <c r="U309" i="3"/>
  <c r="U310" i="3"/>
  <c r="U312" i="3"/>
  <c r="U313" i="3"/>
  <c r="U315" i="3"/>
  <c r="U316" i="3"/>
  <c r="U318" i="3"/>
  <c r="U319" i="3"/>
  <c r="U321" i="3"/>
  <c r="U322" i="3"/>
  <c r="U324" i="3"/>
  <c r="U325" i="3"/>
  <c r="U327" i="3"/>
  <c r="U328" i="3"/>
  <c r="U330" i="3"/>
  <c r="U331" i="3"/>
  <c r="U332" i="3"/>
  <c r="U334" i="3"/>
  <c r="U335" i="3"/>
  <c r="U336" i="3"/>
  <c r="U338" i="3"/>
  <c r="U339" i="3"/>
  <c r="U341" i="3"/>
  <c r="U342" i="3"/>
  <c r="U343" i="3"/>
  <c r="U344" i="3"/>
  <c r="U345" i="3"/>
  <c r="U346" i="3"/>
  <c r="U347" i="3"/>
  <c r="U348" i="3"/>
  <c r="U350" i="3"/>
  <c r="U351" i="3"/>
  <c r="U352" i="3"/>
  <c r="U354" i="3"/>
  <c r="U355" i="3"/>
  <c r="U357" i="3"/>
  <c r="U358" i="3"/>
  <c r="U359" i="3"/>
  <c r="U361" i="3"/>
  <c r="U362" i="3"/>
  <c r="U364" i="3"/>
  <c r="U365" i="3"/>
  <c r="U367" i="3"/>
  <c r="U368" i="3"/>
  <c r="U370" i="3"/>
  <c r="U371" i="3"/>
  <c r="U373" i="3"/>
  <c r="U374" i="3"/>
  <c r="U376" i="3"/>
  <c r="U377" i="3"/>
  <c r="U379" i="3"/>
  <c r="U380" i="3"/>
  <c r="U382" i="3"/>
  <c r="U383" i="3"/>
  <c r="U384" i="3"/>
  <c r="U386" i="3"/>
  <c r="U387" i="3"/>
  <c r="U389" i="3"/>
  <c r="U390" i="3"/>
  <c r="U391" i="3"/>
  <c r="U393" i="3"/>
  <c r="U394" i="3"/>
  <c r="U395" i="3"/>
  <c r="U397" i="3"/>
  <c r="U398" i="3"/>
  <c r="U400" i="3"/>
  <c r="U401" i="3"/>
  <c r="U403" i="3"/>
  <c r="U404" i="3"/>
  <c r="U406" i="3"/>
  <c r="U407" i="3"/>
  <c r="U409" i="3"/>
  <c r="U410" i="3"/>
  <c r="U411" i="3"/>
  <c r="U413" i="3"/>
  <c r="U416" i="3"/>
  <c r="U418" i="3"/>
  <c r="U420" i="3"/>
  <c r="U422" i="3"/>
  <c r="U424" i="3"/>
  <c r="U426" i="3"/>
  <c r="U428" i="3"/>
  <c r="U430" i="3"/>
  <c r="U432" i="3"/>
  <c r="U434" i="3"/>
  <c r="U436" i="3"/>
  <c r="U438" i="3"/>
  <c r="U440" i="3"/>
  <c r="U442" i="3"/>
  <c r="U444" i="3"/>
  <c r="U446" i="3"/>
  <c r="U448" i="3"/>
  <c r="U450" i="3"/>
  <c r="U452" i="3"/>
  <c r="U454" i="3"/>
  <c r="U456" i="3"/>
  <c r="U458" i="3"/>
  <c r="U460" i="3"/>
  <c r="U462" i="3"/>
  <c r="U464" i="3"/>
  <c r="U466" i="3"/>
  <c r="U468" i="3"/>
  <c r="U470" i="3"/>
  <c r="U472" i="3"/>
  <c r="U474" i="3"/>
  <c r="U476" i="3"/>
  <c r="U478" i="3"/>
  <c r="U480" i="3"/>
  <c r="U482" i="3"/>
  <c r="U484" i="3"/>
  <c r="U486" i="3"/>
  <c r="U488" i="3"/>
  <c r="U490" i="3"/>
  <c r="U492" i="3"/>
  <c r="U494" i="3"/>
  <c r="U496" i="3"/>
  <c r="U498" i="3"/>
  <c r="U500" i="3"/>
  <c r="U502" i="3"/>
  <c r="U504" i="3"/>
  <c r="U506" i="3"/>
  <c r="U508" i="3"/>
  <c r="U510" i="3"/>
  <c r="U512" i="3"/>
  <c r="U514" i="3"/>
  <c r="U516" i="3"/>
  <c r="U518" i="3"/>
  <c r="U520" i="3"/>
  <c r="U522" i="3"/>
  <c r="U524" i="3"/>
  <c r="U526" i="3"/>
  <c r="U528" i="3"/>
  <c r="U530" i="3"/>
  <c r="U532" i="3"/>
  <c r="U534" i="3"/>
  <c r="U536" i="3"/>
  <c r="U538" i="3"/>
  <c r="U540" i="3"/>
  <c r="U542" i="3"/>
  <c r="U544" i="3"/>
  <c r="U546" i="3"/>
  <c r="U548" i="3"/>
  <c r="U550" i="3"/>
  <c r="U552" i="3"/>
  <c r="U554" i="3"/>
  <c r="U556" i="3"/>
  <c r="U558" i="3"/>
  <c r="U560" i="3"/>
  <c r="U562" i="3"/>
  <c r="U564" i="3"/>
  <c r="U566" i="3"/>
  <c r="U568" i="3"/>
  <c r="U570" i="3"/>
  <c r="U572" i="3"/>
  <c r="U574" i="3"/>
  <c r="U576" i="3"/>
  <c r="U578" i="3"/>
  <c r="U580" i="3"/>
  <c r="U582" i="3"/>
  <c r="U584" i="3"/>
  <c r="U586" i="3"/>
  <c r="U588" i="3"/>
  <c r="U590" i="3"/>
  <c r="U592" i="3"/>
  <c r="U594" i="3"/>
  <c r="U596" i="3"/>
  <c r="U598" i="3"/>
  <c r="U600" i="3"/>
  <c r="U602" i="3"/>
  <c r="U604" i="3"/>
  <c r="U606" i="3"/>
  <c r="U608" i="3"/>
  <c r="U610" i="3"/>
  <c r="U612" i="3"/>
  <c r="U614" i="3"/>
  <c r="U616" i="3"/>
  <c r="U618" i="3"/>
  <c r="U620" i="3"/>
  <c r="U622" i="3"/>
  <c r="U624" i="3"/>
  <c r="U626" i="3"/>
  <c r="U628" i="3"/>
  <c r="U630" i="3"/>
  <c r="U632" i="3"/>
  <c r="U634" i="3"/>
  <c r="U636" i="3"/>
  <c r="U638" i="3"/>
  <c r="U640" i="3"/>
  <c r="U642" i="3"/>
  <c r="U644" i="3"/>
  <c r="U646" i="3"/>
  <c r="U648" i="3"/>
  <c r="U650" i="3"/>
  <c r="U652" i="3"/>
  <c r="U654" i="3"/>
  <c r="U656" i="3"/>
  <c r="U658" i="3"/>
  <c r="U660" i="3"/>
  <c r="U662" i="3"/>
  <c r="U664" i="3"/>
  <c r="U666" i="3"/>
  <c r="U668" i="3"/>
  <c r="U670" i="3"/>
  <c r="U672" i="3"/>
  <c r="U674" i="3"/>
  <c r="U676" i="3"/>
  <c r="U678" i="3"/>
  <c r="U680" i="3"/>
  <c r="U682" i="3"/>
  <c r="U684" i="3"/>
  <c r="U686" i="3"/>
  <c r="U688" i="3"/>
  <c r="U690" i="3"/>
  <c r="U692" i="3"/>
  <c r="U694" i="3"/>
  <c r="U696" i="3"/>
  <c r="U698" i="3"/>
  <c r="U700" i="3"/>
  <c r="U702" i="3"/>
  <c r="U704" i="3"/>
  <c r="U706" i="3"/>
  <c r="U708" i="3"/>
  <c r="U710" i="3"/>
  <c r="U712" i="3"/>
  <c r="U714" i="3"/>
  <c r="U716" i="3"/>
  <c r="U718" i="3"/>
  <c r="U720" i="3"/>
  <c r="U722" i="3"/>
  <c r="U724" i="3"/>
  <c r="U726" i="3"/>
  <c r="U728" i="3"/>
  <c r="U730" i="3"/>
  <c r="U732" i="3"/>
  <c r="U734" i="3"/>
  <c r="U736" i="3"/>
  <c r="U738" i="3"/>
  <c r="U740" i="3"/>
  <c r="U742" i="3"/>
  <c r="U744" i="3"/>
  <c r="U746" i="3"/>
  <c r="U748" i="3"/>
  <c r="U750" i="3"/>
  <c r="U752" i="3"/>
  <c r="U754" i="3"/>
  <c r="U756" i="3"/>
  <c r="U758" i="3"/>
  <c r="U760" i="3"/>
  <c r="U762" i="3"/>
  <c r="U764" i="3"/>
  <c r="U766" i="3"/>
  <c r="U768" i="3"/>
  <c r="U770" i="3"/>
  <c r="U772" i="3"/>
  <c r="U774" i="3"/>
  <c r="U776" i="3"/>
  <c r="U778" i="3"/>
  <c r="U780" i="3"/>
  <c r="U782" i="3"/>
  <c r="U784" i="3"/>
  <c r="U786" i="3"/>
  <c r="U788" i="3"/>
  <c r="U790" i="3"/>
  <c r="U792" i="3"/>
  <c r="U794" i="3"/>
  <c r="U796" i="3"/>
  <c r="U798" i="3"/>
  <c r="U800" i="3"/>
  <c r="U802" i="3"/>
  <c r="U803" i="3"/>
  <c r="U804" i="3"/>
  <c r="U806" i="3"/>
  <c r="U807" i="3"/>
  <c r="U808" i="3"/>
  <c r="U810" i="3"/>
  <c r="U811" i="3"/>
  <c r="U812" i="3"/>
  <c r="U814" i="3"/>
  <c r="U815" i="3"/>
  <c r="U816" i="3"/>
  <c r="U818" i="3"/>
  <c r="U820" i="3"/>
  <c r="U822" i="3"/>
  <c r="U824" i="3"/>
  <c r="U826" i="3"/>
  <c r="U828" i="3"/>
  <c r="U830" i="3"/>
  <c r="U832" i="3"/>
  <c r="U834" i="3"/>
  <c r="U836" i="3"/>
  <c r="U838" i="3"/>
  <c r="U840" i="3"/>
  <c r="U842" i="3"/>
  <c r="U844" i="3"/>
  <c r="U846" i="3"/>
  <c r="U848" i="3"/>
  <c r="U850" i="3"/>
  <c r="U852" i="3"/>
  <c r="U854" i="3"/>
  <c r="U856" i="3"/>
  <c r="U858" i="3"/>
  <c r="U860" i="3"/>
  <c r="U862" i="3"/>
  <c r="U864" i="3"/>
  <c r="U866" i="3"/>
  <c r="U868" i="3"/>
  <c r="U870" i="3"/>
  <c r="U872" i="3"/>
  <c r="U874" i="3"/>
  <c r="U876" i="3"/>
  <c r="U878" i="3"/>
  <c r="U880" i="3"/>
  <c r="U882" i="3"/>
  <c r="U884" i="3"/>
  <c r="U886" i="3"/>
  <c r="U888" i="3"/>
  <c r="U890" i="3"/>
  <c r="U892" i="3"/>
  <c r="U894" i="3"/>
  <c r="U896" i="3"/>
  <c r="U898" i="3"/>
  <c r="U900" i="3"/>
  <c r="U902" i="3"/>
  <c r="U904" i="3"/>
  <c r="U906" i="3"/>
  <c r="U908" i="3"/>
  <c r="U910" i="3"/>
  <c r="U912" i="3"/>
  <c r="U914" i="3"/>
  <c r="U916" i="3"/>
  <c r="U918" i="3"/>
  <c r="U920" i="3"/>
  <c r="U922" i="3"/>
  <c r="U924" i="3"/>
  <c r="U926" i="3"/>
  <c r="U928" i="3"/>
  <c r="U930" i="3"/>
  <c r="U932" i="3"/>
  <c r="U934" i="3"/>
  <c r="U936" i="3"/>
  <c r="U938" i="3"/>
  <c r="U940" i="3"/>
  <c r="U942" i="3"/>
  <c r="U944" i="3"/>
  <c r="U946" i="3"/>
  <c r="U948" i="3"/>
  <c r="U950" i="3"/>
  <c r="U952" i="3"/>
  <c r="U954" i="3"/>
  <c r="U956" i="3"/>
  <c r="U958" i="3"/>
  <c r="U960" i="3"/>
  <c r="U962" i="3"/>
  <c r="U964" i="3"/>
  <c r="U966" i="3"/>
  <c r="U968" i="3"/>
  <c r="U970" i="3"/>
  <c r="U972" i="3"/>
  <c r="U974" i="3"/>
  <c r="U976" i="3"/>
  <c r="U978" i="3"/>
  <c r="U980" i="3"/>
  <c r="U982" i="3"/>
  <c r="U984" i="3"/>
  <c r="U986" i="3"/>
  <c r="U988" i="3"/>
  <c r="U990" i="3"/>
  <c r="U992" i="3"/>
  <c r="U994" i="3"/>
  <c r="U996" i="3"/>
  <c r="U998" i="3"/>
  <c r="U1000" i="3"/>
  <c r="U1002" i="3"/>
  <c r="U1004" i="3"/>
  <c r="U1006" i="3"/>
  <c r="U1008" i="3"/>
  <c r="U1010" i="3"/>
  <c r="U1012" i="3"/>
  <c r="U1014" i="3"/>
  <c r="U1016" i="3"/>
  <c r="U1018" i="3"/>
  <c r="U1020" i="3"/>
  <c r="U1022" i="3"/>
  <c r="U1024" i="3"/>
  <c r="U1026" i="3"/>
  <c r="U1028" i="3"/>
  <c r="U1030" i="3"/>
  <c r="U1032" i="3"/>
  <c r="U1034" i="3"/>
  <c r="U1036" i="3"/>
  <c r="U1038" i="3"/>
  <c r="U1040" i="3"/>
  <c r="U1042" i="3"/>
  <c r="U1044" i="3"/>
  <c r="U1046" i="3"/>
  <c r="U1048" i="3"/>
  <c r="U1050" i="3"/>
  <c r="U1052" i="3"/>
  <c r="U1054" i="3"/>
  <c r="U1055" i="3"/>
  <c r="U1056" i="3"/>
  <c r="U1057" i="3"/>
  <c r="U1058" i="3"/>
  <c r="U1060" i="3"/>
  <c r="U1061" i="3"/>
  <c r="U1062" i="3"/>
  <c r="U1063" i="3"/>
  <c r="U1064" i="3"/>
  <c r="U1066" i="3"/>
  <c r="U1068" i="3"/>
  <c r="U1070" i="3"/>
  <c r="U1072" i="3"/>
  <c r="U1074" i="3"/>
  <c r="U1076" i="3"/>
  <c r="U1078" i="3"/>
  <c r="U1080" i="3"/>
  <c r="U1082" i="3"/>
  <c r="U1084" i="3"/>
  <c r="U1086" i="3"/>
  <c r="U1088" i="3"/>
  <c r="U1090" i="3"/>
  <c r="U1092" i="3"/>
  <c r="U1094" i="3"/>
  <c r="U1096" i="3"/>
  <c r="U1098" i="3"/>
  <c r="U1100" i="3"/>
  <c r="U1102" i="3"/>
  <c r="U1104" i="3"/>
  <c r="U1106" i="3"/>
  <c r="U1108" i="3"/>
  <c r="U1110" i="3"/>
  <c r="U1112" i="3"/>
  <c r="U1114" i="3"/>
  <c r="U1116" i="3"/>
  <c r="U1118" i="3"/>
  <c r="U1120" i="3"/>
  <c r="U1122" i="3"/>
  <c r="U1124" i="3"/>
  <c r="U1125" i="3"/>
  <c r="U1127" i="3"/>
  <c r="U1128" i="3"/>
  <c r="U1130" i="3"/>
  <c r="U1131" i="3"/>
  <c r="U1133" i="3"/>
  <c r="U1134" i="3"/>
  <c r="U1135" i="3"/>
  <c r="U1136" i="3"/>
  <c r="U1137" i="3"/>
  <c r="U1139" i="3"/>
  <c r="U1141" i="3"/>
  <c r="U1143" i="3"/>
  <c r="U1145" i="3"/>
  <c r="U1146" i="3"/>
  <c r="U1148" i="3"/>
  <c r="U1149" i="3"/>
  <c r="U1150" i="3"/>
  <c r="U1151" i="3"/>
  <c r="U1153" i="3"/>
  <c r="U1154" i="3"/>
  <c r="U1156" i="3"/>
  <c r="U1157" i="3"/>
  <c r="U1159" i="3"/>
  <c r="U1161" i="3"/>
  <c r="U1163" i="3"/>
  <c r="U1165" i="3"/>
  <c r="U1167" i="3"/>
  <c r="U1168" i="3"/>
  <c r="U1170" i="3"/>
  <c r="U1172" i="3"/>
  <c r="U1174" i="3"/>
  <c r="U1176" i="3"/>
  <c r="U1178" i="3"/>
  <c r="U1180" i="3"/>
  <c r="U1182" i="3"/>
  <c r="U1184" i="3"/>
  <c r="U1186" i="3"/>
  <c r="U1188" i="3"/>
  <c r="U1190" i="3"/>
  <c r="U1192" i="3"/>
  <c r="U1194" i="3"/>
  <c r="U1196" i="3"/>
  <c r="U1198" i="3"/>
  <c r="U1200" i="3"/>
  <c r="U1202" i="3"/>
  <c r="U1204" i="3"/>
  <c r="U1206" i="3"/>
  <c r="U1208" i="3"/>
  <c r="U1210" i="3"/>
  <c r="U1212" i="3"/>
  <c r="U1214" i="3"/>
  <c r="U1216" i="3"/>
  <c r="U1218" i="3"/>
  <c r="U1220" i="3"/>
  <c r="U1222" i="3"/>
  <c r="U1224" i="3"/>
  <c r="U1226" i="3"/>
  <c r="U1228" i="3"/>
  <c r="U1230" i="3"/>
  <c r="U1232" i="3"/>
  <c r="U1234" i="3"/>
  <c r="U1236" i="3"/>
  <c r="U1238" i="3"/>
  <c r="U1240" i="3"/>
  <c r="U1242" i="3"/>
  <c r="U1244" i="3"/>
  <c r="U1246" i="3"/>
  <c r="U1248" i="3"/>
  <c r="U1250" i="3"/>
  <c r="U1252" i="3"/>
  <c r="U1254" i="3"/>
  <c r="U1255" i="3"/>
  <c r="U1256" i="3"/>
  <c r="U1257" i="3"/>
  <c r="U1258" i="3"/>
  <c r="U1259" i="3"/>
  <c r="U1261" i="3"/>
  <c r="U1262" i="3"/>
  <c r="U1263" i="3"/>
  <c r="U1264" i="3"/>
  <c r="U1265" i="3"/>
  <c r="U1266" i="3"/>
  <c r="U1268" i="3"/>
  <c r="U1270" i="3"/>
  <c r="U1272" i="3"/>
  <c r="U1274" i="3"/>
  <c r="U1276" i="3"/>
  <c r="U1278" i="3"/>
  <c r="U1280" i="3"/>
  <c r="U1281" i="3"/>
  <c r="U1282" i="3"/>
  <c r="U1283" i="3"/>
  <c r="U1284" i="3"/>
  <c r="U1286" i="3"/>
  <c r="U1287" i="3"/>
  <c r="U1288" i="3"/>
  <c r="U1289" i="3"/>
  <c r="U1290" i="3"/>
  <c r="U1292" i="3"/>
  <c r="U1293" i="3"/>
  <c r="U1294" i="3"/>
  <c r="U1295" i="3"/>
  <c r="U1297" i="3"/>
  <c r="U1298" i="3"/>
  <c r="U1299" i="3"/>
  <c r="U1300" i="3"/>
  <c r="U1302" i="3"/>
  <c r="U1303" i="3"/>
  <c r="U1305" i="3"/>
  <c r="U1306" i="3"/>
  <c r="U1308" i="3"/>
  <c r="U1310" i="3"/>
  <c r="U1311" i="3"/>
  <c r="U1313" i="3"/>
  <c r="U1314" i="3"/>
  <c r="U1316" i="3"/>
  <c r="U1317" i="3"/>
  <c r="U1319" i="3"/>
  <c r="U1321" i="3"/>
  <c r="U1323" i="3"/>
  <c r="U1325" i="3"/>
  <c r="U1327" i="3"/>
  <c r="U1329" i="3"/>
  <c r="U1330" i="3"/>
  <c r="U1332" i="3"/>
  <c r="U1334" i="3"/>
  <c r="U1335" i="3"/>
  <c r="U1337" i="3"/>
  <c r="U1338" i="3"/>
  <c r="U1340" i="3"/>
  <c r="U1341" i="3"/>
  <c r="U1343" i="3"/>
  <c r="U1344" i="3"/>
  <c r="U1346" i="3"/>
  <c r="U1347" i="3"/>
  <c r="U1349" i="3"/>
  <c r="U1350" i="3"/>
  <c r="U1352" i="3"/>
  <c r="U1354" i="3"/>
  <c r="U1356" i="3"/>
  <c r="U1358" i="3"/>
  <c r="U1359" i="3"/>
  <c r="U1360" i="3"/>
  <c r="U1362" i="3"/>
  <c r="U1363" i="3"/>
  <c r="U1364" i="3"/>
  <c r="U1365" i="3"/>
  <c r="U1367" i="3"/>
  <c r="U1369" i="3"/>
  <c r="U1371" i="3"/>
  <c r="U1373" i="3"/>
  <c r="U1375" i="3"/>
  <c r="U1377" i="3"/>
  <c r="U1379" i="3"/>
  <c r="U1380" i="3"/>
  <c r="U1382" i="3"/>
  <c r="U1383" i="3"/>
  <c r="U1385" i="3"/>
  <c r="U1386" i="3"/>
  <c r="U1388" i="3"/>
  <c r="U1389" i="3"/>
  <c r="U1391" i="3"/>
  <c r="U1392" i="3"/>
  <c r="U1394" i="3"/>
  <c r="U1395" i="3"/>
  <c r="U1397" i="3"/>
  <c r="U1398" i="3"/>
  <c r="U1400" i="3"/>
  <c r="U1401" i="3"/>
  <c r="U1402" i="3"/>
  <c r="U1404" i="3"/>
  <c r="U1405" i="3"/>
  <c r="U1406" i="3"/>
  <c r="U1408" i="3"/>
  <c r="U1410" i="3"/>
  <c r="U1412" i="3"/>
  <c r="U1413" i="3"/>
  <c r="U1415" i="3"/>
  <c r="U1417" i="3"/>
  <c r="U1419" i="3"/>
  <c r="U1421" i="3"/>
  <c r="U1423" i="3"/>
  <c r="U1425" i="3"/>
  <c r="U1426" i="3"/>
  <c r="U1427" i="3"/>
  <c r="U1429" i="3"/>
  <c r="U1431" i="3"/>
  <c r="U1433" i="3"/>
  <c r="U1435" i="3"/>
  <c r="U1437" i="3"/>
  <c r="U1439" i="3"/>
  <c r="U1441" i="3"/>
  <c r="U1443" i="3"/>
  <c r="U1445" i="3"/>
  <c r="U1447" i="3"/>
  <c r="U1449" i="3"/>
  <c r="U1451" i="3"/>
  <c r="U1452" i="3"/>
  <c r="U1454" i="3"/>
  <c r="U1456" i="3"/>
  <c r="U1457" i="3"/>
  <c r="U1458" i="3"/>
  <c r="U1460" i="3"/>
  <c r="U1461" i="3"/>
  <c r="U1462" i="3"/>
  <c r="U1464" i="3"/>
  <c r="U1465" i="3"/>
  <c r="U1466" i="3"/>
  <c r="U1468" i="3"/>
  <c r="U1470" i="3"/>
  <c r="U1472" i="3"/>
  <c r="U1474" i="3"/>
  <c r="U1475" i="3"/>
  <c r="U1476" i="3"/>
  <c r="U1478" i="3"/>
  <c r="U1480" i="3"/>
  <c r="U1481" i="3"/>
  <c r="U1482" i="3"/>
  <c r="U1484" i="3"/>
  <c r="U1486" i="3"/>
  <c r="U1488" i="3"/>
  <c r="U1490" i="3"/>
  <c r="U1492" i="3"/>
  <c r="U1493" i="3"/>
  <c r="U1494" i="3"/>
  <c r="U1496" i="3"/>
  <c r="U1498" i="3"/>
  <c r="U1500" i="3"/>
  <c r="U1501" i="3"/>
  <c r="U1502" i="3"/>
  <c r="U1504" i="3"/>
  <c r="U1506" i="3"/>
  <c r="U1508" i="3"/>
  <c r="U1509" i="3"/>
  <c r="U1510" i="3"/>
  <c r="U1511" i="3"/>
  <c r="U1512" i="3"/>
  <c r="U1514" i="3"/>
  <c r="U1515" i="3"/>
  <c r="U1516" i="3"/>
  <c r="U1518" i="3"/>
  <c r="U1520" i="3"/>
  <c r="U1521" i="3"/>
  <c r="U1522" i="3"/>
  <c r="U1524" i="3"/>
  <c r="U1526" i="3"/>
  <c r="U1528" i="3"/>
  <c r="U1529" i="3"/>
  <c r="U1530" i="3"/>
  <c r="U1531" i="3"/>
  <c r="U1532" i="3"/>
  <c r="U1534" i="3"/>
  <c r="U1536" i="3"/>
  <c r="U1538" i="3"/>
  <c r="U1540" i="3"/>
  <c r="U1542" i="3"/>
  <c r="U1544" i="3"/>
  <c r="U1546" i="3"/>
  <c r="U1548" i="3"/>
  <c r="U1550" i="3"/>
  <c r="U1552" i="3"/>
  <c r="U1554" i="3"/>
  <c r="U1556" i="3"/>
  <c r="U1558" i="3"/>
  <c r="U1560" i="3"/>
  <c r="U1562" i="3"/>
  <c r="U1563" i="3"/>
  <c r="U1564" i="3"/>
  <c r="U1565" i="3"/>
  <c r="U1566" i="3"/>
  <c r="U1567" i="3"/>
  <c r="U1569" i="3"/>
  <c r="U1570" i="3"/>
  <c r="U1571" i="3"/>
  <c r="U1573" i="3"/>
  <c r="U1574" i="3"/>
  <c r="U1575" i="3"/>
  <c r="U1578" i="3"/>
  <c r="U1580" i="3"/>
  <c r="U1582" i="3"/>
  <c r="U1584" i="3"/>
  <c r="U1586" i="3"/>
  <c r="U1588" i="3"/>
  <c r="U1590" i="3"/>
  <c r="U1592" i="3"/>
  <c r="U1593" i="3"/>
  <c r="U1595" i="3"/>
  <c r="U1596" i="3"/>
  <c r="U1598" i="3"/>
  <c r="U1599" i="3"/>
  <c r="U1601" i="3"/>
  <c r="U1602" i="3"/>
  <c r="U1604" i="3"/>
  <c r="U1605" i="3"/>
  <c r="U1607" i="3"/>
  <c r="U1608" i="3"/>
  <c r="U1610" i="3"/>
  <c r="U1611" i="3"/>
  <c r="U1613" i="3"/>
  <c r="U1614" i="3"/>
  <c r="U1616" i="3"/>
  <c r="U1617" i="3"/>
  <c r="U1619" i="3"/>
  <c r="U1620" i="3"/>
  <c r="U1622" i="3"/>
  <c r="U1623" i="3"/>
  <c r="U1625" i="3"/>
  <c r="U1626" i="3"/>
  <c r="U1628" i="3"/>
  <c r="U1629" i="3"/>
  <c r="U1631" i="3"/>
  <c r="U1632" i="3"/>
  <c r="U1634" i="3"/>
  <c r="U1635" i="3"/>
  <c r="U1637" i="3"/>
  <c r="U1638" i="3"/>
  <c r="U1640" i="3"/>
  <c r="U1641" i="3"/>
  <c r="U1643" i="3"/>
  <c r="U1644" i="3"/>
  <c r="U1646" i="3"/>
  <c r="U1647" i="3"/>
  <c r="U1648" i="3"/>
  <c r="U1650" i="3"/>
  <c r="U1652" i="3"/>
  <c r="U1653" i="3"/>
  <c r="U1655" i="3"/>
  <c r="U1707" i="3"/>
  <c r="U1711" i="3"/>
  <c r="U1713" i="3"/>
  <c r="U1715" i="3"/>
  <c r="U1717" i="3"/>
  <c r="U1719" i="3"/>
  <c r="U1721" i="3"/>
  <c r="U1723" i="3"/>
  <c r="U1725" i="3"/>
  <c r="U1727" i="3"/>
  <c r="U1729" i="3"/>
  <c r="U1730" i="3"/>
  <c r="U1731" i="3"/>
  <c r="U1732" i="3"/>
  <c r="U1733" i="3"/>
  <c r="U1734" i="3"/>
  <c r="U1735" i="3"/>
  <c r="U1737" i="3"/>
  <c r="U1739" i="3"/>
  <c r="U1741" i="3"/>
  <c r="U1742" i="3"/>
  <c r="U1743" i="3"/>
  <c r="U1745" i="3"/>
  <c r="U1746" i="3"/>
  <c r="U1748" i="3"/>
  <c r="U1749" i="3"/>
  <c r="U1751" i="3"/>
  <c r="U1753" i="3"/>
  <c r="U1755" i="3"/>
  <c r="U1757" i="3"/>
  <c r="U1758" i="3"/>
  <c r="U1760" i="3"/>
  <c r="U1761" i="3"/>
  <c r="U1763" i="3"/>
  <c r="U1764" i="3"/>
  <c r="U1765" i="3"/>
  <c r="U1766" i="3"/>
  <c r="U1767" i="3"/>
  <c r="U1769" i="3"/>
  <c r="U1770" i="3"/>
  <c r="U1771" i="3"/>
  <c r="U1773" i="3"/>
  <c r="U1774" i="3"/>
  <c r="U1776" i="3"/>
  <c r="U1777" i="3"/>
  <c r="U1779" i="3"/>
  <c r="U1780" i="3"/>
  <c r="U1782" i="3"/>
  <c r="U1783" i="3"/>
  <c r="U1784" i="3"/>
  <c r="F1784" i="3"/>
  <c r="O1784" i="3"/>
  <c r="R1784" i="3"/>
  <c r="AF1784" i="3"/>
  <c r="AJ1784" i="3"/>
  <c r="F725" i="7"/>
  <c r="U1781" i="3" s="1"/>
  <c r="AJ1783" i="3"/>
  <c r="AF1783" i="3"/>
  <c r="R1783" i="3"/>
  <c r="O1783" i="3"/>
  <c r="AJ1782" i="3"/>
  <c r="AF1782" i="3"/>
  <c r="R1782" i="3"/>
  <c r="O1782" i="3"/>
  <c r="AJ1781" i="3"/>
  <c r="AF1781" i="3"/>
  <c r="O1781" i="3"/>
  <c r="F1783" i="3"/>
  <c r="F1782" i="3"/>
  <c r="F1781" i="3"/>
  <c r="V373" i="8"/>
  <c r="AJ1780" i="3"/>
  <c r="AF1780" i="3"/>
  <c r="R1780" i="3"/>
  <c r="O1780" i="3"/>
  <c r="AJ1779" i="3"/>
  <c r="AF1779" i="3"/>
  <c r="R1779" i="3"/>
  <c r="O1779" i="3"/>
  <c r="AJ1778" i="3"/>
  <c r="AF1778" i="3"/>
  <c r="O1778" i="3"/>
  <c r="F1780" i="3"/>
  <c r="F1779" i="3"/>
  <c r="F1778" i="3"/>
  <c r="C393" i="5"/>
  <c r="U373" i="8"/>
  <c r="O1775" i="3"/>
  <c r="AF1775" i="3"/>
  <c r="AJ1775" i="3"/>
  <c r="O1776" i="3"/>
  <c r="R1776" i="3"/>
  <c r="AF1776" i="3"/>
  <c r="AJ1776" i="3"/>
  <c r="O1777" i="3"/>
  <c r="R1777" i="3"/>
  <c r="AF1777" i="3"/>
  <c r="AJ1777" i="3"/>
  <c r="F1775" i="3"/>
  <c r="C392" i="5"/>
  <c r="V372" i="8"/>
  <c r="U372" i="8"/>
  <c r="F1777" i="3"/>
  <c r="F1776" i="3"/>
  <c r="F724" i="7"/>
  <c r="U1778" i="3" s="1"/>
  <c r="F723" i="7"/>
  <c r="U1775" i="3" s="1"/>
  <c r="F722" i="7"/>
  <c r="U1772" i="3" s="1"/>
  <c r="AJ1774" i="3"/>
  <c r="AF1774" i="3"/>
  <c r="R1774" i="3"/>
  <c r="O1774" i="3"/>
  <c r="AJ1773" i="3"/>
  <c r="AF1773" i="3"/>
  <c r="R1773" i="3"/>
  <c r="O1773" i="3"/>
  <c r="AJ1772" i="3"/>
  <c r="AF1772" i="3"/>
  <c r="O1772" i="3"/>
  <c r="F1774" i="3"/>
  <c r="F1773" i="3"/>
  <c r="F1772" i="3"/>
  <c r="F721" i="7"/>
  <c r="U1768" i="3" s="1"/>
  <c r="AJ1771" i="3"/>
  <c r="AF1771" i="3"/>
  <c r="R1771" i="3"/>
  <c r="O1771" i="3"/>
  <c r="AJ1770" i="3"/>
  <c r="AF1770" i="3"/>
  <c r="R1770" i="3"/>
  <c r="O1770" i="3"/>
  <c r="AJ1769" i="3"/>
  <c r="AF1769" i="3"/>
  <c r="O1769" i="3"/>
  <c r="AJ1768" i="3"/>
  <c r="AF1768" i="3"/>
  <c r="O1768" i="3"/>
  <c r="F1771" i="3"/>
  <c r="F1770" i="3"/>
  <c r="F1769" i="3"/>
  <c r="F1768" i="3"/>
  <c r="P1765" i="3"/>
  <c r="C391" i="5"/>
  <c r="C390" i="5"/>
  <c r="V371" i="8"/>
  <c r="V370" i="8"/>
  <c r="U371" i="8"/>
  <c r="U370" i="8"/>
  <c r="F720" i="7"/>
  <c r="O1762" i="3"/>
  <c r="AF1762" i="3"/>
  <c r="AJ1762" i="3"/>
  <c r="O1763" i="3"/>
  <c r="AF1763" i="3"/>
  <c r="AJ1763" i="3"/>
  <c r="O1764" i="3"/>
  <c r="AF1764" i="3"/>
  <c r="AJ1764" i="3"/>
  <c r="O1765" i="3"/>
  <c r="AF1765" i="3"/>
  <c r="AJ1765" i="3"/>
  <c r="O1766" i="3"/>
  <c r="R1766" i="3"/>
  <c r="AF1766" i="3"/>
  <c r="AJ1766" i="3"/>
  <c r="O1767" i="3"/>
  <c r="R1767" i="3"/>
  <c r="AF1767" i="3"/>
  <c r="AJ1767" i="3"/>
  <c r="F1767" i="3"/>
  <c r="F1766" i="3"/>
  <c r="F1765" i="3"/>
  <c r="C389" i="5"/>
  <c r="V369" i="8"/>
  <c r="U369" i="8"/>
  <c r="M369" i="8"/>
  <c r="M368" i="8"/>
  <c r="L369" i="8"/>
  <c r="F1764" i="3"/>
  <c r="F1763" i="3"/>
  <c r="F1762" i="3"/>
  <c r="R1765" i="3" l="1"/>
  <c r="AC1765" i="3" s="1"/>
  <c r="M1870" i="3" a="1"/>
  <c r="M1870" i="3" s="1"/>
  <c r="R1768" i="3"/>
  <c r="T1768" i="3" s="1"/>
  <c r="R1769" i="3"/>
  <c r="AC1769" i="3" s="1"/>
  <c r="M1828" i="3" a="1"/>
  <c r="M1828" i="3" s="1"/>
  <c r="R1775" i="3"/>
  <c r="R1870" i="3"/>
  <c r="AR1768" i="3"/>
  <c r="AR1781" i="3"/>
  <c r="AR1782" i="3"/>
  <c r="AR1765" i="3"/>
  <c r="AR1775" i="3"/>
  <c r="AR1784" i="3"/>
  <c r="AR1766" i="3"/>
  <c r="AR1783" i="3"/>
  <c r="AR1785" i="3"/>
  <c r="AR1769" i="3"/>
  <c r="AR1777" i="3"/>
  <c r="AR1786" i="3"/>
  <c r="AR1770" i="3"/>
  <c r="AR1787" i="3"/>
  <c r="AR1771" i="3"/>
  <c r="AR1788" i="3"/>
  <c r="AR1767" i="3"/>
  <c r="AR1772" i="3"/>
  <c r="AR1778" i="3"/>
  <c r="AR1773" i="3"/>
  <c r="AR1779" i="3"/>
  <c r="AR1763" i="3"/>
  <c r="AR1774" i="3"/>
  <c r="AR1780" i="3"/>
  <c r="AR1776" i="3"/>
  <c r="AR1762" i="3"/>
  <c r="AR1764" i="3"/>
  <c r="R1778" i="3"/>
  <c r="R1828" i="3"/>
  <c r="W1771" i="3"/>
  <c r="G1788" i="3"/>
  <c r="G1775" i="3"/>
  <c r="G1784" i="3"/>
  <c r="G1765" i="3"/>
  <c r="G1766" i="3"/>
  <c r="T1774" i="3"/>
  <c r="T1780" i="3"/>
  <c r="W1784" i="3"/>
  <c r="W1769" i="3"/>
  <c r="W1785" i="3"/>
  <c r="G1767" i="3"/>
  <c r="G1772" i="3"/>
  <c r="G1778" i="3"/>
  <c r="W1783" i="3"/>
  <c r="G1773" i="3"/>
  <c r="G1779" i="3"/>
  <c r="W1782" i="3"/>
  <c r="G1774" i="3"/>
  <c r="G1780" i="3"/>
  <c r="W1781" i="3"/>
  <c r="W1788" i="3"/>
  <c r="G1764" i="3"/>
  <c r="G1781" i="3"/>
  <c r="W1780" i="3"/>
  <c r="W1764" i="3"/>
  <c r="G1763" i="3"/>
  <c r="T1770" i="3"/>
  <c r="G1782" i="3"/>
  <c r="W1779" i="3"/>
  <c r="W1763" i="3"/>
  <c r="W1786" i="3"/>
  <c r="G1783" i="3"/>
  <c r="W1777" i="3"/>
  <c r="G1762" i="3"/>
  <c r="G1769" i="3"/>
  <c r="G1777" i="3"/>
  <c r="G1785" i="3"/>
  <c r="G1770" i="3"/>
  <c r="T1773" i="3"/>
  <c r="T1779" i="3"/>
  <c r="W1774" i="3"/>
  <c r="G1786" i="3"/>
  <c r="I1768" i="3"/>
  <c r="G1776" i="3"/>
  <c r="G1771" i="3"/>
  <c r="T1771" i="3"/>
  <c r="W1773" i="3"/>
  <c r="G1787" i="3"/>
  <c r="T1787" i="3"/>
  <c r="AQ1788" i="3"/>
  <c r="I1788" i="3"/>
  <c r="I1787" i="3"/>
  <c r="I1785" i="3"/>
  <c r="I1786" i="3"/>
  <c r="U1762" i="3"/>
  <c r="AC1787" i="3"/>
  <c r="AC1788" i="3"/>
  <c r="T1788" i="3"/>
  <c r="W1787" i="3"/>
  <c r="AQ1787" i="3"/>
  <c r="AC1784" i="3"/>
  <c r="AQ1784" i="3"/>
  <c r="I1784" i="3"/>
  <c r="T1784" i="3"/>
  <c r="I1781" i="3"/>
  <c r="I1783" i="3"/>
  <c r="I1782" i="3"/>
  <c r="AQ1783" i="3"/>
  <c r="AC1782" i="3"/>
  <c r="AC1783" i="3"/>
  <c r="T1782" i="3"/>
  <c r="AQ1782" i="3"/>
  <c r="T1783" i="3"/>
  <c r="I1780" i="3"/>
  <c r="W1776" i="3"/>
  <c r="AC1776" i="3"/>
  <c r="I1779" i="3"/>
  <c r="I1778" i="3"/>
  <c r="AC1779" i="3"/>
  <c r="AC1780" i="3"/>
  <c r="W1778" i="3"/>
  <c r="I1777" i="3"/>
  <c r="I1776" i="3"/>
  <c r="I1775" i="3"/>
  <c r="T1776" i="3"/>
  <c r="AC1777" i="3"/>
  <c r="T1777" i="3"/>
  <c r="W1775" i="3"/>
  <c r="I1774" i="3"/>
  <c r="I1773" i="3"/>
  <c r="I1772" i="3"/>
  <c r="W1772" i="3"/>
  <c r="AC1773" i="3"/>
  <c r="AC1774" i="3"/>
  <c r="W1770" i="3"/>
  <c r="W1768" i="3"/>
  <c r="AC1770" i="3"/>
  <c r="AC1771" i="3"/>
  <c r="I1771" i="3"/>
  <c r="I1770" i="3"/>
  <c r="I1769" i="3"/>
  <c r="G1768" i="3"/>
  <c r="I1764" i="3"/>
  <c r="I1763" i="3"/>
  <c r="I1762" i="3"/>
  <c r="I1766" i="3"/>
  <c r="I1765" i="3"/>
  <c r="W1767" i="3"/>
  <c r="I1767" i="3"/>
  <c r="W1766" i="3"/>
  <c r="W1765" i="3"/>
  <c r="T1767" i="3"/>
  <c r="AC1766" i="3"/>
  <c r="AC1767" i="3"/>
  <c r="T1766" i="3"/>
  <c r="AC1768" i="3" l="1"/>
  <c r="T1765" i="3"/>
  <c r="N1828" i="3"/>
  <c r="Q1828" i="3" s="1"/>
  <c r="N1870" i="3"/>
  <c r="Q1870" i="3" s="1"/>
  <c r="T1769" i="3"/>
  <c r="T1775" i="3"/>
  <c r="AC1775" i="3"/>
  <c r="AQ1828" i="3"/>
  <c r="AC1778" i="3"/>
  <c r="AC1870" i="3"/>
  <c r="T1870" i="3"/>
  <c r="T1778" i="3"/>
  <c r="AC1828" i="3"/>
  <c r="T1828" i="3"/>
  <c r="K1768" i="3"/>
  <c r="M1768" i="3" a="1"/>
  <c r="M1768" i="3" s="1"/>
  <c r="N1788" i="3"/>
  <c r="N1767" i="3"/>
  <c r="M1778" i="3" a="1"/>
  <c r="M1778" i="3" s="1"/>
  <c r="M1779" i="3" a="1"/>
  <c r="M1779" i="3" s="1"/>
  <c r="K1783" i="3"/>
  <c r="K1762" i="3"/>
  <c r="N1782" i="3"/>
  <c r="W1762" i="3"/>
  <c r="K1764" i="3"/>
  <c r="N1780" i="3"/>
  <c r="K1785" i="3"/>
  <c r="N1787" i="3"/>
  <c r="M1787" i="3" a="1"/>
  <c r="M1787" i="3" s="1"/>
  <c r="M1788" i="3" a="1"/>
  <c r="M1788" i="3" s="1"/>
  <c r="K1788" i="3"/>
  <c r="K1787" i="3"/>
  <c r="K1786" i="3"/>
  <c r="K1781" i="3"/>
  <c r="N1783" i="3"/>
  <c r="M1783" i="3" a="1"/>
  <c r="M1783" i="3" s="1"/>
  <c r="K1784" i="3"/>
  <c r="M1784" i="3" a="1"/>
  <c r="M1784" i="3" s="1"/>
  <c r="N1784" i="3"/>
  <c r="K1782" i="3"/>
  <c r="M1782" i="3" a="1"/>
  <c r="M1782" i="3" s="1"/>
  <c r="K1780" i="3"/>
  <c r="M1780" i="3" a="1"/>
  <c r="M1780" i="3" s="1"/>
  <c r="K1779" i="3"/>
  <c r="K1778" i="3"/>
  <c r="N1779" i="3"/>
  <c r="K1775" i="3"/>
  <c r="M1775" i="3" a="1"/>
  <c r="M1775" i="3" s="1"/>
  <c r="M1776" i="3" a="1"/>
  <c r="M1776" i="3" s="1"/>
  <c r="N1776" i="3"/>
  <c r="K1776" i="3"/>
  <c r="N1777" i="3"/>
  <c r="K1777" i="3"/>
  <c r="M1777" i="3" a="1"/>
  <c r="M1777" i="3" s="1"/>
  <c r="K1773" i="3"/>
  <c r="N1773" i="3"/>
  <c r="M1773" i="3" a="1"/>
  <c r="M1773" i="3" s="1"/>
  <c r="N1774" i="3"/>
  <c r="K1774" i="3"/>
  <c r="M1774" i="3" a="1"/>
  <c r="M1774" i="3" s="1"/>
  <c r="K1772" i="3"/>
  <c r="N1770" i="3"/>
  <c r="M1770" i="3" a="1"/>
  <c r="M1770" i="3" s="1"/>
  <c r="K1770" i="3"/>
  <c r="N1771" i="3"/>
  <c r="M1771" i="3" a="1"/>
  <c r="M1771" i="3" s="1"/>
  <c r="K1771" i="3"/>
  <c r="M1769" i="3" a="1"/>
  <c r="M1769" i="3" s="1"/>
  <c r="K1769" i="3"/>
  <c r="K1763" i="3"/>
  <c r="M1765" i="3" a="1"/>
  <c r="M1765" i="3" s="1"/>
  <c r="K1765" i="3"/>
  <c r="K1766" i="3"/>
  <c r="M1766" i="3" a="1"/>
  <c r="M1766" i="3" s="1"/>
  <c r="K1767" i="3"/>
  <c r="M1767" i="3" a="1"/>
  <c r="M1767" i="3" s="1"/>
  <c r="AA1766" i="3"/>
  <c r="AG1828" i="3" l="1"/>
  <c r="AA1870" i="3"/>
  <c r="AH1870" i="3" s="1"/>
  <c r="AA1828" i="3"/>
  <c r="AB1828" i="3" s="1"/>
  <c r="AG1870" i="3"/>
  <c r="AH1766" i="3"/>
  <c r="AG1780" i="3"/>
  <c r="AG1767" i="3"/>
  <c r="AG1788" i="3"/>
  <c r="L1768" i="3"/>
  <c r="AG1782" i="3"/>
  <c r="AG1787" i="3"/>
  <c r="N1768" i="3"/>
  <c r="L1781" i="3"/>
  <c r="N1778" i="3"/>
  <c r="L1777" i="3"/>
  <c r="L1783" i="3"/>
  <c r="L1767" i="3"/>
  <c r="L1770" i="3"/>
  <c r="L1780" i="3"/>
  <c r="L1786" i="3"/>
  <c r="AA1787" i="3"/>
  <c r="L1773" i="3"/>
  <c r="L1776" i="3"/>
  <c r="L1787" i="3"/>
  <c r="L1785" i="3"/>
  <c r="AA1767" i="3"/>
  <c r="L1779" i="3"/>
  <c r="L1762" i="3"/>
  <c r="N1775" i="3"/>
  <c r="L1782" i="3"/>
  <c r="L1788" i="3"/>
  <c r="AA1780" i="3"/>
  <c r="L1766" i="3"/>
  <c r="L1765" i="3"/>
  <c r="L1772" i="3"/>
  <c r="AA1782" i="3"/>
  <c r="L1771" i="3"/>
  <c r="AA1783" i="3"/>
  <c r="N1765" i="3"/>
  <c r="L1763" i="3"/>
  <c r="L1774" i="3"/>
  <c r="L1775" i="3"/>
  <c r="L1764" i="3"/>
  <c r="L1769" i="3"/>
  <c r="L1784" i="3"/>
  <c r="N1769" i="3"/>
  <c r="L1778" i="3"/>
  <c r="AA1788" i="3"/>
  <c r="AG1783" i="3"/>
  <c r="AA1784" i="3"/>
  <c r="AG1784" i="3"/>
  <c r="AA1779" i="3"/>
  <c r="AG1779" i="3"/>
  <c r="AA1777" i="3"/>
  <c r="AG1777" i="3"/>
  <c r="AG1776" i="3"/>
  <c r="AA1776" i="3"/>
  <c r="AA1774" i="3"/>
  <c r="AG1774" i="3"/>
  <c r="AA1773" i="3"/>
  <c r="AG1773" i="3"/>
  <c r="AA1771" i="3"/>
  <c r="AG1771" i="3"/>
  <c r="AG1770" i="3"/>
  <c r="AA1770" i="3"/>
  <c r="AG1766" i="3"/>
  <c r="AB1870" i="3" l="1"/>
  <c r="AH1828" i="3"/>
  <c r="AH1779" i="3"/>
  <c r="AH1788" i="3"/>
  <c r="Q1765" i="3"/>
  <c r="AH1783" i="3"/>
  <c r="AH1782" i="3"/>
  <c r="AH1780" i="3"/>
  <c r="AH1767" i="3"/>
  <c r="AH1787" i="3"/>
  <c r="AG1768" i="3"/>
  <c r="AG1775" i="3"/>
  <c r="AA1768" i="3"/>
  <c r="AA1775" i="3"/>
  <c r="AG1765" i="3"/>
  <c r="AA1769" i="3"/>
  <c r="AA1765" i="3"/>
  <c r="AA1778" i="3"/>
  <c r="AG1778" i="3"/>
  <c r="AG1769" i="3"/>
  <c r="AH1784" i="3"/>
  <c r="AH1776" i="3"/>
  <c r="AH1777" i="3"/>
  <c r="AH1773" i="3"/>
  <c r="AH1774" i="3"/>
  <c r="AH1770" i="3"/>
  <c r="AH1771" i="3"/>
  <c r="AH1778" i="3" l="1"/>
  <c r="AB1765" i="3"/>
  <c r="AH1769" i="3"/>
  <c r="AH1775" i="3"/>
  <c r="AH1768" i="3"/>
  <c r="AH1765" i="3"/>
  <c r="U75" i="8"/>
  <c r="V75" i="8"/>
  <c r="AJ1761" i="3"/>
  <c r="AF1761" i="3"/>
  <c r="W1761" i="3"/>
  <c r="R1761" i="3"/>
  <c r="O1761" i="3"/>
  <c r="AJ1760" i="3"/>
  <c r="AF1760" i="3"/>
  <c r="W1760" i="3"/>
  <c r="R1760" i="3"/>
  <c r="O1760" i="3"/>
  <c r="AJ1759" i="3"/>
  <c r="AF1759" i="3"/>
  <c r="O1759" i="3"/>
  <c r="F1761" i="3"/>
  <c r="F1760" i="3"/>
  <c r="F1759" i="3"/>
  <c r="AO1" i="3"/>
  <c r="V1993" i="3" l="1"/>
  <c r="X1991" i="3"/>
  <c r="S1990" i="3"/>
  <c r="S1995" i="3"/>
  <c r="X1995" i="3"/>
  <c r="V1994" i="3"/>
  <c r="V1995" i="3"/>
  <c r="X1990" i="3"/>
  <c r="S1992" i="3"/>
  <c r="S1994" i="3"/>
  <c r="V1992" i="3"/>
  <c r="V1990" i="3"/>
  <c r="S1991" i="3"/>
  <c r="V1991" i="3"/>
  <c r="X1992" i="3"/>
  <c r="X1994" i="3"/>
  <c r="AD1992" i="3"/>
  <c r="AD1991" i="3"/>
  <c r="AD1990" i="3"/>
  <c r="AD1994" i="3"/>
  <c r="AD1995" i="3"/>
  <c r="V1988" i="3"/>
  <c r="S1989" i="3"/>
  <c r="X1989" i="3"/>
  <c r="V1987" i="3"/>
  <c r="X1988" i="3"/>
  <c r="S1988" i="3"/>
  <c r="V1986" i="3"/>
  <c r="V1985" i="3"/>
  <c r="V1989" i="3"/>
  <c r="AD1988" i="3"/>
  <c r="AD1989" i="3"/>
  <c r="X1975" i="3"/>
  <c r="S1984" i="3"/>
  <c r="X1973" i="3"/>
  <c r="V1971" i="3"/>
  <c r="S1979" i="3"/>
  <c r="V1972" i="3"/>
  <c r="V1973" i="3"/>
  <c r="V1981" i="3"/>
  <c r="V1967" i="3"/>
  <c r="V1977" i="3"/>
  <c r="X1974" i="3"/>
  <c r="V1982" i="3"/>
  <c r="S1977" i="3"/>
  <c r="S1973" i="3"/>
  <c r="X1984" i="3"/>
  <c r="V1984" i="3"/>
  <c r="X1978" i="3"/>
  <c r="V1976" i="3"/>
  <c r="V1975" i="3"/>
  <c r="S1974" i="3"/>
  <c r="V1980" i="3"/>
  <c r="X1979" i="3"/>
  <c r="V1969" i="3"/>
  <c r="V1966" i="3"/>
  <c r="V1979" i="3"/>
  <c r="S1978" i="3"/>
  <c r="S1975" i="3"/>
  <c r="V1968" i="3"/>
  <c r="S1983" i="3"/>
  <c r="X1977" i="3"/>
  <c r="V1974" i="3"/>
  <c r="X1983" i="3"/>
  <c r="V1983" i="3"/>
  <c r="V1978" i="3"/>
  <c r="V1970" i="3"/>
  <c r="AD1977" i="3"/>
  <c r="AD1974" i="3"/>
  <c r="AD1978" i="3"/>
  <c r="AD1979" i="3"/>
  <c r="AD1983" i="3"/>
  <c r="V1965" i="3"/>
  <c r="V1961" i="3"/>
  <c r="AD1984" i="3"/>
  <c r="AD1975" i="3"/>
  <c r="X1965" i="3"/>
  <c r="V1963" i="3"/>
  <c r="AD1973" i="3"/>
  <c r="X1964" i="3"/>
  <c r="V1964" i="3"/>
  <c r="S1964" i="3"/>
  <c r="V1962" i="3"/>
  <c r="S1965" i="3"/>
  <c r="AD1965" i="3"/>
  <c r="AD1964" i="3"/>
  <c r="S1942" i="3"/>
  <c r="X1951" i="3"/>
  <c r="S1945" i="3"/>
  <c r="V1936" i="3"/>
  <c r="V1926" i="3"/>
  <c r="X1926" i="3"/>
  <c r="X1921" i="3"/>
  <c r="V1917" i="3"/>
  <c r="S1923" i="3"/>
  <c r="X1945" i="3"/>
  <c r="S1952" i="3"/>
  <c r="X1930" i="3"/>
  <c r="X1927" i="3"/>
  <c r="S1927" i="3"/>
  <c r="X1924" i="3"/>
  <c r="V1921" i="3"/>
  <c r="V1919" i="3"/>
  <c r="V1931" i="3"/>
  <c r="X1952" i="3"/>
  <c r="X1942" i="3"/>
  <c r="X1920" i="3"/>
  <c r="V1930" i="3"/>
  <c r="V1927" i="3"/>
  <c r="V1925" i="3"/>
  <c r="V1924" i="3"/>
  <c r="V1947" i="3"/>
  <c r="V1952" i="3"/>
  <c r="S1939" i="3"/>
  <c r="S1936" i="3"/>
  <c r="S1940" i="3"/>
  <c r="V1929" i="3"/>
  <c r="S1930" i="3"/>
  <c r="V1923" i="3"/>
  <c r="S1924" i="3"/>
  <c r="V1914" i="3"/>
  <c r="X1960" i="3"/>
  <c r="X1949" i="3"/>
  <c r="S1949" i="3"/>
  <c r="X1939" i="3"/>
  <c r="X1943" i="3"/>
  <c r="S1937" i="3"/>
  <c r="X1933" i="3"/>
  <c r="X1917" i="3"/>
  <c r="X1914" i="3"/>
  <c r="S1926" i="3"/>
  <c r="V1955" i="3"/>
  <c r="V1949" i="3"/>
  <c r="X1946" i="3"/>
  <c r="S1946" i="3"/>
  <c r="V1943" i="3"/>
  <c r="S1943" i="3"/>
  <c r="X1940" i="3"/>
  <c r="V1938" i="3"/>
  <c r="X1937" i="3"/>
  <c r="X1934" i="3"/>
  <c r="S1934" i="3"/>
  <c r="X1929" i="3"/>
  <c r="V1928" i="3"/>
  <c r="X1923" i="3"/>
  <c r="S1920" i="3"/>
  <c r="S1914" i="3"/>
  <c r="V1922" i="3"/>
  <c r="V1954" i="3"/>
  <c r="V1953" i="3"/>
  <c r="V1950" i="3"/>
  <c r="V1946" i="3"/>
  <c r="V1941" i="3"/>
  <c r="V1940" i="3"/>
  <c r="V1937" i="3"/>
  <c r="V1935" i="3"/>
  <c r="S1918" i="3"/>
  <c r="V1944" i="3"/>
  <c r="S1951" i="3"/>
  <c r="V1939" i="3"/>
  <c r="V1932" i="3"/>
  <c r="V1920" i="3"/>
  <c r="V1916" i="3"/>
  <c r="V1918" i="3"/>
  <c r="S1929" i="3"/>
  <c r="V1951" i="3"/>
  <c r="X1936" i="3"/>
  <c r="V1934" i="3"/>
  <c r="X1918" i="3"/>
  <c r="V1956" i="3"/>
  <c r="V1942" i="3"/>
  <c r="S1933" i="3"/>
  <c r="V1957" i="3"/>
  <c r="V1959" i="3"/>
  <c r="V1958" i="3"/>
  <c r="V1948" i="3"/>
  <c r="S1917" i="3"/>
  <c r="X1915" i="3"/>
  <c r="S1915" i="3"/>
  <c r="V1960" i="3"/>
  <c r="S1960" i="3"/>
  <c r="X1948" i="3"/>
  <c r="S1948" i="3"/>
  <c r="V1945" i="3"/>
  <c r="V1933" i="3"/>
  <c r="S1921" i="3"/>
  <c r="V1915" i="3"/>
  <c r="V1913" i="3"/>
  <c r="AD1930" i="3"/>
  <c r="AD1951" i="3"/>
  <c r="AD1917" i="3"/>
  <c r="AD1949" i="3"/>
  <c r="AD1933" i="3"/>
  <c r="AD1920" i="3"/>
  <c r="AD1943" i="3"/>
  <c r="AD1914" i="3"/>
  <c r="AD1945" i="3"/>
  <c r="AD1960" i="3"/>
  <c r="AD1915" i="3"/>
  <c r="AD1927" i="3"/>
  <c r="AD1921" i="3"/>
  <c r="AD1918" i="3"/>
  <c r="AD1936" i="3"/>
  <c r="AD1923" i="3"/>
  <c r="AD1946" i="3"/>
  <c r="AD1924" i="3"/>
  <c r="AD1952" i="3"/>
  <c r="AD1929" i="3"/>
  <c r="AD1940" i="3"/>
  <c r="AD1942" i="3"/>
  <c r="AD1948" i="3"/>
  <c r="AD1934" i="3"/>
  <c r="AD1939" i="3"/>
  <c r="AD1926" i="3"/>
  <c r="AD1937" i="3"/>
  <c r="X1911" i="3"/>
  <c r="V1906" i="3"/>
  <c r="V1907" i="3"/>
  <c r="S1907" i="3"/>
  <c r="X1912" i="3"/>
  <c r="V1910" i="3"/>
  <c r="X1905" i="3"/>
  <c r="X1904" i="3"/>
  <c r="V1904" i="3"/>
  <c r="V1909" i="3"/>
  <c r="S1904" i="3"/>
  <c r="S1912" i="3"/>
  <c r="V1911" i="3"/>
  <c r="X1907" i="3"/>
  <c r="S1905" i="3"/>
  <c r="S1911" i="3"/>
  <c r="V1912" i="3"/>
  <c r="V1908" i="3"/>
  <c r="V1905" i="3"/>
  <c r="AD1905" i="3"/>
  <c r="AD1904" i="3"/>
  <c r="AD1907" i="3"/>
  <c r="AD1911" i="3"/>
  <c r="AD1912" i="3"/>
  <c r="S1902" i="3"/>
  <c r="X1898" i="3"/>
  <c r="X1901" i="3"/>
  <c r="X1900" i="3"/>
  <c r="S1898" i="3"/>
  <c r="V1898" i="3"/>
  <c r="X1903" i="3"/>
  <c r="V1903" i="3"/>
  <c r="S1899" i="3"/>
  <c r="S1903" i="3"/>
  <c r="X1902" i="3"/>
  <c r="V1901" i="3"/>
  <c r="V1902" i="3"/>
  <c r="S1900" i="3"/>
  <c r="X1899" i="3"/>
  <c r="V1900" i="3"/>
  <c r="S1901" i="3"/>
  <c r="V1899" i="3"/>
  <c r="AD1902" i="3"/>
  <c r="AD1901" i="3"/>
  <c r="AD1903" i="3"/>
  <c r="AD1898" i="3"/>
  <c r="AD1900" i="3"/>
  <c r="AD1899" i="3"/>
  <c r="X1893" i="3"/>
  <c r="X1897" i="3"/>
  <c r="V1890" i="3"/>
  <c r="X1894" i="3"/>
  <c r="S1891" i="3"/>
  <c r="S1892" i="3"/>
  <c r="S1897" i="3"/>
  <c r="V1894" i="3"/>
  <c r="V1896" i="3"/>
  <c r="V1897" i="3"/>
  <c r="AD1895" i="3"/>
  <c r="V1891" i="3"/>
  <c r="X1895" i="3"/>
  <c r="X1896" i="3"/>
  <c r="S1895" i="3"/>
  <c r="X1891" i="3"/>
  <c r="V1893" i="3"/>
  <c r="V1892" i="3"/>
  <c r="X1892" i="3"/>
  <c r="V1895" i="3"/>
  <c r="S1894" i="3"/>
  <c r="S1896" i="3"/>
  <c r="S1893" i="3"/>
  <c r="AD1894" i="3"/>
  <c r="AD1897" i="3"/>
  <c r="AD1892" i="3"/>
  <c r="AD1891" i="3"/>
  <c r="AD1893" i="3"/>
  <c r="AD1896" i="3"/>
  <c r="V1886" i="3"/>
  <c r="V1887" i="3"/>
  <c r="V1889" i="3"/>
  <c r="V1888" i="3"/>
  <c r="S1888" i="3"/>
  <c r="V1880" i="3"/>
  <c r="V1884" i="3"/>
  <c r="S1889" i="3"/>
  <c r="X1889" i="3"/>
  <c r="X1888" i="3"/>
  <c r="V1885" i="3"/>
  <c r="AD1888" i="3"/>
  <c r="AD1889" i="3"/>
  <c r="AD1882" i="3"/>
  <c r="V1879" i="3"/>
  <c r="X1882" i="3"/>
  <c r="S1883" i="3"/>
  <c r="V1881" i="3"/>
  <c r="S1882" i="3"/>
  <c r="X1883" i="3"/>
  <c r="V1883" i="3"/>
  <c r="V1882" i="3"/>
  <c r="AD1883" i="3"/>
  <c r="V1876" i="3"/>
  <c r="V1877" i="3"/>
  <c r="S1877" i="3"/>
  <c r="V1875" i="3"/>
  <c r="S1878" i="3"/>
  <c r="X1876" i="3"/>
  <c r="S1876" i="3"/>
  <c r="X1878" i="3"/>
  <c r="V1878" i="3"/>
  <c r="X1877" i="3"/>
  <c r="AD1877" i="3"/>
  <c r="V1874" i="3"/>
  <c r="X1871" i="3"/>
  <c r="V1872" i="3"/>
  <c r="V1873" i="3"/>
  <c r="AD1878" i="3"/>
  <c r="S1874" i="3"/>
  <c r="X1872" i="3"/>
  <c r="X1874" i="3"/>
  <c r="S1871" i="3"/>
  <c r="AD1876" i="3"/>
  <c r="S1872" i="3"/>
  <c r="V1871" i="3"/>
  <c r="V1870" i="3"/>
  <c r="AD1874" i="3"/>
  <c r="AD1872" i="3"/>
  <c r="AD1871" i="3"/>
  <c r="X1867" i="3"/>
  <c r="X1869" i="3"/>
  <c r="S1867" i="3"/>
  <c r="V1864" i="3"/>
  <c r="S1866" i="3"/>
  <c r="V1868" i="3"/>
  <c r="S1868" i="3"/>
  <c r="V1862" i="3"/>
  <c r="S1869" i="3"/>
  <c r="V1866" i="3"/>
  <c r="V1863" i="3"/>
  <c r="V1865" i="3"/>
  <c r="V1867" i="3"/>
  <c r="X1868" i="3"/>
  <c r="X1866" i="3"/>
  <c r="V1869" i="3"/>
  <c r="AD1869" i="3"/>
  <c r="AD1867" i="3"/>
  <c r="AD1868" i="3"/>
  <c r="AD1866" i="3"/>
  <c r="S1864" i="3"/>
  <c r="X1864" i="3"/>
  <c r="X1865" i="3"/>
  <c r="S1865" i="3"/>
  <c r="AD1864" i="3"/>
  <c r="AD1865" i="3"/>
  <c r="X1870" i="3"/>
  <c r="S1870" i="3"/>
  <c r="AD1870" i="3"/>
  <c r="AR1760" i="3"/>
  <c r="AR1759" i="3"/>
  <c r="AR1761" i="3"/>
  <c r="X1857" i="3"/>
  <c r="S1858" i="3"/>
  <c r="V1857" i="3"/>
  <c r="X1858" i="3"/>
  <c r="V1861" i="3"/>
  <c r="V1860" i="3"/>
  <c r="S1856" i="3"/>
  <c r="V1858" i="3"/>
  <c r="AD1857" i="3"/>
  <c r="X1859" i="3"/>
  <c r="X1856" i="3"/>
  <c r="X1860" i="3"/>
  <c r="V1859" i="3"/>
  <c r="X1861" i="3"/>
  <c r="S1860" i="3"/>
  <c r="S1859" i="3"/>
  <c r="V1856" i="3"/>
  <c r="S1857" i="3"/>
  <c r="AD1859" i="3"/>
  <c r="S1861" i="3"/>
  <c r="AD1856" i="3"/>
  <c r="AD1861" i="3"/>
  <c r="AD1860" i="3"/>
  <c r="AD1858" i="3"/>
  <c r="V1851" i="3"/>
  <c r="V1855" i="3"/>
  <c r="V1850" i="3"/>
  <c r="X1843" i="3"/>
  <c r="X1846" i="3"/>
  <c r="X1840" i="3"/>
  <c r="V1839" i="3"/>
  <c r="S1845" i="3"/>
  <c r="S1839" i="3"/>
  <c r="X1848" i="3"/>
  <c r="S1840" i="3"/>
  <c r="V1847" i="3"/>
  <c r="V1845" i="3"/>
  <c r="S1846" i="3"/>
  <c r="V1841" i="3"/>
  <c r="S1854" i="3"/>
  <c r="X1852" i="3"/>
  <c r="V1848" i="3"/>
  <c r="X1851" i="3"/>
  <c r="V1843" i="3"/>
  <c r="X1842" i="3"/>
  <c r="S1842" i="3"/>
  <c r="V1852" i="3"/>
  <c r="S1851" i="3"/>
  <c r="S1855" i="3"/>
  <c r="V1842" i="3"/>
  <c r="S1848" i="3"/>
  <c r="X1839" i="3"/>
  <c r="V1854" i="3"/>
  <c r="S1849" i="3"/>
  <c r="V1844" i="3"/>
  <c r="X1854" i="3"/>
  <c r="V1838" i="3"/>
  <c r="V1846" i="3"/>
  <c r="S1852" i="3"/>
  <c r="V1853" i="3"/>
  <c r="X1849" i="3"/>
  <c r="X1845" i="3"/>
  <c r="S1843" i="3"/>
  <c r="X1855" i="3"/>
  <c r="V1849" i="3"/>
  <c r="V1840" i="3"/>
  <c r="AD1846" i="3"/>
  <c r="AD1849" i="3"/>
  <c r="AD1843" i="3"/>
  <c r="AD1852" i="3"/>
  <c r="AD1855" i="3"/>
  <c r="AD1848" i="3"/>
  <c r="AD1842" i="3"/>
  <c r="AD1840" i="3"/>
  <c r="AD1839" i="3"/>
  <c r="AD1845" i="3"/>
  <c r="AD1851" i="3"/>
  <c r="AD1854" i="3"/>
  <c r="V1836" i="3"/>
  <c r="S1837" i="3"/>
  <c r="V1833" i="3"/>
  <c r="S1833" i="3"/>
  <c r="V1832" i="3"/>
  <c r="X1836" i="3"/>
  <c r="X1831" i="3"/>
  <c r="V1831" i="3"/>
  <c r="V1837" i="3"/>
  <c r="S1836" i="3"/>
  <c r="X1833" i="3"/>
  <c r="V1834" i="3"/>
  <c r="S1831" i="3"/>
  <c r="X1832" i="3"/>
  <c r="V1835" i="3"/>
  <c r="X1837" i="3"/>
  <c r="S1832" i="3"/>
  <c r="AD1833" i="3"/>
  <c r="AD1836" i="3"/>
  <c r="AD1832" i="3"/>
  <c r="AD1831" i="3"/>
  <c r="AD1837" i="3"/>
  <c r="V1810" i="3"/>
  <c r="V1829" i="3"/>
  <c r="V1813" i="3"/>
  <c r="V1823" i="3"/>
  <c r="X1814" i="3"/>
  <c r="X1830" i="3"/>
  <c r="S1826" i="3"/>
  <c r="V1825" i="3"/>
  <c r="S1829" i="3"/>
  <c r="X1811" i="3"/>
  <c r="V1811" i="3"/>
  <c r="S1821" i="3"/>
  <c r="V1819" i="3"/>
  <c r="X1827" i="3"/>
  <c r="S1811" i="3"/>
  <c r="V1830" i="3"/>
  <c r="V1816" i="3"/>
  <c r="V1824" i="3"/>
  <c r="V1827" i="3"/>
  <c r="S1814" i="3"/>
  <c r="S1827" i="3"/>
  <c r="V1826" i="3"/>
  <c r="X1815" i="3"/>
  <c r="X1829" i="3"/>
  <c r="S1830" i="3"/>
  <c r="V1821" i="3"/>
  <c r="X1810" i="3"/>
  <c r="S1815" i="3"/>
  <c r="V1820" i="3"/>
  <c r="V1818" i="3"/>
  <c r="S1820" i="3"/>
  <c r="X1821" i="3"/>
  <c r="V1809" i="3"/>
  <c r="X1820" i="3"/>
  <c r="V1817" i="3"/>
  <c r="V1815" i="3"/>
  <c r="X1826" i="3"/>
  <c r="V1814" i="3"/>
  <c r="S1810" i="3"/>
  <c r="AD1830" i="3"/>
  <c r="AD1827" i="3"/>
  <c r="AD1815" i="3"/>
  <c r="AD1820" i="3"/>
  <c r="AD1829" i="3"/>
  <c r="AD1811" i="3"/>
  <c r="AD1810" i="3"/>
  <c r="AD1821" i="3"/>
  <c r="AD1814" i="3"/>
  <c r="AD1826" i="3"/>
  <c r="V1808" i="3"/>
  <c r="V1812" i="3"/>
  <c r="S1809" i="3"/>
  <c r="X1809" i="3"/>
  <c r="S1808" i="3"/>
  <c r="V1822" i="3"/>
  <c r="X1808" i="3"/>
  <c r="V1828" i="3"/>
  <c r="AD1808" i="3"/>
  <c r="X1819" i="3"/>
  <c r="S1817" i="3"/>
  <c r="S1824" i="3"/>
  <c r="AD1809" i="3"/>
  <c r="S1822" i="3"/>
  <c r="S1819" i="3"/>
  <c r="S1823" i="3"/>
  <c r="X1817" i="3"/>
  <c r="X1824" i="3"/>
  <c r="X1823" i="3"/>
  <c r="S1825" i="3"/>
  <c r="X1825" i="3"/>
  <c r="S1816" i="3"/>
  <c r="S1818" i="3"/>
  <c r="X1822" i="3"/>
  <c r="X1816" i="3"/>
  <c r="X1818" i="3"/>
  <c r="AD1825" i="3"/>
  <c r="AD1816" i="3"/>
  <c r="AD1819" i="3"/>
  <c r="AD1822" i="3"/>
  <c r="AD1824" i="3"/>
  <c r="AD1823" i="3"/>
  <c r="AD1818" i="3"/>
  <c r="AD1817" i="3"/>
  <c r="X1828" i="3"/>
  <c r="S1828" i="3"/>
  <c r="AD1828" i="3"/>
  <c r="V1807" i="3"/>
  <c r="V1806" i="3"/>
  <c r="S1806" i="3"/>
  <c r="X1806" i="3"/>
  <c r="V1805" i="3"/>
  <c r="X1807" i="3"/>
  <c r="AD1806" i="3"/>
  <c r="V1804" i="3"/>
  <c r="S1807" i="3"/>
  <c r="AD1807" i="3"/>
  <c r="S1803" i="3"/>
  <c r="S1802" i="3"/>
  <c r="V1801" i="3"/>
  <c r="V1803" i="3"/>
  <c r="X1802" i="3"/>
  <c r="X1803" i="3"/>
  <c r="V1802" i="3"/>
  <c r="S1801" i="3"/>
  <c r="X1801" i="3"/>
  <c r="AD1802" i="3"/>
  <c r="AD1801" i="3"/>
  <c r="AD1803" i="3"/>
  <c r="AD1799" i="3"/>
  <c r="V1798" i="3"/>
  <c r="S1800" i="3"/>
  <c r="V1799" i="3"/>
  <c r="X1800" i="3"/>
  <c r="X1799" i="3"/>
  <c r="V1800" i="3"/>
  <c r="S1799" i="3"/>
  <c r="AD1800" i="3"/>
  <c r="V1797" i="3"/>
  <c r="V1795" i="3"/>
  <c r="V1796" i="3"/>
  <c r="S1796" i="3"/>
  <c r="X1797" i="3"/>
  <c r="X1796" i="3"/>
  <c r="V1793" i="3"/>
  <c r="V1794" i="3"/>
  <c r="S1797" i="3"/>
  <c r="AD1796" i="3"/>
  <c r="AD1797" i="3"/>
  <c r="S1791" i="3"/>
  <c r="X1792" i="3"/>
  <c r="X1791" i="3"/>
  <c r="V1792" i="3"/>
  <c r="S1792" i="3"/>
  <c r="V1790" i="3"/>
  <c r="V1791" i="3"/>
  <c r="V1789" i="3"/>
  <c r="AD1792" i="3"/>
  <c r="AD1791" i="3"/>
  <c r="V414" i="3"/>
  <c r="X414" i="3"/>
  <c r="S414" i="3"/>
  <c r="AD414" i="3"/>
  <c r="G1761" i="3"/>
  <c r="T1761" i="3"/>
  <c r="G1759" i="3"/>
  <c r="T1760" i="3"/>
  <c r="G1760" i="3"/>
  <c r="V1787" i="3"/>
  <c r="X1788" i="3"/>
  <c r="V1775" i="3"/>
  <c r="X1787" i="3"/>
  <c r="X1782" i="3"/>
  <c r="X1779" i="3"/>
  <c r="S1776" i="3"/>
  <c r="V1778" i="3"/>
  <c r="S1788" i="3"/>
  <c r="V1779" i="3"/>
  <c r="X1780" i="3"/>
  <c r="V1783" i="3"/>
  <c r="S1784" i="3"/>
  <c r="V1776" i="3"/>
  <c r="V1784" i="3"/>
  <c r="X1783" i="3"/>
  <c r="V1777" i="3"/>
  <c r="S1778" i="3"/>
  <c r="V1785" i="3"/>
  <c r="S1777" i="3"/>
  <c r="X1777" i="3"/>
  <c r="X1775" i="3"/>
  <c r="S1787" i="3"/>
  <c r="X1784" i="3"/>
  <c r="V1781" i="3"/>
  <c r="S1775" i="3"/>
  <c r="X1778" i="3"/>
  <c r="X1776" i="3"/>
  <c r="S1783" i="3"/>
  <c r="S1780" i="3"/>
  <c r="V1788" i="3"/>
  <c r="V1786" i="3"/>
  <c r="S1782" i="3"/>
  <c r="V1780" i="3"/>
  <c r="S1779" i="3"/>
  <c r="V1782" i="3"/>
  <c r="AD1775" i="3"/>
  <c r="AD1777" i="3"/>
  <c r="AD1780" i="3"/>
  <c r="AD1783" i="3"/>
  <c r="AD1776" i="3"/>
  <c r="AD1782" i="3"/>
  <c r="AD1778" i="3"/>
  <c r="AD1779" i="3"/>
  <c r="AD1784" i="3"/>
  <c r="AD1788" i="3"/>
  <c r="AD1787" i="3"/>
  <c r="V1773" i="3"/>
  <c r="S1770" i="3"/>
  <c r="X1773" i="3"/>
  <c r="V1767" i="3"/>
  <c r="X1769" i="3"/>
  <c r="X1774" i="3"/>
  <c r="X1771" i="3"/>
  <c r="S1768" i="3"/>
  <c r="V1762" i="3"/>
  <c r="S1773" i="3"/>
  <c r="S1771" i="3"/>
  <c r="X1766" i="3"/>
  <c r="V1771" i="3"/>
  <c r="X1765" i="3"/>
  <c r="S1767" i="3"/>
  <c r="V1766" i="3"/>
  <c r="V1769" i="3"/>
  <c r="S1774" i="3"/>
  <c r="S1765" i="3"/>
  <c r="V1770" i="3"/>
  <c r="X1767" i="3"/>
  <c r="V1764" i="3"/>
  <c r="S1766" i="3"/>
  <c r="V1763" i="3"/>
  <c r="X1768" i="3"/>
  <c r="V1768" i="3"/>
  <c r="V1765" i="3"/>
  <c r="X1770" i="3"/>
  <c r="V1774" i="3"/>
  <c r="V1772" i="3"/>
  <c r="S1769" i="3"/>
  <c r="AD1768" i="3"/>
  <c r="AD1773" i="3"/>
  <c r="AD1767" i="3"/>
  <c r="AD1771" i="3"/>
  <c r="AD1770" i="3"/>
  <c r="AD1766" i="3"/>
  <c r="AD1765" i="3"/>
  <c r="AD1769" i="3"/>
  <c r="AD1774" i="3"/>
  <c r="V1761" i="3"/>
  <c r="I1759" i="3"/>
  <c r="I1760" i="3"/>
  <c r="I1761" i="3"/>
  <c r="X1760" i="3"/>
  <c r="V1760" i="3"/>
  <c r="AC1761" i="3"/>
  <c r="AC1760" i="3"/>
  <c r="S1761" i="3"/>
  <c r="X1761" i="3"/>
  <c r="S1760" i="3"/>
  <c r="F719" i="7"/>
  <c r="F718" i="7"/>
  <c r="U1756" i="3" s="1"/>
  <c r="AJ1758" i="3"/>
  <c r="AF1758" i="3"/>
  <c r="W1758" i="3"/>
  <c r="R1758" i="3"/>
  <c r="O1758" i="3"/>
  <c r="AJ1757" i="3"/>
  <c r="AF1757" i="3"/>
  <c r="W1757" i="3"/>
  <c r="R1757" i="3"/>
  <c r="O1757" i="3"/>
  <c r="AJ1756" i="3"/>
  <c r="AF1756" i="3"/>
  <c r="O1756" i="3"/>
  <c r="C388" i="5"/>
  <c r="V368" i="8"/>
  <c r="U368" i="8"/>
  <c r="L368" i="8"/>
  <c r="F1758" i="3"/>
  <c r="F1757" i="3"/>
  <c r="F1756" i="3"/>
  <c r="Y1990" i="3" l="1"/>
  <c r="AI1990" i="3"/>
  <c r="Y1995" i="3"/>
  <c r="AI1995" i="3"/>
  <c r="Y1994" i="3"/>
  <c r="AI1994" i="3"/>
  <c r="Y1992" i="3"/>
  <c r="AI1992" i="3"/>
  <c r="Y1991" i="3"/>
  <c r="AI1991" i="3"/>
  <c r="Y1975" i="3"/>
  <c r="AI1975" i="3"/>
  <c r="Y1964" i="3"/>
  <c r="AI1964" i="3"/>
  <c r="Y1988" i="3"/>
  <c r="AI1988" i="3"/>
  <c r="Y1979" i="3"/>
  <c r="AI1979" i="3"/>
  <c r="Y1984" i="3"/>
  <c r="AI1984" i="3"/>
  <c r="Y1965" i="3"/>
  <c r="AI1965" i="3"/>
  <c r="Y1977" i="3"/>
  <c r="Y1974" i="3"/>
  <c r="AI1974" i="3"/>
  <c r="Y1989" i="3"/>
  <c r="AI1989" i="3"/>
  <c r="Y1983" i="3"/>
  <c r="AI1983" i="3"/>
  <c r="Y1973" i="3"/>
  <c r="Y1978" i="3"/>
  <c r="AI1978" i="3"/>
  <c r="Y1914" i="3"/>
  <c r="AI1914" i="3"/>
  <c r="Y1937" i="3"/>
  <c r="AI1937" i="3"/>
  <c r="Y1933" i="3"/>
  <c r="AI1933" i="3"/>
  <c r="Y1926" i="3"/>
  <c r="AI1926" i="3"/>
  <c r="Y1917" i="3"/>
  <c r="AI1917" i="3"/>
  <c r="Y1924" i="3"/>
  <c r="AI1924" i="3"/>
  <c r="Y1936" i="3"/>
  <c r="AI1936" i="3"/>
  <c r="Y1934" i="3"/>
  <c r="AI1934" i="3"/>
  <c r="Y1921" i="3"/>
  <c r="AI1921" i="3"/>
  <c r="Y1940" i="3"/>
  <c r="AI1940" i="3"/>
  <c r="Y1943" i="3"/>
  <c r="AI1943" i="3"/>
  <c r="Y1939" i="3"/>
  <c r="AI1939" i="3"/>
  <c r="Y1927" i="3"/>
  <c r="AI1927" i="3"/>
  <c r="Y1948" i="3"/>
  <c r="AI1948" i="3"/>
  <c r="Y1920" i="3"/>
  <c r="AI1920" i="3"/>
  <c r="Y1930" i="3"/>
  <c r="AI1930" i="3"/>
  <c r="Y1949" i="3"/>
  <c r="AI1949" i="3"/>
  <c r="Y1946" i="3"/>
  <c r="AI1946" i="3"/>
  <c r="Y1942" i="3"/>
  <c r="AI1942" i="3"/>
  <c r="Y1918" i="3"/>
  <c r="AI1918" i="3"/>
  <c r="Y1923" i="3"/>
  <c r="AI1923" i="3"/>
  <c r="Y1952" i="3"/>
  <c r="AI1952" i="3"/>
  <c r="Y1945" i="3"/>
  <c r="AI1945" i="3"/>
  <c r="Y1951" i="3"/>
  <c r="AI1951" i="3"/>
  <c r="Y1960" i="3"/>
  <c r="AI1960" i="3"/>
  <c r="Y1915" i="3"/>
  <c r="AI1915" i="3"/>
  <c r="Y1929" i="3"/>
  <c r="AI1929" i="3"/>
  <c r="Y1902" i="3"/>
  <c r="AI1902" i="3"/>
  <c r="Y1904" i="3"/>
  <c r="AI1904" i="3"/>
  <c r="Y1903" i="3"/>
  <c r="AI1903" i="3"/>
  <c r="Y1905" i="3"/>
  <c r="AI1905" i="3"/>
  <c r="Y1912" i="3"/>
  <c r="AI1912" i="3"/>
  <c r="Y1900" i="3"/>
  <c r="AI1900" i="3"/>
  <c r="Y1899" i="3"/>
  <c r="AI1899" i="3"/>
  <c r="Y1901" i="3"/>
  <c r="AI1901" i="3"/>
  <c r="Y1898" i="3"/>
  <c r="AI1898" i="3"/>
  <c r="Y1907" i="3"/>
  <c r="AI1907" i="3"/>
  <c r="Y1911" i="3"/>
  <c r="AI1911" i="3"/>
  <c r="R1756" i="3"/>
  <c r="T1756" i="3" s="1"/>
  <c r="Y1892" i="3"/>
  <c r="AI1892" i="3"/>
  <c r="Y1891" i="3"/>
  <c r="AI1891" i="3"/>
  <c r="Y1896" i="3"/>
  <c r="AI1896" i="3"/>
  <c r="Y1894" i="3"/>
  <c r="AI1894" i="3"/>
  <c r="Y1895" i="3"/>
  <c r="AI1895" i="3"/>
  <c r="Y1897" i="3"/>
  <c r="AI1897" i="3"/>
  <c r="Y1893" i="3"/>
  <c r="AI1893" i="3"/>
  <c r="Y1888" i="3"/>
  <c r="AI1888" i="3"/>
  <c r="Y1889" i="3"/>
  <c r="AI1889" i="3"/>
  <c r="Y1865" i="3"/>
  <c r="AI1865" i="3"/>
  <c r="Y1868" i="3"/>
  <c r="AI1868" i="3"/>
  <c r="Y1869" i="3"/>
  <c r="AI1869" i="3"/>
  <c r="Y1867" i="3"/>
  <c r="AI1867" i="3"/>
  <c r="Y1876" i="3"/>
  <c r="Y1864" i="3"/>
  <c r="AI1864" i="3"/>
  <c r="Y1883" i="3"/>
  <c r="AI1883" i="3"/>
  <c r="Y1871" i="3"/>
  <c r="AI1871" i="3"/>
  <c r="AI1870" i="3"/>
  <c r="Y1870" i="3"/>
  <c r="Y1877" i="3"/>
  <c r="AI1877" i="3"/>
  <c r="Y1882" i="3"/>
  <c r="AI1882" i="3"/>
  <c r="Y1874" i="3"/>
  <c r="AI1874" i="3"/>
  <c r="Y1866" i="3"/>
  <c r="AI1866" i="3"/>
  <c r="Y1872" i="3"/>
  <c r="AI1872" i="3"/>
  <c r="Y1878" i="3"/>
  <c r="AI1878" i="3"/>
  <c r="Y1761" i="3"/>
  <c r="AD1760" i="3"/>
  <c r="AD1761" i="3"/>
  <c r="Y1760" i="3"/>
  <c r="Y1767" i="3"/>
  <c r="Y1766" i="3"/>
  <c r="Y1776" i="3"/>
  <c r="Y1778" i="3"/>
  <c r="Y1784" i="3"/>
  <c r="Y1775" i="3"/>
  <c r="Y1777" i="3"/>
  <c r="Y1783" i="3"/>
  <c r="Y1780" i="3"/>
  <c r="Y1779" i="3"/>
  <c r="Y1782" i="3"/>
  <c r="Y1787" i="3"/>
  <c r="Y1788" i="3"/>
  <c r="Y414" i="3"/>
  <c r="Y1791" i="3"/>
  <c r="Y1792" i="3"/>
  <c r="Y1796" i="3"/>
  <c r="Y1797" i="3"/>
  <c r="AR1757" i="3"/>
  <c r="AR1758" i="3"/>
  <c r="AR1756" i="3"/>
  <c r="Y1823" i="3"/>
  <c r="AI1823" i="3"/>
  <c r="Y1808" i="3"/>
  <c r="AI1808" i="3"/>
  <c r="Y1821" i="3"/>
  <c r="AI1821" i="3"/>
  <c r="Y1836" i="3"/>
  <c r="AI1836" i="3"/>
  <c r="Y1860" i="3"/>
  <c r="AI1860" i="3"/>
  <c r="Y1824" i="3"/>
  <c r="AI1824" i="3"/>
  <c r="Y1856" i="3"/>
  <c r="AI1856" i="3"/>
  <c r="Y1817" i="3"/>
  <c r="AI1817" i="3"/>
  <c r="Y1830" i="3"/>
  <c r="AI1830" i="3"/>
  <c r="Y1837" i="3"/>
  <c r="AI1837" i="3"/>
  <c r="Y1848" i="3"/>
  <c r="AI1848" i="3"/>
  <c r="Y1859" i="3"/>
  <c r="AI1859" i="3"/>
  <c r="Y1809" i="3"/>
  <c r="AI1809" i="3"/>
  <c r="Y1814" i="3"/>
  <c r="AI1814" i="3"/>
  <c r="Y1842" i="3"/>
  <c r="AI1842" i="3"/>
  <c r="Y1818" i="3"/>
  <c r="AI1818" i="3"/>
  <c r="Y1810" i="3"/>
  <c r="AI1810" i="3"/>
  <c r="Y1851" i="3"/>
  <c r="AI1851" i="3"/>
  <c r="Y1816" i="3"/>
  <c r="AI1816" i="3"/>
  <c r="Y1827" i="3"/>
  <c r="AI1827" i="3"/>
  <c r="Y1840" i="3"/>
  <c r="AI1840" i="3"/>
  <c r="Y1822" i="3"/>
  <c r="AI1822" i="3"/>
  <c r="Y1826" i="3"/>
  <c r="AI1826" i="3"/>
  <c r="Y1833" i="3"/>
  <c r="AI1833" i="3"/>
  <c r="Y1852" i="3"/>
  <c r="AI1852" i="3"/>
  <c r="Y1846" i="3"/>
  <c r="AI1846" i="3"/>
  <c r="Y1828" i="3"/>
  <c r="AI1828" i="3"/>
  <c r="Y1829" i="3"/>
  <c r="AI1829" i="3"/>
  <c r="Y1855" i="3"/>
  <c r="AI1855" i="3"/>
  <c r="Y1839" i="3"/>
  <c r="AI1839" i="3"/>
  <c r="Y1843" i="3"/>
  <c r="AI1843" i="3"/>
  <c r="Y1858" i="3"/>
  <c r="AI1858" i="3"/>
  <c r="Y1832" i="3"/>
  <c r="AI1832" i="3"/>
  <c r="Y1819" i="3"/>
  <c r="AI1819" i="3"/>
  <c r="Y1815" i="3"/>
  <c r="AI1815" i="3"/>
  <c r="Y1854" i="3"/>
  <c r="AI1854" i="3"/>
  <c r="Y1825" i="3"/>
  <c r="AI1825" i="3"/>
  <c r="Y1820" i="3"/>
  <c r="AI1820" i="3"/>
  <c r="Y1811" i="3"/>
  <c r="AI1811" i="3"/>
  <c r="Y1845" i="3"/>
  <c r="AI1845" i="3"/>
  <c r="Y1861" i="3"/>
  <c r="AI1861" i="3"/>
  <c r="Y1831" i="3"/>
  <c r="AI1831" i="3"/>
  <c r="Y1849" i="3"/>
  <c r="AI1849" i="3"/>
  <c r="Y1857" i="3"/>
  <c r="AI1857" i="3"/>
  <c r="Y1807" i="3"/>
  <c r="AI1807" i="3"/>
  <c r="Y1803" i="3"/>
  <c r="AI1803" i="3"/>
  <c r="Y1806" i="3"/>
  <c r="AI1806" i="3"/>
  <c r="Y1801" i="3"/>
  <c r="AI1801" i="3"/>
  <c r="Y1802" i="3"/>
  <c r="AI1802" i="3"/>
  <c r="Y1799" i="3"/>
  <c r="AI1799" i="3"/>
  <c r="Y1800" i="3"/>
  <c r="AI1800" i="3"/>
  <c r="K1759" i="3"/>
  <c r="W1756" i="3"/>
  <c r="G1756" i="3"/>
  <c r="G1757" i="3"/>
  <c r="T1758" i="3"/>
  <c r="G1758" i="3"/>
  <c r="U1759" i="3"/>
  <c r="Y1771" i="3"/>
  <c r="Y1770" i="3"/>
  <c r="Y1774" i="3"/>
  <c r="Y1769" i="3"/>
  <c r="Y1768" i="3"/>
  <c r="Y1773" i="3"/>
  <c r="Y1765" i="3"/>
  <c r="AI1765" i="3"/>
  <c r="K1761" i="3"/>
  <c r="M1761" i="3" a="1"/>
  <c r="M1761" i="3" s="1"/>
  <c r="N1761" i="3"/>
  <c r="K1760" i="3"/>
  <c r="M1760" i="3" a="1"/>
  <c r="M1760" i="3" s="1"/>
  <c r="N1760" i="3"/>
  <c r="V1758" i="3"/>
  <c r="V1757" i="3"/>
  <c r="AC1757" i="3"/>
  <c r="X1758" i="3"/>
  <c r="T1757" i="3"/>
  <c r="X1757" i="3"/>
  <c r="V1756" i="3"/>
  <c r="AC1758" i="3"/>
  <c r="S1757" i="3"/>
  <c r="S1758" i="3"/>
  <c r="I1757" i="3"/>
  <c r="I1758" i="3"/>
  <c r="I1756" i="3"/>
  <c r="S1756" i="3" l="1"/>
  <c r="AC1756" i="3"/>
  <c r="AD1756" i="3" s="1"/>
  <c r="X1756" i="3"/>
  <c r="Y1756" i="3" s="1"/>
  <c r="AD1758" i="3"/>
  <c r="Y1757" i="3"/>
  <c r="Y1758" i="3"/>
  <c r="AD1757" i="3"/>
  <c r="W1759" i="3"/>
  <c r="L1760" i="3"/>
  <c r="L1761" i="3"/>
  <c r="L1759" i="3"/>
  <c r="V1759" i="3"/>
  <c r="AA1760" i="3"/>
  <c r="AG1760" i="3"/>
  <c r="AA1761" i="3"/>
  <c r="AG1761" i="3"/>
  <c r="M1756" i="3" a="1"/>
  <c r="M1756" i="3" s="1"/>
  <c r="K1756" i="3"/>
  <c r="K1758" i="3"/>
  <c r="M1758" i="3" a="1"/>
  <c r="M1758" i="3" s="1"/>
  <c r="N1758" i="3"/>
  <c r="N1757" i="3"/>
  <c r="K1757" i="3"/>
  <c r="M1757" i="3" a="1"/>
  <c r="M1757" i="3" s="1"/>
  <c r="N1756" i="3" l="1"/>
  <c r="L1757" i="3"/>
  <c r="L1758" i="3"/>
  <c r="L1756" i="3"/>
  <c r="AH1761" i="3"/>
  <c r="AH1760" i="3"/>
  <c r="AA1758" i="3"/>
  <c r="AG1758" i="3"/>
  <c r="AA1757" i="3"/>
  <c r="AG1757" i="3"/>
  <c r="AG1756" i="3" l="1"/>
  <c r="AA1756" i="3"/>
  <c r="AH1757" i="3"/>
  <c r="AH1758" i="3"/>
  <c r="AJ1755" i="3"/>
  <c r="AF1755" i="3"/>
  <c r="W1755" i="3"/>
  <c r="R1755" i="3"/>
  <c r="O1755" i="3"/>
  <c r="AJ1754" i="3"/>
  <c r="AF1754" i="3"/>
  <c r="O1754" i="3"/>
  <c r="F1755" i="3"/>
  <c r="F1754" i="3"/>
  <c r="AJ1753" i="3"/>
  <c r="AF1753" i="3"/>
  <c r="R1753" i="3"/>
  <c r="O1753" i="3"/>
  <c r="AJ1752" i="3"/>
  <c r="AF1752" i="3"/>
  <c r="O1752" i="3"/>
  <c r="F1753" i="3"/>
  <c r="F1752" i="3"/>
  <c r="F717" i="7"/>
  <c r="U1754" i="3" s="1"/>
  <c r="F716" i="7"/>
  <c r="U1752" i="3" s="1"/>
  <c r="F715" i="7"/>
  <c r="U1750" i="3" s="1"/>
  <c r="M1648" i="3" a="1"/>
  <c r="M1648" i="3" s="1"/>
  <c r="M1647" i="3" a="1"/>
  <c r="M1647" i="3" s="1"/>
  <c r="AJ1751" i="3"/>
  <c r="AF1751" i="3"/>
  <c r="W1751" i="3"/>
  <c r="R1751" i="3"/>
  <c r="O1751" i="3"/>
  <c r="AJ1750" i="3"/>
  <c r="AF1750" i="3"/>
  <c r="O1750" i="3"/>
  <c r="F1751" i="3"/>
  <c r="F1750" i="3"/>
  <c r="AJ1749" i="3"/>
  <c r="AF1749" i="3"/>
  <c r="R1749" i="3" a="1"/>
  <c r="R1749" i="3" s="1"/>
  <c r="O1749" i="3"/>
  <c r="AJ1748" i="3"/>
  <c r="AF1748" i="3"/>
  <c r="R1748" i="3" a="1"/>
  <c r="R1748" i="3" s="1"/>
  <c r="O1748" i="3"/>
  <c r="AJ1747" i="3"/>
  <c r="AF1747" i="3"/>
  <c r="O1747" i="3"/>
  <c r="P1747" i="3"/>
  <c r="C387" i="5"/>
  <c r="F1747" i="3"/>
  <c r="F1748" i="3"/>
  <c r="F1749" i="3"/>
  <c r="F714" i="7"/>
  <c r="U1747" i="3" s="1"/>
  <c r="D714" i="7"/>
  <c r="U367" i="8"/>
  <c r="V367" i="8"/>
  <c r="L367" i="8"/>
  <c r="M367" i="8"/>
  <c r="D1747" i="3"/>
  <c r="F713" i="7"/>
  <c r="U1744" i="3" s="1"/>
  <c r="AJ1746" i="3"/>
  <c r="AF1746" i="3"/>
  <c r="W1746" i="3"/>
  <c r="R1746" i="3" a="1"/>
  <c r="R1746" i="3" s="1"/>
  <c r="O1746" i="3"/>
  <c r="AJ1745" i="3"/>
  <c r="AF1745" i="3"/>
  <c r="W1745" i="3"/>
  <c r="R1745" i="3" a="1"/>
  <c r="R1745" i="3" s="1"/>
  <c r="O1745" i="3"/>
  <c r="AJ1744" i="3"/>
  <c r="AF1744" i="3"/>
  <c r="O1744" i="3"/>
  <c r="F1746" i="3"/>
  <c r="F1745" i="3"/>
  <c r="F1744" i="3"/>
  <c r="C386" i="5"/>
  <c r="V366" i="8"/>
  <c r="U366" i="8"/>
  <c r="M366" i="8"/>
  <c r="L366" i="8"/>
  <c r="AH1756" i="3" l="1"/>
  <c r="AR1752" i="3"/>
  <c r="AR1753" i="3"/>
  <c r="AR1744" i="3"/>
  <c r="AR1749" i="3"/>
  <c r="AR1745" i="3"/>
  <c r="AR1748" i="3"/>
  <c r="AR1746" i="3"/>
  <c r="AR1747" i="3"/>
  <c r="AR1750" i="3"/>
  <c r="AR1754" i="3"/>
  <c r="AR1751" i="3"/>
  <c r="AR1755" i="3"/>
  <c r="T1753" i="3"/>
  <c r="G1745" i="3"/>
  <c r="G1750" i="3"/>
  <c r="W1750" i="3"/>
  <c r="G1754" i="3"/>
  <c r="G1746" i="3"/>
  <c r="G1751" i="3"/>
  <c r="W1752" i="3"/>
  <c r="G1755" i="3"/>
  <c r="I1747" i="3"/>
  <c r="W1744" i="3"/>
  <c r="D1748" i="3"/>
  <c r="W1754" i="3"/>
  <c r="G1752" i="3"/>
  <c r="G1753" i="3"/>
  <c r="G1748" i="3"/>
  <c r="T1751" i="3"/>
  <c r="W1747" i="3"/>
  <c r="G1744" i="3"/>
  <c r="G1749" i="3"/>
  <c r="R1744" i="3" a="1"/>
  <c r="R1744" i="3" s="1"/>
  <c r="V1749" i="3"/>
  <c r="V1748" i="3"/>
  <c r="V1753" i="3"/>
  <c r="AQ1755" i="3"/>
  <c r="R1747" i="3" a="1"/>
  <c r="R1747" i="3" s="1"/>
  <c r="AQ1746" i="3"/>
  <c r="I1755" i="3"/>
  <c r="I1754" i="3"/>
  <c r="V1755" i="3"/>
  <c r="X1755" i="3"/>
  <c r="AC1755" i="3"/>
  <c r="S1755" i="3"/>
  <c r="V1754" i="3"/>
  <c r="T1755" i="3"/>
  <c r="I1753" i="3"/>
  <c r="W1753" i="3"/>
  <c r="AQ1753" i="3"/>
  <c r="I1752" i="3"/>
  <c r="X1753" i="3"/>
  <c r="V1752" i="3"/>
  <c r="AC1753" i="3"/>
  <c r="S1753" i="3"/>
  <c r="AQ1749" i="3"/>
  <c r="AQ1748" i="3"/>
  <c r="I1751" i="3"/>
  <c r="V1751" i="3"/>
  <c r="I1750" i="3"/>
  <c r="V1750" i="3"/>
  <c r="X1751" i="3"/>
  <c r="AC1751" i="3"/>
  <c r="S1751" i="3"/>
  <c r="W1748" i="3"/>
  <c r="AQ1745" i="3"/>
  <c r="W1749" i="3"/>
  <c r="T1749" i="3"/>
  <c r="AC1749" i="3"/>
  <c r="X1749" i="3"/>
  <c r="S1749" i="3"/>
  <c r="X1748" i="3"/>
  <c r="AC1748" i="3"/>
  <c r="T1748" i="3"/>
  <c r="S1748" i="3"/>
  <c r="V1747" i="3"/>
  <c r="I1746" i="3"/>
  <c r="I1745" i="3"/>
  <c r="I1744" i="3"/>
  <c r="G1747" i="3"/>
  <c r="I1748" i="3"/>
  <c r="I1749" i="3"/>
  <c r="AC1746" i="3"/>
  <c r="T1746" i="3"/>
  <c r="T1745" i="3"/>
  <c r="AC1745" i="3"/>
  <c r="AD1748" i="3" l="1"/>
  <c r="Y1748" i="3"/>
  <c r="Y1749" i="3"/>
  <c r="AD1749" i="3"/>
  <c r="AD1751" i="3"/>
  <c r="Y1751" i="3"/>
  <c r="AD1753" i="3"/>
  <c r="Y1753" i="3"/>
  <c r="AD1755" i="3"/>
  <c r="Y1755" i="3"/>
  <c r="M1747" i="3" a="1"/>
  <c r="M1747" i="3" s="1"/>
  <c r="D1749" i="3"/>
  <c r="AC1747" i="3"/>
  <c r="K1747" i="3"/>
  <c r="T1744" i="3"/>
  <c r="K1755" i="3"/>
  <c r="K1754" i="3"/>
  <c r="N1753" i="3"/>
  <c r="M1748" i="3" a="1"/>
  <c r="M1748" i="3" s="1"/>
  <c r="M1744" i="3" a="1"/>
  <c r="M1744" i="3" s="1"/>
  <c r="M1745" i="3" a="1"/>
  <c r="M1745" i="3" s="1"/>
  <c r="M1749" i="3" a="1"/>
  <c r="M1749" i="3" s="1"/>
  <c r="M1746" i="3" a="1"/>
  <c r="M1746" i="3" s="1"/>
  <c r="AC1744" i="3"/>
  <c r="AQ1744" i="3"/>
  <c r="T1747" i="3"/>
  <c r="S1747" i="3"/>
  <c r="X1747" i="3"/>
  <c r="AQ1747" i="3"/>
  <c r="M1755" i="3" a="1"/>
  <c r="M1755" i="3" s="1"/>
  <c r="K1753" i="3"/>
  <c r="N1755" i="3"/>
  <c r="M1753" i="3" a="1"/>
  <c r="M1753" i="3" s="1"/>
  <c r="K1752" i="3"/>
  <c r="N1751" i="3"/>
  <c r="M1751" i="3" a="1"/>
  <c r="M1751" i="3" s="1"/>
  <c r="K1750" i="3"/>
  <c r="K1751" i="3"/>
  <c r="N1749" i="3"/>
  <c r="K1749" i="3"/>
  <c r="N1748" i="3"/>
  <c r="K1748" i="3"/>
  <c r="N1745" i="3"/>
  <c r="K1745" i="3"/>
  <c r="K1744" i="3"/>
  <c r="K1746" i="3"/>
  <c r="N1746" i="3"/>
  <c r="Y1747" i="3" l="1"/>
  <c r="L1747" i="3"/>
  <c r="AD1747" i="3"/>
  <c r="N1747" i="3"/>
  <c r="AG1753" i="3"/>
  <c r="L1753" i="3"/>
  <c r="AA1753" i="3"/>
  <c r="L1744" i="3"/>
  <c r="L1754" i="3"/>
  <c r="L1746" i="3"/>
  <c r="L1751" i="3"/>
  <c r="L1750" i="3"/>
  <c r="N1744" i="3"/>
  <c r="L1745" i="3"/>
  <c r="AA1751" i="3"/>
  <c r="L1752" i="3"/>
  <c r="L1749" i="3"/>
  <c r="AA1755" i="3"/>
  <c r="L1748" i="3"/>
  <c r="L1755" i="3"/>
  <c r="AG1755" i="3"/>
  <c r="AG1751" i="3"/>
  <c r="AA1748" i="3"/>
  <c r="AG1748" i="3"/>
  <c r="AA1749" i="3"/>
  <c r="AG1749" i="3"/>
  <c r="AA1746" i="3"/>
  <c r="AG1746" i="3"/>
  <c r="AA1745" i="3"/>
  <c r="AG1745" i="3"/>
  <c r="AA1747" i="3" l="1"/>
  <c r="Q1747" i="3"/>
  <c r="AG1747" i="3"/>
  <c r="AG1744" i="3"/>
  <c r="AA1744" i="3"/>
  <c r="AH1753" i="3"/>
  <c r="AH1751" i="3"/>
  <c r="AH1755" i="3"/>
  <c r="AH1749" i="3"/>
  <c r="AH1748" i="3"/>
  <c r="AH1745" i="3"/>
  <c r="AH1746" i="3"/>
  <c r="AH1744" i="3" l="1"/>
  <c r="AH1747" i="3"/>
  <c r="AB1747" i="3"/>
  <c r="AA696" i="4"/>
  <c r="AA695" i="4"/>
  <c r="AA694" i="4"/>
  <c r="AA693" i="4"/>
  <c r="AA692" i="4"/>
  <c r="AA691" i="4"/>
  <c r="AA690" i="4"/>
  <c r="AB689" i="4"/>
  <c r="AA688" i="4"/>
  <c r="AA687" i="4"/>
  <c r="AA686" i="4"/>
  <c r="AA685" i="4"/>
  <c r="AA684" i="4"/>
  <c r="AA683" i="4"/>
  <c r="AA682" i="4"/>
  <c r="AA681" i="4"/>
  <c r="AA680" i="4"/>
  <c r="AA679" i="4"/>
  <c r="AA678" i="4"/>
  <c r="AB677" i="4"/>
  <c r="AA676" i="4"/>
  <c r="AA675" i="4"/>
  <c r="AA674" i="4"/>
  <c r="AA673" i="4"/>
  <c r="AA672" i="4"/>
  <c r="AA671" i="4"/>
  <c r="AA670" i="4"/>
  <c r="AA669" i="4"/>
  <c r="AA665" i="4"/>
  <c r="AA634" i="4"/>
  <c r="AA633" i="4"/>
  <c r="AA632" i="4"/>
  <c r="AA631" i="4"/>
  <c r="AA630" i="4"/>
  <c r="AA629" i="4"/>
  <c r="AA628" i="4"/>
  <c r="AA627" i="4"/>
  <c r="AA626" i="4"/>
  <c r="AA625" i="4"/>
  <c r="AA623" i="4"/>
  <c r="AA622" i="4"/>
  <c r="AA621" i="4"/>
  <c r="AA620" i="4"/>
  <c r="AA619" i="4"/>
  <c r="AA618" i="4"/>
  <c r="AA617" i="4"/>
  <c r="AA616" i="4"/>
  <c r="AA615" i="4"/>
  <c r="AA614" i="4"/>
  <c r="AA613" i="4"/>
  <c r="AA612" i="4"/>
  <c r="AA611" i="4"/>
  <c r="AA610" i="4"/>
  <c r="AA609" i="4"/>
  <c r="AA608" i="4"/>
  <c r="AA607" i="4"/>
  <c r="AA606" i="4"/>
  <c r="AA605" i="4"/>
  <c r="AA604" i="4"/>
  <c r="AA603" i="4"/>
  <c r="AA602" i="4"/>
  <c r="AA601" i="4"/>
  <c r="AA600" i="4"/>
  <c r="AA599" i="4"/>
  <c r="AA598" i="4"/>
  <c r="AA597" i="4"/>
  <c r="AA596" i="4"/>
  <c r="AA595" i="4"/>
  <c r="AA594" i="4"/>
  <c r="AA593" i="4"/>
  <c r="AA592" i="4"/>
  <c r="AA591" i="4"/>
  <c r="AA590" i="4"/>
  <c r="AA589" i="4"/>
  <c r="AA588" i="4"/>
  <c r="AA587" i="4"/>
  <c r="AA586" i="4"/>
  <c r="AA585" i="4"/>
  <c r="AA584" i="4"/>
  <c r="AA583" i="4"/>
  <c r="AI1747" i="3" l="1"/>
  <c r="AA677" i="4"/>
  <c r="AB592" i="4"/>
  <c r="AB604" i="4"/>
  <c r="AB616" i="4"/>
  <c r="AB628" i="4"/>
  <c r="AB673" i="4"/>
  <c r="AB675" i="4"/>
  <c r="AB685" i="4"/>
  <c r="AB687" i="4"/>
  <c r="AB593" i="4"/>
  <c r="AB605" i="4"/>
  <c r="AB617" i="4"/>
  <c r="AB629" i="4"/>
  <c r="AB674" i="4"/>
  <c r="AB686" i="4"/>
  <c r="AB594" i="4"/>
  <c r="AB606" i="4"/>
  <c r="AB618" i="4"/>
  <c r="AB630" i="4"/>
  <c r="AB583" i="4"/>
  <c r="AB595" i="4"/>
  <c r="AB607" i="4"/>
  <c r="AB619" i="4"/>
  <c r="AB631" i="4"/>
  <c r="AB676" i="4"/>
  <c r="AB688" i="4"/>
  <c r="AB584" i="4"/>
  <c r="AB596" i="4"/>
  <c r="AB608" i="4"/>
  <c r="AB620" i="4"/>
  <c r="AB632" i="4"/>
  <c r="AB585" i="4"/>
  <c r="AB597" i="4"/>
  <c r="AB609" i="4"/>
  <c r="AB621" i="4"/>
  <c r="AB633" i="4"/>
  <c r="AB678" i="4"/>
  <c r="AB690" i="4"/>
  <c r="AB586" i="4"/>
  <c r="AB598" i="4"/>
  <c r="AB610" i="4"/>
  <c r="AB622" i="4"/>
  <c r="AB634" i="4"/>
  <c r="AB679" i="4"/>
  <c r="AB691" i="4"/>
  <c r="AB587" i="4"/>
  <c r="AB599" i="4"/>
  <c r="AB611" i="4"/>
  <c r="AB623" i="4"/>
  <c r="AB680" i="4"/>
  <c r="AB692" i="4"/>
  <c r="AB588" i="4"/>
  <c r="AB600" i="4"/>
  <c r="AB612" i="4"/>
  <c r="AB624" i="4"/>
  <c r="AB665" i="4"/>
  <c r="AB681" i="4"/>
  <c r="AB693" i="4"/>
  <c r="AB589" i="4"/>
  <c r="AB601" i="4"/>
  <c r="AB613" i="4"/>
  <c r="AB625" i="4"/>
  <c r="AB669" i="4"/>
  <c r="AB682" i="4"/>
  <c r="AB694" i="4"/>
  <c r="AB590" i="4"/>
  <c r="AB602" i="4"/>
  <c r="AB614" i="4"/>
  <c r="AB626" i="4"/>
  <c r="AB670" i="4"/>
  <c r="AB683" i="4"/>
  <c r="AB695" i="4"/>
  <c r="AB591" i="4"/>
  <c r="AB603" i="4"/>
  <c r="AB615" i="4"/>
  <c r="AB627" i="4"/>
  <c r="AB672" i="4"/>
  <c r="AB684" i="4"/>
  <c r="AB696" i="4"/>
  <c r="AB671" i="4"/>
  <c r="AB713" i="4" l="1"/>
  <c r="W1456" i="3"/>
  <c r="W1460" i="3"/>
  <c r="W1466" i="3"/>
  <c r="W1484" i="3"/>
  <c r="W1488" i="3"/>
  <c r="W1493" i="3"/>
  <c r="W1494" i="3"/>
  <c r="W1501" i="3"/>
  <c r="W1514" i="3"/>
  <c r="W1518" i="3"/>
  <c r="W1526" i="3"/>
  <c r="W1530" i="3"/>
  <c r="W1538" i="3"/>
  <c r="W1542" i="3"/>
  <c r="W1548" i="3"/>
  <c r="W1552" i="3"/>
  <c r="W1556" i="3"/>
  <c r="W1562" i="3"/>
  <c r="W1569" i="3"/>
  <c r="W1582" i="3"/>
  <c r="W1588" i="3"/>
  <c r="W1592" i="3"/>
  <c r="W1604" i="3"/>
  <c r="W1608" i="3"/>
  <c r="W1611" i="3"/>
  <c r="W1616" i="3"/>
  <c r="W1619" i="3"/>
  <c r="W1626" i="3"/>
  <c r="W1628" i="3"/>
  <c r="AA1645" i="3"/>
  <c r="W1646" i="3"/>
  <c r="AA1646" i="3"/>
  <c r="AC1647" i="3"/>
  <c r="AA1647" i="3"/>
  <c r="AA1648" i="3"/>
  <c r="W1652" i="3"/>
  <c r="W1717" i="3"/>
  <c r="W1721" i="3"/>
  <c r="W1730" i="3"/>
  <c r="W1733" i="3"/>
  <c r="W1737" i="3"/>
  <c r="W1742" i="3"/>
  <c r="W1640" i="3" l="1"/>
  <c r="W1571" i="3"/>
  <c r="W1584" i="3"/>
  <c r="W1741" i="3"/>
  <c r="W1500" i="3"/>
  <c r="W1565" i="3"/>
  <c r="W1596" i="3"/>
  <c r="W1632" i="3"/>
  <c r="W1560" i="3"/>
  <c r="W1622" i="3"/>
  <c r="W1550" i="3"/>
  <c r="W1528" i="3"/>
  <c r="W1573" i="3"/>
  <c r="W1457" i="3"/>
  <c r="W1650" i="3"/>
  <c r="W1599" i="3"/>
  <c r="W1524" i="3"/>
  <c r="W1521" i="3"/>
  <c r="W1735" i="3"/>
  <c r="W1605" i="3"/>
  <c r="W1464" i="3"/>
  <c r="W1719" i="3"/>
  <c r="W1643" i="3"/>
  <c r="W1480" i="3"/>
  <c r="W1470" i="3"/>
  <c r="W1732" i="3"/>
  <c r="W1725" i="3"/>
  <c r="W1570" i="3"/>
  <c r="W1536" i="3"/>
  <c r="W1512" i="3"/>
  <c r="W1474" i="3"/>
  <c r="W1468" i="3"/>
  <c r="W1613" i="3"/>
  <c r="W1601" i="3"/>
  <c r="W1595" i="3"/>
  <c r="W1522" i="3"/>
  <c r="W1502" i="3"/>
  <c r="W1481" i="3"/>
  <c r="AC1648" i="3"/>
  <c r="W1711" i="3"/>
  <c r="W1648" i="3"/>
  <c r="W1644" i="3"/>
  <c r="W1638" i="3"/>
  <c r="W1516" i="3"/>
  <c r="W1743" i="3"/>
  <c r="W1734" i="3"/>
  <c r="W1590" i="3"/>
  <c r="AC1646" i="3"/>
  <c r="W1462" i="3"/>
  <c r="W1593" i="3"/>
  <c r="W1508" i="3"/>
  <c r="W1631" i="3"/>
  <c r="W1620" i="3"/>
  <c r="W1558" i="3"/>
  <c r="W1490" i="3"/>
  <c r="W1715" i="3"/>
  <c r="W1635" i="3"/>
  <c r="W1623" i="3"/>
  <c r="W1574" i="3"/>
  <c r="W1625" i="3"/>
  <c r="W1610" i="3"/>
  <c r="W1637" i="3"/>
  <c r="W1554" i="3"/>
  <c r="W1566" i="3"/>
  <c r="W1472" i="3"/>
  <c r="W1655" i="3"/>
  <c r="W1653" i="3"/>
  <c r="W1614" i="3"/>
  <c r="W1602" i="3"/>
  <c r="W1598" i="3"/>
  <c r="W1731" i="3"/>
  <c r="W1586" i="3"/>
  <c r="W1482" i="3"/>
  <c r="W1478" i="3"/>
  <c r="W1498" i="3"/>
  <c r="W1465" i="3"/>
  <c r="W1578" i="3"/>
  <c r="W1567" i="3"/>
  <c r="W1458" i="3"/>
  <c r="W1629" i="3"/>
  <c r="W1727" i="3"/>
  <c r="W1707" i="3"/>
  <c r="W1634" i="3"/>
  <c r="W1532" i="3"/>
  <c r="W1509" i="3"/>
  <c r="W1476" i="3"/>
  <c r="W1534" i="3"/>
  <c r="W1723" i="3"/>
  <c r="W1617" i="3"/>
  <c r="W1607" i="3"/>
  <c r="W1580" i="3"/>
  <c r="W1739" i="3"/>
  <c r="W1564" i="3"/>
  <c r="W1529" i="3"/>
  <c r="W1647" i="3"/>
  <c r="W1563" i="3"/>
  <c r="W1496" i="3"/>
  <c r="W1575" i="3"/>
  <c r="W1544" i="3"/>
  <c r="W1729" i="3"/>
  <c r="W1713" i="3"/>
  <c r="W1641" i="3"/>
  <c r="W1546" i="3"/>
  <c r="W1540" i="3"/>
  <c r="W1510" i="3"/>
  <c r="W1520" i="3"/>
  <c r="W1504" i="3"/>
  <c r="W1486" i="3"/>
  <c r="W1461" i="3"/>
  <c r="W1492" i="3"/>
  <c r="W1475" i="3"/>
  <c r="W1515" i="3"/>
  <c r="W1506" i="3"/>
  <c r="W1511" i="3"/>
  <c r="W1531" i="3"/>
  <c r="X1745" i="3" l="1"/>
  <c r="S1745" i="3"/>
  <c r="X1744" i="3"/>
  <c r="S1744" i="3"/>
  <c r="V1746" i="3"/>
  <c r="V1745" i="3"/>
  <c r="V1744" i="3"/>
  <c r="S1746" i="3"/>
  <c r="X1746" i="3"/>
  <c r="AD1746" i="3"/>
  <c r="AD1744" i="3"/>
  <c r="AD1745" i="3"/>
  <c r="V1729" i="3"/>
  <c r="V1544" i="3"/>
  <c r="V1481" i="3"/>
  <c r="AD1647" i="3"/>
  <c r="V1644" i="3"/>
  <c r="V1560" i="3"/>
  <c r="V1484" i="3"/>
  <c r="V1730" i="3"/>
  <c r="V1733" i="3"/>
  <c r="V1731" i="3"/>
  <c r="V1529" i="3"/>
  <c r="V1586" i="3"/>
  <c r="V1468" i="3"/>
  <c r="V1478" i="3"/>
  <c r="V1632" i="3"/>
  <c r="V1550" i="3"/>
  <c r="V1536" i="3"/>
  <c r="V1616" i="3"/>
  <c r="V1625" i="3"/>
  <c r="V1498" i="3"/>
  <c r="V1617" i="3"/>
  <c r="V1727" i="3"/>
  <c r="V1504" i="3"/>
  <c r="V1511" i="3"/>
  <c r="V1638" i="3"/>
  <c r="V1571" i="3"/>
  <c r="V1648" i="3"/>
  <c r="V1494" i="3"/>
  <c r="V1578" i="3"/>
  <c r="V1580" i="3"/>
  <c r="V1563" i="3"/>
  <c r="V1486" i="3"/>
  <c r="V1524" i="3"/>
  <c r="V1554" i="3"/>
  <c r="V1599" i="3"/>
  <c r="V1526" i="3"/>
  <c r="V1514" i="3"/>
  <c r="V1546" i="3"/>
  <c r="V1564" i="3"/>
  <c r="V1516" i="3"/>
  <c r="V1573" i="3"/>
  <c r="V1721" i="3"/>
  <c r="V1623" i="3"/>
  <c r="V1500" i="3"/>
  <c r="V1570" i="3"/>
  <c r="V1626" i="3"/>
  <c r="V1548" i="3"/>
  <c r="V1631" i="3"/>
  <c r="V1605" i="3"/>
  <c r="V1457" i="3"/>
  <c r="V1464" i="3"/>
  <c r="V1462" i="3"/>
  <c r="V1655" i="3"/>
  <c r="V1476" i="3"/>
  <c r="V1475" i="3"/>
  <c r="V1741" i="3"/>
  <c r="V1509" i="3"/>
  <c r="V1719" i="3"/>
  <c r="V1552" i="3"/>
  <c r="V1628" i="3"/>
  <c r="V1652" i="3"/>
  <c r="V1562" i="3"/>
  <c r="V1598" i="3"/>
  <c r="V1534" i="3"/>
  <c r="V1608" i="3"/>
  <c r="V1601" i="3"/>
  <c r="V1458" i="3"/>
  <c r="V1528" i="3"/>
  <c r="X1648" i="3"/>
  <c r="V1501" i="3"/>
  <c r="V1584" i="3"/>
  <c r="V1735" i="3"/>
  <c r="V1575" i="3"/>
  <c r="V1647" i="3"/>
  <c r="V1556" i="3"/>
  <c r="V1508" i="3"/>
  <c r="V1520" i="3"/>
  <c r="V1470" i="3"/>
  <c r="V1725" i="3"/>
  <c r="V1713" i="3"/>
  <c r="V1614" i="3"/>
  <c r="V1474" i="3"/>
  <c r="V1461" i="3"/>
  <c r="V1582" i="3"/>
  <c r="V1619" i="3"/>
  <c r="V1734" i="3"/>
  <c r="V1653" i="3"/>
  <c r="V1707" i="3"/>
  <c r="V1641" i="3"/>
  <c r="V1640" i="3"/>
  <c r="V1650" i="3"/>
  <c r="V1593" i="3"/>
  <c r="V1596" i="3"/>
  <c r="V1521" i="3"/>
  <c r="V1715" i="3"/>
  <c r="V1493" i="3"/>
  <c r="V1530" i="3"/>
  <c r="V1590" i="3"/>
  <c r="V1610" i="3"/>
  <c r="V1569" i="3"/>
  <c r="V1588" i="3"/>
  <c r="V1531" i="3"/>
  <c r="V1565" i="3"/>
  <c r="V1574" i="3"/>
  <c r="V1613" i="3"/>
  <c r="V1456" i="3"/>
  <c r="V1542" i="3"/>
  <c r="X1647" i="3"/>
  <c r="V1592" i="3"/>
  <c r="V1602" i="3"/>
  <c r="V1558" i="3"/>
  <c r="V1595" i="3"/>
  <c r="V1742" i="3"/>
  <c r="V1637" i="3"/>
  <c r="V1620" i="3"/>
  <c r="V1711" i="3"/>
  <c r="V1502" i="3"/>
  <c r="V1460" i="3"/>
  <c r="X1646" i="3"/>
  <c r="V1567" i="3"/>
  <c r="V1532" i="3"/>
  <c r="V1522" i="3"/>
  <c r="V1512" i="3"/>
  <c r="V1482" i="3"/>
  <c r="V1538" i="3"/>
  <c r="V1635" i="3"/>
  <c r="V1739" i="3"/>
  <c r="V1604" i="3"/>
  <c r="V1506" i="3"/>
  <c r="V1480" i="3"/>
  <c r="V1643" i="3"/>
  <c r="V1518" i="3"/>
  <c r="V1566" i="3"/>
  <c r="V1743" i="3"/>
  <c r="V1496" i="3"/>
  <c r="V1607" i="3"/>
  <c r="V1466" i="3"/>
  <c r="V1737" i="3"/>
  <c r="V1717" i="3"/>
  <c r="V1510" i="3"/>
  <c r="V1622" i="3"/>
  <c r="V1465" i="3"/>
  <c r="V1634" i="3"/>
  <c r="V1611" i="3"/>
  <c r="V1472" i="3"/>
  <c r="V1629" i="3"/>
  <c r="V1515" i="3"/>
  <c r="V1540" i="3"/>
  <c r="V1732" i="3"/>
  <c r="V1492" i="3"/>
  <c r="V1646" i="3"/>
  <c r="V1488" i="3"/>
  <c r="V1490" i="3"/>
  <c r="V1723" i="3"/>
  <c r="AD1646" i="3"/>
  <c r="AD1648" i="3"/>
  <c r="AD94" i="4"/>
  <c r="AD111" i="4"/>
  <c r="AD122" i="4"/>
  <c r="AD123" i="4"/>
  <c r="AD131" i="4"/>
  <c r="AD132" i="4"/>
  <c r="AD184" i="4"/>
  <c r="AD185" i="4"/>
  <c r="AD186" i="4"/>
  <c r="AD187" i="4"/>
  <c r="AD342" i="4"/>
  <c r="AD410" i="4"/>
  <c r="AD411" i="4"/>
  <c r="AD427" i="4"/>
  <c r="AD466" i="4"/>
  <c r="AD467" i="4"/>
  <c r="AD470" i="4"/>
  <c r="AD480" i="4"/>
  <c r="AD481" i="4"/>
  <c r="AD497" i="4"/>
  <c r="AD498" i="4"/>
  <c r="AD505" i="4"/>
  <c r="AD506" i="4"/>
  <c r="AD509" i="4"/>
  <c r="AD510" i="4"/>
  <c r="AD521" i="4"/>
  <c r="AD522" i="4"/>
  <c r="AD540" i="4"/>
  <c r="AD541" i="4"/>
  <c r="Y1646" i="3" l="1"/>
  <c r="Y1647" i="3"/>
  <c r="Y1648" i="3"/>
  <c r="Y1746" i="3"/>
  <c r="Y1745" i="3"/>
  <c r="Y1744" i="3"/>
  <c r="K1648" i="3"/>
  <c r="K1647" i="3"/>
  <c r="K1645" i="3"/>
  <c r="K1646" i="3"/>
  <c r="F384" i="3" l="1"/>
  <c r="O384" i="3"/>
  <c r="R384" i="3"/>
  <c r="AF384" i="3"/>
  <c r="AJ384" i="3"/>
  <c r="F359" i="3"/>
  <c r="O359" i="3"/>
  <c r="R359" i="3"/>
  <c r="AF359" i="3"/>
  <c r="AJ359" i="3"/>
  <c r="F1157" i="3"/>
  <c r="O1157" i="3"/>
  <c r="R1157" i="3"/>
  <c r="AF1157" i="3"/>
  <c r="AJ1157" i="3"/>
  <c r="C334" i="5"/>
  <c r="P1157" i="3"/>
  <c r="F395" i="3"/>
  <c r="O395" i="3"/>
  <c r="R395" i="3"/>
  <c r="AF395" i="3"/>
  <c r="AJ395" i="3"/>
  <c r="F391" i="3"/>
  <c r="O391" i="3"/>
  <c r="R391" i="3"/>
  <c r="AF391" i="3"/>
  <c r="AJ391" i="3"/>
  <c r="F352" i="3"/>
  <c r="O352" i="3"/>
  <c r="R352" i="3"/>
  <c r="AF352" i="3"/>
  <c r="AJ352" i="3"/>
  <c r="F289" i="3"/>
  <c r="O289" i="3"/>
  <c r="R289" i="3"/>
  <c r="AF289" i="3"/>
  <c r="AJ289" i="3"/>
  <c r="F218" i="3"/>
  <c r="O218" i="3"/>
  <c r="R218" i="3"/>
  <c r="AF218" i="3"/>
  <c r="AJ218" i="3"/>
  <c r="F208" i="3"/>
  <c r="O208" i="3"/>
  <c r="R208" i="3"/>
  <c r="AF208" i="3"/>
  <c r="AJ208" i="3"/>
  <c r="F197" i="3"/>
  <c r="O197" i="3"/>
  <c r="R197" i="3"/>
  <c r="AF197" i="3"/>
  <c r="AJ197" i="3"/>
  <c r="F193" i="3"/>
  <c r="O193" i="3"/>
  <c r="R193" i="3"/>
  <c r="AF193" i="3"/>
  <c r="AJ193" i="3"/>
  <c r="F190" i="3"/>
  <c r="O190" i="3"/>
  <c r="R190" i="3"/>
  <c r="AF190" i="3"/>
  <c r="AJ190" i="3"/>
  <c r="F174" i="3"/>
  <c r="O174" i="3"/>
  <c r="R174" i="3"/>
  <c r="AF174" i="3"/>
  <c r="AJ174" i="3"/>
  <c r="F146" i="3"/>
  <c r="O146" i="3"/>
  <c r="R146" i="3"/>
  <c r="AF146" i="3"/>
  <c r="AJ146" i="3"/>
  <c r="C323" i="5"/>
  <c r="P163" i="3"/>
  <c r="P162" i="3"/>
  <c r="P161" i="3"/>
  <c r="P1397" i="3"/>
  <c r="AJ163" i="3"/>
  <c r="AF163" i="3"/>
  <c r="R163" i="3"/>
  <c r="O163" i="3"/>
  <c r="AJ162" i="3"/>
  <c r="AF162" i="3"/>
  <c r="R162" i="3"/>
  <c r="O162" i="3"/>
  <c r="F163" i="3"/>
  <c r="F162" i="3"/>
  <c r="C327" i="5"/>
  <c r="C326" i="5"/>
  <c r="F410" i="3"/>
  <c r="O410" i="3"/>
  <c r="R410" i="3"/>
  <c r="AA410" i="3"/>
  <c r="AF410" i="3"/>
  <c r="AJ410" i="3"/>
  <c r="F335" i="3"/>
  <c r="O335" i="3"/>
  <c r="R335" i="3"/>
  <c r="AF335" i="3"/>
  <c r="AJ335" i="3"/>
  <c r="F331" i="3"/>
  <c r="O331" i="3"/>
  <c r="R331" i="3"/>
  <c r="AF331" i="3"/>
  <c r="AJ331" i="3"/>
  <c r="C385" i="5"/>
  <c r="C384" i="5"/>
  <c r="C368" i="5"/>
  <c r="AF3" i="3"/>
  <c r="AF4" i="3"/>
  <c r="AF5" i="3"/>
  <c r="AF6" i="3"/>
  <c r="AF7" i="3"/>
  <c r="AF9" i="3"/>
  <c r="AF10" i="3"/>
  <c r="AF13" i="3"/>
  <c r="AF14" i="3"/>
  <c r="AF17" i="3"/>
  <c r="AF18" i="3"/>
  <c r="AF21" i="3"/>
  <c r="AF22" i="3"/>
  <c r="AF27" i="3"/>
  <c r="AF28" i="3"/>
  <c r="AF33" i="3"/>
  <c r="AF34" i="3"/>
  <c r="AF35" i="3"/>
  <c r="AF36" i="3"/>
  <c r="AF37" i="3"/>
  <c r="AF40" i="3"/>
  <c r="AF41" i="3"/>
  <c r="AF43" i="3"/>
  <c r="AF44" i="3"/>
  <c r="AF45" i="3"/>
  <c r="AF46" i="3"/>
  <c r="AF47" i="3"/>
  <c r="AF49" i="3"/>
  <c r="AF50" i="3"/>
  <c r="AF54" i="3"/>
  <c r="AF55" i="3"/>
  <c r="AF57" i="3"/>
  <c r="AF58" i="3"/>
  <c r="AF60" i="3"/>
  <c r="AF61" i="3"/>
  <c r="AF62" i="3"/>
  <c r="AF63" i="3"/>
  <c r="AF64" i="3"/>
  <c r="AF68" i="3"/>
  <c r="AF69" i="3"/>
  <c r="AF71" i="3"/>
  <c r="AF72" i="3"/>
  <c r="AF75" i="3"/>
  <c r="AF76" i="3"/>
  <c r="AF77" i="3"/>
  <c r="AF79" i="3"/>
  <c r="AF80" i="3"/>
  <c r="AF81" i="3"/>
  <c r="AF82" i="3"/>
  <c r="AF83" i="3"/>
  <c r="AF84" i="3"/>
  <c r="AF85" i="3"/>
  <c r="AF86" i="3"/>
  <c r="AF87" i="3"/>
  <c r="AF89" i="3"/>
  <c r="AF90" i="3"/>
  <c r="AF94" i="3"/>
  <c r="AF95" i="3"/>
  <c r="AF96" i="3"/>
  <c r="AF97" i="3"/>
  <c r="AF98" i="3"/>
  <c r="AF100" i="3"/>
  <c r="AF101" i="3"/>
  <c r="AF104" i="3"/>
  <c r="AF105" i="3"/>
  <c r="AF107" i="3"/>
  <c r="AF111" i="3"/>
  <c r="AF112" i="3"/>
  <c r="AF114" i="3"/>
  <c r="AF115" i="3"/>
  <c r="AF116" i="3"/>
  <c r="AF117" i="3"/>
  <c r="AF118" i="3"/>
  <c r="AF120" i="3"/>
  <c r="AF121" i="3"/>
  <c r="AF123" i="3"/>
  <c r="AF124" i="3"/>
  <c r="AF126" i="3"/>
  <c r="AF127" i="3"/>
  <c r="AF129" i="3"/>
  <c r="AF130" i="3"/>
  <c r="AF131" i="3"/>
  <c r="AF132" i="3"/>
  <c r="AF133" i="3"/>
  <c r="AF135" i="3"/>
  <c r="AF136" i="3"/>
  <c r="AF145" i="3"/>
  <c r="AF148" i="3"/>
  <c r="AF149" i="3"/>
  <c r="AF151" i="3"/>
  <c r="AF152" i="3"/>
  <c r="AF154" i="3"/>
  <c r="AF155" i="3"/>
  <c r="AF156" i="3"/>
  <c r="AF161" i="3"/>
  <c r="AF164" i="3"/>
  <c r="AF166" i="3"/>
  <c r="AF167" i="3"/>
  <c r="AF169" i="3"/>
  <c r="AF170" i="3"/>
  <c r="AF173" i="3"/>
  <c r="AF176" i="3"/>
  <c r="AF177" i="3"/>
  <c r="AF178" i="3"/>
  <c r="AF179" i="3"/>
  <c r="AF180" i="3"/>
  <c r="AF182" i="3"/>
  <c r="AF183" i="3"/>
  <c r="AF185" i="3"/>
  <c r="AF186" i="3"/>
  <c r="AF189" i="3"/>
  <c r="AF192" i="3"/>
  <c r="AF196" i="3"/>
  <c r="AF207" i="3"/>
  <c r="AF210" i="3"/>
  <c r="AF211" i="3"/>
  <c r="AF213" i="3"/>
  <c r="AF214" i="3"/>
  <c r="AF217" i="3"/>
  <c r="AF220" i="3"/>
  <c r="AF221" i="3"/>
  <c r="AF224" i="3"/>
  <c r="AF226" i="3"/>
  <c r="AF227" i="3"/>
  <c r="AF228" i="3"/>
  <c r="AF230" i="3"/>
  <c r="AF231" i="3"/>
  <c r="AF233" i="3"/>
  <c r="AF234" i="3"/>
  <c r="AF235" i="3"/>
  <c r="AF236" i="3"/>
  <c r="AF237" i="3"/>
  <c r="AF238" i="3"/>
  <c r="AF239" i="3"/>
  <c r="AF240" i="3"/>
  <c r="AF241" i="3"/>
  <c r="AF242" i="3"/>
  <c r="AF243" i="3"/>
  <c r="AF245" i="3"/>
  <c r="AF246" i="3"/>
  <c r="AF248" i="3"/>
  <c r="AF250" i="3"/>
  <c r="AF251" i="3"/>
  <c r="AF253" i="3"/>
  <c r="AF254" i="3"/>
  <c r="AF256" i="3"/>
  <c r="AF257" i="3"/>
  <c r="AF258" i="3"/>
  <c r="AF259" i="3"/>
  <c r="AF260" i="3"/>
  <c r="AF261" i="3"/>
  <c r="AF262" i="3"/>
  <c r="AF263" i="3"/>
  <c r="AF265" i="3"/>
  <c r="AF266" i="3"/>
  <c r="AF268" i="3"/>
  <c r="AF269" i="3"/>
  <c r="AF270" i="3"/>
  <c r="AF272" i="3"/>
  <c r="AF273" i="3"/>
  <c r="AF274" i="3"/>
  <c r="AF275" i="3"/>
  <c r="AF276" i="3"/>
  <c r="AF278" i="3"/>
  <c r="AF279" i="3"/>
  <c r="AF281" i="3"/>
  <c r="AF282" i="3"/>
  <c r="AF284" i="3"/>
  <c r="AF285" i="3"/>
  <c r="AF288" i="3"/>
  <c r="AF294" i="3"/>
  <c r="AF295" i="3"/>
  <c r="AF297" i="3"/>
  <c r="AF298" i="3"/>
  <c r="AF300" i="3"/>
  <c r="AF301" i="3"/>
  <c r="AF304" i="3"/>
  <c r="AF306" i="3"/>
  <c r="AF307" i="3"/>
  <c r="AF308" i="3"/>
  <c r="AF310" i="3"/>
  <c r="AF311" i="3"/>
  <c r="AF312" i="3"/>
  <c r="AF313" i="3"/>
  <c r="AF315" i="3"/>
  <c r="AF316" i="3"/>
  <c r="AF318" i="3"/>
  <c r="AF319" i="3"/>
  <c r="AF321" i="3"/>
  <c r="AF322" i="3"/>
  <c r="AF323" i="3"/>
  <c r="AF324" i="3"/>
  <c r="AF325" i="3"/>
  <c r="AF327" i="3"/>
  <c r="AF328" i="3"/>
  <c r="AF330" i="3"/>
  <c r="AF332" i="3"/>
  <c r="AF334" i="3"/>
  <c r="AF336" i="3"/>
  <c r="AF337" i="3"/>
  <c r="AF338" i="3"/>
  <c r="AF339" i="3"/>
  <c r="AF341" i="3"/>
  <c r="AF342" i="3"/>
  <c r="AF343" i="3"/>
  <c r="AF344" i="3"/>
  <c r="AF345" i="3"/>
  <c r="AF346" i="3"/>
  <c r="AF347" i="3"/>
  <c r="AF348" i="3"/>
  <c r="AF351" i="3"/>
  <c r="AF354" i="3"/>
  <c r="AF355" i="3"/>
  <c r="AF358" i="3"/>
  <c r="AF360" i="3"/>
  <c r="AF361" i="3"/>
  <c r="AF362" i="3"/>
  <c r="AF364" i="3"/>
  <c r="AF365" i="3"/>
  <c r="AF367" i="3"/>
  <c r="AF368" i="3"/>
  <c r="AF370" i="3"/>
  <c r="AF371" i="3"/>
  <c r="AF372" i="3"/>
  <c r="AF373" i="3"/>
  <c r="AF374" i="3"/>
  <c r="AF376" i="3"/>
  <c r="AF377" i="3"/>
  <c r="AF378" i="3"/>
  <c r="AF379" i="3"/>
  <c r="AF380" i="3"/>
  <c r="AF383" i="3"/>
  <c r="AF386" i="3"/>
  <c r="AF387" i="3"/>
  <c r="AF390" i="3"/>
  <c r="AF394" i="3"/>
  <c r="AF397" i="3"/>
  <c r="AF398" i="3"/>
  <c r="AF400" i="3"/>
  <c r="AF401" i="3"/>
  <c r="AF403" i="3"/>
  <c r="AF404" i="3"/>
  <c r="AF406" i="3"/>
  <c r="AF407" i="3"/>
  <c r="AF409" i="3"/>
  <c r="AF411" i="3"/>
  <c r="AF413" i="3"/>
  <c r="AF416" i="3"/>
  <c r="AF417" i="3"/>
  <c r="AF418" i="3"/>
  <c r="AF420" i="3"/>
  <c r="AF422" i="3"/>
  <c r="AF424" i="3"/>
  <c r="AF425" i="3"/>
  <c r="AF426" i="3"/>
  <c r="AF427" i="3"/>
  <c r="AF428" i="3"/>
  <c r="AF429" i="3"/>
  <c r="AF430" i="3"/>
  <c r="AF432" i="3"/>
  <c r="AF434" i="3"/>
  <c r="AF436" i="3"/>
  <c r="AF438" i="3"/>
  <c r="AF440" i="3"/>
  <c r="AF441" i="3"/>
  <c r="AF442" i="3"/>
  <c r="AF443" i="3"/>
  <c r="AF444" i="3"/>
  <c r="AF446" i="3"/>
  <c r="AF447" i="3"/>
  <c r="AF448" i="3"/>
  <c r="AF449" i="3"/>
  <c r="AF450" i="3"/>
  <c r="AF452" i="3"/>
  <c r="AF454" i="3"/>
  <c r="AF456" i="3"/>
  <c r="AF458" i="3"/>
  <c r="AF460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4" i="3"/>
  <c r="AF486" i="3"/>
  <c r="AF487" i="3"/>
  <c r="AF488" i="3"/>
  <c r="AF489" i="3"/>
  <c r="AF490" i="3"/>
  <c r="AF492" i="3"/>
  <c r="AF494" i="3"/>
  <c r="AF495" i="3"/>
  <c r="AF496" i="3"/>
  <c r="AF497" i="3"/>
  <c r="AF498" i="3"/>
  <c r="AF500" i="3"/>
  <c r="AF502" i="3"/>
  <c r="AF503" i="3"/>
  <c r="AF504" i="3"/>
  <c r="AF505" i="3"/>
  <c r="AF506" i="3"/>
  <c r="AF508" i="3"/>
  <c r="AF510" i="3"/>
  <c r="AF512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8" i="3"/>
  <c r="AF530" i="3"/>
  <c r="AF532" i="3"/>
  <c r="AF534" i="3"/>
  <c r="AF535" i="3"/>
  <c r="AF536" i="3"/>
  <c r="AF537" i="3"/>
  <c r="AF538" i="3"/>
  <c r="AF539" i="3"/>
  <c r="AF540" i="3"/>
  <c r="AF541" i="3"/>
  <c r="AF542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8" i="3"/>
  <c r="AF560" i="3"/>
  <c r="AF562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4" i="3"/>
  <c r="AF586" i="3"/>
  <c r="AF588" i="3"/>
  <c r="AF590" i="3"/>
  <c r="AF592" i="3"/>
  <c r="AF594" i="3"/>
  <c r="AF596" i="3"/>
  <c r="AF598" i="3"/>
  <c r="AF600" i="3"/>
  <c r="AF602" i="3"/>
  <c r="AF604" i="3"/>
  <c r="AF606" i="3"/>
  <c r="AF608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6" i="3"/>
  <c r="AF638" i="3"/>
  <c r="AF640" i="3"/>
  <c r="AF642" i="3"/>
  <c r="AF644" i="3"/>
  <c r="AF646" i="3"/>
  <c r="AF648" i="3"/>
  <c r="AF650" i="3"/>
  <c r="AF652" i="3"/>
  <c r="AF654" i="3"/>
  <c r="AF656" i="3"/>
  <c r="AF657" i="3"/>
  <c r="AF658" i="3"/>
  <c r="AF659" i="3"/>
  <c r="AF660" i="3"/>
  <c r="AF662" i="3"/>
  <c r="AF664" i="3"/>
  <c r="AF666" i="3"/>
  <c r="AF668" i="3"/>
  <c r="AF670" i="3"/>
  <c r="AF672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2" i="3"/>
  <c r="AF694" i="3"/>
  <c r="AF695" i="3"/>
  <c r="AF696" i="3"/>
  <c r="AF697" i="3"/>
  <c r="AF698" i="3"/>
  <c r="AF700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4" i="3"/>
  <c r="AF746" i="3"/>
  <c r="AF748" i="3"/>
  <c r="AF750" i="3"/>
  <c r="AF752" i="3"/>
  <c r="AF754" i="3"/>
  <c r="AF756" i="3"/>
  <c r="AF758" i="3"/>
  <c r="AF760" i="3"/>
  <c r="AF762" i="3"/>
  <c r="AF764" i="3"/>
  <c r="AF766" i="3"/>
  <c r="AF768" i="3"/>
  <c r="AF770" i="3"/>
  <c r="AF772" i="3"/>
  <c r="AF774" i="3"/>
  <c r="AF776" i="3"/>
  <c r="AF778" i="3"/>
  <c r="AF780" i="3"/>
  <c r="AF781" i="3"/>
  <c r="AF782" i="3"/>
  <c r="AF783" i="3"/>
  <c r="AF784" i="3"/>
  <c r="AF786" i="3"/>
  <c r="AF788" i="3"/>
  <c r="AF790" i="3"/>
  <c r="AF792" i="3"/>
  <c r="AF794" i="3"/>
  <c r="AF796" i="3"/>
  <c r="AF797" i="3"/>
  <c r="AF798" i="3"/>
  <c r="AF799" i="3"/>
  <c r="AF800" i="3"/>
  <c r="AF804" i="3"/>
  <c r="AF808" i="3"/>
  <c r="AF812" i="3"/>
  <c r="AF816" i="3"/>
  <c r="AF818" i="3"/>
  <c r="AF820" i="3"/>
  <c r="AF821" i="3"/>
  <c r="AF822" i="3"/>
  <c r="AF823" i="3"/>
  <c r="AF824" i="3"/>
  <c r="AF826" i="3"/>
  <c r="AF828" i="3"/>
  <c r="AF829" i="3"/>
  <c r="AF830" i="3"/>
  <c r="AF831" i="3"/>
  <c r="AF832" i="3"/>
  <c r="AF834" i="3"/>
  <c r="AF836" i="3"/>
  <c r="AF838" i="3"/>
  <c r="AF840" i="3"/>
  <c r="AF842" i="3"/>
  <c r="AF844" i="3"/>
  <c r="AF846" i="3"/>
  <c r="AF848" i="3"/>
  <c r="AF849" i="3"/>
  <c r="AF850" i="3"/>
  <c r="AF851" i="3"/>
  <c r="AF852" i="3"/>
  <c r="AF854" i="3"/>
  <c r="AF856" i="3"/>
  <c r="AF858" i="3"/>
  <c r="AF860" i="3"/>
  <c r="AF861" i="3"/>
  <c r="AF862" i="3"/>
  <c r="AF863" i="3"/>
  <c r="AF864" i="3"/>
  <c r="AF866" i="3"/>
  <c r="AF868" i="3"/>
  <c r="AF870" i="3"/>
  <c r="AF872" i="3"/>
  <c r="AF874" i="3"/>
  <c r="AF876" i="3"/>
  <c r="AF878" i="3"/>
  <c r="AF880" i="3"/>
  <c r="AF881" i="3"/>
  <c r="AF882" i="3"/>
  <c r="AF883" i="3"/>
  <c r="AF884" i="3"/>
  <c r="AF886" i="3"/>
  <c r="AF888" i="3"/>
  <c r="AF889" i="3"/>
  <c r="AF890" i="3"/>
  <c r="AF891" i="3"/>
  <c r="AF892" i="3"/>
  <c r="AF894" i="3"/>
  <c r="AF896" i="3"/>
  <c r="AF898" i="3"/>
  <c r="AF900" i="3"/>
  <c r="AF902" i="3"/>
  <c r="AF904" i="3"/>
  <c r="AF905" i="3"/>
  <c r="AF906" i="3"/>
  <c r="AF907" i="3"/>
  <c r="AF908" i="3"/>
  <c r="AF910" i="3"/>
  <c r="AF912" i="3"/>
  <c r="AF914" i="3"/>
  <c r="AF916" i="3"/>
  <c r="AF918" i="3"/>
  <c r="AF920" i="3"/>
  <c r="AF922" i="3"/>
  <c r="AF924" i="3"/>
  <c r="AF926" i="3"/>
  <c r="AF928" i="3"/>
  <c r="AF930" i="3"/>
  <c r="AF932" i="3"/>
  <c r="AF933" i="3"/>
  <c r="AF934" i="3"/>
  <c r="AF935" i="3"/>
  <c r="AF936" i="3"/>
  <c r="AF938" i="3"/>
  <c r="AF940" i="3"/>
  <c r="AF942" i="3"/>
  <c r="AF944" i="3"/>
  <c r="AF946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2" i="3"/>
  <c r="AF964" i="3"/>
  <c r="AF966" i="3"/>
  <c r="AF968" i="3"/>
  <c r="AF970" i="3"/>
  <c r="AF972" i="3"/>
  <c r="AF974" i="3"/>
  <c r="AF976" i="3"/>
  <c r="AF978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6" i="3"/>
  <c r="AF1008" i="3"/>
  <c r="AF1010" i="3"/>
  <c r="AF1012" i="3"/>
  <c r="AF1014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30" i="3"/>
  <c r="AF1032" i="3"/>
  <c r="AF1034" i="3"/>
  <c r="AF1036" i="3"/>
  <c r="AF1038" i="3"/>
  <c r="AF1040" i="3"/>
  <c r="AF1042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8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4" i="3"/>
  <c r="AF1086" i="3"/>
  <c r="AF1088" i="3"/>
  <c r="AF1090" i="3"/>
  <c r="AF1091" i="3"/>
  <c r="AF1092" i="3"/>
  <c r="AF1093" i="3"/>
  <c r="AF1094" i="3"/>
  <c r="AF1096" i="3"/>
  <c r="AF1098" i="3"/>
  <c r="AF1099" i="3"/>
  <c r="AF1100" i="3"/>
  <c r="AF1101" i="3"/>
  <c r="AF1102" i="3"/>
  <c r="AF1104" i="3"/>
  <c r="AF1105" i="3"/>
  <c r="AF1106" i="3"/>
  <c r="AF1107" i="3"/>
  <c r="AF1108" i="3"/>
  <c r="AF1110" i="3"/>
  <c r="AF1112" i="3"/>
  <c r="AF1114" i="3"/>
  <c r="AF1116" i="3"/>
  <c r="AF1118" i="3"/>
  <c r="AF1120" i="3"/>
  <c r="AF1122" i="3"/>
  <c r="AF1123" i="3"/>
  <c r="AF1124" i="3"/>
  <c r="AF1125" i="3"/>
  <c r="AF1127" i="3"/>
  <c r="AF1128" i="3"/>
  <c r="AF1130" i="3"/>
  <c r="AF1131" i="3"/>
  <c r="AF1136" i="3"/>
  <c r="AF1137" i="3"/>
  <c r="AF1139" i="3"/>
  <c r="AF1140" i="3"/>
  <c r="AF1141" i="3"/>
  <c r="AF1142" i="3"/>
  <c r="AF1143" i="3"/>
  <c r="AF1144" i="3"/>
  <c r="AF1145" i="3"/>
  <c r="AF1146" i="3"/>
  <c r="AF1151" i="3"/>
  <c r="AF1152" i="3"/>
  <c r="AF1153" i="3"/>
  <c r="AF1154" i="3"/>
  <c r="AF1155" i="3"/>
  <c r="AF1156" i="3"/>
  <c r="AF1158" i="3"/>
  <c r="AF1159" i="3"/>
  <c r="AF1160" i="3"/>
  <c r="AF1161" i="3"/>
  <c r="AF1163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2" i="3"/>
  <c r="AF1204" i="3"/>
  <c r="AF1205" i="3"/>
  <c r="AF1206" i="3"/>
  <c r="AF1207" i="3"/>
  <c r="AF1208" i="3"/>
  <c r="AF1210" i="3"/>
  <c r="AF1212" i="3"/>
  <c r="AF1213" i="3"/>
  <c r="AF1214" i="3"/>
  <c r="AF1215" i="3"/>
  <c r="AF1216" i="3"/>
  <c r="AF1217" i="3"/>
  <c r="AF1218" i="3"/>
  <c r="AF1219" i="3"/>
  <c r="AF1220" i="3"/>
  <c r="AF1222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2" i="3"/>
  <c r="AF1244" i="3"/>
  <c r="AF1246" i="3"/>
  <c r="AF1248" i="3"/>
  <c r="AF1250" i="3"/>
  <c r="AF1251" i="3"/>
  <c r="AF1252" i="3"/>
  <c r="AF1253" i="3"/>
  <c r="AF1254" i="3"/>
  <c r="AF1255" i="3"/>
  <c r="AF1256" i="3"/>
  <c r="AF1257" i="3"/>
  <c r="AF1259" i="3"/>
  <c r="AF1260" i="3"/>
  <c r="AF1261" i="3"/>
  <c r="AF1262" i="3"/>
  <c r="AF1263" i="3"/>
  <c r="AF1264" i="3"/>
  <c r="AF1266" i="3"/>
  <c r="AF1268" i="3"/>
  <c r="AF1270" i="3"/>
  <c r="AF1272" i="3"/>
  <c r="AF1274" i="3"/>
  <c r="AF1275" i="3"/>
  <c r="AF1276" i="3"/>
  <c r="AF1277" i="3"/>
  <c r="AF1278" i="3"/>
  <c r="AF1280" i="3"/>
  <c r="AF1281" i="3"/>
  <c r="AF1282" i="3"/>
  <c r="AF1283" i="3"/>
  <c r="AF1284" i="3"/>
  <c r="AF1286" i="3"/>
  <c r="AF1287" i="3"/>
  <c r="AF1288" i="3"/>
  <c r="AF1289" i="3"/>
  <c r="AF1290" i="3"/>
  <c r="AF1291" i="3"/>
  <c r="AF1292" i="3"/>
  <c r="AF1294" i="3"/>
  <c r="AF1295" i="3"/>
  <c r="AF1296" i="3"/>
  <c r="AF1297" i="3"/>
  <c r="AF1299" i="3"/>
  <c r="AF1300" i="3"/>
  <c r="AF1301" i="3"/>
  <c r="AF1302" i="3"/>
  <c r="AF1303" i="3"/>
  <c r="AF1304" i="3"/>
  <c r="AF1305" i="3"/>
  <c r="AF1306" i="3"/>
  <c r="AF1308" i="3"/>
  <c r="AF1310" i="3"/>
  <c r="AF1311" i="3"/>
  <c r="AF1313" i="3"/>
  <c r="AF1314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4" i="3"/>
  <c r="AF1355" i="3"/>
  <c r="AF1356" i="3"/>
  <c r="AF1357" i="3"/>
  <c r="AF1358" i="3"/>
  <c r="AF1359" i="3"/>
  <c r="AF1360" i="3"/>
  <c r="AF1364" i="3"/>
  <c r="AF1365" i="3"/>
  <c r="AF1366" i="3"/>
  <c r="AF1367" i="3"/>
  <c r="AF1368" i="3"/>
  <c r="AF1369" i="3"/>
  <c r="AF1371" i="3"/>
  <c r="AF1373" i="3"/>
  <c r="AF1375" i="3"/>
  <c r="AF1377" i="3"/>
  <c r="AF1378" i="3"/>
  <c r="AF1379" i="3"/>
  <c r="AF1380" i="3"/>
  <c r="AF1381" i="3"/>
  <c r="AF1382" i="3"/>
  <c r="AF1383" i="3"/>
  <c r="AF1385" i="3"/>
  <c r="AF1386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3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6" i="3"/>
  <c r="AF1517" i="3"/>
  <c r="AF1518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8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10" i="3"/>
  <c r="AF1611" i="3"/>
  <c r="AF1612" i="3"/>
  <c r="AF1613" i="3"/>
  <c r="AF1614" i="3"/>
  <c r="AF1616" i="3"/>
  <c r="AF1617" i="3"/>
  <c r="AF1618" i="3"/>
  <c r="AF1619" i="3"/>
  <c r="AF1620" i="3"/>
  <c r="AF1621" i="3"/>
  <c r="AF1622" i="3"/>
  <c r="AF1623" i="3"/>
  <c r="AF1625" i="3"/>
  <c r="AF1626" i="3"/>
  <c r="AF1627" i="3"/>
  <c r="AF1628" i="3"/>
  <c r="AF1629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50" i="3"/>
  <c r="AF1651" i="3"/>
  <c r="AF1652" i="3"/>
  <c r="AF1653" i="3"/>
  <c r="AF1654" i="3"/>
  <c r="AF1655" i="3"/>
  <c r="AF1657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3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F711" i="7"/>
  <c r="F709" i="7"/>
  <c r="F707" i="7"/>
  <c r="F705" i="7"/>
  <c r="F703" i="7"/>
  <c r="U1724" i="3" s="1"/>
  <c r="F701" i="7"/>
  <c r="U1720" i="3" s="1"/>
  <c r="F699" i="7"/>
  <c r="U1716" i="3" s="1"/>
  <c r="F697" i="7"/>
  <c r="U1712" i="3" s="1"/>
  <c r="F669" i="7"/>
  <c r="U1654" i="3" s="1"/>
  <c r="F668" i="7"/>
  <c r="U1651" i="3" s="1"/>
  <c r="F666" i="7"/>
  <c r="U1645" i="3" s="1"/>
  <c r="F664" i="7"/>
  <c r="U1642" i="3" s="1"/>
  <c r="F637" i="7"/>
  <c r="U1568" i="3" s="1"/>
  <c r="F634" i="7"/>
  <c r="U1559" i="3" s="1"/>
  <c r="F633" i="7"/>
  <c r="U1557" i="3" s="1"/>
  <c r="F632" i="7"/>
  <c r="U1555" i="3" s="1"/>
  <c r="F631" i="7"/>
  <c r="U1553" i="3" s="1"/>
  <c r="F630" i="7"/>
  <c r="U1551" i="3" s="1"/>
  <c r="F629" i="7"/>
  <c r="U1549" i="3" s="1"/>
  <c r="F628" i="7"/>
  <c r="U1547" i="3" s="1"/>
  <c r="F627" i="7"/>
  <c r="U1545" i="3" s="1"/>
  <c r="F626" i="7"/>
  <c r="U1543" i="3" s="1"/>
  <c r="F625" i="7"/>
  <c r="U1541" i="3" s="1"/>
  <c r="F624" i="7"/>
  <c r="U1539" i="3" s="1"/>
  <c r="F623" i="7"/>
  <c r="U1537" i="3" s="1"/>
  <c r="F622" i="7"/>
  <c r="U1535" i="3" s="1"/>
  <c r="F621" i="7"/>
  <c r="U1533" i="3" s="1"/>
  <c r="F618" i="7"/>
  <c r="U1527" i="3" s="1"/>
  <c r="F617" i="7"/>
  <c r="U1525" i="3" s="1"/>
  <c r="F616" i="7"/>
  <c r="U1523" i="3" s="1"/>
  <c r="F614" i="7"/>
  <c r="U1519" i="3" s="1"/>
  <c r="F613" i="7"/>
  <c r="U1517" i="3" s="1"/>
  <c r="F611" i="7"/>
  <c r="U1513" i="3" s="1"/>
  <c r="F608" i="7"/>
  <c r="U1507" i="3" s="1"/>
  <c r="F607" i="7"/>
  <c r="U1505" i="3" s="1"/>
  <c r="F606" i="7"/>
  <c r="U1503" i="3" s="1"/>
  <c r="F604" i="7"/>
  <c r="U1499" i="3" s="1"/>
  <c r="F603" i="7"/>
  <c r="U1497" i="3" s="1"/>
  <c r="F602" i="7"/>
  <c r="U1495" i="3" s="1"/>
  <c r="F601" i="7"/>
  <c r="U1491" i="3" s="1"/>
  <c r="F600" i="7"/>
  <c r="U1489" i="3" s="1"/>
  <c r="F599" i="7"/>
  <c r="U1487" i="3" s="1"/>
  <c r="F598" i="7"/>
  <c r="U1485" i="3" s="1"/>
  <c r="F597" i="7"/>
  <c r="U1483" i="3" s="1"/>
  <c r="F595" i="7"/>
  <c r="U1479" i="3" s="1"/>
  <c r="F594" i="7"/>
  <c r="U1477" i="3" s="1"/>
  <c r="F592" i="7"/>
  <c r="U1473" i="3" s="1"/>
  <c r="F591" i="7"/>
  <c r="U1471" i="3" s="1"/>
  <c r="F590" i="7"/>
  <c r="U1469" i="3" s="1"/>
  <c r="F589" i="7"/>
  <c r="U1467" i="3" s="1"/>
  <c r="F587" i="7"/>
  <c r="U1463" i="3" s="1"/>
  <c r="F585" i="7"/>
  <c r="U1459" i="3" s="1"/>
  <c r="F584" i="7"/>
  <c r="U1455" i="3" s="1"/>
  <c r="F583" i="7"/>
  <c r="U1453" i="3" s="1"/>
  <c r="AR190" i="3" l="1"/>
  <c r="AR289" i="3"/>
  <c r="AR146" i="3"/>
  <c r="AR208" i="3"/>
  <c r="AR410" i="3"/>
  <c r="AR395" i="3"/>
  <c r="AR359" i="3"/>
  <c r="AR331" i="3"/>
  <c r="AR193" i="3"/>
  <c r="AR1157" i="3"/>
  <c r="AR352" i="3"/>
  <c r="AR335" i="3"/>
  <c r="AR197" i="3"/>
  <c r="AR391" i="3"/>
  <c r="AR162" i="3"/>
  <c r="AR163" i="3"/>
  <c r="AR218" i="3"/>
  <c r="AR174" i="3"/>
  <c r="AR384" i="3"/>
  <c r="P335" i="3"/>
  <c r="P410" i="3"/>
  <c r="P331" i="3"/>
  <c r="P1783" i="3"/>
  <c r="P359" i="3"/>
  <c r="P395" i="3"/>
  <c r="P384" i="3"/>
  <c r="P193" i="3"/>
  <c r="P289" i="3"/>
  <c r="P146" i="3"/>
  <c r="P218" i="3"/>
  <c r="P208" i="3"/>
  <c r="P352" i="3"/>
  <c r="P197" i="3"/>
  <c r="P174" i="3"/>
  <c r="P391" i="3"/>
  <c r="P190" i="3"/>
  <c r="P1788" i="3"/>
  <c r="P409" i="3"/>
  <c r="P330" i="3"/>
  <c r="P334" i="3"/>
  <c r="P1782" i="3"/>
  <c r="U1728" i="3"/>
  <c r="U1740" i="3"/>
  <c r="V1513" i="3"/>
  <c r="W1513" i="3"/>
  <c r="W1545" i="3"/>
  <c r="V1545" i="3"/>
  <c r="V1654" i="3"/>
  <c r="W1654" i="3"/>
  <c r="V1712" i="3"/>
  <c r="W1712" i="3"/>
  <c r="V1485" i="3"/>
  <c r="W1485" i="3"/>
  <c r="V1491" i="3"/>
  <c r="W1491" i="3"/>
  <c r="V1543" i="3"/>
  <c r="W1543" i="3"/>
  <c r="V1547" i="3"/>
  <c r="W1547" i="3"/>
  <c r="V1549" i="3"/>
  <c r="W1549" i="3"/>
  <c r="W1551" i="3"/>
  <c r="V1551" i="3"/>
  <c r="V1489" i="3"/>
  <c r="W1489" i="3"/>
  <c r="V1724" i="3"/>
  <c r="W1724" i="3"/>
  <c r="V1459" i="3"/>
  <c r="W1459" i="3"/>
  <c r="V1555" i="3"/>
  <c r="W1555" i="3"/>
  <c r="V1463" i="3"/>
  <c r="W1463" i="3"/>
  <c r="V1557" i="3"/>
  <c r="W1557" i="3"/>
  <c r="V1467" i="3"/>
  <c r="W1467" i="3"/>
  <c r="W1497" i="3"/>
  <c r="V1497" i="3"/>
  <c r="W1535" i="3"/>
  <c r="V1535" i="3"/>
  <c r="V1559" i="3"/>
  <c r="W1559" i="3"/>
  <c r="V1477" i="3"/>
  <c r="W1477" i="3"/>
  <c r="V1479" i="3"/>
  <c r="W1479" i="3"/>
  <c r="V1517" i="3"/>
  <c r="W1517" i="3"/>
  <c r="V1519" i="3"/>
  <c r="W1519" i="3"/>
  <c r="W1523" i="3"/>
  <c r="V1523" i="3"/>
  <c r="V1455" i="3"/>
  <c r="W1455" i="3"/>
  <c r="V1507" i="3"/>
  <c r="W1507" i="3"/>
  <c r="W1651" i="3"/>
  <c r="V1651" i="3"/>
  <c r="V1483" i="3"/>
  <c r="W1483" i="3"/>
  <c r="V1716" i="3"/>
  <c r="W1716" i="3"/>
  <c r="V1487" i="3"/>
  <c r="W1487" i="3"/>
  <c r="V1720" i="3"/>
  <c r="W1720" i="3"/>
  <c r="V1525" i="3"/>
  <c r="W1525" i="3"/>
  <c r="W1553" i="3"/>
  <c r="V1553" i="3"/>
  <c r="V1527" i="3"/>
  <c r="W1527" i="3"/>
  <c r="V1495" i="3"/>
  <c r="W1495" i="3"/>
  <c r="W1533" i="3"/>
  <c r="V1533" i="3"/>
  <c r="W1469" i="3"/>
  <c r="V1469" i="3"/>
  <c r="V1499" i="3"/>
  <c r="W1499" i="3"/>
  <c r="V1537" i="3"/>
  <c r="W1537" i="3"/>
  <c r="V1568" i="3"/>
  <c r="W1568" i="3"/>
  <c r="V1471" i="3"/>
  <c r="W1471" i="3"/>
  <c r="V1503" i="3"/>
  <c r="W1503" i="3"/>
  <c r="V1539" i="3"/>
  <c r="W1539" i="3"/>
  <c r="V1642" i="3"/>
  <c r="W1642" i="3"/>
  <c r="V1473" i="3"/>
  <c r="W1473" i="3"/>
  <c r="V1505" i="3"/>
  <c r="W1505" i="3"/>
  <c r="V1541" i="3"/>
  <c r="W1541" i="3"/>
  <c r="AC1645" i="3"/>
  <c r="V1645" i="3"/>
  <c r="X1645" i="3"/>
  <c r="W1645" i="3"/>
  <c r="T410" i="3"/>
  <c r="W162" i="3"/>
  <c r="W163" i="3"/>
  <c r="W193" i="3"/>
  <c r="W352" i="3"/>
  <c r="V384" i="3"/>
  <c r="S384" i="3"/>
  <c r="G162" i="3"/>
  <c r="G146" i="3"/>
  <c r="G190" i="3"/>
  <c r="G197" i="3"/>
  <c r="G218" i="3"/>
  <c r="G352" i="3"/>
  <c r="G395" i="3"/>
  <c r="G163" i="3"/>
  <c r="G335" i="3"/>
  <c r="G359" i="3"/>
  <c r="G174" i="3"/>
  <c r="G193" i="3"/>
  <c r="G208" i="3"/>
  <c r="G289" i="3"/>
  <c r="G391" i="3"/>
  <c r="AG1646" i="3"/>
  <c r="G331" i="3"/>
  <c r="G1157" i="3"/>
  <c r="G384" i="3"/>
  <c r="G410" i="3"/>
  <c r="AG182" i="3"/>
  <c r="AQ162" i="3"/>
  <c r="AQ163" i="3"/>
  <c r="AC384" i="3"/>
  <c r="X384" i="3"/>
  <c r="AQ384" i="3"/>
  <c r="W384" i="3"/>
  <c r="I384" i="3"/>
  <c r="T384" i="3"/>
  <c r="V359" i="3"/>
  <c r="S359" i="3"/>
  <c r="AC359" i="3"/>
  <c r="X359" i="3"/>
  <c r="AQ359" i="3"/>
  <c r="W359" i="3"/>
  <c r="I359" i="3"/>
  <c r="T359" i="3"/>
  <c r="V1157" i="3"/>
  <c r="S1157" i="3"/>
  <c r="AC1157" i="3"/>
  <c r="X1157" i="3"/>
  <c r="AQ1157" i="3"/>
  <c r="W1157" i="3"/>
  <c r="I1157" i="3"/>
  <c r="T1157" i="3"/>
  <c r="V391" i="3"/>
  <c r="S391" i="3"/>
  <c r="V395" i="3"/>
  <c r="S395" i="3"/>
  <c r="AC395" i="3"/>
  <c r="X395" i="3"/>
  <c r="AQ395" i="3"/>
  <c r="W395" i="3"/>
  <c r="I395" i="3"/>
  <c r="T395" i="3"/>
  <c r="AC391" i="3"/>
  <c r="X391" i="3"/>
  <c r="AQ391" i="3"/>
  <c r="W391" i="3"/>
  <c r="I391" i="3"/>
  <c r="T391" i="3"/>
  <c r="V352" i="3"/>
  <c r="S352" i="3"/>
  <c r="AC352" i="3"/>
  <c r="X352" i="3"/>
  <c r="AQ352" i="3"/>
  <c r="I352" i="3"/>
  <c r="T352" i="3"/>
  <c r="V289" i="3"/>
  <c r="S289" i="3"/>
  <c r="AC289" i="3"/>
  <c r="X289" i="3"/>
  <c r="AQ289" i="3"/>
  <c r="W289" i="3"/>
  <c r="I289" i="3"/>
  <c r="T289" i="3"/>
  <c r="V218" i="3"/>
  <c r="S218" i="3"/>
  <c r="AC218" i="3"/>
  <c r="X218" i="3"/>
  <c r="AQ218" i="3"/>
  <c r="W218" i="3"/>
  <c r="I218" i="3"/>
  <c r="T218" i="3"/>
  <c r="V208" i="3"/>
  <c r="S208" i="3"/>
  <c r="AC208" i="3"/>
  <c r="X208" i="3"/>
  <c r="AQ208" i="3"/>
  <c r="W208" i="3"/>
  <c r="I208" i="3"/>
  <c r="T208" i="3"/>
  <c r="V197" i="3"/>
  <c r="S197" i="3"/>
  <c r="AC197" i="3"/>
  <c r="X197" i="3"/>
  <c r="AQ197" i="3"/>
  <c r="W197" i="3"/>
  <c r="I197" i="3"/>
  <c r="T197" i="3"/>
  <c r="V193" i="3"/>
  <c r="S193" i="3"/>
  <c r="AC193" i="3"/>
  <c r="X193" i="3"/>
  <c r="AQ193" i="3"/>
  <c r="I193" i="3"/>
  <c r="T193" i="3"/>
  <c r="V190" i="3"/>
  <c r="S190" i="3"/>
  <c r="AC190" i="3"/>
  <c r="X190" i="3"/>
  <c r="AQ190" i="3"/>
  <c r="W190" i="3"/>
  <c r="I190" i="3"/>
  <c r="T190" i="3"/>
  <c r="V174" i="3"/>
  <c r="S174" i="3"/>
  <c r="AC174" i="3"/>
  <c r="X174" i="3"/>
  <c r="AQ174" i="3"/>
  <c r="W174" i="3"/>
  <c r="I174" i="3"/>
  <c r="T174" i="3"/>
  <c r="V146" i="3"/>
  <c r="S146" i="3"/>
  <c r="AC146" i="3"/>
  <c r="X146" i="3"/>
  <c r="AQ146" i="3"/>
  <c r="W146" i="3"/>
  <c r="I146" i="3"/>
  <c r="T146" i="3"/>
  <c r="X162" i="3"/>
  <c r="S163" i="3"/>
  <c r="AH410" i="3"/>
  <c r="V162" i="3"/>
  <c r="I162" i="3"/>
  <c r="I163" i="3"/>
  <c r="T163" i="3"/>
  <c r="T162" i="3"/>
  <c r="V163" i="3"/>
  <c r="X163" i="3"/>
  <c r="AC162" i="3"/>
  <c r="AC163" i="3"/>
  <c r="S162" i="3"/>
  <c r="V410" i="3"/>
  <c r="AG410" i="3"/>
  <c r="S410" i="3"/>
  <c r="AC410" i="3"/>
  <c r="X410" i="3"/>
  <c r="AQ410" i="3"/>
  <c r="W410" i="3"/>
  <c r="I410" i="3"/>
  <c r="V335" i="3"/>
  <c r="S335" i="3"/>
  <c r="AC335" i="3"/>
  <c r="X335" i="3"/>
  <c r="AQ335" i="3"/>
  <c r="W335" i="3"/>
  <c r="I335" i="3"/>
  <c r="T335" i="3"/>
  <c r="V331" i="3"/>
  <c r="S331" i="3"/>
  <c r="AC331" i="3"/>
  <c r="X331" i="3"/>
  <c r="AQ331" i="3"/>
  <c r="W331" i="3"/>
  <c r="I331" i="3"/>
  <c r="T331" i="3"/>
  <c r="AG1143" i="3"/>
  <c r="AG1645" i="3"/>
  <c r="AH1645" i="3"/>
  <c r="AG354" i="3"/>
  <c r="AG269" i="3"/>
  <c r="AG397" i="3"/>
  <c r="AG367" i="3"/>
  <c r="AG409" i="3"/>
  <c r="AG1359" i="3"/>
  <c r="AG68" i="3"/>
  <c r="AG54" i="3"/>
  <c r="AH1646" i="3"/>
  <c r="AG89" i="3"/>
  <c r="AG40" i="3"/>
  <c r="AH1648" i="3"/>
  <c r="AG1648" i="3"/>
  <c r="AH1647" i="3"/>
  <c r="AG1647" i="3"/>
  <c r="AG413" i="3"/>
  <c r="AG321" i="3"/>
  <c r="AG94" i="3"/>
  <c r="AJ1743" i="3"/>
  <c r="R1743" i="3" a="1"/>
  <c r="R1743" i="3" s="1"/>
  <c r="O1743" i="3"/>
  <c r="AJ1742" i="3"/>
  <c r="O1742" i="3"/>
  <c r="AJ1741" i="3"/>
  <c r="R1741" i="3" a="1"/>
  <c r="R1741" i="3" s="1"/>
  <c r="O1741" i="3"/>
  <c r="AJ1740" i="3"/>
  <c r="O1740" i="3"/>
  <c r="AJ1739" i="3"/>
  <c r="R1739" i="3" a="1"/>
  <c r="R1739" i="3" s="1"/>
  <c r="O1739" i="3"/>
  <c r="AJ1738" i="3"/>
  <c r="O1738" i="3"/>
  <c r="AJ1737" i="3"/>
  <c r="R1737" i="3" a="1"/>
  <c r="R1737" i="3" s="1"/>
  <c r="O1737" i="3"/>
  <c r="AJ1736" i="3"/>
  <c r="O1736" i="3"/>
  <c r="AJ1735" i="3"/>
  <c r="R1735" i="3" a="1"/>
  <c r="R1735" i="3" s="1"/>
  <c r="O1735" i="3"/>
  <c r="AJ1734" i="3"/>
  <c r="O1734" i="3"/>
  <c r="AJ1733" i="3"/>
  <c r="R1733" i="3" a="1"/>
  <c r="R1733" i="3" s="1"/>
  <c r="O1733" i="3"/>
  <c r="AJ1732" i="3"/>
  <c r="O1732" i="3"/>
  <c r="AJ1731" i="3"/>
  <c r="R1731" i="3" a="1"/>
  <c r="R1731" i="3" s="1"/>
  <c r="O1731" i="3"/>
  <c r="AJ1730" i="3"/>
  <c r="O1730" i="3"/>
  <c r="AJ1729" i="3"/>
  <c r="R1729" i="3" a="1"/>
  <c r="R1729" i="3" s="1"/>
  <c r="O1729" i="3"/>
  <c r="AJ1728" i="3"/>
  <c r="O1728" i="3"/>
  <c r="C381" i="5"/>
  <c r="C383" i="5"/>
  <c r="C382" i="5"/>
  <c r="C380" i="5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712" i="7"/>
  <c r="F710" i="7"/>
  <c r="F708" i="7"/>
  <c r="F706" i="7"/>
  <c r="M365" i="8"/>
  <c r="L365" i="8"/>
  <c r="M364" i="8"/>
  <c r="L364" i="8"/>
  <c r="M363" i="8"/>
  <c r="L363" i="8"/>
  <c r="M362" i="8"/>
  <c r="L362" i="8"/>
  <c r="F704" i="7"/>
  <c r="U1726" i="3" s="1"/>
  <c r="AJ1727" i="3"/>
  <c r="R1727" i="3" a="1"/>
  <c r="R1727" i="3" s="1"/>
  <c r="O1727" i="3"/>
  <c r="AJ1726" i="3"/>
  <c r="O1726" i="3"/>
  <c r="F1727" i="3"/>
  <c r="F1726" i="3"/>
  <c r="AJ1725" i="3"/>
  <c r="R1725" i="3" a="1"/>
  <c r="R1725" i="3" s="1"/>
  <c r="O1725" i="3"/>
  <c r="AJ1724" i="3"/>
  <c r="O1724" i="3"/>
  <c r="F1725" i="3"/>
  <c r="F1724" i="3"/>
  <c r="D1724" i="3"/>
  <c r="F702" i="7"/>
  <c r="U1722" i="3" s="1"/>
  <c r="AJ1723" i="3"/>
  <c r="R1723" i="3" a="1"/>
  <c r="R1723" i="3" s="1"/>
  <c r="O1723" i="3"/>
  <c r="AJ1722" i="3"/>
  <c r="O1722" i="3"/>
  <c r="AJ1721" i="3"/>
  <c r="R1721" i="3" a="1"/>
  <c r="R1721" i="3" s="1"/>
  <c r="O1721" i="3"/>
  <c r="AJ1720" i="3"/>
  <c r="O1720" i="3"/>
  <c r="F1723" i="3"/>
  <c r="F1722" i="3"/>
  <c r="F1721" i="3"/>
  <c r="F1720" i="3"/>
  <c r="F700" i="7"/>
  <c r="U1718" i="3" s="1"/>
  <c r="AJ1719" i="3"/>
  <c r="R1719" i="3" a="1"/>
  <c r="R1719" i="3" s="1"/>
  <c r="O1719" i="3"/>
  <c r="AJ1718" i="3"/>
  <c r="O1718" i="3"/>
  <c r="AJ1717" i="3"/>
  <c r="R1717" i="3" a="1"/>
  <c r="R1717" i="3" s="1"/>
  <c r="O1717" i="3"/>
  <c r="AJ1716" i="3"/>
  <c r="O1716" i="3"/>
  <c r="F1719" i="3"/>
  <c r="F1718" i="3"/>
  <c r="F1717" i="3"/>
  <c r="F1716" i="3"/>
  <c r="C379" i="5"/>
  <c r="L361" i="8"/>
  <c r="M361" i="8"/>
  <c r="R1716" i="3" l="1" a="1"/>
  <c r="R1716" i="3" s="1"/>
  <c r="X1716" i="3" s="1"/>
  <c r="R1730" i="3" a="1"/>
  <c r="R1730" i="3" s="1"/>
  <c r="X1730" i="3" s="1"/>
  <c r="R1732" i="3" a="1"/>
  <c r="R1732" i="3" s="1"/>
  <c r="X1732" i="3" s="1"/>
  <c r="R1738" i="3" a="1"/>
  <c r="R1738" i="3" s="1"/>
  <c r="S1738" i="3" s="1"/>
  <c r="R1742" i="3" a="1"/>
  <c r="R1742" i="3" s="1"/>
  <c r="AQ1742" i="3" s="1"/>
  <c r="Y1645" i="3"/>
  <c r="AD1645" i="3"/>
  <c r="Q1782" i="3"/>
  <c r="Q409" i="3"/>
  <c r="Q1788" i="3"/>
  <c r="Q1783" i="3"/>
  <c r="Q410" i="3"/>
  <c r="AR1725" i="3"/>
  <c r="AR1738" i="3"/>
  <c r="AR1728" i="3"/>
  <c r="AR1740" i="3"/>
  <c r="AR1739" i="3"/>
  <c r="AR1729" i="3"/>
  <c r="AR1741" i="3"/>
  <c r="AR1730" i="3"/>
  <c r="AR1717" i="3"/>
  <c r="AR1743" i="3"/>
  <c r="AR1718" i="3"/>
  <c r="AR1726" i="3"/>
  <c r="AR1732" i="3"/>
  <c r="AR1719" i="3"/>
  <c r="AR1720" i="3"/>
  <c r="AR1727" i="3"/>
  <c r="AR1733" i="3"/>
  <c r="AR1742" i="3"/>
  <c r="AR1731" i="3"/>
  <c r="AR1721" i="3"/>
  <c r="AR1734" i="3"/>
  <c r="AR1722" i="3"/>
  <c r="AR1723" i="3"/>
  <c r="AR1736" i="3"/>
  <c r="AR1716" i="3"/>
  <c r="AR1735" i="3"/>
  <c r="AR1724" i="3"/>
  <c r="AR1737" i="3"/>
  <c r="AB1782" i="3"/>
  <c r="AB410" i="3"/>
  <c r="AB1788" i="3"/>
  <c r="AB1783" i="3"/>
  <c r="M146" i="3" a="1"/>
  <c r="M146" i="3" s="1"/>
  <c r="M193" i="3" a="1"/>
  <c r="M193" i="3" s="1"/>
  <c r="M1157" i="3" a="1"/>
  <c r="M1157" i="3" s="1"/>
  <c r="M208" i="3" a="1"/>
  <c r="M208" i="3" s="1"/>
  <c r="M352" i="3" a="1"/>
  <c r="M352" i="3" s="1"/>
  <c r="M335" i="3" a="1"/>
  <c r="M335" i="3" s="1"/>
  <c r="M190" i="3" a="1"/>
  <c r="M190" i="3" s="1"/>
  <c r="M395" i="3" a="1"/>
  <c r="M395" i="3" s="1"/>
  <c r="M384" i="3" a="1"/>
  <c r="M384" i="3" s="1"/>
  <c r="M163" i="3" a="1"/>
  <c r="M163" i="3" s="1"/>
  <c r="M162" i="3" a="1"/>
  <c r="M162" i="3" s="1"/>
  <c r="M289" i="3" a="1"/>
  <c r="M289" i="3" s="1"/>
  <c r="M197" i="3" a="1"/>
  <c r="M197" i="3" s="1"/>
  <c r="M331" i="3" a="1"/>
  <c r="M331" i="3" s="1"/>
  <c r="M174" i="3" a="1"/>
  <c r="M174" i="3" s="1"/>
  <c r="M359" i="3" a="1"/>
  <c r="M359" i="3" s="1"/>
  <c r="M391" i="3" a="1"/>
  <c r="M391" i="3" s="1"/>
  <c r="M410" i="3" a="1"/>
  <c r="M410" i="3" s="1"/>
  <c r="M218" i="3" a="1"/>
  <c r="M218" i="3" s="1"/>
  <c r="V1740" i="3"/>
  <c r="W1740" i="3"/>
  <c r="W1728" i="3"/>
  <c r="V1728" i="3"/>
  <c r="W1722" i="3"/>
  <c r="V1722" i="3"/>
  <c r="W1726" i="3"/>
  <c r="V1726" i="3"/>
  <c r="V1718" i="3"/>
  <c r="W1718" i="3"/>
  <c r="AC1733" i="3"/>
  <c r="X1733" i="3"/>
  <c r="X1727" i="3"/>
  <c r="AC1727" i="3"/>
  <c r="X1735" i="3"/>
  <c r="AC1735" i="3"/>
  <c r="X1743" i="3"/>
  <c r="AC1743" i="3"/>
  <c r="X1721" i="3"/>
  <c r="AC1721" i="3"/>
  <c r="X1719" i="3"/>
  <c r="AC1719" i="3"/>
  <c r="AC1717" i="3"/>
  <c r="X1717" i="3"/>
  <c r="X1729" i="3"/>
  <c r="AC1729" i="3"/>
  <c r="X1731" i="3"/>
  <c r="AC1731" i="3"/>
  <c r="X1725" i="3"/>
  <c r="AC1725" i="3"/>
  <c r="AC1723" i="3"/>
  <c r="X1723" i="3"/>
  <c r="X1741" i="3"/>
  <c r="AC1741" i="3"/>
  <c r="X1739" i="3"/>
  <c r="AC1739" i="3"/>
  <c r="X1737" i="3"/>
  <c r="AC1737" i="3"/>
  <c r="D1725" i="3"/>
  <c r="S1741" i="3"/>
  <c r="Y331" i="3"/>
  <c r="AD331" i="3"/>
  <c r="Y335" i="3"/>
  <c r="AD335" i="3"/>
  <c r="Y410" i="3"/>
  <c r="AD410" i="3"/>
  <c r="AD163" i="3"/>
  <c r="AD162" i="3"/>
  <c r="Y163" i="3"/>
  <c r="Y162" i="3"/>
  <c r="Y146" i="3"/>
  <c r="AD146" i="3"/>
  <c r="Y174" i="3"/>
  <c r="AD174" i="3"/>
  <c r="Y190" i="3"/>
  <c r="AD190" i="3"/>
  <c r="Y193" i="3"/>
  <c r="AD193" i="3"/>
  <c r="Y197" i="3"/>
  <c r="AD197" i="3"/>
  <c r="Y208" i="3"/>
  <c r="AD208" i="3"/>
  <c r="Y218" i="3"/>
  <c r="AD218" i="3"/>
  <c r="Y289" i="3"/>
  <c r="AD289" i="3"/>
  <c r="Y352" i="3"/>
  <c r="AD352" i="3"/>
  <c r="Y391" i="3"/>
  <c r="AD391" i="3"/>
  <c r="Y395" i="3"/>
  <c r="AD395" i="3"/>
  <c r="Y1157" i="3"/>
  <c r="AD1157" i="3"/>
  <c r="Y359" i="3"/>
  <c r="AD359" i="3"/>
  <c r="Y384" i="3"/>
  <c r="AD384" i="3"/>
  <c r="G1725" i="3"/>
  <c r="G1734" i="3"/>
  <c r="G1717" i="3"/>
  <c r="G1733" i="3"/>
  <c r="G1735" i="3"/>
  <c r="G1718" i="3"/>
  <c r="G1719" i="3"/>
  <c r="G1720" i="3"/>
  <c r="G1737" i="3"/>
  <c r="G1736" i="3"/>
  <c r="G1721" i="3"/>
  <c r="G1738" i="3"/>
  <c r="G1722" i="3"/>
  <c r="G1739" i="3"/>
  <c r="G1728" i="3"/>
  <c r="G1727" i="3"/>
  <c r="G1724" i="3"/>
  <c r="G1723" i="3"/>
  <c r="G1740" i="3"/>
  <c r="G1729" i="3"/>
  <c r="G1741" i="3"/>
  <c r="K163" i="3"/>
  <c r="G1716" i="3"/>
  <c r="G1726" i="3"/>
  <c r="G1730" i="3"/>
  <c r="G1742" i="3"/>
  <c r="N162" i="3"/>
  <c r="G1731" i="3"/>
  <c r="G1743" i="3"/>
  <c r="G1732" i="3"/>
  <c r="R1734" i="3" a="1"/>
  <c r="R1734" i="3" s="1"/>
  <c r="K384" i="3"/>
  <c r="N384" i="3"/>
  <c r="K359" i="3"/>
  <c r="N359" i="3"/>
  <c r="K1157" i="3"/>
  <c r="N1157" i="3"/>
  <c r="K395" i="3"/>
  <c r="N395" i="3"/>
  <c r="K391" i="3"/>
  <c r="N391" i="3"/>
  <c r="K352" i="3"/>
  <c r="N352" i="3"/>
  <c r="K289" i="3"/>
  <c r="N289" i="3"/>
  <c r="K218" i="3"/>
  <c r="N218" i="3"/>
  <c r="K208" i="3"/>
  <c r="N208" i="3"/>
  <c r="K197" i="3"/>
  <c r="N197" i="3"/>
  <c r="K193" i="3"/>
  <c r="N193" i="3"/>
  <c r="K190" i="3"/>
  <c r="N190" i="3"/>
  <c r="K174" i="3"/>
  <c r="N174" i="3"/>
  <c r="K146" i="3"/>
  <c r="N146" i="3"/>
  <c r="K162" i="3"/>
  <c r="N163" i="3"/>
  <c r="K410" i="3"/>
  <c r="K335" i="3"/>
  <c r="N335" i="3"/>
  <c r="K331" i="3"/>
  <c r="N331" i="3"/>
  <c r="I1731" i="3"/>
  <c r="R1736" i="3" a="1"/>
  <c r="R1736" i="3" s="1"/>
  <c r="R1728" i="3" a="1"/>
  <c r="R1728" i="3" s="1"/>
  <c r="R1740" i="3" a="1"/>
  <c r="R1740" i="3" s="1"/>
  <c r="I1729" i="3"/>
  <c r="I1730" i="3"/>
  <c r="I1728" i="3"/>
  <c r="I1737" i="3"/>
  <c r="I1735" i="3"/>
  <c r="I1738" i="3"/>
  <c r="I1739" i="3"/>
  <c r="I1741" i="3"/>
  <c r="I1743" i="3"/>
  <c r="I1733" i="3"/>
  <c r="I1734" i="3"/>
  <c r="I1736" i="3"/>
  <c r="I1740" i="3"/>
  <c r="I1732" i="3"/>
  <c r="I1742" i="3"/>
  <c r="T1731" i="3"/>
  <c r="S1731" i="3"/>
  <c r="AQ1731" i="3"/>
  <c r="AQ1743" i="3"/>
  <c r="T1743" i="3"/>
  <c r="S1743" i="3"/>
  <c r="AQ1729" i="3"/>
  <c r="T1729" i="3"/>
  <c r="S1729" i="3"/>
  <c r="AQ1737" i="3"/>
  <c r="T1737" i="3"/>
  <c r="S1737" i="3"/>
  <c r="S1735" i="3"/>
  <c r="T1735" i="3"/>
  <c r="T1741" i="3"/>
  <c r="S1733" i="3"/>
  <c r="AQ1735" i="3"/>
  <c r="AQ1741" i="3"/>
  <c r="S1739" i="3"/>
  <c r="T1733" i="3"/>
  <c r="T1739" i="3"/>
  <c r="AQ1733" i="3"/>
  <c r="AQ1739" i="3"/>
  <c r="I1724" i="3"/>
  <c r="I1727" i="3"/>
  <c r="I1726" i="3"/>
  <c r="I1725" i="3"/>
  <c r="R1718" i="3" a="1"/>
  <c r="R1718" i="3" s="1"/>
  <c r="AQ1727" i="3"/>
  <c r="T1727" i="3"/>
  <c r="S1727" i="3"/>
  <c r="S1725" i="3"/>
  <c r="AQ1725" i="3"/>
  <c r="T1725" i="3"/>
  <c r="I1721" i="3"/>
  <c r="I1720" i="3"/>
  <c r="I1723" i="3"/>
  <c r="I1722" i="3"/>
  <c r="S1721" i="3"/>
  <c r="AQ1721" i="3"/>
  <c r="T1721" i="3"/>
  <c r="AQ1723" i="3"/>
  <c r="T1723" i="3"/>
  <c r="S1723" i="3"/>
  <c r="I1716" i="3"/>
  <c r="I1719" i="3"/>
  <c r="I1717" i="3"/>
  <c r="I1718" i="3"/>
  <c r="AQ1716" i="3"/>
  <c r="T1716" i="3"/>
  <c r="S1716" i="3"/>
  <c r="S1717" i="3"/>
  <c r="AQ1717" i="3"/>
  <c r="T1717" i="3"/>
  <c r="AQ1719" i="3"/>
  <c r="T1719" i="3"/>
  <c r="S1719" i="3"/>
  <c r="AC1716" i="3" l="1"/>
  <c r="AD1716" i="3" s="1"/>
  <c r="T1730" i="3"/>
  <c r="S1730" i="3"/>
  <c r="AC1730" i="3"/>
  <c r="AD1730" i="3" s="1"/>
  <c r="AQ1730" i="3"/>
  <c r="X1742" i="3"/>
  <c r="Y1742" i="3" s="1"/>
  <c r="S1742" i="3"/>
  <c r="AC1742" i="3"/>
  <c r="AD1742" i="3" s="1"/>
  <c r="T1742" i="3"/>
  <c r="T1732" i="3"/>
  <c r="S1732" i="3"/>
  <c r="AC1732" i="3"/>
  <c r="AD1732" i="3" s="1"/>
  <c r="AQ1732" i="3"/>
  <c r="T1738" i="3"/>
  <c r="AI410" i="3"/>
  <c r="AI1783" i="3"/>
  <c r="AI1782" i="3"/>
  <c r="AI1788" i="3"/>
  <c r="Q331" i="3"/>
  <c r="Q335" i="3"/>
  <c r="Q163" i="3"/>
  <c r="Q146" i="3"/>
  <c r="Q174" i="3"/>
  <c r="Q190" i="3"/>
  <c r="Q193" i="3"/>
  <c r="Q197" i="3"/>
  <c r="Q208" i="3"/>
  <c r="Q218" i="3"/>
  <c r="Q289" i="3"/>
  <c r="Q352" i="3"/>
  <c r="Q391" i="3"/>
  <c r="Q395" i="3"/>
  <c r="Q1157" i="3"/>
  <c r="Q359" i="3"/>
  <c r="Q384" i="3"/>
  <c r="Q162" i="3"/>
  <c r="AD1737" i="3"/>
  <c r="Y1737" i="3"/>
  <c r="AD1739" i="3"/>
  <c r="Y1739" i="3"/>
  <c r="AD1741" i="3"/>
  <c r="Y1741" i="3"/>
  <c r="Y1723" i="3"/>
  <c r="AD1723" i="3"/>
  <c r="AD1725" i="3"/>
  <c r="Y1725" i="3"/>
  <c r="AD1731" i="3"/>
  <c r="Y1731" i="3"/>
  <c r="AD1729" i="3"/>
  <c r="Y1729" i="3"/>
  <c r="Y1717" i="3"/>
  <c r="AD1717" i="3"/>
  <c r="AD1719" i="3"/>
  <c r="Y1719" i="3"/>
  <c r="AD1721" i="3"/>
  <c r="Y1721" i="3"/>
  <c r="AD1743" i="3"/>
  <c r="Y1743" i="3"/>
  <c r="AD1735" i="3"/>
  <c r="Y1735" i="3"/>
  <c r="AD1727" i="3"/>
  <c r="Y1727" i="3"/>
  <c r="Y1716" i="3"/>
  <c r="Y1732" i="3"/>
  <c r="Y1730" i="3"/>
  <c r="Y1733" i="3"/>
  <c r="AD1733" i="3"/>
  <c r="M1741" i="3" a="1"/>
  <c r="M1741" i="3" s="1"/>
  <c r="M1739" i="3" a="1"/>
  <c r="M1739" i="3" s="1"/>
  <c r="M1731" i="3" a="1"/>
  <c r="M1731" i="3" s="1"/>
  <c r="M1738" i="3" a="1"/>
  <c r="M1738" i="3" s="1"/>
  <c r="M1743" i="3" a="1"/>
  <c r="M1743" i="3" s="1"/>
  <c r="M1735" i="3" a="1"/>
  <c r="M1735" i="3" s="1"/>
  <c r="M1725" i="3" a="1"/>
  <c r="M1725" i="3" s="1"/>
  <c r="M1737" i="3" a="1"/>
  <c r="M1737" i="3" s="1"/>
  <c r="M1718" i="3" a="1"/>
  <c r="M1718" i="3" s="1"/>
  <c r="M1742" i="3" a="1"/>
  <c r="M1742" i="3" s="1"/>
  <c r="M1728" i="3" a="1"/>
  <c r="M1728" i="3" s="1"/>
  <c r="M1723" i="3" a="1"/>
  <c r="M1723" i="3" s="1"/>
  <c r="M1727" i="3" a="1"/>
  <c r="M1727" i="3" s="1"/>
  <c r="M1732" i="3" a="1"/>
  <c r="M1732" i="3" s="1"/>
  <c r="M1730" i="3" a="1"/>
  <c r="M1730" i="3" s="1"/>
  <c r="M1729" i="3" a="1"/>
  <c r="M1729" i="3" s="1"/>
  <c r="M1740" i="3" a="1"/>
  <c r="M1740" i="3" s="1"/>
  <c r="M1717" i="3" a="1"/>
  <c r="M1717" i="3" s="1"/>
  <c r="M1721" i="3" a="1"/>
  <c r="M1721" i="3" s="1"/>
  <c r="M1736" i="3" a="1"/>
  <c r="M1736" i="3" s="1"/>
  <c r="M1719" i="3" a="1"/>
  <c r="M1719" i="3" s="1"/>
  <c r="M1734" i="3" a="1"/>
  <c r="M1734" i="3" s="1"/>
  <c r="M1716" i="3" a="1"/>
  <c r="M1716" i="3" s="1"/>
  <c r="M1733" i="3" a="1"/>
  <c r="M1733" i="3" s="1"/>
  <c r="AC1728" i="3"/>
  <c r="X1728" i="3"/>
  <c r="AC1718" i="3"/>
  <c r="X1718" i="3"/>
  <c r="T1734" i="3"/>
  <c r="X1734" i="3"/>
  <c r="AC1734" i="3"/>
  <c r="AC1740" i="3"/>
  <c r="X1740" i="3"/>
  <c r="S1734" i="3"/>
  <c r="AQ1740" i="3"/>
  <c r="S1728" i="3"/>
  <c r="AQ1734" i="3"/>
  <c r="D1726" i="3"/>
  <c r="L190" i="3"/>
  <c r="L218" i="3"/>
  <c r="L395" i="3"/>
  <c r="K1741" i="3"/>
  <c r="L410" i="3"/>
  <c r="K1739" i="3"/>
  <c r="K1738" i="3"/>
  <c r="AA163" i="3"/>
  <c r="K1734" i="3"/>
  <c r="K1735" i="3"/>
  <c r="K1720" i="3"/>
  <c r="K1737" i="3"/>
  <c r="L193" i="3"/>
  <c r="L289" i="3"/>
  <c r="L1157" i="3"/>
  <c r="L162" i="3"/>
  <c r="K1732" i="3"/>
  <c r="K1728" i="3"/>
  <c r="K1717" i="3"/>
  <c r="K1740" i="3"/>
  <c r="L146" i="3"/>
  <c r="L197" i="3"/>
  <c r="L352" i="3"/>
  <c r="L359" i="3"/>
  <c r="L163" i="3"/>
  <c r="L331" i="3"/>
  <c r="K1736" i="3"/>
  <c r="L335" i="3"/>
  <c r="K1733" i="3"/>
  <c r="K1730" i="3"/>
  <c r="L174" i="3"/>
  <c r="L208" i="3"/>
  <c r="L391" i="3"/>
  <c r="L384" i="3"/>
  <c r="K1729" i="3"/>
  <c r="K1719" i="3"/>
  <c r="K1724" i="3"/>
  <c r="N1723" i="3"/>
  <c r="K1723" i="3"/>
  <c r="K1726" i="3"/>
  <c r="K1731" i="3"/>
  <c r="K1721" i="3"/>
  <c r="K1742" i="3"/>
  <c r="K1743" i="3"/>
  <c r="K1722" i="3"/>
  <c r="K1718" i="3"/>
  <c r="K1725" i="3"/>
  <c r="K1716" i="3"/>
  <c r="N1727" i="3"/>
  <c r="K1727" i="3"/>
  <c r="AA384" i="3"/>
  <c r="AG384" i="3"/>
  <c r="AA359" i="3"/>
  <c r="AG359" i="3"/>
  <c r="AA1157" i="3"/>
  <c r="AG1157" i="3"/>
  <c r="AA395" i="3"/>
  <c r="AG395" i="3"/>
  <c r="AA391" i="3"/>
  <c r="AG391" i="3"/>
  <c r="AA352" i="3"/>
  <c r="AG352" i="3"/>
  <c r="AA289" i="3"/>
  <c r="AG289" i="3"/>
  <c r="AA218" i="3"/>
  <c r="AG218" i="3"/>
  <c r="AA208" i="3"/>
  <c r="AG208" i="3"/>
  <c r="AA197" i="3"/>
  <c r="AG197" i="3"/>
  <c r="AA193" i="3"/>
  <c r="AG193" i="3"/>
  <c r="AA190" i="3"/>
  <c r="AG190" i="3"/>
  <c r="AA174" i="3"/>
  <c r="AG174" i="3"/>
  <c r="AA146" i="3"/>
  <c r="AG146" i="3"/>
  <c r="AG162" i="3"/>
  <c r="AG163" i="3"/>
  <c r="AA162" i="3"/>
  <c r="AA335" i="3"/>
  <c r="AG335" i="3"/>
  <c r="AA331" i="3"/>
  <c r="AG331" i="3"/>
  <c r="N1731" i="3"/>
  <c r="S1736" i="3"/>
  <c r="T1736" i="3"/>
  <c r="T1728" i="3"/>
  <c r="AQ1728" i="3"/>
  <c r="S1740" i="3"/>
  <c r="T1740" i="3"/>
  <c r="N1741" i="3"/>
  <c r="N1739" i="3"/>
  <c r="N1735" i="3"/>
  <c r="N1737" i="3"/>
  <c r="N1733" i="3"/>
  <c r="N1729" i="3"/>
  <c r="N1743" i="3"/>
  <c r="N1725" i="3"/>
  <c r="AQ1718" i="3"/>
  <c r="T1718" i="3"/>
  <c r="S1718" i="3"/>
  <c r="N1721" i="3"/>
  <c r="N1717" i="3"/>
  <c r="N1719" i="3"/>
  <c r="Y1740" i="3" l="1"/>
  <c r="AD1740" i="3"/>
  <c r="AD1734" i="3"/>
  <c r="Y1734" i="3"/>
  <c r="Y1718" i="3"/>
  <c r="AD1718" i="3"/>
  <c r="Y1728" i="3"/>
  <c r="AD1728" i="3"/>
  <c r="AA1727" i="3"/>
  <c r="L1737" i="3"/>
  <c r="AA1725" i="3"/>
  <c r="AA1717" i="3"/>
  <c r="AA1741" i="3"/>
  <c r="AA1723" i="3"/>
  <c r="AA1743" i="3"/>
  <c r="AA1721" i="3"/>
  <c r="AA1737" i="3"/>
  <c r="L1739" i="3"/>
  <c r="AA1729" i="3"/>
  <c r="AA1731" i="3"/>
  <c r="AA1733" i="3"/>
  <c r="AA1735" i="3"/>
  <c r="AA1719" i="3"/>
  <c r="AA1739" i="3"/>
  <c r="L1736" i="3"/>
  <c r="AG1725" i="3"/>
  <c r="AH163" i="3"/>
  <c r="L1720" i="3"/>
  <c r="L1729" i="3"/>
  <c r="L1717" i="3"/>
  <c r="L1740" i="3"/>
  <c r="L1733" i="3"/>
  <c r="L1728" i="3"/>
  <c r="L1723" i="3"/>
  <c r="L1741" i="3"/>
  <c r="L1730" i="3"/>
  <c r="D1727" i="3"/>
  <c r="L1734" i="3"/>
  <c r="L1732" i="3"/>
  <c r="L1735" i="3"/>
  <c r="L1719" i="3"/>
  <c r="L1738" i="3"/>
  <c r="N1730" i="3"/>
  <c r="AG1741" i="3"/>
  <c r="L1716" i="3"/>
  <c r="N1716" i="3"/>
  <c r="N1734" i="3"/>
  <c r="L1725" i="3"/>
  <c r="L1726" i="3"/>
  <c r="N1732" i="3"/>
  <c r="N1738" i="3"/>
  <c r="L1718" i="3"/>
  <c r="AG1735" i="3"/>
  <c r="L1731" i="3"/>
  <c r="AG1719" i="3"/>
  <c r="AG1717" i="3"/>
  <c r="N1718" i="3"/>
  <c r="L1724" i="3"/>
  <c r="AG1737" i="3"/>
  <c r="L1722" i="3"/>
  <c r="N1728" i="3"/>
  <c r="L1743" i="3"/>
  <c r="AB163" i="3"/>
  <c r="N1736" i="3"/>
  <c r="AG1723" i="3"/>
  <c r="AG1729" i="3"/>
  <c r="AG1739" i="3"/>
  <c r="N1740" i="3"/>
  <c r="N1742" i="3"/>
  <c r="L1742" i="3"/>
  <c r="AG1733" i="3"/>
  <c r="L1727" i="3"/>
  <c r="L1721" i="3"/>
  <c r="AB162" i="3"/>
  <c r="AG1721" i="3"/>
  <c r="AB384" i="3"/>
  <c r="AH384" i="3"/>
  <c r="AB359" i="3"/>
  <c r="AH359" i="3"/>
  <c r="AB1157" i="3"/>
  <c r="AH1157" i="3"/>
  <c r="AB395" i="3"/>
  <c r="AH395" i="3"/>
  <c r="AB391" i="3"/>
  <c r="AH391" i="3"/>
  <c r="AB352" i="3"/>
  <c r="AH352" i="3"/>
  <c r="AB289" i="3"/>
  <c r="AH289" i="3"/>
  <c r="AB218" i="3"/>
  <c r="AH218" i="3"/>
  <c r="AB208" i="3"/>
  <c r="AH208" i="3"/>
  <c r="AB197" i="3"/>
  <c r="AH197" i="3"/>
  <c r="AB193" i="3"/>
  <c r="AH193" i="3"/>
  <c r="AB190" i="3"/>
  <c r="AH190" i="3"/>
  <c r="AB174" i="3"/>
  <c r="AH174" i="3"/>
  <c r="AB146" i="3"/>
  <c r="AH146" i="3"/>
  <c r="AH162" i="3"/>
  <c r="AB335" i="3"/>
  <c r="AH335" i="3"/>
  <c r="AB331" i="3"/>
  <c r="AH331" i="3"/>
  <c r="AG1743" i="3"/>
  <c r="AG1727" i="3"/>
  <c r="AG1731" i="3"/>
  <c r="AE1714" i="3"/>
  <c r="AE1712" i="3"/>
  <c r="AE1658" i="3"/>
  <c r="AE1656" i="3"/>
  <c r="AE1630" i="3"/>
  <c r="AE1624" i="3"/>
  <c r="AE1615" i="3"/>
  <c r="AE1609" i="3"/>
  <c r="AE1591" i="3"/>
  <c r="AE1559" i="3"/>
  <c r="AE1557" i="3"/>
  <c r="AE1533" i="3"/>
  <c r="AE1519" i="3"/>
  <c r="AE1515" i="3"/>
  <c r="AE1483" i="3"/>
  <c r="AE1471" i="3"/>
  <c r="AE1444" i="3"/>
  <c r="AE1442" i="3"/>
  <c r="AE1425" i="3"/>
  <c r="AJ1715" i="3"/>
  <c r="R1715" i="3" a="1"/>
  <c r="R1715" i="3" s="1"/>
  <c r="O1715" i="3"/>
  <c r="F1715" i="3"/>
  <c r="AJ1714" i="3"/>
  <c r="O1714" i="3"/>
  <c r="F1714" i="3"/>
  <c r="AJ1713" i="3"/>
  <c r="R1713" i="3" a="1"/>
  <c r="R1713" i="3" s="1"/>
  <c r="O1713" i="3"/>
  <c r="AJ1712" i="3"/>
  <c r="O1712" i="3"/>
  <c r="F1713" i="3"/>
  <c r="F1712" i="3"/>
  <c r="C378" i="5"/>
  <c r="M360" i="8"/>
  <c r="L360" i="8"/>
  <c r="R1712" i="3" l="1" a="1"/>
  <c r="R1712" i="3" s="1"/>
  <c r="X1712" i="3" s="1"/>
  <c r="AR1714" i="3"/>
  <c r="AR1715" i="3"/>
  <c r="AR1712" i="3"/>
  <c r="AR1713" i="3"/>
  <c r="AA1742" i="3"/>
  <c r="AA1718" i="3"/>
  <c r="AA1716" i="3"/>
  <c r="AA1740" i="3"/>
  <c r="AA1730" i="3"/>
  <c r="AA1736" i="3"/>
  <c r="AA1738" i="3"/>
  <c r="AA1732" i="3"/>
  <c r="AA1728" i="3"/>
  <c r="AA1734" i="3"/>
  <c r="AC1713" i="3"/>
  <c r="X1713" i="3"/>
  <c r="X1715" i="3"/>
  <c r="AC1715" i="3"/>
  <c r="AI163" i="3"/>
  <c r="AF1425" i="3"/>
  <c r="AF1442" i="3"/>
  <c r="AF1444" i="3"/>
  <c r="AF1515" i="3"/>
  <c r="AF1519" i="3"/>
  <c r="AF1557" i="3"/>
  <c r="AF1559" i="3"/>
  <c r="AF1591" i="3"/>
  <c r="AF1615" i="3"/>
  <c r="AF1656" i="3"/>
  <c r="AF1658" i="3"/>
  <c r="D1728" i="3"/>
  <c r="AI193" i="3"/>
  <c r="AH1735" i="3"/>
  <c r="AH1731" i="3"/>
  <c r="G1713" i="3"/>
  <c r="AH1739" i="3"/>
  <c r="AI174" i="3"/>
  <c r="AI289" i="3"/>
  <c r="AI384" i="3"/>
  <c r="G1712" i="3"/>
  <c r="AH1737" i="3"/>
  <c r="I1714" i="3"/>
  <c r="AH1729" i="3"/>
  <c r="AH1727" i="3"/>
  <c r="AI391" i="3"/>
  <c r="AI190" i="3"/>
  <c r="AI352" i="3"/>
  <c r="AH1721" i="3"/>
  <c r="AG1728" i="3"/>
  <c r="AG1738" i="3"/>
  <c r="AH1743" i="3"/>
  <c r="AH1725" i="3"/>
  <c r="AH1723" i="3"/>
  <c r="AI335" i="3"/>
  <c r="AI197" i="3"/>
  <c r="AI395" i="3"/>
  <c r="AG1740" i="3"/>
  <c r="AG1732" i="3"/>
  <c r="I1715" i="3"/>
  <c r="AH1717" i="3"/>
  <c r="AI331" i="3"/>
  <c r="AG1718" i="3"/>
  <c r="AH1719" i="3"/>
  <c r="AH1741" i="3"/>
  <c r="AG1742" i="3"/>
  <c r="AI162" i="3"/>
  <c r="AI208" i="3"/>
  <c r="AI1157" i="3"/>
  <c r="AG1736" i="3"/>
  <c r="AG1734" i="3"/>
  <c r="AH1733" i="3"/>
  <c r="AI146" i="3"/>
  <c r="AI218" i="3"/>
  <c r="AI359" i="3"/>
  <c r="AG1716" i="3"/>
  <c r="AG1730" i="3"/>
  <c r="R1714" i="3" a="1"/>
  <c r="R1714" i="3" s="1"/>
  <c r="AQ1713" i="3"/>
  <c r="I1712" i="3"/>
  <c r="I1713" i="3"/>
  <c r="AQ1715" i="3"/>
  <c r="T1715" i="3"/>
  <c r="S1715" i="3"/>
  <c r="G1714" i="3"/>
  <c r="G1715" i="3"/>
  <c r="T1713" i="3"/>
  <c r="S1713" i="3"/>
  <c r="AQ1712" i="3" l="1"/>
  <c r="S1712" i="3"/>
  <c r="T1712" i="3"/>
  <c r="AC1712" i="3"/>
  <c r="AD1712" i="3" s="1"/>
  <c r="Y1712" i="3"/>
  <c r="AD1715" i="3"/>
  <c r="Y1715" i="3"/>
  <c r="Y1713" i="3"/>
  <c r="AD1713" i="3"/>
  <c r="AH1732" i="3"/>
  <c r="AH1738" i="3"/>
  <c r="AH1730" i="3"/>
  <c r="AH1716" i="3"/>
  <c r="AH1718" i="3"/>
  <c r="AH1728" i="3"/>
  <c r="M1712" i="3" a="1"/>
  <c r="M1712" i="3" s="1"/>
  <c r="M1714" i="3" a="1"/>
  <c r="M1714" i="3" s="1"/>
  <c r="AH1736" i="3"/>
  <c r="M1713" i="3" a="1"/>
  <c r="M1713" i="3" s="1"/>
  <c r="AH1734" i="3"/>
  <c r="M1715" i="3" a="1"/>
  <c r="M1715" i="3" s="1"/>
  <c r="AH1740" i="3"/>
  <c r="N1715" i="3"/>
  <c r="AH1742" i="3"/>
  <c r="D1730" i="3"/>
  <c r="D1729" i="3"/>
  <c r="T1714" i="3"/>
  <c r="K1714" i="3"/>
  <c r="K1713" i="3"/>
  <c r="K1715" i="3"/>
  <c r="K1712" i="3"/>
  <c r="S1714" i="3"/>
  <c r="N1713" i="3"/>
  <c r="AA1715" i="3" l="1"/>
  <c r="AA1713" i="3"/>
  <c r="N1714" i="3"/>
  <c r="D1731" i="3"/>
  <c r="D1732" i="3"/>
  <c r="L1713" i="3"/>
  <c r="N1712" i="3"/>
  <c r="AG1713" i="3"/>
  <c r="L1715" i="3"/>
  <c r="AG1715" i="3"/>
  <c r="L1712" i="3"/>
  <c r="L1714" i="3"/>
  <c r="AA1712" i="3" l="1"/>
  <c r="AA1714" i="3"/>
  <c r="D1734" i="3"/>
  <c r="D1733" i="3"/>
  <c r="AH1713" i="3"/>
  <c r="AH1715" i="3"/>
  <c r="F698" i="7"/>
  <c r="U1714" i="3" s="1"/>
  <c r="AJ1711" i="3"/>
  <c r="O1711" i="3"/>
  <c r="AJ1710" i="3"/>
  <c r="O1710" i="3"/>
  <c r="F1711" i="3"/>
  <c r="F1710" i="3"/>
  <c r="X359" i="8"/>
  <c r="W359" i="8"/>
  <c r="F696" i="7"/>
  <c r="E696" i="7"/>
  <c r="D696" i="7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B696" i="7"/>
  <c r="E696" i="4"/>
  <c r="B696" i="4"/>
  <c r="AR1711" i="3" l="1"/>
  <c r="AR1710" i="3"/>
  <c r="V1714" i="3"/>
  <c r="W1714" i="3"/>
  <c r="AC1714" i="3"/>
  <c r="X1714" i="3"/>
  <c r="D1735" i="3"/>
  <c r="D1736" i="3"/>
  <c r="G1710" i="3"/>
  <c r="G1711" i="3"/>
  <c r="AQ1714" i="3"/>
  <c r="I1711" i="3"/>
  <c r="I1710" i="3"/>
  <c r="AQ1648" i="3"/>
  <c r="AQ1647" i="3"/>
  <c r="AQ1646" i="3"/>
  <c r="AQ1645" i="3"/>
  <c r="O1709" i="3"/>
  <c r="F1709" i="3"/>
  <c r="E1709" i="3"/>
  <c r="C1709" i="3"/>
  <c r="B1709" i="3"/>
  <c r="A1709" i="3"/>
  <c r="AS1709" i="3" s="1"/>
  <c r="AJ1708" i="3"/>
  <c r="R1708" i="3" a="1"/>
  <c r="R1708" i="3" s="1"/>
  <c r="O1708" i="3"/>
  <c r="F1708" i="3"/>
  <c r="Y1714" i="3" l="1"/>
  <c r="AD1714" i="3"/>
  <c r="AR1709" i="3"/>
  <c r="AR1708" i="3"/>
  <c r="U1709" i="3"/>
  <c r="U1710" i="3"/>
  <c r="D1738" i="3"/>
  <c r="D1737" i="3"/>
  <c r="E1710" i="3"/>
  <c r="I1708" i="3"/>
  <c r="I1709" i="3"/>
  <c r="K1711" i="3"/>
  <c r="AJ1709" i="3"/>
  <c r="R1709" i="3" a="1"/>
  <c r="R1709" i="3" s="1"/>
  <c r="B1710" i="3"/>
  <c r="T1708" i="3"/>
  <c r="S1708" i="3"/>
  <c r="G1708" i="3"/>
  <c r="G1709" i="3"/>
  <c r="AJ1707" i="3"/>
  <c r="R1707" i="3" a="1"/>
  <c r="R1707" i="3" s="1"/>
  <c r="O1707" i="3"/>
  <c r="F1707" i="3"/>
  <c r="AJ1706" i="3"/>
  <c r="O1706" i="3"/>
  <c r="F1706" i="3"/>
  <c r="O1705" i="3"/>
  <c r="F1705" i="3"/>
  <c r="AJ1704" i="3"/>
  <c r="O1704" i="3"/>
  <c r="F1704" i="3"/>
  <c r="O1703" i="3"/>
  <c r="F1703" i="3"/>
  <c r="AJ1702" i="3"/>
  <c r="R1702" i="3" a="1"/>
  <c r="R1702" i="3" s="1"/>
  <c r="O1702" i="3"/>
  <c r="F1702" i="3"/>
  <c r="O1701" i="3"/>
  <c r="F1701" i="3"/>
  <c r="AJ1700" i="3"/>
  <c r="R1700" i="3" a="1"/>
  <c r="R1700" i="3" s="1"/>
  <c r="O1700" i="3"/>
  <c r="F1700" i="3"/>
  <c r="O1699" i="3"/>
  <c r="F1699" i="3"/>
  <c r="AJ1698" i="3"/>
  <c r="O1698" i="3"/>
  <c r="F1698" i="3"/>
  <c r="O1697" i="3"/>
  <c r="F1697" i="3"/>
  <c r="AJ1696" i="3"/>
  <c r="R1696" i="3" a="1"/>
  <c r="R1696" i="3" s="1"/>
  <c r="O1696" i="3"/>
  <c r="F1696" i="3"/>
  <c r="O1695" i="3"/>
  <c r="F1695" i="3"/>
  <c r="AJ1694" i="3"/>
  <c r="R1694" i="3" a="1"/>
  <c r="R1694" i="3" s="1"/>
  <c r="O1694" i="3"/>
  <c r="F1694" i="3"/>
  <c r="O1693" i="3"/>
  <c r="F1693" i="3"/>
  <c r="AJ1692" i="3"/>
  <c r="O1692" i="3"/>
  <c r="F1692" i="3"/>
  <c r="O1691" i="3"/>
  <c r="F1691" i="3"/>
  <c r="AJ1690" i="3"/>
  <c r="O1690" i="3"/>
  <c r="F1690" i="3"/>
  <c r="O1689" i="3"/>
  <c r="F1689" i="3"/>
  <c r="AJ1688" i="3"/>
  <c r="O1688" i="3"/>
  <c r="F1688" i="3"/>
  <c r="O1687" i="3"/>
  <c r="F1687" i="3"/>
  <c r="AJ1686" i="3"/>
  <c r="O1686" i="3"/>
  <c r="F1686" i="3"/>
  <c r="O1685" i="3"/>
  <c r="F1685" i="3"/>
  <c r="AJ1684" i="3"/>
  <c r="R1684" i="3" a="1"/>
  <c r="R1684" i="3" s="1"/>
  <c r="O1684" i="3"/>
  <c r="F1684" i="3"/>
  <c r="O1683" i="3"/>
  <c r="F1683" i="3"/>
  <c r="AJ1682" i="3"/>
  <c r="O1682" i="3"/>
  <c r="F1682" i="3"/>
  <c r="O1681" i="3"/>
  <c r="F1681" i="3"/>
  <c r="AJ1680" i="3"/>
  <c r="O1680" i="3"/>
  <c r="F1680" i="3"/>
  <c r="O1679" i="3"/>
  <c r="F1679" i="3"/>
  <c r="AJ1678" i="3"/>
  <c r="O1678" i="3"/>
  <c r="F1678" i="3"/>
  <c r="O1677" i="3"/>
  <c r="F1677" i="3"/>
  <c r="AJ1676" i="3"/>
  <c r="R1676" i="3" a="1"/>
  <c r="R1676" i="3" s="1"/>
  <c r="O1676" i="3"/>
  <c r="F1676" i="3"/>
  <c r="O1675" i="3"/>
  <c r="F1675" i="3"/>
  <c r="AJ1674" i="3"/>
  <c r="O1674" i="3"/>
  <c r="F1674" i="3"/>
  <c r="O1673" i="3"/>
  <c r="F1673" i="3"/>
  <c r="AJ1672" i="3"/>
  <c r="R1672" i="3" a="1"/>
  <c r="R1672" i="3" s="1"/>
  <c r="O1672" i="3"/>
  <c r="F1672" i="3"/>
  <c r="O1671" i="3"/>
  <c r="F1671" i="3"/>
  <c r="O1670" i="3"/>
  <c r="F1670" i="3"/>
  <c r="O1669" i="3"/>
  <c r="F1669" i="3"/>
  <c r="AJ1668" i="3"/>
  <c r="O1668" i="3"/>
  <c r="F1668" i="3"/>
  <c r="O1667" i="3"/>
  <c r="F1667" i="3"/>
  <c r="AJ1666" i="3"/>
  <c r="O1666" i="3"/>
  <c r="F1666" i="3"/>
  <c r="O1665" i="3"/>
  <c r="F1665" i="3"/>
  <c r="AJ1664" i="3"/>
  <c r="R1664" i="3" a="1"/>
  <c r="R1664" i="3" s="1"/>
  <c r="O1664" i="3"/>
  <c r="F1664" i="3"/>
  <c r="O1663" i="3"/>
  <c r="F1663" i="3"/>
  <c r="AJ1662" i="3"/>
  <c r="R1662" i="3" a="1"/>
  <c r="R1662" i="3" s="1"/>
  <c r="O1662" i="3"/>
  <c r="F1662" i="3"/>
  <c r="O1661" i="3"/>
  <c r="F1661" i="3"/>
  <c r="AJ1660" i="3"/>
  <c r="R1660" i="3" a="1"/>
  <c r="R1660" i="3" s="1"/>
  <c r="O1660" i="3"/>
  <c r="F1660" i="3"/>
  <c r="O1659" i="3"/>
  <c r="F1659" i="3"/>
  <c r="AJ1658" i="3"/>
  <c r="R1658" i="3" a="1"/>
  <c r="R1658" i="3" s="1"/>
  <c r="O1658" i="3"/>
  <c r="F1658" i="3"/>
  <c r="O1657" i="3"/>
  <c r="F1657" i="3"/>
  <c r="AJ1656" i="3"/>
  <c r="O1656" i="3"/>
  <c r="F1656" i="3"/>
  <c r="AJ1655" i="3"/>
  <c r="R1655" i="3" a="1"/>
  <c r="R1655" i="3" s="1"/>
  <c r="O1655" i="3"/>
  <c r="F1655" i="3"/>
  <c r="AJ1654" i="3"/>
  <c r="O1654" i="3"/>
  <c r="F1654" i="3"/>
  <c r="AJ1653" i="3"/>
  <c r="R1653" i="3"/>
  <c r="O1653" i="3"/>
  <c r="F1653" i="3"/>
  <c r="AJ1652" i="3"/>
  <c r="R1652" i="3"/>
  <c r="O1652" i="3"/>
  <c r="F1652" i="3"/>
  <c r="AJ1651" i="3"/>
  <c r="O1651" i="3"/>
  <c r="F1651" i="3"/>
  <c r="AJ1650" i="3"/>
  <c r="R1650" i="3"/>
  <c r="O1650" i="3"/>
  <c r="F1650" i="3"/>
  <c r="AJ1649" i="3"/>
  <c r="AE1649" i="3"/>
  <c r="O1649" i="3"/>
  <c r="F1649" i="3"/>
  <c r="E1705" i="3"/>
  <c r="C1705" i="3"/>
  <c r="B1705" i="3"/>
  <c r="A1705" i="3"/>
  <c r="AS1705" i="3" s="1"/>
  <c r="E1703" i="3"/>
  <c r="C1703" i="3"/>
  <c r="B1703" i="3"/>
  <c r="A1703" i="3"/>
  <c r="AS1703" i="3" s="1"/>
  <c r="E1701" i="3"/>
  <c r="C1701" i="3"/>
  <c r="B1701" i="3"/>
  <c r="A1701" i="3"/>
  <c r="AS1701" i="3" s="1"/>
  <c r="E1699" i="3"/>
  <c r="C1699" i="3"/>
  <c r="B1699" i="3"/>
  <c r="A1699" i="3"/>
  <c r="AS1699" i="3" s="1"/>
  <c r="E1697" i="3"/>
  <c r="C1697" i="3"/>
  <c r="B1697" i="3"/>
  <c r="A1697" i="3"/>
  <c r="AS1697" i="3" s="1"/>
  <c r="E1695" i="3"/>
  <c r="C1695" i="3"/>
  <c r="B1695" i="3"/>
  <c r="A1695" i="3"/>
  <c r="AS1695" i="3" s="1"/>
  <c r="E1693" i="3"/>
  <c r="C1693" i="3"/>
  <c r="B1693" i="3"/>
  <c r="A1693" i="3"/>
  <c r="AS1693" i="3" s="1"/>
  <c r="E1691" i="3"/>
  <c r="C1691" i="3"/>
  <c r="B1691" i="3"/>
  <c r="A1691" i="3"/>
  <c r="AS1691" i="3" s="1"/>
  <c r="E1689" i="3"/>
  <c r="C1689" i="3"/>
  <c r="B1689" i="3"/>
  <c r="A1689" i="3"/>
  <c r="AS1689" i="3" s="1"/>
  <c r="E1687" i="3"/>
  <c r="C1687" i="3"/>
  <c r="B1687" i="3"/>
  <c r="A1687" i="3"/>
  <c r="AS1687" i="3" s="1"/>
  <c r="E1685" i="3"/>
  <c r="C1685" i="3"/>
  <c r="B1685" i="3"/>
  <c r="A1685" i="3"/>
  <c r="AS1685" i="3" s="1"/>
  <c r="E1683" i="3"/>
  <c r="C1683" i="3"/>
  <c r="B1683" i="3"/>
  <c r="A1683" i="3"/>
  <c r="AS1683" i="3" s="1"/>
  <c r="E1681" i="3"/>
  <c r="C1681" i="3"/>
  <c r="B1681" i="3"/>
  <c r="A1681" i="3"/>
  <c r="AS1681" i="3" s="1"/>
  <c r="E1679" i="3"/>
  <c r="C1679" i="3"/>
  <c r="B1679" i="3"/>
  <c r="A1679" i="3"/>
  <c r="AS1679" i="3" s="1"/>
  <c r="E1677" i="3"/>
  <c r="C1677" i="3"/>
  <c r="B1677" i="3"/>
  <c r="A1677" i="3"/>
  <c r="AS1677" i="3" s="1"/>
  <c r="E1675" i="3"/>
  <c r="C1675" i="3"/>
  <c r="B1675" i="3"/>
  <c r="A1675" i="3"/>
  <c r="AS1675" i="3" s="1"/>
  <c r="E1673" i="3"/>
  <c r="C1673" i="3"/>
  <c r="B1673" i="3"/>
  <c r="A1673" i="3"/>
  <c r="AS1673" i="3" s="1"/>
  <c r="E1669" i="3"/>
  <c r="C1669" i="3"/>
  <c r="B1669" i="3"/>
  <c r="A1669" i="3"/>
  <c r="AS1669" i="3" s="1"/>
  <c r="E1667" i="3"/>
  <c r="C1667" i="3"/>
  <c r="B1667" i="3"/>
  <c r="A1667" i="3"/>
  <c r="AS1667" i="3" s="1"/>
  <c r="E1665" i="3"/>
  <c r="C1665" i="3"/>
  <c r="B1665" i="3"/>
  <c r="A1665" i="3"/>
  <c r="AS1665" i="3" s="1"/>
  <c r="E1663" i="3"/>
  <c r="C1663" i="3"/>
  <c r="B1663" i="3"/>
  <c r="A1663" i="3"/>
  <c r="AS1663" i="3" s="1"/>
  <c r="E1661" i="3"/>
  <c r="C1661" i="3"/>
  <c r="B1661" i="3"/>
  <c r="A1661" i="3"/>
  <c r="AS1661" i="3" s="1"/>
  <c r="E1659" i="3"/>
  <c r="C1659" i="3"/>
  <c r="B1659" i="3"/>
  <c r="A1659" i="3"/>
  <c r="AS1659" i="3" s="1"/>
  <c r="E1657" i="3"/>
  <c r="C1657" i="3"/>
  <c r="B1657" i="3"/>
  <c r="A1657" i="3"/>
  <c r="AS1657" i="3" s="1"/>
  <c r="C376" i="5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U1656" i="3" s="1"/>
  <c r="F667" i="7"/>
  <c r="U1649" i="3" s="1"/>
  <c r="F665" i="7"/>
  <c r="O1644" i="3"/>
  <c r="F1644" i="3"/>
  <c r="C1644" i="3"/>
  <c r="R1644" i="3" a="1"/>
  <c r="R1644" i="3" s="1"/>
  <c r="AJ1643" i="3"/>
  <c r="R1643" i="3" a="1"/>
  <c r="R1643" i="3" s="1"/>
  <c r="O1643" i="3"/>
  <c r="F1643" i="3"/>
  <c r="AJ1642" i="3"/>
  <c r="O1642" i="3"/>
  <c r="F1642" i="3"/>
  <c r="C375" i="5"/>
  <c r="V357" i="8"/>
  <c r="U357" i="8"/>
  <c r="AJ1614" i="3"/>
  <c r="R1614" i="3"/>
  <c r="O1614" i="3"/>
  <c r="AJ1613" i="3"/>
  <c r="R1613" i="3"/>
  <c r="O1613" i="3"/>
  <c r="AJ1612" i="3"/>
  <c r="O1612" i="3"/>
  <c r="F1612" i="3"/>
  <c r="F1613" i="3"/>
  <c r="F1614" i="3"/>
  <c r="F659" i="7"/>
  <c r="U1627" i="3" s="1"/>
  <c r="F656" i="7"/>
  <c r="U1618" i="3" s="1"/>
  <c r="F654" i="7"/>
  <c r="U1612" i="3" s="1"/>
  <c r="F663" i="7"/>
  <c r="U1639" i="3" s="1"/>
  <c r="F662" i="7"/>
  <c r="U1636" i="3" s="1"/>
  <c r="F661" i="7"/>
  <c r="U1633" i="3" s="1"/>
  <c r="F660" i="7"/>
  <c r="U1630" i="3" s="1"/>
  <c r="F658" i="7"/>
  <c r="U1624" i="3" s="1"/>
  <c r="F657" i="7"/>
  <c r="U1621" i="3" s="1"/>
  <c r="F655" i="7"/>
  <c r="U1615" i="3" s="1"/>
  <c r="AJ1641" i="3"/>
  <c r="R1641" i="3" a="1"/>
  <c r="R1641" i="3" s="1"/>
  <c r="O1641" i="3"/>
  <c r="AJ1640" i="3"/>
  <c r="R1640" i="3" a="1"/>
  <c r="R1640" i="3" s="1"/>
  <c r="O1640" i="3"/>
  <c r="AJ1639" i="3"/>
  <c r="O1639" i="3"/>
  <c r="AJ1638" i="3"/>
  <c r="R1638" i="3" a="1"/>
  <c r="R1638" i="3" s="1"/>
  <c r="O1638" i="3"/>
  <c r="AJ1637" i="3"/>
  <c r="R1637" i="3" a="1"/>
  <c r="R1637" i="3" s="1"/>
  <c r="O1637" i="3"/>
  <c r="AJ1636" i="3"/>
  <c r="O1636" i="3"/>
  <c r="AJ1635" i="3"/>
  <c r="R1635" i="3" a="1"/>
  <c r="R1635" i="3" s="1"/>
  <c r="O1635" i="3"/>
  <c r="AJ1634" i="3"/>
  <c r="R1634" i="3" a="1"/>
  <c r="R1634" i="3" s="1"/>
  <c r="O1634" i="3"/>
  <c r="AJ1633" i="3"/>
  <c r="O1633" i="3"/>
  <c r="AJ1632" i="3"/>
  <c r="R1632" i="3" a="1"/>
  <c r="R1632" i="3" s="1"/>
  <c r="O1632" i="3"/>
  <c r="AJ1631" i="3"/>
  <c r="R1631" i="3" a="1"/>
  <c r="R1631" i="3" s="1"/>
  <c r="O1631" i="3"/>
  <c r="AJ1630" i="3"/>
  <c r="O1630" i="3"/>
  <c r="AJ1629" i="3"/>
  <c r="R1629" i="3" a="1"/>
  <c r="R1629" i="3" s="1"/>
  <c r="O1629" i="3"/>
  <c r="AJ1628" i="3"/>
  <c r="R1628" i="3" a="1"/>
  <c r="R1628" i="3" s="1"/>
  <c r="O1628" i="3"/>
  <c r="AJ1627" i="3"/>
  <c r="O1627" i="3"/>
  <c r="AJ1626" i="3"/>
  <c r="R1626" i="3" a="1"/>
  <c r="R1626" i="3" s="1"/>
  <c r="O1626" i="3"/>
  <c r="AJ1625" i="3"/>
  <c r="R1625" i="3" a="1"/>
  <c r="R1625" i="3" s="1"/>
  <c r="O1625" i="3"/>
  <c r="AJ1624" i="3"/>
  <c r="O1624" i="3"/>
  <c r="AJ1623" i="3"/>
  <c r="R1623" i="3" a="1"/>
  <c r="R1623" i="3" s="1"/>
  <c r="O1623" i="3"/>
  <c r="AJ1622" i="3"/>
  <c r="R1622" i="3" a="1"/>
  <c r="R1622" i="3" s="1"/>
  <c r="O1622" i="3"/>
  <c r="AJ1621" i="3"/>
  <c r="O1621" i="3"/>
  <c r="AJ1620" i="3"/>
  <c r="R1620" i="3" a="1"/>
  <c r="R1620" i="3" s="1"/>
  <c r="O1620" i="3"/>
  <c r="AJ1619" i="3"/>
  <c r="R1619" i="3" a="1"/>
  <c r="R1619" i="3" s="1"/>
  <c r="O1619" i="3"/>
  <c r="AJ1618" i="3"/>
  <c r="O1618" i="3"/>
  <c r="AJ1617" i="3"/>
  <c r="R1617" i="3" a="1"/>
  <c r="R1617" i="3" s="1"/>
  <c r="O1617" i="3"/>
  <c r="AJ1616" i="3"/>
  <c r="R1616" i="3" a="1"/>
  <c r="R1616" i="3" s="1"/>
  <c r="O1616" i="3"/>
  <c r="AJ1615" i="3"/>
  <c r="O1615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17" i="3"/>
  <c r="F1616" i="3"/>
  <c r="F1615" i="3"/>
  <c r="AJ1611" i="3"/>
  <c r="R1611" i="3"/>
  <c r="O1611" i="3"/>
  <c r="AJ1610" i="3"/>
  <c r="R1610" i="3"/>
  <c r="O1610" i="3"/>
  <c r="AJ1609" i="3"/>
  <c r="O1609" i="3"/>
  <c r="F1609" i="3"/>
  <c r="F1610" i="3"/>
  <c r="F1611" i="3"/>
  <c r="AJ1608" i="3"/>
  <c r="R1608" i="3"/>
  <c r="O1608" i="3"/>
  <c r="AJ1607" i="3"/>
  <c r="R1607" i="3"/>
  <c r="O1607" i="3"/>
  <c r="AJ1606" i="3"/>
  <c r="O1606" i="3"/>
  <c r="F1606" i="3"/>
  <c r="F1607" i="3"/>
  <c r="F1608" i="3"/>
  <c r="O1603" i="3"/>
  <c r="AJ1603" i="3"/>
  <c r="O1604" i="3"/>
  <c r="R1604" i="3"/>
  <c r="AJ1604" i="3"/>
  <c r="O1605" i="3"/>
  <c r="R1605" i="3"/>
  <c r="AJ1605" i="3"/>
  <c r="F1603" i="3"/>
  <c r="F1604" i="3"/>
  <c r="F1605" i="3"/>
  <c r="R1615" i="3" l="1" a="1"/>
  <c r="R1615" i="3" s="1"/>
  <c r="AC1615" i="3" s="1"/>
  <c r="AR1672" i="3"/>
  <c r="AR1685" i="3"/>
  <c r="AR1690" i="3"/>
  <c r="AR1604" i="3"/>
  <c r="AR1639" i="3"/>
  <c r="AR1627" i="3"/>
  <c r="AR1655" i="3"/>
  <c r="AR1667" i="3"/>
  <c r="AR1681" i="3"/>
  <c r="AR1699" i="3"/>
  <c r="AR1703" i="3"/>
  <c r="AR1605" i="3"/>
  <c r="AR1609" i="3"/>
  <c r="AR1638" i="3"/>
  <c r="AR1637" i="3"/>
  <c r="AR1649" i="3"/>
  <c r="AR1668" i="3"/>
  <c r="AR1677" i="3"/>
  <c r="AR1682" i="3"/>
  <c r="AR1691" i="3"/>
  <c r="AR1700" i="3"/>
  <c r="AR1704" i="3"/>
  <c r="AR1610" i="3"/>
  <c r="AR1662" i="3"/>
  <c r="AR1612" i="3"/>
  <c r="AR1651" i="3"/>
  <c r="AR1640" i="3"/>
  <c r="AR1626" i="3"/>
  <c r="AR1643" i="3"/>
  <c r="AR1663" i="3"/>
  <c r="AR1686" i="3"/>
  <c r="AR1624" i="3"/>
  <c r="AR1660" i="3"/>
  <c r="AR1664" i="3"/>
  <c r="AR1673" i="3"/>
  <c r="AR1696" i="3"/>
  <c r="AR1630" i="3"/>
  <c r="AR1654" i="3"/>
  <c r="AR1666" i="3"/>
  <c r="AR1689" i="3"/>
  <c r="AR1698" i="3"/>
  <c r="AR1603" i="3"/>
  <c r="AR1659" i="3"/>
  <c r="AR1695" i="3"/>
  <c r="AR1625" i="3"/>
  <c r="AR1636" i="3"/>
  <c r="AR1623" i="3"/>
  <c r="AR1656" i="3"/>
  <c r="AR1678" i="3"/>
  <c r="AR1687" i="3"/>
  <c r="AR1692" i="3"/>
  <c r="AR1617" i="3"/>
  <c r="AR1680" i="3"/>
  <c r="AR1607" i="3"/>
  <c r="AR1707" i="3"/>
  <c r="AR1606" i="3"/>
  <c r="AR1628" i="3"/>
  <c r="AR1652" i="3"/>
  <c r="AR1635" i="3"/>
  <c r="AR1634" i="3"/>
  <c r="AR1622" i="3"/>
  <c r="AR1653" i="3"/>
  <c r="AR1669" i="3"/>
  <c r="AR1674" i="3"/>
  <c r="AR1683" i="3"/>
  <c r="AR1705" i="3"/>
  <c r="AR1608" i="3"/>
  <c r="AR1658" i="3"/>
  <c r="AR1694" i="3"/>
  <c r="AR1629" i="3"/>
  <c r="AR1633" i="3"/>
  <c r="AR1621" i="3"/>
  <c r="AR1615" i="3"/>
  <c r="AR1620" i="3"/>
  <c r="AR1644" i="3"/>
  <c r="AR1657" i="3"/>
  <c r="AR1661" i="3"/>
  <c r="AR1665" i="3"/>
  <c r="AR1670" i="3"/>
  <c r="AR1679" i="3"/>
  <c r="AR1684" i="3"/>
  <c r="AR1693" i="3"/>
  <c r="AR1697" i="3"/>
  <c r="AR1706" i="3"/>
  <c r="AR1618" i="3"/>
  <c r="AR1613" i="3"/>
  <c r="AR1671" i="3"/>
  <c r="AR1641" i="3"/>
  <c r="AR1642" i="3"/>
  <c r="AR1676" i="3"/>
  <c r="AR1650" i="3"/>
  <c r="AR1688" i="3"/>
  <c r="AR1701" i="3"/>
  <c r="AR1632" i="3"/>
  <c r="AR1611" i="3"/>
  <c r="AR1616" i="3"/>
  <c r="AR1631" i="3"/>
  <c r="AR1619" i="3"/>
  <c r="AR1614" i="3"/>
  <c r="AR1675" i="3"/>
  <c r="AR1702" i="3"/>
  <c r="U1659" i="3"/>
  <c r="U1665" i="3"/>
  <c r="U1673" i="3"/>
  <c r="U1679" i="3"/>
  <c r="U1685" i="3"/>
  <c r="U1691" i="3"/>
  <c r="U1697" i="3"/>
  <c r="U1703" i="3"/>
  <c r="K1710" i="3"/>
  <c r="U1661" i="3"/>
  <c r="U1667" i="3"/>
  <c r="U1675" i="3"/>
  <c r="U1681" i="3"/>
  <c r="U1687" i="3"/>
  <c r="U1693" i="3"/>
  <c r="U1699" i="3"/>
  <c r="U1705" i="3"/>
  <c r="M1710" i="3" a="1"/>
  <c r="M1710" i="3" s="1"/>
  <c r="U1657" i="3"/>
  <c r="U1663" i="3"/>
  <c r="U1677" i="3"/>
  <c r="U1683" i="3"/>
  <c r="U1689" i="3"/>
  <c r="U1695" i="3"/>
  <c r="U1701" i="3"/>
  <c r="U1658" i="3"/>
  <c r="U1706" i="3"/>
  <c r="U1682" i="3"/>
  <c r="U1680" i="3"/>
  <c r="U1704" i="3"/>
  <c r="U1666" i="3"/>
  <c r="U1660" i="3"/>
  <c r="U1684" i="3"/>
  <c r="U1664" i="3"/>
  <c r="U1688" i="3"/>
  <c r="U1690" i="3"/>
  <c r="U1694" i="3"/>
  <c r="U1696" i="3"/>
  <c r="U1678" i="3"/>
  <c r="U1702" i="3"/>
  <c r="U1662" i="3"/>
  <c r="U1686" i="3"/>
  <c r="U1669" i="3"/>
  <c r="U1668" i="3"/>
  <c r="U1692" i="3"/>
  <c r="U1674" i="3"/>
  <c r="U1698" i="3"/>
  <c r="U1676" i="3"/>
  <c r="U1700" i="3"/>
  <c r="U1708" i="3"/>
  <c r="M1709" i="3" a="1"/>
  <c r="M1709" i="3" s="1"/>
  <c r="M1708" i="3" a="1"/>
  <c r="M1708" i="3" s="1"/>
  <c r="V1615" i="3"/>
  <c r="W1615" i="3"/>
  <c r="W1633" i="3"/>
  <c r="V1633" i="3"/>
  <c r="V1636" i="3"/>
  <c r="W1636" i="3"/>
  <c r="V1639" i="3"/>
  <c r="W1639" i="3"/>
  <c r="V1627" i="3"/>
  <c r="W1627" i="3"/>
  <c r="V1618" i="3"/>
  <c r="W1618" i="3"/>
  <c r="V1649" i="3"/>
  <c r="W1649" i="3"/>
  <c r="V1621" i="3"/>
  <c r="W1621" i="3"/>
  <c r="V1656" i="3"/>
  <c r="W1656" i="3"/>
  <c r="V1624" i="3"/>
  <c r="W1624" i="3"/>
  <c r="V1612" i="3"/>
  <c r="W1612" i="3"/>
  <c r="W1630" i="3"/>
  <c r="V1630" i="3"/>
  <c r="X1613" i="3"/>
  <c r="AC1613" i="3"/>
  <c r="X1655" i="3"/>
  <c r="AC1655" i="3"/>
  <c r="AC1709" i="3"/>
  <c r="X1709" i="3"/>
  <c r="X1607" i="3"/>
  <c r="AC1607" i="3"/>
  <c r="X1643" i="3"/>
  <c r="AC1643" i="3"/>
  <c r="X1652" i="3"/>
  <c r="AC1652" i="3"/>
  <c r="AC1653" i="3"/>
  <c r="X1653" i="3"/>
  <c r="X1632" i="3"/>
  <c r="AC1632" i="3"/>
  <c r="AC1641" i="3"/>
  <c r="X1641" i="3"/>
  <c r="AC1650" i="3"/>
  <c r="X1650" i="3"/>
  <c r="X1608" i="3"/>
  <c r="AC1608" i="3"/>
  <c r="AC1619" i="3"/>
  <c r="X1619" i="3"/>
  <c r="X1605" i="3"/>
  <c r="AC1605" i="3"/>
  <c r="AC1610" i="3"/>
  <c r="X1610" i="3"/>
  <c r="X1617" i="3"/>
  <c r="AC1617" i="3"/>
  <c r="AC1611" i="3"/>
  <c r="X1611" i="3"/>
  <c r="X1622" i="3"/>
  <c r="AC1622" i="3"/>
  <c r="X1628" i="3"/>
  <c r="AC1628" i="3"/>
  <c r="X1637" i="3"/>
  <c r="AC1637" i="3"/>
  <c r="AC1626" i="3"/>
  <c r="X1626" i="3"/>
  <c r="X1635" i="3"/>
  <c r="AC1635" i="3"/>
  <c r="X1623" i="3"/>
  <c r="AC1623" i="3"/>
  <c r="X1631" i="3"/>
  <c r="AC1631" i="3"/>
  <c r="X1644" i="3"/>
  <c r="AC1644" i="3"/>
  <c r="X1629" i="3"/>
  <c r="AC1629" i="3"/>
  <c r="AC1707" i="3"/>
  <c r="X1707" i="3"/>
  <c r="V1710" i="3"/>
  <c r="W1710" i="3"/>
  <c r="AC1604" i="3"/>
  <c r="X1604" i="3"/>
  <c r="AC1640" i="3"/>
  <c r="X1640" i="3"/>
  <c r="X1614" i="3"/>
  <c r="AC1614" i="3"/>
  <c r="X1620" i="3"/>
  <c r="AC1620" i="3"/>
  <c r="AC1638" i="3"/>
  <c r="X1638" i="3"/>
  <c r="AC1616" i="3"/>
  <c r="X1616" i="3"/>
  <c r="X1625" i="3"/>
  <c r="AC1625" i="3"/>
  <c r="X1634" i="3"/>
  <c r="AC1634" i="3"/>
  <c r="V1709" i="3"/>
  <c r="W1709" i="3"/>
  <c r="D1739" i="3"/>
  <c r="D1740" i="3"/>
  <c r="R1657" i="3" a="1"/>
  <c r="R1657" i="3" s="1"/>
  <c r="R1659" i="3" a="1"/>
  <c r="R1659" i="3" s="1"/>
  <c r="R1661" i="3" a="1"/>
  <c r="R1661" i="3" s="1"/>
  <c r="R1663" i="3" a="1"/>
  <c r="R1663" i="3" s="1"/>
  <c r="R1665" i="3" a="1"/>
  <c r="R1665" i="3" s="1"/>
  <c r="R1667" i="3" a="1"/>
  <c r="R1667" i="3" s="1"/>
  <c r="C1670" i="3"/>
  <c r="E1670" i="3"/>
  <c r="R1673" i="3" a="1"/>
  <c r="R1673" i="3" s="1"/>
  <c r="R1675" i="3" a="1"/>
  <c r="R1675" i="3" s="1"/>
  <c r="R1677" i="3" a="1"/>
  <c r="R1677" i="3" s="1"/>
  <c r="R1679" i="3" a="1"/>
  <c r="R1679" i="3" s="1"/>
  <c r="R1681" i="3" a="1"/>
  <c r="R1681" i="3" s="1"/>
  <c r="R1683" i="3" a="1"/>
  <c r="R1683" i="3" s="1"/>
  <c r="R1685" i="3" a="1"/>
  <c r="R1685" i="3" s="1"/>
  <c r="R1687" i="3" a="1"/>
  <c r="R1687" i="3" s="1"/>
  <c r="R1689" i="3" a="1"/>
  <c r="R1689" i="3" s="1"/>
  <c r="R1691" i="3" a="1"/>
  <c r="R1691" i="3" s="1"/>
  <c r="R1693" i="3" a="1"/>
  <c r="R1693" i="3" s="1"/>
  <c r="R1695" i="3" a="1"/>
  <c r="R1695" i="3" s="1"/>
  <c r="R1699" i="3" a="1"/>
  <c r="R1699" i="3" s="1"/>
  <c r="R1701" i="3" a="1"/>
  <c r="R1701" i="3" s="1"/>
  <c r="R1703" i="3" a="1"/>
  <c r="R1703" i="3" s="1"/>
  <c r="R1705" i="3" a="1"/>
  <c r="R1705" i="3" s="1"/>
  <c r="S1660" i="3"/>
  <c r="T1709" i="3"/>
  <c r="E1711" i="3"/>
  <c r="AK1653" i="3"/>
  <c r="AK1651" i="3"/>
  <c r="AK1649" i="3"/>
  <c r="AK1652" i="3"/>
  <c r="AK1650" i="3"/>
  <c r="N1709" i="3"/>
  <c r="G1634" i="3"/>
  <c r="G1622" i="3"/>
  <c r="G1612" i="3"/>
  <c r="G1650" i="3"/>
  <c r="I1659" i="3"/>
  <c r="I1663" i="3"/>
  <c r="G1605" i="3"/>
  <c r="I1644" i="3"/>
  <c r="I1668" i="3"/>
  <c r="L1711" i="3"/>
  <c r="I1632" i="3"/>
  <c r="I1642" i="3"/>
  <c r="I1660" i="3"/>
  <c r="I1664" i="3"/>
  <c r="I1655" i="3"/>
  <c r="G1633" i="3"/>
  <c r="G1604" i="3"/>
  <c r="G1620" i="3"/>
  <c r="G1603" i="3"/>
  <c r="G1616" i="3"/>
  <c r="G1619" i="3"/>
  <c r="I1656" i="3"/>
  <c r="G1611" i="3"/>
  <c r="G1607" i="3"/>
  <c r="G1610" i="3"/>
  <c r="G1631" i="3"/>
  <c r="G1606" i="3"/>
  <c r="G1609" i="3"/>
  <c r="G1617" i="3"/>
  <c r="G1630" i="3"/>
  <c r="G1618" i="3"/>
  <c r="I1669" i="3"/>
  <c r="I1674" i="3"/>
  <c r="K1709" i="3"/>
  <c r="I1635" i="3"/>
  <c r="I1621" i="3"/>
  <c r="I1615" i="3"/>
  <c r="G1629" i="3"/>
  <c r="G1651" i="3"/>
  <c r="G1623" i="3"/>
  <c r="G1608" i="3"/>
  <c r="I1641" i="3"/>
  <c r="I1640" i="3"/>
  <c r="G1628" i="3"/>
  <c r="G1643" i="3"/>
  <c r="I1657" i="3"/>
  <c r="I1661" i="3"/>
  <c r="I1665" i="3"/>
  <c r="I1670" i="3"/>
  <c r="I1639" i="3"/>
  <c r="I1654" i="3"/>
  <c r="G1613" i="3"/>
  <c r="I1627" i="3"/>
  <c r="I1649" i="3"/>
  <c r="I1658" i="3"/>
  <c r="I1662" i="3"/>
  <c r="I1666" i="3"/>
  <c r="I1671" i="3"/>
  <c r="I1667" i="3"/>
  <c r="G1638" i="3"/>
  <c r="G1625" i="3"/>
  <c r="I1652" i="3"/>
  <c r="I1626" i="3"/>
  <c r="G1637" i="3"/>
  <c r="G1636" i="3"/>
  <c r="G1624" i="3"/>
  <c r="G1614" i="3"/>
  <c r="I1672" i="3"/>
  <c r="K1708" i="3"/>
  <c r="AJ1661" i="3"/>
  <c r="AJ1667" i="3"/>
  <c r="AJ1663" i="3"/>
  <c r="AJ1669" i="3"/>
  <c r="AJ1659" i="3"/>
  <c r="AJ1665" i="3"/>
  <c r="AJ1673" i="3"/>
  <c r="S1709" i="3"/>
  <c r="B1711" i="3"/>
  <c r="R1710" i="3" a="1"/>
  <c r="R1710" i="3" s="1"/>
  <c r="I1650" i="3"/>
  <c r="AQ1709" i="3"/>
  <c r="T1619" i="3"/>
  <c r="AQ1619" i="3"/>
  <c r="AQ1640" i="3"/>
  <c r="T1660" i="3"/>
  <c r="AQ1616" i="3"/>
  <c r="AQ1632" i="3"/>
  <c r="S1613" i="3"/>
  <c r="AQ1613" i="3"/>
  <c r="AQ1610" i="3"/>
  <c r="AQ1626" i="3"/>
  <c r="AQ1634" i="3"/>
  <c r="AQ1622" i="3"/>
  <c r="AQ1635" i="3"/>
  <c r="AQ1605" i="3"/>
  <c r="AQ1617" i="3"/>
  <c r="T1625" i="3"/>
  <c r="AQ1625" i="3"/>
  <c r="AQ1638" i="3"/>
  <c r="S1608" i="3"/>
  <c r="AQ1608" i="3"/>
  <c r="S1607" i="3"/>
  <c r="AQ1607" i="3"/>
  <c r="AQ1620" i="3"/>
  <c r="AQ1641" i="3"/>
  <c r="S1614" i="3"/>
  <c r="AQ1614" i="3"/>
  <c r="S1604" i="3"/>
  <c r="AQ1604" i="3"/>
  <c r="AQ1623" i="3"/>
  <c r="AQ1643" i="3"/>
  <c r="AQ1707" i="3"/>
  <c r="AQ1628" i="3"/>
  <c r="T1631" i="3"/>
  <c r="AQ1631" i="3"/>
  <c r="S1650" i="3"/>
  <c r="T1662" i="3"/>
  <c r="S1611" i="3"/>
  <c r="AQ1611" i="3"/>
  <c r="S1672" i="3"/>
  <c r="AQ1629" i="3"/>
  <c r="S1637" i="3"/>
  <c r="AQ1637" i="3"/>
  <c r="B1670" i="3"/>
  <c r="AJ1675" i="3"/>
  <c r="G1649" i="3"/>
  <c r="AJ1677" i="3"/>
  <c r="AJ1679" i="3"/>
  <c r="AJ1681" i="3"/>
  <c r="AJ1683" i="3"/>
  <c r="AJ1685" i="3"/>
  <c r="AJ1687" i="3"/>
  <c r="AJ1689" i="3"/>
  <c r="AJ1691" i="3"/>
  <c r="AJ1693" i="3"/>
  <c r="AJ1695" i="3"/>
  <c r="AJ1697" i="3"/>
  <c r="AJ1699" i="3"/>
  <c r="AJ1701" i="3"/>
  <c r="AJ1703" i="3"/>
  <c r="AJ1705" i="3"/>
  <c r="R1697" i="3" a="1"/>
  <c r="R1697" i="3" s="1"/>
  <c r="AQ1655" i="3"/>
  <c r="AJ1657" i="3"/>
  <c r="I1651" i="3"/>
  <c r="S1653" i="3"/>
  <c r="T1653" i="3"/>
  <c r="G1674" i="3"/>
  <c r="G1684" i="3"/>
  <c r="I1684" i="3"/>
  <c r="I1696" i="3"/>
  <c r="G1696" i="3"/>
  <c r="S1652" i="3"/>
  <c r="I1679" i="3"/>
  <c r="G1679" i="3"/>
  <c r="G1691" i="3"/>
  <c r="I1691" i="3"/>
  <c r="G1703" i="3"/>
  <c r="I1703" i="3"/>
  <c r="G1686" i="3"/>
  <c r="I1686" i="3"/>
  <c r="I1698" i="3"/>
  <c r="G1698" i="3"/>
  <c r="I1653" i="3"/>
  <c r="G1653" i="3"/>
  <c r="T1650" i="3"/>
  <c r="G1656" i="3"/>
  <c r="G1659" i="3"/>
  <c r="G1662" i="3"/>
  <c r="G1665" i="3"/>
  <c r="G1668" i="3"/>
  <c r="G1671" i="3"/>
  <c r="G1681" i="3"/>
  <c r="I1681" i="3"/>
  <c r="I1693" i="3"/>
  <c r="G1693" i="3"/>
  <c r="G1705" i="3"/>
  <c r="I1705" i="3"/>
  <c r="T1652" i="3"/>
  <c r="I1676" i="3"/>
  <c r="G1676" i="3"/>
  <c r="I1688" i="3"/>
  <c r="G1688" i="3"/>
  <c r="I1700" i="3"/>
  <c r="G1700" i="3"/>
  <c r="I1683" i="3"/>
  <c r="G1683" i="3"/>
  <c r="I1695" i="3"/>
  <c r="G1695" i="3"/>
  <c r="I1707" i="3"/>
  <c r="G1707" i="3"/>
  <c r="I1673" i="3"/>
  <c r="G1673" i="3"/>
  <c r="G1678" i="3"/>
  <c r="I1678" i="3"/>
  <c r="I1690" i="3"/>
  <c r="G1690" i="3"/>
  <c r="I1702" i="3"/>
  <c r="G1702" i="3"/>
  <c r="T1655" i="3"/>
  <c r="S1655" i="3"/>
  <c r="AQ1650" i="3"/>
  <c r="G1655" i="3"/>
  <c r="G1658" i="3"/>
  <c r="G1661" i="3"/>
  <c r="G1664" i="3"/>
  <c r="G1667" i="3"/>
  <c r="G1670" i="3"/>
  <c r="G1685" i="3"/>
  <c r="I1685" i="3"/>
  <c r="G1697" i="3"/>
  <c r="I1697" i="3"/>
  <c r="I1680" i="3"/>
  <c r="G1680" i="3"/>
  <c r="I1692" i="3"/>
  <c r="G1692" i="3"/>
  <c r="I1704" i="3"/>
  <c r="G1704" i="3"/>
  <c r="G1675" i="3"/>
  <c r="I1675" i="3"/>
  <c r="G1687" i="3"/>
  <c r="I1687" i="3"/>
  <c r="G1699" i="3"/>
  <c r="I1699" i="3"/>
  <c r="G1682" i="3"/>
  <c r="I1682" i="3"/>
  <c r="G1694" i="3"/>
  <c r="I1694" i="3"/>
  <c r="G1706" i="3"/>
  <c r="I1706" i="3"/>
  <c r="G1654" i="3"/>
  <c r="G1657" i="3"/>
  <c r="G1660" i="3"/>
  <c r="G1663" i="3"/>
  <c r="G1666" i="3"/>
  <c r="G1669" i="3"/>
  <c r="G1672" i="3"/>
  <c r="G1677" i="3"/>
  <c r="I1677" i="3"/>
  <c r="G1689" i="3"/>
  <c r="I1689" i="3"/>
  <c r="G1701" i="3"/>
  <c r="I1701" i="3"/>
  <c r="G1652" i="3"/>
  <c r="S1676" i="3"/>
  <c r="T1676" i="3"/>
  <c r="T1664" i="3"/>
  <c r="S1664" i="3"/>
  <c r="S1662" i="3"/>
  <c r="T1696" i="3"/>
  <c r="S1696" i="3"/>
  <c r="T1672" i="3"/>
  <c r="A1670" i="3"/>
  <c r="AS1670" i="3" s="1"/>
  <c r="AQ1652" i="3"/>
  <c r="AQ1653" i="3"/>
  <c r="S1658" i="3"/>
  <c r="T1658" i="3"/>
  <c r="T1684" i="3"/>
  <c r="S1684" i="3"/>
  <c r="T1694" i="3"/>
  <c r="S1694" i="3"/>
  <c r="T1700" i="3"/>
  <c r="S1700" i="3"/>
  <c r="T1707" i="3"/>
  <c r="S1707" i="3"/>
  <c r="T1702" i="3"/>
  <c r="S1702" i="3"/>
  <c r="T1643" i="3"/>
  <c r="S1643" i="3"/>
  <c r="T1644" i="3"/>
  <c r="S1644" i="3"/>
  <c r="I1643" i="3"/>
  <c r="G1642" i="3"/>
  <c r="G1644" i="3"/>
  <c r="AJ1644" i="3"/>
  <c r="G1640" i="3"/>
  <c r="I1624" i="3"/>
  <c r="I1613" i="3"/>
  <c r="I1614" i="3"/>
  <c r="S1625" i="3"/>
  <c r="I1628" i="3"/>
  <c r="I1612" i="3"/>
  <c r="T1613" i="3"/>
  <c r="T1614" i="3"/>
  <c r="I1618" i="3"/>
  <c r="G1626" i="3"/>
  <c r="G1615" i="3"/>
  <c r="I1633" i="3"/>
  <c r="I1637" i="3"/>
  <c r="G1632" i="3"/>
  <c r="I1616" i="3"/>
  <c r="I1623" i="3"/>
  <c r="I1630" i="3"/>
  <c r="I1625" i="3"/>
  <c r="G1639" i="3"/>
  <c r="T1637" i="3"/>
  <c r="I1638" i="3"/>
  <c r="G1635" i="3"/>
  <c r="G1621" i="3"/>
  <c r="I1620" i="3"/>
  <c r="I1629" i="3"/>
  <c r="S1631" i="3"/>
  <c r="I1634" i="3"/>
  <c r="G1641" i="3"/>
  <c r="G1627" i="3"/>
  <c r="I1619" i="3"/>
  <c r="I1631" i="3"/>
  <c r="I1636" i="3"/>
  <c r="I1622" i="3"/>
  <c r="I1617" i="3"/>
  <c r="S1620" i="3"/>
  <c r="T1620" i="3"/>
  <c r="T1617" i="3"/>
  <c r="S1617" i="3"/>
  <c r="S1623" i="3"/>
  <c r="T1623" i="3"/>
  <c r="T1628" i="3"/>
  <c r="S1628" i="3"/>
  <c r="T1640" i="3"/>
  <c r="S1640" i="3"/>
  <c r="T1641" i="3"/>
  <c r="S1641" i="3"/>
  <c r="T1635" i="3"/>
  <c r="S1635" i="3"/>
  <c r="S1629" i="3"/>
  <c r="T1629" i="3"/>
  <c r="T1622" i="3"/>
  <c r="S1622" i="3"/>
  <c r="T1638" i="3"/>
  <c r="S1638" i="3"/>
  <c r="S1626" i="3"/>
  <c r="T1626" i="3"/>
  <c r="T1632" i="3"/>
  <c r="S1632" i="3"/>
  <c r="T1634" i="3"/>
  <c r="S1634" i="3"/>
  <c r="T1616" i="3"/>
  <c r="S1616" i="3"/>
  <c r="S1619" i="3"/>
  <c r="I1604" i="3"/>
  <c r="I1611" i="3"/>
  <c r="I1610" i="3"/>
  <c r="I1608" i="3"/>
  <c r="I1606" i="3"/>
  <c r="I1607" i="3"/>
  <c r="I1609" i="3"/>
  <c r="I1605" i="3"/>
  <c r="I1603" i="3"/>
  <c r="T1611" i="3"/>
  <c r="S1610" i="3"/>
  <c r="T1610" i="3"/>
  <c r="T1607" i="3"/>
  <c r="T1608" i="3"/>
  <c r="S1605" i="3"/>
  <c r="T1605" i="3"/>
  <c r="T1604" i="3"/>
  <c r="O1600" i="3"/>
  <c r="AJ1600" i="3"/>
  <c r="O1601" i="3"/>
  <c r="R1601" i="3"/>
  <c r="AJ1601" i="3"/>
  <c r="O1602" i="3"/>
  <c r="R1602" i="3"/>
  <c r="AJ1602" i="3"/>
  <c r="F1600" i="3"/>
  <c r="F1601" i="3"/>
  <c r="F1602" i="3"/>
  <c r="F649" i="7"/>
  <c r="U1597" i="3" s="1"/>
  <c r="F650" i="7"/>
  <c r="U1600" i="3" s="1"/>
  <c r="F651" i="7"/>
  <c r="U1603" i="3" s="1"/>
  <c r="F652" i="7"/>
  <c r="U1606" i="3" s="1"/>
  <c r="F653" i="7"/>
  <c r="U1609" i="3" s="1"/>
  <c r="AJ1599" i="3"/>
  <c r="R1599" i="3"/>
  <c r="O1599" i="3"/>
  <c r="AJ1598" i="3"/>
  <c r="R1598" i="3"/>
  <c r="O1598" i="3"/>
  <c r="AJ1597" i="3"/>
  <c r="O1597" i="3"/>
  <c r="F1599" i="3"/>
  <c r="F1598" i="3"/>
  <c r="F1597" i="3"/>
  <c r="S1615" i="3" l="1"/>
  <c r="T1615" i="3"/>
  <c r="AQ1615" i="3"/>
  <c r="X1615" i="3"/>
  <c r="Y1615" i="3" s="1"/>
  <c r="AD1634" i="3"/>
  <c r="Y1634" i="3"/>
  <c r="AD1625" i="3"/>
  <c r="Y1625" i="3"/>
  <c r="Y1616" i="3"/>
  <c r="AD1616" i="3"/>
  <c r="Y1638" i="3"/>
  <c r="AD1638" i="3"/>
  <c r="AD1620" i="3"/>
  <c r="Y1620" i="3"/>
  <c r="AD1614" i="3"/>
  <c r="Y1614" i="3"/>
  <c r="Y1640" i="3"/>
  <c r="AD1640" i="3"/>
  <c r="Y1604" i="3"/>
  <c r="AD1604" i="3"/>
  <c r="Y1707" i="3"/>
  <c r="AD1707" i="3"/>
  <c r="AD1629" i="3"/>
  <c r="Y1629" i="3"/>
  <c r="AD1644" i="3"/>
  <c r="Y1644" i="3"/>
  <c r="AD1631" i="3"/>
  <c r="Y1631" i="3"/>
  <c r="AD1623" i="3"/>
  <c r="Y1623" i="3"/>
  <c r="AD1635" i="3"/>
  <c r="Y1635" i="3"/>
  <c r="Y1626" i="3"/>
  <c r="AD1626" i="3"/>
  <c r="AD1637" i="3"/>
  <c r="Y1637" i="3"/>
  <c r="AD1628" i="3"/>
  <c r="Y1628" i="3"/>
  <c r="AD1622" i="3"/>
  <c r="Y1622" i="3"/>
  <c r="Y1611" i="3"/>
  <c r="AD1611" i="3"/>
  <c r="AD1617" i="3"/>
  <c r="Y1617" i="3"/>
  <c r="Y1610" i="3"/>
  <c r="AD1610" i="3"/>
  <c r="AD1605" i="3"/>
  <c r="Y1605" i="3"/>
  <c r="Y1619" i="3"/>
  <c r="AD1619" i="3"/>
  <c r="AD1608" i="3"/>
  <c r="Y1608" i="3"/>
  <c r="Y1650" i="3"/>
  <c r="AD1650" i="3"/>
  <c r="Y1641" i="3"/>
  <c r="AD1641" i="3"/>
  <c r="AD1632" i="3"/>
  <c r="Y1632" i="3"/>
  <c r="Y1653" i="3"/>
  <c r="AD1653" i="3"/>
  <c r="AD1615" i="3"/>
  <c r="AD1652" i="3"/>
  <c r="Y1652" i="3"/>
  <c r="AD1643" i="3"/>
  <c r="Y1643" i="3"/>
  <c r="AD1607" i="3"/>
  <c r="Y1607" i="3"/>
  <c r="Y1709" i="3"/>
  <c r="AD1709" i="3"/>
  <c r="AD1655" i="3"/>
  <c r="Y1655" i="3"/>
  <c r="AD1613" i="3"/>
  <c r="Y1613" i="3"/>
  <c r="L1710" i="3"/>
  <c r="AR1599" i="3"/>
  <c r="AR1601" i="3"/>
  <c r="AR1600" i="3"/>
  <c r="AR1597" i="3"/>
  <c r="AR1598" i="3"/>
  <c r="AR1602" i="3"/>
  <c r="M1711" i="3" a="1"/>
  <c r="M1711" i="3" s="1"/>
  <c r="U1670" i="3"/>
  <c r="AC1664" i="3"/>
  <c r="X1684" i="3"/>
  <c r="X1660" i="3"/>
  <c r="X1662" i="3"/>
  <c r="X1702" i="3"/>
  <c r="AC1708" i="3"/>
  <c r="AC1696" i="3"/>
  <c r="AC1658" i="3"/>
  <c r="X1700" i="3"/>
  <c r="X1694" i="3"/>
  <c r="AQ1708" i="3"/>
  <c r="W1708" i="3"/>
  <c r="V1708" i="3"/>
  <c r="X1708" i="3"/>
  <c r="M1610" i="3" a="1"/>
  <c r="M1610" i="3" s="1"/>
  <c r="M1643" i="3" a="1"/>
  <c r="M1643" i="3" s="1"/>
  <c r="M1699" i="3" a="1"/>
  <c r="M1699" i="3" s="1"/>
  <c r="M1697" i="3" a="1"/>
  <c r="M1697" i="3" s="1"/>
  <c r="M1695" i="3" a="1"/>
  <c r="M1695" i="3" s="1"/>
  <c r="M1653" i="3" a="1"/>
  <c r="M1653" i="3" s="1"/>
  <c r="M1665" i="3" a="1"/>
  <c r="M1665" i="3" s="1"/>
  <c r="AA1709" i="3"/>
  <c r="M1667" i="3" a="1"/>
  <c r="M1667" i="3" s="1"/>
  <c r="M1619" i="3" a="1"/>
  <c r="M1619" i="3" s="1"/>
  <c r="M1687" i="3" a="1"/>
  <c r="M1687" i="3" s="1"/>
  <c r="M1685" i="3" a="1"/>
  <c r="M1685" i="3" s="1"/>
  <c r="M1702" i="3" a="1"/>
  <c r="M1702" i="3" s="1"/>
  <c r="M1683" i="3" a="1"/>
  <c r="M1683" i="3" s="1"/>
  <c r="M1681" i="3" a="1"/>
  <c r="M1681" i="3" s="1"/>
  <c r="M1684" i="3" a="1"/>
  <c r="M1684" i="3" s="1"/>
  <c r="M1657" i="3" a="1"/>
  <c r="M1657" i="3" s="1"/>
  <c r="M1632" i="3" a="1"/>
  <c r="M1632" i="3" s="1"/>
  <c r="M1625" i="3" a="1"/>
  <c r="M1625" i="3" s="1"/>
  <c r="M1628" i="3" a="1"/>
  <c r="M1628" i="3" s="1"/>
  <c r="M1650" i="3" a="1"/>
  <c r="M1650" i="3" s="1"/>
  <c r="M1672" i="3" a="1"/>
  <c r="M1672" i="3" s="1"/>
  <c r="M1623" i="3" a="1"/>
  <c r="M1623" i="3" s="1"/>
  <c r="M1675" i="3" a="1"/>
  <c r="M1675" i="3" s="1"/>
  <c r="M1700" i="3" a="1"/>
  <c r="M1700" i="3" s="1"/>
  <c r="M1662" i="3" a="1"/>
  <c r="M1662" i="3" s="1"/>
  <c r="M1644" i="3" a="1"/>
  <c r="M1644" i="3" s="1"/>
  <c r="M1635" i="3" a="1"/>
  <c r="M1635" i="3" s="1"/>
  <c r="M1634" i="3" a="1"/>
  <c r="M1634" i="3" s="1"/>
  <c r="M1616" i="3" a="1"/>
  <c r="M1616" i="3" s="1"/>
  <c r="M1614" i="3" a="1"/>
  <c r="M1614" i="3" s="1"/>
  <c r="M1701" i="3" a="1"/>
  <c r="M1701" i="3" s="1"/>
  <c r="M1703" i="3" a="1"/>
  <c r="M1703" i="3" s="1"/>
  <c r="M1658" i="3" a="1"/>
  <c r="M1658" i="3" s="1"/>
  <c r="M1640" i="3" a="1"/>
  <c r="M1640" i="3" s="1"/>
  <c r="M1604" i="3" a="1"/>
  <c r="M1604" i="3" s="1"/>
  <c r="M1613" i="3" a="1"/>
  <c r="M1613" i="3" s="1"/>
  <c r="M1641" i="3" a="1"/>
  <c r="M1641" i="3" s="1"/>
  <c r="M1663" i="3" a="1"/>
  <c r="M1663" i="3" s="1"/>
  <c r="M1696" i="3" a="1"/>
  <c r="M1696" i="3" s="1"/>
  <c r="M1605" i="3" a="1"/>
  <c r="M1605" i="3" s="1"/>
  <c r="M1689" i="3" a="1"/>
  <c r="M1689" i="3" s="1"/>
  <c r="M1691" i="3" a="1"/>
  <c r="M1691" i="3" s="1"/>
  <c r="M1659" i="3" a="1"/>
  <c r="M1659" i="3" s="1"/>
  <c r="M1611" i="3" a="1"/>
  <c r="M1611" i="3" s="1"/>
  <c r="M1661" i="3" a="1"/>
  <c r="M1661" i="3" s="1"/>
  <c r="M1629" i="3" a="1"/>
  <c r="M1629" i="3" s="1"/>
  <c r="M1620" i="3" a="1"/>
  <c r="M1620" i="3" s="1"/>
  <c r="M1694" i="3" a="1"/>
  <c r="M1694" i="3" s="1"/>
  <c r="M1673" i="3" a="1"/>
  <c r="M1673" i="3" s="1"/>
  <c r="M1676" i="3" a="1"/>
  <c r="M1676" i="3" s="1"/>
  <c r="M1626" i="3" a="1"/>
  <c r="M1626" i="3" s="1"/>
  <c r="M1693" i="3" a="1"/>
  <c r="M1693" i="3" s="1"/>
  <c r="M1637" i="3" a="1"/>
  <c r="M1637" i="3" s="1"/>
  <c r="M1607" i="3" a="1"/>
  <c r="M1607" i="3" s="1"/>
  <c r="M1677" i="3" a="1"/>
  <c r="M1677" i="3" s="1"/>
  <c r="M1655" i="3" a="1"/>
  <c r="M1655" i="3" s="1"/>
  <c r="M1617" i="3" a="1"/>
  <c r="M1617" i="3" s="1"/>
  <c r="M1707" i="3" a="1"/>
  <c r="M1707" i="3" s="1"/>
  <c r="M1705" i="3" a="1"/>
  <c r="M1705" i="3" s="1"/>
  <c r="M1679" i="3" a="1"/>
  <c r="M1679" i="3" s="1"/>
  <c r="M1652" i="3" a="1"/>
  <c r="M1652" i="3" s="1"/>
  <c r="M1664" i="3" a="1"/>
  <c r="M1664" i="3" s="1"/>
  <c r="M1631" i="3" a="1"/>
  <c r="M1631" i="3" s="1"/>
  <c r="M1608" i="3" a="1"/>
  <c r="M1608" i="3" s="1"/>
  <c r="M1622" i="3" a="1"/>
  <c r="M1622" i="3" s="1"/>
  <c r="M1638" i="3" a="1"/>
  <c r="M1638" i="3" s="1"/>
  <c r="M1615" i="3" a="1"/>
  <c r="M1615" i="3" s="1"/>
  <c r="M1660" i="3" a="1"/>
  <c r="M1660" i="3" s="1"/>
  <c r="X1696" i="3"/>
  <c r="V1600" i="3"/>
  <c r="W1600" i="3"/>
  <c r="W1597" i="3"/>
  <c r="V1597" i="3"/>
  <c r="V1603" i="3"/>
  <c r="W1603" i="3"/>
  <c r="W1609" i="3"/>
  <c r="V1609" i="3"/>
  <c r="W1606" i="3"/>
  <c r="V1606" i="3"/>
  <c r="X1679" i="3"/>
  <c r="X1664" i="3"/>
  <c r="AC1694" i="3"/>
  <c r="AC1700" i="3"/>
  <c r="AC1676" i="3"/>
  <c r="V1676" i="3"/>
  <c r="W1676" i="3"/>
  <c r="W1691" i="3"/>
  <c r="V1691" i="3"/>
  <c r="AC1675" i="3"/>
  <c r="X1675" i="3"/>
  <c r="S1699" i="3"/>
  <c r="X1699" i="3"/>
  <c r="X1673" i="3"/>
  <c r="AC1673" i="3"/>
  <c r="W1705" i="3"/>
  <c r="V1705" i="3"/>
  <c r="AC1667" i="3"/>
  <c r="W1667" i="3"/>
  <c r="V1667" i="3"/>
  <c r="V1680" i="3"/>
  <c r="W1680" i="3"/>
  <c r="V1677" i="3"/>
  <c r="W1677" i="3"/>
  <c r="T1695" i="3"/>
  <c r="X1695" i="3"/>
  <c r="V1700" i="3"/>
  <c r="W1700" i="3"/>
  <c r="V1662" i="3"/>
  <c r="W1662" i="3"/>
  <c r="V1686" i="3"/>
  <c r="W1686" i="3"/>
  <c r="V1674" i="3"/>
  <c r="W1674" i="3"/>
  <c r="AC1693" i="3"/>
  <c r="X1693" i="3"/>
  <c r="AC1662" i="3"/>
  <c r="AC1699" i="3"/>
  <c r="V1699" i="3"/>
  <c r="W1699" i="3"/>
  <c r="V1661" i="3"/>
  <c r="W1661" i="3"/>
  <c r="W1685" i="3"/>
  <c r="V1685" i="3"/>
  <c r="W1673" i="3"/>
  <c r="V1673" i="3"/>
  <c r="W1669" i="3"/>
  <c r="V1669" i="3"/>
  <c r="V1692" i="3"/>
  <c r="W1692" i="3"/>
  <c r="X1598" i="3"/>
  <c r="AC1598" i="3"/>
  <c r="AC1602" i="3"/>
  <c r="X1602" i="3"/>
  <c r="AC1691" i="3"/>
  <c r="X1691" i="3"/>
  <c r="X1667" i="3"/>
  <c r="V1693" i="3"/>
  <c r="W1693" i="3"/>
  <c r="V1665" i="3"/>
  <c r="W1665" i="3"/>
  <c r="AC1659" i="3"/>
  <c r="W1659" i="3"/>
  <c r="V1659" i="3"/>
  <c r="W1701" i="3"/>
  <c r="V1701" i="3"/>
  <c r="V1664" i="3"/>
  <c r="W1664" i="3"/>
  <c r="V1684" i="3"/>
  <c r="W1684" i="3"/>
  <c r="T1703" i="3"/>
  <c r="X1703" i="3"/>
  <c r="X1677" i="3"/>
  <c r="AC1677" i="3"/>
  <c r="V1675" i="3"/>
  <c r="W1675" i="3"/>
  <c r="AC1684" i="3"/>
  <c r="AC1683" i="3"/>
  <c r="V1683" i="3"/>
  <c r="W1683" i="3"/>
  <c r="V1706" i="3"/>
  <c r="W1706" i="3"/>
  <c r="AC1599" i="3"/>
  <c r="X1599" i="3"/>
  <c r="X1710" i="3"/>
  <c r="AC1710" i="3"/>
  <c r="S1689" i="3"/>
  <c r="X1689" i="3"/>
  <c r="AC1689" i="3"/>
  <c r="S1665" i="3"/>
  <c r="AC1665" i="3"/>
  <c r="X1665" i="3"/>
  <c r="X1676" i="3"/>
  <c r="V1694" i="3"/>
  <c r="W1694" i="3"/>
  <c r="V1666" i="3"/>
  <c r="W1666" i="3"/>
  <c r="AC1660" i="3"/>
  <c r="W1660" i="3"/>
  <c r="V1660" i="3"/>
  <c r="AC1702" i="3"/>
  <c r="W1702" i="3"/>
  <c r="V1702" i="3"/>
  <c r="AC1663" i="3"/>
  <c r="V1663" i="3"/>
  <c r="W1663" i="3"/>
  <c r="AC1697" i="3"/>
  <c r="X1697" i="3"/>
  <c r="V1678" i="3"/>
  <c r="W1678" i="3"/>
  <c r="X1601" i="3"/>
  <c r="AC1601" i="3"/>
  <c r="S1687" i="3"/>
  <c r="X1687" i="3"/>
  <c r="T1663" i="3"/>
  <c r="X1663" i="3"/>
  <c r="V1688" i="3"/>
  <c r="W1688" i="3"/>
  <c r="AC1703" i="3"/>
  <c r="V1703" i="3"/>
  <c r="W1703" i="3"/>
  <c r="V1696" i="3"/>
  <c r="W1696" i="3"/>
  <c r="X1658" i="3"/>
  <c r="V1658" i="3"/>
  <c r="W1658" i="3"/>
  <c r="AC1701" i="3"/>
  <c r="X1701" i="3"/>
  <c r="AC1685" i="3"/>
  <c r="X1685" i="3"/>
  <c r="T1661" i="3"/>
  <c r="X1661" i="3"/>
  <c r="AC1661" i="3"/>
  <c r="AC1687" i="3"/>
  <c r="V1687" i="3"/>
  <c r="W1687" i="3"/>
  <c r="V1704" i="3"/>
  <c r="W1704" i="3"/>
  <c r="AC1695" i="3"/>
  <c r="V1695" i="3"/>
  <c r="W1695" i="3"/>
  <c r="V1657" i="3"/>
  <c r="W1657" i="3"/>
  <c r="V1668" i="3"/>
  <c r="W1668" i="3"/>
  <c r="AC1679" i="3"/>
  <c r="V1679" i="3"/>
  <c r="W1679" i="3"/>
  <c r="X1683" i="3"/>
  <c r="S1659" i="3"/>
  <c r="X1659" i="3"/>
  <c r="V1681" i="3"/>
  <c r="W1681" i="3"/>
  <c r="V1697" i="3"/>
  <c r="W1697" i="3"/>
  <c r="V1690" i="3"/>
  <c r="W1690" i="3"/>
  <c r="AC1705" i="3"/>
  <c r="X1705" i="3"/>
  <c r="X1681" i="3"/>
  <c r="AC1681" i="3"/>
  <c r="X1657" i="3"/>
  <c r="AC1657" i="3"/>
  <c r="W1682" i="3"/>
  <c r="V1682" i="3"/>
  <c r="V1698" i="3"/>
  <c r="W1698" i="3"/>
  <c r="W1689" i="3"/>
  <c r="V1689" i="3"/>
  <c r="AG1709" i="3"/>
  <c r="N1665" i="3"/>
  <c r="N1661" i="3"/>
  <c r="N1635" i="3"/>
  <c r="N1640" i="3"/>
  <c r="N1641" i="3"/>
  <c r="N1644" i="3"/>
  <c r="N1663" i="3"/>
  <c r="N1708" i="3"/>
  <c r="S1703" i="3"/>
  <c r="T1699" i="3"/>
  <c r="T1659" i="3"/>
  <c r="S1661" i="3"/>
  <c r="T1665" i="3"/>
  <c r="T1689" i="3"/>
  <c r="T1657" i="3"/>
  <c r="S1683" i="3"/>
  <c r="S1657" i="3"/>
  <c r="S1695" i="3"/>
  <c r="T1683" i="3"/>
  <c r="S1663" i="3"/>
  <c r="N1659" i="3"/>
  <c r="N1632" i="3"/>
  <c r="S1691" i="3"/>
  <c r="S1705" i="3"/>
  <c r="T1667" i="3"/>
  <c r="T1705" i="3"/>
  <c r="T1691" i="3"/>
  <c r="S1679" i="3"/>
  <c r="T1679" i="3"/>
  <c r="S1667" i="3"/>
  <c r="D1742" i="3"/>
  <c r="T1675" i="3"/>
  <c r="D1741" i="3"/>
  <c r="T1687" i="3"/>
  <c r="S1675" i="3"/>
  <c r="B1671" i="3"/>
  <c r="AQ1710" i="3"/>
  <c r="AQ1703" i="3"/>
  <c r="AQ1665" i="3"/>
  <c r="AQ1659" i="3"/>
  <c r="AQ1695" i="3"/>
  <c r="AQ1689" i="3"/>
  <c r="AQ1677" i="3"/>
  <c r="AQ1664" i="3"/>
  <c r="AQ1700" i="3"/>
  <c r="E1671" i="3"/>
  <c r="C1671" i="3"/>
  <c r="K1664" i="3"/>
  <c r="K1660" i="3"/>
  <c r="K1672" i="3"/>
  <c r="N1667" i="3"/>
  <c r="K1659" i="3"/>
  <c r="K1662" i="3"/>
  <c r="K1632" i="3"/>
  <c r="K1655" i="3"/>
  <c r="N1652" i="3"/>
  <c r="K1658" i="3"/>
  <c r="K1670" i="3"/>
  <c r="K1616" i="3"/>
  <c r="K1676" i="3"/>
  <c r="K1689" i="3"/>
  <c r="K1705" i="3"/>
  <c r="K1666" i="3"/>
  <c r="K1657" i="3"/>
  <c r="K1635" i="3"/>
  <c r="K1642" i="3"/>
  <c r="K1663" i="3"/>
  <c r="K1678" i="3"/>
  <c r="K1654" i="3"/>
  <c r="L1709" i="3"/>
  <c r="K1656" i="3"/>
  <c r="G1600" i="3"/>
  <c r="K1694" i="3"/>
  <c r="K1692" i="3"/>
  <c r="K1614" i="3"/>
  <c r="K1682" i="3"/>
  <c r="K1653" i="3"/>
  <c r="N1657" i="3"/>
  <c r="K1603" i="3"/>
  <c r="K1643" i="3"/>
  <c r="K1702" i="3"/>
  <c r="K1626" i="3"/>
  <c r="K1633" i="3"/>
  <c r="K1690" i="3"/>
  <c r="N1626" i="3"/>
  <c r="G1597" i="3"/>
  <c r="G1598" i="3"/>
  <c r="K1629" i="3"/>
  <c r="K1638" i="3"/>
  <c r="K1680" i="3"/>
  <c r="K1639" i="3"/>
  <c r="K1674" i="3"/>
  <c r="K1698" i="3"/>
  <c r="G1602" i="3"/>
  <c r="K1612" i="3"/>
  <c r="K1691" i="3"/>
  <c r="K1634" i="3"/>
  <c r="G1599" i="3"/>
  <c r="K1620" i="3"/>
  <c r="K1618" i="3"/>
  <c r="K1624" i="3"/>
  <c r="N1610" i="3"/>
  <c r="K1617" i="3"/>
  <c r="K1700" i="3"/>
  <c r="K1686" i="3"/>
  <c r="K1649" i="3"/>
  <c r="K1640" i="3"/>
  <c r="K1668" i="3"/>
  <c r="K1611" i="3"/>
  <c r="K1622" i="3"/>
  <c r="K1687" i="3"/>
  <c r="N1655" i="3"/>
  <c r="K1669" i="3"/>
  <c r="K1636" i="3"/>
  <c r="K1630" i="3"/>
  <c r="K1696" i="3"/>
  <c r="K1651" i="3"/>
  <c r="K1667" i="3"/>
  <c r="K1627" i="3"/>
  <c r="K1665" i="3"/>
  <c r="K1641" i="3"/>
  <c r="K1615" i="3"/>
  <c r="K1644" i="3"/>
  <c r="I1601" i="3"/>
  <c r="K1675" i="3"/>
  <c r="K1695" i="3"/>
  <c r="K1684" i="3"/>
  <c r="L1708" i="3"/>
  <c r="N1710" i="3"/>
  <c r="K1652" i="3"/>
  <c r="K1671" i="3"/>
  <c r="K1661" i="3"/>
  <c r="K1621" i="3"/>
  <c r="K1650" i="3"/>
  <c r="K1704" i="3"/>
  <c r="K1703" i="3"/>
  <c r="K1613" i="3"/>
  <c r="N1683" i="3"/>
  <c r="K1683" i="3"/>
  <c r="N1625" i="3"/>
  <c r="K1625" i="3"/>
  <c r="N1677" i="3"/>
  <c r="K1677" i="3"/>
  <c r="K1679" i="3"/>
  <c r="K1706" i="3"/>
  <c r="N1631" i="3"/>
  <c r="K1631" i="3"/>
  <c r="K1623" i="3"/>
  <c r="N1693" i="3"/>
  <c r="K1693" i="3"/>
  <c r="K1688" i="3"/>
  <c r="K1685" i="3"/>
  <c r="N1699" i="3"/>
  <c r="K1699" i="3"/>
  <c r="K1673" i="3"/>
  <c r="K1681" i="3"/>
  <c r="N1701" i="3"/>
  <c r="K1701" i="3"/>
  <c r="K1619" i="3"/>
  <c r="K1697" i="3"/>
  <c r="N1637" i="3"/>
  <c r="K1637" i="3"/>
  <c r="N1628" i="3"/>
  <c r="K1628" i="3"/>
  <c r="N1707" i="3"/>
  <c r="K1707" i="3"/>
  <c r="AQ1684" i="3"/>
  <c r="AQ1658" i="3"/>
  <c r="AQ1702" i="3"/>
  <c r="AQ1676" i="3"/>
  <c r="S1710" i="3"/>
  <c r="T1710" i="3"/>
  <c r="R1711" i="3" a="1"/>
  <c r="R1711" i="3" s="1"/>
  <c r="N1711" i="3"/>
  <c r="N1650" i="3"/>
  <c r="AQ1673" i="3"/>
  <c r="AQ1693" i="3"/>
  <c r="AQ1683" i="3"/>
  <c r="AQ1662" i="3"/>
  <c r="AQ1696" i="3"/>
  <c r="AQ1685" i="3"/>
  <c r="AQ1644" i="3"/>
  <c r="AQ1599" i="3"/>
  <c r="AQ1667" i="3"/>
  <c r="AQ1602" i="3"/>
  <c r="AQ1691" i="3"/>
  <c r="AQ1679" i="3"/>
  <c r="AQ1701" i="3"/>
  <c r="AQ1657" i="3"/>
  <c r="AQ1705" i="3"/>
  <c r="AQ1663" i="3"/>
  <c r="AQ1687" i="3"/>
  <c r="AQ1681" i="3"/>
  <c r="AQ1699" i="3"/>
  <c r="AQ1694" i="3"/>
  <c r="AQ1661" i="3"/>
  <c r="S1601" i="3"/>
  <c r="AQ1601" i="3"/>
  <c r="AQ1675" i="3"/>
  <c r="AQ1660" i="3"/>
  <c r="AQ1598" i="3"/>
  <c r="T1697" i="3"/>
  <c r="AQ1697" i="3"/>
  <c r="S1697" i="3"/>
  <c r="AJ1670" i="3"/>
  <c r="N1675" i="3"/>
  <c r="N1685" i="3"/>
  <c r="N1695" i="3"/>
  <c r="N1705" i="3"/>
  <c r="N1703" i="3"/>
  <c r="N1687" i="3"/>
  <c r="N1697" i="3"/>
  <c r="N1691" i="3"/>
  <c r="N1673" i="3"/>
  <c r="N1689" i="3"/>
  <c r="N1681" i="3"/>
  <c r="N1653" i="3"/>
  <c r="N1679" i="3"/>
  <c r="T1685" i="3"/>
  <c r="S1685" i="3"/>
  <c r="T1693" i="3"/>
  <c r="S1693" i="3"/>
  <c r="T1701" i="3"/>
  <c r="S1701" i="3"/>
  <c r="T1677" i="3"/>
  <c r="S1677" i="3"/>
  <c r="A1671" i="3"/>
  <c r="AS1671" i="3" s="1"/>
  <c r="T1673" i="3"/>
  <c r="S1673" i="3"/>
  <c r="S1681" i="3"/>
  <c r="T1681" i="3"/>
  <c r="N1643" i="3"/>
  <c r="N1613" i="3"/>
  <c r="N1614" i="3"/>
  <c r="N1619" i="3"/>
  <c r="N1616" i="3"/>
  <c r="N1623" i="3"/>
  <c r="N1638" i="3"/>
  <c r="N1634" i="3"/>
  <c r="N1629" i="3"/>
  <c r="N1617" i="3"/>
  <c r="N1620" i="3"/>
  <c r="N1622" i="3"/>
  <c r="K1610" i="3"/>
  <c r="N1611" i="3"/>
  <c r="K1604" i="3"/>
  <c r="N1604" i="3"/>
  <c r="T1601" i="3"/>
  <c r="K1609" i="3"/>
  <c r="N1607" i="3"/>
  <c r="K1607" i="3"/>
  <c r="K1606" i="3"/>
  <c r="K1608" i="3"/>
  <c r="N1608" i="3"/>
  <c r="I1602" i="3"/>
  <c r="K1605" i="3"/>
  <c r="N1605" i="3"/>
  <c r="I1597" i="3"/>
  <c r="I1599" i="3"/>
  <c r="I1598" i="3"/>
  <c r="I1600" i="3"/>
  <c r="G1601" i="3"/>
  <c r="T1598" i="3"/>
  <c r="T1602" i="3"/>
  <c r="S1602" i="3"/>
  <c r="T1599" i="3"/>
  <c r="S1599" i="3"/>
  <c r="S1598" i="3"/>
  <c r="AD1657" i="3" l="1"/>
  <c r="Y1657" i="3"/>
  <c r="AD1681" i="3"/>
  <c r="Y1681" i="3"/>
  <c r="Y1705" i="3"/>
  <c r="AD1705" i="3"/>
  <c r="Y1659" i="3"/>
  <c r="Y1683" i="3"/>
  <c r="AD1679" i="3"/>
  <c r="AD1695" i="3"/>
  <c r="AD1687" i="3"/>
  <c r="AD1661" i="3"/>
  <c r="Y1661" i="3"/>
  <c r="Y1685" i="3"/>
  <c r="AD1685" i="3"/>
  <c r="Y1701" i="3"/>
  <c r="AD1701" i="3"/>
  <c r="Y1658" i="3"/>
  <c r="AD1703" i="3"/>
  <c r="Y1663" i="3"/>
  <c r="Y1687" i="3"/>
  <c r="AD1601" i="3"/>
  <c r="Y1601" i="3"/>
  <c r="Y1697" i="3"/>
  <c r="AD1697" i="3"/>
  <c r="AD1663" i="3"/>
  <c r="AD1702" i="3"/>
  <c r="AD1660" i="3"/>
  <c r="Y1676" i="3"/>
  <c r="Y1665" i="3"/>
  <c r="AD1665" i="3"/>
  <c r="AD1689" i="3"/>
  <c r="Y1689" i="3"/>
  <c r="AD1710" i="3"/>
  <c r="Y1710" i="3"/>
  <c r="Y1599" i="3"/>
  <c r="AD1599" i="3"/>
  <c r="AD1683" i="3"/>
  <c r="AD1684" i="3"/>
  <c r="AD1677" i="3"/>
  <c r="Y1677" i="3"/>
  <c r="Y1703" i="3"/>
  <c r="AD1659" i="3"/>
  <c r="Y1667" i="3"/>
  <c r="Y1691" i="3"/>
  <c r="AD1691" i="3"/>
  <c r="Y1602" i="3"/>
  <c r="AD1602" i="3"/>
  <c r="AD1598" i="3"/>
  <c r="Y1598" i="3"/>
  <c r="AD1699" i="3"/>
  <c r="AD1662" i="3"/>
  <c r="Y1693" i="3"/>
  <c r="AD1693" i="3"/>
  <c r="Y1695" i="3"/>
  <c r="AD1667" i="3"/>
  <c r="AD1673" i="3"/>
  <c r="Y1673" i="3"/>
  <c r="Y1699" i="3"/>
  <c r="Y1675" i="3"/>
  <c r="AD1675" i="3"/>
  <c r="AD1676" i="3"/>
  <c r="AD1700" i="3"/>
  <c r="AD1694" i="3"/>
  <c r="Y1664" i="3"/>
  <c r="Y1679" i="3"/>
  <c r="Y1696" i="3"/>
  <c r="AH1709" i="3"/>
  <c r="Y1708" i="3"/>
  <c r="Y1694" i="3"/>
  <c r="Y1700" i="3"/>
  <c r="AD1658" i="3"/>
  <c r="AD1696" i="3"/>
  <c r="AD1708" i="3"/>
  <c r="Y1702" i="3"/>
  <c r="Y1662" i="3"/>
  <c r="Y1660" i="3"/>
  <c r="Y1684" i="3"/>
  <c r="AD1664" i="3"/>
  <c r="W1670" i="3"/>
  <c r="V1670" i="3"/>
  <c r="N1671" i="3"/>
  <c r="U1672" i="3"/>
  <c r="U1671" i="3"/>
  <c r="AA1711" i="3"/>
  <c r="AA1629" i="3"/>
  <c r="AA1681" i="3"/>
  <c r="AA1640" i="3"/>
  <c r="AA1634" i="3"/>
  <c r="AA1689" i="3"/>
  <c r="AA1701" i="3"/>
  <c r="AA1635" i="3"/>
  <c r="AA1623" i="3"/>
  <c r="AA1691" i="3"/>
  <c r="N1615" i="3"/>
  <c r="AA1626" i="3"/>
  <c r="AA1665" i="3"/>
  <c r="AA1638" i="3"/>
  <c r="AA1677" i="3"/>
  <c r="M1599" i="3" a="1"/>
  <c r="M1599" i="3" s="1"/>
  <c r="AA1604" i="3"/>
  <c r="AA1619" i="3"/>
  <c r="AA1687" i="3"/>
  <c r="AA1707" i="3"/>
  <c r="AA1699" i="3"/>
  <c r="AA1710" i="3"/>
  <c r="AA1614" i="3"/>
  <c r="AA1703" i="3"/>
  <c r="AA1625" i="3"/>
  <c r="L1651" i="3"/>
  <c r="AA1632" i="3"/>
  <c r="AA1605" i="3"/>
  <c r="AA1611" i="3"/>
  <c r="AA1613" i="3"/>
  <c r="AA1705" i="3"/>
  <c r="AA1650" i="3"/>
  <c r="AA1628" i="3"/>
  <c r="AA1659" i="3"/>
  <c r="AA1697" i="3"/>
  <c r="AA1652" i="3"/>
  <c r="AA1708" i="3"/>
  <c r="M1602" i="3" a="1"/>
  <c r="M1602" i="3" s="1"/>
  <c r="AA1622" i="3"/>
  <c r="AA1685" i="3"/>
  <c r="AA1637" i="3"/>
  <c r="AA1693" i="3"/>
  <c r="AA1663" i="3"/>
  <c r="AA1661" i="3"/>
  <c r="M1598" i="3" a="1"/>
  <c r="M1598" i="3" s="1"/>
  <c r="AA1608" i="3"/>
  <c r="AA1675" i="3"/>
  <c r="AA1610" i="3"/>
  <c r="AA1657" i="3"/>
  <c r="AA1644" i="3"/>
  <c r="AA1617" i="3"/>
  <c r="AA1653" i="3"/>
  <c r="M1601" i="3" a="1"/>
  <c r="M1601" i="3" s="1"/>
  <c r="AA1655" i="3"/>
  <c r="AA1641" i="3"/>
  <c r="AA1607" i="3"/>
  <c r="AA1673" i="3"/>
  <c r="AA1616" i="3"/>
  <c r="AA1643" i="3"/>
  <c r="AA1695" i="3"/>
  <c r="AA1683" i="3"/>
  <c r="AA1620" i="3"/>
  <c r="AA1679" i="3"/>
  <c r="AA1631" i="3"/>
  <c r="M1671" i="3" a="1"/>
  <c r="M1671" i="3" s="1"/>
  <c r="X1711" i="3"/>
  <c r="AC1711" i="3"/>
  <c r="AG1667" i="3"/>
  <c r="AA1667" i="3"/>
  <c r="AG1711" i="3"/>
  <c r="AG1626" i="3"/>
  <c r="AG1663" i="3"/>
  <c r="L1653" i="3"/>
  <c r="L1672" i="3"/>
  <c r="N1664" i="3"/>
  <c r="N1660" i="3"/>
  <c r="AG1641" i="3"/>
  <c r="AG1708" i="3"/>
  <c r="AG1652" i="3"/>
  <c r="AG1644" i="3"/>
  <c r="AG1655" i="3"/>
  <c r="AG1640" i="3"/>
  <c r="L1677" i="3"/>
  <c r="AG1635" i="3"/>
  <c r="L1675" i="3"/>
  <c r="L1695" i="3"/>
  <c r="K1601" i="3"/>
  <c r="L1705" i="3"/>
  <c r="L1681" i="3"/>
  <c r="L1632" i="3"/>
  <c r="L1682" i="3"/>
  <c r="L1664" i="3"/>
  <c r="D1743" i="3"/>
  <c r="AG1661" i="3"/>
  <c r="AQ1711" i="3"/>
  <c r="R1671" i="3" a="1"/>
  <c r="R1671" i="3" s="1"/>
  <c r="L1666" i="3"/>
  <c r="L1676" i="3"/>
  <c r="L1694" i="3"/>
  <c r="L1680" i="3"/>
  <c r="L1649" i="3"/>
  <c r="L1662" i="3"/>
  <c r="N1601" i="3"/>
  <c r="L1678" i="3"/>
  <c r="L1702" i="3"/>
  <c r="AG1659" i="3"/>
  <c r="L1689" i="3"/>
  <c r="L1698" i="3"/>
  <c r="N1662" i="3"/>
  <c r="L1686" i="3"/>
  <c r="L1679" i="3"/>
  <c r="L1660" i="3"/>
  <c r="AG1657" i="3"/>
  <c r="L1690" i="3"/>
  <c r="L1613" i="3"/>
  <c r="L1699" i="3"/>
  <c r="L1703" i="3"/>
  <c r="L1684" i="3"/>
  <c r="L1691" i="3"/>
  <c r="L1659" i="3"/>
  <c r="AG1679" i="3"/>
  <c r="L1696" i="3"/>
  <c r="L1685" i="3"/>
  <c r="L1670" i="3"/>
  <c r="L1658" i="3"/>
  <c r="L1665" i="3"/>
  <c r="L1650" i="3"/>
  <c r="L1692" i="3"/>
  <c r="L1655" i="3"/>
  <c r="N1658" i="3"/>
  <c r="L1657" i="3"/>
  <c r="AG1637" i="3"/>
  <c r="N1672" i="3"/>
  <c r="AG1611" i="3"/>
  <c r="K1599" i="3"/>
  <c r="L1607" i="3"/>
  <c r="L1610" i="3"/>
  <c r="L1707" i="3"/>
  <c r="N1700" i="3"/>
  <c r="N1696" i="3"/>
  <c r="AG1619" i="3"/>
  <c r="L1683" i="3"/>
  <c r="L1621" i="3"/>
  <c r="AG1632" i="3"/>
  <c r="L1626" i="3"/>
  <c r="L1701" i="3"/>
  <c r="L1623" i="3"/>
  <c r="L1630" i="3"/>
  <c r="L1617" i="3"/>
  <c r="L1634" i="3"/>
  <c r="L1674" i="3"/>
  <c r="L1608" i="3"/>
  <c r="L1700" i="3"/>
  <c r="AG1629" i="3"/>
  <c r="L1614" i="3"/>
  <c r="AG1643" i="3"/>
  <c r="L1687" i="3"/>
  <c r="AG1623" i="3"/>
  <c r="L1661" i="3"/>
  <c r="L1656" i="3"/>
  <c r="L1644" i="3"/>
  <c r="L1631" i="3"/>
  <c r="AG1613" i="3"/>
  <c r="L1615" i="3"/>
  <c r="L1640" i="3"/>
  <c r="L1639" i="3"/>
  <c r="AG1693" i="3"/>
  <c r="L1693" i="3"/>
  <c r="N1694" i="3"/>
  <c r="AG1683" i="3"/>
  <c r="AG1631" i="3"/>
  <c r="L1671" i="3"/>
  <c r="L1688" i="3"/>
  <c r="L1625" i="3"/>
  <c r="AG1607" i="3"/>
  <c r="L1609" i="3"/>
  <c r="N1676" i="3"/>
  <c r="AG1687" i="3"/>
  <c r="AG1605" i="3"/>
  <c r="AG1689" i="3"/>
  <c r="AG1707" i="3"/>
  <c r="L1628" i="3"/>
  <c r="L1673" i="3"/>
  <c r="L1706" i="3"/>
  <c r="AG1703" i="3"/>
  <c r="L1652" i="3"/>
  <c r="L1641" i="3"/>
  <c r="L1636" i="3"/>
  <c r="L1622" i="3"/>
  <c r="L1624" i="3"/>
  <c r="L1612" i="3"/>
  <c r="L1663" i="3"/>
  <c r="N1684" i="3"/>
  <c r="L1633" i="3"/>
  <c r="L1603" i="3"/>
  <c r="L1668" i="3"/>
  <c r="AG1614" i="3"/>
  <c r="N1702" i="3"/>
  <c r="L1605" i="3"/>
  <c r="AG1604" i="3"/>
  <c r="AG1622" i="3"/>
  <c r="AG1638" i="3"/>
  <c r="AG1673" i="3"/>
  <c r="L1704" i="3"/>
  <c r="L1643" i="3"/>
  <c r="AG1653" i="3"/>
  <c r="L1604" i="3"/>
  <c r="L1637" i="3"/>
  <c r="AG1710" i="3"/>
  <c r="L1611" i="3"/>
  <c r="L1618" i="3"/>
  <c r="L1638" i="3"/>
  <c r="L1642" i="3"/>
  <c r="L1616" i="3"/>
  <c r="L1606" i="3"/>
  <c r="AG1695" i="3"/>
  <c r="L1667" i="3"/>
  <c r="K1602" i="3"/>
  <c r="AG1610" i="3"/>
  <c r="AG1665" i="3"/>
  <c r="AG1705" i="3"/>
  <c r="AG1650" i="3"/>
  <c r="L1669" i="3"/>
  <c r="L1654" i="3"/>
  <c r="AG1617" i="3"/>
  <c r="AG1675" i="3"/>
  <c r="AG1697" i="3"/>
  <c r="L1619" i="3"/>
  <c r="AG1634" i="3"/>
  <c r="AG1608" i="3"/>
  <c r="AG1620" i="3"/>
  <c r="AG1616" i="3"/>
  <c r="AG1677" i="3"/>
  <c r="AG1691" i="3"/>
  <c r="L1697" i="3"/>
  <c r="AG1685" i="3"/>
  <c r="L1627" i="3"/>
  <c r="L1620" i="3"/>
  <c r="L1629" i="3"/>
  <c r="L1635" i="3"/>
  <c r="AG1681" i="3"/>
  <c r="AG1699" i="3"/>
  <c r="AG1625" i="3"/>
  <c r="AG1628" i="3"/>
  <c r="AG1701" i="3"/>
  <c r="T1711" i="3"/>
  <c r="S1711" i="3"/>
  <c r="AJ1671" i="3"/>
  <c r="N1599" i="3"/>
  <c r="N1602" i="3"/>
  <c r="K1597" i="3"/>
  <c r="K1600" i="3"/>
  <c r="N1598" i="3"/>
  <c r="K1598" i="3"/>
  <c r="AD1711" i="3" l="1"/>
  <c r="Y1711" i="3"/>
  <c r="AH1644" i="3"/>
  <c r="AH1661" i="3"/>
  <c r="AH1650" i="3"/>
  <c r="AH1613" i="3"/>
  <c r="AH1623" i="3"/>
  <c r="AH1640" i="3"/>
  <c r="AH1711" i="3"/>
  <c r="AG1671" i="3"/>
  <c r="AA1671" i="3"/>
  <c r="AC1672" i="3"/>
  <c r="AG1615" i="3"/>
  <c r="X1672" i="3"/>
  <c r="W1672" i="3"/>
  <c r="V1672" i="3"/>
  <c r="X1671" i="3"/>
  <c r="AH1626" i="3"/>
  <c r="AH1655" i="3"/>
  <c r="AH1703" i="3"/>
  <c r="AA1615" i="3"/>
  <c r="AA1602" i="3"/>
  <c r="AA1599" i="3"/>
  <c r="AA1676" i="3"/>
  <c r="AA1658" i="3"/>
  <c r="AA1672" i="3"/>
  <c r="AH1631" i="3"/>
  <c r="AA1702" i="3"/>
  <c r="AA1696" i="3"/>
  <c r="AH1667" i="3"/>
  <c r="AA1694" i="3"/>
  <c r="AA1700" i="3"/>
  <c r="AA1601" i="3"/>
  <c r="AA1598" i="3"/>
  <c r="AH1710" i="3"/>
  <c r="AA1684" i="3"/>
  <c r="AA1662" i="3"/>
  <c r="AC1671" i="3"/>
  <c r="W1671" i="3"/>
  <c r="V1671" i="3"/>
  <c r="AG1664" i="3"/>
  <c r="AA1664" i="3"/>
  <c r="AG1660" i="3"/>
  <c r="AA1660" i="3"/>
  <c r="L1601" i="3"/>
  <c r="AH1652" i="3"/>
  <c r="AH1641" i="3"/>
  <c r="AH1679" i="3"/>
  <c r="AH1708" i="3"/>
  <c r="AH1663" i="3"/>
  <c r="AH1659" i="3"/>
  <c r="AH1635" i="3"/>
  <c r="AG1662" i="3"/>
  <c r="AG1601" i="3"/>
  <c r="S1671" i="3"/>
  <c r="T1671" i="3"/>
  <c r="AH1657" i="3"/>
  <c r="AH1643" i="3"/>
  <c r="AH1689" i="3"/>
  <c r="AH1687" i="3"/>
  <c r="L1600" i="3"/>
  <c r="AH1610" i="3"/>
  <c r="AH1693" i="3"/>
  <c r="AH1625" i="3"/>
  <c r="L1597" i="3"/>
  <c r="AH1617" i="3"/>
  <c r="AH1705" i="3"/>
  <c r="AH1683" i="3"/>
  <c r="AH1608" i="3"/>
  <c r="AH1634" i="3"/>
  <c r="AH1665" i="3"/>
  <c r="AH1695" i="3"/>
  <c r="AH1699" i="3"/>
  <c r="AG1694" i="3"/>
  <c r="AG1598" i="3"/>
  <c r="AH1632" i="3"/>
  <c r="AH1620" i="3"/>
  <c r="AH1697" i="3"/>
  <c r="AH1629" i="3"/>
  <c r="AH1604" i="3"/>
  <c r="AH1673" i="3"/>
  <c r="AH1607" i="3"/>
  <c r="AH1707" i="3"/>
  <c r="AH1622" i="3"/>
  <c r="AH1691" i="3"/>
  <c r="AH1685" i="3"/>
  <c r="AG1599" i="3"/>
  <c r="AG1700" i="3"/>
  <c r="AH1619" i="3"/>
  <c r="AH1616" i="3"/>
  <c r="AG1672" i="3"/>
  <c r="AG1658" i="3"/>
  <c r="AH1611" i="3"/>
  <c r="AH1605" i="3"/>
  <c r="AH1675" i="3"/>
  <c r="AH1638" i="3"/>
  <c r="AH1677" i="3"/>
  <c r="L1602" i="3"/>
  <c r="AG1702" i="3"/>
  <c r="AG1676" i="3"/>
  <c r="AH1681" i="3"/>
  <c r="AG1696" i="3"/>
  <c r="L1598" i="3"/>
  <c r="AH1628" i="3"/>
  <c r="AG1684" i="3"/>
  <c r="AG1602" i="3"/>
  <c r="AH1614" i="3"/>
  <c r="AH1701" i="3"/>
  <c r="AH1637" i="3"/>
  <c r="AH1653" i="3"/>
  <c r="L1599" i="3"/>
  <c r="AQ1672" i="3"/>
  <c r="AQ1671" i="3"/>
  <c r="AJ1596" i="3"/>
  <c r="R1596" i="3"/>
  <c r="O1596" i="3"/>
  <c r="AJ1595" i="3"/>
  <c r="R1595" i="3"/>
  <c r="O1595" i="3"/>
  <c r="AJ1594" i="3"/>
  <c r="O1594" i="3"/>
  <c r="F1594" i="3"/>
  <c r="F1595" i="3"/>
  <c r="F1596" i="3"/>
  <c r="C374" i="5"/>
  <c r="U356" i="8"/>
  <c r="V356" i="8"/>
  <c r="F648" i="7"/>
  <c r="U1594" i="3" s="1"/>
  <c r="AJ1593" i="3"/>
  <c r="R1593" i="3"/>
  <c r="O1593" i="3"/>
  <c r="AJ1592" i="3"/>
  <c r="R1592" i="3"/>
  <c r="O1592" i="3"/>
  <c r="AJ1591" i="3"/>
  <c r="O1591" i="3"/>
  <c r="F647" i="7"/>
  <c r="U1591" i="3" s="1"/>
  <c r="C373" i="5"/>
  <c r="U355" i="8"/>
  <c r="R1947" i="3" s="1"/>
  <c r="V355" i="8"/>
  <c r="M1947" i="3" s="1" a="1"/>
  <c r="M1947" i="3" s="1"/>
  <c r="N1947" i="3" s="1"/>
  <c r="F1591" i="3"/>
  <c r="F1592" i="3"/>
  <c r="F1593" i="3"/>
  <c r="AJ1590" i="3"/>
  <c r="R1590" i="3"/>
  <c r="O1590" i="3"/>
  <c r="AJ1589" i="3"/>
  <c r="O1589" i="3"/>
  <c r="F1590" i="3"/>
  <c r="F1589" i="3"/>
  <c r="F646" i="7"/>
  <c r="U1589" i="3" s="1"/>
  <c r="P1589" i="3"/>
  <c r="C372" i="5"/>
  <c r="V354" i="8"/>
  <c r="U354" i="8"/>
  <c r="AA1947" i="3" l="1"/>
  <c r="AG1947" i="3"/>
  <c r="Q1947" i="3"/>
  <c r="AQ1947" i="3"/>
  <c r="AC1947" i="3"/>
  <c r="AD1947" i="3" s="1"/>
  <c r="T1947" i="3"/>
  <c r="X1947" i="3"/>
  <c r="Y1947" i="3" s="1"/>
  <c r="S1947" i="3"/>
  <c r="R1589" i="3"/>
  <c r="X1589" i="3" s="1"/>
  <c r="M1838" i="3" a="1"/>
  <c r="M1838" i="3" s="1"/>
  <c r="R1594" i="3"/>
  <c r="AC1594" i="3" s="1"/>
  <c r="AD1671" i="3"/>
  <c r="AH1598" i="3"/>
  <c r="AH1601" i="3"/>
  <c r="Y1671" i="3"/>
  <c r="Y1672" i="3"/>
  <c r="AD1672" i="3"/>
  <c r="AH1671" i="3"/>
  <c r="AR1589" i="3"/>
  <c r="AR1596" i="3"/>
  <c r="AR1595" i="3"/>
  <c r="AR1592" i="3"/>
  <c r="AR1594" i="3"/>
  <c r="AR1591" i="3"/>
  <c r="AR1590" i="3"/>
  <c r="AR1593" i="3"/>
  <c r="R1591" i="3"/>
  <c r="R1838" i="3"/>
  <c r="AH1696" i="3"/>
  <c r="AH1676" i="3"/>
  <c r="AH1694" i="3"/>
  <c r="AH1615" i="3"/>
  <c r="V1589" i="3"/>
  <c r="W1589" i="3"/>
  <c r="V1591" i="3"/>
  <c r="W1591" i="3"/>
  <c r="V1594" i="3"/>
  <c r="W1594" i="3"/>
  <c r="X1596" i="3"/>
  <c r="AC1596" i="3"/>
  <c r="X1590" i="3"/>
  <c r="AC1590" i="3"/>
  <c r="X1592" i="3"/>
  <c r="AC1592" i="3"/>
  <c r="X1593" i="3"/>
  <c r="AC1593" i="3"/>
  <c r="X1595" i="3"/>
  <c r="AC1595" i="3"/>
  <c r="AH1702" i="3"/>
  <c r="AH1662" i="3"/>
  <c r="AH1684" i="3"/>
  <c r="AH1660" i="3"/>
  <c r="AH1664" i="3"/>
  <c r="AH1700" i="3"/>
  <c r="G1596" i="3"/>
  <c r="G1594" i="3"/>
  <c r="AH1602" i="3"/>
  <c r="AH1599" i="3"/>
  <c r="G1595" i="3"/>
  <c r="G1591" i="3"/>
  <c r="AH1658" i="3"/>
  <c r="G1593" i="3"/>
  <c r="G1592" i="3"/>
  <c r="G1589" i="3"/>
  <c r="G1590" i="3"/>
  <c r="AH1672" i="3"/>
  <c r="AQ1593" i="3"/>
  <c r="S1595" i="3"/>
  <c r="AQ1595" i="3"/>
  <c r="AQ1590" i="3"/>
  <c r="AQ1592" i="3"/>
  <c r="AQ1596" i="3"/>
  <c r="I1596" i="3"/>
  <c r="I1595" i="3"/>
  <c r="T1596" i="3"/>
  <c r="I1594" i="3"/>
  <c r="T1595" i="3"/>
  <c r="S1596" i="3"/>
  <c r="T1593" i="3"/>
  <c r="I1591" i="3"/>
  <c r="T1590" i="3"/>
  <c r="I1593" i="3"/>
  <c r="I1592" i="3"/>
  <c r="S1592" i="3"/>
  <c r="T1592" i="3"/>
  <c r="S1593" i="3"/>
  <c r="I1589" i="3"/>
  <c r="I1590" i="3"/>
  <c r="S1590" i="3"/>
  <c r="AQ1589" i="3" l="1"/>
  <c r="S1589" i="3"/>
  <c r="AH1947" i="3"/>
  <c r="AI1947" i="3" s="1"/>
  <c r="AB1947" i="3"/>
  <c r="AC1589" i="3"/>
  <c r="AD1589" i="3" s="1"/>
  <c r="T1589" i="3"/>
  <c r="N1838" i="3"/>
  <c r="S1594" i="3"/>
  <c r="T1594" i="3"/>
  <c r="AQ1594" i="3"/>
  <c r="X1594" i="3"/>
  <c r="Y1594" i="3" s="1"/>
  <c r="AD1595" i="3"/>
  <c r="Y1595" i="3"/>
  <c r="AD1593" i="3"/>
  <c r="Y1593" i="3"/>
  <c r="Y1589" i="3"/>
  <c r="AD1592" i="3"/>
  <c r="Y1592" i="3"/>
  <c r="AD1590" i="3"/>
  <c r="Y1590" i="3"/>
  <c r="AD1594" i="3"/>
  <c r="AD1596" i="3"/>
  <c r="Y1596" i="3"/>
  <c r="AQ1591" i="3"/>
  <c r="S1591" i="3"/>
  <c r="AC1591" i="3"/>
  <c r="X1591" i="3"/>
  <c r="T1591" i="3"/>
  <c r="X1838" i="3"/>
  <c r="S1838" i="3"/>
  <c r="AQ1838" i="3"/>
  <c r="AC1838" i="3"/>
  <c r="T1838" i="3"/>
  <c r="M1589" i="3" a="1"/>
  <c r="M1589" i="3" s="1"/>
  <c r="M1595" i="3" a="1"/>
  <c r="M1595" i="3" s="1"/>
  <c r="M1596" i="3" a="1"/>
  <c r="M1596" i="3" s="1"/>
  <c r="M1594" i="3" a="1"/>
  <c r="M1594" i="3" s="1"/>
  <c r="M1593" i="3" a="1"/>
  <c r="M1593" i="3" s="1"/>
  <c r="M1591" i="3" a="1"/>
  <c r="M1591" i="3" s="1"/>
  <c r="M1592" i="3" a="1"/>
  <c r="M1592" i="3" s="1"/>
  <c r="M1590" i="3" a="1"/>
  <c r="M1590" i="3" s="1"/>
  <c r="K1593" i="3"/>
  <c r="K1592" i="3"/>
  <c r="K1590" i="3"/>
  <c r="K1594" i="3"/>
  <c r="N1595" i="3"/>
  <c r="K1595" i="3"/>
  <c r="N1596" i="3"/>
  <c r="K1596" i="3"/>
  <c r="K1591" i="3"/>
  <c r="N1593" i="3"/>
  <c r="N1592" i="3"/>
  <c r="K1589" i="3"/>
  <c r="N1590" i="3"/>
  <c r="AA1838" i="3" l="1"/>
  <c r="AG1838" i="3"/>
  <c r="Q1838" i="3"/>
  <c r="AD1838" i="3"/>
  <c r="Y1838" i="3"/>
  <c r="Y1591" i="3"/>
  <c r="AD1591" i="3"/>
  <c r="AA1595" i="3"/>
  <c r="AA1596" i="3"/>
  <c r="AA1590" i="3"/>
  <c r="AA1592" i="3"/>
  <c r="AA1593" i="3"/>
  <c r="AG1595" i="3"/>
  <c r="L1593" i="3"/>
  <c r="L1592" i="3"/>
  <c r="L1596" i="3"/>
  <c r="N1591" i="3"/>
  <c r="L1590" i="3"/>
  <c r="L1589" i="3"/>
  <c r="N1589" i="3"/>
  <c r="L1595" i="3"/>
  <c r="L1594" i="3"/>
  <c r="AG1593" i="3"/>
  <c r="L1591" i="3"/>
  <c r="AG1590" i="3"/>
  <c r="AG1592" i="3"/>
  <c r="N1594" i="3"/>
  <c r="AG1596" i="3"/>
  <c r="F645" i="7"/>
  <c r="U1587" i="3" s="1"/>
  <c r="AJ1588" i="3"/>
  <c r="R1588" i="3"/>
  <c r="O1588" i="3"/>
  <c r="AJ1587" i="3"/>
  <c r="O1587" i="3"/>
  <c r="F1588" i="3"/>
  <c r="F1587" i="3"/>
  <c r="C370" i="5"/>
  <c r="C371" i="5"/>
  <c r="D353" i="8"/>
  <c r="U353" i="8" s="1"/>
  <c r="C353" i="8"/>
  <c r="M353" i="8" s="1"/>
  <c r="F644" i="7"/>
  <c r="U1585" i="3" s="1"/>
  <c r="AJ1586" i="3"/>
  <c r="R1586" i="3" a="1"/>
  <c r="R1586" i="3" s="1"/>
  <c r="O1586" i="3"/>
  <c r="AJ1585" i="3"/>
  <c r="O1585" i="3"/>
  <c r="F1585" i="3"/>
  <c r="F1586" i="3"/>
  <c r="I370" i="5"/>
  <c r="I371" i="5" s="1"/>
  <c r="AJ1584" i="3"/>
  <c r="R1584" i="3" a="1"/>
  <c r="R1584" i="3" s="1"/>
  <c r="O1584" i="3"/>
  <c r="AJ1583" i="3"/>
  <c r="O1583" i="3"/>
  <c r="F1584" i="3"/>
  <c r="F1583" i="3"/>
  <c r="F643" i="7"/>
  <c r="U1583" i="3" s="1"/>
  <c r="F642" i="7"/>
  <c r="U1581" i="3" s="1"/>
  <c r="F641" i="7"/>
  <c r="U1579" i="3" s="1"/>
  <c r="F640" i="7"/>
  <c r="F639" i="7"/>
  <c r="U1572" i="3" s="1"/>
  <c r="AJ1582" i="3"/>
  <c r="R1582" i="3" a="1"/>
  <c r="R1582" i="3" s="1"/>
  <c r="O1582" i="3"/>
  <c r="AJ1581" i="3"/>
  <c r="O1581" i="3"/>
  <c r="AJ1580" i="3"/>
  <c r="R1580" i="3" a="1"/>
  <c r="R1580" i="3" s="1"/>
  <c r="O1580" i="3"/>
  <c r="AJ1579" i="3"/>
  <c r="O1579" i="3"/>
  <c r="F1582" i="3"/>
  <c r="F1581" i="3"/>
  <c r="F1580" i="3"/>
  <c r="F1579" i="3"/>
  <c r="L352" i="8"/>
  <c r="M352" i="8"/>
  <c r="O1576" i="3"/>
  <c r="F1576" i="3"/>
  <c r="E1576" i="3"/>
  <c r="C1576" i="3"/>
  <c r="B1576" i="3"/>
  <c r="A1576" i="3"/>
  <c r="E666" i="4"/>
  <c r="I784" i="4" l="1"/>
  <c r="J784" i="4"/>
  <c r="M784" i="4"/>
  <c r="L784" i="4"/>
  <c r="M781" i="4"/>
  <c r="M782" i="4"/>
  <c r="J781" i="4"/>
  <c r="J780" i="4"/>
  <c r="M783" i="4"/>
  <c r="J782" i="4"/>
  <c r="M780" i="4"/>
  <c r="J783" i="4"/>
  <c r="M779" i="4"/>
  <c r="J779" i="4"/>
  <c r="M778" i="4"/>
  <c r="AS1576" i="3"/>
  <c r="J778" i="4"/>
  <c r="I777" i="4"/>
  <c r="J777" i="4"/>
  <c r="L777" i="4"/>
  <c r="M777" i="4"/>
  <c r="J776" i="4"/>
  <c r="M776" i="4"/>
  <c r="M775" i="4"/>
  <c r="J775" i="4"/>
  <c r="J754" i="4"/>
  <c r="J766" i="4"/>
  <c r="J755" i="4"/>
  <c r="J767" i="4"/>
  <c r="M773" i="4"/>
  <c r="J756" i="4"/>
  <c r="J768" i="4"/>
  <c r="J757" i="4"/>
  <c r="J769" i="4"/>
  <c r="J758" i="4"/>
  <c r="J770" i="4"/>
  <c r="J759" i="4"/>
  <c r="J771" i="4"/>
  <c r="J760" i="4"/>
  <c r="J772" i="4"/>
  <c r="J761" i="4"/>
  <c r="J773" i="4"/>
  <c r="J762" i="4"/>
  <c r="J774" i="4"/>
  <c r="J763" i="4"/>
  <c r="J753" i="4"/>
  <c r="J764" i="4"/>
  <c r="M774" i="4"/>
  <c r="J765" i="4"/>
  <c r="AB1838" i="3"/>
  <c r="AH1838" i="3"/>
  <c r="AI1838" i="3" s="1"/>
  <c r="M772" i="4"/>
  <c r="M769" i="4"/>
  <c r="M766" i="4"/>
  <c r="M763" i="4"/>
  <c r="M760" i="4"/>
  <c r="M771" i="4"/>
  <c r="M768" i="4"/>
  <c r="M765" i="4"/>
  <c r="M762" i="4"/>
  <c r="M759" i="4"/>
  <c r="M770" i="4"/>
  <c r="L770" i="4"/>
  <c r="M767" i="4"/>
  <c r="M764" i="4"/>
  <c r="M761" i="4"/>
  <c r="M758" i="4"/>
  <c r="I770" i="4"/>
  <c r="R1579" i="3" a="1"/>
  <c r="R1579" i="3" s="1"/>
  <c r="AC1579" i="3" s="1"/>
  <c r="M757" i="4"/>
  <c r="M756" i="4"/>
  <c r="M755" i="4"/>
  <c r="L755" i="4"/>
  <c r="I755" i="4"/>
  <c r="M754" i="4"/>
  <c r="M753" i="4"/>
  <c r="L754" i="4"/>
  <c r="I754" i="4"/>
  <c r="L753" i="4"/>
  <c r="I753" i="4"/>
  <c r="M752" i="4"/>
  <c r="J752" i="4"/>
  <c r="M751" i="4"/>
  <c r="J751" i="4"/>
  <c r="J750" i="4"/>
  <c r="M750" i="4"/>
  <c r="J749" i="4"/>
  <c r="E749" i="4"/>
  <c r="M749" i="4"/>
  <c r="J748" i="4"/>
  <c r="M748" i="4"/>
  <c r="M747" i="4"/>
  <c r="J747" i="4"/>
  <c r="I747" i="4"/>
  <c r="L747" i="4"/>
  <c r="Q1589" i="3"/>
  <c r="AR1579" i="3"/>
  <c r="AR1582" i="3"/>
  <c r="AR1586" i="3"/>
  <c r="AR1587" i="3"/>
  <c r="AR1585" i="3"/>
  <c r="AR1588" i="3"/>
  <c r="AR1581" i="3"/>
  <c r="AR1583" i="3"/>
  <c r="AR1580" i="3"/>
  <c r="AR1576" i="3"/>
  <c r="AR1584" i="3"/>
  <c r="M745" i="4"/>
  <c r="J746" i="4"/>
  <c r="M746" i="4"/>
  <c r="J745" i="4"/>
  <c r="I745" i="4"/>
  <c r="L745" i="4"/>
  <c r="M744" i="4"/>
  <c r="J744" i="4"/>
  <c r="J743" i="4"/>
  <c r="M743" i="4"/>
  <c r="M742" i="4"/>
  <c r="J742" i="4"/>
  <c r="J741" i="4"/>
  <c r="M741" i="4"/>
  <c r="J740" i="4"/>
  <c r="M740" i="4"/>
  <c r="I739" i="4"/>
  <c r="J739" i="4"/>
  <c r="L739" i="4"/>
  <c r="M739" i="4"/>
  <c r="M738" i="4"/>
  <c r="J738" i="4"/>
  <c r="L737" i="4"/>
  <c r="M737" i="4"/>
  <c r="I737" i="4"/>
  <c r="J737" i="4"/>
  <c r="M734" i="4"/>
  <c r="M736" i="4"/>
  <c r="L736" i="4"/>
  <c r="M735" i="4"/>
  <c r="L734" i="4"/>
  <c r="M733" i="4"/>
  <c r="L733" i="4"/>
  <c r="L732" i="4"/>
  <c r="M732" i="4"/>
  <c r="J732" i="4"/>
  <c r="I734" i="4"/>
  <c r="J734" i="4"/>
  <c r="I733" i="4"/>
  <c r="I732" i="4"/>
  <c r="I736" i="4"/>
  <c r="J735" i="4"/>
  <c r="J736" i="4"/>
  <c r="J733" i="4"/>
  <c r="V353" i="8"/>
  <c r="M731" i="4"/>
  <c r="J731" i="4"/>
  <c r="I730" i="4"/>
  <c r="J730" i="4"/>
  <c r="L730" i="4"/>
  <c r="M730" i="4"/>
  <c r="M729" i="4"/>
  <c r="J729" i="4"/>
  <c r="P1466" i="3"/>
  <c r="P1502" i="3"/>
  <c r="P1482" i="3"/>
  <c r="P1462" i="3"/>
  <c r="P1522" i="3"/>
  <c r="P1476" i="3"/>
  <c r="M728" i="4"/>
  <c r="I1576" i="3"/>
  <c r="M727" i="4"/>
  <c r="E727" i="4"/>
  <c r="U1576" i="3"/>
  <c r="M726" i="4"/>
  <c r="E726" i="4"/>
  <c r="U1577" i="3"/>
  <c r="M725" i="4"/>
  <c r="L722" i="4"/>
  <c r="M724" i="4"/>
  <c r="L724" i="4"/>
  <c r="M722" i="4"/>
  <c r="M723" i="4"/>
  <c r="L721" i="4"/>
  <c r="M721" i="4"/>
  <c r="M720" i="4"/>
  <c r="M719" i="4"/>
  <c r="M718" i="4"/>
  <c r="L718" i="4"/>
  <c r="AA1589" i="3"/>
  <c r="AA1591" i="3"/>
  <c r="AA1594" i="3"/>
  <c r="M717" i="4"/>
  <c r="M716" i="4"/>
  <c r="M715" i="4"/>
  <c r="E717" i="4"/>
  <c r="E716" i="4"/>
  <c r="E715" i="4"/>
  <c r="L713" i="4"/>
  <c r="M713" i="4"/>
  <c r="L714" i="4"/>
  <c r="M714" i="4"/>
  <c r="V1581" i="3"/>
  <c r="W1581" i="3"/>
  <c r="V1583" i="3"/>
  <c r="W1583" i="3"/>
  <c r="V1585" i="3"/>
  <c r="W1585" i="3"/>
  <c r="W1572" i="3"/>
  <c r="V1572" i="3"/>
  <c r="V1579" i="3"/>
  <c r="W1579" i="3"/>
  <c r="V1587" i="3"/>
  <c r="W1587" i="3"/>
  <c r="X1582" i="3"/>
  <c r="AC1582" i="3"/>
  <c r="AC1588" i="3"/>
  <c r="X1588" i="3"/>
  <c r="AC1580" i="3"/>
  <c r="X1580" i="3"/>
  <c r="AC1586" i="3"/>
  <c r="X1586" i="3"/>
  <c r="X1584" i="3"/>
  <c r="AC1584" i="3"/>
  <c r="AH1595" i="3"/>
  <c r="R1576" i="3" a="1"/>
  <c r="R1576" i="3" s="1"/>
  <c r="AH1590" i="3"/>
  <c r="G1586" i="3"/>
  <c r="AH1593" i="3"/>
  <c r="AG1594" i="3"/>
  <c r="G1585" i="3"/>
  <c r="G1587" i="3"/>
  <c r="AH1592" i="3"/>
  <c r="G1583" i="3"/>
  <c r="G1588" i="3"/>
  <c r="AH1596" i="3"/>
  <c r="AG1591" i="3"/>
  <c r="G1579" i="3"/>
  <c r="G1584" i="3"/>
  <c r="G1580" i="3"/>
  <c r="G1581" i="3"/>
  <c r="G1582" i="3"/>
  <c r="AG1589" i="3"/>
  <c r="G1576" i="3"/>
  <c r="M712" i="4"/>
  <c r="L712" i="4"/>
  <c r="M707" i="4"/>
  <c r="M706" i="4"/>
  <c r="L707" i="4"/>
  <c r="L706" i="4"/>
  <c r="M711" i="4"/>
  <c r="L711" i="4"/>
  <c r="M705" i="4"/>
  <c r="L705" i="4"/>
  <c r="M708" i="4"/>
  <c r="L708" i="4"/>
  <c r="M704" i="4"/>
  <c r="M703" i="4"/>
  <c r="M701" i="4"/>
  <c r="M702" i="4"/>
  <c r="M700" i="4"/>
  <c r="L700" i="4"/>
  <c r="M699" i="4"/>
  <c r="L699" i="4"/>
  <c r="M698" i="4"/>
  <c r="L698" i="4"/>
  <c r="M697" i="4"/>
  <c r="L697" i="4"/>
  <c r="L696" i="4"/>
  <c r="M696" i="4"/>
  <c r="AQ1582" i="3"/>
  <c r="AQ1580" i="3"/>
  <c r="AQ1586" i="3"/>
  <c r="AQ1584" i="3"/>
  <c r="AQ1588" i="3"/>
  <c r="L695" i="4"/>
  <c r="M695" i="4"/>
  <c r="C665" i="4"/>
  <c r="M678" i="4"/>
  <c r="L678" i="4"/>
  <c r="E667" i="4"/>
  <c r="M666" i="4"/>
  <c r="L671" i="4"/>
  <c r="L692" i="4"/>
  <c r="M665" i="4"/>
  <c r="L665" i="4"/>
  <c r="M668" i="4"/>
  <c r="L673" i="4"/>
  <c r="L672" i="4"/>
  <c r="L670" i="4"/>
  <c r="M667" i="4"/>
  <c r="M674" i="4"/>
  <c r="L689" i="4"/>
  <c r="M673" i="4"/>
  <c r="L688" i="4"/>
  <c r="M687" i="4"/>
  <c r="M694" i="4"/>
  <c r="M690" i="4"/>
  <c r="M683" i="4"/>
  <c r="M682" i="4"/>
  <c r="M691" i="4"/>
  <c r="M689" i="4"/>
  <c r="M680" i="4"/>
  <c r="M671" i="4"/>
  <c r="M681" i="4"/>
  <c r="M685" i="4"/>
  <c r="M688" i="4"/>
  <c r="L679" i="4"/>
  <c r="M693" i="4"/>
  <c r="M684" i="4"/>
  <c r="M672" i="4"/>
  <c r="L683" i="4"/>
  <c r="L676" i="4"/>
  <c r="M670" i="4"/>
  <c r="M677" i="4"/>
  <c r="M679" i="4"/>
  <c r="M669" i="4"/>
  <c r="M692" i="4"/>
  <c r="L691" i="4"/>
  <c r="M686" i="4"/>
  <c r="M676" i="4"/>
  <c r="M675" i="4"/>
  <c r="E664" i="4"/>
  <c r="C664" i="4"/>
  <c r="M664" i="4"/>
  <c r="M658" i="4"/>
  <c r="M659" i="4"/>
  <c r="M660" i="4"/>
  <c r="M661" i="4"/>
  <c r="M662" i="4"/>
  <c r="M663" i="4"/>
  <c r="L655" i="4"/>
  <c r="M654" i="4"/>
  <c r="M655" i="4"/>
  <c r="M656" i="4"/>
  <c r="M657" i="4"/>
  <c r="E652" i="4"/>
  <c r="C642" i="4"/>
  <c r="C653" i="4"/>
  <c r="C643" i="4"/>
  <c r="M652" i="4"/>
  <c r="E653" i="4"/>
  <c r="C644" i="4"/>
  <c r="M650" i="4"/>
  <c r="C645" i="4"/>
  <c r="C634" i="4"/>
  <c r="C646" i="4"/>
  <c r="C635" i="4"/>
  <c r="C647" i="4"/>
  <c r="M653" i="4"/>
  <c r="C636" i="4"/>
  <c r="C648" i="4"/>
  <c r="C650" i="4"/>
  <c r="C637" i="4"/>
  <c r="C649" i="4"/>
  <c r="E650" i="4"/>
  <c r="C638" i="4"/>
  <c r="E649" i="4"/>
  <c r="C651" i="4"/>
  <c r="C639" i="4"/>
  <c r="M651" i="4"/>
  <c r="E651" i="4"/>
  <c r="C640" i="4"/>
  <c r="M649" i="4"/>
  <c r="C652" i="4"/>
  <c r="C641" i="4"/>
  <c r="AJ1576" i="3"/>
  <c r="E648" i="4"/>
  <c r="L648" i="4"/>
  <c r="M648" i="4"/>
  <c r="E647" i="4"/>
  <c r="L647" i="4"/>
  <c r="M647" i="4"/>
  <c r="E646" i="4"/>
  <c r="M646" i="4"/>
  <c r="L646" i="4"/>
  <c r="T1588" i="3"/>
  <c r="I1586" i="3"/>
  <c r="I1587" i="3"/>
  <c r="S1588" i="3"/>
  <c r="I1588" i="3"/>
  <c r="E645" i="4"/>
  <c r="E643" i="4"/>
  <c r="I1585" i="3"/>
  <c r="E644" i="4"/>
  <c r="L353" i="8"/>
  <c r="R1583" i="3" s="1" a="1"/>
  <c r="R1583" i="3" s="1"/>
  <c r="T1586" i="3"/>
  <c r="S1586" i="3"/>
  <c r="I1584" i="3"/>
  <c r="I1583" i="3"/>
  <c r="T1584" i="3"/>
  <c r="S1584" i="3"/>
  <c r="R1581" i="3" a="1"/>
  <c r="R1581" i="3" s="1"/>
  <c r="I1580" i="3"/>
  <c r="I1582" i="3"/>
  <c r="I1579" i="3"/>
  <c r="I1581" i="3"/>
  <c r="T1582" i="3"/>
  <c r="S1582" i="3"/>
  <c r="T1580" i="3"/>
  <c r="S1580" i="3"/>
  <c r="E641" i="4"/>
  <c r="E642" i="4"/>
  <c r="N784" i="4" l="1"/>
  <c r="K784" i="4"/>
  <c r="P784" i="4"/>
  <c r="N777" i="4"/>
  <c r="P777" i="4"/>
  <c r="K777" i="4"/>
  <c r="T1579" i="3"/>
  <c r="S1579" i="3"/>
  <c r="L641" i="4" s="1"/>
  <c r="X1579" i="3"/>
  <c r="Y1579" i="3" s="1"/>
  <c r="N770" i="4"/>
  <c r="K770" i="4"/>
  <c r="P770" i="4"/>
  <c r="AQ1579" i="3"/>
  <c r="N755" i="4"/>
  <c r="K755" i="4"/>
  <c r="P755" i="4"/>
  <c r="P753" i="4"/>
  <c r="K753" i="4"/>
  <c r="N753" i="4"/>
  <c r="P754" i="4"/>
  <c r="K754" i="4"/>
  <c r="N754" i="4"/>
  <c r="N747" i="4"/>
  <c r="K747" i="4"/>
  <c r="P747" i="4"/>
  <c r="AD1584" i="3"/>
  <c r="Y1584" i="3"/>
  <c r="AD1579" i="3"/>
  <c r="Y1586" i="3"/>
  <c r="AD1586" i="3"/>
  <c r="Y1580" i="3"/>
  <c r="AD1580" i="3"/>
  <c r="Y1588" i="3"/>
  <c r="AD1588" i="3"/>
  <c r="AD1582" i="3"/>
  <c r="Y1582" i="3"/>
  <c r="P745" i="4"/>
  <c r="N745" i="4"/>
  <c r="K745" i="4"/>
  <c r="K739" i="4"/>
  <c r="P739" i="4"/>
  <c r="R739" i="4" s="1"/>
  <c r="N739" i="4"/>
  <c r="P737" i="4"/>
  <c r="N737" i="4"/>
  <c r="K737" i="4"/>
  <c r="N734" i="4"/>
  <c r="N736" i="4"/>
  <c r="N732" i="4"/>
  <c r="K736" i="4"/>
  <c r="P736" i="4"/>
  <c r="P732" i="4"/>
  <c r="K732" i="4"/>
  <c r="N733" i="4"/>
  <c r="P733" i="4"/>
  <c r="P734" i="4"/>
  <c r="K734" i="4"/>
  <c r="K733" i="4"/>
  <c r="N730" i="4"/>
  <c r="K730" i="4"/>
  <c r="P730" i="4"/>
  <c r="N724" i="4"/>
  <c r="N722" i="4"/>
  <c r="N721" i="4"/>
  <c r="N718" i="4"/>
  <c r="N665" i="4"/>
  <c r="N707" i="4"/>
  <c r="N711" i="4"/>
  <c r="N678" i="4"/>
  <c r="N679" i="4"/>
  <c r="N647" i="4"/>
  <c r="N696" i="4"/>
  <c r="N691" i="4"/>
  <c r="N673" i="4"/>
  <c r="N697" i="4"/>
  <c r="N683" i="4"/>
  <c r="N698" i="4"/>
  <c r="N708" i="4"/>
  <c r="N670" i="4"/>
  <c r="N706" i="4"/>
  <c r="N713" i="4"/>
  <c r="N655" i="4"/>
  <c r="N695" i="4"/>
  <c r="N648" i="4"/>
  <c r="N688" i="4"/>
  <c r="N692" i="4"/>
  <c r="N712" i="4"/>
  <c r="N671" i="4"/>
  <c r="N699" i="4"/>
  <c r="N705" i="4"/>
  <c r="N689" i="4"/>
  <c r="N646" i="4"/>
  <c r="N676" i="4"/>
  <c r="N700" i="4"/>
  <c r="N672" i="4"/>
  <c r="N714" i="4"/>
  <c r="M1583" i="3" a="1"/>
  <c r="M1583" i="3" s="1"/>
  <c r="M1581" i="3" a="1"/>
  <c r="M1581" i="3" s="1"/>
  <c r="M1579" i="3" a="1"/>
  <c r="M1579" i="3" s="1"/>
  <c r="M1582" i="3" a="1"/>
  <c r="M1582" i="3" s="1"/>
  <c r="M1576" i="3" a="1"/>
  <c r="M1576" i="3" s="1"/>
  <c r="M1580" i="3" a="1"/>
  <c r="M1580" i="3" s="1"/>
  <c r="M1586" i="3" a="1"/>
  <c r="M1586" i="3" s="1"/>
  <c r="M1584" i="3" a="1"/>
  <c r="M1584" i="3" s="1"/>
  <c r="M1588" i="3" a="1"/>
  <c r="M1588" i="3" s="1"/>
  <c r="M1585" i="3" a="1"/>
  <c r="M1585" i="3" s="1"/>
  <c r="AB1589" i="3"/>
  <c r="X1581" i="3"/>
  <c r="AC1581" i="3"/>
  <c r="AC1583" i="3"/>
  <c r="X1583" i="3"/>
  <c r="T1576" i="3"/>
  <c r="X1576" i="3"/>
  <c r="AC1576" i="3"/>
  <c r="W1576" i="3"/>
  <c r="V1576" i="3"/>
  <c r="W1577" i="3"/>
  <c r="V1577" i="3"/>
  <c r="S1576" i="3"/>
  <c r="AQ1576" i="3"/>
  <c r="M645" i="4"/>
  <c r="AH1591" i="3"/>
  <c r="K1587" i="3"/>
  <c r="AH1589" i="3"/>
  <c r="AH1594" i="3"/>
  <c r="K1583" i="3"/>
  <c r="K1581" i="3"/>
  <c r="K1584" i="3"/>
  <c r="N1576" i="3"/>
  <c r="K1576" i="3"/>
  <c r="K1579" i="3"/>
  <c r="K1582" i="3"/>
  <c r="K1586" i="3"/>
  <c r="K1580" i="3"/>
  <c r="K1585" i="3"/>
  <c r="S1581" i="3"/>
  <c r="AQ1581" i="3"/>
  <c r="T1583" i="3"/>
  <c r="AQ1583" i="3"/>
  <c r="N1586" i="3"/>
  <c r="M642" i="4"/>
  <c r="K1588" i="3"/>
  <c r="N1588" i="3"/>
  <c r="M643" i="4"/>
  <c r="M644" i="4"/>
  <c r="S1583" i="3"/>
  <c r="R1585" i="3" a="1"/>
  <c r="R1585" i="3" s="1"/>
  <c r="M641" i="4"/>
  <c r="N1584" i="3"/>
  <c r="T1581" i="3"/>
  <c r="N1582" i="3"/>
  <c r="N1580" i="3"/>
  <c r="Q784" i="4" l="1"/>
  <c r="R784" i="4"/>
  <c r="Q777" i="4"/>
  <c r="R777" i="4"/>
  <c r="R770" i="4"/>
  <c r="Q770" i="4"/>
  <c r="Q755" i="4"/>
  <c r="R755" i="4"/>
  <c r="Q745" i="4"/>
  <c r="R754" i="4"/>
  <c r="Q754" i="4"/>
  <c r="R753" i="4"/>
  <c r="Q753" i="4"/>
  <c r="R737" i="4"/>
  <c r="R732" i="4"/>
  <c r="R747" i="4"/>
  <c r="Q747" i="4"/>
  <c r="AD1576" i="3"/>
  <c r="Y1576" i="3"/>
  <c r="Y1583" i="3"/>
  <c r="AD1583" i="3"/>
  <c r="AD1581" i="3"/>
  <c r="Y1581" i="3"/>
  <c r="R745" i="4"/>
  <c r="R734" i="4"/>
  <c r="R733" i="4"/>
  <c r="R736" i="4"/>
  <c r="R730" i="4"/>
  <c r="N641" i="4"/>
  <c r="AA1586" i="3"/>
  <c r="AA1588" i="3"/>
  <c r="AA1580" i="3"/>
  <c r="AA1582" i="3"/>
  <c r="AA1576" i="3"/>
  <c r="AA1584" i="3"/>
  <c r="AC1585" i="3"/>
  <c r="X1585" i="3"/>
  <c r="L643" i="4"/>
  <c r="L642" i="4"/>
  <c r="AG1576" i="3"/>
  <c r="AG1588" i="3"/>
  <c r="L1588" i="3"/>
  <c r="L1585" i="3"/>
  <c r="L1579" i="3"/>
  <c r="L1584" i="3"/>
  <c r="N1585" i="3"/>
  <c r="N1579" i="3"/>
  <c r="AG1584" i="3"/>
  <c r="L1580" i="3"/>
  <c r="L1581" i="3"/>
  <c r="L1583" i="3"/>
  <c r="AI1589" i="3"/>
  <c r="N1581" i="3"/>
  <c r="N1583" i="3"/>
  <c r="L1586" i="3"/>
  <c r="AG1586" i="3"/>
  <c r="L1582" i="3"/>
  <c r="L1576" i="3"/>
  <c r="L1587" i="3"/>
  <c r="AG1582" i="3"/>
  <c r="AG1580" i="3"/>
  <c r="AQ1585" i="3"/>
  <c r="T1585" i="3"/>
  <c r="S1585" i="3"/>
  <c r="Y1585" i="3" l="1"/>
  <c r="AD1585" i="3"/>
  <c r="AH1582" i="3"/>
  <c r="AH1586" i="3"/>
  <c r="N642" i="4"/>
  <c r="N643" i="4"/>
  <c r="AA1583" i="3"/>
  <c r="AA1579" i="3"/>
  <c r="AA1585" i="3"/>
  <c r="AA1581" i="3"/>
  <c r="L644" i="4"/>
  <c r="AG1583" i="3"/>
  <c r="AH1576" i="3"/>
  <c r="AG1581" i="3"/>
  <c r="AG1585" i="3"/>
  <c r="AH1588" i="3"/>
  <c r="AH1580" i="3"/>
  <c r="AH1584" i="3"/>
  <c r="AG1579" i="3"/>
  <c r="AJ1578" i="3"/>
  <c r="R1578" i="3" a="1"/>
  <c r="R1578" i="3" s="1"/>
  <c r="O1578" i="3"/>
  <c r="AJ1577" i="3"/>
  <c r="O1577" i="3"/>
  <c r="F1578" i="3"/>
  <c r="F1577" i="3"/>
  <c r="AJ1575" i="3"/>
  <c r="R1575" i="3" a="1"/>
  <c r="R1575" i="3" s="1"/>
  <c r="O1575" i="3"/>
  <c r="AJ1574" i="3"/>
  <c r="R1574" i="3" a="1"/>
  <c r="R1574" i="3" s="1"/>
  <c r="O1574" i="3"/>
  <c r="AJ1573" i="3"/>
  <c r="O1573" i="3"/>
  <c r="AJ1572" i="3"/>
  <c r="O1572" i="3"/>
  <c r="F1575" i="3"/>
  <c r="F1574" i="3"/>
  <c r="F1573" i="3"/>
  <c r="F1572" i="3"/>
  <c r="AH1585" i="3" l="1"/>
  <c r="AH1583" i="3"/>
  <c r="AR1572" i="3"/>
  <c r="AR1574" i="3"/>
  <c r="AR1573" i="3"/>
  <c r="AR1578" i="3"/>
  <c r="AR1575" i="3"/>
  <c r="AR1577" i="3"/>
  <c r="N644" i="4"/>
  <c r="X1574" i="3"/>
  <c r="AC1574" i="3"/>
  <c r="AC1575" i="3"/>
  <c r="X1575" i="3"/>
  <c r="X1578" i="3"/>
  <c r="AC1578" i="3"/>
  <c r="AH1581" i="3"/>
  <c r="G1578" i="3"/>
  <c r="AH1579" i="3"/>
  <c r="G1572" i="3"/>
  <c r="G1573" i="3"/>
  <c r="G1575" i="3"/>
  <c r="G1574" i="3"/>
  <c r="G1577" i="3"/>
  <c r="AQ1578" i="3"/>
  <c r="AQ1575" i="3"/>
  <c r="AQ1574" i="3"/>
  <c r="I1572" i="3"/>
  <c r="I1578" i="3"/>
  <c r="I1577" i="3"/>
  <c r="T1578" i="3"/>
  <c r="S1578" i="3"/>
  <c r="I1575" i="3"/>
  <c r="I1574" i="3"/>
  <c r="I1573" i="3"/>
  <c r="T1574" i="3"/>
  <c r="S1574" i="3"/>
  <c r="T1575" i="3"/>
  <c r="S1575" i="3"/>
  <c r="AD1578" i="3" l="1"/>
  <c r="Y1578" i="3"/>
  <c r="Y1575" i="3"/>
  <c r="AD1575" i="3"/>
  <c r="AD1574" i="3"/>
  <c r="Y1574" i="3"/>
  <c r="M1574" i="3" a="1"/>
  <c r="M1574" i="3" s="1"/>
  <c r="M1575" i="3" a="1"/>
  <c r="M1575" i="3" s="1"/>
  <c r="M1578" i="3" a="1"/>
  <c r="M1578" i="3" s="1"/>
  <c r="M640" i="4"/>
  <c r="K1578" i="3"/>
  <c r="K1572" i="3"/>
  <c r="K1577" i="3"/>
  <c r="K1573" i="3"/>
  <c r="K1575" i="3"/>
  <c r="K1574" i="3"/>
  <c r="M639" i="4"/>
  <c r="N1578" i="3"/>
  <c r="N1574" i="3"/>
  <c r="N1575" i="3"/>
  <c r="AA1575" i="3" l="1"/>
  <c r="AA1574" i="3"/>
  <c r="AA1578" i="3"/>
  <c r="AG1578" i="3"/>
  <c r="L1573" i="3"/>
  <c r="L1574" i="3"/>
  <c r="L1577" i="3"/>
  <c r="AG1574" i="3"/>
  <c r="L1572" i="3"/>
  <c r="L1575" i="3"/>
  <c r="AG1575" i="3"/>
  <c r="L1578" i="3"/>
  <c r="AH1575" i="3" l="1"/>
  <c r="AH1578" i="3"/>
  <c r="AH1574" i="3"/>
  <c r="F1452" i="3"/>
  <c r="O1452" i="3"/>
  <c r="R1452" i="3" a="1"/>
  <c r="R1452" i="3" s="1"/>
  <c r="V1452" i="3"/>
  <c r="AJ1452" i="3"/>
  <c r="F1427" i="3"/>
  <c r="O1427" i="3"/>
  <c r="R1427" i="3"/>
  <c r="V1427" i="3"/>
  <c r="AJ1427" i="3"/>
  <c r="F1413" i="3"/>
  <c r="O1413" i="3"/>
  <c r="R1413" i="3"/>
  <c r="V1413" i="3"/>
  <c r="AJ1413" i="3"/>
  <c r="F1398" i="3"/>
  <c r="O1398" i="3"/>
  <c r="R1398" i="3"/>
  <c r="V1398" i="3"/>
  <c r="AJ1398" i="3"/>
  <c r="F1392" i="3"/>
  <c r="O1392" i="3"/>
  <c r="R1392" i="3"/>
  <c r="V1392" i="3"/>
  <c r="AJ1392" i="3"/>
  <c r="F1389" i="3"/>
  <c r="O1389" i="3"/>
  <c r="R1389" i="3"/>
  <c r="V1389" i="3"/>
  <c r="AJ1389" i="3"/>
  <c r="F1386" i="3"/>
  <c r="O1386" i="3"/>
  <c r="R1386" i="3"/>
  <c r="V1386" i="3"/>
  <c r="AJ1386" i="3"/>
  <c r="F1383" i="3"/>
  <c r="O1383" i="3"/>
  <c r="R1383" i="3"/>
  <c r="V1383" i="3"/>
  <c r="AJ1383" i="3"/>
  <c r="F1380" i="3"/>
  <c r="O1380" i="3"/>
  <c r="R1380" i="3"/>
  <c r="V1380" i="3"/>
  <c r="AJ1380" i="3"/>
  <c r="F1365" i="3"/>
  <c r="O1365" i="3"/>
  <c r="R1365" i="3"/>
  <c r="V1365" i="3"/>
  <c r="AJ1365" i="3"/>
  <c r="F1350" i="3"/>
  <c r="O1350" i="3"/>
  <c r="R1350" i="3"/>
  <c r="V1350" i="3"/>
  <c r="AJ1350" i="3"/>
  <c r="F1347" i="3"/>
  <c r="O1347" i="3"/>
  <c r="R1347" i="3"/>
  <c r="V1347" i="3"/>
  <c r="AJ1347" i="3"/>
  <c r="O1344" i="3"/>
  <c r="R1344" i="3"/>
  <c r="V1344" i="3"/>
  <c r="AJ1344" i="3"/>
  <c r="F1344" i="3"/>
  <c r="O1341" i="3"/>
  <c r="R1341" i="3"/>
  <c r="V1341" i="3"/>
  <c r="AJ1341" i="3"/>
  <c r="F1341" i="3"/>
  <c r="O1335" i="3"/>
  <c r="R1335" i="3"/>
  <c r="V1335" i="3"/>
  <c r="AJ1335" i="3"/>
  <c r="F1335" i="3"/>
  <c r="AJ1571" i="3"/>
  <c r="R1571" i="3" a="1"/>
  <c r="R1571" i="3" s="1"/>
  <c r="O1571" i="3"/>
  <c r="AJ1570" i="3"/>
  <c r="O1570" i="3"/>
  <c r="F1571" i="3"/>
  <c r="F1570" i="3"/>
  <c r="E638" i="4"/>
  <c r="AR1386" i="3" l="1"/>
  <c r="AR1383" i="3"/>
  <c r="AR1571" i="3"/>
  <c r="AR1392" i="3"/>
  <c r="AR1344" i="3"/>
  <c r="AR1398" i="3"/>
  <c r="AR1350" i="3"/>
  <c r="AR1427" i="3"/>
  <c r="AR1335" i="3"/>
  <c r="AR1389" i="3"/>
  <c r="AR1347" i="3"/>
  <c r="AR1380" i="3"/>
  <c r="AR1452" i="3"/>
  <c r="AR1413" i="3"/>
  <c r="AR1341" i="3"/>
  <c r="AR1365" i="3"/>
  <c r="AR1570" i="3"/>
  <c r="X1571" i="3"/>
  <c r="AC1571" i="3"/>
  <c r="G1452" i="3"/>
  <c r="G1383" i="3"/>
  <c r="G1413" i="3"/>
  <c r="G1365" i="3"/>
  <c r="G1392" i="3"/>
  <c r="G1341" i="3"/>
  <c r="G1347" i="3"/>
  <c r="G1386" i="3"/>
  <c r="G1427" i="3"/>
  <c r="G1570" i="3"/>
  <c r="G1344" i="3"/>
  <c r="G1380" i="3"/>
  <c r="G1389" i="3"/>
  <c r="G1398" i="3"/>
  <c r="G1571" i="3"/>
  <c r="G1335" i="3"/>
  <c r="G1350" i="3"/>
  <c r="S1347" i="3"/>
  <c r="AQ1347" i="3"/>
  <c r="X1347" i="3"/>
  <c r="AC1347" i="3"/>
  <c r="S1386" i="3"/>
  <c r="AQ1386" i="3"/>
  <c r="AC1386" i="3"/>
  <c r="X1386" i="3"/>
  <c r="S1427" i="3"/>
  <c r="AQ1427" i="3"/>
  <c r="AC1427" i="3"/>
  <c r="X1427" i="3"/>
  <c r="S1392" i="3"/>
  <c r="AQ1392" i="3"/>
  <c r="X1392" i="3"/>
  <c r="AC1392" i="3"/>
  <c r="AQ1341" i="3"/>
  <c r="AC1341" i="3"/>
  <c r="X1341" i="3"/>
  <c r="S1380" i="3"/>
  <c r="AQ1380" i="3"/>
  <c r="X1380" i="3"/>
  <c r="AC1380" i="3"/>
  <c r="AQ1571" i="3"/>
  <c r="S1398" i="3"/>
  <c r="AQ1398" i="3"/>
  <c r="AC1398" i="3"/>
  <c r="X1398" i="3"/>
  <c r="S1350" i="3"/>
  <c r="AQ1350" i="3"/>
  <c r="AC1350" i="3"/>
  <c r="X1350" i="3"/>
  <c r="S1389" i="3"/>
  <c r="AQ1389" i="3"/>
  <c r="AC1389" i="3"/>
  <c r="X1389" i="3"/>
  <c r="AQ1344" i="3"/>
  <c r="AC1344" i="3"/>
  <c r="X1344" i="3"/>
  <c r="S1383" i="3"/>
  <c r="AC1383" i="3"/>
  <c r="X1383" i="3"/>
  <c r="AQ1383" i="3"/>
  <c r="S1452" i="3"/>
  <c r="AQ1452" i="3"/>
  <c r="AC1452" i="3"/>
  <c r="X1452" i="3"/>
  <c r="S1413" i="3"/>
  <c r="AQ1413" i="3"/>
  <c r="X1413" i="3"/>
  <c r="AC1413" i="3"/>
  <c r="AQ1335" i="3"/>
  <c r="AC1335" i="3"/>
  <c r="X1335" i="3"/>
  <c r="S1365" i="3"/>
  <c r="AQ1365" i="3"/>
  <c r="X1365" i="3"/>
  <c r="AC1365" i="3"/>
  <c r="W1452" i="3"/>
  <c r="I1452" i="3"/>
  <c r="T1452" i="3"/>
  <c r="W1427" i="3"/>
  <c r="I1427" i="3"/>
  <c r="T1427" i="3"/>
  <c r="W1413" i="3"/>
  <c r="I1413" i="3"/>
  <c r="T1413" i="3"/>
  <c r="W1398" i="3"/>
  <c r="I1398" i="3"/>
  <c r="T1398" i="3"/>
  <c r="W1392" i="3"/>
  <c r="I1392" i="3"/>
  <c r="T1392" i="3"/>
  <c r="W1389" i="3"/>
  <c r="I1389" i="3"/>
  <c r="T1389" i="3"/>
  <c r="W1386" i="3"/>
  <c r="I1386" i="3"/>
  <c r="T1386" i="3"/>
  <c r="W1383" i="3"/>
  <c r="I1383" i="3"/>
  <c r="T1383" i="3"/>
  <c r="W1380" i="3"/>
  <c r="I1380" i="3"/>
  <c r="T1380" i="3"/>
  <c r="W1365" i="3"/>
  <c r="I1365" i="3"/>
  <c r="T1365" i="3"/>
  <c r="I1350" i="3"/>
  <c r="W1347" i="3"/>
  <c r="I1347" i="3"/>
  <c r="T1347" i="3"/>
  <c r="T1344" i="3"/>
  <c r="S1344" i="3"/>
  <c r="I1344" i="3"/>
  <c r="W1344" i="3"/>
  <c r="T1341" i="3"/>
  <c r="I1341" i="3"/>
  <c r="S1341" i="3"/>
  <c r="W1341" i="3"/>
  <c r="I1335" i="3"/>
  <c r="S1335" i="3"/>
  <c r="I1571" i="3"/>
  <c r="I1570" i="3"/>
  <c r="S1571" i="3"/>
  <c r="T1571" i="3"/>
  <c r="AD1571" i="3" l="1"/>
  <c r="Y1571" i="3"/>
  <c r="M1350" i="3" a="1"/>
  <c r="M1350" i="3" s="1"/>
  <c r="M1389" i="3" a="1"/>
  <c r="M1389" i="3" s="1"/>
  <c r="M1341" i="3" a="1"/>
  <c r="M1341" i="3" s="1"/>
  <c r="M1427" i="3" a="1"/>
  <c r="M1427" i="3" s="1"/>
  <c r="M1380" i="3" a="1"/>
  <c r="M1380" i="3" s="1"/>
  <c r="M1344" i="3" a="1"/>
  <c r="M1344" i="3" s="1"/>
  <c r="M1392" i="3" a="1"/>
  <c r="M1392" i="3" s="1"/>
  <c r="M1383" i="3" a="1"/>
  <c r="M1383" i="3" s="1"/>
  <c r="M1398" i="3" a="1"/>
  <c r="M1398" i="3" s="1"/>
  <c r="M1452" i="3" a="1"/>
  <c r="M1452" i="3" s="1"/>
  <c r="M1335" i="3" a="1"/>
  <c r="M1335" i="3" s="1"/>
  <c r="M1571" i="3" a="1"/>
  <c r="M1571" i="3" s="1"/>
  <c r="M1347" i="3" a="1"/>
  <c r="M1347" i="3" s="1"/>
  <c r="M1365" i="3" a="1"/>
  <c r="M1365" i="3" s="1"/>
  <c r="M1386" i="3" a="1"/>
  <c r="M1386" i="3" s="1"/>
  <c r="M1413" i="3" a="1"/>
  <c r="M1413" i="3" s="1"/>
  <c r="AD1398" i="3"/>
  <c r="M638" i="4"/>
  <c r="AD1365" i="3"/>
  <c r="Y1365" i="3"/>
  <c r="AD1413" i="3"/>
  <c r="Y1413" i="3"/>
  <c r="Y1452" i="3"/>
  <c r="AD1452" i="3"/>
  <c r="Y1383" i="3"/>
  <c r="AD1383" i="3"/>
  <c r="Y1344" i="3"/>
  <c r="AD1344" i="3"/>
  <c r="Y1389" i="3"/>
  <c r="AD1389" i="3"/>
  <c r="Y1398" i="3"/>
  <c r="AD1380" i="3"/>
  <c r="Y1380" i="3"/>
  <c r="Y1341" i="3"/>
  <c r="AD1341" i="3"/>
  <c r="AD1392" i="3"/>
  <c r="Y1392" i="3"/>
  <c r="Y1427" i="3"/>
  <c r="AD1427" i="3"/>
  <c r="Y1386" i="3"/>
  <c r="AD1386" i="3"/>
  <c r="AD1347" i="3"/>
  <c r="Y1347" i="3"/>
  <c r="K1452" i="3"/>
  <c r="K1344" i="3"/>
  <c r="K1570" i="3"/>
  <c r="K1571" i="3"/>
  <c r="K1335" i="3"/>
  <c r="K1341" i="3"/>
  <c r="N1452" i="3"/>
  <c r="K1427" i="3"/>
  <c r="N1427" i="3"/>
  <c r="K1413" i="3"/>
  <c r="N1413" i="3"/>
  <c r="K1398" i="3"/>
  <c r="N1398" i="3"/>
  <c r="K1392" i="3"/>
  <c r="N1392" i="3"/>
  <c r="K1389" i="3"/>
  <c r="N1389" i="3"/>
  <c r="K1386" i="3"/>
  <c r="N1386" i="3"/>
  <c r="K1383" i="3"/>
  <c r="N1383" i="3"/>
  <c r="K1380" i="3"/>
  <c r="N1380" i="3"/>
  <c r="K1365" i="3"/>
  <c r="N1365" i="3"/>
  <c r="K1350" i="3"/>
  <c r="N1350" i="3"/>
  <c r="K1347" i="3"/>
  <c r="N1347" i="3"/>
  <c r="N1344" i="3"/>
  <c r="N1341" i="3"/>
  <c r="N1335" i="3"/>
  <c r="N1571" i="3"/>
  <c r="AA1571" i="3" l="1"/>
  <c r="L1380" i="3"/>
  <c r="L1392" i="3"/>
  <c r="AG1344" i="3"/>
  <c r="AG1398" i="3"/>
  <c r="L1570" i="3"/>
  <c r="AG1452" i="3"/>
  <c r="L1398" i="3"/>
  <c r="L1347" i="3"/>
  <c r="L1383" i="3"/>
  <c r="L1341" i="3"/>
  <c r="AG1350" i="3"/>
  <c r="AG1386" i="3"/>
  <c r="AG1413" i="3"/>
  <c r="AG1380" i="3"/>
  <c r="L1344" i="3"/>
  <c r="AG1347" i="3"/>
  <c r="AG1383" i="3"/>
  <c r="AG1571" i="3"/>
  <c r="L1386" i="3"/>
  <c r="L1413" i="3"/>
  <c r="AG1365" i="3"/>
  <c r="AG1389" i="3"/>
  <c r="AG1427" i="3"/>
  <c r="AG1392" i="3"/>
  <c r="AG1335" i="3"/>
  <c r="AG1341" i="3"/>
  <c r="L1365" i="3"/>
  <c r="L1389" i="3"/>
  <c r="L1427" i="3"/>
  <c r="L1571" i="3"/>
  <c r="L1452" i="3"/>
  <c r="AA1452" i="3"/>
  <c r="AA1427" i="3"/>
  <c r="AA1413" i="3"/>
  <c r="AA1398" i="3"/>
  <c r="AA1392" i="3"/>
  <c r="AA1389" i="3"/>
  <c r="AA1386" i="3"/>
  <c r="AA1383" i="3"/>
  <c r="AA1380" i="3"/>
  <c r="AA1365" i="3"/>
  <c r="AA1344" i="3"/>
  <c r="AA1347" i="3"/>
  <c r="AA1341" i="3"/>
  <c r="AH1427" i="3" l="1"/>
  <c r="AH1571" i="3"/>
  <c r="AH1344" i="3"/>
  <c r="AH1365" i="3"/>
  <c r="AH1383" i="3"/>
  <c r="AH1347" i="3"/>
  <c r="AH1386" i="3"/>
  <c r="AH1389" i="3"/>
  <c r="AH1392" i="3"/>
  <c r="AH1341" i="3"/>
  <c r="AH1398" i="3"/>
  <c r="AH1452" i="3"/>
  <c r="AH1380" i="3"/>
  <c r="AH1413" i="3"/>
  <c r="E637" i="4"/>
  <c r="AJ1569" i="3"/>
  <c r="R1569" i="3" a="1"/>
  <c r="R1569" i="3" s="1"/>
  <c r="O1569" i="3"/>
  <c r="AJ1568" i="3"/>
  <c r="O1568" i="3"/>
  <c r="F1569" i="3"/>
  <c r="F1568" i="3"/>
  <c r="C367" i="5"/>
  <c r="L351" i="8"/>
  <c r="M351" i="8"/>
  <c r="E636" i="4"/>
  <c r="AJ1567" i="3"/>
  <c r="R1567" i="3" a="1"/>
  <c r="R1567" i="3" s="1"/>
  <c r="O1567" i="3"/>
  <c r="AJ1566" i="3"/>
  <c r="O1566" i="3"/>
  <c r="F1567" i="3"/>
  <c r="C366" i="5"/>
  <c r="F1566" i="3"/>
  <c r="L350" i="8"/>
  <c r="M350" i="8"/>
  <c r="R1570" i="3" l="1" a="1"/>
  <c r="R1570" i="3" s="1"/>
  <c r="AC1570" i="3" s="1"/>
  <c r="M1654" i="3" a="1"/>
  <c r="M1654" i="3" s="1"/>
  <c r="M1570" i="3" a="1"/>
  <c r="M1570" i="3" s="1"/>
  <c r="AR1569" i="3"/>
  <c r="AR1567" i="3"/>
  <c r="AR1566" i="3"/>
  <c r="AR1568" i="3"/>
  <c r="P1566" i="3"/>
  <c r="P1654" i="3"/>
  <c r="X1569" i="3"/>
  <c r="AC1569" i="3"/>
  <c r="X1567" i="3"/>
  <c r="AC1567" i="3"/>
  <c r="R1568" i="3" a="1"/>
  <c r="R1568" i="3" s="1"/>
  <c r="G1566" i="3"/>
  <c r="G1568" i="3"/>
  <c r="G1569" i="3"/>
  <c r="G1567" i="3"/>
  <c r="R1566" i="3" a="1"/>
  <c r="R1566" i="3" s="1"/>
  <c r="R1654" i="3" a="1"/>
  <c r="R1654" i="3" s="1"/>
  <c r="AQ1567" i="3"/>
  <c r="AQ1569" i="3"/>
  <c r="I1568" i="3"/>
  <c r="I1569" i="3"/>
  <c r="T1569" i="3"/>
  <c r="S1569" i="3"/>
  <c r="I1567" i="3"/>
  <c r="I1566" i="3"/>
  <c r="T1567" i="3"/>
  <c r="S1567" i="3"/>
  <c r="E635" i="4"/>
  <c r="C13" i="5"/>
  <c r="F635" i="7"/>
  <c r="U1561" i="3" s="1"/>
  <c r="AJ1565" i="3"/>
  <c r="R1565" i="3" a="1"/>
  <c r="R1565" i="3" s="1"/>
  <c r="O1565" i="3"/>
  <c r="AJ1564" i="3"/>
  <c r="R1564" i="3" a="1"/>
  <c r="R1564" i="3" s="1"/>
  <c r="O1564" i="3"/>
  <c r="AJ1563" i="3"/>
  <c r="O1563" i="3"/>
  <c r="AJ1562" i="3"/>
  <c r="O1562" i="3"/>
  <c r="AJ1561" i="3"/>
  <c r="O1561" i="3"/>
  <c r="F1565" i="3"/>
  <c r="F1564" i="3"/>
  <c r="F1563" i="3"/>
  <c r="F1562" i="3"/>
  <c r="F1561" i="3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583" i="4"/>
  <c r="AJ1560" i="3"/>
  <c r="R1560" i="3" a="1"/>
  <c r="R1560" i="3" s="1"/>
  <c r="O1560" i="3"/>
  <c r="AJ1559" i="3"/>
  <c r="O1559" i="3"/>
  <c r="F1560" i="3"/>
  <c r="F1559" i="3"/>
  <c r="AJ1558" i="3"/>
  <c r="R1558" i="3" a="1"/>
  <c r="R1558" i="3" s="1"/>
  <c r="O1558" i="3"/>
  <c r="AJ1557" i="3"/>
  <c r="R1557" i="3" a="1"/>
  <c r="R1557" i="3" s="1"/>
  <c r="O1557" i="3"/>
  <c r="F1558" i="3"/>
  <c r="F1557" i="3"/>
  <c r="C365" i="5"/>
  <c r="AJ1556" i="3"/>
  <c r="R1556" i="3" a="1"/>
  <c r="R1556" i="3" s="1"/>
  <c r="O1556" i="3"/>
  <c r="AJ1555" i="3"/>
  <c r="O1555" i="3"/>
  <c r="F1556" i="3"/>
  <c r="F1555" i="3"/>
  <c r="AQ1570" i="3" l="1"/>
  <c r="T1570" i="3"/>
  <c r="X1570" i="3"/>
  <c r="Y1570" i="3" s="1"/>
  <c r="S1570" i="3"/>
  <c r="L638" i="4" s="1"/>
  <c r="N1570" i="3"/>
  <c r="AG1570" i="3" s="1"/>
  <c r="N1654" i="3"/>
  <c r="AG1654" i="3" s="1"/>
  <c r="AD1567" i="3"/>
  <c r="Y1567" i="3"/>
  <c r="AD1569" i="3"/>
  <c r="Y1569" i="3"/>
  <c r="AD1570" i="3"/>
  <c r="AR1560" i="3"/>
  <c r="AR1559" i="3"/>
  <c r="AR1562" i="3"/>
  <c r="AR1561" i="3"/>
  <c r="AR1557" i="3"/>
  <c r="AR1563" i="3"/>
  <c r="AR1558" i="3"/>
  <c r="AR1564" i="3"/>
  <c r="AR1565" i="3"/>
  <c r="AR1555" i="3"/>
  <c r="AR1556" i="3"/>
  <c r="M1566" i="3" a="1"/>
  <c r="M1566" i="3" s="1"/>
  <c r="M1567" i="3" a="1"/>
  <c r="M1567" i="3" s="1"/>
  <c r="M1569" i="3" a="1"/>
  <c r="M1569" i="3" s="1"/>
  <c r="M1568" i="3" a="1"/>
  <c r="M1568" i="3" s="1"/>
  <c r="V1561" i="3"/>
  <c r="W1561" i="3"/>
  <c r="AC1560" i="3"/>
  <c r="X1560" i="3"/>
  <c r="X1565" i="3"/>
  <c r="AC1565" i="3"/>
  <c r="X1557" i="3"/>
  <c r="AC1557" i="3"/>
  <c r="S1568" i="3"/>
  <c r="X1568" i="3"/>
  <c r="AC1568" i="3"/>
  <c r="AC1654" i="3"/>
  <c r="X1654" i="3"/>
  <c r="AC1564" i="3"/>
  <c r="X1564" i="3"/>
  <c r="AC1566" i="3"/>
  <c r="X1566" i="3"/>
  <c r="AC1558" i="3"/>
  <c r="X1558" i="3"/>
  <c r="X1556" i="3"/>
  <c r="AC1556" i="3"/>
  <c r="AQ1568" i="3"/>
  <c r="T1568" i="3"/>
  <c r="M636" i="4"/>
  <c r="T1566" i="3"/>
  <c r="K1569" i="3"/>
  <c r="G1564" i="3"/>
  <c r="K1568" i="3"/>
  <c r="G1565" i="3"/>
  <c r="K1566" i="3"/>
  <c r="K1567" i="3"/>
  <c r="G1556" i="3"/>
  <c r="G1563" i="3"/>
  <c r="G1559" i="3"/>
  <c r="G1560" i="3"/>
  <c r="G1557" i="3"/>
  <c r="G1558" i="3"/>
  <c r="G1562" i="3"/>
  <c r="G1555" i="3"/>
  <c r="G1561" i="3"/>
  <c r="AQ1566" i="3"/>
  <c r="S1566" i="3"/>
  <c r="S1654" i="3"/>
  <c r="AQ1654" i="3"/>
  <c r="T1654" i="3"/>
  <c r="T1564" i="3"/>
  <c r="AQ1564" i="3"/>
  <c r="AQ1557" i="3"/>
  <c r="AQ1565" i="3"/>
  <c r="AQ1556" i="3"/>
  <c r="AQ1560" i="3"/>
  <c r="AQ1558" i="3"/>
  <c r="M637" i="4"/>
  <c r="N1569" i="3"/>
  <c r="N1567" i="3"/>
  <c r="I1561" i="3"/>
  <c r="I1565" i="3"/>
  <c r="I1562" i="3"/>
  <c r="I1563" i="3"/>
  <c r="I1564" i="3"/>
  <c r="T1565" i="3"/>
  <c r="S1565" i="3"/>
  <c r="S1564" i="3"/>
  <c r="I1557" i="3"/>
  <c r="I1558" i="3"/>
  <c r="I1560" i="3"/>
  <c r="I1559" i="3"/>
  <c r="T1560" i="3"/>
  <c r="S1560" i="3"/>
  <c r="T1558" i="3"/>
  <c r="S1558" i="3"/>
  <c r="T1557" i="3"/>
  <c r="S1557" i="3"/>
  <c r="I1555" i="3"/>
  <c r="I1556" i="3"/>
  <c r="T1556" i="3"/>
  <c r="S1556" i="3"/>
  <c r="Q1654" i="3" l="1"/>
  <c r="AA1654" i="3"/>
  <c r="AB1654" i="3" s="1"/>
  <c r="AA1570" i="3"/>
  <c r="AD1556" i="3"/>
  <c r="Y1556" i="3"/>
  <c r="Y1558" i="3"/>
  <c r="AD1558" i="3"/>
  <c r="Y1566" i="3"/>
  <c r="AD1566" i="3"/>
  <c r="Y1564" i="3"/>
  <c r="AD1564" i="3"/>
  <c r="Y1654" i="3"/>
  <c r="AD1654" i="3"/>
  <c r="AD1568" i="3"/>
  <c r="Y1568" i="3"/>
  <c r="L637" i="4"/>
  <c r="N637" i="4" s="1"/>
  <c r="AD1557" i="3"/>
  <c r="Y1557" i="3"/>
  <c r="AD1565" i="3"/>
  <c r="Y1565" i="3"/>
  <c r="Y1560" i="3"/>
  <c r="AD1560" i="3"/>
  <c r="N638" i="4"/>
  <c r="AH1570" i="3"/>
  <c r="M1560" i="3" a="1"/>
  <c r="M1560" i="3" s="1"/>
  <c r="AA1569" i="3"/>
  <c r="M1557" i="3" a="1"/>
  <c r="M1557" i="3" s="1"/>
  <c r="M1556" i="3" a="1"/>
  <c r="M1556" i="3" s="1"/>
  <c r="M1558" i="3" a="1"/>
  <c r="M1558" i="3" s="1"/>
  <c r="M1565" i="3" a="1"/>
  <c r="M1565" i="3" s="1"/>
  <c r="M1564" i="3" a="1"/>
  <c r="M1564" i="3" s="1"/>
  <c r="AA1567" i="3"/>
  <c r="L636" i="4"/>
  <c r="M632" i="4"/>
  <c r="L668" i="4"/>
  <c r="K1562" i="3"/>
  <c r="N1566" i="3"/>
  <c r="L1568" i="3"/>
  <c r="K1555" i="3"/>
  <c r="N1568" i="3"/>
  <c r="K1563" i="3"/>
  <c r="AG1567" i="3"/>
  <c r="K1557" i="3"/>
  <c r="K1561" i="3"/>
  <c r="L1567" i="3"/>
  <c r="AG1569" i="3"/>
  <c r="K1559" i="3"/>
  <c r="L1566" i="3"/>
  <c r="K1556" i="3"/>
  <c r="K1560" i="3"/>
  <c r="K1564" i="3"/>
  <c r="L1569" i="3"/>
  <c r="K1565" i="3"/>
  <c r="N1558" i="3"/>
  <c r="K1558" i="3"/>
  <c r="M635" i="4"/>
  <c r="L633" i="4"/>
  <c r="M634" i="4"/>
  <c r="M633" i="4"/>
  <c r="N1565" i="3"/>
  <c r="N1564" i="3"/>
  <c r="N1560" i="3"/>
  <c r="N1556" i="3"/>
  <c r="AH1654" i="3" l="1"/>
  <c r="AI1654" i="3" s="1"/>
  <c r="Q1566" i="3"/>
  <c r="N668" i="4"/>
  <c r="N636" i="4"/>
  <c r="N633" i="4"/>
  <c r="AA1558" i="3"/>
  <c r="AA1556" i="3"/>
  <c r="AA1564" i="3"/>
  <c r="AA1565" i="3"/>
  <c r="AA1566" i="3"/>
  <c r="AA1560" i="3"/>
  <c r="AA1568" i="3"/>
  <c r="AG1566" i="3"/>
  <c r="AH1569" i="3"/>
  <c r="AG1568" i="3"/>
  <c r="L1558" i="3"/>
  <c r="L1561" i="3"/>
  <c r="L1555" i="3"/>
  <c r="L1565" i="3"/>
  <c r="AG1556" i="3"/>
  <c r="AG1558" i="3"/>
  <c r="L1557" i="3"/>
  <c r="L1556" i="3"/>
  <c r="N1557" i="3"/>
  <c r="L1559" i="3"/>
  <c r="AH1567" i="3"/>
  <c r="AG1564" i="3"/>
  <c r="L1564" i="3"/>
  <c r="AG1565" i="3"/>
  <c r="AG1560" i="3"/>
  <c r="L1560" i="3"/>
  <c r="L1563" i="3"/>
  <c r="L1562" i="3"/>
  <c r="AA1557" i="3" l="1"/>
  <c r="AB1566" i="3"/>
  <c r="AH1568" i="3"/>
  <c r="AH1566" i="3"/>
  <c r="AH1556" i="3"/>
  <c r="AH1560" i="3"/>
  <c r="AH1558" i="3"/>
  <c r="AH1564" i="3"/>
  <c r="AH1565" i="3"/>
  <c r="AG1557" i="3"/>
  <c r="AJ1554" i="3"/>
  <c r="R1554" i="3" a="1"/>
  <c r="R1554" i="3" s="1"/>
  <c r="O1554" i="3"/>
  <c r="AJ1553" i="3"/>
  <c r="O1553" i="3"/>
  <c r="F1554" i="3"/>
  <c r="F1553" i="3"/>
  <c r="AJ1552" i="3"/>
  <c r="R1552" i="3" a="1"/>
  <c r="R1552" i="3" s="1"/>
  <c r="O1552" i="3"/>
  <c r="AJ1551" i="3"/>
  <c r="O1551" i="3"/>
  <c r="F1552" i="3"/>
  <c r="F1551" i="3"/>
  <c r="AJ1550" i="3"/>
  <c r="R1550" i="3" a="1"/>
  <c r="R1550" i="3" s="1"/>
  <c r="O1550" i="3"/>
  <c r="AJ1549" i="3"/>
  <c r="O1549" i="3"/>
  <c r="F1550" i="3"/>
  <c r="F1549" i="3"/>
  <c r="AR1552" i="3" l="1"/>
  <c r="AR1550" i="3"/>
  <c r="AR1553" i="3"/>
  <c r="AR1549" i="3"/>
  <c r="AR1554" i="3"/>
  <c r="AR1551" i="3"/>
  <c r="AI1566" i="3"/>
  <c r="X1550" i="3"/>
  <c r="AC1550" i="3"/>
  <c r="X1552" i="3"/>
  <c r="AC1552" i="3"/>
  <c r="X1554" i="3"/>
  <c r="AC1554" i="3"/>
  <c r="AH1557" i="3"/>
  <c r="G1553" i="3"/>
  <c r="G1551" i="3"/>
  <c r="G1552" i="3"/>
  <c r="G1554" i="3"/>
  <c r="G1549" i="3"/>
  <c r="G1550" i="3"/>
  <c r="AQ1554" i="3"/>
  <c r="AQ1552" i="3"/>
  <c r="AQ1550" i="3"/>
  <c r="I1549" i="3"/>
  <c r="I1551" i="3"/>
  <c r="I1552" i="3"/>
  <c r="I1550" i="3"/>
  <c r="I1553" i="3"/>
  <c r="I1554" i="3"/>
  <c r="T1554" i="3"/>
  <c r="S1554" i="3"/>
  <c r="T1552" i="3"/>
  <c r="S1552" i="3"/>
  <c r="T1550" i="3"/>
  <c r="S1550" i="3"/>
  <c r="AD1554" i="3" l="1"/>
  <c r="Y1554" i="3"/>
  <c r="AD1552" i="3"/>
  <c r="Y1552" i="3"/>
  <c r="AD1550" i="3"/>
  <c r="Y1550" i="3"/>
  <c r="M1550" i="3" a="1"/>
  <c r="M1550" i="3" s="1"/>
  <c r="M1552" i="3" a="1"/>
  <c r="M1552" i="3" s="1"/>
  <c r="M1554" i="3" a="1"/>
  <c r="M1554" i="3" s="1"/>
  <c r="M631" i="4"/>
  <c r="M629" i="4"/>
  <c r="K1551" i="3"/>
  <c r="K1554" i="3"/>
  <c r="K1553" i="3"/>
  <c r="K1549" i="3"/>
  <c r="K1550" i="3"/>
  <c r="K1552" i="3"/>
  <c r="M630" i="4"/>
  <c r="N1554" i="3"/>
  <c r="N1550" i="3"/>
  <c r="N1552" i="3"/>
  <c r="AA1552" i="3" l="1"/>
  <c r="AA1550" i="3"/>
  <c r="AA1554" i="3"/>
  <c r="L1552" i="3"/>
  <c r="L1550" i="3"/>
  <c r="L1549" i="3"/>
  <c r="AG1552" i="3"/>
  <c r="L1553" i="3"/>
  <c r="AG1550" i="3"/>
  <c r="L1554" i="3"/>
  <c r="AG1554" i="3"/>
  <c r="L1551" i="3"/>
  <c r="AH1552" i="3" l="1"/>
  <c r="AH1554" i="3"/>
  <c r="AH1550" i="3"/>
  <c r="AJ1548" i="3"/>
  <c r="R1548" i="3" a="1"/>
  <c r="R1548" i="3" s="1"/>
  <c r="O1548" i="3"/>
  <c r="AJ1547" i="3"/>
  <c r="R1547" i="3" a="1"/>
  <c r="R1547" i="3" s="1"/>
  <c r="O1547" i="3"/>
  <c r="C364" i="5"/>
  <c r="F1548" i="3"/>
  <c r="F1547" i="3"/>
  <c r="AJ1546" i="3"/>
  <c r="R1546" i="3" a="1"/>
  <c r="R1546" i="3" s="1"/>
  <c r="O1546" i="3"/>
  <c r="AJ1545" i="3"/>
  <c r="O1545" i="3"/>
  <c r="F1546" i="3"/>
  <c r="F1545" i="3"/>
  <c r="AJ1544" i="3"/>
  <c r="R1544" i="3" a="1"/>
  <c r="R1544" i="3" s="1"/>
  <c r="O1544" i="3"/>
  <c r="AJ1543" i="3"/>
  <c r="R1543" i="3" a="1"/>
  <c r="R1543" i="3" s="1"/>
  <c r="O1543" i="3"/>
  <c r="F1544" i="3"/>
  <c r="F1543" i="3"/>
  <c r="C363" i="5"/>
  <c r="AJ1542" i="3"/>
  <c r="R1542" i="3" a="1"/>
  <c r="R1542" i="3" s="1"/>
  <c r="O1542" i="3"/>
  <c r="AJ1541" i="3"/>
  <c r="O1541" i="3"/>
  <c r="F1542" i="3"/>
  <c r="F1541" i="3"/>
  <c r="C362" i="5"/>
  <c r="AJ1540" i="3"/>
  <c r="R1540" i="3" a="1"/>
  <c r="R1540" i="3" s="1"/>
  <c r="O1540" i="3"/>
  <c r="AJ1539" i="3"/>
  <c r="R1539" i="3" a="1"/>
  <c r="R1539" i="3" s="1"/>
  <c r="O1539" i="3"/>
  <c r="F1540" i="3"/>
  <c r="F1539" i="3"/>
  <c r="AJ1538" i="3"/>
  <c r="R1538" i="3" a="1"/>
  <c r="R1538" i="3" s="1"/>
  <c r="O1538" i="3"/>
  <c r="AJ1537" i="3"/>
  <c r="O1537" i="3"/>
  <c r="F1538" i="3"/>
  <c r="F1537" i="3"/>
  <c r="AJ1536" i="3"/>
  <c r="R1536" i="3" a="1"/>
  <c r="R1536" i="3" s="1"/>
  <c r="O1536" i="3"/>
  <c r="AJ1535" i="3"/>
  <c r="O1535" i="3"/>
  <c r="AR1541" i="3" l="1"/>
  <c r="AR1547" i="3"/>
  <c r="AR1540" i="3"/>
  <c r="AR1542" i="3"/>
  <c r="AR1546" i="3"/>
  <c r="AR1545" i="3"/>
  <c r="AR1539" i="3"/>
  <c r="AR1538" i="3"/>
  <c r="AR1544" i="3"/>
  <c r="AR1548" i="3"/>
  <c r="AR1543" i="3"/>
  <c r="AR1537" i="3"/>
  <c r="X1538" i="3"/>
  <c r="AC1538" i="3"/>
  <c r="AC1544" i="3"/>
  <c r="X1544" i="3"/>
  <c r="X1547" i="3"/>
  <c r="AC1547" i="3"/>
  <c r="AC1543" i="3"/>
  <c r="X1543" i="3"/>
  <c r="X1542" i="3"/>
  <c r="AC1542" i="3"/>
  <c r="X1539" i="3"/>
  <c r="AC1539" i="3"/>
  <c r="AC1548" i="3"/>
  <c r="X1548" i="3"/>
  <c r="X1536" i="3"/>
  <c r="AC1536" i="3"/>
  <c r="AC1540" i="3"/>
  <c r="X1540" i="3"/>
  <c r="AC1546" i="3"/>
  <c r="X1546" i="3"/>
  <c r="G1540" i="3"/>
  <c r="G1547" i="3"/>
  <c r="G1542" i="3"/>
  <c r="G1537" i="3"/>
  <c r="G1548" i="3"/>
  <c r="G1541" i="3"/>
  <c r="G1538" i="3"/>
  <c r="G1545" i="3"/>
  <c r="G1546" i="3"/>
  <c r="G1543" i="3"/>
  <c r="G1539" i="3"/>
  <c r="G1544" i="3"/>
  <c r="AQ1539" i="3"/>
  <c r="AQ1547" i="3"/>
  <c r="AQ1538" i="3"/>
  <c r="AQ1546" i="3"/>
  <c r="AQ1540" i="3"/>
  <c r="AQ1542" i="3"/>
  <c r="AQ1536" i="3"/>
  <c r="AQ1544" i="3"/>
  <c r="AQ1548" i="3"/>
  <c r="AQ1543" i="3"/>
  <c r="M625" i="4"/>
  <c r="M622" i="4"/>
  <c r="I1547" i="3"/>
  <c r="I1548" i="3"/>
  <c r="T1548" i="3"/>
  <c r="S1548" i="3"/>
  <c r="T1547" i="3"/>
  <c r="S1547" i="3"/>
  <c r="I1546" i="3"/>
  <c r="I1545" i="3"/>
  <c r="I1543" i="3"/>
  <c r="T1546" i="3"/>
  <c r="S1546" i="3"/>
  <c r="I1544" i="3"/>
  <c r="T1544" i="3"/>
  <c r="S1544" i="3"/>
  <c r="T1543" i="3"/>
  <c r="S1543" i="3"/>
  <c r="I1541" i="3"/>
  <c r="I1542" i="3"/>
  <c r="T1542" i="3"/>
  <c r="S1542" i="3"/>
  <c r="I1537" i="3"/>
  <c r="I1538" i="3"/>
  <c r="I1539" i="3"/>
  <c r="I1540" i="3"/>
  <c r="T1540" i="3"/>
  <c r="S1540" i="3"/>
  <c r="T1539" i="3"/>
  <c r="S1539" i="3"/>
  <c r="T1538" i="3"/>
  <c r="S1538" i="3"/>
  <c r="T1536" i="3"/>
  <c r="S1536" i="3"/>
  <c r="F1536" i="3"/>
  <c r="F1535" i="3"/>
  <c r="AJ1534" i="3"/>
  <c r="R1534" i="3" a="1"/>
  <c r="R1534" i="3" s="1"/>
  <c r="O1534" i="3"/>
  <c r="AJ1533" i="3"/>
  <c r="O1533" i="3"/>
  <c r="F1534" i="3"/>
  <c r="F1533" i="3"/>
  <c r="AJ1532" i="3"/>
  <c r="R1532" i="3" a="1"/>
  <c r="R1532" i="3" s="1"/>
  <c r="O1532" i="3"/>
  <c r="AJ1531" i="3"/>
  <c r="O1531" i="3"/>
  <c r="F1532" i="3"/>
  <c r="F1531" i="3"/>
  <c r="AJ1530" i="3"/>
  <c r="R1530" i="3" a="1"/>
  <c r="R1530" i="3" s="1"/>
  <c r="O1530" i="3"/>
  <c r="AJ1529" i="3"/>
  <c r="O1529" i="3"/>
  <c r="F1530" i="3"/>
  <c r="F1529" i="3"/>
  <c r="AJ1528" i="3"/>
  <c r="R1528" i="3" a="1"/>
  <c r="R1528" i="3" s="1"/>
  <c r="O1528" i="3"/>
  <c r="AJ1527" i="3"/>
  <c r="R1527" i="3" a="1"/>
  <c r="R1527" i="3" s="1"/>
  <c r="O1527" i="3"/>
  <c r="F1528" i="3"/>
  <c r="F1527" i="3"/>
  <c r="C361" i="5"/>
  <c r="AJ1526" i="3"/>
  <c r="R1526" i="3" a="1"/>
  <c r="R1526" i="3" s="1"/>
  <c r="O1526" i="3"/>
  <c r="AJ1525" i="3"/>
  <c r="O1525" i="3"/>
  <c r="F1526" i="3"/>
  <c r="F1525" i="3"/>
  <c r="AJ1524" i="3"/>
  <c r="R1524" i="3" a="1"/>
  <c r="R1524" i="3" s="1"/>
  <c r="O1524" i="3"/>
  <c r="AJ1523" i="3"/>
  <c r="O1523" i="3"/>
  <c r="F1524" i="3"/>
  <c r="F1523" i="3"/>
  <c r="AJ1522" i="3"/>
  <c r="R1522" i="3" a="1"/>
  <c r="R1522" i="3" s="1"/>
  <c r="O1522" i="3"/>
  <c r="AJ1521" i="3"/>
  <c r="O1521" i="3"/>
  <c r="F1522" i="3"/>
  <c r="F1521" i="3"/>
  <c r="AJ1520" i="3"/>
  <c r="R1520" i="3" a="1"/>
  <c r="R1520" i="3" s="1"/>
  <c r="O1520" i="3"/>
  <c r="AJ1519" i="3"/>
  <c r="O1519" i="3"/>
  <c r="F1520" i="3"/>
  <c r="F1519" i="3"/>
  <c r="AJ1518" i="3"/>
  <c r="R1518" i="3" a="1"/>
  <c r="R1518" i="3" s="1"/>
  <c r="O1518" i="3"/>
  <c r="AJ1517" i="3"/>
  <c r="O1517" i="3"/>
  <c r="F1518" i="3"/>
  <c r="F1517" i="3"/>
  <c r="AJ1516" i="3"/>
  <c r="R1516" i="3" a="1"/>
  <c r="R1516" i="3" s="1"/>
  <c r="O1516" i="3"/>
  <c r="AJ1515" i="3"/>
  <c r="O1515" i="3"/>
  <c r="F1516" i="3"/>
  <c r="F1515" i="3"/>
  <c r="AJ1514" i="3"/>
  <c r="R1514" i="3" a="1"/>
  <c r="R1514" i="3" s="1"/>
  <c r="O1514" i="3"/>
  <c r="AJ1513" i="3"/>
  <c r="R1513" i="3" a="1"/>
  <c r="R1513" i="3" s="1"/>
  <c r="O1513" i="3"/>
  <c r="C360" i="5"/>
  <c r="F1514" i="3"/>
  <c r="F1513" i="3"/>
  <c r="AJ1512" i="3"/>
  <c r="R1512" i="3" a="1"/>
  <c r="R1512" i="3" s="1"/>
  <c r="O1512" i="3"/>
  <c r="AJ1511" i="3"/>
  <c r="O1511" i="3"/>
  <c r="F1512" i="3"/>
  <c r="F1511" i="3"/>
  <c r="AJ1510" i="3"/>
  <c r="R1510" i="3" a="1"/>
  <c r="R1510" i="3" s="1"/>
  <c r="O1510" i="3"/>
  <c r="AJ1509" i="3"/>
  <c r="O1509" i="3"/>
  <c r="F1510" i="3"/>
  <c r="F1509" i="3"/>
  <c r="AJ1508" i="3"/>
  <c r="R1508" i="3" a="1"/>
  <c r="R1508" i="3" s="1"/>
  <c r="O1508" i="3"/>
  <c r="AJ1507" i="3"/>
  <c r="O1507" i="3"/>
  <c r="F1508" i="3"/>
  <c r="F1507" i="3"/>
  <c r="AJ1506" i="3"/>
  <c r="R1506" i="3" a="1"/>
  <c r="R1506" i="3" s="1"/>
  <c r="O1506" i="3"/>
  <c r="AJ1505" i="3"/>
  <c r="O1505" i="3"/>
  <c r="F1506" i="3"/>
  <c r="F1505" i="3"/>
  <c r="AJ1504" i="3"/>
  <c r="R1504" i="3" a="1"/>
  <c r="R1504" i="3" s="1"/>
  <c r="O1504" i="3"/>
  <c r="AJ1503" i="3"/>
  <c r="O1503" i="3"/>
  <c r="F1504" i="3"/>
  <c r="F1503" i="3"/>
  <c r="AJ1502" i="3"/>
  <c r="R1502" i="3" a="1"/>
  <c r="R1502" i="3" s="1"/>
  <c r="O1502" i="3"/>
  <c r="AJ1501" i="3"/>
  <c r="O1501" i="3"/>
  <c r="F1502" i="3"/>
  <c r="F1501" i="3"/>
  <c r="AJ1500" i="3"/>
  <c r="R1500" i="3" a="1"/>
  <c r="R1500" i="3" s="1"/>
  <c r="O1500" i="3"/>
  <c r="AJ1499" i="3"/>
  <c r="O1499" i="3"/>
  <c r="F1500" i="3"/>
  <c r="F1499" i="3"/>
  <c r="AJ1498" i="3"/>
  <c r="R1498" i="3" a="1"/>
  <c r="R1498" i="3" s="1"/>
  <c r="O1498" i="3"/>
  <c r="AJ1497" i="3"/>
  <c r="O1497" i="3"/>
  <c r="F1498" i="3"/>
  <c r="F1497" i="3"/>
  <c r="AJ1496" i="3"/>
  <c r="R1496" i="3" a="1"/>
  <c r="R1496" i="3" s="1"/>
  <c r="O1496" i="3"/>
  <c r="AJ1495" i="3"/>
  <c r="R1495" i="3" a="1"/>
  <c r="R1495" i="3" s="1"/>
  <c r="O1495" i="3"/>
  <c r="F1495" i="3"/>
  <c r="C359" i="5"/>
  <c r="F1496" i="3"/>
  <c r="AJ1494" i="3"/>
  <c r="R1494" i="3" a="1"/>
  <c r="R1494" i="3" s="1"/>
  <c r="O1494" i="3"/>
  <c r="AJ1493" i="3"/>
  <c r="R1493" i="3" a="1"/>
  <c r="R1493" i="3" s="1"/>
  <c r="O1493" i="3"/>
  <c r="AJ1492" i="3"/>
  <c r="O1492" i="3"/>
  <c r="AJ1491" i="3"/>
  <c r="O1491" i="3"/>
  <c r="C358" i="5"/>
  <c r="F1494" i="3"/>
  <c r="F1493" i="3"/>
  <c r="F1492" i="3"/>
  <c r="F1491" i="3"/>
  <c r="Y1546" i="3" l="1"/>
  <c r="AD1546" i="3"/>
  <c r="Y1540" i="3"/>
  <c r="AD1540" i="3"/>
  <c r="AD1536" i="3"/>
  <c r="Y1536" i="3"/>
  <c r="Y1548" i="3"/>
  <c r="AD1548" i="3"/>
  <c r="AD1539" i="3"/>
  <c r="Y1539" i="3"/>
  <c r="AD1542" i="3"/>
  <c r="Y1542" i="3"/>
  <c r="Y1543" i="3"/>
  <c r="AD1543" i="3"/>
  <c r="AD1547" i="3"/>
  <c r="Y1547" i="3"/>
  <c r="Y1544" i="3"/>
  <c r="AD1544" i="3"/>
  <c r="AD1538" i="3"/>
  <c r="Y1538" i="3"/>
  <c r="AR1493" i="3"/>
  <c r="AR1521" i="3"/>
  <c r="AR1504" i="3"/>
  <c r="AR1524" i="3"/>
  <c r="AR1533" i="3"/>
  <c r="AR1534" i="3"/>
  <c r="AR1492" i="3"/>
  <c r="AR1498" i="3"/>
  <c r="AR1511" i="3"/>
  <c r="AR1518" i="3"/>
  <c r="AR1528" i="3"/>
  <c r="AR1502" i="3"/>
  <c r="AR1522" i="3"/>
  <c r="AR1505" i="3"/>
  <c r="AR1525" i="3"/>
  <c r="AR1532" i="3"/>
  <c r="AR1491" i="3"/>
  <c r="AR1517" i="3"/>
  <c r="AR1496" i="3"/>
  <c r="AR1495" i="3"/>
  <c r="AR1506" i="3"/>
  <c r="AR1515" i="3"/>
  <c r="AR1526" i="3"/>
  <c r="AR1535" i="3"/>
  <c r="AR1508" i="3"/>
  <c r="AR1509" i="3"/>
  <c r="AR1516" i="3"/>
  <c r="AR1536" i="3"/>
  <c r="AR1512" i="3"/>
  <c r="AR1494" i="3"/>
  <c r="AR1510" i="3"/>
  <c r="AR1500" i="3"/>
  <c r="AR1513" i="3"/>
  <c r="AR1520" i="3"/>
  <c r="AR1507" i="3"/>
  <c r="AR1514" i="3"/>
  <c r="AR1530" i="3"/>
  <c r="AR1499" i="3"/>
  <c r="AR1519" i="3"/>
  <c r="AR1529" i="3"/>
  <c r="AR1501" i="3"/>
  <c r="AR1523" i="3"/>
  <c r="AR1503" i="3"/>
  <c r="AR1531" i="3"/>
  <c r="AR1497" i="3"/>
  <c r="AR1527" i="3"/>
  <c r="M1548" i="3" a="1"/>
  <c r="M1548" i="3" s="1"/>
  <c r="M1547" i="3" a="1"/>
  <c r="M1547" i="3" s="1"/>
  <c r="M1540" i="3" a="1"/>
  <c r="M1540" i="3" s="1"/>
  <c r="M1544" i="3" a="1"/>
  <c r="M1544" i="3" s="1"/>
  <c r="M1539" i="3" a="1"/>
  <c r="M1539" i="3" s="1"/>
  <c r="M1538" i="3" a="1"/>
  <c r="M1538" i="3" s="1"/>
  <c r="M1543" i="3" a="1"/>
  <c r="M1543" i="3" s="1"/>
  <c r="M1546" i="3" a="1"/>
  <c r="M1546" i="3" s="1"/>
  <c r="M1542" i="3" a="1"/>
  <c r="M1542" i="3" s="1"/>
  <c r="X1494" i="3"/>
  <c r="AC1494" i="3"/>
  <c r="X1530" i="3"/>
  <c r="AC1530" i="3"/>
  <c r="X1524" i="3"/>
  <c r="AC1524" i="3"/>
  <c r="AC1527" i="3"/>
  <c r="X1527" i="3"/>
  <c r="X1534" i="3"/>
  <c r="AC1534" i="3"/>
  <c r="AC1510" i="3"/>
  <c r="X1510" i="3"/>
  <c r="X1500" i="3"/>
  <c r="AC1500" i="3"/>
  <c r="AC1504" i="3"/>
  <c r="X1504" i="3"/>
  <c r="X1518" i="3"/>
  <c r="AC1518" i="3"/>
  <c r="AC1512" i="3"/>
  <c r="X1512" i="3"/>
  <c r="AC1528" i="3"/>
  <c r="X1528" i="3"/>
  <c r="X1514" i="3"/>
  <c r="AC1514" i="3"/>
  <c r="AC1498" i="3"/>
  <c r="X1498" i="3"/>
  <c r="X1495" i="3"/>
  <c r="AC1495" i="3"/>
  <c r="AC1502" i="3"/>
  <c r="X1502" i="3"/>
  <c r="AC1522" i="3"/>
  <c r="X1522" i="3"/>
  <c r="X1520" i="3"/>
  <c r="AC1520" i="3"/>
  <c r="AC1532" i="3"/>
  <c r="X1532" i="3"/>
  <c r="X1508" i="3"/>
  <c r="AC1508" i="3"/>
  <c r="AC1506" i="3"/>
  <c r="X1506" i="3"/>
  <c r="AC1526" i="3"/>
  <c r="X1526" i="3"/>
  <c r="X1513" i="3"/>
  <c r="AC1513" i="3"/>
  <c r="X1493" i="3"/>
  <c r="AC1493" i="3"/>
  <c r="X1496" i="3"/>
  <c r="AC1496" i="3"/>
  <c r="X1516" i="3"/>
  <c r="AC1516" i="3"/>
  <c r="M628" i="4"/>
  <c r="M626" i="4"/>
  <c r="M623" i="4"/>
  <c r="G1504" i="3"/>
  <c r="G1512" i="3"/>
  <c r="G1529" i="3"/>
  <c r="K1541" i="3"/>
  <c r="K1546" i="3"/>
  <c r="G1511" i="3"/>
  <c r="G1519" i="3"/>
  <c r="G1530" i="3"/>
  <c r="G1501" i="3"/>
  <c r="G1509" i="3"/>
  <c r="G1520" i="3"/>
  <c r="G1527" i="3"/>
  <c r="G1502" i="3"/>
  <c r="G1510" i="3"/>
  <c r="G1528" i="3"/>
  <c r="G1525" i="3"/>
  <c r="G1503" i="3"/>
  <c r="G1517" i="3"/>
  <c r="G1493" i="3"/>
  <c r="G1499" i="3"/>
  <c r="G1507" i="3"/>
  <c r="G1518" i="3"/>
  <c r="G1526" i="3"/>
  <c r="K1539" i="3"/>
  <c r="G1495" i="3"/>
  <c r="K1545" i="3"/>
  <c r="G1500" i="3"/>
  <c r="G1533" i="3"/>
  <c r="K1538" i="3"/>
  <c r="K1544" i="3"/>
  <c r="K1542" i="3"/>
  <c r="G1492" i="3"/>
  <c r="G1508" i="3"/>
  <c r="G1515" i="3"/>
  <c r="G1523" i="3"/>
  <c r="G1534" i="3"/>
  <c r="K1537" i="3"/>
  <c r="G1491" i="3"/>
  <c r="G1497" i="3"/>
  <c r="G1505" i="3"/>
  <c r="G1513" i="3"/>
  <c r="G1516" i="3"/>
  <c r="G1524" i="3"/>
  <c r="K1548" i="3"/>
  <c r="G1494" i="3"/>
  <c r="G1498" i="3"/>
  <c r="G1506" i="3"/>
  <c r="G1514" i="3"/>
  <c r="G1531" i="3"/>
  <c r="K1547" i="3"/>
  <c r="G1522" i="3"/>
  <c r="G1496" i="3"/>
  <c r="G1521" i="3"/>
  <c r="G1532" i="3"/>
  <c r="K1543" i="3"/>
  <c r="K1540" i="3"/>
  <c r="AQ1512" i="3"/>
  <c r="AQ1516" i="3"/>
  <c r="AQ1510" i="3"/>
  <c r="AQ1514" i="3"/>
  <c r="AQ1508" i="3"/>
  <c r="AQ1527" i="3"/>
  <c r="AQ1494" i="3"/>
  <c r="AQ1495" i="3"/>
  <c r="AQ1504" i="3"/>
  <c r="AQ1506" i="3"/>
  <c r="AQ1502" i="3"/>
  <c r="AQ1534" i="3"/>
  <c r="AQ1498" i="3"/>
  <c r="T1493" i="3"/>
  <c r="AQ1493" i="3"/>
  <c r="AQ1500" i="3"/>
  <c r="AQ1532" i="3"/>
  <c r="AQ1526" i="3"/>
  <c r="AQ1530" i="3"/>
  <c r="AQ1496" i="3"/>
  <c r="AQ1513" i="3"/>
  <c r="AQ1524" i="3"/>
  <c r="AQ1528" i="3"/>
  <c r="AQ1522" i="3"/>
  <c r="AQ1520" i="3"/>
  <c r="AQ1518" i="3"/>
  <c r="L624" i="4"/>
  <c r="M627" i="4"/>
  <c r="L626" i="4"/>
  <c r="M624" i="4"/>
  <c r="M621" i="4"/>
  <c r="L628" i="4"/>
  <c r="N1548" i="3"/>
  <c r="N1546" i="3"/>
  <c r="N1542" i="3"/>
  <c r="N1540" i="3"/>
  <c r="N1538" i="3"/>
  <c r="I1529" i="3"/>
  <c r="I1534" i="3"/>
  <c r="I1523" i="3"/>
  <c r="I1527" i="3"/>
  <c r="I1530" i="3"/>
  <c r="I1533" i="3"/>
  <c r="I1528" i="3"/>
  <c r="I1531" i="3"/>
  <c r="G1535" i="3"/>
  <c r="I1535" i="3"/>
  <c r="I1532" i="3"/>
  <c r="G1536" i="3"/>
  <c r="I1536" i="3"/>
  <c r="T1534" i="3"/>
  <c r="S1534" i="3"/>
  <c r="T1532" i="3"/>
  <c r="S1532" i="3"/>
  <c r="T1530" i="3"/>
  <c r="S1530" i="3"/>
  <c r="T1528" i="3"/>
  <c r="S1528" i="3"/>
  <c r="T1527" i="3"/>
  <c r="S1527" i="3"/>
  <c r="I1520" i="3"/>
  <c r="I1517" i="3"/>
  <c r="I1518" i="3"/>
  <c r="I1519" i="3"/>
  <c r="I1514" i="3"/>
  <c r="I1522" i="3"/>
  <c r="I1516" i="3"/>
  <c r="I1524" i="3"/>
  <c r="I1521" i="3"/>
  <c r="I1525" i="3"/>
  <c r="I1515" i="3"/>
  <c r="I1526" i="3"/>
  <c r="T1526" i="3"/>
  <c r="S1526" i="3"/>
  <c r="T1524" i="3"/>
  <c r="S1524" i="3"/>
  <c r="T1522" i="3"/>
  <c r="S1522" i="3"/>
  <c r="T1520" i="3"/>
  <c r="S1520" i="3"/>
  <c r="T1518" i="3"/>
  <c r="S1518" i="3"/>
  <c r="T1516" i="3"/>
  <c r="S1516" i="3"/>
  <c r="I1513" i="3"/>
  <c r="T1514" i="3"/>
  <c r="S1514" i="3"/>
  <c r="T1513" i="3"/>
  <c r="S1513" i="3"/>
  <c r="I1507" i="3"/>
  <c r="I1509" i="3"/>
  <c r="I1511" i="3"/>
  <c r="I1512" i="3"/>
  <c r="T1512" i="3"/>
  <c r="S1512" i="3"/>
  <c r="I1508" i="3"/>
  <c r="I1499" i="3"/>
  <c r="I1510" i="3"/>
  <c r="T1510" i="3"/>
  <c r="S1510" i="3"/>
  <c r="T1508" i="3"/>
  <c r="S1508" i="3"/>
  <c r="I1503" i="3"/>
  <c r="I1504" i="3"/>
  <c r="I1505" i="3"/>
  <c r="I1497" i="3"/>
  <c r="I1498" i="3"/>
  <c r="I1501" i="3"/>
  <c r="I1495" i="3"/>
  <c r="I1502" i="3"/>
  <c r="I1496" i="3"/>
  <c r="I1506" i="3"/>
  <c r="I1500" i="3"/>
  <c r="T1506" i="3"/>
  <c r="S1506" i="3"/>
  <c r="T1504" i="3"/>
  <c r="S1504" i="3"/>
  <c r="T1502" i="3"/>
  <c r="S1502" i="3"/>
  <c r="T1500" i="3"/>
  <c r="S1500" i="3"/>
  <c r="T1498" i="3"/>
  <c r="S1498" i="3"/>
  <c r="T1496" i="3"/>
  <c r="S1496" i="3"/>
  <c r="T1495" i="3"/>
  <c r="S1495" i="3"/>
  <c r="I1494" i="3"/>
  <c r="I1491" i="3"/>
  <c r="I1492" i="3"/>
  <c r="I1493" i="3"/>
  <c r="T1494" i="3"/>
  <c r="S1494" i="3"/>
  <c r="S1493" i="3"/>
  <c r="AD1516" i="3" l="1"/>
  <c r="Y1516" i="3"/>
  <c r="AD1496" i="3"/>
  <c r="Y1496" i="3"/>
  <c r="AD1493" i="3"/>
  <c r="Y1493" i="3"/>
  <c r="AD1513" i="3"/>
  <c r="Y1513" i="3"/>
  <c r="Y1526" i="3"/>
  <c r="AD1526" i="3"/>
  <c r="Y1506" i="3"/>
  <c r="AD1506" i="3"/>
  <c r="AD1508" i="3"/>
  <c r="Y1508" i="3"/>
  <c r="Y1532" i="3"/>
  <c r="AD1532" i="3"/>
  <c r="AD1520" i="3"/>
  <c r="Y1520" i="3"/>
  <c r="Y1522" i="3"/>
  <c r="AD1522" i="3"/>
  <c r="Y1502" i="3"/>
  <c r="AD1502" i="3"/>
  <c r="AD1495" i="3"/>
  <c r="Y1495" i="3"/>
  <c r="Y1498" i="3"/>
  <c r="AD1498" i="3"/>
  <c r="AD1514" i="3"/>
  <c r="Y1514" i="3"/>
  <c r="Y1528" i="3"/>
  <c r="AD1528" i="3"/>
  <c r="Y1512" i="3"/>
  <c r="AD1512" i="3"/>
  <c r="AD1518" i="3"/>
  <c r="Y1518" i="3"/>
  <c r="Y1504" i="3"/>
  <c r="AD1504" i="3"/>
  <c r="AD1500" i="3"/>
  <c r="Y1500" i="3"/>
  <c r="Y1510" i="3"/>
  <c r="AD1510" i="3"/>
  <c r="AD1534" i="3"/>
  <c r="Y1534" i="3"/>
  <c r="Y1527" i="3"/>
  <c r="AD1527" i="3"/>
  <c r="AD1524" i="3"/>
  <c r="Y1524" i="3"/>
  <c r="AD1530" i="3"/>
  <c r="Y1530" i="3"/>
  <c r="AD1494" i="3"/>
  <c r="Y1494" i="3"/>
  <c r="N624" i="4"/>
  <c r="N626" i="4"/>
  <c r="N628" i="4"/>
  <c r="M1504" i="3" a="1"/>
  <c r="M1504" i="3" s="1"/>
  <c r="M1500" i="3" a="1"/>
  <c r="M1500" i="3" s="1"/>
  <c r="M1514" i="3" a="1"/>
  <c r="M1514" i="3" s="1"/>
  <c r="M1527" i="3" a="1"/>
  <c r="M1527" i="3" s="1"/>
  <c r="M1496" i="3" a="1"/>
  <c r="M1496" i="3" s="1"/>
  <c r="M1518" i="3" a="1"/>
  <c r="M1518" i="3" s="1"/>
  <c r="M1534" i="3" a="1"/>
  <c r="M1534" i="3" s="1"/>
  <c r="M1510" i="3" a="1"/>
  <c r="M1510" i="3" s="1"/>
  <c r="M1536" i="3" a="1"/>
  <c r="M1536" i="3" s="1"/>
  <c r="M1502" i="3" a="1"/>
  <c r="M1502" i="3" s="1"/>
  <c r="M1495" i="3" a="1"/>
  <c r="M1495" i="3" s="1"/>
  <c r="M1513" i="3" a="1"/>
  <c r="M1513" i="3" s="1"/>
  <c r="M1520" i="3" a="1"/>
  <c r="M1520" i="3" s="1"/>
  <c r="AA1538" i="3"/>
  <c r="M1508" i="3" a="1"/>
  <c r="M1508" i="3" s="1"/>
  <c r="M1526" i="3" a="1"/>
  <c r="M1526" i="3" s="1"/>
  <c r="M1532" i="3" a="1"/>
  <c r="M1532" i="3" s="1"/>
  <c r="AA1540" i="3"/>
  <c r="M1506" i="3" a="1"/>
  <c r="M1506" i="3" s="1"/>
  <c r="M1493" i="3" a="1"/>
  <c r="M1493" i="3" s="1"/>
  <c r="M1498" i="3" a="1"/>
  <c r="M1498" i="3" s="1"/>
  <c r="AA1542" i="3"/>
  <c r="AA1546" i="3"/>
  <c r="M1512" i="3" a="1"/>
  <c r="M1512" i="3" s="1"/>
  <c r="AA1548" i="3"/>
  <c r="M1494" i="3" a="1"/>
  <c r="M1494" i="3" s="1"/>
  <c r="M1524" i="3" a="1"/>
  <c r="M1524" i="3" s="1"/>
  <c r="M1528" i="3" a="1"/>
  <c r="M1528" i="3" s="1"/>
  <c r="M1516" i="3" a="1"/>
  <c r="M1516" i="3" s="1"/>
  <c r="M1522" i="3" a="1"/>
  <c r="M1522" i="3" s="1"/>
  <c r="M1530" i="3" a="1"/>
  <c r="M1530" i="3" s="1"/>
  <c r="M604" i="4"/>
  <c r="M602" i="4"/>
  <c r="M603" i="4"/>
  <c r="M609" i="4"/>
  <c r="M610" i="4"/>
  <c r="M619" i="4"/>
  <c r="M608" i="4"/>
  <c r="M615" i="4"/>
  <c r="M611" i="4"/>
  <c r="M620" i="4"/>
  <c r="K1503" i="3"/>
  <c r="K1527" i="3"/>
  <c r="AG1546" i="3"/>
  <c r="L1538" i="3"/>
  <c r="N1547" i="3"/>
  <c r="K1496" i="3"/>
  <c r="K1525" i="3"/>
  <c r="K1502" i="3"/>
  <c r="K1521" i="3"/>
  <c r="K1523" i="3"/>
  <c r="K1524" i="3"/>
  <c r="N1543" i="3"/>
  <c r="L1546" i="3"/>
  <c r="AG1548" i="3"/>
  <c r="K1492" i="3"/>
  <c r="K1501" i="3"/>
  <c r="K1536" i="3"/>
  <c r="K1529" i="3"/>
  <c r="K1530" i="3"/>
  <c r="L1541" i="3"/>
  <c r="K1504" i="3"/>
  <c r="K1515" i="3"/>
  <c r="K1513" i="3"/>
  <c r="K1498" i="3"/>
  <c r="K1512" i="3"/>
  <c r="K1532" i="3"/>
  <c r="AG1538" i="3"/>
  <c r="L1540" i="3"/>
  <c r="K1499" i="3"/>
  <c r="K1511" i="3"/>
  <c r="K1535" i="3"/>
  <c r="AG1540" i="3"/>
  <c r="L1547" i="3"/>
  <c r="L1548" i="3"/>
  <c r="L1545" i="3"/>
  <c r="K1506" i="3"/>
  <c r="K1495" i="3"/>
  <c r="K1500" i="3"/>
  <c r="K1519" i="3"/>
  <c r="K1497" i="3"/>
  <c r="K1509" i="3"/>
  <c r="K1518" i="3"/>
  <c r="K1508" i="3"/>
  <c r="K1491" i="3"/>
  <c r="K1517" i="3"/>
  <c r="L1543" i="3"/>
  <c r="L1537" i="3"/>
  <c r="L1542" i="3"/>
  <c r="K1507" i="3"/>
  <c r="K1531" i="3"/>
  <c r="K1505" i="3"/>
  <c r="K1510" i="3"/>
  <c r="K1520" i="3"/>
  <c r="K1528" i="3"/>
  <c r="AG1542" i="3"/>
  <c r="K1526" i="3"/>
  <c r="K1533" i="3"/>
  <c r="N1544" i="3"/>
  <c r="N1539" i="3"/>
  <c r="L1544" i="3"/>
  <c r="L1539" i="3"/>
  <c r="K1493" i="3"/>
  <c r="K1516" i="3"/>
  <c r="N1534" i="3"/>
  <c r="K1534" i="3"/>
  <c r="K1522" i="3"/>
  <c r="K1514" i="3"/>
  <c r="K1494" i="3"/>
  <c r="M613" i="4"/>
  <c r="M617" i="4"/>
  <c r="M618" i="4"/>
  <c r="M616" i="4"/>
  <c r="M614" i="4"/>
  <c r="M605" i="4"/>
  <c r="M607" i="4"/>
  <c r="M612" i="4"/>
  <c r="L602" i="4"/>
  <c r="L611" i="4"/>
  <c r="L618" i="4"/>
  <c r="M606" i="4"/>
  <c r="M601" i="4"/>
  <c r="N1536" i="3"/>
  <c r="N1532" i="3"/>
  <c r="N1528" i="3"/>
  <c r="N1530" i="3"/>
  <c r="N1520" i="3"/>
  <c r="N1516" i="3"/>
  <c r="N1522" i="3"/>
  <c r="N1514" i="3"/>
  <c r="N1518" i="3"/>
  <c r="N1526" i="3"/>
  <c r="N1524" i="3"/>
  <c r="N1512" i="3"/>
  <c r="N1510" i="3"/>
  <c r="N1508" i="3"/>
  <c r="N1504" i="3"/>
  <c r="N1506" i="3"/>
  <c r="N1496" i="3"/>
  <c r="N1502" i="3"/>
  <c r="N1498" i="3"/>
  <c r="N1500" i="3"/>
  <c r="N1494" i="3"/>
  <c r="Q1502" i="3" l="1"/>
  <c r="Q1522" i="3"/>
  <c r="N611" i="4"/>
  <c r="N602" i="4"/>
  <c r="N618" i="4"/>
  <c r="AA1496" i="3"/>
  <c r="AA1524" i="3"/>
  <c r="AA1494" i="3"/>
  <c r="AA1498" i="3"/>
  <c r="AA1522" i="3"/>
  <c r="AA1502" i="3"/>
  <c r="AA1516" i="3"/>
  <c r="AA1534" i="3"/>
  <c r="AA1506" i="3"/>
  <c r="AA1530" i="3"/>
  <c r="AA1504" i="3"/>
  <c r="AA1528" i="3"/>
  <c r="AA1508" i="3"/>
  <c r="AA1532" i="3"/>
  <c r="AA1543" i="3"/>
  <c r="AA1520" i="3"/>
  <c r="AA1510" i="3"/>
  <c r="AA1544" i="3"/>
  <c r="AA1526" i="3"/>
  <c r="AA1500" i="3"/>
  <c r="AA1514" i="3"/>
  <c r="AA1536" i="3"/>
  <c r="AA1539" i="3"/>
  <c r="AA1512" i="3"/>
  <c r="AA1518" i="3"/>
  <c r="AA1547" i="3"/>
  <c r="AG1547" i="3"/>
  <c r="N1495" i="3"/>
  <c r="L1514" i="3"/>
  <c r="L1497" i="3"/>
  <c r="L1499" i="3"/>
  <c r="L1512" i="3"/>
  <c r="L1530" i="3"/>
  <c r="L1517" i="3"/>
  <c r="AG1514" i="3"/>
  <c r="L1507" i="3"/>
  <c r="L1491" i="3"/>
  <c r="AG1532" i="3"/>
  <c r="N1527" i="3"/>
  <c r="L1522" i="3"/>
  <c r="L1519" i="3"/>
  <c r="L1498" i="3"/>
  <c r="L1529" i="3"/>
  <c r="L1523" i="3"/>
  <c r="AG1498" i="3"/>
  <c r="AG1510" i="3"/>
  <c r="AG1534" i="3"/>
  <c r="AG1522" i="3"/>
  <c r="L1528" i="3"/>
  <c r="L1508" i="3"/>
  <c r="AG1500" i="3"/>
  <c r="AG1508" i="3"/>
  <c r="AH1538" i="3"/>
  <c r="L1534" i="3"/>
  <c r="L1500" i="3"/>
  <c r="L1513" i="3"/>
  <c r="L1536" i="3"/>
  <c r="L1521" i="3"/>
  <c r="L1531" i="3"/>
  <c r="AG1502" i="3"/>
  <c r="AG1512" i="3"/>
  <c r="AH1542" i="3"/>
  <c r="AG1544" i="3"/>
  <c r="L1520" i="3"/>
  <c r="AG1520" i="3"/>
  <c r="L1516" i="3"/>
  <c r="AH1540" i="3"/>
  <c r="L1495" i="3"/>
  <c r="L1535" i="3"/>
  <c r="L1515" i="3"/>
  <c r="AG1543" i="3"/>
  <c r="L1502" i="3"/>
  <c r="L1527" i="3"/>
  <c r="AH1546" i="3"/>
  <c r="AG1516" i="3"/>
  <c r="L1533" i="3"/>
  <c r="L1510" i="3"/>
  <c r="AG1494" i="3"/>
  <c r="AG1536" i="3"/>
  <c r="AG1496" i="3"/>
  <c r="AG1524" i="3"/>
  <c r="AG1530" i="3"/>
  <c r="AH1548" i="3"/>
  <c r="AG1539" i="3"/>
  <c r="L1493" i="3"/>
  <c r="L1518" i="3"/>
  <c r="L1506" i="3"/>
  <c r="L1511" i="3"/>
  <c r="L1532" i="3"/>
  <c r="L1504" i="3"/>
  <c r="L1501" i="3"/>
  <c r="L1524" i="3"/>
  <c r="L1525" i="3"/>
  <c r="L1503" i="3"/>
  <c r="AG1506" i="3"/>
  <c r="N1513" i="3"/>
  <c r="L1505" i="3"/>
  <c r="AG1526" i="3"/>
  <c r="N1493" i="3"/>
  <c r="L1526" i="3"/>
  <c r="AG1504" i="3"/>
  <c r="AG1518" i="3"/>
  <c r="AG1528" i="3"/>
  <c r="L1494" i="3"/>
  <c r="L1509" i="3"/>
  <c r="L1492" i="3"/>
  <c r="L1496" i="3"/>
  <c r="AH1516" i="3" l="1"/>
  <c r="AH1514" i="3"/>
  <c r="AA1493" i="3"/>
  <c r="AA1527" i="3"/>
  <c r="AH1547" i="3"/>
  <c r="AA1513" i="3"/>
  <c r="AH1544" i="3"/>
  <c r="AH1543" i="3"/>
  <c r="AG1495" i="3"/>
  <c r="AA1495" i="3"/>
  <c r="AH1494" i="3"/>
  <c r="AH1539" i="3"/>
  <c r="AG1527" i="3"/>
  <c r="AG1513" i="3"/>
  <c r="AH1524" i="3"/>
  <c r="AH1518" i="3"/>
  <c r="AG1493" i="3"/>
  <c r="AH1520" i="3"/>
  <c r="AH1526" i="3"/>
  <c r="AH1536" i="3"/>
  <c r="AH1498" i="3"/>
  <c r="AH1528" i="3"/>
  <c r="AH1522" i="3"/>
  <c r="AH1502" i="3"/>
  <c r="AH1532" i="3"/>
  <c r="AH1500" i="3"/>
  <c r="AH1530" i="3"/>
  <c r="AH1504" i="3"/>
  <c r="AH1534" i="3"/>
  <c r="AH1506" i="3"/>
  <c r="AH1496" i="3"/>
  <c r="AH1510" i="3"/>
  <c r="AH1508" i="3"/>
  <c r="AH1512" i="3"/>
  <c r="AH1513" i="3" l="1"/>
  <c r="AH1527" i="3"/>
  <c r="AH1495" i="3"/>
  <c r="AH1493" i="3"/>
  <c r="AJ1490" i="3"/>
  <c r="R1490" i="3" a="1"/>
  <c r="R1490" i="3" s="1"/>
  <c r="O1490" i="3"/>
  <c r="AJ1489" i="3"/>
  <c r="O1489" i="3"/>
  <c r="F1490" i="3"/>
  <c r="F1489" i="3"/>
  <c r="AJ1488" i="3"/>
  <c r="R1488" i="3" a="1"/>
  <c r="R1488" i="3" s="1"/>
  <c r="O1488" i="3"/>
  <c r="AJ1487" i="3"/>
  <c r="O1487" i="3"/>
  <c r="F1487" i="3"/>
  <c r="F1488" i="3"/>
  <c r="AJ1486" i="3"/>
  <c r="R1486" i="3" a="1"/>
  <c r="R1486" i="3" s="1"/>
  <c r="O1486" i="3"/>
  <c r="AJ1485" i="3"/>
  <c r="O1485" i="3"/>
  <c r="F1485" i="3"/>
  <c r="F1486" i="3"/>
  <c r="AJ1484" i="3"/>
  <c r="R1484" i="3" a="1"/>
  <c r="R1484" i="3" s="1"/>
  <c r="O1484" i="3"/>
  <c r="AJ1483" i="3"/>
  <c r="O1483" i="3"/>
  <c r="F1483" i="3"/>
  <c r="F1484" i="3"/>
  <c r="AJ1482" i="3"/>
  <c r="R1482" i="3" a="1"/>
  <c r="R1482" i="3" s="1"/>
  <c r="O1482" i="3"/>
  <c r="AJ1481" i="3"/>
  <c r="R1481" i="3" a="1"/>
  <c r="R1481" i="3" s="1"/>
  <c r="O1481" i="3"/>
  <c r="F1482" i="3"/>
  <c r="F1481" i="3"/>
  <c r="C357" i="5"/>
  <c r="AR1486" i="3" l="1"/>
  <c r="AR1481" i="3"/>
  <c r="AR1490" i="3"/>
  <c r="AR1485" i="3"/>
  <c r="AR1489" i="3"/>
  <c r="AR1483" i="3"/>
  <c r="AR1488" i="3"/>
  <c r="AR1484" i="3"/>
  <c r="AR1482" i="3"/>
  <c r="AR1487" i="3"/>
  <c r="X1488" i="3"/>
  <c r="AC1488" i="3"/>
  <c r="X1481" i="3"/>
  <c r="AC1481" i="3"/>
  <c r="X1482" i="3"/>
  <c r="AC1482" i="3"/>
  <c r="AC1486" i="3"/>
  <c r="X1486" i="3"/>
  <c r="X1490" i="3"/>
  <c r="AC1490" i="3"/>
  <c r="X1484" i="3"/>
  <c r="AC1484" i="3"/>
  <c r="G1490" i="3"/>
  <c r="G1482" i="3"/>
  <c r="G1488" i="3"/>
  <c r="G1487" i="3"/>
  <c r="G1486" i="3"/>
  <c r="G1485" i="3"/>
  <c r="G1489" i="3"/>
  <c r="G1484" i="3"/>
  <c r="G1483" i="3"/>
  <c r="G1481" i="3"/>
  <c r="AQ1482" i="3"/>
  <c r="AQ1481" i="3"/>
  <c r="AQ1490" i="3"/>
  <c r="AQ1488" i="3"/>
  <c r="AQ1486" i="3"/>
  <c r="AQ1484" i="3"/>
  <c r="I1490" i="3"/>
  <c r="I1485" i="3"/>
  <c r="I1486" i="3"/>
  <c r="I1484" i="3"/>
  <c r="I1483" i="3"/>
  <c r="I1489" i="3"/>
  <c r="I1488" i="3"/>
  <c r="I1487" i="3"/>
  <c r="T1490" i="3"/>
  <c r="S1490" i="3"/>
  <c r="T1488" i="3"/>
  <c r="S1488" i="3"/>
  <c r="T1486" i="3"/>
  <c r="S1486" i="3"/>
  <c r="T1484" i="3"/>
  <c r="S1484" i="3"/>
  <c r="I1481" i="3"/>
  <c r="I1482" i="3"/>
  <c r="T1482" i="3"/>
  <c r="S1482" i="3"/>
  <c r="T1481" i="3"/>
  <c r="S1481" i="3"/>
  <c r="AD1484" i="3" l="1"/>
  <c r="Y1484" i="3"/>
  <c r="AD1490" i="3"/>
  <c r="Y1490" i="3"/>
  <c r="Y1486" i="3"/>
  <c r="AD1486" i="3"/>
  <c r="AD1482" i="3"/>
  <c r="Y1482" i="3"/>
  <c r="AD1481" i="3"/>
  <c r="Y1481" i="3"/>
  <c r="AD1488" i="3"/>
  <c r="Y1488" i="3"/>
  <c r="M1488" i="3" a="1"/>
  <c r="M1488" i="3" s="1"/>
  <c r="M1482" i="3" a="1"/>
  <c r="M1482" i="3" s="1"/>
  <c r="M1481" i="3" a="1"/>
  <c r="M1481" i="3" s="1"/>
  <c r="M1484" i="3" a="1"/>
  <c r="M1484" i="3" s="1"/>
  <c r="M1486" i="3" a="1"/>
  <c r="M1486" i="3" s="1"/>
  <c r="M1490" i="3" a="1"/>
  <c r="M1490" i="3" s="1"/>
  <c r="M596" i="4"/>
  <c r="M599" i="4"/>
  <c r="K1489" i="3"/>
  <c r="K1483" i="3"/>
  <c r="K1482" i="3"/>
  <c r="K1481" i="3"/>
  <c r="K1485" i="3"/>
  <c r="K1487" i="3"/>
  <c r="K1484" i="3"/>
  <c r="K1486" i="3"/>
  <c r="K1490" i="3"/>
  <c r="K1488" i="3"/>
  <c r="M598" i="4"/>
  <c r="M597" i="4"/>
  <c r="L596" i="4"/>
  <c r="M600" i="4"/>
  <c r="N1490" i="3"/>
  <c r="N1484" i="3"/>
  <c r="N1486" i="3"/>
  <c r="N1488" i="3"/>
  <c r="N1482" i="3"/>
  <c r="Q1482" i="3" l="1"/>
  <c r="N596" i="4"/>
  <c r="AA1482" i="3"/>
  <c r="AA1486" i="3"/>
  <c r="AA1484" i="3"/>
  <c r="AA1490" i="3"/>
  <c r="AA1488" i="3"/>
  <c r="AG1486" i="3"/>
  <c r="L1481" i="3"/>
  <c r="N1481" i="3"/>
  <c r="L1482" i="3"/>
  <c r="L1487" i="3"/>
  <c r="L1484" i="3"/>
  <c r="AG1484" i="3"/>
  <c r="L1483" i="3"/>
  <c r="AG1482" i="3"/>
  <c r="L1488" i="3"/>
  <c r="L1486" i="3"/>
  <c r="AG1488" i="3"/>
  <c r="L1489" i="3"/>
  <c r="L1490" i="3"/>
  <c r="AG1490" i="3"/>
  <c r="L1485" i="3"/>
  <c r="AH1488" i="3" l="1"/>
  <c r="AH1486" i="3"/>
  <c r="AA1481" i="3"/>
  <c r="AH1490" i="3"/>
  <c r="AH1484" i="3"/>
  <c r="AG1481" i="3"/>
  <c r="AH1482" i="3"/>
  <c r="AH1481" i="3" l="1"/>
  <c r="AJ1480" i="3"/>
  <c r="R1480" i="3" a="1"/>
  <c r="R1480" i="3" s="1"/>
  <c r="O1480" i="3"/>
  <c r="AJ1479" i="3"/>
  <c r="O1479" i="3"/>
  <c r="F1479" i="3"/>
  <c r="F1480" i="3"/>
  <c r="AR1479" i="3" l="1"/>
  <c r="AR1480" i="3"/>
  <c r="AC1480" i="3"/>
  <c r="X1480" i="3"/>
  <c r="G1480" i="3"/>
  <c r="G1479" i="3"/>
  <c r="AQ1480" i="3"/>
  <c r="M595" i="4"/>
  <c r="I1479" i="3"/>
  <c r="I1480" i="3"/>
  <c r="T1480" i="3"/>
  <c r="S1480" i="3"/>
  <c r="Y1480" i="3" l="1"/>
  <c r="AD1480" i="3"/>
  <c r="M1480" i="3" a="1"/>
  <c r="M1480" i="3" s="1"/>
  <c r="K1480" i="3"/>
  <c r="K1479" i="3"/>
  <c r="N1480" i="3"/>
  <c r="AA1480" i="3" l="1"/>
  <c r="AG1480" i="3"/>
  <c r="L1479" i="3"/>
  <c r="L1480" i="3"/>
  <c r="AH1480" i="3" l="1"/>
  <c r="AJ1478" i="3"/>
  <c r="R1478" i="3" a="1"/>
  <c r="R1478" i="3" s="1"/>
  <c r="O1478" i="3"/>
  <c r="AJ1477" i="3"/>
  <c r="O1477" i="3"/>
  <c r="F1478" i="3"/>
  <c r="F1477" i="3"/>
  <c r="AR1478" i="3" l="1"/>
  <c r="AR1477" i="3"/>
  <c r="X1478" i="3"/>
  <c r="AC1478" i="3"/>
  <c r="G1478" i="3"/>
  <c r="G1477" i="3"/>
  <c r="AQ1478" i="3"/>
  <c r="M594" i="4"/>
  <c r="I1477" i="3"/>
  <c r="I1478" i="3"/>
  <c r="T1478" i="3"/>
  <c r="S1478" i="3"/>
  <c r="AD1478" i="3" l="1"/>
  <c r="Y1478" i="3"/>
  <c r="M1478" i="3" a="1"/>
  <c r="M1478" i="3" s="1"/>
  <c r="K1477" i="3"/>
  <c r="K1478" i="3"/>
  <c r="N1478" i="3"/>
  <c r="AA1478" i="3" l="1"/>
  <c r="AG1478" i="3"/>
  <c r="L1478" i="3"/>
  <c r="L1477" i="3"/>
  <c r="AJ1476" i="3"/>
  <c r="R1476" i="3" a="1"/>
  <c r="R1476" i="3" s="1"/>
  <c r="O1476" i="3"/>
  <c r="AJ1475" i="3"/>
  <c r="R1475" i="3" a="1"/>
  <c r="R1475" i="3" s="1"/>
  <c r="O1475" i="3"/>
  <c r="F1475" i="3"/>
  <c r="F1476" i="3"/>
  <c r="C356" i="5"/>
  <c r="AJ1474" i="3"/>
  <c r="R1474" i="3" a="1"/>
  <c r="R1474" i="3" s="1"/>
  <c r="O1474" i="3"/>
  <c r="AJ1473" i="3"/>
  <c r="R1473" i="3" a="1"/>
  <c r="R1473" i="3" s="1"/>
  <c r="O1473" i="3"/>
  <c r="C355" i="5"/>
  <c r="F1473" i="3"/>
  <c r="F1474" i="3"/>
  <c r="O1471" i="3"/>
  <c r="AJ1471" i="3"/>
  <c r="O1472" i="3"/>
  <c r="R1472" i="3" a="1"/>
  <c r="R1472" i="3" s="1"/>
  <c r="AJ1472" i="3"/>
  <c r="F1471" i="3"/>
  <c r="F1472" i="3"/>
  <c r="O1469" i="3"/>
  <c r="AJ1469" i="3"/>
  <c r="O1470" i="3"/>
  <c r="R1470" i="3" a="1"/>
  <c r="R1470" i="3" s="1"/>
  <c r="AJ1470" i="3"/>
  <c r="F1469" i="3"/>
  <c r="F1470" i="3"/>
  <c r="O1467" i="3"/>
  <c r="R1467" i="3" a="1"/>
  <c r="R1467" i="3" s="1"/>
  <c r="AJ1467" i="3"/>
  <c r="O1468" i="3"/>
  <c r="R1468" i="3" a="1"/>
  <c r="R1468" i="3" s="1"/>
  <c r="AJ1468" i="3"/>
  <c r="C354" i="5"/>
  <c r="F1468" i="3"/>
  <c r="F1467" i="3"/>
  <c r="AR1470" i="3" l="1"/>
  <c r="AR1476" i="3"/>
  <c r="AR1474" i="3"/>
  <c r="AR1473" i="3"/>
  <c r="AR1468" i="3"/>
  <c r="AR1472" i="3"/>
  <c r="AR1471" i="3"/>
  <c r="AR1467" i="3"/>
  <c r="AR1469" i="3"/>
  <c r="AR1475" i="3"/>
  <c r="AC1475" i="3"/>
  <c r="X1475" i="3"/>
  <c r="X1470" i="3"/>
  <c r="AC1470" i="3"/>
  <c r="X1473" i="3"/>
  <c r="AC1473" i="3"/>
  <c r="AC1476" i="3"/>
  <c r="X1476" i="3"/>
  <c r="AC1474" i="3"/>
  <c r="X1474" i="3"/>
  <c r="AC1468" i="3"/>
  <c r="X1468" i="3"/>
  <c r="X1467" i="3"/>
  <c r="AC1467" i="3"/>
  <c r="X1472" i="3"/>
  <c r="AC1472" i="3"/>
  <c r="G1468" i="3"/>
  <c r="G1474" i="3"/>
  <c r="G1476" i="3"/>
  <c r="G1473" i="3"/>
  <c r="G1475" i="3"/>
  <c r="G1467" i="3"/>
  <c r="G1472" i="3"/>
  <c r="G1471" i="3"/>
  <c r="G1469" i="3"/>
  <c r="AH1478" i="3"/>
  <c r="G1470" i="3"/>
  <c r="AQ1472" i="3"/>
  <c r="AQ1473" i="3"/>
  <c r="AQ1475" i="3"/>
  <c r="AQ1468" i="3"/>
  <c r="AQ1474" i="3"/>
  <c r="AQ1467" i="3"/>
  <c r="AQ1476" i="3"/>
  <c r="AQ1470" i="3"/>
  <c r="M592" i="4"/>
  <c r="M590" i="4"/>
  <c r="M589" i="4"/>
  <c r="M591" i="4"/>
  <c r="I1475" i="3"/>
  <c r="I1476" i="3"/>
  <c r="T1476" i="3"/>
  <c r="S1476" i="3"/>
  <c r="T1475" i="3"/>
  <c r="S1475" i="3"/>
  <c r="I1473" i="3"/>
  <c r="I1474" i="3"/>
  <c r="T1474" i="3"/>
  <c r="S1474" i="3"/>
  <c r="T1473" i="3"/>
  <c r="S1473" i="3"/>
  <c r="I1467" i="3"/>
  <c r="I1472" i="3"/>
  <c r="I1471" i="3"/>
  <c r="I1469" i="3"/>
  <c r="I1470" i="3"/>
  <c r="I1468" i="3"/>
  <c r="T1472" i="3"/>
  <c r="S1472" i="3"/>
  <c r="T1470" i="3"/>
  <c r="S1470" i="3"/>
  <c r="T1468" i="3"/>
  <c r="S1468" i="3"/>
  <c r="S1467" i="3"/>
  <c r="T1467" i="3"/>
  <c r="O1465" i="3"/>
  <c r="R1465" i="3" a="1"/>
  <c r="R1465" i="3" s="1"/>
  <c r="AJ1465" i="3"/>
  <c r="O1466" i="3"/>
  <c r="R1466" i="3" a="1"/>
  <c r="R1466" i="3" s="1"/>
  <c r="AJ1466" i="3"/>
  <c r="F1465" i="3"/>
  <c r="F1466" i="3"/>
  <c r="C353" i="5"/>
  <c r="AJ1464" i="3"/>
  <c r="R1464" i="3" a="1"/>
  <c r="R1464" i="3" s="1"/>
  <c r="O1464" i="3"/>
  <c r="AJ1463" i="3"/>
  <c r="R1463" i="3" a="1"/>
  <c r="R1463" i="3" s="1"/>
  <c r="O1463" i="3"/>
  <c r="F1464" i="3"/>
  <c r="C352" i="5"/>
  <c r="F1463" i="3"/>
  <c r="AJ1462" i="3"/>
  <c r="R1462" i="3" a="1"/>
  <c r="R1462" i="3" s="1"/>
  <c r="O1462" i="3"/>
  <c r="AJ1461" i="3"/>
  <c r="O1461" i="3"/>
  <c r="F1462" i="3"/>
  <c r="F1461" i="3"/>
  <c r="AJ1460" i="3"/>
  <c r="R1460" i="3" a="1"/>
  <c r="R1460" i="3" s="1"/>
  <c r="O1460" i="3"/>
  <c r="AJ1459" i="3"/>
  <c r="R1459" i="3" a="1"/>
  <c r="R1459" i="3" s="1"/>
  <c r="O1459" i="3"/>
  <c r="C351" i="5"/>
  <c r="AD1472" i="3" l="1"/>
  <c r="Y1472" i="3"/>
  <c r="AD1467" i="3"/>
  <c r="Y1467" i="3"/>
  <c r="Y1468" i="3"/>
  <c r="AD1468" i="3"/>
  <c r="Y1474" i="3"/>
  <c r="AD1474" i="3"/>
  <c r="Y1476" i="3"/>
  <c r="AD1476" i="3"/>
  <c r="AD1473" i="3"/>
  <c r="Y1473" i="3"/>
  <c r="AD1470" i="3"/>
  <c r="Y1470" i="3"/>
  <c r="Y1475" i="3"/>
  <c r="AD1475" i="3"/>
  <c r="AR1464" i="3"/>
  <c r="AR1466" i="3"/>
  <c r="AR1462" i="3"/>
  <c r="AR1461" i="3"/>
  <c r="AR1463" i="3"/>
  <c r="AR1465" i="3"/>
  <c r="M1470" i="3" a="1"/>
  <c r="M1470" i="3" s="1"/>
  <c r="M1468" i="3" a="1"/>
  <c r="M1468" i="3" s="1"/>
  <c r="M1476" i="3" a="1"/>
  <c r="M1476" i="3" s="1"/>
  <c r="M1475" i="3" a="1"/>
  <c r="M1475" i="3" s="1"/>
  <c r="M1467" i="3" a="1"/>
  <c r="M1467" i="3" s="1"/>
  <c r="M1473" i="3" a="1"/>
  <c r="M1473" i="3" s="1"/>
  <c r="M1472" i="3" a="1"/>
  <c r="M1472" i="3" s="1"/>
  <c r="M1474" i="3" a="1"/>
  <c r="M1474" i="3" s="1"/>
  <c r="AC1459" i="3"/>
  <c r="X1459" i="3"/>
  <c r="X1466" i="3"/>
  <c r="AC1466" i="3"/>
  <c r="AC1460" i="3"/>
  <c r="X1460" i="3"/>
  <c r="X1463" i="3"/>
  <c r="AC1463" i="3"/>
  <c r="AC1465" i="3"/>
  <c r="X1465" i="3"/>
  <c r="X1464" i="3"/>
  <c r="AC1464" i="3"/>
  <c r="X1462" i="3"/>
  <c r="AC1462" i="3"/>
  <c r="L589" i="4"/>
  <c r="N589" i="4" s="1"/>
  <c r="K1476" i="3"/>
  <c r="K1475" i="3"/>
  <c r="K1468" i="3"/>
  <c r="K1470" i="3"/>
  <c r="K1473" i="3"/>
  <c r="G1463" i="3"/>
  <c r="G1465" i="3"/>
  <c r="K1469" i="3"/>
  <c r="G1466" i="3"/>
  <c r="G1464" i="3"/>
  <c r="K1471" i="3"/>
  <c r="K1472" i="3"/>
  <c r="G1461" i="3"/>
  <c r="G1462" i="3"/>
  <c r="K1467" i="3"/>
  <c r="K1474" i="3"/>
  <c r="AQ1463" i="3"/>
  <c r="AQ1466" i="3"/>
  <c r="AQ1459" i="3"/>
  <c r="AQ1462" i="3"/>
  <c r="AQ1460" i="3"/>
  <c r="AQ1464" i="3"/>
  <c r="AQ1465" i="3"/>
  <c r="M588" i="4"/>
  <c r="M593" i="4"/>
  <c r="M587" i="4"/>
  <c r="L592" i="4"/>
  <c r="N592" i="4" s="1"/>
  <c r="L593" i="4"/>
  <c r="N1476" i="3"/>
  <c r="N1474" i="3"/>
  <c r="N1468" i="3"/>
  <c r="N1470" i="3"/>
  <c r="N1472" i="3"/>
  <c r="I1466" i="3"/>
  <c r="I1465" i="3"/>
  <c r="T1466" i="3"/>
  <c r="S1465" i="3"/>
  <c r="T1465" i="3"/>
  <c r="S1466" i="3"/>
  <c r="I1463" i="3"/>
  <c r="T1463" i="3"/>
  <c r="T1464" i="3"/>
  <c r="S1464" i="3"/>
  <c r="S1463" i="3"/>
  <c r="I1464" i="3"/>
  <c r="I1462" i="3"/>
  <c r="I1461" i="3"/>
  <c r="T1462" i="3"/>
  <c r="S1462" i="3"/>
  <c r="T1459" i="3"/>
  <c r="S1459" i="3"/>
  <c r="T1460" i="3"/>
  <c r="S1460" i="3"/>
  <c r="Q1476" i="3" l="1"/>
  <c r="AD1462" i="3"/>
  <c r="Y1462" i="3"/>
  <c r="AD1464" i="3"/>
  <c r="Y1464" i="3"/>
  <c r="Y1465" i="3"/>
  <c r="AD1465" i="3"/>
  <c r="AD1463" i="3"/>
  <c r="Y1463" i="3"/>
  <c r="Y1460" i="3"/>
  <c r="AD1460" i="3"/>
  <c r="AD1466" i="3"/>
  <c r="Y1466" i="3"/>
  <c r="Y1459" i="3"/>
  <c r="AD1459" i="3"/>
  <c r="N593" i="4"/>
  <c r="AA1474" i="3"/>
  <c r="AA1476" i="3"/>
  <c r="M1463" i="3" a="1"/>
  <c r="M1463" i="3" s="1"/>
  <c r="M1465" i="3" a="1"/>
  <c r="M1465" i="3" s="1"/>
  <c r="M1462" i="3" a="1"/>
  <c r="M1462" i="3" s="1"/>
  <c r="M1464" i="3" a="1"/>
  <c r="M1464" i="3" s="1"/>
  <c r="AA1472" i="3"/>
  <c r="M1466" i="3" a="1"/>
  <c r="M1466" i="3" s="1"/>
  <c r="AA1470" i="3"/>
  <c r="AA1468" i="3"/>
  <c r="M585" i="4"/>
  <c r="M586" i="4"/>
  <c r="AG1474" i="3"/>
  <c r="L1473" i="3"/>
  <c r="L1474" i="3"/>
  <c r="K1465" i="3"/>
  <c r="L1470" i="3"/>
  <c r="L1471" i="3"/>
  <c r="AG1472" i="3"/>
  <c r="K1464" i="3"/>
  <c r="N1467" i="3"/>
  <c r="AG1470" i="3"/>
  <c r="N1475" i="3"/>
  <c r="L1469" i="3"/>
  <c r="L1468" i="3"/>
  <c r="AG1476" i="3"/>
  <c r="L1467" i="3"/>
  <c r="N1473" i="3"/>
  <c r="K1466" i="3"/>
  <c r="L1475" i="3"/>
  <c r="K1462" i="3"/>
  <c r="AG1468" i="3"/>
  <c r="K1461" i="3"/>
  <c r="K1463" i="3"/>
  <c r="L1472" i="3"/>
  <c r="L1476" i="3"/>
  <c r="L587" i="4"/>
  <c r="L588" i="4"/>
  <c r="L585" i="4"/>
  <c r="N1466" i="3"/>
  <c r="N1464" i="3"/>
  <c r="N1462" i="3"/>
  <c r="Q1462" i="3" l="1"/>
  <c r="Q1466" i="3"/>
  <c r="N588" i="4"/>
  <c r="N587" i="4"/>
  <c r="N585" i="4"/>
  <c r="AA1466" i="3"/>
  <c r="AA1473" i="3"/>
  <c r="AA1464" i="3"/>
  <c r="AA1467" i="3"/>
  <c r="AA1462" i="3"/>
  <c r="AA1475" i="3"/>
  <c r="AH1474" i="3"/>
  <c r="AG1475" i="3"/>
  <c r="AG1467" i="3"/>
  <c r="AH1476" i="3"/>
  <c r="N1465" i="3"/>
  <c r="L1465" i="3"/>
  <c r="N1463" i="3"/>
  <c r="L1464" i="3"/>
  <c r="L1462" i="3"/>
  <c r="AH1472" i="3"/>
  <c r="AG1462" i="3"/>
  <c r="L1466" i="3"/>
  <c r="L1463" i="3"/>
  <c r="AG1464" i="3"/>
  <c r="AG1466" i="3"/>
  <c r="L1461" i="3"/>
  <c r="AH1468" i="3"/>
  <c r="AH1470" i="3"/>
  <c r="AG1473" i="3"/>
  <c r="AH1475" i="3" l="1"/>
  <c r="AA1463" i="3"/>
  <c r="AA1465" i="3"/>
  <c r="AH1473" i="3"/>
  <c r="AH1467" i="3"/>
  <c r="AG1465" i="3"/>
  <c r="AG1463" i="3"/>
  <c r="AH1462" i="3"/>
  <c r="AH1464" i="3"/>
  <c r="AH1466" i="3"/>
  <c r="AH1465" i="3" l="1"/>
  <c r="AH1463" i="3"/>
  <c r="F1459" i="3"/>
  <c r="F1460" i="3"/>
  <c r="AJ1458" i="3"/>
  <c r="R1458" i="3" a="1"/>
  <c r="R1458" i="3" s="1"/>
  <c r="O1458" i="3"/>
  <c r="AJ1457" i="3"/>
  <c r="O1457" i="3"/>
  <c r="AJ1456" i="3"/>
  <c r="O1456" i="3"/>
  <c r="AJ1455" i="3"/>
  <c r="O1455" i="3"/>
  <c r="F1458" i="3"/>
  <c r="F1457" i="3"/>
  <c r="F1456" i="3"/>
  <c r="F1455" i="3"/>
  <c r="W1453" i="3"/>
  <c r="R1454" i="3" a="1"/>
  <c r="R1454" i="3" s="1"/>
  <c r="R1451" i="3" a="1"/>
  <c r="R1451" i="3" s="1"/>
  <c r="R1449" i="3" a="1"/>
  <c r="R1449" i="3" s="1"/>
  <c r="F1454" i="3"/>
  <c r="F1453" i="3"/>
  <c r="AJ1454" i="3"/>
  <c r="V1454" i="3"/>
  <c r="AJ1453" i="3"/>
  <c r="O1454" i="3"/>
  <c r="AR1454" i="3" l="1"/>
  <c r="AR1455" i="3"/>
  <c r="AR1460" i="3"/>
  <c r="AR1458" i="3"/>
  <c r="AR1456" i="3"/>
  <c r="AR1457" i="3"/>
  <c r="AR1459" i="3"/>
  <c r="AR1453" i="3"/>
  <c r="AC1458" i="3"/>
  <c r="X1458" i="3"/>
  <c r="G1455" i="3"/>
  <c r="I1453" i="3"/>
  <c r="G1458" i="3"/>
  <c r="G1456" i="3"/>
  <c r="G1457" i="3"/>
  <c r="I1454" i="3"/>
  <c r="AQ1458" i="3"/>
  <c r="AQ1454" i="3"/>
  <c r="AC1454" i="3"/>
  <c r="X1454" i="3"/>
  <c r="G1460" i="3"/>
  <c r="I1460" i="3"/>
  <c r="G1459" i="3"/>
  <c r="I1459" i="3"/>
  <c r="G1454" i="3"/>
  <c r="I1458" i="3"/>
  <c r="I1455" i="3"/>
  <c r="I1457" i="3"/>
  <c r="G1453" i="3"/>
  <c r="I1456" i="3"/>
  <c r="T1458" i="3"/>
  <c r="S1458" i="3"/>
  <c r="W1454" i="3"/>
  <c r="V1453" i="3"/>
  <c r="S1454" i="3"/>
  <c r="T1454" i="3"/>
  <c r="Y1458" i="3" l="1"/>
  <c r="AD1458" i="3"/>
  <c r="M1454" i="3" a="1"/>
  <c r="M1454" i="3" s="1"/>
  <c r="M1458" i="3" a="1"/>
  <c r="M1458" i="3" s="1"/>
  <c r="M1460" i="3" a="1"/>
  <c r="M1460" i="3" s="1"/>
  <c r="M1459" i="3" a="1"/>
  <c r="M1459" i="3" s="1"/>
  <c r="M583" i="4"/>
  <c r="Y1454" i="3"/>
  <c r="AD1454" i="3"/>
  <c r="K1460" i="3"/>
  <c r="K1456" i="3"/>
  <c r="K1458" i="3"/>
  <c r="K1457" i="3"/>
  <c r="K1453" i="3"/>
  <c r="K1459" i="3"/>
  <c r="K1454" i="3"/>
  <c r="K1455" i="3"/>
  <c r="N1454" i="3"/>
  <c r="M584" i="4"/>
  <c r="N1460" i="3"/>
  <c r="N1458" i="3"/>
  <c r="AA1460" i="3" l="1"/>
  <c r="AA1458" i="3"/>
  <c r="AG1458" i="3"/>
  <c r="L1453" i="3"/>
  <c r="N1459" i="3"/>
  <c r="AG1454" i="3"/>
  <c r="AA1454" i="3"/>
  <c r="L1457" i="3"/>
  <c r="L1454" i="3"/>
  <c r="L1456" i="3"/>
  <c r="L1458" i="3"/>
  <c r="L1455" i="3"/>
  <c r="AG1460" i="3"/>
  <c r="L1459" i="3"/>
  <c r="L1460" i="3"/>
  <c r="AA1459" i="3" l="1"/>
  <c r="AH1460" i="3"/>
  <c r="AH1458" i="3"/>
  <c r="AH1454" i="3"/>
  <c r="AG1459" i="3"/>
  <c r="AH1459" i="3" l="1"/>
  <c r="P1594" i="3"/>
  <c r="P1756" i="3"/>
  <c r="P1775" i="3"/>
  <c r="P1768" i="3"/>
  <c r="P1769" i="3"/>
  <c r="P1778" i="3"/>
  <c r="P1744" i="3"/>
  <c r="Q1744" i="3" l="1"/>
  <c r="Q1778" i="3"/>
  <c r="Q1769" i="3"/>
  <c r="Q1768" i="3"/>
  <c r="Q1775" i="3"/>
  <c r="Q1756" i="3"/>
  <c r="Q1594" i="3"/>
  <c r="AB1778" i="3"/>
  <c r="AB1775" i="3"/>
  <c r="AB1769" i="3"/>
  <c r="AB1768" i="3"/>
  <c r="AB1756" i="3"/>
  <c r="AB1594" i="3"/>
  <c r="AB1744" i="3"/>
  <c r="P1615" i="3"/>
  <c r="P1465" i="3"/>
  <c r="P1475" i="3"/>
  <c r="P1710" i="3"/>
  <c r="P1591" i="3"/>
  <c r="P1481" i="3"/>
  <c r="E582" i="4"/>
  <c r="AJ1451" i="3"/>
  <c r="O1451" i="3"/>
  <c r="AJ1450" i="3"/>
  <c r="O1450" i="3"/>
  <c r="F1451" i="3"/>
  <c r="F1450" i="3"/>
  <c r="F582" i="7"/>
  <c r="U1450" i="3" s="1"/>
  <c r="AJ1449" i="3"/>
  <c r="O1449" i="3"/>
  <c r="AJ1448" i="3"/>
  <c r="O1448" i="3"/>
  <c r="F1449" i="3"/>
  <c r="F1448" i="3"/>
  <c r="AJ1447" i="3"/>
  <c r="R1447" i="3"/>
  <c r="O1447" i="3"/>
  <c r="AJ1446" i="3"/>
  <c r="O1446" i="3"/>
  <c r="F1447" i="3"/>
  <c r="F1446" i="3"/>
  <c r="AJ1445" i="3"/>
  <c r="R1445" i="3"/>
  <c r="O1445" i="3"/>
  <c r="AJ1444" i="3"/>
  <c r="O1444" i="3"/>
  <c r="F1445" i="3"/>
  <c r="F1444" i="3"/>
  <c r="AJ1443" i="3"/>
  <c r="R1443" i="3"/>
  <c r="O1443" i="3"/>
  <c r="AJ1442" i="3"/>
  <c r="O1442" i="3"/>
  <c r="F1443" i="3"/>
  <c r="F1442" i="3"/>
  <c r="AJ1441" i="3"/>
  <c r="R1441" i="3"/>
  <c r="O1441" i="3"/>
  <c r="AJ1440" i="3"/>
  <c r="O1440" i="3"/>
  <c r="F1441" i="3"/>
  <c r="F1440" i="3"/>
  <c r="AJ1439" i="3"/>
  <c r="R1439" i="3"/>
  <c r="O1439" i="3"/>
  <c r="AJ1438" i="3"/>
  <c r="O1438" i="3"/>
  <c r="F1439" i="3"/>
  <c r="F1438" i="3"/>
  <c r="AJ1437" i="3"/>
  <c r="R1437" i="3"/>
  <c r="O1437" i="3"/>
  <c r="AJ1436" i="3"/>
  <c r="O1436" i="3"/>
  <c r="F1437" i="3"/>
  <c r="F1436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4" i="3"/>
  <c r="AJ165" i="3"/>
  <c r="AJ166" i="3"/>
  <c r="AJ167" i="3"/>
  <c r="AJ168" i="3"/>
  <c r="AJ169" i="3"/>
  <c r="AJ170" i="3"/>
  <c r="AJ171" i="3"/>
  <c r="AJ172" i="3"/>
  <c r="AJ173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1" i="3"/>
  <c r="AJ192" i="3"/>
  <c r="AJ194" i="3"/>
  <c r="AJ195" i="3"/>
  <c r="AJ196" i="3"/>
  <c r="AJ198" i="3"/>
  <c r="AJ199" i="3"/>
  <c r="AJ200" i="3"/>
  <c r="AJ201" i="3"/>
  <c r="AJ202" i="3"/>
  <c r="AJ203" i="3"/>
  <c r="AJ204" i="3"/>
  <c r="AJ205" i="3"/>
  <c r="AJ206" i="3"/>
  <c r="AJ207" i="3"/>
  <c r="AJ209" i="3"/>
  <c r="AJ210" i="3"/>
  <c r="AJ211" i="3"/>
  <c r="AJ212" i="3"/>
  <c r="AJ213" i="3"/>
  <c r="AJ214" i="3"/>
  <c r="AJ215" i="3"/>
  <c r="AJ216" i="3"/>
  <c r="AJ217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2" i="3"/>
  <c r="AJ333" i="3"/>
  <c r="AJ334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3" i="3"/>
  <c r="AJ354" i="3"/>
  <c r="AJ355" i="3"/>
  <c r="AJ356" i="3"/>
  <c r="AJ357" i="3"/>
  <c r="AJ358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5" i="3"/>
  <c r="AJ386" i="3"/>
  <c r="AJ387" i="3"/>
  <c r="AJ388" i="3"/>
  <c r="AJ389" i="3"/>
  <c r="AJ390" i="3"/>
  <c r="AJ392" i="3"/>
  <c r="AJ393" i="3"/>
  <c r="AJ394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1" i="3"/>
  <c r="AJ412" i="3"/>
  <c r="AJ413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6" i="3"/>
  <c r="AJ1337" i="3"/>
  <c r="AJ1338" i="3"/>
  <c r="AJ1339" i="3"/>
  <c r="AJ1340" i="3"/>
  <c r="AJ1342" i="3"/>
  <c r="AJ1343" i="3"/>
  <c r="AJ1345" i="3"/>
  <c r="AJ1346" i="3"/>
  <c r="AJ1348" i="3"/>
  <c r="AJ1349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1" i="3"/>
  <c r="AJ1382" i="3"/>
  <c r="AJ1384" i="3"/>
  <c r="AJ1385" i="3"/>
  <c r="AJ1387" i="3"/>
  <c r="AJ1388" i="3"/>
  <c r="AJ1390" i="3"/>
  <c r="AJ1391" i="3"/>
  <c r="AJ1393" i="3"/>
  <c r="AJ1394" i="3"/>
  <c r="AJ1395" i="3"/>
  <c r="AJ1396" i="3"/>
  <c r="AJ1397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8" i="3"/>
  <c r="AJ1429" i="3"/>
  <c r="AJ1430" i="3"/>
  <c r="AJ1431" i="3"/>
  <c r="AJ1432" i="3"/>
  <c r="AJ1433" i="3"/>
  <c r="AJ1434" i="3"/>
  <c r="AJ1435" i="3"/>
  <c r="AJ2" i="3"/>
  <c r="F581" i="7"/>
  <c r="U1448" i="3" s="1"/>
  <c r="F580" i="7"/>
  <c r="U1446" i="3" s="1"/>
  <c r="F579" i="7"/>
  <c r="U1444" i="3" s="1"/>
  <c r="F578" i="7"/>
  <c r="U1442" i="3" s="1"/>
  <c r="F577" i="7"/>
  <c r="U1440" i="3" s="1"/>
  <c r="F576" i="7"/>
  <c r="U1438" i="3" s="1"/>
  <c r="F575" i="7"/>
  <c r="U1436" i="3" s="1"/>
  <c r="F574" i="7"/>
  <c r="U1434" i="3" s="1"/>
  <c r="R1435" i="3"/>
  <c r="O1435" i="3"/>
  <c r="O1434" i="3"/>
  <c r="U331" i="8"/>
  <c r="V331" i="8"/>
  <c r="U332" i="8"/>
  <c r="V332" i="8"/>
  <c r="U333" i="8"/>
  <c r="V333" i="8"/>
  <c r="U334" i="8"/>
  <c r="V334" i="8"/>
  <c r="L331" i="8"/>
  <c r="M331" i="8"/>
  <c r="L332" i="8"/>
  <c r="M332" i="8"/>
  <c r="L333" i="8"/>
  <c r="M333" i="8"/>
  <c r="L334" i="8"/>
  <c r="M334" i="8"/>
  <c r="V326" i="8"/>
  <c r="V327" i="8"/>
  <c r="V328" i="8"/>
  <c r="U326" i="8"/>
  <c r="U327" i="8"/>
  <c r="U328" i="8"/>
  <c r="F1435" i="3"/>
  <c r="F1434" i="3"/>
  <c r="E581" i="4"/>
  <c r="E580" i="4"/>
  <c r="E579" i="4"/>
  <c r="E578" i="4"/>
  <c r="E577" i="4"/>
  <c r="E576" i="4"/>
  <c r="E575" i="4"/>
  <c r="E574" i="4"/>
  <c r="C350" i="5"/>
  <c r="C347" i="5"/>
  <c r="C348" i="5"/>
  <c r="C349" i="5"/>
  <c r="R1448" i="3" l="1"/>
  <c r="AC1448" i="3" s="1"/>
  <c r="R1440" i="3"/>
  <c r="X1440" i="3" s="1"/>
  <c r="R1436" i="3"/>
  <c r="T1436" i="3" s="1"/>
  <c r="R1442" i="3"/>
  <c r="T1442" i="3" s="1"/>
  <c r="AI1769" i="3"/>
  <c r="Q1481" i="3"/>
  <c r="Q1591" i="3"/>
  <c r="Q1710" i="3"/>
  <c r="Q1475" i="3"/>
  <c r="Q1465" i="3"/>
  <c r="Q1615" i="3"/>
  <c r="AR1450" i="3"/>
  <c r="AR1451" i="3"/>
  <c r="AR1447" i="3"/>
  <c r="AR1437" i="3"/>
  <c r="AR1445" i="3"/>
  <c r="AR1441" i="3"/>
  <c r="AR1435" i="3"/>
  <c r="AR1449" i="3"/>
  <c r="AR1439" i="3"/>
  <c r="AR1443" i="3"/>
  <c r="AR1444" i="3"/>
  <c r="AR1440" i="3"/>
  <c r="AR1434" i="3"/>
  <c r="AR1448" i="3"/>
  <c r="AR1438" i="3"/>
  <c r="AR1446" i="3"/>
  <c r="AR1436" i="3"/>
  <c r="AR1442" i="3"/>
  <c r="P1730" i="3"/>
  <c r="P1728" i="3"/>
  <c r="P1568" i="3"/>
  <c r="P1570" i="3"/>
  <c r="P1579" i="3"/>
  <c r="P1581" i="3"/>
  <c r="P1583" i="3"/>
  <c r="P1585" i="3"/>
  <c r="P1684" i="3"/>
  <c r="P1513" i="3"/>
  <c r="P1557" i="3"/>
  <c r="P1658" i="3"/>
  <c r="P1539" i="3"/>
  <c r="P1696" i="3"/>
  <c r="P1459" i="3"/>
  <c r="P1660" i="3"/>
  <c r="P1736" i="3"/>
  <c r="P1738" i="3"/>
  <c r="P1718" i="3"/>
  <c r="P1716" i="3"/>
  <c r="P1467" i="3"/>
  <c r="P1672" i="3"/>
  <c r="P1495" i="3"/>
  <c r="P1676" i="3"/>
  <c r="P1742" i="3"/>
  <c r="P1740" i="3"/>
  <c r="P1714" i="3"/>
  <c r="P1712" i="3"/>
  <c r="P1473" i="3"/>
  <c r="P1664" i="3"/>
  <c r="P1702" i="3"/>
  <c r="P1547" i="3"/>
  <c r="P1662" i="3"/>
  <c r="P1463" i="3"/>
  <c r="P1543" i="3"/>
  <c r="P1700" i="3"/>
  <c r="P1732" i="3"/>
  <c r="P1734" i="3"/>
  <c r="M1577" i="3" a="1"/>
  <c r="M1577" i="3" s="1"/>
  <c r="I724" i="4"/>
  <c r="AI1778" i="3"/>
  <c r="I722" i="4"/>
  <c r="AI1775" i="3"/>
  <c r="AI1768" i="3"/>
  <c r="I721" i="4"/>
  <c r="AI1756" i="3"/>
  <c r="I718" i="4"/>
  <c r="AB1710" i="3"/>
  <c r="AB1475" i="3"/>
  <c r="AB1481" i="3"/>
  <c r="AB1465" i="3"/>
  <c r="AB1591" i="3"/>
  <c r="AB1615" i="3"/>
  <c r="AI1744" i="3"/>
  <c r="I713" i="4"/>
  <c r="AK2" i="3"/>
  <c r="G1442" i="3"/>
  <c r="G1436" i="3"/>
  <c r="G1447" i="3"/>
  <c r="G1439" i="3"/>
  <c r="G1437" i="3"/>
  <c r="G1440" i="3"/>
  <c r="G1446" i="3"/>
  <c r="G1441" i="3"/>
  <c r="G1450" i="3"/>
  <c r="G1443" i="3"/>
  <c r="G1444" i="3"/>
  <c r="G1451" i="3"/>
  <c r="G1434" i="3"/>
  <c r="G1445" i="3"/>
  <c r="G1448" i="3"/>
  <c r="G1435" i="3"/>
  <c r="G1438" i="3"/>
  <c r="G1449" i="3"/>
  <c r="AQ1442" i="3"/>
  <c r="AC1442" i="3"/>
  <c r="X1442" i="3"/>
  <c r="AQ1447" i="3"/>
  <c r="AC1447" i="3"/>
  <c r="X1447" i="3"/>
  <c r="AQ1448" i="3"/>
  <c r="X1448" i="3"/>
  <c r="AC1445" i="3"/>
  <c r="AQ1445" i="3"/>
  <c r="X1445" i="3"/>
  <c r="AQ1437" i="3"/>
  <c r="X1437" i="3"/>
  <c r="AC1437" i="3"/>
  <c r="AQ1440" i="3"/>
  <c r="AC1440" i="3"/>
  <c r="AC1443" i="3"/>
  <c r="X1443" i="3"/>
  <c r="AQ1443" i="3"/>
  <c r="AQ1436" i="3"/>
  <c r="AQ1435" i="3"/>
  <c r="X1435" i="3"/>
  <c r="AC1435" i="3"/>
  <c r="AC1441" i="3"/>
  <c r="X1441" i="3"/>
  <c r="AQ1441" i="3"/>
  <c r="AQ1439" i="3"/>
  <c r="X1439" i="3"/>
  <c r="AC1439" i="3"/>
  <c r="AQ1451" i="3"/>
  <c r="AC1451" i="3"/>
  <c r="X1451" i="3"/>
  <c r="X1449" i="3"/>
  <c r="AC1449" i="3"/>
  <c r="AQ1449" i="3"/>
  <c r="AI1594" i="3"/>
  <c r="W333" i="8"/>
  <c r="R1577" i="3" s="1" a="1"/>
  <c r="R1577" i="3" s="1"/>
  <c r="W1450" i="3"/>
  <c r="I1441" i="3"/>
  <c r="T1449" i="3"/>
  <c r="T1443" i="3"/>
  <c r="T1447" i="3"/>
  <c r="T1445" i="3"/>
  <c r="R1438" i="3"/>
  <c r="R1446" i="3"/>
  <c r="I1451" i="3"/>
  <c r="T1451" i="3"/>
  <c r="I1444" i="3"/>
  <c r="W1451" i="3"/>
  <c r="I1450" i="3"/>
  <c r="T1435" i="3"/>
  <c r="I1445" i="3"/>
  <c r="T1448" i="3"/>
  <c r="I1435" i="3"/>
  <c r="I1439" i="3"/>
  <c r="T1439" i="3"/>
  <c r="I1448" i="3"/>
  <c r="I1434" i="3"/>
  <c r="I1438" i="3"/>
  <c r="I1447" i="3"/>
  <c r="I1437" i="3"/>
  <c r="T1441" i="3"/>
  <c r="I1443" i="3"/>
  <c r="I1440" i="3"/>
  <c r="I1446" i="3"/>
  <c r="T1437" i="3"/>
  <c r="I1449" i="3"/>
  <c r="I1436" i="3"/>
  <c r="I1442" i="3"/>
  <c r="W1437" i="3"/>
  <c r="W1445" i="3"/>
  <c r="W1441" i="3"/>
  <c r="W1440" i="3"/>
  <c r="W1444" i="3"/>
  <c r="W1449" i="3"/>
  <c r="W1439" i="3"/>
  <c r="W1448" i="3"/>
  <c r="W1443" i="3"/>
  <c r="W1447" i="3"/>
  <c r="W1442" i="3"/>
  <c r="T580" i="4"/>
  <c r="T577" i="4"/>
  <c r="T578" i="4"/>
  <c r="T576" i="4"/>
  <c r="T581" i="4"/>
  <c r="T579" i="4"/>
  <c r="T572" i="4"/>
  <c r="T570" i="4"/>
  <c r="T573" i="4"/>
  <c r="T571" i="4"/>
  <c r="T575" i="4"/>
  <c r="T574" i="4"/>
  <c r="W1446" i="3"/>
  <c r="R1434" i="3"/>
  <c r="R1444" i="3"/>
  <c r="T1440" i="3"/>
  <c r="W1438" i="3"/>
  <c r="W1436" i="3"/>
  <c r="W1434" i="3"/>
  <c r="W1435" i="3"/>
  <c r="AC1436" i="3" l="1"/>
  <c r="X1436" i="3"/>
  <c r="Q1734" i="3"/>
  <c r="Q1732" i="3"/>
  <c r="Q1700" i="3"/>
  <c r="Q1543" i="3"/>
  <c r="Q1463" i="3"/>
  <c r="Q1662" i="3"/>
  <c r="Q1547" i="3"/>
  <c r="Q1702" i="3"/>
  <c r="Q1664" i="3"/>
  <c r="Q1473" i="3"/>
  <c r="Q1712" i="3"/>
  <c r="Q1714" i="3"/>
  <c r="Q1740" i="3"/>
  <c r="Q1742" i="3"/>
  <c r="Q1676" i="3"/>
  <c r="Q1495" i="3"/>
  <c r="Q1672" i="3"/>
  <c r="Q1467" i="3"/>
  <c r="Q1716" i="3"/>
  <c r="Q1718" i="3"/>
  <c r="Q1738" i="3"/>
  <c r="Q1736" i="3"/>
  <c r="Q1660" i="3"/>
  <c r="Q1459" i="3"/>
  <c r="Q1696" i="3"/>
  <c r="Q1539" i="3"/>
  <c r="Q1658" i="3"/>
  <c r="Q1557" i="3"/>
  <c r="Q1513" i="3"/>
  <c r="Q1684" i="3"/>
  <c r="Q1585" i="3"/>
  <c r="Q1583" i="3"/>
  <c r="Q1581" i="3"/>
  <c r="Q1579" i="3"/>
  <c r="Q1570" i="3"/>
  <c r="Q1568" i="3"/>
  <c r="Q1728" i="3"/>
  <c r="Q1730" i="3"/>
  <c r="AB1730" i="3"/>
  <c r="AB1579" i="3"/>
  <c r="AB1473" i="3"/>
  <c r="AB1696" i="3"/>
  <c r="AB1742" i="3"/>
  <c r="AB1716" i="3"/>
  <c r="AB1513" i="3"/>
  <c r="AB1714" i="3"/>
  <c r="AB1676" i="3"/>
  <c r="AB1734" i="3"/>
  <c r="AB1463" i="3"/>
  <c r="AB1662" i="3"/>
  <c r="AB1712" i="3"/>
  <c r="AB1702" i="3"/>
  <c r="M1441" i="3" a="1"/>
  <c r="M1441" i="3" s="1"/>
  <c r="AB1547" i="3"/>
  <c r="AB1495" i="3"/>
  <c r="M1446" i="3" a="1"/>
  <c r="M1446" i="3" s="1"/>
  <c r="M1440" i="3" a="1"/>
  <c r="M1440" i="3" s="1"/>
  <c r="AB1658" i="3"/>
  <c r="AI1475" i="3"/>
  <c r="AB1664" i="3"/>
  <c r="AB1543" i="3"/>
  <c r="M1437" i="3" a="1"/>
  <c r="M1437" i="3" s="1"/>
  <c r="AB1557" i="3"/>
  <c r="AB1732" i="3"/>
  <c r="M1447" i="3" a="1"/>
  <c r="M1447" i="3" s="1"/>
  <c r="M1444" i="3" a="1"/>
  <c r="M1444" i="3" s="1"/>
  <c r="AB1718" i="3"/>
  <c r="M1449" i="3" a="1"/>
  <c r="M1449" i="3" s="1"/>
  <c r="M1438" i="3" a="1"/>
  <c r="M1438" i="3" s="1"/>
  <c r="AB1568" i="3"/>
  <c r="AI1615" i="3"/>
  <c r="M1445" i="3" a="1"/>
  <c r="M1445" i="3" s="1"/>
  <c r="M1451" i="3" a="1"/>
  <c r="M1451" i="3" s="1"/>
  <c r="AB1570" i="3"/>
  <c r="AB1672" i="3"/>
  <c r="AI1465" i="3"/>
  <c r="M1443" i="3" a="1"/>
  <c r="M1443" i="3" s="1"/>
  <c r="M1434" i="3" a="1"/>
  <c r="M1434" i="3" s="1"/>
  <c r="M1442" i="3" a="1"/>
  <c r="M1442" i="3" s="1"/>
  <c r="M1448" i="3" a="1"/>
  <c r="M1448" i="3" s="1"/>
  <c r="AB1467" i="3"/>
  <c r="AB1684" i="3"/>
  <c r="AB1740" i="3"/>
  <c r="M1436" i="3" a="1"/>
  <c r="M1436" i="3" s="1"/>
  <c r="AB1660" i="3"/>
  <c r="AB1738" i="3"/>
  <c r="AI1481" i="3"/>
  <c r="AB1581" i="3"/>
  <c r="AB1585" i="3"/>
  <c r="AB1736" i="3"/>
  <c r="AB1728" i="3"/>
  <c r="M1439" i="3" a="1"/>
  <c r="M1439" i="3" s="1"/>
  <c r="AB1459" i="3"/>
  <c r="M1435" i="3" a="1"/>
  <c r="M1435" i="3" s="1"/>
  <c r="AB1583" i="3"/>
  <c r="AB1700" i="3"/>
  <c r="X1577" i="3"/>
  <c r="AC1577" i="3"/>
  <c r="AI1710" i="3"/>
  <c r="K1450" i="3"/>
  <c r="K1438" i="3"/>
  <c r="K1444" i="3"/>
  <c r="K1434" i="3"/>
  <c r="K1442" i="3"/>
  <c r="K1448" i="3"/>
  <c r="K1451" i="3"/>
  <c r="K1447" i="3"/>
  <c r="K1436" i="3"/>
  <c r="K1439" i="3"/>
  <c r="K1446" i="3"/>
  <c r="N1577" i="3"/>
  <c r="K1440" i="3"/>
  <c r="K1443" i="3"/>
  <c r="K1435" i="3"/>
  <c r="N1449" i="3"/>
  <c r="K1449" i="3"/>
  <c r="K1445" i="3"/>
  <c r="K1437" i="3"/>
  <c r="N1441" i="3"/>
  <c r="K1441" i="3"/>
  <c r="AQ1438" i="3"/>
  <c r="X1438" i="3"/>
  <c r="AC1438" i="3"/>
  <c r="AQ1577" i="3"/>
  <c r="AQ1444" i="3"/>
  <c r="AC1444" i="3"/>
  <c r="X1444" i="3"/>
  <c r="AQ1446" i="3"/>
  <c r="AC1446" i="3"/>
  <c r="X1446" i="3"/>
  <c r="T1434" i="3"/>
  <c r="AQ1434" i="3"/>
  <c r="AC1434" i="3"/>
  <c r="X1434" i="3"/>
  <c r="AI1591" i="3"/>
  <c r="T1577" i="3"/>
  <c r="S1577" i="3"/>
  <c r="N1451" i="3"/>
  <c r="T1438" i="3"/>
  <c r="N1435" i="3"/>
  <c r="T1446" i="3"/>
  <c r="N1445" i="3"/>
  <c r="N1437" i="3"/>
  <c r="N1439" i="3"/>
  <c r="N1447" i="3"/>
  <c r="T1444" i="3"/>
  <c r="N1443" i="3"/>
  <c r="AI1696" i="3" l="1"/>
  <c r="AI1473" i="3"/>
  <c r="AI1463" i="3"/>
  <c r="AI1676" i="3"/>
  <c r="AI1730" i="3"/>
  <c r="AI1742" i="3"/>
  <c r="AI1734" i="3"/>
  <c r="AI1579" i="3"/>
  <c r="AI1664" i="3"/>
  <c r="AI1662" i="3"/>
  <c r="AI1740" i="3"/>
  <c r="AI1716" i="3"/>
  <c r="AI1513" i="3"/>
  <c r="AD1577" i="3"/>
  <c r="Y1577" i="3"/>
  <c r="AI1728" i="3"/>
  <c r="AA1437" i="3"/>
  <c r="AI1581" i="3"/>
  <c r="AA1577" i="3"/>
  <c r="AI1495" i="3"/>
  <c r="AI1732" i="3"/>
  <c r="AI1718" i="3"/>
  <c r="AI1684" i="3"/>
  <c r="AI1547" i="3"/>
  <c r="AA1445" i="3"/>
  <c r="AI1459" i="3"/>
  <c r="AA1435" i="3"/>
  <c r="AI1543" i="3"/>
  <c r="L640" i="4"/>
  <c r="N640" i="4" s="1"/>
  <c r="L1437" i="3"/>
  <c r="AG1437" i="3"/>
  <c r="L1442" i="3"/>
  <c r="N1440" i="3"/>
  <c r="N1446" i="3"/>
  <c r="AI1467" i="3"/>
  <c r="L1445" i="3"/>
  <c r="L1443" i="3"/>
  <c r="L1447" i="3"/>
  <c r="L1448" i="3"/>
  <c r="L1438" i="3"/>
  <c r="N1436" i="3"/>
  <c r="AG1445" i="3"/>
  <c r="L1440" i="3"/>
  <c r="L1439" i="3"/>
  <c r="L1434" i="3"/>
  <c r="AG1439" i="3"/>
  <c r="AG1451" i="3"/>
  <c r="AG1449" i="3"/>
  <c r="N1444" i="3"/>
  <c r="L1449" i="3"/>
  <c r="L1450" i="3"/>
  <c r="L1436" i="3"/>
  <c r="AI1557" i="3"/>
  <c r="N1434" i="3"/>
  <c r="AG1443" i="3"/>
  <c r="N1442" i="3"/>
  <c r="L1435" i="3"/>
  <c r="AG1435" i="3"/>
  <c r="AG1441" i="3"/>
  <c r="AG1577" i="3"/>
  <c r="N1438" i="3"/>
  <c r="AG1447" i="3"/>
  <c r="N1448" i="3"/>
  <c r="L1446" i="3"/>
  <c r="L1451" i="3"/>
  <c r="L1444" i="3"/>
  <c r="L1441" i="3"/>
  <c r="AI1658" i="3"/>
  <c r="AI1660" i="3"/>
  <c r="AI1702" i="3"/>
  <c r="AI1672" i="3"/>
  <c r="AI1700" i="3"/>
  <c r="AI1583" i="3"/>
  <c r="AI1585" i="3"/>
  <c r="AI1570" i="3"/>
  <c r="AI1568" i="3"/>
  <c r="AA1451" i="3"/>
  <c r="AA1441" i="3"/>
  <c r="AA1439" i="3"/>
  <c r="AA1443" i="3"/>
  <c r="AA1449" i="3"/>
  <c r="AA1447" i="3"/>
  <c r="AH1437" i="3" l="1"/>
  <c r="AH1435" i="3"/>
  <c r="AA1440" i="3"/>
  <c r="AH1445" i="3"/>
  <c r="AA1446" i="3"/>
  <c r="AA1442" i="3"/>
  <c r="AA1444" i="3"/>
  <c r="AA1448" i="3"/>
  <c r="AH1577" i="3"/>
  <c r="AA1438" i="3"/>
  <c r="AG1444" i="3"/>
  <c r="AH1449" i="3"/>
  <c r="AH1443" i="3"/>
  <c r="AH1439" i="3"/>
  <c r="AH1441" i="3"/>
  <c r="AH1447" i="3"/>
  <c r="AA1434" i="3"/>
  <c r="AG1434" i="3"/>
  <c r="AH1451" i="3"/>
  <c r="AG1448" i="3"/>
  <c r="AA1436" i="3"/>
  <c r="AG1436" i="3"/>
  <c r="AG1438" i="3"/>
  <c r="AG1446" i="3"/>
  <c r="AG1442" i="3"/>
  <c r="AG1440" i="3"/>
  <c r="F573" i="7"/>
  <c r="U1432" i="3" s="1"/>
  <c r="F572" i="7"/>
  <c r="U1430" i="3" s="1"/>
  <c r="R1433" i="3"/>
  <c r="O1433" i="3"/>
  <c r="O1432" i="3"/>
  <c r="F1433" i="3"/>
  <c r="F1432" i="3"/>
  <c r="R1431" i="3"/>
  <c r="O1431" i="3"/>
  <c r="O1430" i="3"/>
  <c r="F1431" i="3"/>
  <c r="F1430" i="3"/>
  <c r="V330" i="8"/>
  <c r="U330" i="8"/>
  <c r="M330" i="8"/>
  <c r="L330" i="8"/>
  <c r="E573" i="4"/>
  <c r="E572" i="4"/>
  <c r="E571" i="4"/>
  <c r="F571" i="7"/>
  <c r="U1428" i="3" s="1"/>
  <c r="R1429" i="3"/>
  <c r="O1429" i="3"/>
  <c r="O1428" i="3"/>
  <c r="F1429" i="3"/>
  <c r="F1428" i="3"/>
  <c r="O1426" i="3"/>
  <c r="R1426" i="3"/>
  <c r="F1426" i="3"/>
  <c r="E570" i="4"/>
  <c r="F570" i="7"/>
  <c r="U1424" i="3" s="1"/>
  <c r="F569" i="7"/>
  <c r="U1422" i="3" s="1"/>
  <c r="F568" i="7"/>
  <c r="U1420" i="3" s="1"/>
  <c r="F567" i="7"/>
  <c r="U1418" i="3" s="1"/>
  <c r="F566" i="7"/>
  <c r="U1416" i="3" s="1"/>
  <c r="F565" i="7"/>
  <c r="U1414" i="3" s="1"/>
  <c r="F564" i="7"/>
  <c r="U1411" i="3" s="1"/>
  <c r="F563" i="7"/>
  <c r="U1409" i="3" s="1"/>
  <c r="F562" i="7"/>
  <c r="U1407" i="3" s="1"/>
  <c r="F561" i="7"/>
  <c r="U1403" i="3" s="1"/>
  <c r="F560" i="7"/>
  <c r="U1399" i="3" s="1"/>
  <c r="F559" i="7"/>
  <c r="U1396" i="3" s="1"/>
  <c r="F558" i="7"/>
  <c r="U1393" i="3" s="1"/>
  <c r="F557" i="7"/>
  <c r="U1390" i="3" s="1"/>
  <c r="F556" i="7"/>
  <c r="U1387" i="3" s="1"/>
  <c r="F555" i="7"/>
  <c r="U1384" i="3" s="1"/>
  <c r="F554" i="7"/>
  <c r="U1381" i="3" s="1"/>
  <c r="F553" i="7"/>
  <c r="U1378" i="3" s="1"/>
  <c r="F552" i="7"/>
  <c r="U1376" i="3" s="1"/>
  <c r="F551" i="7"/>
  <c r="U1374" i="3" s="1"/>
  <c r="F550" i="7"/>
  <c r="U1372" i="3" s="1"/>
  <c r="F549" i="7"/>
  <c r="U1370" i="3" s="1"/>
  <c r="F548" i="7"/>
  <c r="U1368" i="3" s="1"/>
  <c r="F547" i="7"/>
  <c r="U1366" i="3" s="1"/>
  <c r="F546" i="7"/>
  <c r="U1361" i="3" s="1"/>
  <c r="F545" i="7"/>
  <c r="U1357" i="3" s="1"/>
  <c r="F544" i="7"/>
  <c r="U1355" i="3" s="1"/>
  <c r="F543" i="7"/>
  <c r="U1353" i="3" s="1"/>
  <c r="F542" i="7"/>
  <c r="U1351" i="3" s="1"/>
  <c r="F541" i="7"/>
  <c r="U1348" i="3" s="1"/>
  <c r="F540" i="7"/>
  <c r="U1345" i="3" s="1"/>
  <c r="F539" i="7"/>
  <c r="U1342" i="3" s="1"/>
  <c r="F538" i="7"/>
  <c r="U1339" i="3" s="1"/>
  <c r="F537" i="7"/>
  <c r="U1336" i="3" s="1"/>
  <c r="F536" i="7"/>
  <c r="U1333" i="3" s="1"/>
  <c r="F535" i="7"/>
  <c r="U1331" i="3" s="1"/>
  <c r="F534" i="7"/>
  <c r="U1328" i="3" s="1"/>
  <c r="O1425" i="3"/>
  <c r="O1424" i="3"/>
  <c r="R1430" i="3" l="1"/>
  <c r="T1430" i="3" s="1"/>
  <c r="AR1433" i="3"/>
  <c r="AR1426" i="3"/>
  <c r="AR1429" i="3"/>
  <c r="AR1431" i="3"/>
  <c r="AR1428" i="3"/>
  <c r="AR1430" i="3"/>
  <c r="AR1432" i="3"/>
  <c r="AH1440" i="3"/>
  <c r="AH1444" i="3"/>
  <c r="AH1442" i="3"/>
  <c r="AH1446" i="3"/>
  <c r="AH1438" i="3"/>
  <c r="AH1448" i="3"/>
  <c r="G1426" i="3"/>
  <c r="G1428" i="3"/>
  <c r="AH1434" i="3"/>
  <c r="G1430" i="3"/>
  <c r="G1429" i="3"/>
  <c r="G1432" i="3"/>
  <c r="G1433" i="3"/>
  <c r="G1431" i="3"/>
  <c r="AH1436" i="3"/>
  <c r="X1429" i="3"/>
  <c r="AC1429" i="3"/>
  <c r="AQ1429" i="3"/>
  <c r="AQ1431" i="3"/>
  <c r="X1431" i="3"/>
  <c r="AC1431" i="3"/>
  <c r="AQ1426" i="3"/>
  <c r="X1426" i="3"/>
  <c r="AC1426" i="3"/>
  <c r="AC1433" i="3"/>
  <c r="AQ1433" i="3"/>
  <c r="X1433" i="3"/>
  <c r="R1432" i="3"/>
  <c r="W1428" i="3"/>
  <c r="T1433" i="3"/>
  <c r="T1431" i="3"/>
  <c r="I1432" i="3"/>
  <c r="I1431" i="3"/>
  <c r="I1433" i="3"/>
  <c r="I1430" i="3"/>
  <c r="W1431" i="3"/>
  <c r="W1433" i="3"/>
  <c r="W1432" i="3"/>
  <c r="W1430" i="3"/>
  <c r="T1429" i="3"/>
  <c r="I1429" i="3"/>
  <c r="I1428" i="3"/>
  <c r="W1429" i="3"/>
  <c r="I1426" i="3"/>
  <c r="T1426" i="3"/>
  <c r="W1426" i="3"/>
  <c r="W1425" i="3"/>
  <c r="W1424" i="3"/>
  <c r="F1425" i="3"/>
  <c r="AC1430" i="3" l="1"/>
  <c r="AQ1430" i="3"/>
  <c r="X1430" i="3"/>
  <c r="AR1425" i="3"/>
  <c r="M1431" i="3" a="1"/>
  <c r="M1431" i="3" s="1"/>
  <c r="M1426" i="3" a="1"/>
  <c r="M1426" i="3" s="1"/>
  <c r="M1429" i="3" a="1"/>
  <c r="M1429" i="3" s="1"/>
  <c r="M1432" i="3" a="1"/>
  <c r="M1432" i="3" s="1"/>
  <c r="M1430" i="3" a="1"/>
  <c r="M1430" i="3" s="1"/>
  <c r="M1433" i="3" a="1"/>
  <c r="M1433" i="3" s="1"/>
  <c r="K1432" i="3"/>
  <c r="K1429" i="3"/>
  <c r="K1426" i="3"/>
  <c r="G1425" i="3"/>
  <c r="K1431" i="3"/>
  <c r="K1430" i="3"/>
  <c r="N1433" i="3"/>
  <c r="K1433" i="3"/>
  <c r="T1432" i="3"/>
  <c r="AQ1432" i="3"/>
  <c r="AC1432" i="3"/>
  <c r="X1432" i="3"/>
  <c r="N1431" i="3"/>
  <c r="N1429" i="3"/>
  <c r="N1426" i="3"/>
  <c r="K1428" i="3"/>
  <c r="I1425" i="3"/>
  <c r="L1429" i="3" l="1"/>
  <c r="K1425" i="3"/>
  <c r="L1426" i="3"/>
  <c r="N1430" i="3"/>
  <c r="L1430" i="3"/>
  <c r="AG1431" i="3"/>
  <c r="L1431" i="3"/>
  <c r="N1432" i="3"/>
  <c r="AG1426" i="3"/>
  <c r="L1428" i="3"/>
  <c r="L1433" i="3"/>
  <c r="AG1429" i="3"/>
  <c r="AG1433" i="3"/>
  <c r="L1432" i="3"/>
  <c r="AA1433" i="3"/>
  <c r="AA1431" i="3"/>
  <c r="AA1426" i="3"/>
  <c r="AA1429" i="3"/>
  <c r="AA1430" i="3" l="1"/>
  <c r="AH1433" i="3"/>
  <c r="L1425" i="3"/>
  <c r="AH1429" i="3"/>
  <c r="AH1426" i="3"/>
  <c r="AH1431" i="3"/>
  <c r="AA1432" i="3"/>
  <c r="AG1430" i="3"/>
  <c r="AG1432" i="3"/>
  <c r="F1424" i="3"/>
  <c r="AR1424" i="3" l="1"/>
  <c r="AH1430" i="3"/>
  <c r="G1424" i="3"/>
  <c r="AH1432" i="3"/>
  <c r="I1424" i="3"/>
  <c r="D273" i="8"/>
  <c r="D272" i="8"/>
  <c r="D174" i="8"/>
  <c r="F3" i="7"/>
  <c r="U5" i="3" s="1"/>
  <c r="F4" i="7"/>
  <c r="U11" i="3" s="1"/>
  <c r="F5" i="7"/>
  <c r="U15" i="3" s="1"/>
  <c r="F6" i="7"/>
  <c r="U19" i="3" s="1"/>
  <c r="F7" i="7"/>
  <c r="U23" i="3" s="1"/>
  <c r="F8" i="7"/>
  <c r="U29" i="3" s="1"/>
  <c r="F9" i="7"/>
  <c r="U38" i="3" s="1"/>
  <c r="F10" i="7"/>
  <c r="U42" i="3" s="1"/>
  <c r="F11" i="7"/>
  <c r="U45" i="3" s="1"/>
  <c r="F12" i="7"/>
  <c r="U51" i="3" s="1"/>
  <c r="F13" i="7"/>
  <c r="U56" i="3" s="1"/>
  <c r="F14" i="7"/>
  <c r="U59" i="3" s="1"/>
  <c r="F15" i="7"/>
  <c r="U62" i="3" s="1"/>
  <c r="F16" i="7"/>
  <c r="U65" i="3" s="1"/>
  <c r="F17" i="7"/>
  <c r="U70" i="3" s="1"/>
  <c r="F18" i="7"/>
  <c r="U73" i="3" s="1"/>
  <c r="F19" i="7"/>
  <c r="U77" i="3" s="1"/>
  <c r="F20" i="7"/>
  <c r="U85" i="3" s="1"/>
  <c r="F21" i="7"/>
  <c r="U88" i="3" s="1"/>
  <c r="F22" i="7"/>
  <c r="U91" i="3" s="1"/>
  <c r="F23" i="7"/>
  <c r="U96" i="3" s="1"/>
  <c r="F24" i="7"/>
  <c r="U102" i="3" s="1"/>
  <c r="F25" i="7"/>
  <c r="U106" i="3" s="1"/>
  <c r="F26" i="7"/>
  <c r="U113" i="3" s="1"/>
  <c r="F27" i="7"/>
  <c r="U116" i="3" s="1"/>
  <c r="F28" i="7"/>
  <c r="U122" i="3" s="1"/>
  <c r="F29" i="7"/>
  <c r="U125" i="3" s="1"/>
  <c r="F30" i="7"/>
  <c r="U128" i="3" s="1"/>
  <c r="F31" i="7"/>
  <c r="U131" i="3" s="1"/>
  <c r="F32" i="7"/>
  <c r="U134" i="3" s="1"/>
  <c r="F33" i="7"/>
  <c r="U137" i="3" s="1"/>
  <c r="F34" i="7"/>
  <c r="U147" i="3" s="1"/>
  <c r="F35" i="7"/>
  <c r="U150" i="3" s="1"/>
  <c r="F36" i="7"/>
  <c r="U153" i="3" s="1"/>
  <c r="F37" i="7"/>
  <c r="U157" i="3" s="1"/>
  <c r="F38" i="7"/>
  <c r="U165" i="3" s="1"/>
  <c r="F39" i="7"/>
  <c r="U168" i="3" s="1"/>
  <c r="F40" i="7"/>
  <c r="U171" i="3" s="1"/>
  <c r="F41" i="7"/>
  <c r="U175" i="3" s="1"/>
  <c r="F42" i="7"/>
  <c r="U178" i="3" s="1"/>
  <c r="F43" i="7"/>
  <c r="U181" i="3" s="1"/>
  <c r="F44" i="7"/>
  <c r="U184" i="3" s="1"/>
  <c r="F45" i="7"/>
  <c r="U187" i="3" s="1"/>
  <c r="F46" i="7"/>
  <c r="U191" i="3" s="1"/>
  <c r="F47" i="7"/>
  <c r="U194" i="3" s="1"/>
  <c r="F48" i="7"/>
  <c r="U198" i="3" s="1"/>
  <c r="F49" i="7"/>
  <c r="U209" i="3" s="1"/>
  <c r="F50" i="7"/>
  <c r="U212" i="3" s="1"/>
  <c r="F51" i="7"/>
  <c r="U215" i="3" s="1"/>
  <c r="F52" i="7"/>
  <c r="U219" i="3" s="1"/>
  <c r="F53" i="7"/>
  <c r="U222" i="3" s="1"/>
  <c r="F54" i="7"/>
  <c r="U232" i="3" s="1"/>
  <c r="F55" i="7"/>
  <c r="U235" i="3" s="1"/>
  <c r="F56" i="7"/>
  <c r="U238" i="3" s="1"/>
  <c r="F57" i="7"/>
  <c r="U241" i="3" s="1"/>
  <c r="F58" i="7"/>
  <c r="U249" i="3" s="1"/>
  <c r="F59" i="7"/>
  <c r="U252" i="3" s="1"/>
  <c r="F60" i="7"/>
  <c r="U255" i="3" s="1"/>
  <c r="F61" i="7"/>
  <c r="U258" i="3" s="1"/>
  <c r="F62" i="7"/>
  <c r="U261" i="3" s="1"/>
  <c r="F63" i="7"/>
  <c r="U264" i="3" s="1"/>
  <c r="F64" i="7"/>
  <c r="U267" i="3" s="1"/>
  <c r="F65" i="7"/>
  <c r="U271" i="3" s="1"/>
  <c r="F66" i="7"/>
  <c r="U274" i="3" s="1"/>
  <c r="F67" i="7"/>
  <c r="U277" i="3" s="1"/>
  <c r="F68" i="7"/>
  <c r="U280" i="3" s="1"/>
  <c r="F69" i="7"/>
  <c r="U283" i="3" s="1"/>
  <c r="F70" i="7"/>
  <c r="U286" i="3" s="1"/>
  <c r="F71" i="7"/>
  <c r="U290" i="3" s="1"/>
  <c r="F72" i="7"/>
  <c r="U296" i="3" s="1"/>
  <c r="F73" i="7"/>
  <c r="U299" i="3" s="1"/>
  <c r="F74" i="7"/>
  <c r="U302" i="3" s="1"/>
  <c r="F75" i="7"/>
  <c r="U311" i="3" s="1"/>
  <c r="F76" i="7"/>
  <c r="U314" i="3" s="1"/>
  <c r="F77" i="7"/>
  <c r="U317" i="3" s="1"/>
  <c r="F78" i="7"/>
  <c r="U320" i="3" s="1"/>
  <c r="F79" i="7"/>
  <c r="U323" i="3" s="1"/>
  <c r="F80" i="7"/>
  <c r="U326" i="3" s="1"/>
  <c r="F81" i="7"/>
  <c r="U329" i="3" s="1"/>
  <c r="F82" i="7"/>
  <c r="U333" i="3" s="1"/>
  <c r="F83" i="7"/>
  <c r="U337" i="3" s="1"/>
  <c r="F84" i="7"/>
  <c r="U340" i="3" s="1"/>
  <c r="F85" i="7"/>
  <c r="U349" i="3" s="1"/>
  <c r="F86" i="7"/>
  <c r="U353" i="3" s="1"/>
  <c r="F87" i="7"/>
  <c r="U356" i="3" s="1"/>
  <c r="F88" i="7"/>
  <c r="U360" i="3" s="1"/>
  <c r="F89" i="7"/>
  <c r="U363" i="3" s="1"/>
  <c r="F90" i="7"/>
  <c r="U366" i="3" s="1"/>
  <c r="F91" i="7"/>
  <c r="U369" i="3" s="1"/>
  <c r="F92" i="7"/>
  <c r="U372" i="3" s="1"/>
  <c r="F93" i="7"/>
  <c r="U375" i="3" s="1"/>
  <c r="F94" i="7"/>
  <c r="U378" i="3" s="1"/>
  <c r="F95" i="7"/>
  <c r="U381" i="3" s="1"/>
  <c r="F96" i="7"/>
  <c r="U385" i="3" s="1"/>
  <c r="F97" i="7"/>
  <c r="U388" i="3" s="1"/>
  <c r="F98" i="7"/>
  <c r="U392" i="3" s="1"/>
  <c r="F99" i="7"/>
  <c r="U396" i="3" s="1"/>
  <c r="F100" i="7"/>
  <c r="U399" i="3" s="1"/>
  <c r="F101" i="7"/>
  <c r="U402" i="3" s="1"/>
  <c r="F102" i="7"/>
  <c r="U405" i="3" s="1"/>
  <c r="F103" i="7"/>
  <c r="U408" i="3" s="1"/>
  <c r="F104" i="7"/>
  <c r="U412" i="3" s="1"/>
  <c r="F105" i="7"/>
  <c r="U415" i="3" s="1"/>
  <c r="F106" i="7"/>
  <c r="U417" i="3" s="1"/>
  <c r="F107" i="7"/>
  <c r="U419" i="3" s="1"/>
  <c r="F108" i="7"/>
  <c r="U421" i="3" s="1"/>
  <c r="F109" i="7"/>
  <c r="U423" i="3" s="1"/>
  <c r="F110" i="7"/>
  <c r="U425" i="3" s="1"/>
  <c r="F111" i="7"/>
  <c r="U427" i="3" s="1"/>
  <c r="F112" i="7"/>
  <c r="U429" i="3" s="1"/>
  <c r="F113" i="7"/>
  <c r="U431" i="3" s="1"/>
  <c r="F114" i="7"/>
  <c r="U433" i="3" s="1"/>
  <c r="F115" i="7"/>
  <c r="U435" i="3" s="1"/>
  <c r="F116" i="7"/>
  <c r="U437" i="3" s="1"/>
  <c r="F117" i="7"/>
  <c r="U439" i="3" s="1"/>
  <c r="F118" i="7"/>
  <c r="U441" i="3" s="1"/>
  <c r="F119" i="7"/>
  <c r="U443" i="3" s="1"/>
  <c r="F120" i="7"/>
  <c r="U445" i="3" s="1"/>
  <c r="F121" i="7"/>
  <c r="U447" i="3" s="1"/>
  <c r="F122" i="7"/>
  <c r="U449" i="3" s="1"/>
  <c r="F123" i="7"/>
  <c r="U451" i="3" s="1"/>
  <c r="F124" i="7"/>
  <c r="U453" i="3" s="1"/>
  <c r="F125" i="7"/>
  <c r="U455" i="3" s="1"/>
  <c r="F126" i="7"/>
  <c r="U457" i="3" s="1"/>
  <c r="F127" i="7"/>
  <c r="U459" i="3" s="1"/>
  <c r="F128" i="7"/>
  <c r="U461" i="3" s="1"/>
  <c r="F129" i="7"/>
  <c r="U463" i="3" s="1"/>
  <c r="F130" i="7"/>
  <c r="U465" i="3" s="1"/>
  <c r="F131" i="7"/>
  <c r="U467" i="3" s="1"/>
  <c r="F132" i="7"/>
  <c r="U469" i="3" s="1"/>
  <c r="F133" i="7"/>
  <c r="U471" i="3" s="1"/>
  <c r="F134" i="7"/>
  <c r="U473" i="3" s="1"/>
  <c r="F135" i="7"/>
  <c r="U475" i="3" s="1"/>
  <c r="F136" i="7"/>
  <c r="U477" i="3" s="1"/>
  <c r="F137" i="7"/>
  <c r="U479" i="3" s="1"/>
  <c r="F138" i="7"/>
  <c r="U481" i="3" s="1"/>
  <c r="F139" i="7"/>
  <c r="U483" i="3" s="1"/>
  <c r="F140" i="7"/>
  <c r="U485" i="3" s="1"/>
  <c r="F141" i="7"/>
  <c r="U487" i="3" s="1"/>
  <c r="F142" i="7"/>
  <c r="U489" i="3" s="1"/>
  <c r="F143" i="7"/>
  <c r="U491" i="3" s="1"/>
  <c r="F144" i="7"/>
  <c r="U493" i="3" s="1"/>
  <c r="F145" i="7"/>
  <c r="U495" i="3" s="1"/>
  <c r="F146" i="7"/>
  <c r="U497" i="3" s="1"/>
  <c r="F147" i="7"/>
  <c r="U499" i="3" s="1"/>
  <c r="F148" i="7"/>
  <c r="U501" i="3" s="1"/>
  <c r="F149" i="7"/>
  <c r="U503" i="3" s="1"/>
  <c r="F150" i="7"/>
  <c r="U505" i="3" s="1"/>
  <c r="F151" i="7"/>
  <c r="U507" i="3" s="1"/>
  <c r="F152" i="7"/>
  <c r="U509" i="3" s="1"/>
  <c r="F153" i="7"/>
  <c r="U511" i="3" s="1"/>
  <c r="F154" i="7"/>
  <c r="U513" i="3" s="1"/>
  <c r="F155" i="7"/>
  <c r="U515" i="3" s="1"/>
  <c r="F156" i="7"/>
  <c r="U517" i="3" s="1"/>
  <c r="F157" i="7"/>
  <c r="U519" i="3" s="1"/>
  <c r="F158" i="7"/>
  <c r="U521" i="3" s="1"/>
  <c r="F159" i="7"/>
  <c r="U523" i="3" s="1"/>
  <c r="F160" i="7"/>
  <c r="U525" i="3" s="1"/>
  <c r="F161" i="7"/>
  <c r="U527" i="3" s="1"/>
  <c r="F162" i="7"/>
  <c r="U529" i="3" s="1"/>
  <c r="F163" i="7"/>
  <c r="U531" i="3" s="1"/>
  <c r="F164" i="7"/>
  <c r="U533" i="3" s="1"/>
  <c r="F165" i="7"/>
  <c r="U535" i="3" s="1"/>
  <c r="F166" i="7"/>
  <c r="U537" i="3" s="1"/>
  <c r="F167" i="7"/>
  <c r="U539" i="3" s="1"/>
  <c r="F168" i="7"/>
  <c r="U541" i="3" s="1"/>
  <c r="F169" i="7"/>
  <c r="U543" i="3" s="1"/>
  <c r="F170" i="7"/>
  <c r="U545" i="3" s="1"/>
  <c r="F171" i="7"/>
  <c r="U547" i="3" s="1"/>
  <c r="F172" i="7"/>
  <c r="U549" i="3" s="1"/>
  <c r="F173" i="7"/>
  <c r="U551" i="3" s="1"/>
  <c r="F174" i="7"/>
  <c r="U553" i="3" s="1"/>
  <c r="F175" i="7"/>
  <c r="U555" i="3" s="1"/>
  <c r="F176" i="7"/>
  <c r="U557" i="3" s="1"/>
  <c r="F177" i="7"/>
  <c r="U559" i="3" s="1"/>
  <c r="F178" i="7"/>
  <c r="U561" i="3" s="1"/>
  <c r="F179" i="7"/>
  <c r="U563" i="3" s="1"/>
  <c r="F180" i="7"/>
  <c r="U565" i="3" s="1"/>
  <c r="F181" i="7"/>
  <c r="U567" i="3" s="1"/>
  <c r="F182" i="7"/>
  <c r="U569" i="3" s="1"/>
  <c r="F183" i="7"/>
  <c r="U571" i="3" s="1"/>
  <c r="F184" i="7"/>
  <c r="U573" i="3" s="1"/>
  <c r="F185" i="7"/>
  <c r="U575" i="3" s="1"/>
  <c r="F186" i="7"/>
  <c r="U577" i="3" s="1"/>
  <c r="F187" i="7"/>
  <c r="U579" i="3" s="1"/>
  <c r="F188" i="7"/>
  <c r="U581" i="3" s="1"/>
  <c r="F189" i="7"/>
  <c r="U583" i="3" s="1"/>
  <c r="F190" i="7"/>
  <c r="U585" i="3" s="1"/>
  <c r="F191" i="7"/>
  <c r="U587" i="3" s="1"/>
  <c r="F192" i="7"/>
  <c r="U589" i="3" s="1"/>
  <c r="F193" i="7"/>
  <c r="U591" i="3" s="1"/>
  <c r="F194" i="7"/>
  <c r="U593" i="3" s="1"/>
  <c r="F195" i="7"/>
  <c r="U595" i="3" s="1"/>
  <c r="F196" i="7"/>
  <c r="U597" i="3" s="1"/>
  <c r="F197" i="7"/>
  <c r="U599" i="3" s="1"/>
  <c r="F198" i="7"/>
  <c r="U601" i="3" s="1"/>
  <c r="F199" i="7"/>
  <c r="U603" i="3" s="1"/>
  <c r="F200" i="7"/>
  <c r="U605" i="3" s="1"/>
  <c r="F201" i="7"/>
  <c r="U607" i="3" s="1"/>
  <c r="F202" i="7"/>
  <c r="U609" i="3" s="1"/>
  <c r="F203" i="7"/>
  <c r="U611" i="3" s="1"/>
  <c r="F204" i="7"/>
  <c r="U613" i="3" s="1"/>
  <c r="F205" i="7"/>
  <c r="U615" i="3" s="1"/>
  <c r="F206" i="7"/>
  <c r="U617" i="3" s="1"/>
  <c r="F207" i="7"/>
  <c r="U619" i="3" s="1"/>
  <c r="F208" i="7"/>
  <c r="U621" i="3" s="1"/>
  <c r="F209" i="7"/>
  <c r="U623" i="3" s="1"/>
  <c r="F210" i="7"/>
  <c r="U625" i="3" s="1"/>
  <c r="F211" i="7"/>
  <c r="U627" i="3" s="1"/>
  <c r="F212" i="7"/>
  <c r="U629" i="3" s="1"/>
  <c r="F213" i="7"/>
  <c r="U631" i="3" s="1"/>
  <c r="F214" i="7"/>
  <c r="U633" i="3" s="1"/>
  <c r="F215" i="7"/>
  <c r="U635" i="3" s="1"/>
  <c r="F216" i="7"/>
  <c r="U637" i="3" s="1"/>
  <c r="F217" i="7"/>
  <c r="U639" i="3" s="1"/>
  <c r="F218" i="7"/>
  <c r="U641" i="3" s="1"/>
  <c r="F219" i="7"/>
  <c r="U643" i="3" s="1"/>
  <c r="F220" i="7"/>
  <c r="U645" i="3" s="1"/>
  <c r="F221" i="7"/>
  <c r="U647" i="3" s="1"/>
  <c r="F222" i="7"/>
  <c r="U649" i="3" s="1"/>
  <c r="F223" i="7"/>
  <c r="U651" i="3" s="1"/>
  <c r="F224" i="7"/>
  <c r="U653" i="3" s="1"/>
  <c r="F225" i="7"/>
  <c r="U655" i="3" s="1"/>
  <c r="F226" i="7"/>
  <c r="U657" i="3" s="1"/>
  <c r="F227" i="7"/>
  <c r="U659" i="3" s="1"/>
  <c r="F228" i="7"/>
  <c r="U661" i="3" s="1"/>
  <c r="F229" i="7"/>
  <c r="U663" i="3" s="1"/>
  <c r="F230" i="7"/>
  <c r="U665" i="3" s="1"/>
  <c r="F231" i="7"/>
  <c r="U667" i="3" s="1"/>
  <c r="F232" i="7"/>
  <c r="U669" i="3" s="1"/>
  <c r="F233" i="7"/>
  <c r="U671" i="3" s="1"/>
  <c r="F234" i="7"/>
  <c r="U673" i="3" s="1"/>
  <c r="F235" i="7"/>
  <c r="U675" i="3" s="1"/>
  <c r="F236" i="7"/>
  <c r="U677" i="3" s="1"/>
  <c r="F237" i="7"/>
  <c r="U679" i="3" s="1"/>
  <c r="F238" i="7"/>
  <c r="U681" i="3" s="1"/>
  <c r="F239" i="7"/>
  <c r="U683" i="3" s="1"/>
  <c r="F240" i="7"/>
  <c r="U685" i="3" s="1"/>
  <c r="F241" i="7"/>
  <c r="U687" i="3" s="1"/>
  <c r="F242" i="7"/>
  <c r="U689" i="3" s="1"/>
  <c r="F243" i="7"/>
  <c r="U691" i="3" s="1"/>
  <c r="F244" i="7"/>
  <c r="U693" i="3" s="1"/>
  <c r="F245" i="7"/>
  <c r="U695" i="3" s="1"/>
  <c r="F246" i="7"/>
  <c r="U697" i="3" s="1"/>
  <c r="F247" i="7"/>
  <c r="U699" i="3" s="1"/>
  <c r="F248" i="7"/>
  <c r="U701" i="3" s="1"/>
  <c r="F249" i="7"/>
  <c r="U703" i="3" s="1"/>
  <c r="F250" i="7"/>
  <c r="U705" i="3" s="1"/>
  <c r="F251" i="7"/>
  <c r="U707" i="3" s="1"/>
  <c r="F252" i="7"/>
  <c r="U709" i="3" s="1"/>
  <c r="F253" i="7"/>
  <c r="U711" i="3" s="1"/>
  <c r="F254" i="7"/>
  <c r="U713" i="3" s="1"/>
  <c r="F255" i="7"/>
  <c r="U715" i="3" s="1"/>
  <c r="F256" i="7"/>
  <c r="U717" i="3" s="1"/>
  <c r="F257" i="7"/>
  <c r="U719" i="3" s="1"/>
  <c r="F258" i="7"/>
  <c r="U721" i="3" s="1"/>
  <c r="F259" i="7"/>
  <c r="U723" i="3" s="1"/>
  <c r="F260" i="7"/>
  <c r="U725" i="3" s="1"/>
  <c r="F261" i="7"/>
  <c r="U727" i="3" s="1"/>
  <c r="F262" i="7"/>
  <c r="U729" i="3" s="1"/>
  <c r="F263" i="7"/>
  <c r="U731" i="3" s="1"/>
  <c r="F264" i="7"/>
  <c r="U733" i="3" s="1"/>
  <c r="F265" i="7"/>
  <c r="U735" i="3" s="1"/>
  <c r="F266" i="7"/>
  <c r="U737" i="3" s="1"/>
  <c r="F267" i="7"/>
  <c r="U739" i="3" s="1"/>
  <c r="F268" i="7"/>
  <c r="U741" i="3" s="1"/>
  <c r="F269" i="7"/>
  <c r="U743" i="3" s="1"/>
  <c r="F270" i="7"/>
  <c r="U745" i="3" s="1"/>
  <c r="F271" i="7"/>
  <c r="U747" i="3" s="1"/>
  <c r="F272" i="7"/>
  <c r="U749" i="3" s="1"/>
  <c r="F273" i="7"/>
  <c r="U751" i="3" s="1"/>
  <c r="F274" i="7"/>
  <c r="U753" i="3" s="1"/>
  <c r="F275" i="7"/>
  <c r="U755" i="3" s="1"/>
  <c r="F276" i="7"/>
  <c r="U757" i="3" s="1"/>
  <c r="F277" i="7"/>
  <c r="U759" i="3" s="1"/>
  <c r="F278" i="7"/>
  <c r="U761" i="3" s="1"/>
  <c r="F279" i="7"/>
  <c r="U763" i="3" s="1"/>
  <c r="F280" i="7"/>
  <c r="U765" i="3" s="1"/>
  <c r="F281" i="7"/>
  <c r="U767" i="3" s="1"/>
  <c r="F282" i="7"/>
  <c r="U769" i="3" s="1"/>
  <c r="F283" i="7"/>
  <c r="U771" i="3" s="1"/>
  <c r="F284" i="7"/>
  <c r="U773" i="3" s="1"/>
  <c r="F285" i="7"/>
  <c r="U775" i="3" s="1"/>
  <c r="F286" i="7"/>
  <c r="U777" i="3" s="1"/>
  <c r="F287" i="7"/>
  <c r="U779" i="3" s="1"/>
  <c r="F288" i="7"/>
  <c r="U781" i="3" s="1"/>
  <c r="F289" i="7"/>
  <c r="U783" i="3" s="1"/>
  <c r="F290" i="7"/>
  <c r="U785" i="3" s="1"/>
  <c r="F291" i="7"/>
  <c r="U787" i="3" s="1"/>
  <c r="F292" i="7"/>
  <c r="U789" i="3" s="1"/>
  <c r="F293" i="7"/>
  <c r="U791" i="3" s="1"/>
  <c r="F294" i="7"/>
  <c r="U793" i="3" s="1"/>
  <c r="F295" i="7"/>
  <c r="U795" i="3" s="1"/>
  <c r="F296" i="7"/>
  <c r="U797" i="3" s="1"/>
  <c r="F297" i="7"/>
  <c r="U799" i="3" s="1"/>
  <c r="F298" i="7"/>
  <c r="U801" i="3" s="1"/>
  <c r="F299" i="7"/>
  <c r="U805" i="3" s="1"/>
  <c r="F300" i="7"/>
  <c r="U809" i="3" s="1"/>
  <c r="F301" i="7"/>
  <c r="U813" i="3" s="1"/>
  <c r="F302" i="7"/>
  <c r="U817" i="3" s="1"/>
  <c r="F303" i="7"/>
  <c r="U819" i="3" s="1"/>
  <c r="F304" i="7"/>
  <c r="U821" i="3" s="1"/>
  <c r="F305" i="7"/>
  <c r="U823" i="3" s="1"/>
  <c r="F306" i="7"/>
  <c r="U825" i="3" s="1"/>
  <c r="F307" i="7"/>
  <c r="U827" i="3" s="1"/>
  <c r="F308" i="7"/>
  <c r="U829" i="3" s="1"/>
  <c r="F309" i="7"/>
  <c r="U831" i="3" s="1"/>
  <c r="F310" i="7"/>
  <c r="U833" i="3" s="1"/>
  <c r="F311" i="7"/>
  <c r="U835" i="3" s="1"/>
  <c r="F312" i="7"/>
  <c r="U837" i="3" s="1"/>
  <c r="F313" i="7"/>
  <c r="U839" i="3" s="1"/>
  <c r="F314" i="7"/>
  <c r="U841" i="3" s="1"/>
  <c r="F315" i="7"/>
  <c r="U843" i="3" s="1"/>
  <c r="F316" i="7"/>
  <c r="U845" i="3" s="1"/>
  <c r="F317" i="7"/>
  <c r="U847" i="3" s="1"/>
  <c r="F318" i="7"/>
  <c r="U849" i="3" s="1"/>
  <c r="F319" i="7"/>
  <c r="U851" i="3" s="1"/>
  <c r="F320" i="7"/>
  <c r="U853" i="3" s="1"/>
  <c r="F321" i="7"/>
  <c r="U855" i="3" s="1"/>
  <c r="F322" i="7"/>
  <c r="U857" i="3" s="1"/>
  <c r="F323" i="7"/>
  <c r="U859" i="3" s="1"/>
  <c r="F324" i="7"/>
  <c r="U861" i="3" s="1"/>
  <c r="F325" i="7"/>
  <c r="U863" i="3" s="1"/>
  <c r="F326" i="7"/>
  <c r="U865" i="3" s="1"/>
  <c r="F327" i="7"/>
  <c r="U867" i="3" s="1"/>
  <c r="F328" i="7"/>
  <c r="U869" i="3" s="1"/>
  <c r="F329" i="7"/>
  <c r="U871" i="3" s="1"/>
  <c r="F330" i="7"/>
  <c r="U873" i="3" s="1"/>
  <c r="F331" i="7"/>
  <c r="U875" i="3" s="1"/>
  <c r="F332" i="7"/>
  <c r="U877" i="3" s="1"/>
  <c r="F333" i="7"/>
  <c r="U879" i="3" s="1"/>
  <c r="F334" i="7"/>
  <c r="U881" i="3" s="1"/>
  <c r="F335" i="7"/>
  <c r="U883" i="3" s="1"/>
  <c r="F336" i="7"/>
  <c r="U885" i="3" s="1"/>
  <c r="F337" i="7"/>
  <c r="U887" i="3" s="1"/>
  <c r="F338" i="7"/>
  <c r="U889" i="3" s="1"/>
  <c r="F339" i="7"/>
  <c r="U891" i="3" s="1"/>
  <c r="F340" i="7"/>
  <c r="U893" i="3" s="1"/>
  <c r="F341" i="7"/>
  <c r="U895" i="3" s="1"/>
  <c r="F342" i="7"/>
  <c r="U897" i="3" s="1"/>
  <c r="F343" i="7"/>
  <c r="U899" i="3" s="1"/>
  <c r="F344" i="7"/>
  <c r="U901" i="3" s="1"/>
  <c r="F345" i="7"/>
  <c r="U903" i="3" s="1"/>
  <c r="F346" i="7"/>
  <c r="U905" i="3" s="1"/>
  <c r="F347" i="7"/>
  <c r="U907" i="3" s="1"/>
  <c r="F348" i="7"/>
  <c r="U909" i="3" s="1"/>
  <c r="F349" i="7"/>
  <c r="U911" i="3" s="1"/>
  <c r="F350" i="7"/>
  <c r="U913" i="3" s="1"/>
  <c r="F351" i="7"/>
  <c r="U915" i="3" s="1"/>
  <c r="F352" i="7"/>
  <c r="U917" i="3" s="1"/>
  <c r="F353" i="7"/>
  <c r="U919" i="3" s="1"/>
  <c r="F354" i="7"/>
  <c r="U921" i="3" s="1"/>
  <c r="F355" i="7"/>
  <c r="U923" i="3" s="1"/>
  <c r="F356" i="7"/>
  <c r="U925" i="3" s="1"/>
  <c r="F357" i="7"/>
  <c r="U927" i="3" s="1"/>
  <c r="F358" i="7"/>
  <c r="U929" i="3" s="1"/>
  <c r="F359" i="7"/>
  <c r="U931" i="3" s="1"/>
  <c r="F360" i="7"/>
  <c r="U933" i="3" s="1"/>
  <c r="F361" i="7"/>
  <c r="U935" i="3" s="1"/>
  <c r="F362" i="7"/>
  <c r="U937" i="3" s="1"/>
  <c r="F363" i="7"/>
  <c r="U939" i="3" s="1"/>
  <c r="F364" i="7"/>
  <c r="U941" i="3" s="1"/>
  <c r="F365" i="7"/>
  <c r="U943" i="3" s="1"/>
  <c r="F366" i="7"/>
  <c r="U945" i="3" s="1"/>
  <c r="F367" i="7"/>
  <c r="U947" i="3" s="1"/>
  <c r="F368" i="7"/>
  <c r="U949" i="3" s="1"/>
  <c r="F369" i="7"/>
  <c r="U951" i="3" s="1"/>
  <c r="F370" i="7"/>
  <c r="U953" i="3" s="1"/>
  <c r="F371" i="7"/>
  <c r="U955" i="3" s="1"/>
  <c r="F372" i="7"/>
  <c r="U957" i="3" s="1"/>
  <c r="F373" i="7"/>
  <c r="U959" i="3" s="1"/>
  <c r="F374" i="7"/>
  <c r="U961" i="3" s="1"/>
  <c r="F375" i="7"/>
  <c r="U963" i="3" s="1"/>
  <c r="F376" i="7"/>
  <c r="U965" i="3" s="1"/>
  <c r="F377" i="7"/>
  <c r="U967" i="3" s="1"/>
  <c r="F378" i="7"/>
  <c r="U969" i="3" s="1"/>
  <c r="F379" i="7"/>
  <c r="U971" i="3" s="1"/>
  <c r="F380" i="7"/>
  <c r="U973" i="3" s="1"/>
  <c r="F381" i="7"/>
  <c r="U975" i="3" s="1"/>
  <c r="F382" i="7"/>
  <c r="U977" i="3" s="1"/>
  <c r="F383" i="7"/>
  <c r="U979" i="3" s="1"/>
  <c r="F384" i="7"/>
  <c r="U981" i="3" s="1"/>
  <c r="F385" i="7"/>
  <c r="U983" i="3" s="1"/>
  <c r="F386" i="7"/>
  <c r="U985" i="3" s="1"/>
  <c r="F387" i="7"/>
  <c r="U987" i="3" s="1"/>
  <c r="F388" i="7"/>
  <c r="U989" i="3" s="1"/>
  <c r="F389" i="7"/>
  <c r="U991" i="3" s="1"/>
  <c r="F390" i="7"/>
  <c r="U993" i="3" s="1"/>
  <c r="F391" i="7"/>
  <c r="U995" i="3" s="1"/>
  <c r="F392" i="7"/>
  <c r="U997" i="3" s="1"/>
  <c r="F393" i="7"/>
  <c r="U999" i="3" s="1"/>
  <c r="F394" i="7"/>
  <c r="U1001" i="3" s="1"/>
  <c r="F395" i="7"/>
  <c r="U1003" i="3" s="1"/>
  <c r="F396" i="7"/>
  <c r="U1005" i="3" s="1"/>
  <c r="F397" i="7"/>
  <c r="U1007" i="3" s="1"/>
  <c r="F398" i="7"/>
  <c r="U1009" i="3" s="1"/>
  <c r="F399" i="7"/>
  <c r="U1011" i="3" s="1"/>
  <c r="F400" i="7"/>
  <c r="U1013" i="3" s="1"/>
  <c r="F401" i="7"/>
  <c r="U1015" i="3" s="1"/>
  <c r="F402" i="7"/>
  <c r="U1017" i="3" s="1"/>
  <c r="F403" i="7"/>
  <c r="U1019" i="3" s="1"/>
  <c r="F404" i="7"/>
  <c r="U1021" i="3" s="1"/>
  <c r="F405" i="7"/>
  <c r="U1023" i="3" s="1"/>
  <c r="F406" i="7"/>
  <c r="U1025" i="3" s="1"/>
  <c r="F407" i="7"/>
  <c r="U1027" i="3" s="1"/>
  <c r="F408" i="7"/>
  <c r="U1029" i="3" s="1"/>
  <c r="F409" i="7"/>
  <c r="U1031" i="3" s="1"/>
  <c r="F410" i="7"/>
  <c r="U1033" i="3" s="1"/>
  <c r="F411" i="7"/>
  <c r="U1035" i="3" s="1"/>
  <c r="F412" i="7"/>
  <c r="U1037" i="3" s="1"/>
  <c r="F413" i="7"/>
  <c r="U1039" i="3" s="1"/>
  <c r="F414" i="7"/>
  <c r="U1041" i="3" s="1"/>
  <c r="F415" i="7"/>
  <c r="U1043" i="3" s="1"/>
  <c r="F416" i="7"/>
  <c r="U1045" i="3" s="1"/>
  <c r="F417" i="7"/>
  <c r="U1047" i="3" s="1"/>
  <c r="F418" i="7"/>
  <c r="U1049" i="3" s="1"/>
  <c r="F419" i="7"/>
  <c r="U1051" i="3" s="1"/>
  <c r="F420" i="7"/>
  <c r="U1053" i="3" s="1"/>
  <c r="F421" i="7"/>
  <c r="U1059" i="3" s="1"/>
  <c r="F422" i="7"/>
  <c r="U1065" i="3" s="1"/>
  <c r="F423" i="7"/>
  <c r="U1067" i="3" s="1"/>
  <c r="F424" i="7"/>
  <c r="U1069" i="3" s="1"/>
  <c r="F425" i="7"/>
  <c r="U1071" i="3" s="1"/>
  <c r="F426" i="7"/>
  <c r="U1073" i="3" s="1"/>
  <c r="F427" i="7"/>
  <c r="U1075" i="3" s="1"/>
  <c r="F428" i="7"/>
  <c r="U1077" i="3" s="1"/>
  <c r="F429" i="7"/>
  <c r="U1079" i="3" s="1"/>
  <c r="F430" i="7"/>
  <c r="U1081" i="3" s="1"/>
  <c r="F431" i="7"/>
  <c r="U1083" i="3" s="1"/>
  <c r="F432" i="7"/>
  <c r="U1085" i="3" s="1"/>
  <c r="F433" i="7"/>
  <c r="U1087" i="3" s="1"/>
  <c r="F434" i="7"/>
  <c r="U1089" i="3" s="1"/>
  <c r="F435" i="7"/>
  <c r="U1091" i="3" s="1"/>
  <c r="F436" i="7"/>
  <c r="U1093" i="3" s="1"/>
  <c r="F437" i="7"/>
  <c r="U1095" i="3" s="1"/>
  <c r="F438" i="7"/>
  <c r="U1097" i="3" s="1"/>
  <c r="F439" i="7"/>
  <c r="U1099" i="3" s="1"/>
  <c r="F440" i="7"/>
  <c r="U1101" i="3" s="1"/>
  <c r="F441" i="7"/>
  <c r="U1103" i="3" s="1"/>
  <c r="F442" i="7"/>
  <c r="U1105" i="3" s="1"/>
  <c r="F443" i="7"/>
  <c r="U1107" i="3" s="1"/>
  <c r="F444" i="7"/>
  <c r="U1109" i="3" s="1"/>
  <c r="F445" i="7"/>
  <c r="U1111" i="3" s="1"/>
  <c r="F446" i="7"/>
  <c r="U1113" i="3" s="1"/>
  <c r="F447" i="7"/>
  <c r="U1115" i="3" s="1"/>
  <c r="F448" i="7"/>
  <c r="U1117" i="3" s="1"/>
  <c r="F449" i="7"/>
  <c r="U1119" i="3" s="1"/>
  <c r="F450" i="7"/>
  <c r="U1121" i="3" s="1"/>
  <c r="F451" i="7"/>
  <c r="U1123" i="3" s="1"/>
  <c r="F452" i="7"/>
  <c r="U1126" i="3" s="1"/>
  <c r="F453" i="7"/>
  <c r="U1129" i="3" s="1"/>
  <c r="F454" i="7"/>
  <c r="U1132" i="3" s="1"/>
  <c r="F455" i="7"/>
  <c r="U1138" i="3" s="1"/>
  <c r="F456" i="7"/>
  <c r="U1140" i="3" s="1"/>
  <c r="F457" i="7"/>
  <c r="U1142" i="3" s="1"/>
  <c r="F458" i="7"/>
  <c r="U1144" i="3" s="1"/>
  <c r="F459" i="7"/>
  <c r="U1147" i="3" s="1"/>
  <c r="F460" i="7"/>
  <c r="U1152" i="3" s="1"/>
  <c r="F461" i="7"/>
  <c r="U1155" i="3" s="1"/>
  <c r="F462" i="7"/>
  <c r="U1158" i="3" s="1"/>
  <c r="F463" i="7"/>
  <c r="U1160" i="3" s="1"/>
  <c r="F464" i="7"/>
  <c r="U1162" i="3" s="1"/>
  <c r="F465" i="7"/>
  <c r="U1164" i="3" s="1"/>
  <c r="F466" i="7"/>
  <c r="U1166" i="3" s="1"/>
  <c r="F467" i="7"/>
  <c r="U1169" i="3" s="1"/>
  <c r="F468" i="7"/>
  <c r="U1171" i="3" s="1"/>
  <c r="F469" i="7"/>
  <c r="U1173" i="3" s="1"/>
  <c r="F470" i="7"/>
  <c r="U1175" i="3" s="1"/>
  <c r="F471" i="7"/>
  <c r="U1177" i="3" s="1"/>
  <c r="F472" i="7"/>
  <c r="U1179" i="3" s="1"/>
  <c r="F473" i="7"/>
  <c r="U1181" i="3" s="1"/>
  <c r="F474" i="7"/>
  <c r="U1183" i="3" s="1"/>
  <c r="F475" i="7"/>
  <c r="U1185" i="3" s="1"/>
  <c r="F476" i="7"/>
  <c r="U1187" i="3" s="1"/>
  <c r="F477" i="7"/>
  <c r="U1189" i="3" s="1"/>
  <c r="F478" i="7"/>
  <c r="U1191" i="3" s="1"/>
  <c r="F479" i="7"/>
  <c r="U1193" i="3" s="1"/>
  <c r="F480" i="7"/>
  <c r="U1195" i="3" s="1"/>
  <c r="F481" i="7"/>
  <c r="U1197" i="3" s="1"/>
  <c r="F482" i="7"/>
  <c r="U1199" i="3" s="1"/>
  <c r="F483" i="7"/>
  <c r="U1201" i="3" s="1"/>
  <c r="F484" i="7"/>
  <c r="U1203" i="3" s="1"/>
  <c r="F485" i="7"/>
  <c r="U1205" i="3" s="1"/>
  <c r="F486" i="7"/>
  <c r="U1207" i="3" s="1"/>
  <c r="F487" i="7"/>
  <c r="U1209" i="3" s="1"/>
  <c r="F488" i="7"/>
  <c r="U1211" i="3" s="1"/>
  <c r="F489" i="7"/>
  <c r="U1213" i="3" s="1"/>
  <c r="F490" i="7"/>
  <c r="U1215" i="3" s="1"/>
  <c r="F491" i="7"/>
  <c r="U1736" i="3" s="1"/>
  <c r="F492" i="7"/>
  <c r="U1738" i="3" s="1"/>
  <c r="F493" i="7"/>
  <c r="U1217" i="3" s="1"/>
  <c r="F494" i="7"/>
  <c r="U1219" i="3" s="1"/>
  <c r="F495" i="7"/>
  <c r="U1221" i="3" s="1"/>
  <c r="F496" i="7"/>
  <c r="U1223" i="3" s="1"/>
  <c r="F497" i="7"/>
  <c r="U1225" i="3" s="1"/>
  <c r="F498" i="7"/>
  <c r="U1227" i="3" s="1"/>
  <c r="F499" i="7"/>
  <c r="U1229" i="3" s="1"/>
  <c r="F500" i="7"/>
  <c r="U1231" i="3" s="1"/>
  <c r="F501" i="7"/>
  <c r="U1233" i="3" s="1"/>
  <c r="F502" i="7"/>
  <c r="U1235" i="3" s="1"/>
  <c r="F503" i="7"/>
  <c r="U1237" i="3" s="1"/>
  <c r="F504" i="7"/>
  <c r="U1239" i="3" s="1"/>
  <c r="F505" i="7"/>
  <c r="U1241" i="3" s="1"/>
  <c r="F506" i="7"/>
  <c r="U1243" i="3" s="1"/>
  <c r="F507" i="7"/>
  <c r="U1245" i="3" s="1"/>
  <c r="F508" i="7"/>
  <c r="U1247" i="3" s="1"/>
  <c r="F509" i="7"/>
  <c r="U1249" i="3" s="1"/>
  <c r="F510" i="7"/>
  <c r="U1251" i="3" s="1"/>
  <c r="F511" i="7"/>
  <c r="U1253" i="3" s="1"/>
  <c r="F512" i="7"/>
  <c r="U1260" i="3" s="1"/>
  <c r="F513" i="7"/>
  <c r="U1267" i="3" s="1"/>
  <c r="F514" i="7"/>
  <c r="U1269" i="3" s="1"/>
  <c r="F515" i="7"/>
  <c r="U1271" i="3" s="1"/>
  <c r="F516" i="7"/>
  <c r="U1273" i="3" s="1"/>
  <c r="F517" i="7"/>
  <c r="U1275" i="3" s="1"/>
  <c r="F518" i="7"/>
  <c r="U1277" i="3" s="1"/>
  <c r="F519" i="7"/>
  <c r="U1279" i="3" s="1"/>
  <c r="F520" i="7"/>
  <c r="U1285" i="3" s="1"/>
  <c r="F521" i="7"/>
  <c r="U1291" i="3" s="1"/>
  <c r="F522" i="7"/>
  <c r="U1296" i="3" s="1"/>
  <c r="F523" i="7"/>
  <c r="U1301" i="3" s="1"/>
  <c r="F524" i="7"/>
  <c r="U1304" i="3" s="1"/>
  <c r="F525" i="7"/>
  <c r="U1307" i="3" s="1"/>
  <c r="F526" i="7"/>
  <c r="U1309" i="3" s="1"/>
  <c r="F527" i="7"/>
  <c r="U1312" i="3" s="1"/>
  <c r="F528" i="7"/>
  <c r="U1315" i="3" s="1"/>
  <c r="F529" i="7"/>
  <c r="U1318" i="3" s="1"/>
  <c r="F530" i="7"/>
  <c r="U1320" i="3" s="1"/>
  <c r="F531" i="7"/>
  <c r="U1322" i="3" s="1"/>
  <c r="F532" i="7"/>
  <c r="U1324" i="3" s="1"/>
  <c r="F533" i="7"/>
  <c r="U1326" i="3" s="1"/>
  <c r="F2" i="7"/>
  <c r="W1736" i="3" l="1"/>
  <c r="V1736" i="3"/>
  <c r="X1736" i="3"/>
  <c r="AC1736" i="3"/>
  <c r="V1738" i="3"/>
  <c r="W1738" i="3"/>
  <c r="AC1738" i="3"/>
  <c r="X1738" i="3"/>
  <c r="AQ1738" i="3"/>
  <c r="AQ1736" i="3"/>
  <c r="K1424" i="3"/>
  <c r="U559" i="4"/>
  <c r="U558" i="4"/>
  <c r="U546" i="4"/>
  <c r="U545" i="4"/>
  <c r="U456" i="4"/>
  <c r="T16" i="4"/>
  <c r="Y1738" i="3" l="1"/>
  <c r="AD1738" i="3"/>
  <c r="AD1736" i="3"/>
  <c r="Y1736" i="3"/>
  <c r="AI1736" i="3"/>
  <c r="AI1738" i="3"/>
  <c r="L1424" i="3"/>
  <c r="T15" i="4"/>
  <c r="T19" i="4"/>
  <c r="T456" i="4"/>
  <c r="T13" i="4"/>
  <c r="T12" i="4"/>
  <c r="T11" i="4"/>
  <c r="T10" i="4"/>
  <c r="T14" i="4"/>
  <c r="T4" i="4"/>
  <c r="T5" i="4"/>
  <c r="T17" i="4"/>
  <c r="T6" i="4"/>
  <c r="T18" i="4"/>
  <c r="T8" i="4"/>
  <c r="T9" i="4"/>
  <c r="T7" i="4"/>
  <c r="M22" i="18" l="1"/>
  <c r="M21" i="18"/>
  <c r="M20" i="18"/>
  <c r="P51" i="3" l="1"/>
  <c r="P1328" i="3"/>
  <c r="P1425" i="3" l="1"/>
  <c r="P1331" i="3"/>
  <c r="P447" i="3"/>
  <c r="P449" i="3"/>
  <c r="O393" i="3"/>
  <c r="AE393" i="3"/>
  <c r="F393" i="3"/>
  <c r="O389" i="3"/>
  <c r="AE389" i="3"/>
  <c r="F389" i="3"/>
  <c r="O382" i="3"/>
  <c r="AE382" i="3"/>
  <c r="F382" i="3"/>
  <c r="L357" i="3"/>
  <c r="O357" i="3"/>
  <c r="AE357" i="3"/>
  <c r="F357" i="3"/>
  <c r="O350" i="3"/>
  <c r="AE350" i="3"/>
  <c r="F350" i="3"/>
  <c r="O287" i="3"/>
  <c r="AE287" i="3"/>
  <c r="F287" i="3"/>
  <c r="O216" i="3"/>
  <c r="AE216" i="3"/>
  <c r="F216" i="3"/>
  <c r="O206" i="3"/>
  <c r="AE206" i="3"/>
  <c r="F206" i="3"/>
  <c r="O195" i="3"/>
  <c r="AE195" i="3"/>
  <c r="F195" i="3"/>
  <c r="O172" i="3"/>
  <c r="AE172" i="3"/>
  <c r="O188" i="3"/>
  <c r="AE188" i="3"/>
  <c r="F188" i="3"/>
  <c r="F172" i="3"/>
  <c r="U329" i="8"/>
  <c r="L329" i="8"/>
  <c r="V329" i="8"/>
  <c r="M329" i="8"/>
  <c r="AE144" i="3"/>
  <c r="O144" i="3"/>
  <c r="F144" i="3"/>
  <c r="M1973" i="3" l="1" a="1"/>
  <c r="M1973" i="3" s="1"/>
  <c r="N1973" i="3" s="1"/>
  <c r="M1977" i="3" a="1"/>
  <c r="M1977" i="3" s="1"/>
  <c r="N1977" i="3" s="1"/>
  <c r="M1876" i="3" a="1"/>
  <c r="M1876" i="3" s="1"/>
  <c r="AR350" i="3"/>
  <c r="AR144" i="3"/>
  <c r="AR195" i="3"/>
  <c r="AR393" i="3"/>
  <c r="AR287" i="3"/>
  <c r="AR206" i="3"/>
  <c r="AR357" i="3"/>
  <c r="AR172" i="3"/>
  <c r="AR216" i="3"/>
  <c r="AR389" i="3"/>
  <c r="AR188" i="3"/>
  <c r="AR382" i="3"/>
  <c r="M1786" i="3" a="1"/>
  <c r="M1786" i="3" s="1"/>
  <c r="R350" i="3"/>
  <c r="R1786" i="3"/>
  <c r="AF144" i="3"/>
  <c r="AF188" i="3"/>
  <c r="AF172" i="3"/>
  <c r="AF195" i="3"/>
  <c r="AF206" i="3"/>
  <c r="AF216" i="3"/>
  <c r="AF287" i="3"/>
  <c r="AF350" i="3"/>
  <c r="AF357" i="3"/>
  <c r="W357" i="3"/>
  <c r="AF382" i="3"/>
  <c r="AF389" i="3"/>
  <c r="AF393" i="3"/>
  <c r="R195" i="3"/>
  <c r="R172" i="3"/>
  <c r="R382" i="3"/>
  <c r="R216" i="3"/>
  <c r="R144" i="3"/>
  <c r="R188" i="3"/>
  <c r="R206" i="3"/>
  <c r="R357" i="3"/>
  <c r="R389" i="3"/>
  <c r="R287" i="3"/>
  <c r="R393" i="3"/>
  <c r="G287" i="3"/>
  <c r="G206" i="3"/>
  <c r="G216" i="3"/>
  <c r="G382" i="3"/>
  <c r="G195" i="3"/>
  <c r="G357" i="3"/>
  <c r="G393" i="3"/>
  <c r="G350" i="3"/>
  <c r="G172" i="3"/>
  <c r="G144" i="3"/>
  <c r="G188" i="3"/>
  <c r="G389" i="3"/>
  <c r="I393" i="3"/>
  <c r="W393" i="3"/>
  <c r="I389" i="3"/>
  <c r="I382" i="3"/>
  <c r="I357" i="3"/>
  <c r="W382" i="3"/>
  <c r="I350" i="3"/>
  <c r="I287" i="3"/>
  <c r="I216" i="3"/>
  <c r="I206" i="3"/>
  <c r="I195" i="3"/>
  <c r="I188" i="3"/>
  <c r="I172" i="3"/>
  <c r="I144" i="3"/>
  <c r="AG1977" i="3" l="1"/>
  <c r="AA1977" i="3"/>
  <c r="Q1977" i="3"/>
  <c r="AG1973" i="3"/>
  <c r="AA1973" i="3"/>
  <c r="Q1973" i="3"/>
  <c r="N1876" i="3"/>
  <c r="AA1876" i="3" s="1"/>
  <c r="AC350" i="3"/>
  <c r="N1786" i="3"/>
  <c r="AQ350" i="3"/>
  <c r="X350" i="3"/>
  <c r="AC1786" i="3"/>
  <c r="T1786" i="3"/>
  <c r="AQ1786" i="3"/>
  <c r="X1786" i="3"/>
  <c r="S1786" i="3"/>
  <c r="M350" i="3" a="1"/>
  <c r="M350" i="3" s="1"/>
  <c r="M216" i="3" a="1"/>
  <c r="M216" i="3" s="1"/>
  <c r="M357" i="3" a="1"/>
  <c r="M357" i="3" s="1"/>
  <c r="M382" i="3" a="1"/>
  <c r="M382" i="3" s="1"/>
  <c r="M287" i="3" a="1"/>
  <c r="M287" i="3" s="1"/>
  <c r="M144" i="3" a="1"/>
  <c r="M144" i="3" s="1"/>
  <c r="M172" i="3" a="1"/>
  <c r="M172" i="3" s="1"/>
  <c r="M188" i="3" a="1"/>
  <c r="M188" i="3" s="1"/>
  <c r="M393" i="3" a="1"/>
  <c r="M393" i="3" s="1"/>
  <c r="M195" i="3" a="1"/>
  <c r="M195" i="3" s="1"/>
  <c r="M389" i="3" a="1"/>
  <c r="M389" i="3" s="1"/>
  <c r="M206" i="3" a="1"/>
  <c r="M206" i="3" s="1"/>
  <c r="K393" i="3"/>
  <c r="AQ389" i="3"/>
  <c r="AC389" i="3"/>
  <c r="X389" i="3"/>
  <c r="T357" i="3"/>
  <c r="X357" i="3"/>
  <c r="AC357" i="3"/>
  <c r="AQ357" i="3"/>
  <c r="AC206" i="3"/>
  <c r="X206" i="3"/>
  <c r="AQ206" i="3"/>
  <c r="AC188" i="3"/>
  <c r="AQ188" i="3"/>
  <c r="X188" i="3"/>
  <c r="AC144" i="3"/>
  <c r="X144" i="3"/>
  <c r="AQ144" i="3"/>
  <c r="AC216" i="3"/>
  <c r="X216" i="3"/>
  <c r="AQ216" i="3"/>
  <c r="X382" i="3"/>
  <c r="AC382" i="3"/>
  <c r="AQ382" i="3"/>
  <c r="AC172" i="3"/>
  <c r="X172" i="3"/>
  <c r="AQ172" i="3"/>
  <c r="AC195" i="3"/>
  <c r="AQ195" i="3"/>
  <c r="X195" i="3"/>
  <c r="AQ393" i="3"/>
  <c r="AC393" i="3"/>
  <c r="X393" i="3"/>
  <c r="AC287" i="3"/>
  <c r="X287" i="3"/>
  <c r="AQ287" i="3"/>
  <c r="T382" i="3"/>
  <c r="T393" i="3"/>
  <c r="K389" i="3"/>
  <c r="K382" i="3"/>
  <c r="K350" i="3"/>
  <c r="K287" i="3"/>
  <c r="K216" i="3"/>
  <c r="K206" i="3"/>
  <c r="K195" i="3"/>
  <c r="K172" i="3"/>
  <c r="K188" i="3"/>
  <c r="K144" i="3"/>
  <c r="P13" i="3"/>
  <c r="Q1876" i="3" l="1"/>
  <c r="AH1973" i="3"/>
  <c r="AI1973" i="3" s="1"/>
  <c r="AB1973" i="3"/>
  <c r="AH1977" i="3"/>
  <c r="AI1977" i="3" s="1"/>
  <c r="AB1977" i="3"/>
  <c r="AH1876" i="3"/>
  <c r="AG1876" i="3"/>
  <c r="AB1876" i="3"/>
  <c r="AA1786" i="3"/>
  <c r="AG1786" i="3"/>
  <c r="Y1786" i="3"/>
  <c r="AD1786" i="3"/>
  <c r="P268" i="3"/>
  <c r="P1358" i="3"/>
  <c r="P154" i="3"/>
  <c r="P287" i="3"/>
  <c r="P144" i="3"/>
  <c r="P216" i="3"/>
  <c r="P206" i="3"/>
  <c r="P350" i="3"/>
  <c r="P195" i="3"/>
  <c r="P172" i="3"/>
  <c r="P389" i="3"/>
  <c r="P188" i="3"/>
  <c r="P382" i="3"/>
  <c r="P393" i="3"/>
  <c r="P357" i="3"/>
  <c r="P1786" i="3"/>
  <c r="P169" i="3"/>
  <c r="P111" i="3"/>
  <c r="P43" i="3"/>
  <c r="P151" i="3"/>
  <c r="P166" i="3"/>
  <c r="P1366" i="3"/>
  <c r="P1378" i="3"/>
  <c r="P1368" i="3"/>
  <c r="P1337" i="3"/>
  <c r="P1153" i="3"/>
  <c r="P1001" i="3"/>
  <c r="P1003" i="3"/>
  <c r="P71" i="3"/>
  <c r="P83" i="3"/>
  <c r="P179" i="3"/>
  <c r="P239" i="3"/>
  <c r="P275" i="3"/>
  <c r="P347" i="3"/>
  <c r="P36" i="3"/>
  <c r="P120" i="3"/>
  <c r="P132" i="3"/>
  <c r="P300" i="3"/>
  <c r="P312" i="3"/>
  <c r="P324" i="3"/>
  <c r="P49" i="3"/>
  <c r="P253" i="3"/>
  <c r="P265" i="3"/>
  <c r="P361" i="3"/>
  <c r="P373" i="3"/>
  <c r="P397" i="3"/>
  <c r="P86" i="3"/>
  <c r="P182" i="3"/>
  <c r="P230" i="3"/>
  <c r="P278" i="3"/>
  <c r="P338" i="3"/>
  <c r="P63" i="3"/>
  <c r="P75" i="3"/>
  <c r="P123" i="3"/>
  <c r="P315" i="3"/>
  <c r="P327" i="3"/>
  <c r="P148" i="3"/>
  <c r="P220" i="3"/>
  <c r="P256" i="3"/>
  <c r="P364" i="3"/>
  <c r="P376" i="3"/>
  <c r="P400" i="3"/>
  <c r="P185" i="3"/>
  <c r="P233" i="3"/>
  <c r="P281" i="3"/>
  <c r="P413" i="3"/>
  <c r="P54" i="3"/>
  <c r="P114" i="3"/>
  <c r="P126" i="3"/>
  <c r="P210" i="3"/>
  <c r="P294" i="3"/>
  <c r="P318" i="3"/>
  <c r="P259" i="3"/>
  <c r="P379" i="3"/>
  <c r="P68" i="3"/>
  <c r="P104" i="3"/>
  <c r="P176" i="3"/>
  <c r="P236" i="3"/>
  <c r="P248" i="3"/>
  <c r="P272" i="3"/>
  <c r="P9" i="3"/>
  <c r="P297" i="3"/>
  <c r="P1130" i="3"/>
  <c r="P1334" i="3"/>
  <c r="P1346" i="3"/>
  <c r="P1622" i="3"/>
  <c r="P370" i="3"/>
  <c r="P1143" i="3"/>
  <c r="P94" i="3"/>
  <c r="P310" i="3"/>
  <c r="P1122" i="3"/>
  <c r="P250" i="3"/>
  <c r="P1124" i="3"/>
  <c r="P1340" i="3"/>
  <c r="P1364" i="3"/>
  <c r="P262" i="3"/>
  <c r="P57" i="3"/>
  <c r="P129" i="3"/>
  <c r="P1139" i="3"/>
  <c r="P1343" i="3"/>
  <c r="P1141" i="3"/>
  <c r="P1391" i="3"/>
  <c r="P213" i="3"/>
  <c r="P1349" i="3"/>
  <c r="N350" i="3"/>
  <c r="N382" i="3"/>
  <c r="N188" i="3"/>
  <c r="N195" i="3"/>
  <c r="L382" i="3"/>
  <c r="N389" i="3"/>
  <c r="N172" i="3"/>
  <c r="N393" i="3"/>
  <c r="N216" i="3"/>
  <c r="N206" i="3"/>
  <c r="L393" i="3"/>
  <c r="N144" i="3"/>
  <c r="N287" i="3"/>
  <c r="N357" i="3"/>
  <c r="P110" i="3"/>
  <c r="P1142" i="3"/>
  <c r="P1121" i="3"/>
  <c r="P245" i="3"/>
  <c r="P1126" i="3"/>
  <c r="P399" i="3"/>
  <c r="P277" i="3"/>
  <c r="P1166" i="3"/>
  <c r="P543" i="3"/>
  <c r="P11" i="3"/>
  <c r="P1336" i="3"/>
  <c r="P1339" i="3"/>
  <c r="P445" i="3"/>
  <c r="P215" i="3"/>
  <c r="P1156" i="3"/>
  <c r="P1155" i="3"/>
  <c r="AI1876" i="3" l="1"/>
  <c r="AH1786" i="3"/>
  <c r="Q94" i="3"/>
  <c r="Q1143" i="3"/>
  <c r="Q1622" i="3"/>
  <c r="Q68" i="3"/>
  <c r="Q54" i="3"/>
  <c r="Q413" i="3"/>
  <c r="Q182" i="3"/>
  <c r="Q397" i="3"/>
  <c r="Q1786" i="3"/>
  <c r="AB1786" i="3"/>
  <c r="Q389" i="3"/>
  <c r="Q172" i="3"/>
  <c r="Q195" i="3"/>
  <c r="Q206" i="3"/>
  <c r="Q350" i="3"/>
  <c r="Q144" i="3"/>
  <c r="Q287" i="3"/>
  <c r="Q357" i="3"/>
  <c r="Q216" i="3"/>
  <c r="Q393" i="3"/>
  <c r="Q382" i="3"/>
  <c r="Q188" i="3"/>
  <c r="P1197" i="3"/>
  <c r="P1169" i="3"/>
  <c r="P565" i="3"/>
  <c r="P567" i="3"/>
  <c r="P569" i="3"/>
  <c r="P571" i="3"/>
  <c r="P863" i="3"/>
  <c r="P1063" i="3"/>
  <c r="P1627" i="3"/>
  <c r="P861" i="3"/>
  <c r="P346" i="3"/>
  <c r="P1057" i="3"/>
  <c r="P739" i="3"/>
  <c r="P741" i="3"/>
  <c r="P587" i="3"/>
  <c r="P583" i="3"/>
  <c r="P585" i="3"/>
  <c r="P893" i="3"/>
  <c r="P895" i="3"/>
  <c r="P735" i="3"/>
  <c r="P737" i="3"/>
  <c r="P1324" i="3"/>
  <c r="P1326" i="3"/>
  <c r="P523" i="3"/>
  <c r="P525" i="3"/>
  <c r="P1722" i="3"/>
  <c r="P1720" i="3"/>
  <c r="P539" i="3"/>
  <c r="P541" i="3"/>
  <c r="P519" i="3"/>
  <c r="P521" i="3"/>
  <c r="P304" i="3"/>
  <c r="P224" i="3"/>
  <c r="P1087" i="3"/>
  <c r="P1089" i="3"/>
  <c r="P1418" i="3"/>
  <c r="P1416" i="3"/>
  <c r="P131" i="3"/>
  <c r="P85" i="3"/>
  <c r="P631" i="3"/>
  <c r="P633" i="3"/>
  <c r="P229" i="3"/>
  <c r="P309" i="3"/>
  <c r="P867" i="3"/>
  <c r="P865" i="3"/>
  <c r="P731" i="3"/>
  <c r="P733" i="3"/>
  <c r="P383" i="3"/>
  <c r="P358" i="3"/>
  <c r="P511" i="3"/>
  <c r="P513" i="3"/>
  <c r="P1207" i="3"/>
  <c r="P1205" i="3"/>
  <c r="P727" i="3"/>
  <c r="P729" i="3"/>
  <c r="P27" i="3"/>
  <c r="P1136" i="3"/>
  <c r="P443" i="3"/>
  <c r="P441" i="3"/>
  <c r="P875" i="3"/>
  <c r="P873" i="3"/>
  <c r="P1535" i="3"/>
  <c r="P412" i="3"/>
  <c r="P32" i="3"/>
  <c r="P1678" i="3"/>
  <c r="P1505" i="3"/>
  <c r="P421" i="3"/>
  <c r="P423" i="3"/>
  <c r="P95" i="3"/>
  <c r="P167" i="3"/>
  <c r="P251" i="3"/>
  <c r="P263" i="3"/>
  <c r="P371" i="3"/>
  <c r="P407" i="3"/>
  <c r="P72" i="3"/>
  <c r="P84" i="3"/>
  <c r="P156" i="3"/>
  <c r="P180" i="3"/>
  <c r="P240" i="3"/>
  <c r="P276" i="3"/>
  <c r="P336" i="3"/>
  <c r="P348" i="3"/>
  <c r="P37" i="3"/>
  <c r="P61" i="3"/>
  <c r="P121" i="3"/>
  <c r="P133" i="3"/>
  <c r="P301" i="3"/>
  <c r="P313" i="3"/>
  <c r="P325" i="3"/>
  <c r="P14" i="3"/>
  <c r="P50" i="3"/>
  <c r="P170" i="3"/>
  <c r="P254" i="3"/>
  <c r="P266" i="3"/>
  <c r="P362" i="3"/>
  <c r="P374" i="3"/>
  <c r="P398" i="3"/>
  <c r="P87" i="3"/>
  <c r="P183" i="3"/>
  <c r="P231" i="3"/>
  <c r="P279" i="3"/>
  <c r="P339" i="3"/>
  <c r="P387" i="3"/>
  <c r="P411" i="3"/>
  <c r="P4" i="3"/>
  <c r="P28" i="3"/>
  <c r="P64" i="3"/>
  <c r="P76" i="3"/>
  <c r="P112" i="3"/>
  <c r="P124" i="3"/>
  <c r="P136" i="3"/>
  <c r="P316" i="3"/>
  <c r="P328" i="3"/>
  <c r="P41" i="3"/>
  <c r="P101" i="3"/>
  <c r="P149" i="3"/>
  <c r="P221" i="3"/>
  <c r="P257" i="3"/>
  <c r="P365" i="3"/>
  <c r="P377" i="3"/>
  <c r="P401" i="3"/>
  <c r="P18" i="3"/>
  <c r="P90" i="3"/>
  <c r="P186" i="3"/>
  <c r="P234" i="3"/>
  <c r="P270" i="3"/>
  <c r="P282" i="3"/>
  <c r="P414" i="3"/>
  <c r="P55" i="3"/>
  <c r="P115" i="3"/>
  <c r="P127" i="3"/>
  <c r="P211" i="3"/>
  <c r="P295" i="3"/>
  <c r="P319" i="3"/>
  <c r="P355" i="3"/>
  <c r="P44" i="3"/>
  <c r="P152" i="3"/>
  <c r="P164" i="3"/>
  <c r="P260" i="3"/>
  <c r="P332" i="3"/>
  <c r="P368" i="3"/>
  <c r="P380" i="3"/>
  <c r="P404" i="3"/>
  <c r="P1154" i="3"/>
  <c r="P10" i="3"/>
  <c r="P298" i="3"/>
  <c r="P1131" i="3"/>
  <c r="P1311" i="3"/>
  <c r="P1335" i="3"/>
  <c r="P1347" i="3"/>
  <c r="P1383" i="3"/>
  <c r="P1395" i="3"/>
  <c r="P237" i="3"/>
  <c r="P1168" i="3"/>
  <c r="P1360" i="3"/>
  <c r="P22" i="3"/>
  <c r="P105" i="3"/>
  <c r="P177" i="3"/>
  <c r="P1146" i="3"/>
  <c r="P1314" i="3"/>
  <c r="P1338" i="3"/>
  <c r="P1350" i="3"/>
  <c r="P1386" i="3"/>
  <c r="P1398" i="3"/>
  <c r="P1602" i="3"/>
  <c r="P1614" i="3"/>
  <c r="P1626" i="3"/>
  <c r="P1638" i="3"/>
  <c r="P322" i="3"/>
  <c r="P1303" i="3"/>
  <c r="P1125" i="3"/>
  <c r="P1137" i="3"/>
  <c r="P1317" i="3"/>
  <c r="P1341" i="3"/>
  <c r="P1365" i="3"/>
  <c r="P1389" i="3"/>
  <c r="P1413" i="3"/>
  <c r="P273" i="3"/>
  <c r="P1306" i="3"/>
  <c r="P1330" i="3"/>
  <c r="P58" i="3"/>
  <c r="P130" i="3"/>
  <c r="P69" i="3"/>
  <c r="P1380" i="3"/>
  <c r="P1452" i="3"/>
  <c r="P1780" i="3"/>
  <c r="P1792" i="3"/>
  <c r="P1620" i="3"/>
  <c r="P1593" i="3"/>
  <c r="P1746" i="3"/>
  <c r="P1758" i="3"/>
  <c r="P1629" i="3"/>
  <c r="P1344" i="3"/>
  <c r="P1427" i="3"/>
  <c r="P1605" i="3"/>
  <c r="P1623" i="3"/>
  <c r="P1641" i="3"/>
  <c r="P1771" i="3"/>
  <c r="P1575" i="3"/>
  <c r="P1392" i="3"/>
  <c r="P1565" i="3"/>
  <c r="P1784" i="3"/>
  <c r="P214" i="3"/>
  <c r="P1608" i="3"/>
  <c r="P1644" i="3"/>
  <c r="P1749" i="3"/>
  <c r="P1761" i="3"/>
  <c r="P1611" i="3"/>
  <c r="P285" i="3"/>
  <c r="P1774" i="3"/>
  <c r="P1767" i="3"/>
  <c r="P1128" i="3"/>
  <c r="P1576" i="3"/>
  <c r="P1596" i="3"/>
  <c r="P1632" i="3"/>
  <c r="P1653" i="3"/>
  <c r="P1777" i="3"/>
  <c r="P1599" i="3"/>
  <c r="P1635" i="3"/>
  <c r="P1617" i="3"/>
  <c r="P56" i="3"/>
  <c r="P128" i="3"/>
  <c r="P53" i="3"/>
  <c r="P30" i="3"/>
  <c r="P1133" i="3"/>
  <c r="P869" i="3"/>
  <c r="P871" i="3"/>
  <c r="P627" i="3"/>
  <c r="P629" i="3"/>
  <c r="P575" i="3"/>
  <c r="P577" i="3"/>
  <c r="P573" i="3"/>
  <c r="P1645" i="3"/>
  <c r="P1203" i="3"/>
  <c r="P1491" i="3"/>
  <c r="P1201" i="3"/>
  <c r="P1039" i="3"/>
  <c r="P1037" i="3"/>
  <c r="P155" i="3"/>
  <c r="P269" i="3"/>
  <c r="P1359" i="3"/>
  <c r="P1302" i="3"/>
  <c r="P1127" i="3"/>
  <c r="P1145" i="3"/>
  <c r="P113" i="3"/>
  <c r="P1621" i="3"/>
  <c r="P579" i="3"/>
  <c r="P581" i="3"/>
  <c r="P1299" i="3"/>
  <c r="P1294" i="3"/>
  <c r="P138" i="3"/>
  <c r="P198" i="3"/>
  <c r="P851" i="3"/>
  <c r="P243" i="3"/>
  <c r="P849" i="3"/>
  <c r="P1262" i="3"/>
  <c r="P1288" i="3"/>
  <c r="P1255" i="3"/>
  <c r="P1401" i="3"/>
  <c r="P1282" i="3"/>
  <c r="P1670" i="3"/>
  <c r="P1457" i="3"/>
  <c r="P1405" i="3"/>
  <c r="P1239" i="3"/>
  <c r="P1237" i="3"/>
  <c r="P563" i="3"/>
  <c r="P1387" i="3"/>
  <c r="P561" i="3"/>
  <c r="P1759" i="3"/>
  <c r="P507" i="3"/>
  <c r="P509" i="3"/>
  <c r="P557" i="3"/>
  <c r="P559" i="3"/>
  <c r="P1704" i="3"/>
  <c r="P1549" i="3"/>
  <c r="P122" i="3"/>
  <c r="P125" i="3"/>
  <c r="P1521" i="3"/>
  <c r="P70" i="3"/>
  <c r="P1275" i="3"/>
  <c r="P1277" i="3"/>
  <c r="P1195" i="3"/>
  <c r="P1193" i="3"/>
  <c r="P396" i="3"/>
  <c r="P181" i="3"/>
  <c r="P1648" i="3"/>
  <c r="P420" i="3"/>
  <c r="P432" i="3"/>
  <c r="P444" i="3"/>
  <c r="P456" i="3"/>
  <c r="P468" i="3"/>
  <c r="P480" i="3"/>
  <c r="P492" i="3"/>
  <c r="P504" i="3"/>
  <c r="P516" i="3"/>
  <c r="P528" i="3"/>
  <c r="P540" i="3"/>
  <c r="P552" i="3"/>
  <c r="P564" i="3"/>
  <c r="P576" i="3"/>
  <c r="P612" i="3"/>
  <c r="P386" i="3"/>
  <c r="P422" i="3"/>
  <c r="P434" i="3"/>
  <c r="P446" i="3"/>
  <c r="P458" i="3"/>
  <c r="P470" i="3"/>
  <c r="P482" i="3"/>
  <c r="P494" i="3"/>
  <c r="P506" i="3"/>
  <c r="P518" i="3"/>
  <c r="P530" i="3"/>
  <c r="P542" i="3"/>
  <c r="P554" i="3"/>
  <c r="P566" i="3"/>
  <c r="P590" i="3"/>
  <c r="P602" i="3"/>
  <c r="P614" i="3"/>
  <c r="P626" i="3"/>
  <c r="P638" i="3"/>
  <c r="P650" i="3"/>
  <c r="P662" i="3"/>
  <c r="P674" i="3"/>
  <c r="P686" i="3"/>
  <c r="P698" i="3"/>
  <c r="P710" i="3"/>
  <c r="P722" i="3"/>
  <c r="P734" i="3"/>
  <c r="P746" i="3"/>
  <c r="P758" i="3"/>
  <c r="P770" i="3"/>
  <c r="P782" i="3"/>
  <c r="P794" i="3"/>
  <c r="P818" i="3"/>
  <c r="P830" i="3"/>
  <c r="P842" i="3"/>
  <c r="P854" i="3"/>
  <c r="P866" i="3"/>
  <c r="P878" i="3"/>
  <c r="P100" i="3"/>
  <c r="P424" i="3"/>
  <c r="P448" i="3"/>
  <c r="P460" i="3"/>
  <c r="P472" i="3"/>
  <c r="P484" i="3"/>
  <c r="P496" i="3"/>
  <c r="P508" i="3"/>
  <c r="P520" i="3"/>
  <c r="P532" i="3"/>
  <c r="P544" i="3"/>
  <c r="P556" i="3"/>
  <c r="P568" i="3"/>
  <c r="P580" i="3"/>
  <c r="P592" i="3"/>
  <c r="P604" i="3"/>
  <c r="P616" i="3"/>
  <c r="P628" i="3"/>
  <c r="P640" i="3"/>
  <c r="P652" i="3"/>
  <c r="P664" i="3"/>
  <c r="P676" i="3"/>
  <c r="P688" i="3"/>
  <c r="P700" i="3"/>
  <c r="P712" i="3"/>
  <c r="P724" i="3"/>
  <c r="P736" i="3"/>
  <c r="P748" i="3"/>
  <c r="P760" i="3"/>
  <c r="P772" i="3"/>
  <c r="P784" i="3"/>
  <c r="P796" i="3"/>
  <c r="P808" i="3"/>
  <c r="P820" i="3"/>
  <c r="P832" i="3"/>
  <c r="P844" i="3"/>
  <c r="P856" i="3"/>
  <c r="P868" i="3"/>
  <c r="P880" i="3"/>
  <c r="P892" i="3"/>
  <c r="P904" i="3"/>
  <c r="P916" i="3"/>
  <c r="P426" i="3"/>
  <c r="P438" i="3"/>
  <c r="P450" i="3"/>
  <c r="P462" i="3"/>
  <c r="P474" i="3"/>
  <c r="P486" i="3"/>
  <c r="P498" i="3"/>
  <c r="P510" i="3"/>
  <c r="P522" i="3"/>
  <c r="P534" i="3"/>
  <c r="P546" i="3"/>
  <c r="P558" i="3"/>
  <c r="P570" i="3"/>
  <c r="P582" i="3"/>
  <c r="P606" i="3"/>
  <c r="P618" i="3"/>
  <c r="P630" i="3"/>
  <c r="P642" i="3"/>
  <c r="P654" i="3"/>
  <c r="P284" i="3"/>
  <c r="P416" i="3"/>
  <c r="P428" i="3"/>
  <c r="P440" i="3"/>
  <c r="P452" i="3"/>
  <c r="P464" i="3"/>
  <c r="P476" i="3"/>
  <c r="P488" i="3"/>
  <c r="P500" i="3"/>
  <c r="P512" i="3"/>
  <c r="P524" i="3"/>
  <c r="P536" i="3"/>
  <c r="P548" i="3"/>
  <c r="P560" i="3"/>
  <c r="P572" i="3"/>
  <c r="P584" i="3"/>
  <c r="P596" i="3"/>
  <c r="P620" i="3"/>
  <c r="P632" i="3"/>
  <c r="P644" i="3"/>
  <c r="P668" i="3"/>
  <c r="P680" i="3"/>
  <c r="P692" i="3"/>
  <c r="P704" i="3"/>
  <c r="P716" i="3"/>
  <c r="P728" i="3"/>
  <c r="P740" i="3"/>
  <c r="P752" i="3"/>
  <c r="P764" i="3"/>
  <c r="P776" i="3"/>
  <c r="P788" i="3"/>
  <c r="P800" i="3"/>
  <c r="P812" i="3"/>
  <c r="P824" i="3"/>
  <c r="P836" i="3"/>
  <c r="P848" i="3"/>
  <c r="P860" i="3"/>
  <c r="P872" i="3"/>
  <c r="P884" i="3"/>
  <c r="P896" i="3"/>
  <c r="P908" i="3"/>
  <c r="P920" i="3"/>
  <c r="P682" i="3"/>
  <c r="P718" i="3"/>
  <c r="P754" i="3"/>
  <c r="P790" i="3"/>
  <c r="P822" i="3"/>
  <c r="P914" i="3"/>
  <c r="P966" i="3"/>
  <c r="P996" i="3"/>
  <c r="P1010" i="3"/>
  <c r="P1022" i="3"/>
  <c r="P1034" i="3"/>
  <c r="P1046" i="3"/>
  <c r="P1058" i="3"/>
  <c r="P1070" i="3"/>
  <c r="P1082" i="3"/>
  <c r="P1106" i="3"/>
  <c r="P1118" i="3"/>
  <c r="P1178" i="3"/>
  <c r="P1190" i="3"/>
  <c r="P1202" i="3"/>
  <c r="P1214" i="3"/>
  <c r="P1226" i="3"/>
  <c r="P1238" i="3"/>
  <c r="P1250" i="3"/>
  <c r="P1274" i="3"/>
  <c r="P1310" i="3"/>
  <c r="P1382" i="3"/>
  <c r="P1394" i="3"/>
  <c r="P1406" i="3"/>
  <c r="P1454" i="3"/>
  <c r="P1478" i="3"/>
  <c r="P1490" i="3"/>
  <c r="P1514" i="3"/>
  <c r="P1526" i="3"/>
  <c r="P1538" i="3"/>
  <c r="P1550" i="3"/>
  <c r="P1574" i="3"/>
  <c r="P1586" i="3"/>
  <c r="P1598" i="3"/>
  <c r="P1610" i="3"/>
  <c r="P1634" i="3"/>
  <c r="P1650" i="3"/>
  <c r="P442" i="3"/>
  <c r="P514" i="3"/>
  <c r="P586" i="3"/>
  <c r="P646" i="3"/>
  <c r="P684" i="3"/>
  <c r="P720" i="3"/>
  <c r="P756" i="3"/>
  <c r="P792" i="3"/>
  <c r="P850" i="3"/>
  <c r="P874" i="3"/>
  <c r="P918" i="3"/>
  <c r="P934" i="3"/>
  <c r="P950" i="3"/>
  <c r="P982" i="3"/>
  <c r="P1167" i="3"/>
  <c r="P1323" i="3"/>
  <c r="P1371" i="3"/>
  <c r="P1419" i="3"/>
  <c r="P1431" i="3"/>
  <c r="P1443" i="3"/>
  <c r="P648" i="3"/>
  <c r="P690" i="3"/>
  <c r="P726" i="3"/>
  <c r="P762" i="3"/>
  <c r="P798" i="3"/>
  <c r="P826" i="3"/>
  <c r="P852" i="3"/>
  <c r="P876" i="3"/>
  <c r="P898" i="3"/>
  <c r="P936" i="3"/>
  <c r="P952" i="3"/>
  <c r="P968" i="3"/>
  <c r="P984" i="3"/>
  <c r="P998" i="3"/>
  <c r="P1012" i="3"/>
  <c r="P1024" i="3"/>
  <c r="P1036" i="3"/>
  <c r="P1048" i="3"/>
  <c r="P1072" i="3"/>
  <c r="P1084" i="3"/>
  <c r="P1108" i="3"/>
  <c r="P1120" i="3"/>
  <c r="P1180" i="3"/>
  <c r="P1192" i="3"/>
  <c r="P1204" i="3"/>
  <c r="P1216" i="3"/>
  <c r="P1228" i="3"/>
  <c r="P1240" i="3"/>
  <c r="P1252" i="3"/>
  <c r="P1276" i="3"/>
  <c r="P1300" i="3"/>
  <c r="P1408" i="3"/>
  <c r="P1468" i="3"/>
  <c r="P1480" i="3"/>
  <c r="P1504" i="3"/>
  <c r="P1516" i="3"/>
  <c r="P1528" i="3"/>
  <c r="P1540" i="3"/>
  <c r="P1552" i="3"/>
  <c r="P1564" i="3"/>
  <c r="P454" i="3"/>
  <c r="P658" i="3"/>
  <c r="P694" i="3"/>
  <c r="P730" i="3"/>
  <c r="P766" i="3"/>
  <c r="P858" i="3"/>
  <c r="P882" i="3"/>
  <c r="P922" i="3"/>
  <c r="P938" i="3"/>
  <c r="P970" i="3"/>
  <c r="P986" i="3"/>
  <c r="P1000" i="3"/>
  <c r="P1014" i="3"/>
  <c r="P1026" i="3"/>
  <c r="P1038" i="3"/>
  <c r="P1050" i="3"/>
  <c r="P1074" i="3"/>
  <c r="P1086" i="3"/>
  <c r="P1110" i="3"/>
  <c r="P1170" i="3"/>
  <c r="P1182" i="3"/>
  <c r="P1194" i="3"/>
  <c r="P1206" i="3"/>
  <c r="P1218" i="3"/>
  <c r="P1230" i="3"/>
  <c r="P1242" i="3"/>
  <c r="P1266" i="3"/>
  <c r="P1278" i="3"/>
  <c r="P1290" i="3"/>
  <c r="P1410" i="3"/>
  <c r="P1458" i="3"/>
  <c r="P1470" i="3"/>
  <c r="P1494" i="3"/>
  <c r="P1506" i="3"/>
  <c r="P1518" i="3"/>
  <c r="P1530" i="3"/>
  <c r="P1542" i="3"/>
  <c r="P1554" i="3"/>
  <c r="P1578" i="3"/>
  <c r="P1590" i="3"/>
  <c r="P466" i="3"/>
  <c r="P538" i="3"/>
  <c r="P610" i="3"/>
  <c r="P660" i="3"/>
  <c r="P696" i="3"/>
  <c r="P732" i="3"/>
  <c r="P804" i="3"/>
  <c r="P834" i="3"/>
  <c r="P902" i="3"/>
  <c r="P924" i="3"/>
  <c r="P940" i="3"/>
  <c r="P956" i="3"/>
  <c r="P972" i="3"/>
  <c r="P1002" i="3"/>
  <c r="P1159" i="3"/>
  <c r="P1327" i="3"/>
  <c r="P1375" i="3"/>
  <c r="P1423" i="3"/>
  <c r="P1435" i="3"/>
  <c r="P1447" i="3"/>
  <c r="P1567" i="3"/>
  <c r="P1655" i="3"/>
  <c r="P1667" i="3"/>
  <c r="P1679" i="3"/>
  <c r="P1691" i="3"/>
  <c r="P1703" i="3"/>
  <c r="P1715" i="3"/>
  <c r="P1727" i="3"/>
  <c r="P1739" i="3"/>
  <c r="P702" i="3"/>
  <c r="P738" i="3"/>
  <c r="P774" i="3"/>
  <c r="P906" i="3"/>
  <c r="P942" i="3"/>
  <c r="P988" i="3"/>
  <c r="P1016" i="3"/>
  <c r="P1028" i="3"/>
  <c r="P1040" i="3"/>
  <c r="P1052" i="3"/>
  <c r="P1064" i="3"/>
  <c r="P1076" i="3"/>
  <c r="P1088" i="3"/>
  <c r="P1100" i="3"/>
  <c r="P1172" i="3"/>
  <c r="P1184" i="3"/>
  <c r="P1196" i="3"/>
  <c r="P1208" i="3"/>
  <c r="P1220" i="3"/>
  <c r="P1232" i="3"/>
  <c r="P1244" i="3"/>
  <c r="P1268" i="3"/>
  <c r="P1316" i="3"/>
  <c r="P1352" i="3"/>
  <c r="P1388" i="3"/>
  <c r="P1412" i="3"/>
  <c r="P1460" i="3"/>
  <c r="P1472" i="3"/>
  <c r="P1484" i="3"/>
  <c r="P1496" i="3"/>
  <c r="P1508" i="3"/>
  <c r="P1520" i="3"/>
  <c r="P1532" i="3"/>
  <c r="P1544" i="3"/>
  <c r="P1556" i="3"/>
  <c r="P406" i="3"/>
  <c r="P478" i="3"/>
  <c r="P550" i="3"/>
  <c r="P622" i="3"/>
  <c r="P838" i="3"/>
  <c r="P862" i="3"/>
  <c r="P886" i="3"/>
  <c r="P926" i="3"/>
  <c r="P958" i="3"/>
  <c r="P974" i="3"/>
  <c r="P990" i="3"/>
  <c r="P1004" i="3"/>
  <c r="P1161" i="3"/>
  <c r="P1305" i="3"/>
  <c r="P1329" i="3"/>
  <c r="P1377" i="3"/>
  <c r="P1437" i="3"/>
  <c r="P1449" i="3"/>
  <c r="P1569" i="3"/>
  <c r="P624" i="3"/>
  <c r="P670" i="3"/>
  <c r="P706" i="3"/>
  <c r="P742" i="3"/>
  <c r="P778" i="3"/>
  <c r="P840" i="3"/>
  <c r="P864" i="3"/>
  <c r="P888" i="3"/>
  <c r="P928" i="3"/>
  <c r="P944" i="3"/>
  <c r="P960" i="3"/>
  <c r="P976" i="3"/>
  <c r="P1018" i="3"/>
  <c r="P1030" i="3"/>
  <c r="P1042" i="3"/>
  <c r="P1066" i="3"/>
  <c r="P1078" i="3"/>
  <c r="P1090" i="3"/>
  <c r="P1102" i="3"/>
  <c r="P1114" i="3"/>
  <c r="P1174" i="3"/>
  <c r="P1186" i="3"/>
  <c r="P1198" i="3"/>
  <c r="P1210" i="3"/>
  <c r="P1222" i="3"/>
  <c r="P1234" i="3"/>
  <c r="P1246" i="3"/>
  <c r="P1270" i="3"/>
  <c r="P1354" i="3"/>
  <c r="P1402" i="3"/>
  <c r="P1426" i="3"/>
  <c r="P1474" i="3"/>
  <c r="P1486" i="3"/>
  <c r="P1498" i="3"/>
  <c r="P1510" i="3"/>
  <c r="P1534" i="3"/>
  <c r="P1546" i="3"/>
  <c r="P1558" i="3"/>
  <c r="P1582" i="3"/>
  <c r="P418" i="3"/>
  <c r="P490" i="3"/>
  <c r="P562" i="3"/>
  <c r="P672" i="3"/>
  <c r="P708" i="3"/>
  <c r="P744" i="3"/>
  <c r="P780" i="3"/>
  <c r="P910" i="3"/>
  <c r="P930" i="3"/>
  <c r="P978" i="3"/>
  <c r="P992" i="3"/>
  <c r="P1006" i="3"/>
  <c r="P1151" i="3"/>
  <c r="P1163" i="3"/>
  <c r="P1259" i="3"/>
  <c r="P1295" i="3"/>
  <c r="P1319" i="3"/>
  <c r="P1367" i="3"/>
  <c r="P1379" i="3"/>
  <c r="P714" i="3"/>
  <c r="P846" i="3"/>
  <c r="P1044" i="3"/>
  <c r="P1092" i="3"/>
  <c r="P1188" i="3"/>
  <c r="P1236" i="3"/>
  <c r="P1284" i="3"/>
  <c r="P1332" i="3"/>
  <c r="P1488" i="3"/>
  <c r="P1524" i="3"/>
  <c r="P1619" i="3"/>
  <c r="P1659" i="3"/>
  <c r="P1695" i="3"/>
  <c r="P1729" i="3"/>
  <c r="P1751" i="3"/>
  <c r="P900" i="3"/>
  <c r="P1548" i="3"/>
  <c r="P1671" i="3"/>
  <c r="P1675" i="3"/>
  <c r="P502" i="3"/>
  <c r="P932" i="3"/>
  <c r="P994" i="3"/>
  <c r="P1417" i="3"/>
  <c r="P1560" i="3"/>
  <c r="P1584" i="3"/>
  <c r="P1601" i="3"/>
  <c r="P1637" i="3"/>
  <c r="P1677" i="3"/>
  <c r="P1713" i="3"/>
  <c r="P1731" i="3"/>
  <c r="P1745" i="3"/>
  <c r="P1757" i="3"/>
  <c r="P1652" i="3"/>
  <c r="P526" i="3"/>
  <c r="P1385" i="3"/>
  <c r="P1421" i="3"/>
  <c r="P1604" i="3"/>
  <c r="P1640" i="3"/>
  <c r="P1661" i="3"/>
  <c r="P1697" i="3"/>
  <c r="P1770" i="3"/>
  <c r="P1796" i="3"/>
  <c r="P964" i="3"/>
  <c r="P1313" i="3"/>
  <c r="P1631" i="3"/>
  <c r="P1776" i="3"/>
  <c r="P1743" i="3"/>
  <c r="P750" i="3"/>
  <c r="P870" i="3"/>
  <c r="P946" i="3"/>
  <c r="P1008" i="3"/>
  <c r="P1104" i="3"/>
  <c r="P1200" i="3"/>
  <c r="P1248" i="3"/>
  <c r="P1663" i="3"/>
  <c r="P1681" i="3"/>
  <c r="P1699" i="3"/>
  <c r="P1717" i="3"/>
  <c r="P1733" i="3"/>
  <c r="P636" i="3"/>
  <c r="P1737" i="3"/>
  <c r="P1723" i="3"/>
  <c r="P1711" i="3"/>
  <c r="P574" i="3"/>
  <c r="P948" i="3"/>
  <c r="P1464" i="3"/>
  <c r="P1500" i="3"/>
  <c r="P1536" i="3"/>
  <c r="P1588" i="3"/>
  <c r="P1607" i="3"/>
  <c r="P1643" i="3"/>
  <c r="P1683" i="3"/>
  <c r="P1719" i="3"/>
  <c r="P1748" i="3"/>
  <c r="P1760" i="3"/>
  <c r="P1165" i="3"/>
  <c r="P1439" i="3"/>
  <c r="P1687" i="3"/>
  <c r="P1512" i="3"/>
  <c r="P1693" i="3"/>
  <c r="P598" i="3"/>
  <c r="P954" i="3"/>
  <c r="P1429" i="3"/>
  <c r="P1571" i="3"/>
  <c r="P1625" i="3"/>
  <c r="P1665" i="3"/>
  <c r="P1701" i="3"/>
  <c r="P1735" i="3"/>
  <c r="P1773" i="3"/>
  <c r="P1595" i="3"/>
  <c r="P1707" i="3"/>
  <c r="P634" i="3"/>
  <c r="P786" i="3"/>
  <c r="P890" i="3"/>
  <c r="P962" i="3"/>
  <c r="P1020" i="3"/>
  <c r="P1068" i="3"/>
  <c r="P1116" i="3"/>
  <c r="P1212" i="3"/>
  <c r="P1308" i="3"/>
  <c r="P1356" i="3"/>
  <c r="P1433" i="3"/>
  <c r="P1592" i="3"/>
  <c r="P1628" i="3"/>
  <c r="P1685" i="3"/>
  <c r="P1721" i="3"/>
  <c r="P894" i="3"/>
  <c r="P1705" i="3"/>
  <c r="P678" i="3"/>
  <c r="P816" i="3"/>
  <c r="P912" i="3"/>
  <c r="P1032" i="3"/>
  <c r="P1080" i="3"/>
  <c r="P1176" i="3"/>
  <c r="P1224" i="3"/>
  <c r="P1272" i="3"/>
  <c r="P1441" i="3"/>
  <c r="P1613" i="3"/>
  <c r="P1689" i="3"/>
  <c r="P1753" i="3"/>
  <c r="P430" i="3"/>
  <c r="P1373" i="3"/>
  <c r="P1451" i="3"/>
  <c r="P1580" i="3"/>
  <c r="P1755" i="3"/>
  <c r="P980" i="3"/>
  <c r="P1321" i="3"/>
  <c r="P1369" i="3"/>
  <c r="P1445" i="3"/>
  <c r="P1616" i="3"/>
  <c r="P1673" i="3"/>
  <c r="P1709" i="3"/>
  <c r="P1725" i="3"/>
  <c r="P1741" i="3"/>
  <c r="P1766" i="3"/>
  <c r="P828" i="3"/>
  <c r="P1325" i="3"/>
  <c r="P1415" i="3"/>
  <c r="P1657" i="3"/>
  <c r="P1779" i="3"/>
  <c r="P515" i="3"/>
  <c r="P517" i="3"/>
  <c r="P341" i="3"/>
  <c r="P1059" i="3"/>
  <c r="P1053" i="3"/>
  <c r="P879" i="3"/>
  <c r="P1726" i="3"/>
  <c r="P877" i="3"/>
  <c r="P1724" i="3"/>
  <c r="P857" i="3"/>
  <c r="P1362" i="3"/>
  <c r="P859" i="3"/>
  <c r="P467" i="3"/>
  <c r="P469" i="3"/>
  <c r="P192" i="3"/>
  <c r="P288" i="3"/>
  <c r="P145" i="3"/>
  <c r="P217" i="3"/>
  <c r="P207" i="3"/>
  <c r="P351" i="3"/>
  <c r="P196" i="3"/>
  <c r="P173" i="3"/>
  <c r="P390" i="3"/>
  <c r="P394" i="3"/>
  <c r="P189" i="3"/>
  <c r="P1787" i="3"/>
  <c r="P5" i="3"/>
  <c r="P116" i="3"/>
  <c r="P45" i="3"/>
  <c r="P1249" i="3"/>
  <c r="P1109" i="3"/>
  <c r="P611" i="3"/>
  <c r="P613" i="3"/>
  <c r="P615" i="3"/>
  <c r="P617" i="3"/>
  <c r="P803" i="3"/>
  <c r="P807" i="3"/>
  <c r="P408" i="3"/>
  <c r="P329" i="3"/>
  <c r="P1781" i="3"/>
  <c r="P503" i="3"/>
  <c r="P505" i="3"/>
  <c r="P619" i="3"/>
  <c r="P621" i="3"/>
  <c r="P1372" i="3"/>
  <c r="P1138" i="3"/>
  <c r="P495" i="3"/>
  <c r="P497" i="3"/>
  <c r="P1525" i="3"/>
  <c r="P923" i="3"/>
  <c r="P927" i="3"/>
  <c r="P925" i="3"/>
  <c r="P921" i="3"/>
  <c r="P1754" i="3"/>
  <c r="P1071" i="3"/>
  <c r="P1077" i="3"/>
  <c r="P96" i="3"/>
  <c r="P1291" i="3"/>
  <c r="P1296" i="3"/>
  <c r="P1541" i="3"/>
  <c r="P1692" i="3"/>
  <c r="P60" i="3"/>
  <c r="P3" i="3"/>
  <c r="P135" i="3"/>
  <c r="P40" i="3"/>
  <c r="P17" i="3"/>
  <c r="P403" i="3"/>
  <c r="P21" i="3"/>
  <c r="P1791" i="3"/>
  <c r="P535" i="3"/>
  <c r="P537" i="3"/>
  <c r="P1183" i="3"/>
  <c r="P1185" i="3"/>
  <c r="P1035" i="3"/>
  <c r="P1033" i="3"/>
  <c r="P588" i="3"/>
  <c r="P600" i="3"/>
  <c r="P578" i="3"/>
  <c r="P436" i="3"/>
  <c r="P89" i="3"/>
  <c r="P354" i="3"/>
  <c r="P594" i="3"/>
  <c r="P367" i="3"/>
  <c r="P608" i="3"/>
  <c r="P656" i="3"/>
  <c r="P1094" i="3"/>
  <c r="P1096" i="3"/>
  <c r="P321" i="3"/>
  <c r="P1098" i="3"/>
  <c r="P768" i="3"/>
  <c r="P666" i="3"/>
  <c r="P1112" i="3"/>
  <c r="P527" i="3"/>
  <c r="P529" i="3"/>
  <c r="P531" i="3"/>
  <c r="P533" i="3"/>
  <c r="P1636" i="3"/>
  <c r="P499" i="3"/>
  <c r="P501" i="3"/>
  <c r="P431" i="3"/>
  <c r="P433" i="3"/>
  <c r="P435" i="3"/>
  <c r="P264" i="3"/>
  <c r="P1315" i="3"/>
  <c r="P623" i="3"/>
  <c r="P625" i="3"/>
  <c r="P1286" i="3"/>
  <c r="P1254" i="3"/>
  <c r="P1280" i="3"/>
  <c r="P1261" i="3"/>
  <c r="P845" i="3"/>
  <c r="P847" i="3"/>
  <c r="P1029" i="3"/>
  <c r="P1031" i="3"/>
  <c r="P1434" i="3"/>
  <c r="P1436" i="3"/>
  <c r="P1027" i="3"/>
  <c r="P1025" i="3"/>
  <c r="P59" i="3"/>
  <c r="P108" i="3"/>
  <c r="P25" i="3"/>
  <c r="P74" i="3"/>
  <c r="P39" i="3"/>
  <c r="P16" i="3"/>
  <c r="P88" i="3"/>
  <c r="P293" i="3"/>
  <c r="P305" i="3"/>
  <c r="P42" i="3"/>
  <c r="P66" i="3"/>
  <c r="P103" i="3"/>
  <c r="P20" i="3"/>
  <c r="P225" i="3"/>
  <c r="P1698" i="3"/>
  <c r="P93" i="3"/>
  <c r="P1603" i="3"/>
  <c r="P1148" i="3"/>
  <c r="P1545" i="3"/>
  <c r="P1573" i="3"/>
  <c r="P1763" i="3"/>
  <c r="P1790" i="3"/>
  <c r="P1414" i="3"/>
  <c r="P1428" i="3"/>
  <c r="P62" i="3"/>
  <c r="P77" i="3"/>
  <c r="P1485" i="3"/>
  <c r="P1688" i="3"/>
  <c r="P589" i="3"/>
  <c r="P591" i="3"/>
  <c r="P593" i="3"/>
  <c r="P815" i="3"/>
  <c r="P843" i="3"/>
  <c r="P811" i="3"/>
  <c r="P841" i="3"/>
  <c r="P1271" i="3"/>
  <c r="P1273" i="3"/>
  <c r="P1438" i="3"/>
  <c r="P1440" i="3"/>
  <c r="AB1622" i="3"/>
  <c r="AI1797" i="3"/>
  <c r="AB1797" i="3"/>
  <c r="AA382" i="3"/>
  <c r="AA393" i="3"/>
  <c r="AG393" i="3"/>
  <c r="AG144" i="3"/>
  <c r="AG389" i="3"/>
  <c r="AG206" i="3"/>
  <c r="AG195" i="3"/>
  <c r="AG216" i="3"/>
  <c r="AG188" i="3"/>
  <c r="AG357" i="3"/>
  <c r="AA357" i="3"/>
  <c r="AG382" i="3"/>
  <c r="AG287" i="3"/>
  <c r="AG172" i="3"/>
  <c r="AG350" i="3"/>
  <c r="P333" i="3"/>
  <c r="P203" i="3"/>
  <c r="P191" i="3"/>
  <c r="P1129" i="3"/>
  <c r="P187" i="3"/>
  <c r="P388" i="3"/>
  <c r="P392" i="3"/>
  <c r="P246" i="3"/>
  <c r="P209" i="3"/>
  <c r="P378" i="3"/>
  <c r="P1152" i="3"/>
  <c r="P8" i="3"/>
  <c r="P296" i="3"/>
  <c r="P82" i="3"/>
  <c r="P98" i="3"/>
  <c r="P1342" i="3"/>
  <c r="P1357" i="3"/>
  <c r="P258" i="3"/>
  <c r="P405" i="3"/>
  <c r="P1363" i="3"/>
  <c r="P311" i="3"/>
  <c r="P159" i="3"/>
  <c r="P1312" i="3"/>
  <c r="P255" i="3"/>
  <c r="P299" i="3"/>
  <c r="P1348" i="3"/>
  <c r="P1309" i="3"/>
  <c r="P353" i="3"/>
  <c r="P52" i="3"/>
  <c r="P7" i="3"/>
  <c r="P267" i="3"/>
  <c r="P1318" i="3"/>
  <c r="P415" i="3"/>
  <c r="P168" i="3"/>
  <c r="P81" i="3"/>
  <c r="P1304" i="3"/>
  <c r="P1140" i="3"/>
  <c r="P244" i="3"/>
  <c r="P340" i="3"/>
  <c r="P80" i="3"/>
  <c r="P109" i="3"/>
  <c r="P34" i="3"/>
  <c r="P1353" i="3"/>
  <c r="P160" i="3"/>
  <c r="P140" i="3"/>
  <c r="P184" i="3"/>
  <c r="P343" i="3"/>
  <c r="P1345" i="3"/>
  <c r="P157" i="3"/>
  <c r="P1361" i="3"/>
  <c r="AI1622" i="3" l="1"/>
  <c r="AB382" i="3"/>
  <c r="Q1440" i="3"/>
  <c r="Q1438" i="3"/>
  <c r="Q1436" i="3"/>
  <c r="Q1434" i="3"/>
  <c r="Q321" i="3"/>
  <c r="Q367" i="3"/>
  <c r="Q354" i="3"/>
  <c r="Q89" i="3"/>
  <c r="Q1791" i="3"/>
  <c r="Q40" i="3"/>
  <c r="Q1779" i="3"/>
  <c r="Q1657" i="3"/>
  <c r="Q1766" i="3"/>
  <c r="Q1741" i="3"/>
  <c r="Q1725" i="3"/>
  <c r="Q1709" i="3"/>
  <c r="Q1673" i="3"/>
  <c r="Q1616" i="3"/>
  <c r="Q1445" i="3"/>
  <c r="Q1755" i="3"/>
  <c r="Q1580" i="3"/>
  <c r="Q1451" i="3"/>
  <c r="Q1753" i="3"/>
  <c r="Q1689" i="3"/>
  <c r="Q1613" i="3"/>
  <c r="Q1441" i="3"/>
  <c r="Q1705" i="3"/>
  <c r="Q1721" i="3"/>
  <c r="Q1685" i="3"/>
  <c r="Q1628" i="3"/>
  <c r="Q1592" i="3"/>
  <c r="Q1433" i="3"/>
  <c r="Q1707" i="3"/>
  <c r="Q1595" i="3"/>
  <c r="Q1773" i="3"/>
  <c r="Q1735" i="3"/>
  <c r="Q1701" i="3"/>
  <c r="Q1665" i="3"/>
  <c r="Q1625" i="3"/>
  <c r="Q1571" i="3"/>
  <c r="Q1429" i="3"/>
  <c r="Q1693" i="3"/>
  <c r="Q1512" i="3"/>
  <c r="Q1687" i="3"/>
  <c r="Q1439" i="3"/>
  <c r="Q1760" i="3"/>
  <c r="Q1748" i="3"/>
  <c r="Q1719" i="3"/>
  <c r="Q1683" i="3"/>
  <c r="Q1643" i="3"/>
  <c r="Q1607" i="3"/>
  <c r="Q1588" i="3"/>
  <c r="Q1536" i="3"/>
  <c r="Q1500" i="3"/>
  <c r="Q1464" i="3"/>
  <c r="Q1711" i="3"/>
  <c r="Q1723" i="3"/>
  <c r="Q1737" i="3"/>
  <c r="Q1733" i="3"/>
  <c r="Q1717" i="3"/>
  <c r="Q1699" i="3"/>
  <c r="Q1681" i="3"/>
  <c r="Q1663" i="3"/>
  <c r="Q1743" i="3"/>
  <c r="Q1776" i="3"/>
  <c r="Q1631" i="3"/>
  <c r="Q1796" i="3"/>
  <c r="Q1770" i="3"/>
  <c r="Q1697" i="3"/>
  <c r="Q1661" i="3"/>
  <c r="Q1640" i="3"/>
  <c r="Q1604" i="3"/>
  <c r="Q1652" i="3"/>
  <c r="Q1757" i="3"/>
  <c r="Q1745" i="3"/>
  <c r="Q1731" i="3"/>
  <c r="Q1713" i="3"/>
  <c r="Q1677" i="3"/>
  <c r="Q1637" i="3"/>
  <c r="Q1601" i="3"/>
  <c r="Q1584" i="3"/>
  <c r="Q1560" i="3"/>
  <c r="Q1675" i="3"/>
  <c r="Q1671" i="3"/>
  <c r="Q1548" i="3"/>
  <c r="Q1751" i="3"/>
  <c r="Q1729" i="3"/>
  <c r="Q1695" i="3"/>
  <c r="Q1659" i="3"/>
  <c r="Q1619" i="3"/>
  <c r="Q1524" i="3"/>
  <c r="Q1488" i="3"/>
  <c r="Q1582" i="3"/>
  <c r="Q1558" i="3"/>
  <c r="Q1546" i="3"/>
  <c r="Q1534" i="3"/>
  <c r="Q1510" i="3"/>
  <c r="Q1498" i="3"/>
  <c r="Q1486" i="3"/>
  <c r="Q1474" i="3"/>
  <c r="Q1426" i="3"/>
  <c r="Q1569" i="3"/>
  <c r="Q1449" i="3"/>
  <c r="Q1437" i="3"/>
  <c r="Q1556" i="3"/>
  <c r="Q1544" i="3"/>
  <c r="Q1532" i="3"/>
  <c r="Q1520" i="3"/>
  <c r="Q1508" i="3"/>
  <c r="Q1496" i="3"/>
  <c r="Q1484" i="3"/>
  <c r="Q1472" i="3"/>
  <c r="Q1460" i="3"/>
  <c r="Q1739" i="3"/>
  <c r="Q1727" i="3"/>
  <c r="Q1715" i="3"/>
  <c r="Q1703" i="3"/>
  <c r="Q1691" i="3"/>
  <c r="Q1679" i="3"/>
  <c r="Q1667" i="3"/>
  <c r="Q1655" i="3"/>
  <c r="Q1567" i="3"/>
  <c r="Q1447" i="3"/>
  <c r="Q1435" i="3"/>
  <c r="Q1590" i="3"/>
  <c r="Q1578" i="3"/>
  <c r="Q1554" i="3"/>
  <c r="Q1542" i="3"/>
  <c r="Q1530" i="3"/>
  <c r="Q1518" i="3"/>
  <c r="Q1506" i="3"/>
  <c r="Q1494" i="3"/>
  <c r="Q1470" i="3"/>
  <c r="Q1458" i="3"/>
  <c r="Q1564" i="3"/>
  <c r="Q1552" i="3"/>
  <c r="Q1540" i="3"/>
  <c r="Q1528" i="3"/>
  <c r="Q1516" i="3"/>
  <c r="Q1504" i="3"/>
  <c r="Q1480" i="3"/>
  <c r="Q1468" i="3"/>
  <c r="Q1443" i="3"/>
  <c r="Q1431" i="3"/>
  <c r="Q1650" i="3"/>
  <c r="Q1634" i="3"/>
  <c r="Q1610" i="3"/>
  <c r="Q1598" i="3"/>
  <c r="Q1586" i="3"/>
  <c r="Q1574" i="3"/>
  <c r="Q1550" i="3"/>
  <c r="Q1538" i="3"/>
  <c r="Q1526" i="3"/>
  <c r="Q1514" i="3"/>
  <c r="Q1490" i="3"/>
  <c r="Q1478" i="3"/>
  <c r="Q1454" i="3"/>
  <c r="Q1648" i="3"/>
  <c r="Q1359" i="3"/>
  <c r="Q269" i="3"/>
  <c r="Q1645" i="3"/>
  <c r="Q1617" i="3"/>
  <c r="Q1635" i="3"/>
  <c r="Q1599" i="3"/>
  <c r="Q1777" i="3"/>
  <c r="Q1653" i="3"/>
  <c r="Q1632" i="3"/>
  <c r="Q1596" i="3"/>
  <c r="Q1576" i="3"/>
  <c r="Q1767" i="3"/>
  <c r="Q1774" i="3"/>
  <c r="Q1611" i="3"/>
  <c r="Q1761" i="3"/>
  <c r="Q1749" i="3"/>
  <c r="Q1644" i="3"/>
  <c r="Q1608" i="3"/>
  <c r="Q1784" i="3"/>
  <c r="Q1565" i="3"/>
  <c r="Q1392" i="3"/>
  <c r="Q1575" i="3"/>
  <c r="Q1771" i="3"/>
  <c r="Q1641" i="3"/>
  <c r="Q1623" i="3"/>
  <c r="Q1605" i="3"/>
  <c r="Q1427" i="3"/>
  <c r="Q1344" i="3"/>
  <c r="Q1629" i="3"/>
  <c r="Q1758" i="3"/>
  <c r="Q1746" i="3"/>
  <c r="Q1593" i="3"/>
  <c r="Q1620" i="3"/>
  <c r="Q1792" i="3"/>
  <c r="Q1780" i="3"/>
  <c r="Q1452" i="3"/>
  <c r="Q1380" i="3"/>
  <c r="Q1413" i="3"/>
  <c r="Q1389" i="3"/>
  <c r="Q1365" i="3"/>
  <c r="Q1341" i="3"/>
  <c r="Q1638" i="3"/>
  <c r="Q1626" i="3"/>
  <c r="Q1614" i="3"/>
  <c r="Q1602" i="3"/>
  <c r="Q1398" i="3"/>
  <c r="Q1386" i="3"/>
  <c r="Q1350" i="3"/>
  <c r="Q1383" i="3"/>
  <c r="Q1347" i="3"/>
  <c r="Q1335" i="3"/>
  <c r="Q414" i="3"/>
  <c r="AI1786" i="3"/>
  <c r="AB1796" i="3"/>
  <c r="Q1787" i="3"/>
  <c r="AB1787" i="3"/>
  <c r="P455" i="3"/>
  <c r="P457" i="3"/>
  <c r="P1279" i="3"/>
  <c r="P1258" i="3"/>
  <c r="P1285" i="3"/>
  <c r="P1265" i="3"/>
  <c r="P1537" i="3"/>
  <c r="P1231" i="3"/>
  <c r="P1229" i="3"/>
  <c r="P1221" i="3"/>
  <c r="P1223" i="3"/>
  <c r="P743" i="3"/>
  <c r="P745" i="3"/>
  <c r="P78" i="3"/>
  <c r="P751" i="3"/>
  <c r="P1471" i="3"/>
  <c r="P753" i="3"/>
  <c r="P463" i="3"/>
  <c r="P465" i="3"/>
  <c r="P1639" i="3"/>
  <c r="P1642" i="3"/>
  <c r="P1469" i="3"/>
  <c r="P1011" i="3"/>
  <c r="P1533" i="3"/>
  <c r="P1009" i="3"/>
  <c r="P989" i="3"/>
  <c r="P991" i="3"/>
  <c r="P1633" i="3"/>
  <c r="P965" i="3"/>
  <c r="P967" i="3"/>
  <c r="P601" i="3"/>
  <c r="P603" i="3"/>
  <c r="P947" i="3"/>
  <c r="P945" i="3"/>
  <c r="P1103" i="3"/>
  <c r="P1187" i="3"/>
  <c r="P1119" i="3"/>
  <c r="P1115" i="3"/>
  <c r="P781" i="3"/>
  <c r="P783" i="3"/>
  <c r="P483" i="3"/>
  <c r="P485" i="3"/>
  <c r="P1097" i="3"/>
  <c r="P691" i="3"/>
  <c r="P693" i="3"/>
  <c r="P134" i="3"/>
  <c r="P402" i="3"/>
  <c r="P899" i="3"/>
  <c r="P897" i="3"/>
  <c r="P719" i="3"/>
  <c r="P721" i="3"/>
  <c r="P99" i="3"/>
  <c r="P785" i="3"/>
  <c r="P787" i="3"/>
  <c r="P1298" i="3"/>
  <c r="P1293" i="3"/>
  <c r="P1499" i="3"/>
  <c r="P1646" i="3"/>
  <c r="P97" i="3"/>
  <c r="P1492" i="3"/>
  <c r="P1292" i="3"/>
  <c r="P1297" i="3"/>
  <c r="P1075" i="3"/>
  <c r="P1081" i="3"/>
  <c r="P707" i="3"/>
  <c r="P709" i="3"/>
  <c r="P1618" i="3"/>
  <c r="P290" i="3"/>
  <c r="P375" i="3"/>
  <c r="P356" i="3"/>
  <c r="P381" i="3"/>
  <c r="P202" i="3"/>
  <c r="P821" i="3"/>
  <c r="P823" i="3"/>
  <c r="P1051" i="3"/>
  <c r="P1049" i="3"/>
  <c r="P323" i="3"/>
  <c r="P79" i="3"/>
  <c r="P1706" i="3"/>
  <c r="P1553" i="3"/>
  <c r="P171" i="3"/>
  <c r="P139" i="3"/>
  <c r="P199" i="3"/>
  <c r="P1501" i="3"/>
  <c r="P671" i="3"/>
  <c r="P673" i="3"/>
  <c r="P1079" i="3"/>
  <c r="P1073" i="3"/>
  <c r="P759" i="3"/>
  <c r="P761" i="3"/>
  <c r="P1065" i="3"/>
  <c r="P417" i="3"/>
  <c r="P599" i="3"/>
  <c r="P595" i="3"/>
  <c r="P597" i="3"/>
  <c r="P703" i="3"/>
  <c r="P705" i="3"/>
  <c r="P1374" i="3"/>
  <c r="P1376" i="3"/>
  <c r="P47" i="3"/>
  <c r="P118" i="3"/>
  <c r="P232" i="3"/>
  <c r="P366" i="3"/>
  <c r="P1023" i="3"/>
  <c r="P1021" i="3"/>
  <c r="P487" i="3"/>
  <c r="P489" i="3"/>
  <c r="P941" i="3"/>
  <c r="P943" i="3"/>
  <c r="P1649" i="3"/>
  <c r="P643" i="3"/>
  <c r="P645" i="3"/>
  <c r="P1007" i="3"/>
  <c r="P1005" i="3"/>
  <c r="P675" i="3"/>
  <c r="P677" i="3"/>
  <c r="P767" i="3"/>
  <c r="P763" i="3"/>
  <c r="P765" i="3"/>
  <c r="P773" i="3"/>
  <c r="P222" i="3"/>
  <c r="P775" i="3"/>
  <c r="P137" i="3"/>
  <c r="P200" i="3"/>
  <c r="P711" i="3"/>
  <c r="P713" i="3"/>
  <c r="P1420" i="3"/>
  <c r="P1422" i="3"/>
  <c r="P983" i="3"/>
  <c r="P24" i="3"/>
  <c r="P385" i="3"/>
  <c r="P219" i="3"/>
  <c r="P283" i="3"/>
  <c r="P981" i="3"/>
  <c r="P1134" i="3"/>
  <c r="P659" i="3"/>
  <c r="P657" i="3"/>
  <c r="P819" i="3"/>
  <c r="P817" i="3"/>
  <c r="P1107" i="3"/>
  <c r="P1251" i="3"/>
  <c r="P1191" i="3"/>
  <c r="P1189" i="3"/>
  <c r="P372" i="3"/>
  <c r="P6" i="3"/>
  <c r="P117" i="3"/>
  <c r="P46" i="3"/>
  <c r="P1322" i="3"/>
  <c r="P1320" i="3"/>
  <c r="P247" i="3"/>
  <c r="P212" i="3"/>
  <c r="P1515" i="3"/>
  <c r="P1559" i="3"/>
  <c r="P1656" i="3"/>
  <c r="P995" i="3"/>
  <c r="P993" i="3"/>
  <c r="P797" i="3"/>
  <c r="P799" i="3"/>
  <c r="P345" i="3"/>
  <c r="P1055" i="3"/>
  <c r="P1061" i="3"/>
  <c r="P23" i="3"/>
  <c r="P29" i="3"/>
  <c r="P1562" i="3"/>
  <c r="P1147" i="3"/>
  <c r="P1794" i="3"/>
  <c r="P1179" i="3"/>
  <c r="P1181" i="3"/>
  <c r="P661" i="3"/>
  <c r="P663" i="3"/>
  <c r="P665" i="3"/>
  <c r="P1477" i="3"/>
  <c r="P107" i="3"/>
  <c r="P228" i="3"/>
  <c r="P308" i="3"/>
  <c r="P33" i="3"/>
  <c r="P274" i="3"/>
  <c r="P26" i="3"/>
  <c r="P1135" i="3"/>
  <c r="P1563" i="3"/>
  <c r="P1795" i="3"/>
  <c r="P769" i="3"/>
  <c r="P771" i="3"/>
  <c r="P1630" i="3"/>
  <c r="P1624" i="3"/>
  <c r="P349" i="3"/>
  <c r="P1785" i="3"/>
  <c r="P917" i="3"/>
  <c r="P919" i="3"/>
  <c r="P194" i="3"/>
  <c r="P1531" i="3"/>
  <c r="P286" i="3"/>
  <c r="P1370" i="3"/>
  <c r="P1686" i="3"/>
  <c r="P1509" i="3"/>
  <c r="P1333" i="3"/>
  <c r="P827" i="3"/>
  <c r="P150" i="3"/>
  <c r="P825" i="3"/>
  <c r="P1690" i="3"/>
  <c r="P1507" i="3"/>
  <c r="P1450" i="3"/>
  <c r="P1407" i="3"/>
  <c r="P1409" i="3"/>
  <c r="P1287" i="3"/>
  <c r="P1171" i="3"/>
  <c r="P1519" i="3"/>
  <c r="P1173" i="3"/>
  <c r="P1281" i="3"/>
  <c r="P1253" i="3"/>
  <c r="P1260" i="3"/>
  <c r="P695" i="3"/>
  <c r="P697" i="3"/>
  <c r="P227" i="3"/>
  <c r="P307" i="3"/>
  <c r="P1083" i="3"/>
  <c r="P1085" i="3"/>
  <c r="P1446" i="3"/>
  <c r="P1448" i="3"/>
  <c r="P1577" i="3"/>
  <c r="P687" i="3"/>
  <c r="P689" i="3"/>
  <c r="P238" i="3"/>
  <c r="P1511" i="3"/>
  <c r="P1442" i="3"/>
  <c r="P1444" i="3"/>
  <c r="P67" i="3"/>
  <c r="P320" i="3"/>
  <c r="P165" i="3"/>
  <c r="P1764" i="3"/>
  <c r="P915" i="3"/>
  <c r="P1503" i="3"/>
  <c r="P1680" i="3"/>
  <c r="P913" i="3"/>
  <c r="P699" i="3"/>
  <c r="P701" i="3"/>
  <c r="P419" i="3"/>
  <c r="P1067" i="3"/>
  <c r="P683" i="3"/>
  <c r="P685" i="3"/>
  <c r="P342" i="3"/>
  <c r="P1060" i="3"/>
  <c r="P1054" i="3"/>
  <c r="P715" i="3"/>
  <c r="P1091" i="3"/>
  <c r="P717" i="3"/>
  <c r="P977" i="3"/>
  <c r="P1095" i="3"/>
  <c r="P979" i="3"/>
  <c r="P242" i="3"/>
  <c r="P427" i="3"/>
  <c r="P1263" i="3"/>
  <c r="P1455" i="3"/>
  <c r="P1256" i="3"/>
  <c r="P1400" i="3"/>
  <c r="P1404" i="3"/>
  <c r="P1668" i="3"/>
  <c r="P429" i="3"/>
  <c r="P911" i="3"/>
  <c r="P909" i="3"/>
  <c r="P1752" i="3"/>
  <c r="P639" i="3"/>
  <c r="P641" i="3"/>
  <c r="P1041" i="3"/>
  <c r="P1043" i="3"/>
  <c r="P905" i="3"/>
  <c r="P907" i="3"/>
  <c r="P1479" i="3"/>
  <c r="P1111" i="3"/>
  <c r="P1113" i="3"/>
  <c r="P1117" i="3"/>
  <c r="P605" i="3"/>
  <c r="P607" i="3"/>
  <c r="P609" i="3"/>
  <c r="P35" i="3"/>
  <c r="P306" i="3"/>
  <c r="P226" i="3"/>
  <c r="P1158" i="3"/>
  <c r="P1160" i="3"/>
  <c r="P1243" i="3"/>
  <c r="P1241" i="3"/>
  <c r="P939" i="3"/>
  <c r="P937" i="3"/>
  <c r="P1162" i="3"/>
  <c r="P1164" i="3"/>
  <c r="P679" i="3"/>
  <c r="P681" i="3"/>
  <c r="P360" i="3"/>
  <c r="P1772" i="3"/>
  <c r="P831" i="3"/>
  <c r="P344" i="3"/>
  <c r="P829" i="3"/>
  <c r="P1062" i="3"/>
  <c r="P1453" i="3"/>
  <c r="P1612" i="3"/>
  <c r="P1056" i="3"/>
  <c r="P553" i="3"/>
  <c r="P555" i="3"/>
  <c r="P635" i="3"/>
  <c r="P637" i="3"/>
  <c r="P119" i="3"/>
  <c r="P48" i="3"/>
  <c r="P935" i="3"/>
  <c r="P933" i="3"/>
  <c r="P1351" i="3"/>
  <c r="P1355" i="3"/>
  <c r="P1233" i="3"/>
  <c r="P1235" i="3"/>
  <c r="P92" i="3"/>
  <c r="P1132" i="3"/>
  <c r="P805" i="3"/>
  <c r="P801" i="3"/>
  <c r="P491" i="3"/>
  <c r="P12" i="3"/>
  <c r="P493" i="3"/>
  <c r="P1149" i="3"/>
  <c r="P1793" i="3"/>
  <c r="P1561" i="3"/>
  <c r="P1762" i="3"/>
  <c r="P903" i="3"/>
  <c r="P901" i="3"/>
  <c r="P451" i="3"/>
  <c r="P453" i="3"/>
  <c r="P1682" i="3"/>
  <c r="P1517" i="3"/>
  <c r="P1144" i="3"/>
  <c r="P1301" i="3"/>
  <c r="P1267" i="3"/>
  <c r="P1269" i="3"/>
  <c r="P887" i="3"/>
  <c r="P885" i="3"/>
  <c r="P839" i="3"/>
  <c r="P837" i="3"/>
  <c r="P810" i="3"/>
  <c r="P1390" i="3"/>
  <c r="P1606" i="3"/>
  <c r="P814" i="3"/>
  <c r="P1600" i="3"/>
  <c r="P551" i="3"/>
  <c r="P549" i="3"/>
  <c r="P1487" i="3"/>
  <c r="P791" i="3"/>
  <c r="P789" i="3"/>
  <c r="P929" i="3"/>
  <c r="P931" i="3"/>
  <c r="P1175" i="3"/>
  <c r="P1177" i="3"/>
  <c r="P1099" i="3"/>
  <c r="P1101" i="3"/>
  <c r="P158" i="3"/>
  <c r="P1461" i="3"/>
  <c r="P1245" i="3"/>
  <c r="P1247" i="3"/>
  <c r="P667" i="3"/>
  <c r="P669" i="3"/>
  <c r="P1047" i="3"/>
  <c r="P1045" i="3"/>
  <c r="P205" i="3"/>
  <c r="P141" i="3"/>
  <c r="P326" i="3"/>
  <c r="P147" i="3"/>
  <c r="P363" i="3"/>
  <c r="P747" i="3"/>
  <c r="P749" i="3"/>
  <c r="P271" i="3"/>
  <c r="P249" i="3"/>
  <c r="P1750" i="3"/>
  <c r="P314" i="3"/>
  <c r="P317" i="3"/>
  <c r="P987" i="3"/>
  <c r="P1093" i="3"/>
  <c r="P1587" i="3"/>
  <c r="P985" i="3"/>
  <c r="P779" i="3"/>
  <c r="P302" i="3"/>
  <c r="P291" i="3"/>
  <c r="P1384" i="3"/>
  <c r="P777" i="3"/>
  <c r="P1609" i="3"/>
  <c r="P73" i="3"/>
  <c r="P15" i="3"/>
  <c r="P65" i="3"/>
  <c r="P102" i="3"/>
  <c r="P19" i="3"/>
  <c r="P91" i="3"/>
  <c r="P437" i="3"/>
  <c r="P439" i="3"/>
  <c r="P1015" i="3"/>
  <c r="P1013" i="3"/>
  <c r="P793" i="3"/>
  <c r="P795" i="3"/>
  <c r="P755" i="3"/>
  <c r="P757" i="3"/>
  <c r="P1150" i="3"/>
  <c r="P651" i="3"/>
  <c r="P653" i="3"/>
  <c r="P655" i="3"/>
  <c r="P241" i="3"/>
  <c r="P1264" i="3"/>
  <c r="P1456" i="3"/>
  <c r="P1666" i="3"/>
  <c r="P1399" i="3"/>
  <c r="P1257" i="3"/>
  <c r="P1283" i="3"/>
  <c r="P1289" i="3"/>
  <c r="P1403" i="3"/>
  <c r="P1669" i="3"/>
  <c r="P1551" i="3"/>
  <c r="P975" i="3"/>
  <c r="P973" i="3"/>
  <c r="P1430" i="3"/>
  <c r="P1432" i="3"/>
  <c r="P855" i="3"/>
  <c r="P809" i="3"/>
  <c r="P813" i="3"/>
  <c r="P853" i="3"/>
  <c r="P38" i="3"/>
  <c r="P153" i="3"/>
  <c r="P369" i="3"/>
  <c r="P1572" i="3"/>
  <c r="P1789" i="3"/>
  <c r="P459" i="3"/>
  <c r="P461" i="3"/>
  <c r="P1215" i="3"/>
  <c r="P1213" i="3"/>
  <c r="P806" i="3"/>
  <c r="P833" i="3"/>
  <c r="P835" i="3"/>
  <c r="P802" i="3"/>
  <c r="P545" i="3"/>
  <c r="P547" i="3"/>
  <c r="P1523" i="3"/>
  <c r="P1497" i="3"/>
  <c r="P1307" i="3"/>
  <c r="P1069" i="3"/>
  <c r="P143" i="3"/>
  <c r="P201" i="3"/>
  <c r="P963" i="3"/>
  <c r="P961" i="3"/>
  <c r="P1651" i="3"/>
  <c r="P1227" i="3"/>
  <c r="P1225" i="3"/>
  <c r="P1209" i="3"/>
  <c r="P1211" i="3"/>
  <c r="P647" i="3"/>
  <c r="P649" i="3"/>
  <c r="P303" i="3"/>
  <c r="P292" i="3"/>
  <c r="P31" i="3"/>
  <c r="P223" i="3"/>
  <c r="P106" i="3"/>
  <c r="P997" i="3"/>
  <c r="P999" i="3"/>
  <c r="P971" i="3"/>
  <c r="P280" i="3"/>
  <c r="P1483" i="3"/>
  <c r="P1424" i="3"/>
  <c r="P969" i="3"/>
  <c r="P204" i="3"/>
  <c r="P142" i="3"/>
  <c r="P1199" i="3"/>
  <c r="P1105" i="3"/>
  <c r="P425" i="3"/>
  <c r="P1529" i="3"/>
  <c r="P723" i="3"/>
  <c r="P725" i="3"/>
  <c r="P1597" i="3"/>
  <c r="AB1791" i="3"/>
  <c r="AB1645" i="3"/>
  <c r="AB1648" i="3"/>
  <c r="AB1784" i="3"/>
  <c r="AB414" i="3"/>
  <c r="AB1792" i="3"/>
  <c r="AI1792" i="3"/>
  <c r="AB1777" i="3"/>
  <c r="AB1780" i="3"/>
  <c r="AI1780" i="3"/>
  <c r="AB1767" i="3"/>
  <c r="AB1779" i="3"/>
  <c r="AB1766" i="3"/>
  <c r="AB1776" i="3"/>
  <c r="AI1771" i="3"/>
  <c r="AB1771" i="3"/>
  <c r="AB1774" i="3"/>
  <c r="AB1773" i="3"/>
  <c r="AB1770" i="3"/>
  <c r="AH382" i="3"/>
  <c r="AB1757" i="3"/>
  <c r="AB1760" i="3"/>
  <c r="AB1758" i="3"/>
  <c r="AB1761" i="3"/>
  <c r="AB1569" i="3"/>
  <c r="AB1699" i="3"/>
  <c r="AB1466" i="3"/>
  <c r="AB1484" i="3"/>
  <c r="AB1514" i="3"/>
  <c r="AB1540" i="3"/>
  <c r="AB1564" i="3"/>
  <c r="AB1575" i="3"/>
  <c r="AB1599" i="3"/>
  <c r="AB1623" i="3"/>
  <c r="AB1616" i="3"/>
  <c r="AB1705" i="3"/>
  <c r="AB1687" i="3"/>
  <c r="AB1667" i="3"/>
  <c r="AB1709" i="3"/>
  <c r="AB1601" i="3"/>
  <c r="AB1468" i="3"/>
  <c r="AB1490" i="3"/>
  <c r="AB1522" i="3"/>
  <c r="AB1546" i="3"/>
  <c r="AB1571" i="3"/>
  <c r="AB1582" i="3"/>
  <c r="AB1598" i="3"/>
  <c r="AB1620" i="3"/>
  <c r="AB1640" i="3"/>
  <c r="AB1659" i="3"/>
  <c r="AB1657" i="3"/>
  <c r="AB1691" i="3"/>
  <c r="AB1713" i="3"/>
  <c r="AB1731" i="3"/>
  <c r="AB1472" i="3"/>
  <c r="AB1508" i="3"/>
  <c r="AB1526" i="3"/>
  <c r="AB1544" i="3"/>
  <c r="AB1567" i="3"/>
  <c r="AB1580" i="3"/>
  <c r="AB1595" i="3"/>
  <c r="AB1635" i="3"/>
  <c r="AB1613" i="3"/>
  <c r="AB1671" i="3"/>
  <c r="AB1693" i="3"/>
  <c r="AB1703" i="3"/>
  <c r="AB1733" i="3"/>
  <c r="AB1576" i="3"/>
  <c r="AB1470" i="3"/>
  <c r="AB1510" i="3"/>
  <c r="AB1516" i="3"/>
  <c r="AB1542" i="3"/>
  <c r="AB1584" i="3"/>
  <c r="AB1610" i="3"/>
  <c r="AB1614" i="3"/>
  <c r="AB1634" i="3"/>
  <c r="AB1683" i="3"/>
  <c r="AB1650" i="3"/>
  <c r="AB1643" i="3"/>
  <c r="AB1735" i="3"/>
  <c r="AB1476" i="3"/>
  <c r="AB1512" i="3"/>
  <c r="AB1520" i="3"/>
  <c r="AB1548" i="3"/>
  <c r="AB1588" i="3"/>
  <c r="AB1607" i="3"/>
  <c r="AB1638" i="3"/>
  <c r="AB1628" i="3"/>
  <c r="AB1695" i="3"/>
  <c r="AB1675" i="3"/>
  <c r="AB1719" i="3"/>
  <c r="AB1737" i="3"/>
  <c r="AB1494" i="3"/>
  <c r="AB1652" i="3"/>
  <c r="AB1478" i="3"/>
  <c r="AB1496" i="3"/>
  <c r="AB1524" i="3"/>
  <c r="AB1554" i="3"/>
  <c r="AB1586" i="3"/>
  <c r="AB1604" i="3"/>
  <c r="AB1617" i="3"/>
  <c r="AB1707" i="3"/>
  <c r="AB1665" i="3"/>
  <c r="AB1717" i="3"/>
  <c r="AB1739" i="3"/>
  <c r="AB1631" i="3"/>
  <c r="AB1458" i="3"/>
  <c r="AB1480" i="3"/>
  <c r="AB1498" i="3"/>
  <c r="AB1534" i="3"/>
  <c r="AB1550" i="3"/>
  <c r="AB1565" i="3"/>
  <c r="AB1592" i="3"/>
  <c r="AB1611" i="3"/>
  <c r="AB1632" i="3"/>
  <c r="AB1661" i="3"/>
  <c r="AB1677" i="3"/>
  <c r="AB1727" i="3"/>
  <c r="AB1741" i="3"/>
  <c r="AB1518" i="3"/>
  <c r="AB1729" i="3"/>
  <c r="AB1474" i="3"/>
  <c r="AB1500" i="3"/>
  <c r="AB1528" i="3"/>
  <c r="AB1552" i="3"/>
  <c r="AB1590" i="3"/>
  <c r="AB1605" i="3"/>
  <c r="AB1641" i="3"/>
  <c r="AB1653" i="3"/>
  <c r="AB1673" i="3"/>
  <c r="AB1689" i="3"/>
  <c r="AB1723" i="3"/>
  <c r="AB1743" i="3"/>
  <c r="AB1464" i="3"/>
  <c r="AB1679" i="3"/>
  <c r="AB1488" i="3"/>
  <c r="AB1502" i="3"/>
  <c r="AB1532" i="3"/>
  <c r="AB1556" i="3"/>
  <c r="AB1596" i="3"/>
  <c r="AB1608" i="3"/>
  <c r="AB1619" i="3"/>
  <c r="AB1644" i="3"/>
  <c r="AB1685" i="3"/>
  <c r="AB1701" i="3"/>
  <c r="AB1721" i="3"/>
  <c r="AB1538" i="3"/>
  <c r="AB1715" i="3"/>
  <c r="AB1462" i="3"/>
  <c r="AB1482" i="3"/>
  <c r="AB1504" i="3"/>
  <c r="AB1530" i="3"/>
  <c r="AB1558" i="3"/>
  <c r="AB1574" i="3"/>
  <c r="AB1593" i="3"/>
  <c r="AB1637" i="3"/>
  <c r="AB1697" i="3"/>
  <c r="AB1681" i="3"/>
  <c r="AB1725" i="3"/>
  <c r="AB1626" i="3"/>
  <c r="AB1460" i="3"/>
  <c r="AB1486" i="3"/>
  <c r="AB1506" i="3"/>
  <c r="AB1536" i="3"/>
  <c r="AB1560" i="3"/>
  <c r="AB1578" i="3"/>
  <c r="AB1602" i="3"/>
  <c r="AB1629" i="3"/>
  <c r="AB1625" i="3"/>
  <c r="AB1663" i="3"/>
  <c r="AB1655" i="3"/>
  <c r="AB1711" i="3"/>
  <c r="AH393" i="3"/>
  <c r="AB393" i="3"/>
  <c r="AB1753" i="3"/>
  <c r="AB1751" i="3"/>
  <c r="AB1755" i="3"/>
  <c r="AB1746" i="3"/>
  <c r="AB1745" i="3"/>
  <c r="AB1749" i="3"/>
  <c r="AB1748" i="3"/>
  <c r="I714" i="4"/>
  <c r="AB357" i="3"/>
  <c r="AH357" i="3"/>
  <c r="AB1452" i="3"/>
  <c r="AB1341" i="3"/>
  <c r="AB1344" i="3"/>
  <c r="AB1389" i="3"/>
  <c r="AB1398" i="3"/>
  <c r="AB1383" i="3"/>
  <c r="AB1392" i="3"/>
  <c r="AB1380" i="3"/>
  <c r="AB1365" i="3"/>
  <c r="AB1427" i="3"/>
  <c r="AB1413" i="3"/>
  <c r="AB1386" i="3"/>
  <c r="AB1347" i="3"/>
  <c r="AB1451" i="3"/>
  <c r="AB1454" i="3"/>
  <c r="AB1449" i="3"/>
  <c r="AB1439" i="3"/>
  <c r="AB1447" i="3"/>
  <c r="AB1435" i="3"/>
  <c r="AB1445" i="3"/>
  <c r="AB1437" i="3"/>
  <c r="AB1438" i="3"/>
  <c r="AB1443" i="3"/>
  <c r="AB1440" i="3"/>
  <c r="AB1441" i="3"/>
  <c r="AB1436" i="3"/>
  <c r="AB1434" i="3"/>
  <c r="AB1431" i="3"/>
  <c r="AB1433" i="3"/>
  <c r="AB1429" i="3"/>
  <c r="AB1426" i="3"/>
  <c r="J728" i="4" l="1"/>
  <c r="AI414" i="3"/>
  <c r="AI1761" i="3"/>
  <c r="AI1767" i="3"/>
  <c r="AI1746" i="3"/>
  <c r="AI1791" i="3"/>
  <c r="AI1796" i="3"/>
  <c r="AI1758" i="3"/>
  <c r="J678" i="4"/>
  <c r="AI1784" i="3"/>
  <c r="J665" i="4"/>
  <c r="AI1777" i="3"/>
  <c r="AI1787" i="3"/>
  <c r="AI1774" i="3"/>
  <c r="J726" i="4"/>
  <c r="Q1432" i="3"/>
  <c r="Q1430" i="3"/>
  <c r="Q1444" i="3"/>
  <c r="Q1442" i="3"/>
  <c r="Q1577" i="3"/>
  <c r="Q1448" i="3"/>
  <c r="Q1446" i="3"/>
  <c r="Q1646" i="3"/>
  <c r="AB1577" i="3"/>
  <c r="J725" i="4"/>
  <c r="AB1646" i="3"/>
  <c r="J720" i="4"/>
  <c r="AI1766" i="3"/>
  <c r="J727" i="4"/>
  <c r="J722" i="4"/>
  <c r="AI1776" i="3"/>
  <c r="AI1779" i="3"/>
  <c r="J724" i="4"/>
  <c r="AI1770" i="3"/>
  <c r="J721" i="4"/>
  <c r="AI1773" i="3"/>
  <c r="J723" i="4"/>
  <c r="J713" i="4"/>
  <c r="P713" i="4" s="1"/>
  <c r="AI1760" i="3"/>
  <c r="J719" i="4"/>
  <c r="AI1757" i="3"/>
  <c r="J718" i="4"/>
  <c r="AI1745" i="3"/>
  <c r="AI1474" i="3"/>
  <c r="I638" i="4"/>
  <c r="AI1490" i="3"/>
  <c r="I689" i="4"/>
  <c r="I668" i="4"/>
  <c r="I700" i="4"/>
  <c r="I679" i="4"/>
  <c r="I587" i="4"/>
  <c r="I699" i="4"/>
  <c r="I671" i="4"/>
  <c r="I692" i="4"/>
  <c r="I646" i="4"/>
  <c r="I626" i="4"/>
  <c r="I611" i="4"/>
  <c r="I691" i="4"/>
  <c r="AB1539" i="3"/>
  <c r="I637" i="4"/>
  <c r="I641" i="4"/>
  <c r="I683" i="4"/>
  <c r="I696" i="4"/>
  <c r="I644" i="4"/>
  <c r="I642" i="4"/>
  <c r="I673" i="4"/>
  <c r="I602" i="4"/>
  <c r="I628" i="4"/>
  <c r="I697" i="4"/>
  <c r="I585" i="4"/>
  <c r="I643" i="4"/>
  <c r="I698" i="4"/>
  <c r="I596" i="4"/>
  <c r="AI1749" i="3"/>
  <c r="I589" i="4"/>
  <c r="I670" i="4"/>
  <c r="I588" i="4"/>
  <c r="I647" i="4"/>
  <c r="I676" i="4"/>
  <c r="I672" i="4"/>
  <c r="I636" i="4"/>
  <c r="AI1567" i="3"/>
  <c r="AI1755" i="3"/>
  <c r="J717" i="4"/>
  <c r="AI1751" i="3"/>
  <c r="J715" i="4"/>
  <c r="AI1753" i="3"/>
  <c r="J716" i="4"/>
  <c r="AI1748" i="3"/>
  <c r="J714" i="4"/>
  <c r="P714" i="4" s="1"/>
  <c r="I633" i="4"/>
  <c r="I711" i="4"/>
  <c r="I707" i="4"/>
  <c r="I708" i="4"/>
  <c r="I705" i="4"/>
  <c r="I712" i="4"/>
  <c r="I706" i="4"/>
  <c r="I592" i="4"/>
  <c r="AI1595" i="3"/>
  <c r="I648" i="4"/>
  <c r="I593" i="4"/>
  <c r="I655" i="4"/>
  <c r="AI1590" i="3"/>
  <c r="AI1542" i="3"/>
  <c r="AI1586" i="3"/>
  <c r="AI1709" i="3"/>
  <c r="AI1643" i="3"/>
  <c r="J664" i="4"/>
  <c r="AI1464" i="3"/>
  <c r="AI1599" i="3"/>
  <c r="AI1341" i="3"/>
  <c r="J647" i="4"/>
  <c r="AI1632" i="3"/>
  <c r="J679" i="4"/>
  <c r="J687" i="4"/>
  <c r="J693" i="4"/>
  <c r="AI1731" i="3"/>
  <c r="J703" i="4"/>
  <c r="AI1413" i="3"/>
  <c r="AI1398" i="3"/>
  <c r="J641" i="4"/>
  <c r="AI1602" i="3"/>
  <c r="J634" i="4"/>
  <c r="AI1452" i="3"/>
  <c r="AI1576" i="3"/>
  <c r="AI1614" i="3"/>
  <c r="AI1620" i="3"/>
  <c r="J671" i="4"/>
  <c r="J677" i="4"/>
  <c r="J675" i="4"/>
  <c r="J690" i="4"/>
  <c r="J701" i="4"/>
  <c r="AI1741" i="3"/>
  <c r="J646" i="4"/>
  <c r="AI1427" i="3"/>
  <c r="J638" i="4"/>
  <c r="J642" i="4"/>
  <c r="AI1386" i="3"/>
  <c r="AI1743" i="3"/>
  <c r="J577" i="4"/>
  <c r="J574" i="4"/>
  <c r="AI1596" i="3"/>
  <c r="AI1608" i="3"/>
  <c r="AI1617" i="3"/>
  <c r="J681" i="4"/>
  <c r="J685" i="4"/>
  <c r="J688" i="4"/>
  <c r="J686" i="4"/>
  <c r="J702" i="4"/>
  <c r="AI1739" i="3"/>
  <c r="J636" i="4"/>
  <c r="J572" i="4"/>
  <c r="AI1365" i="3"/>
  <c r="AI1389" i="3"/>
  <c r="J643" i="4"/>
  <c r="J696" i="4"/>
  <c r="J704" i="4"/>
  <c r="J680" i="4"/>
  <c r="AI1605" i="3"/>
  <c r="AI1635" i="3"/>
  <c r="AI1629" i="3"/>
  <c r="J689" i="4"/>
  <c r="J676" i="4"/>
  <c r="J673" i="4"/>
  <c r="J666" i="4"/>
  <c r="J669" i="4"/>
  <c r="J668" i="4"/>
  <c r="AI1737" i="3"/>
  <c r="AI1593" i="3"/>
  <c r="J644" i="4"/>
  <c r="J580" i="4"/>
  <c r="J576" i="4"/>
  <c r="J581" i="4"/>
  <c r="AI1380" i="3"/>
  <c r="AI1344" i="3"/>
  <c r="J573" i="4"/>
  <c r="AI1383" i="3"/>
  <c r="J683" i="4"/>
  <c r="J578" i="4"/>
  <c r="AI1575" i="3"/>
  <c r="J645" i="4"/>
  <c r="AI1611" i="3"/>
  <c r="AI1638" i="3"/>
  <c r="AI1626" i="3"/>
  <c r="J694" i="4"/>
  <c r="J682" i="4"/>
  <c r="J670" i="4"/>
  <c r="J674" i="4"/>
  <c r="J697" i="4"/>
  <c r="J699" i="4"/>
  <c r="AI1735" i="3"/>
  <c r="J695" i="4"/>
  <c r="J579" i="4"/>
  <c r="J571" i="4"/>
  <c r="J575" i="4"/>
  <c r="AI1347" i="3"/>
  <c r="J637" i="4"/>
  <c r="J698" i="4"/>
  <c r="AI1392" i="3"/>
  <c r="J635" i="4"/>
  <c r="AI1641" i="3"/>
  <c r="J691" i="4"/>
  <c r="AI1653" i="3"/>
  <c r="J692" i="4"/>
  <c r="J672" i="4"/>
  <c r="J684" i="4"/>
  <c r="J700" i="4"/>
  <c r="AI1733" i="3"/>
  <c r="AI1644" i="3"/>
  <c r="AI1565" i="3"/>
  <c r="J667" i="4"/>
  <c r="J711" i="4"/>
  <c r="AI1729" i="3"/>
  <c r="J705" i="4"/>
  <c r="J708" i="4"/>
  <c r="J712" i="4"/>
  <c r="J707" i="4"/>
  <c r="J706" i="4"/>
  <c r="AI1721" i="3"/>
  <c r="AI1725" i="3"/>
  <c r="AI1723" i="3"/>
  <c r="AI1727" i="3"/>
  <c r="AI1717" i="3"/>
  <c r="AI1719" i="3"/>
  <c r="AI1713" i="3"/>
  <c r="AI1715" i="3"/>
  <c r="J586" i="4"/>
  <c r="AI1711" i="3"/>
  <c r="J629" i="4"/>
  <c r="J598" i="4"/>
  <c r="J604" i="4"/>
  <c r="J594" i="4"/>
  <c r="J590" i="4"/>
  <c r="J597" i="4"/>
  <c r="AI1701" i="3"/>
  <c r="AI1673" i="3"/>
  <c r="AI1677" i="3"/>
  <c r="AI1699" i="3"/>
  <c r="AI1685" i="3"/>
  <c r="AI1661" i="3"/>
  <c r="AI1691" i="3"/>
  <c r="AI1652" i="3"/>
  <c r="AI1681" i="3"/>
  <c r="AI1675" i="3"/>
  <c r="AI1657" i="3"/>
  <c r="AI1655" i="3"/>
  <c r="AI1697" i="3"/>
  <c r="AI1665" i="3"/>
  <c r="AI1695" i="3"/>
  <c r="AI1703" i="3"/>
  <c r="AI1659" i="3"/>
  <c r="AI1667" i="3"/>
  <c r="AI1707" i="3"/>
  <c r="AI1650" i="3"/>
  <c r="AI1693" i="3"/>
  <c r="AI1663" i="3"/>
  <c r="AI1687" i="3"/>
  <c r="AI1679" i="3"/>
  <c r="AI1689" i="3"/>
  <c r="AI1683" i="3"/>
  <c r="AI1671" i="3"/>
  <c r="AI1705" i="3"/>
  <c r="AI1625" i="3"/>
  <c r="J658" i="4"/>
  <c r="AI1613" i="3"/>
  <c r="J654" i="4"/>
  <c r="AI1623" i="3"/>
  <c r="J657" i="4"/>
  <c r="AI1628" i="3"/>
  <c r="J659" i="4"/>
  <c r="AI1631" i="3"/>
  <c r="J660" i="4"/>
  <c r="AI1637" i="3"/>
  <c r="J662" i="4"/>
  <c r="AI1619" i="3"/>
  <c r="J656" i="4"/>
  <c r="AI1640" i="3"/>
  <c r="J663" i="4"/>
  <c r="AI1634" i="3"/>
  <c r="J661" i="4"/>
  <c r="AI1616" i="3"/>
  <c r="J655" i="4"/>
  <c r="J631" i="4"/>
  <c r="J624" i="4"/>
  <c r="J584" i="4"/>
  <c r="J591" i="4"/>
  <c r="J619" i="4"/>
  <c r="AI1607" i="3"/>
  <c r="J652" i="4"/>
  <c r="J628" i="4"/>
  <c r="J589" i="4"/>
  <c r="J617" i="4"/>
  <c r="J620" i="4"/>
  <c r="J648" i="4"/>
  <c r="J614" i="4"/>
  <c r="J585" i="4"/>
  <c r="AI1604" i="3"/>
  <c r="J651" i="4"/>
  <c r="J583" i="4"/>
  <c r="J605" i="4"/>
  <c r="AI1610" i="3"/>
  <c r="J653" i="4"/>
  <c r="AI1601" i="3"/>
  <c r="J650" i="4"/>
  <c r="J649" i="4"/>
  <c r="AI1598" i="3"/>
  <c r="J607" i="4"/>
  <c r="J606" i="4"/>
  <c r="J613" i="4"/>
  <c r="J593" i="4"/>
  <c r="J623" i="4"/>
  <c r="J570" i="4"/>
  <c r="J610" i="4"/>
  <c r="J616" i="4"/>
  <c r="J602" i="4"/>
  <c r="J612" i="4"/>
  <c r="J626" i="4"/>
  <c r="J633" i="4"/>
  <c r="J595" i="4"/>
  <c r="J609" i="4"/>
  <c r="J615" i="4"/>
  <c r="J596" i="4"/>
  <c r="J632" i="4"/>
  <c r="J621" i="4"/>
  <c r="J630" i="4"/>
  <c r="J588" i="4"/>
  <c r="J611" i="4"/>
  <c r="J603" i="4"/>
  <c r="J618" i="4"/>
  <c r="J639" i="4"/>
  <c r="J608" i="4"/>
  <c r="J599" i="4"/>
  <c r="J640" i="4"/>
  <c r="J601" i="4"/>
  <c r="J622" i="4"/>
  <c r="J625" i="4"/>
  <c r="J600" i="4"/>
  <c r="J587" i="4"/>
  <c r="J582" i="4"/>
  <c r="J627" i="4"/>
  <c r="J592" i="4"/>
  <c r="AI1592" i="3"/>
  <c r="AI1588" i="3"/>
  <c r="AI1584" i="3"/>
  <c r="AI1580" i="3"/>
  <c r="AI1582" i="3"/>
  <c r="AI1574" i="3"/>
  <c r="AI1578" i="3"/>
  <c r="AI1569" i="3"/>
  <c r="AI1571" i="3"/>
  <c r="AI1564" i="3"/>
  <c r="AI1560" i="3"/>
  <c r="AI1558" i="3"/>
  <c r="AI1462" i="3"/>
  <c r="AI1482" i="3"/>
  <c r="AI1522" i="3"/>
  <c r="AI1546" i="3"/>
  <c r="AI1508" i="3"/>
  <c r="AI1518" i="3"/>
  <c r="AI1534" i="3"/>
  <c r="AI1478" i="3"/>
  <c r="AI1500" i="3"/>
  <c r="AI1466" i="3"/>
  <c r="AI1488" i="3"/>
  <c r="AI1556" i="3"/>
  <c r="AI1476" i="3"/>
  <c r="AI1498" i="3"/>
  <c r="AI1514" i="3"/>
  <c r="AI1494" i="3"/>
  <c r="AI1552" i="3"/>
  <c r="AI1454" i="3"/>
  <c r="AI1470" i="3"/>
  <c r="AI1540" i="3"/>
  <c r="AI1484" i="3"/>
  <c r="AI1550" i="3"/>
  <c r="AI1510" i="3"/>
  <c r="AI1524" i="3"/>
  <c r="AI1538" i="3"/>
  <c r="AI1520" i="3"/>
  <c r="AI1536" i="3"/>
  <c r="AI1458" i="3"/>
  <c r="AI1472" i="3"/>
  <c r="AI1506" i="3"/>
  <c r="AI1496" i="3"/>
  <c r="AI1516" i="3"/>
  <c r="AI1530" i="3"/>
  <c r="AI1486" i="3"/>
  <c r="AI1554" i="3"/>
  <c r="AI1480" i="3"/>
  <c r="AI1502" i="3"/>
  <c r="AI1528" i="3"/>
  <c r="AI1468" i="3"/>
  <c r="AI1504" i="3"/>
  <c r="AI1512" i="3"/>
  <c r="AI1526" i="3"/>
  <c r="AI1532" i="3"/>
  <c r="AI1544" i="3"/>
  <c r="AI1460" i="3"/>
  <c r="AI1548" i="3"/>
  <c r="AB1442" i="3"/>
  <c r="I575" i="4"/>
  <c r="AB1444" i="3"/>
  <c r="AB1432" i="3"/>
  <c r="AB1430" i="3"/>
  <c r="I577" i="4"/>
  <c r="AB1448" i="3"/>
  <c r="AB1446" i="3"/>
  <c r="I574" i="4"/>
  <c r="I576" i="4"/>
  <c r="O1422" i="3"/>
  <c r="O1423" i="3"/>
  <c r="R1423" i="3"/>
  <c r="F1422" i="3"/>
  <c r="F1423" i="3"/>
  <c r="O1420" i="3"/>
  <c r="O1421" i="3"/>
  <c r="R1421" i="3"/>
  <c r="F1420" i="3"/>
  <c r="F1421" i="3"/>
  <c r="E569" i="4"/>
  <c r="E568" i="4"/>
  <c r="E566" i="4"/>
  <c r="E567" i="4"/>
  <c r="O1419" i="3"/>
  <c r="R1419" i="3"/>
  <c r="F1419" i="3"/>
  <c r="O1418" i="3"/>
  <c r="F1418" i="3"/>
  <c r="O1417" i="3"/>
  <c r="R1417" i="3"/>
  <c r="F1417" i="3"/>
  <c r="O1416" i="3"/>
  <c r="F1416" i="3"/>
  <c r="C344" i="5"/>
  <c r="C3" i="5"/>
  <c r="C4" i="5"/>
  <c r="C5" i="5"/>
  <c r="C6" i="5"/>
  <c r="C7" i="5"/>
  <c r="C8" i="5"/>
  <c r="C9" i="5"/>
  <c r="C10" i="5"/>
  <c r="C11" i="5"/>
  <c r="C12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4" i="5"/>
  <c r="C325" i="5"/>
  <c r="C328" i="5"/>
  <c r="C329" i="5"/>
  <c r="C330" i="5"/>
  <c r="C331" i="5"/>
  <c r="C332" i="5"/>
  <c r="C333" i="5"/>
  <c r="C335" i="5"/>
  <c r="C336" i="5"/>
  <c r="C337" i="5"/>
  <c r="C338" i="5"/>
  <c r="C339" i="5"/>
  <c r="C340" i="5"/>
  <c r="C341" i="5"/>
  <c r="C342" i="5"/>
  <c r="C343" i="5"/>
  <c r="C2" i="5"/>
  <c r="L328" i="8"/>
  <c r="L327" i="8"/>
  <c r="L295" i="8"/>
  <c r="M328" i="8"/>
  <c r="M327" i="8"/>
  <c r="R1418" i="3" l="1"/>
  <c r="T1418" i="3" s="1"/>
  <c r="R1420" i="3"/>
  <c r="AC1420" i="3" s="1"/>
  <c r="AA713" i="4"/>
  <c r="I640" i="4"/>
  <c r="AI1577" i="3"/>
  <c r="AR1416" i="3"/>
  <c r="AR1419" i="3"/>
  <c r="AR1423" i="3"/>
  <c r="AR1422" i="3"/>
  <c r="AR1417" i="3"/>
  <c r="AR1421" i="3"/>
  <c r="AR1420" i="3"/>
  <c r="AR1418" i="3"/>
  <c r="Q714" i="4"/>
  <c r="R713" i="4"/>
  <c r="Q713" i="4"/>
  <c r="P1219" i="3"/>
  <c r="P1217" i="3"/>
  <c r="K724" i="4"/>
  <c r="P724" i="4"/>
  <c r="K722" i="4"/>
  <c r="P722" i="4"/>
  <c r="K721" i="4"/>
  <c r="P721" i="4"/>
  <c r="K713" i="4"/>
  <c r="K718" i="4"/>
  <c r="P718" i="4"/>
  <c r="P705" i="4"/>
  <c r="R705" i="4" s="1"/>
  <c r="K705" i="4"/>
  <c r="P683" i="4"/>
  <c r="K683" i="4"/>
  <c r="P679" i="4"/>
  <c r="K679" i="4"/>
  <c r="P596" i="4"/>
  <c r="K596" i="4"/>
  <c r="P641" i="4"/>
  <c r="K641" i="4"/>
  <c r="P700" i="4"/>
  <c r="K700" i="4"/>
  <c r="K574" i="4"/>
  <c r="K575" i="4"/>
  <c r="P707" i="4"/>
  <c r="R707" i="4" s="1"/>
  <c r="K707" i="4"/>
  <c r="K698" i="4"/>
  <c r="P637" i="4"/>
  <c r="K637" i="4"/>
  <c r="P668" i="4"/>
  <c r="K668" i="4"/>
  <c r="K576" i="4"/>
  <c r="K711" i="4"/>
  <c r="P711" i="4"/>
  <c r="R711" i="4" s="1"/>
  <c r="P643" i="4"/>
  <c r="K643" i="4"/>
  <c r="P689" i="4"/>
  <c r="K689" i="4"/>
  <c r="P636" i="4"/>
  <c r="K636" i="4"/>
  <c r="P585" i="4"/>
  <c r="K585" i="4"/>
  <c r="P691" i="4"/>
  <c r="K691" i="4"/>
  <c r="P708" i="4"/>
  <c r="R708" i="4" s="1"/>
  <c r="K708" i="4"/>
  <c r="P655" i="4"/>
  <c r="R655" i="4" s="1"/>
  <c r="K655" i="4"/>
  <c r="P633" i="4"/>
  <c r="K633" i="4"/>
  <c r="P672" i="4"/>
  <c r="K672" i="4"/>
  <c r="K697" i="4"/>
  <c r="P611" i="4"/>
  <c r="K611" i="4"/>
  <c r="P638" i="4"/>
  <c r="K638" i="4"/>
  <c r="P593" i="4"/>
  <c r="K593" i="4"/>
  <c r="P676" i="4"/>
  <c r="K676" i="4"/>
  <c r="P628" i="4"/>
  <c r="K628" i="4"/>
  <c r="P626" i="4"/>
  <c r="K626" i="4"/>
  <c r="K577" i="4"/>
  <c r="P648" i="4"/>
  <c r="K648" i="4"/>
  <c r="P647" i="4"/>
  <c r="R647" i="4" s="1"/>
  <c r="K647" i="4"/>
  <c r="P602" i="4"/>
  <c r="K602" i="4"/>
  <c r="P646" i="4"/>
  <c r="R646" i="4" s="1"/>
  <c r="K646" i="4"/>
  <c r="P588" i="4"/>
  <c r="K588" i="4"/>
  <c r="P673" i="4"/>
  <c r="K673" i="4"/>
  <c r="P692" i="4"/>
  <c r="K692" i="4"/>
  <c r="P592" i="4"/>
  <c r="K592" i="4"/>
  <c r="P670" i="4"/>
  <c r="K670" i="4"/>
  <c r="P642" i="4"/>
  <c r="K642" i="4"/>
  <c r="P671" i="4"/>
  <c r="K671" i="4"/>
  <c r="P706" i="4"/>
  <c r="R706" i="4" s="1"/>
  <c r="K706" i="4"/>
  <c r="P589" i="4"/>
  <c r="K589" i="4"/>
  <c r="P644" i="4"/>
  <c r="K644" i="4"/>
  <c r="K699" i="4"/>
  <c r="P699" i="4"/>
  <c r="K714" i="4"/>
  <c r="P712" i="4"/>
  <c r="R712" i="4" s="1"/>
  <c r="K712" i="4"/>
  <c r="P696" i="4"/>
  <c r="K696" i="4"/>
  <c r="P587" i="4"/>
  <c r="K587" i="4"/>
  <c r="R714" i="4"/>
  <c r="AI1539" i="3"/>
  <c r="Y574" i="4"/>
  <c r="Y577" i="4"/>
  <c r="Y576" i="4"/>
  <c r="Y575" i="4"/>
  <c r="AC1419" i="3"/>
  <c r="X1419" i="3"/>
  <c r="AQ1419" i="3"/>
  <c r="AC1417" i="3"/>
  <c r="X1417" i="3"/>
  <c r="AQ1417" i="3"/>
  <c r="AQ1423" i="3"/>
  <c r="AC1423" i="3"/>
  <c r="X1423" i="3"/>
  <c r="AC1421" i="3"/>
  <c r="X1421" i="3"/>
  <c r="AQ1421" i="3"/>
  <c r="I624" i="4"/>
  <c r="I581" i="4"/>
  <c r="I572" i="4"/>
  <c r="I573" i="4"/>
  <c r="I580" i="4"/>
  <c r="I579" i="4"/>
  <c r="I578" i="4"/>
  <c r="R1422" i="3"/>
  <c r="G1417" i="3"/>
  <c r="G1421" i="3"/>
  <c r="G1416" i="3"/>
  <c r="I1423" i="3"/>
  <c r="G1418" i="3"/>
  <c r="I1422" i="3"/>
  <c r="G1423" i="3"/>
  <c r="I1420" i="3"/>
  <c r="G1420" i="3"/>
  <c r="I1419" i="3"/>
  <c r="G1419" i="3"/>
  <c r="G1422" i="3"/>
  <c r="I1421" i="3"/>
  <c r="I1417" i="3"/>
  <c r="I1418" i="3"/>
  <c r="I1416" i="3"/>
  <c r="T1421" i="3"/>
  <c r="T1423" i="3"/>
  <c r="W1423" i="3"/>
  <c r="W1422" i="3"/>
  <c r="W1421" i="3"/>
  <c r="W1420" i="3"/>
  <c r="T1419" i="3"/>
  <c r="T1417" i="3"/>
  <c r="R1416" i="3"/>
  <c r="W1419" i="3"/>
  <c r="W1418" i="3"/>
  <c r="W1417" i="3"/>
  <c r="W1416" i="3"/>
  <c r="AQ1420" i="3" l="1"/>
  <c r="T1420" i="3"/>
  <c r="X1420" i="3"/>
  <c r="AQ1418" i="3"/>
  <c r="X1418" i="3"/>
  <c r="AC1418" i="3"/>
  <c r="P640" i="4"/>
  <c r="AA689" i="4"/>
  <c r="K640" i="4"/>
  <c r="R722" i="4"/>
  <c r="Q722" i="4"/>
  <c r="R602" i="4"/>
  <c r="Q602" i="4"/>
  <c r="R587" i="4"/>
  <c r="Q587" i="4"/>
  <c r="R592" i="4"/>
  <c r="Q592" i="4"/>
  <c r="R593" i="4"/>
  <c r="Q593" i="4"/>
  <c r="R683" i="4"/>
  <c r="Q683" i="4"/>
  <c r="R724" i="4"/>
  <c r="Q724" i="4"/>
  <c r="R643" i="4"/>
  <c r="Q643" i="4"/>
  <c r="R696" i="4"/>
  <c r="Q696" i="4"/>
  <c r="R692" i="4"/>
  <c r="Q692" i="4"/>
  <c r="R638" i="4"/>
  <c r="Q638" i="4"/>
  <c r="R644" i="4"/>
  <c r="Q644" i="4"/>
  <c r="R589" i="4"/>
  <c r="Q589" i="4"/>
  <c r="R648" i="4"/>
  <c r="Q648" i="4"/>
  <c r="R700" i="4"/>
  <c r="Q700" i="4"/>
  <c r="R673" i="4"/>
  <c r="Q673" i="4"/>
  <c r="R611" i="4"/>
  <c r="Q611" i="4"/>
  <c r="R691" i="4"/>
  <c r="Q691" i="4"/>
  <c r="R671" i="4"/>
  <c r="Q671" i="4"/>
  <c r="R641" i="4"/>
  <c r="Q641" i="4"/>
  <c r="R626" i="4"/>
  <c r="Q626" i="4"/>
  <c r="R585" i="4"/>
  <c r="Q585" i="4"/>
  <c r="R668" i="4"/>
  <c r="Q668" i="4"/>
  <c r="R718" i="4"/>
  <c r="Q718" i="4"/>
  <c r="R642" i="4"/>
  <c r="Q642" i="4"/>
  <c r="R588" i="4"/>
  <c r="Q588" i="4"/>
  <c r="R672" i="4"/>
  <c r="Q672" i="4"/>
  <c r="R596" i="4"/>
  <c r="Q596" i="4"/>
  <c r="R699" i="4"/>
  <c r="Q699" i="4"/>
  <c r="R628" i="4"/>
  <c r="Q628" i="4"/>
  <c r="R636" i="4"/>
  <c r="Q636" i="4"/>
  <c r="R637" i="4"/>
  <c r="Q637" i="4"/>
  <c r="R670" i="4"/>
  <c r="Q670" i="4"/>
  <c r="R679" i="4"/>
  <c r="Q679" i="4"/>
  <c r="R721" i="4"/>
  <c r="Q721" i="4"/>
  <c r="R676" i="4"/>
  <c r="Q676" i="4"/>
  <c r="R633" i="4"/>
  <c r="Q633" i="4"/>
  <c r="R689" i="4"/>
  <c r="Q689" i="4"/>
  <c r="K573" i="4"/>
  <c r="K581" i="4"/>
  <c r="P624" i="4"/>
  <c r="AA624" i="4" s="1"/>
  <c r="K624" i="4"/>
  <c r="K578" i="4"/>
  <c r="K579" i="4"/>
  <c r="K580" i="4"/>
  <c r="K572" i="4"/>
  <c r="M1416" i="3" a="1"/>
  <c r="M1416" i="3" s="1"/>
  <c r="M1421" i="3" a="1"/>
  <c r="M1421" i="3" s="1"/>
  <c r="M1422" i="3" a="1"/>
  <c r="M1422" i="3" s="1"/>
  <c r="M1423" i="3" a="1"/>
  <c r="M1423" i="3" s="1"/>
  <c r="M1417" i="3" a="1"/>
  <c r="M1417" i="3" s="1"/>
  <c r="M1418" i="3" a="1"/>
  <c r="M1418" i="3" s="1"/>
  <c r="M1419" i="3" a="1"/>
  <c r="M1419" i="3" s="1"/>
  <c r="M1420" i="3" a="1"/>
  <c r="M1420" i="3" s="1"/>
  <c r="N1421" i="3"/>
  <c r="N1423" i="3"/>
  <c r="Y578" i="4"/>
  <c r="Y579" i="4"/>
  <c r="Y580" i="4"/>
  <c r="Y573" i="4"/>
  <c r="Y572" i="4"/>
  <c r="Y581" i="4"/>
  <c r="AQ1416" i="3"/>
  <c r="AC1416" i="3"/>
  <c r="X1416" i="3"/>
  <c r="T1422" i="3"/>
  <c r="AQ1422" i="3"/>
  <c r="X1422" i="3"/>
  <c r="AC1422" i="3"/>
  <c r="K1422" i="3"/>
  <c r="K1416" i="3"/>
  <c r="K1423" i="3"/>
  <c r="K1420" i="3"/>
  <c r="K1419" i="3"/>
  <c r="N1419" i="3"/>
  <c r="K1417" i="3"/>
  <c r="K1421" i="3"/>
  <c r="N1417" i="3"/>
  <c r="K1418" i="3"/>
  <c r="T1416" i="3"/>
  <c r="R640" i="4" l="1"/>
  <c r="Q640" i="4"/>
  <c r="Q1417" i="3"/>
  <c r="Q1419" i="3"/>
  <c r="Q1423" i="3"/>
  <c r="Q1421" i="3"/>
  <c r="R624" i="4"/>
  <c r="Q624" i="4"/>
  <c r="AA1419" i="3"/>
  <c r="AG1417" i="3"/>
  <c r="AA1417" i="3"/>
  <c r="N1418" i="3"/>
  <c r="L1420" i="3"/>
  <c r="L1416" i="3"/>
  <c r="L1423" i="3"/>
  <c r="L1422" i="3"/>
  <c r="N1422" i="3"/>
  <c r="L1419" i="3"/>
  <c r="N1416" i="3"/>
  <c r="AG1419" i="3"/>
  <c r="L1418" i="3"/>
  <c r="L1421" i="3"/>
  <c r="N1420" i="3"/>
  <c r="L1417" i="3"/>
  <c r="AA1421" i="3"/>
  <c r="AG1421" i="3"/>
  <c r="AA1423" i="3"/>
  <c r="AG1423" i="3"/>
  <c r="Q1420" i="3" l="1"/>
  <c r="Q1416" i="3"/>
  <c r="Q1422" i="3"/>
  <c r="Q1418" i="3"/>
  <c r="AH1417" i="3"/>
  <c r="AH1419" i="3"/>
  <c r="AG1422" i="3"/>
  <c r="AA1418" i="3"/>
  <c r="AA1422" i="3"/>
  <c r="AG1418" i="3"/>
  <c r="AH1423" i="3"/>
  <c r="AG1416" i="3"/>
  <c r="AG1420" i="3"/>
  <c r="AA1416" i="3"/>
  <c r="AA1420" i="3"/>
  <c r="AH1421" i="3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40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4" i="4"/>
  <c r="R1415" i="3"/>
  <c r="R1412" i="3"/>
  <c r="R1410" i="3"/>
  <c r="R1408" i="3"/>
  <c r="R1406" i="3"/>
  <c r="R1402" i="3"/>
  <c r="R1397" i="3"/>
  <c r="R1395" i="3"/>
  <c r="R1394" i="3"/>
  <c r="R1391" i="3"/>
  <c r="R1388" i="3"/>
  <c r="R1385" i="3"/>
  <c r="R1382" i="3"/>
  <c r="R1379" i="3"/>
  <c r="R1377" i="3"/>
  <c r="R1375" i="3"/>
  <c r="R1373" i="3"/>
  <c r="R1371" i="3"/>
  <c r="R1369" i="3"/>
  <c r="R1367" i="3"/>
  <c r="R1364" i="3"/>
  <c r="R1360" i="3"/>
  <c r="R1359" i="3"/>
  <c r="R1356" i="3"/>
  <c r="R1354" i="3"/>
  <c r="R1352" i="3"/>
  <c r="R1349" i="3"/>
  <c r="R1346" i="3"/>
  <c r="R1343" i="3"/>
  <c r="R1340" i="3"/>
  <c r="R1338" i="3"/>
  <c r="R1337" i="3"/>
  <c r="R1334" i="3"/>
  <c r="R1332" i="3"/>
  <c r="R1330" i="3"/>
  <c r="R1329" i="3"/>
  <c r="R1327" i="3"/>
  <c r="R1325" i="3"/>
  <c r="R1323" i="3"/>
  <c r="R1321" i="3"/>
  <c r="R1319" i="3"/>
  <c r="R1317" i="3"/>
  <c r="R1316" i="3"/>
  <c r="R1314" i="3"/>
  <c r="R1313" i="3"/>
  <c r="R1311" i="3"/>
  <c r="R1310" i="3"/>
  <c r="R1308" i="3"/>
  <c r="R1306" i="3"/>
  <c r="R1305" i="3"/>
  <c r="R1303" i="3"/>
  <c r="R1302" i="3"/>
  <c r="R1300" i="3"/>
  <c r="R1295" i="3"/>
  <c r="R1290" i="3"/>
  <c r="R1284" i="3"/>
  <c r="R1278" i="3"/>
  <c r="R1276" i="3"/>
  <c r="R1274" i="3"/>
  <c r="R1272" i="3"/>
  <c r="R1270" i="3"/>
  <c r="R1268" i="3"/>
  <c r="R1266" i="3"/>
  <c r="R1259" i="3"/>
  <c r="R1252" i="3"/>
  <c r="R1250" i="3"/>
  <c r="R1248" i="3"/>
  <c r="R1246" i="3"/>
  <c r="R1244" i="3"/>
  <c r="R1242" i="3"/>
  <c r="R1240" i="3"/>
  <c r="R1238" i="3"/>
  <c r="R1236" i="3"/>
  <c r="R1234" i="3"/>
  <c r="R1232" i="3"/>
  <c r="R1230" i="3"/>
  <c r="R1228" i="3"/>
  <c r="R1226" i="3"/>
  <c r="R1224" i="3"/>
  <c r="R1222" i="3"/>
  <c r="R1220" i="3"/>
  <c r="R1218" i="3"/>
  <c r="R1216" i="3"/>
  <c r="R1214" i="3"/>
  <c r="R1212" i="3"/>
  <c r="R1210" i="3"/>
  <c r="R1208" i="3"/>
  <c r="R1206" i="3"/>
  <c r="R1204" i="3"/>
  <c r="R1202" i="3"/>
  <c r="R1200" i="3"/>
  <c r="R1198" i="3"/>
  <c r="R1196" i="3"/>
  <c r="R1194" i="3"/>
  <c r="R1192" i="3"/>
  <c r="R1190" i="3"/>
  <c r="R1188" i="3"/>
  <c r="R1186" i="3"/>
  <c r="R1184" i="3"/>
  <c r="R1182" i="3"/>
  <c r="R1180" i="3"/>
  <c r="R1178" i="3"/>
  <c r="R1176" i="3"/>
  <c r="R1174" i="3"/>
  <c r="R1172" i="3"/>
  <c r="R1170" i="3"/>
  <c r="R1168" i="3"/>
  <c r="R1167" i="3"/>
  <c r="R1165" i="3"/>
  <c r="R1163" i="3"/>
  <c r="R1161" i="3"/>
  <c r="R1159" i="3"/>
  <c r="R1156" i="3"/>
  <c r="R1154" i="3"/>
  <c r="R1153" i="3"/>
  <c r="R1151" i="3"/>
  <c r="R1146" i="3"/>
  <c r="R1145" i="3"/>
  <c r="R1143" i="3"/>
  <c r="R1141" i="3"/>
  <c r="R1139" i="3"/>
  <c r="R1137" i="3"/>
  <c r="R1136" i="3"/>
  <c r="R1131" i="3"/>
  <c r="R1130" i="3"/>
  <c r="R1128" i="3"/>
  <c r="R1127" i="3"/>
  <c r="R1125" i="3"/>
  <c r="R1124" i="3"/>
  <c r="R1122" i="3"/>
  <c r="R1120" i="3"/>
  <c r="R1118" i="3"/>
  <c r="R1116" i="3"/>
  <c r="R1114" i="3"/>
  <c r="R1112" i="3"/>
  <c r="R1110" i="3"/>
  <c r="R1108" i="3"/>
  <c r="R1106" i="3"/>
  <c r="R1104" i="3"/>
  <c r="R1102" i="3"/>
  <c r="R1100" i="3"/>
  <c r="R1098" i="3"/>
  <c r="R1096" i="3"/>
  <c r="R1094" i="3"/>
  <c r="R1092" i="3"/>
  <c r="R1090" i="3"/>
  <c r="R1088" i="3"/>
  <c r="R1086" i="3"/>
  <c r="R1084" i="3"/>
  <c r="R1082" i="3"/>
  <c r="R1080" i="3"/>
  <c r="R1078" i="3"/>
  <c r="R1076" i="3"/>
  <c r="R1074" i="3"/>
  <c r="R1072" i="3"/>
  <c r="R1070" i="3"/>
  <c r="R1068" i="3"/>
  <c r="R1066" i="3"/>
  <c r="R1064" i="3"/>
  <c r="R1058" i="3"/>
  <c r="R1052" i="3"/>
  <c r="R1050" i="3"/>
  <c r="R1048" i="3"/>
  <c r="R1046" i="3"/>
  <c r="R1044" i="3"/>
  <c r="R1042" i="3"/>
  <c r="R1040" i="3"/>
  <c r="R1038" i="3"/>
  <c r="R1036" i="3"/>
  <c r="R1034" i="3"/>
  <c r="R1032" i="3"/>
  <c r="R1030" i="3"/>
  <c r="R1028" i="3"/>
  <c r="R1026" i="3"/>
  <c r="R1024" i="3"/>
  <c r="R1022" i="3"/>
  <c r="R1020" i="3"/>
  <c r="R1018" i="3"/>
  <c r="R1016" i="3"/>
  <c r="R1014" i="3"/>
  <c r="R1012" i="3"/>
  <c r="R1010" i="3"/>
  <c r="R1008" i="3"/>
  <c r="R1006" i="3"/>
  <c r="R1004" i="3"/>
  <c r="R1002" i="3"/>
  <c r="R1000" i="3"/>
  <c r="R998" i="3"/>
  <c r="R996" i="3"/>
  <c r="R994" i="3"/>
  <c r="R992" i="3"/>
  <c r="R990" i="3"/>
  <c r="R988" i="3"/>
  <c r="R986" i="3"/>
  <c r="R984" i="3"/>
  <c r="R982" i="3"/>
  <c r="R980" i="3"/>
  <c r="R978" i="3"/>
  <c r="R976" i="3"/>
  <c r="R974" i="3"/>
  <c r="R972" i="3"/>
  <c r="R970" i="3"/>
  <c r="R968" i="3"/>
  <c r="R966" i="3"/>
  <c r="R964" i="3"/>
  <c r="R962" i="3"/>
  <c r="R960" i="3"/>
  <c r="R958" i="3"/>
  <c r="R956" i="3"/>
  <c r="R954" i="3"/>
  <c r="R952" i="3"/>
  <c r="R950" i="3"/>
  <c r="R948" i="3"/>
  <c r="R946" i="3"/>
  <c r="R944" i="3"/>
  <c r="R942" i="3"/>
  <c r="R940" i="3"/>
  <c r="R938" i="3"/>
  <c r="R936" i="3"/>
  <c r="R934" i="3"/>
  <c r="R932" i="3"/>
  <c r="R930" i="3"/>
  <c r="R928" i="3"/>
  <c r="R926" i="3"/>
  <c r="R924" i="3"/>
  <c r="R922" i="3"/>
  <c r="R920" i="3"/>
  <c r="R918" i="3"/>
  <c r="R916" i="3"/>
  <c r="R914" i="3"/>
  <c r="R912" i="3"/>
  <c r="R910" i="3"/>
  <c r="R908" i="3"/>
  <c r="R906" i="3"/>
  <c r="R904" i="3"/>
  <c r="R902" i="3"/>
  <c r="R900" i="3"/>
  <c r="R898" i="3"/>
  <c r="R896" i="3"/>
  <c r="R894" i="3"/>
  <c r="R892" i="3"/>
  <c r="R890" i="3"/>
  <c r="R888" i="3"/>
  <c r="R886" i="3"/>
  <c r="R884" i="3"/>
  <c r="R882" i="3"/>
  <c r="R880" i="3"/>
  <c r="R878" i="3"/>
  <c r="R876" i="3"/>
  <c r="R874" i="3"/>
  <c r="R872" i="3"/>
  <c r="R870" i="3"/>
  <c r="R868" i="3"/>
  <c r="R866" i="3"/>
  <c r="R864" i="3"/>
  <c r="R862" i="3"/>
  <c r="R860" i="3"/>
  <c r="R858" i="3"/>
  <c r="R856" i="3"/>
  <c r="R854" i="3"/>
  <c r="R852" i="3"/>
  <c r="R850" i="3"/>
  <c r="R848" i="3"/>
  <c r="R846" i="3"/>
  <c r="R844" i="3"/>
  <c r="R842" i="3"/>
  <c r="R840" i="3"/>
  <c r="R838" i="3"/>
  <c r="R836" i="3"/>
  <c r="R834" i="3"/>
  <c r="R832" i="3"/>
  <c r="R830" i="3"/>
  <c r="R828" i="3"/>
  <c r="R826" i="3"/>
  <c r="R824" i="3"/>
  <c r="R822" i="3"/>
  <c r="R820" i="3"/>
  <c r="R818" i="3"/>
  <c r="R816" i="3"/>
  <c r="R812" i="3"/>
  <c r="R808" i="3"/>
  <c r="R804" i="3"/>
  <c r="R800" i="3"/>
  <c r="R798" i="3"/>
  <c r="R796" i="3"/>
  <c r="R794" i="3"/>
  <c r="R792" i="3"/>
  <c r="R790" i="3"/>
  <c r="R788" i="3"/>
  <c r="R786" i="3"/>
  <c r="R784" i="3"/>
  <c r="R782" i="3"/>
  <c r="R780" i="3"/>
  <c r="R778" i="3"/>
  <c r="R776" i="3"/>
  <c r="R774" i="3"/>
  <c r="R772" i="3"/>
  <c r="R770" i="3"/>
  <c r="R768" i="3"/>
  <c r="R766" i="3"/>
  <c r="R764" i="3"/>
  <c r="R762" i="3"/>
  <c r="R760" i="3"/>
  <c r="R758" i="3"/>
  <c r="R756" i="3"/>
  <c r="R754" i="3"/>
  <c r="R752" i="3"/>
  <c r="R750" i="3"/>
  <c r="R748" i="3"/>
  <c r="R746" i="3"/>
  <c r="R744" i="3"/>
  <c r="R742" i="3"/>
  <c r="R740" i="3"/>
  <c r="R738" i="3"/>
  <c r="R736" i="3"/>
  <c r="R734" i="3"/>
  <c r="R732" i="3"/>
  <c r="R730" i="3"/>
  <c r="R728" i="3"/>
  <c r="R726" i="3"/>
  <c r="R724" i="3"/>
  <c r="R722" i="3"/>
  <c r="R720" i="3"/>
  <c r="R718" i="3"/>
  <c r="R716" i="3"/>
  <c r="R714" i="3"/>
  <c r="R712" i="3"/>
  <c r="R710" i="3"/>
  <c r="R708" i="3"/>
  <c r="R706" i="3"/>
  <c r="R704" i="3"/>
  <c r="R702" i="3"/>
  <c r="R700" i="3"/>
  <c r="R698" i="3"/>
  <c r="R696" i="3"/>
  <c r="R694" i="3"/>
  <c r="R692" i="3"/>
  <c r="R690" i="3"/>
  <c r="R688" i="3"/>
  <c r="R686" i="3"/>
  <c r="R684" i="3"/>
  <c r="R682" i="3"/>
  <c r="R680" i="3"/>
  <c r="R678" i="3"/>
  <c r="R676" i="3"/>
  <c r="R674" i="3"/>
  <c r="R672" i="3"/>
  <c r="R670" i="3"/>
  <c r="R668" i="3"/>
  <c r="R666" i="3"/>
  <c r="R664" i="3"/>
  <c r="R662" i="3"/>
  <c r="R660" i="3"/>
  <c r="R658" i="3"/>
  <c r="R656" i="3"/>
  <c r="R654" i="3"/>
  <c r="R652" i="3"/>
  <c r="R650" i="3"/>
  <c r="R648" i="3"/>
  <c r="R646" i="3"/>
  <c r="R644" i="3"/>
  <c r="R642" i="3"/>
  <c r="R640" i="3"/>
  <c r="R638" i="3"/>
  <c r="R636" i="3"/>
  <c r="R634" i="3"/>
  <c r="R632" i="3"/>
  <c r="R630" i="3"/>
  <c r="R628" i="3"/>
  <c r="R626" i="3"/>
  <c r="R624" i="3"/>
  <c r="R622" i="3"/>
  <c r="R620" i="3"/>
  <c r="R618" i="3"/>
  <c r="R616" i="3"/>
  <c r="R614" i="3"/>
  <c r="R612" i="3"/>
  <c r="R610" i="3"/>
  <c r="R608" i="3"/>
  <c r="R606" i="3"/>
  <c r="R604" i="3"/>
  <c r="R602" i="3"/>
  <c r="R600" i="3"/>
  <c r="R598" i="3"/>
  <c r="R596" i="3"/>
  <c r="R594" i="3"/>
  <c r="R592" i="3"/>
  <c r="R590" i="3"/>
  <c r="R588" i="3"/>
  <c r="R586" i="3"/>
  <c r="R584" i="3"/>
  <c r="R582" i="3"/>
  <c r="R580" i="3"/>
  <c r="R578" i="3"/>
  <c r="R576" i="3"/>
  <c r="R574" i="3"/>
  <c r="R572" i="3"/>
  <c r="R570" i="3"/>
  <c r="R568" i="3"/>
  <c r="R566" i="3"/>
  <c r="R564" i="3"/>
  <c r="R562" i="3"/>
  <c r="R560" i="3"/>
  <c r="R558" i="3"/>
  <c r="R556" i="3"/>
  <c r="R554" i="3"/>
  <c r="R552" i="3"/>
  <c r="R550" i="3"/>
  <c r="R548" i="3"/>
  <c r="R546" i="3"/>
  <c r="R544" i="3"/>
  <c r="R542" i="3"/>
  <c r="R540" i="3"/>
  <c r="R538" i="3"/>
  <c r="R536" i="3"/>
  <c r="R534" i="3"/>
  <c r="R532" i="3"/>
  <c r="R530" i="3"/>
  <c r="R528" i="3"/>
  <c r="R526" i="3"/>
  <c r="R524" i="3"/>
  <c r="R522" i="3"/>
  <c r="R520" i="3"/>
  <c r="R518" i="3"/>
  <c r="R516" i="3"/>
  <c r="R514" i="3"/>
  <c r="R512" i="3"/>
  <c r="R510" i="3"/>
  <c r="R508" i="3"/>
  <c r="R506" i="3"/>
  <c r="R504" i="3"/>
  <c r="R502" i="3"/>
  <c r="R500" i="3"/>
  <c r="R498" i="3"/>
  <c r="R496" i="3"/>
  <c r="R494" i="3"/>
  <c r="R492" i="3"/>
  <c r="R490" i="3"/>
  <c r="R488" i="3"/>
  <c r="R486" i="3"/>
  <c r="R484" i="3"/>
  <c r="R482" i="3"/>
  <c r="R480" i="3"/>
  <c r="R478" i="3"/>
  <c r="R476" i="3"/>
  <c r="R474" i="3"/>
  <c r="R472" i="3"/>
  <c r="R470" i="3"/>
  <c r="R468" i="3"/>
  <c r="R466" i="3"/>
  <c r="R464" i="3"/>
  <c r="R462" i="3"/>
  <c r="R460" i="3"/>
  <c r="R458" i="3"/>
  <c r="R456" i="3"/>
  <c r="R454" i="3"/>
  <c r="R452" i="3"/>
  <c r="R450" i="3"/>
  <c r="R448" i="3"/>
  <c r="R446" i="3"/>
  <c r="R444" i="3"/>
  <c r="R442" i="3"/>
  <c r="R440" i="3"/>
  <c r="R438" i="3"/>
  <c r="R436" i="3"/>
  <c r="R434" i="3"/>
  <c r="R432" i="3"/>
  <c r="R430" i="3"/>
  <c r="R428" i="3"/>
  <c r="R426" i="3"/>
  <c r="R424" i="3"/>
  <c r="R422" i="3"/>
  <c r="R420" i="3"/>
  <c r="R418" i="3"/>
  <c r="R416" i="3"/>
  <c r="R413" i="3"/>
  <c r="R411" i="3"/>
  <c r="R409" i="3"/>
  <c r="R407" i="3"/>
  <c r="R406" i="3"/>
  <c r="R404" i="3"/>
  <c r="R403" i="3"/>
  <c r="R401" i="3"/>
  <c r="R400" i="3"/>
  <c r="R398" i="3"/>
  <c r="R397" i="3"/>
  <c r="R394" i="3"/>
  <c r="R390" i="3"/>
  <c r="R387" i="3"/>
  <c r="R386" i="3"/>
  <c r="R383" i="3"/>
  <c r="R380" i="3"/>
  <c r="R379" i="3"/>
  <c r="R377" i="3"/>
  <c r="R376" i="3"/>
  <c r="R374" i="3"/>
  <c r="R373" i="3"/>
  <c r="R371" i="3"/>
  <c r="R370" i="3"/>
  <c r="R368" i="3"/>
  <c r="R367" i="3"/>
  <c r="R365" i="3"/>
  <c r="R364" i="3"/>
  <c r="R362" i="3"/>
  <c r="R361" i="3"/>
  <c r="R358" i="3"/>
  <c r="R355" i="3"/>
  <c r="R354" i="3"/>
  <c r="R351" i="3"/>
  <c r="R348" i="3"/>
  <c r="R347" i="3"/>
  <c r="R339" i="3"/>
  <c r="R338" i="3"/>
  <c r="R336" i="3"/>
  <c r="R334" i="3"/>
  <c r="R332" i="3"/>
  <c r="R330" i="3"/>
  <c r="R328" i="3"/>
  <c r="R327" i="3"/>
  <c r="R325" i="3"/>
  <c r="R324" i="3"/>
  <c r="R322" i="3"/>
  <c r="R321" i="3"/>
  <c r="R319" i="3"/>
  <c r="R318" i="3"/>
  <c r="R316" i="3"/>
  <c r="R315" i="3"/>
  <c r="R313" i="3"/>
  <c r="R312" i="3"/>
  <c r="R310" i="3"/>
  <c r="R301" i="3"/>
  <c r="R300" i="3"/>
  <c r="R298" i="3"/>
  <c r="R297" i="3"/>
  <c r="R295" i="3"/>
  <c r="R294" i="3"/>
  <c r="R288" i="3"/>
  <c r="R285" i="3"/>
  <c r="R284" i="3"/>
  <c r="R282" i="3"/>
  <c r="R281" i="3"/>
  <c r="R279" i="3"/>
  <c r="R278" i="3"/>
  <c r="R276" i="3"/>
  <c r="R275" i="3"/>
  <c r="R273" i="3"/>
  <c r="R272" i="3"/>
  <c r="R270" i="3"/>
  <c r="R269" i="3"/>
  <c r="R266" i="3"/>
  <c r="R265" i="3"/>
  <c r="R263" i="3"/>
  <c r="R262" i="3"/>
  <c r="R260" i="3"/>
  <c r="R259" i="3"/>
  <c r="R257" i="3"/>
  <c r="R256" i="3"/>
  <c r="R254" i="3"/>
  <c r="R253" i="3"/>
  <c r="R251" i="3"/>
  <c r="R250" i="3"/>
  <c r="R248" i="3"/>
  <c r="R240" i="3"/>
  <c r="R239" i="3"/>
  <c r="R237" i="3"/>
  <c r="R236" i="3"/>
  <c r="R234" i="3"/>
  <c r="R233" i="3"/>
  <c r="R231" i="3"/>
  <c r="R230" i="3"/>
  <c r="R221" i="3"/>
  <c r="R220" i="3"/>
  <c r="R217" i="3"/>
  <c r="R214" i="3"/>
  <c r="R213" i="3"/>
  <c r="R211" i="3"/>
  <c r="R210" i="3"/>
  <c r="R207" i="3"/>
  <c r="R196" i="3"/>
  <c r="R192" i="3"/>
  <c r="R189" i="3"/>
  <c r="R186" i="3"/>
  <c r="R185" i="3"/>
  <c r="R183" i="3"/>
  <c r="R182" i="3"/>
  <c r="R180" i="3"/>
  <c r="R179" i="3"/>
  <c r="R177" i="3"/>
  <c r="R176" i="3"/>
  <c r="R173" i="3"/>
  <c r="R170" i="3"/>
  <c r="R169" i="3"/>
  <c r="R167" i="3"/>
  <c r="R166" i="3"/>
  <c r="R164" i="3"/>
  <c r="R161" i="3"/>
  <c r="R156" i="3"/>
  <c r="R155" i="3"/>
  <c r="R152" i="3"/>
  <c r="R151" i="3"/>
  <c r="R149" i="3"/>
  <c r="R148" i="3"/>
  <c r="R145" i="3"/>
  <c r="R136" i="3"/>
  <c r="R135" i="3"/>
  <c r="R133" i="3"/>
  <c r="R132" i="3"/>
  <c r="R130" i="3"/>
  <c r="R129" i="3"/>
  <c r="R127" i="3"/>
  <c r="R126" i="3"/>
  <c r="R124" i="3"/>
  <c r="R123" i="3"/>
  <c r="R121" i="3"/>
  <c r="R120" i="3"/>
  <c r="R115" i="3"/>
  <c r="R114" i="3"/>
  <c r="R112" i="3"/>
  <c r="R111" i="3"/>
  <c r="R105" i="3"/>
  <c r="R104" i="3"/>
  <c r="R101" i="3"/>
  <c r="R100" i="3"/>
  <c r="R95" i="3"/>
  <c r="R94" i="3"/>
  <c r="R90" i="3"/>
  <c r="R89" i="3"/>
  <c r="R87" i="3"/>
  <c r="R86" i="3"/>
  <c r="R84" i="3"/>
  <c r="R83" i="3"/>
  <c r="R76" i="3"/>
  <c r="R75" i="3"/>
  <c r="R72" i="3"/>
  <c r="R71" i="3"/>
  <c r="R69" i="3"/>
  <c r="R68" i="3"/>
  <c r="R64" i="3"/>
  <c r="R63" i="3"/>
  <c r="R61" i="3"/>
  <c r="R60" i="3"/>
  <c r="R58" i="3"/>
  <c r="R57" i="3"/>
  <c r="R55" i="3"/>
  <c r="R54" i="3"/>
  <c r="R50" i="3"/>
  <c r="R49" i="3"/>
  <c r="R44" i="3"/>
  <c r="R43" i="3"/>
  <c r="R41" i="3"/>
  <c r="R40" i="3"/>
  <c r="R37" i="3"/>
  <c r="R36" i="3"/>
  <c r="R28" i="3"/>
  <c r="R27" i="3"/>
  <c r="R22" i="3"/>
  <c r="R21" i="3"/>
  <c r="R18" i="3"/>
  <c r="R17" i="3"/>
  <c r="R14" i="3"/>
  <c r="R13" i="3"/>
  <c r="R10" i="3"/>
  <c r="R9" i="3"/>
  <c r="R4" i="3"/>
  <c r="R3" i="3"/>
  <c r="O1414" i="3"/>
  <c r="O1415" i="3"/>
  <c r="M326" i="8"/>
  <c r="L326" i="8"/>
  <c r="F1415" i="3"/>
  <c r="F1414" i="3"/>
  <c r="F1208" i="18"/>
  <c r="F1209" i="18" s="1"/>
  <c r="M1428" i="3" l="1" a="1"/>
  <c r="M1428" i="3" s="1"/>
  <c r="AR1415" i="3"/>
  <c r="AR1414" i="3"/>
  <c r="AK393" i="3"/>
  <c r="AB1422" i="3"/>
  <c r="AB1418" i="3"/>
  <c r="AH1422" i="3"/>
  <c r="AH1418" i="3"/>
  <c r="AH1420" i="3"/>
  <c r="AB1420" i="3"/>
  <c r="AH1416" i="3"/>
  <c r="AB1416" i="3"/>
  <c r="AQ1415" i="3"/>
  <c r="X1415" i="3"/>
  <c r="AC1415" i="3"/>
  <c r="R1414" i="3"/>
  <c r="R1428" i="3"/>
  <c r="G1414" i="3"/>
  <c r="G1415" i="3"/>
  <c r="AK382" i="3"/>
  <c r="AK357" i="3"/>
  <c r="I1414" i="3"/>
  <c r="I1415" i="3"/>
  <c r="W1414" i="3"/>
  <c r="T1415" i="3"/>
  <c r="W1415" i="3"/>
  <c r="M12" i="15"/>
  <c r="M13" i="15" s="1"/>
  <c r="N1428" i="3" l="1"/>
  <c r="Q1428" i="3" s="1"/>
  <c r="M1415" i="3" a="1"/>
  <c r="M1415" i="3" s="1"/>
  <c r="M1414" i="3" a="1"/>
  <c r="M1414" i="3" s="1"/>
  <c r="K1415" i="3"/>
  <c r="AQ1414" i="3"/>
  <c r="AC1414" i="3"/>
  <c r="X1414" i="3"/>
  <c r="AQ1428" i="3"/>
  <c r="X1428" i="3"/>
  <c r="AC1428" i="3"/>
  <c r="T1414" i="3"/>
  <c r="T1428" i="3"/>
  <c r="K1414" i="3"/>
  <c r="N1415" i="3"/>
  <c r="O11" i="18"/>
  <c r="AA1428" i="3" l="1"/>
  <c r="AH1428" i="3" s="1"/>
  <c r="AG1428" i="3"/>
  <c r="Q1415" i="3"/>
  <c r="I571" i="4"/>
  <c r="AG1415" i="3"/>
  <c r="L1414" i="3"/>
  <c r="L1415" i="3"/>
  <c r="N1414" i="3"/>
  <c r="AA1415" i="3"/>
  <c r="AB1428" i="3" l="1"/>
  <c r="Q1414" i="3"/>
  <c r="K571" i="4"/>
  <c r="Y571" i="4"/>
  <c r="AG1414" i="3"/>
  <c r="AH1415" i="3"/>
  <c r="AA1414" i="3"/>
  <c r="J1358" i="3"/>
  <c r="J1357" i="3"/>
  <c r="AH1414" i="3" l="1"/>
  <c r="AB1414" i="3"/>
  <c r="F1358" i="3"/>
  <c r="U173" i="8"/>
  <c r="R1935" i="3" s="1"/>
  <c r="U172" i="8"/>
  <c r="T1935" i="3" l="1"/>
  <c r="AQ1935" i="3"/>
  <c r="AC1935" i="3"/>
  <c r="AD1935" i="3" s="1"/>
  <c r="S1935" i="3"/>
  <c r="L766" i="4" s="1"/>
  <c r="N766" i="4" s="1"/>
  <c r="X1935" i="3"/>
  <c r="Y1935" i="3" s="1"/>
  <c r="R209" i="3"/>
  <c r="AR1358" i="3"/>
  <c r="R1764" i="3"/>
  <c r="R1798" i="3"/>
  <c r="G1358" i="3"/>
  <c r="I1358" i="3"/>
  <c r="R67" i="3"/>
  <c r="R320" i="3"/>
  <c r="R165" i="3"/>
  <c r="S1764" i="3" l="1"/>
  <c r="AC1764" i="3"/>
  <c r="T1764" i="3"/>
  <c r="X1764" i="3"/>
  <c r="T1798" i="3"/>
  <c r="AC1798" i="3"/>
  <c r="AQ1798" i="3"/>
  <c r="X1798" i="3"/>
  <c r="S1798" i="3"/>
  <c r="K1358" i="3"/>
  <c r="O1411" i="3"/>
  <c r="O1412" i="3"/>
  <c r="F1411" i="3"/>
  <c r="F1412" i="3"/>
  <c r="L729" i="4" l="1"/>
  <c r="N729" i="4" s="1"/>
  <c r="Y1798" i="3"/>
  <c r="AD1798" i="3"/>
  <c r="Y1764" i="3"/>
  <c r="AD1764" i="3"/>
  <c r="AR1411" i="3"/>
  <c r="AR1412" i="3"/>
  <c r="AQ1412" i="3"/>
  <c r="AC1412" i="3"/>
  <c r="X1412" i="3"/>
  <c r="G1412" i="3"/>
  <c r="G1411" i="3"/>
  <c r="I1412" i="3"/>
  <c r="I1411" i="3"/>
  <c r="W1411" i="3"/>
  <c r="W1412" i="3"/>
  <c r="T1412" i="3"/>
  <c r="M1412" i="3" l="1" a="1"/>
  <c r="M1412" i="3" s="1"/>
  <c r="N1412" i="3"/>
  <c r="K1411" i="3"/>
  <c r="K1412" i="3"/>
  <c r="Q1412" i="3" l="1"/>
  <c r="L1412" i="3"/>
  <c r="L1411" i="3"/>
  <c r="AA1412" i="3"/>
  <c r="AG1412" i="3"/>
  <c r="O1409" i="3"/>
  <c r="O1410" i="3"/>
  <c r="F1409" i="3"/>
  <c r="F1410" i="3"/>
  <c r="O1407" i="3"/>
  <c r="O1408" i="3"/>
  <c r="F1408" i="3"/>
  <c r="F1407" i="3"/>
  <c r="U325" i="8"/>
  <c r="V325" i="8"/>
  <c r="M324" i="8"/>
  <c r="L324" i="8"/>
  <c r="M323" i="8"/>
  <c r="L323" i="8"/>
  <c r="M322" i="8"/>
  <c r="L322" i="8"/>
  <c r="M325" i="8"/>
  <c r="L325" i="8"/>
  <c r="AR1407" i="3" l="1"/>
  <c r="AR1408" i="3"/>
  <c r="AR1410" i="3"/>
  <c r="AR1409" i="3"/>
  <c r="AH1412" i="3"/>
  <c r="AQ1408" i="3"/>
  <c r="AC1408" i="3"/>
  <c r="X1408" i="3"/>
  <c r="AQ1410" i="3"/>
  <c r="AC1410" i="3"/>
  <c r="X1410" i="3"/>
  <c r="G1410" i="3"/>
  <c r="G1409" i="3"/>
  <c r="G1407" i="3"/>
  <c r="G1408" i="3"/>
  <c r="AC325" i="8"/>
  <c r="I1407" i="3"/>
  <c r="I1410" i="3"/>
  <c r="I1409" i="3"/>
  <c r="I1408" i="3"/>
  <c r="R1409" i="3"/>
  <c r="R1407" i="3"/>
  <c r="W1408" i="3"/>
  <c r="W1409" i="3"/>
  <c r="W1410" i="3"/>
  <c r="T1410" i="3"/>
  <c r="W1407" i="3"/>
  <c r="T1408" i="3"/>
  <c r="M1408" i="3" l="1" a="1"/>
  <c r="M1408" i="3" s="1"/>
  <c r="M1409" i="3" a="1"/>
  <c r="M1409" i="3" s="1"/>
  <c r="M1410" i="3" a="1"/>
  <c r="M1410" i="3" s="1"/>
  <c r="M1407" i="3" a="1"/>
  <c r="M1407" i="3" s="1"/>
  <c r="N1410" i="3"/>
  <c r="N1408" i="3"/>
  <c r="AC1409" i="3"/>
  <c r="X1409" i="3"/>
  <c r="AQ1409" i="3"/>
  <c r="AQ1407" i="3"/>
  <c r="AC1407" i="3"/>
  <c r="X1407" i="3"/>
  <c r="K1409" i="3"/>
  <c r="K1407" i="3"/>
  <c r="K1408" i="3"/>
  <c r="K1410" i="3"/>
  <c r="T1409" i="3"/>
  <c r="T1407" i="3"/>
  <c r="Q1408" i="3" l="1"/>
  <c r="Q1410" i="3"/>
  <c r="N1409" i="3"/>
  <c r="L1409" i="3"/>
  <c r="L1410" i="3"/>
  <c r="L1408" i="3"/>
  <c r="L1407" i="3"/>
  <c r="AG1410" i="3"/>
  <c r="AG1408" i="3"/>
  <c r="N1407" i="3"/>
  <c r="AA1408" i="3"/>
  <c r="AA1410" i="3"/>
  <c r="O1403" i="3"/>
  <c r="O1404" i="3"/>
  <c r="O1405" i="3"/>
  <c r="O1406" i="3"/>
  <c r="Q1407" i="3" l="1"/>
  <c r="Q1409" i="3"/>
  <c r="AG1409" i="3"/>
  <c r="AA1407" i="3"/>
  <c r="AA1409" i="3"/>
  <c r="AH1408" i="3"/>
  <c r="AH1410" i="3"/>
  <c r="AG1407" i="3"/>
  <c r="AQ1406" i="3"/>
  <c r="X1406" i="3"/>
  <c r="AC1406" i="3"/>
  <c r="W1406" i="3"/>
  <c r="W1405" i="3"/>
  <c r="W1404" i="3"/>
  <c r="W1403" i="3"/>
  <c r="T1406" i="3"/>
  <c r="F1403" i="3"/>
  <c r="F1404" i="3"/>
  <c r="F1405" i="3"/>
  <c r="F1406" i="3"/>
  <c r="O1399" i="3"/>
  <c r="O1400" i="3"/>
  <c r="O1401" i="3"/>
  <c r="O1402" i="3"/>
  <c r="F1402" i="3"/>
  <c r="F1399" i="3"/>
  <c r="F1400" i="3"/>
  <c r="F1401" i="3"/>
  <c r="AH1407" i="3" l="1"/>
  <c r="AR1402" i="3"/>
  <c r="AR1406" i="3"/>
  <c r="AR1399" i="3"/>
  <c r="AR1405" i="3"/>
  <c r="AR1404" i="3"/>
  <c r="AR1401" i="3"/>
  <c r="AR1403" i="3"/>
  <c r="AR1400" i="3"/>
  <c r="AB1407" i="3"/>
  <c r="AH1409" i="3"/>
  <c r="AB1409" i="3"/>
  <c r="AQ1402" i="3"/>
  <c r="X1402" i="3"/>
  <c r="AC1402" i="3"/>
  <c r="G1405" i="3"/>
  <c r="G1406" i="3"/>
  <c r="G1404" i="3"/>
  <c r="G1403" i="3"/>
  <c r="G1401" i="3"/>
  <c r="G1402" i="3"/>
  <c r="G1400" i="3"/>
  <c r="G1399" i="3"/>
  <c r="I1399" i="3"/>
  <c r="I1405" i="3"/>
  <c r="I1406" i="3"/>
  <c r="I1404" i="3"/>
  <c r="I1403" i="3"/>
  <c r="I1401" i="3"/>
  <c r="I1400" i="3"/>
  <c r="I1402" i="3"/>
  <c r="T1402" i="3"/>
  <c r="W1402" i="3"/>
  <c r="W1400" i="3"/>
  <c r="W1401" i="3"/>
  <c r="W1399" i="3"/>
  <c r="M1406" i="3" l="1" a="1"/>
  <c r="M1406" i="3" s="1"/>
  <c r="M1402" i="3" a="1"/>
  <c r="M1402" i="3" s="1"/>
  <c r="K1400" i="3"/>
  <c r="K1404" i="3"/>
  <c r="N1406" i="3"/>
  <c r="K1405" i="3"/>
  <c r="N1402" i="3"/>
  <c r="K1401" i="3"/>
  <c r="K1399" i="3"/>
  <c r="K1403" i="3"/>
  <c r="K1402" i="3"/>
  <c r="K1406" i="3"/>
  <c r="Q1402" i="3" l="1"/>
  <c r="Q1406" i="3"/>
  <c r="L1405" i="3"/>
  <c r="L1406" i="3"/>
  <c r="L1401" i="3"/>
  <c r="AG1406" i="3"/>
  <c r="AG1402" i="3"/>
  <c r="L1402" i="3"/>
  <c r="L1404" i="3"/>
  <c r="L1403" i="3"/>
  <c r="L1399" i="3"/>
  <c r="L1400" i="3"/>
  <c r="AA1402" i="3"/>
  <c r="AA1406" i="3"/>
  <c r="E1200" i="18"/>
  <c r="AH1402" i="3" l="1"/>
  <c r="AH1406" i="3"/>
  <c r="O1397" i="3" l="1"/>
  <c r="F1397" i="3"/>
  <c r="O1396" i="3"/>
  <c r="U324" i="8"/>
  <c r="V324" i="8"/>
  <c r="F1396" i="3"/>
  <c r="AC324" i="8" l="1"/>
  <c r="R1396" i="3"/>
  <c r="AC1396" i="3" s="1"/>
  <c r="AR1396" i="3"/>
  <c r="AR1397" i="3"/>
  <c r="AC1397" i="3"/>
  <c r="X1397" i="3"/>
  <c r="AQ1397" i="3"/>
  <c r="P1393" i="3"/>
  <c r="P1396" i="3"/>
  <c r="G1396" i="3"/>
  <c r="G1397" i="3"/>
  <c r="I1396" i="3"/>
  <c r="I1397" i="3"/>
  <c r="W1397" i="3"/>
  <c r="T1397" i="3"/>
  <c r="W1396" i="3"/>
  <c r="X1396" i="3" l="1"/>
  <c r="T1396" i="3"/>
  <c r="AQ1396" i="3"/>
  <c r="M1396" i="3" a="1"/>
  <c r="M1396" i="3" s="1"/>
  <c r="M1397" i="3" a="1"/>
  <c r="M1397" i="3" s="1"/>
  <c r="K1396" i="3"/>
  <c r="N1397" i="3"/>
  <c r="K1397" i="3"/>
  <c r="Q1397" i="3" l="1"/>
  <c r="L1397" i="3"/>
  <c r="N1396" i="3"/>
  <c r="L1396" i="3"/>
  <c r="AG1397" i="3"/>
  <c r="AA1397" i="3"/>
  <c r="Q1396" i="3" l="1"/>
  <c r="AG1396" i="3"/>
  <c r="AA1396" i="3"/>
  <c r="I559" i="4"/>
  <c r="AH1397" i="3"/>
  <c r="O1395" i="3"/>
  <c r="O1394" i="3"/>
  <c r="F1395" i="3"/>
  <c r="F1394" i="3"/>
  <c r="O1393" i="3"/>
  <c r="V323" i="8"/>
  <c r="U323" i="8"/>
  <c r="F1393" i="3"/>
  <c r="AC323" i="8" l="1"/>
  <c r="R1393" i="3"/>
  <c r="X1393" i="3" s="1"/>
  <c r="AR1393" i="3"/>
  <c r="AR1394" i="3"/>
  <c r="AR1395" i="3"/>
  <c r="AB1396" i="3"/>
  <c r="AH1396" i="3"/>
  <c r="AQ1394" i="3"/>
  <c r="AC1394" i="3"/>
  <c r="X1394" i="3"/>
  <c r="AC1395" i="3"/>
  <c r="X1395" i="3"/>
  <c r="AQ1395" i="3"/>
  <c r="G1394" i="3"/>
  <c r="G1393" i="3"/>
  <c r="G1395" i="3"/>
  <c r="I1394" i="3"/>
  <c r="I1395" i="3"/>
  <c r="I1393" i="3"/>
  <c r="W1395" i="3"/>
  <c r="T1395" i="3"/>
  <c r="W1394" i="3"/>
  <c r="T1394" i="3"/>
  <c r="W1393" i="3"/>
  <c r="AC1393" i="3" l="1"/>
  <c r="T1393" i="3"/>
  <c r="AQ1393" i="3"/>
  <c r="M1393" i="3" a="1"/>
  <c r="M1393" i="3" s="1"/>
  <c r="M1395" i="3" a="1"/>
  <c r="M1395" i="3" s="1"/>
  <c r="M1394" i="3" a="1"/>
  <c r="M1394" i="3" s="1"/>
  <c r="N1395" i="3"/>
  <c r="N1394" i="3"/>
  <c r="K1393" i="3"/>
  <c r="K1394" i="3"/>
  <c r="K1395" i="3"/>
  <c r="Q1394" i="3" l="1"/>
  <c r="Q1395" i="3"/>
  <c r="N1393" i="3"/>
  <c r="L1394" i="3"/>
  <c r="L1393" i="3"/>
  <c r="L1395" i="3"/>
  <c r="AA1395" i="3"/>
  <c r="AG1395" i="3"/>
  <c r="AA1394" i="3"/>
  <c r="AG1394" i="3"/>
  <c r="Q1393" i="3" l="1"/>
  <c r="AA1393" i="3"/>
  <c r="AH1394" i="3"/>
  <c r="AH1395" i="3"/>
  <c r="AG1393" i="3"/>
  <c r="AB1393" i="3" l="1"/>
  <c r="AH1393" i="3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2" i="8"/>
  <c r="AB193" i="8"/>
  <c r="AB194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8" i="8"/>
  <c r="AB229" i="8"/>
  <c r="AB230" i="8"/>
  <c r="AB231" i="8"/>
  <c r="AB232" i="8"/>
  <c r="AB233" i="8"/>
  <c r="AB234" i="8"/>
  <c r="AB235" i="8"/>
  <c r="AB236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5" i="8"/>
  <c r="AB318" i="8"/>
  <c r="AB319" i="8"/>
  <c r="AB320" i="8"/>
  <c r="AB321" i="8"/>
  <c r="AB2" i="8"/>
  <c r="O1390" i="3" l="1"/>
  <c r="O1391" i="3"/>
  <c r="F1391" i="3"/>
  <c r="F1390" i="3"/>
  <c r="AR1391" i="3" l="1"/>
  <c r="AR1390" i="3"/>
  <c r="AQ1391" i="3"/>
  <c r="X1391" i="3"/>
  <c r="AC1391" i="3"/>
  <c r="G1390" i="3"/>
  <c r="G1391" i="3"/>
  <c r="I1391" i="3"/>
  <c r="I1390" i="3"/>
  <c r="W1390" i="3"/>
  <c r="AK1390" i="3"/>
  <c r="W1391" i="3"/>
  <c r="T1391" i="3"/>
  <c r="M1391" i="3" l="1" a="1"/>
  <c r="M1391" i="3" s="1"/>
  <c r="N1391" i="3"/>
  <c r="K1390" i="3"/>
  <c r="K1391" i="3"/>
  <c r="Q1391" i="3" l="1"/>
  <c r="L1391" i="3"/>
  <c r="L1390" i="3"/>
  <c r="AA1391" i="3"/>
  <c r="AG1391" i="3"/>
  <c r="AE1384" i="3"/>
  <c r="AE1387" i="3"/>
  <c r="AH1391" i="3" l="1"/>
  <c r="O1387" i="3"/>
  <c r="O1388" i="3"/>
  <c r="F1388" i="3"/>
  <c r="F1387" i="3"/>
  <c r="AR1387" i="3" l="1"/>
  <c r="AR1388" i="3"/>
  <c r="AQ1388" i="3"/>
  <c r="X1388" i="3"/>
  <c r="AC1388" i="3"/>
  <c r="G1388" i="3"/>
  <c r="G1387" i="3"/>
  <c r="I1387" i="3"/>
  <c r="I1388" i="3"/>
  <c r="W1388" i="3"/>
  <c r="AK1387" i="3"/>
  <c r="T1388" i="3"/>
  <c r="W1387" i="3"/>
  <c r="O1384" i="3"/>
  <c r="O1385" i="3"/>
  <c r="F1385" i="3"/>
  <c r="F1384" i="3"/>
  <c r="O1381" i="3"/>
  <c r="O1382" i="3"/>
  <c r="F1382" i="3"/>
  <c r="F1381" i="3"/>
  <c r="AA322" i="8"/>
  <c r="V322" i="8"/>
  <c r="U322" i="8"/>
  <c r="R1381" i="3" l="1"/>
  <c r="AC1381" i="3" s="1"/>
  <c r="AC322" i="8"/>
  <c r="AR1382" i="3"/>
  <c r="AR1385" i="3"/>
  <c r="AR1381" i="3"/>
  <c r="AR1384" i="3"/>
  <c r="M1388" i="3" a="1"/>
  <c r="M1388" i="3" s="1"/>
  <c r="K1388" i="3"/>
  <c r="AQ1382" i="3"/>
  <c r="AC1382" i="3"/>
  <c r="X1382" i="3"/>
  <c r="AC1385" i="3"/>
  <c r="X1385" i="3"/>
  <c r="AQ1385" i="3"/>
  <c r="K1387" i="3"/>
  <c r="G1384" i="3"/>
  <c r="G1385" i="3"/>
  <c r="G1381" i="3"/>
  <c r="G1382" i="3"/>
  <c r="I1385" i="3"/>
  <c r="N1388" i="3"/>
  <c r="I1382" i="3"/>
  <c r="I1384" i="3"/>
  <c r="I1381" i="3"/>
  <c r="AK1384" i="3"/>
  <c r="W1384" i="3"/>
  <c r="W1382" i="3"/>
  <c r="W1385" i="3"/>
  <c r="AK1381" i="3"/>
  <c r="W1381" i="3"/>
  <c r="T1385" i="3"/>
  <c r="T1382" i="3"/>
  <c r="T1381" i="3" l="1"/>
  <c r="X1381" i="3"/>
  <c r="AQ1381" i="3"/>
  <c r="Q1388" i="3"/>
  <c r="M1382" i="3" a="1"/>
  <c r="M1382" i="3" s="1"/>
  <c r="M1385" i="3" a="1"/>
  <c r="M1385" i="3" s="1"/>
  <c r="M1381" i="3" a="1"/>
  <c r="M1381" i="3" s="1"/>
  <c r="L1387" i="3"/>
  <c r="AG1388" i="3"/>
  <c r="K1382" i="3"/>
  <c r="K1385" i="3"/>
  <c r="L1388" i="3"/>
  <c r="K1381" i="3"/>
  <c r="K1384" i="3"/>
  <c r="AA1388" i="3"/>
  <c r="N1385" i="3"/>
  <c r="N1382" i="3"/>
  <c r="Q1382" i="3" l="1"/>
  <c r="Q1385" i="3"/>
  <c r="L1385" i="3"/>
  <c r="AH1388" i="3"/>
  <c r="N1381" i="3"/>
  <c r="L1384" i="3"/>
  <c r="L1382" i="3"/>
  <c r="L1381" i="3"/>
  <c r="AA1382" i="3"/>
  <c r="AG1382" i="3"/>
  <c r="AA1385" i="3"/>
  <c r="AG1385" i="3"/>
  <c r="O1378" i="3"/>
  <c r="O1379" i="3"/>
  <c r="F1379" i="3"/>
  <c r="F1378" i="3"/>
  <c r="AR1378" i="3" l="1"/>
  <c r="AR1379" i="3"/>
  <c r="AG1381" i="3"/>
  <c r="AA1381" i="3"/>
  <c r="AH1385" i="3"/>
  <c r="AH1382" i="3"/>
  <c r="AQ1379" i="3"/>
  <c r="X1379" i="3"/>
  <c r="AC1379" i="3"/>
  <c r="G1379" i="3"/>
  <c r="G1378" i="3"/>
  <c r="I1378" i="3"/>
  <c r="I1379" i="3"/>
  <c r="AK1378" i="3"/>
  <c r="W1379" i="3"/>
  <c r="W1378" i="3"/>
  <c r="T1379" i="3"/>
  <c r="M1379" i="3" l="1" a="1"/>
  <c r="M1379" i="3" s="1"/>
  <c r="AH1381" i="3"/>
  <c r="K1379" i="3"/>
  <c r="K1378" i="3"/>
  <c r="N1379" i="3"/>
  <c r="Q1379" i="3" l="1"/>
  <c r="AG1379" i="3"/>
  <c r="L1378" i="3"/>
  <c r="L1379" i="3"/>
  <c r="AA1379" i="3"/>
  <c r="AH1379" i="3" l="1"/>
  <c r="P953" i="3" l="1"/>
  <c r="AE1353" i="3"/>
  <c r="P959" i="3" l="1"/>
  <c r="P955" i="3"/>
  <c r="P957" i="3"/>
  <c r="P951" i="3"/>
  <c r="P949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5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4" i="3"/>
  <c r="F165" i="3"/>
  <c r="F166" i="3"/>
  <c r="F167" i="3"/>
  <c r="F168" i="3"/>
  <c r="F169" i="3"/>
  <c r="F170" i="3"/>
  <c r="F171" i="3"/>
  <c r="F173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9" i="3"/>
  <c r="F191" i="3"/>
  <c r="F192" i="3"/>
  <c r="F194" i="3"/>
  <c r="F196" i="3"/>
  <c r="F198" i="3"/>
  <c r="F199" i="3"/>
  <c r="F200" i="3"/>
  <c r="F201" i="3"/>
  <c r="F202" i="3"/>
  <c r="F203" i="3"/>
  <c r="F204" i="3"/>
  <c r="F205" i="3"/>
  <c r="F207" i="3"/>
  <c r="F209" i="3"/>
  <c r="F210" i="3"/>
  <c r="F211" i="3"/>
  <c r="F212" i="3"/>
  <c r="F213" i="3"/>
  <c r="F214" i="3"/>
  <c r="F215" i="3"/>
  <c r="F217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2" i="3"/>
  <c r="F333" i="3"/>
  <c r="F334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1" i="3"/>
  <c r="F353" i="3"/>
  <c r="F354" i="3"/>
  <c r="F355" i="3"/>
  <c r="F356" i="3"/>
  <c r="F358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3" i="3"/>
  <c r="F385" i="3"/>
  <c r="F386" i="3"/>
  <c r="F387" i="3"/>
  <c r="F388" i="3"/>
  <c r="F390" i="3"/>
  <c r="F392" i="3"/>
  <c r="F394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1" i="3"/>
  <c r="F412" i="3"/>
  <c r="F413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2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6" i="3"/>
  <c r="F1337" i="3"/>
  <c r="F1338" i="3"/>
  <c r="F1339" i="3"/>
  <c r="F1340" i="3"/>
  <c r="F1342" i="3"/>
  <c r="F1343" i="3"/>
  <c r="F1345" i="3"/>
  <c r="F1346" i="3"/>
  <c r="F1348" i="3"/>
  <c r="F1349" i="3"/>
  <c r="F1351" i="3"/>
  <c r="F1352" i="3"/>
  <c r="F1353" i="3"/>
  <c r="F1354" i="3"/>
  <c r="F1355" i="3"/>
  <c r="F1356" i="3"/>
  <c r="F1357" i="3"/>
  <c r="F1359" i="3"/>
  <c r="F1360" i="3"/>
  <c r="F1361" i="3"/>
  <c r="F1362" i="3"/>
  <c r="F1363" i="3"/>
  <c r="F1364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AR1290" i="3" l="1"/>
  <c r="AR1254" i="3"/>
  <c r="AR1182" i="3"/>
  <c r="AR1145" i="3"/>
  <c r="AR1133" i="3"/>
  <c r="AR975" i="3"/>
  <c r="AR927" i="3"/>
  <c r="AR843" i="3"/>
  <c r="AR1336" i="3"/>
  <c r="AR1154" i="3"/>
  <c r="AR1106" i="3"/>
  <c r="AR1070" i="3"/>
  <c r="AR1022" i="3"/>
  <c r="AR984" i="3"/>
  <c r="AR936" i="3"/>
  <c r="AR900" i="3"/>
  <c r="AR840" i="3"/>
  <c r="AR816" i="3"/>
  <c r="AR744" i="3"/>
  <c r="AR732" i="3"/>
  <c r="AR660" i="3"/>
  <c r="AR648" i="3"/>
  <c r="AR576" i="3"/>
  <c r="AR564" i="3"/>
  <c r="AR492" i="3"/>
  <c r="AR468" i="3"/>
  <c r="AR406" i="3"/>
  <c r="AR364" i="3"/>
  <c r="AR298" i="3"/>
  <c r="AR272" i="3"/>
  <c r="AR224" i="3"/>
  <c r="AR151" i="3"/>
  <c r="AR113" i="3"/>
  <c r="AR17" i="3"/>
  <c r="AR1250" i="3"/>
  <c r="AR1226" i="3"/>
  <c r="AR1190" i="3"/>
  <c r="AR1141" i="3"/>
  <c r="AR995" i="3"/>
  <c r="AR947" i="3"/>
  <c r="AR899" i="3"/>
  <c r="AR827" i="3"/>
  <c r="AR803" i="3"/>
  <c r="AR779" i="3"/>
  <c r="AR743" i="3"/>
  <c r="AR575" i="3"/>
  <c r="AR1345" i="3"/>
  <c r="AR1294" i="3"/>
  <c r="AR1270" i="3"/>
  <c r="AR1234" i="3"/>
  <c r="AR1222" i="3"/>
  <c r="AR1186" i="3"/>
  <c r="AR1174" i="3"/>
  <c r="AR1125" i="3"/>
  <c r="AR1113" i="3"/>
  <c r="AR1041" i="3"/>
  <c r="AR907" i="3"/>
  <c r="AR775" i="3"/>
  <c r="AR715" i="3"/>
  <c r="AR655" i="3"/>
  <c r="AR643" i="3"/>
  <c r="AR607" i="3"/>
  <c r="AR559" i="3"/>
  <c r="AR523" i="3"/>
  <c r="AR439" i="3"/>
  <c r="AR358" i="3"/>
  <c r="AR343" i="3"/>
  <c r="AR279" i="3"/>
  <c r="AR255" i="3"/>
  <c r="AR243" i="3"/>
  <c r="AR173" i="3"/>
  <c r="AR145" i="3"/>
  <c r="AR84" i="3"/>
  <c r="AR72" i="3"/>
  <c r="AR48" i="3"/>
  <c r="AR24" i="3"/>
  <c r="AR1359" i="3"/>
  <c r="AR1343" i="3"/>
  <c r="AR1305" i="3"/>
  <c r="AR1257" i="3"/>
  <c r="AR1161" i="3"/>
  <c r="AR1136" i="3"/>
  <c r="AR1100" i="3"/>
  <c r="AR1371" i="3"/>
  <c r="AR1342" i="3"/>
  <c r="AR1328" i="3"/>
  <c r="AR1304" i="3"/>
  <c r="AR1292" i="3"/>
  <c r="AR1268" i="3"/>
  <c r="AR1256" i="3"/>
  <c r="AR1244" i="3"/>
  <c r="AR1220" i="3"/>
  <c r="AR1208" i="3"/>
  <c r="AR1184" i="3"/>
  <c r="AR1147" i="3"/>
  <c r="AR1135" i="3"/>
  <c r="AR1111" i="3"/>
  <c r="AR1370" i="3"/>
  <c r="AR1356" i="3"/>
  <c r="AR1340" i="3"/>
  <c r="AR1327" i="3"/>
  <c r="AR1315" i="3"/>
  <c r="AR1303" i="3"/>
  <c r="AR1291" i="3"/>
  <c r="AR1279" i="3"/>
  <c r="AR1255" i="3"/>
  <c r="AR1195" i="3"/>
  <c r="AR1159" i="3"/>
  <c r="AR1146" i="3"/>
  <c r="AR1134" i="3"/>
  <c r="AR1122" i="3"/>
  <c r="AR1110" i="3"/>
  <c r="AR1098" i="3"/>
  <c r="AR1086" i="3"/>
  <c r="AR1074" i="3"/>
  <c r="AR1062" i="3"/>
  <c r="AR1050" i="3"/>
  <c r="AR1038" i="3"/>
  <c r="AR1026" i="3"/>
  <c r="AR1014" i="3"/>
  <c r="AR1000" i="3"/>
  <c r="AR988" i="3"/>
  <c r="AR976" i="3"/>
  <c r="AR964" i="3"/>
  <c r="AR952" i="3"/>
  <c r="AR940" i="3"/>
  <c r="AR928" i="3"/>
  <c r="AR916" i="3"/>
  <c r="AR904" i="3"/>
  <c r="AR892" i="3"/>
  <c r="AR880" i="3"/>
  <c r="AR868" i="3"/>
  <c r="AR856" i="3"/>
  <c r="AR844" i="3"/>
  <c r="AR832" i="3"/>
  <c r="AR820" i="3"/>
  <c r="AR808" i="3"/>
  <c r="AR796" i="3"/>
  <c r="AR784" i="3"/>
  <c r="AR772" i="3"/>
  <c r="AR760" i="3"/>
  <c r="AR748" i="3"/>
  <c r="AR736" i="3"/>
  <c r="AR724" i="3"/>
  <c r="AR712" i="3"/>
  <c r="AR700" i="3"/>
  <c r="AR688" i="3"/>
  <c r="AR676" i="3"/>
  <c r="AR664" i="3"/>
  <c r="AR652" i="3"/>
  <c r="AR640" i="3"/>
  <c r="AR628" i="3"/>
  <c r="AR616" i="3"/>
  <c r="AR604" i="3"/>
  <c r="AR592" i="3"/>
  <c r="AR580" i="3"/>
  <c r="AR568" i="3"/>
  <c r="AR556" i="3"/>
  <c r="AR544" i="3"/>
  <c r="AR532" i="3"/>
  <c r="AR520" i="3"/>
  <c r="AR508" i="3"/>
  <c r="AR496" i="3"/>
  <c r="AR484" i="3"/>
  <c r="AR472" i="3"/>
  <c r="AR460" i="3"/>
  <c r="AR448" i="3"/>
  <c r="AR436" i="3"/>
  <c r="AR424" i="3"/>
  <c r="AR411" i="3"/>
  <c r="AR398" i="3"/>
  <c r="AR380" i="3"/>
  <c r="AR368" i="3"/>
  <c r="AR354" i="3"/>
  <c r="AR340" i="3"/>
  <c r="AR326" i="3"/>
  <c r="AR314" i="3"/>
  <c r="AR302" i="3"/>
  <c r="AR290" i="3"/>
  <c r="AR276" i="3"/>
  <c r="AR264" i="3"/>
  <c r="AR252" i="3"/>
  <c r="AR240" i="3"/>
  <c r="AR228" i="3"/>
  <c r="AR214" i="3"/>
  <c r="AR200" i="3"/>
  <c r="AR183" i="3"/>
  <c r="AR169" i="3"/>
  <c r="AR155" i="3"/>
  <c r="AR141" i="3"/>
  <c r="AR129" i="3"/>
  <c r="AR117" i="3"/>
  <c r="AR105" i="3"/>
  <c r="AR93" i="3"/>
  <c r="AR81" i="3"/>
  <c r="AR69" i="3"/>
  <c r="AR57" i="3"/>
  <c r="AR45" i="3"/>
  <c r="AR33" i="3"/>
  <c r="AR21" i="3"/>
  <c r="AR9" i="3"/>
  <c r="AR1369" i="3"/>
  <c r="AR1194" i="3"/>
  <c r="AR795" i="3"/>
  <c r="AR771" i="3"/>
  <c r="AR747" i="3"/>
  <c r="AR723" i="3"/>
  <c r="AR699" i="3"/>
  <c r="AR651" i="3"/>
  <c r="AR627" i="3"/>
  <c r="AR591" i="3"/>
  <c r="AR543" i="3"/>
  <c r="AR507" i="3"/>
  <c r="AR483" i="3"/>
  <c r="AR409" i="3"/>
  <c r="AR367" i="3"/>
  <c r="AR339" i="3"/>
  <c r="AR301" i="3"/>
  <c r="AR275" i="3"/>
  <c r="AR251" i="3"/>
  <c r="AR227" i="3"/>
  <c r="AR182" i="3"/>
  <c r="AR154" i="3"/>
  <c r="AR104" i="3"/>
  <c r="AR92" i="3"/>
  <c r="AR80" i="3"/>
  <c r="AR20" i="3"/>
  <c r="AR1338" i="3"/>
  <c r="AR1301" i="3"/>
  <c r="AR1289" i="3"/>
  <c r="AR1193" i="3"/>
  <c r="AR1156" i="3"/>
  <c r="AR1120" i="3"/>
  <c r="AR1096" i="3"/>
  <c r="AR1072" i="3"/>
  <c r="AR1060" i="3"/>
  <c r="AR1048" i="3"/>
  <c r="AR1036" i="3"/>
  <c r="AR1024" i="3"/>
  <c r="AR1012" i="3"/>
  <c r="AR998" i="3"/>
  <c r="AR986" i="3"/>
  <c r="AR974" i="3"/>
  <c r="AR962" i="3"/>
  <c r="AR950" i="3"/>
  <c r="AR938" i="3"/>
  <c r="AR926" i="3"/>
  <c r="AR914" i="3"/>
  <c r="AR902" i="3"/>
  <c r="AR890" i="3"/>
  <c r="AR878" i="3"/>
  <c r="AR866" i="3"/>
  <c r="AR854" i="3"/>
  <c r="AR842" i="3"/>
  <c r="AR830" i="3"/>
  <c r="AR818" i="3"/>
  <c r="AR806" i="3"/>
  <c r="AR794" i="3"/>
  <c r="AR782" i="3"/>
  <c r="AR770" i="3"/>
  <c r="AR758" i="3"/>
  <c r="AR746" i="3"/>
  <c r="AR734" i="3"/>
  <c r="AR722" i="3"/>
  <c r="AR710" i="3"/>
  <c r="AR698" i="3"/>
  <c r="AR686" i="3"/>
  <c r="AR674" i="3"/>
  <c r="AR662" i="3"/>
  <c r="AR650" i="3"/>
  <c r="AR638" i="3"/>
  <c r="AR626" i="3"/>
  <c r="AR614" i="3"/>
  <c r="AR602" i="3"/>
  <c r="AR590" i="3"/>
  <c r="AR578" i="3"/>
  <c r="AR566" i="3"/>
  <c r="AR554" i="3"/>
  <c r="AR542" i="3"/>
  <c r="AR530" i="3"/>
  <c r="AR518" i="3"/>
  <c r="AR506" i="3"/>
  <c r="AR494" i="3"/>
  <c r="AR482" i="3"/>
  <c r="AR470" i="3"/>
  <c r="AR458" i="3"/>
  <c r="AR446" i="3"/>
  <c r="AR434" i="3"/>
  <c r="AR422" i="3"/>
  <c r="AR408" i="3"/>
  <c r="AR396" i="3"/>
  <c r="AR378" i="3"/>
  <c r="AR366" i="3"/>
  <c r="AR351" i="3"/>
  <c r="AR338" i="3"/>
  <c r="AR324" i="3"/>
  <c r="AR312" i="3"/>
  <c r="AR300" i="3"/>
  <c r="AR286" i="3"/>
  <c r="AR274" i="3"/>
  <c r="AR262" i="3"/>
  <c r="AR250" i="3"/>
  <c r="AR238" i="3"/>
  <c r="AR226" i="3"/>
  <c r="AR212" i="3"/>
  <c r="AR198" i="3"/>
  <c r="AR181" i="3"/>
  <c r="AR167" i="3"/>
  <c r="AR153" i="3"/>
  <c r="AR139" i="3"/>
  <c r="AR127" i="3"/>
  <c r="AR115" i="3"/>
  <c r="AR103" i="3"/>
  <c r="AR91" i="3"/>
  <c r="AR79" i="3"/>
  <c r="AR67" i="3"/>
  <c r="AR55" i="3"/>
  <c r="AR43" i="3"/>
  <c r="AR31" i="3"/>
  <c r="AR19" i="3"/>
  <c r="AR7" i="3"/>
  <c r="AR1278" i="3"/>
  <c r="AR1170" i="3"/>
  <c r="AR1097" i="3"/>
  <c r="AR819" i="3"/>
  <c r="AR807" i="3"/>
  <c r="AR759" i="3"/>
  <c r="AR687" i="3"/>
  <c r="AR663" i="3"/>
  <c r="AR615" i="3"/>
  <c r="AR603" i="3"/>
  <c r="AR531" i="3"/>
  <c r="AR519" i="3"/>
  <c r="AR495" i="3"/>
  <c r="AR471" i="3"/>
  <c r="AR459" i="3"/>
  <c r="AR435" i="3"/>
  <c r="AR423" i="3"/>
  <c r="AR397" i="3"/>
  <c r="AR379" i="3"/>
  <c r="AR353" i="3"/>
  <c r="AR325" i="3"/>
  <c r="AR313" i="3"/>
  <c r="AR288" i="3"/>
  <c r="AR263" i="3"/>
  <c r="AR239" i="3"/>
  <c r="AR213" i="3"/>
  <c r="AR199" i="3"/>
  <c r="AR168" i="3"/>
  <c r="AR140" i="3"/>
  <c r="AR128" i="3"/>
  <c r="AR116" i="3"/>
  <c r="AR68" i="3"/>
  <c r="AR56" i="3"/>
  <c r="AR44" i="3"/>
  <c r="AR32" i="3"/>
  <c r="AR8" i="3"/>
  <c r="AR1354" i="3"/>
  <c r="AR1325" i="3"/>
  <c r="AR1313" i="3"/>
  <c r="AR1265" i="3"/>
  <c r="AR1253" i="3"/>
  <c r="AR1144" i="3"/>
  <c r="AR1132" i="3"/>
  <c r="AR1108" i="3"/>
  <c r="AR1084" i="3"/>
  <c r="AR1367" i="3"/>
  <c r="AR1353" i="3"/>
  <c r="AR1337" i="3"/>
  <c r="AR1312" i="3"/>
  <c r="AR1300" i="3"/>
  <c r="AR1288" i="3"/>
  <c r="AR1276" i="3"/>
  <c r="AR1264" i="3"/>
  <c r="AR1252" i="3"/>
  <c r="AR1240" i="3"/>
  <c r="AR1228" i="3"/>
  <c r="AR1216" i="3"/>
  <c r="AR1204" i="3"/>
  <c r="AR1192" i="3"/>
  <c r="AR1180" i="3"/>
  <c r="AR1168" i="3"/>
  <c r="AR1155" i="3"/>
  <c r="AR1143" i="3"/>
  <c r="AR1131" i="3"/>
  <c r="AR1095" i="3"/>
  <c r="AR1059" i="3"/>
  <c r="AR1047" i="3"/>
  <c r="AR1035" i="3"/>
  <c r="AR1023" i="3"/>
  <c r="AR1011" i="3"/>
  <c r="AR997" i="3"/>
  <c r="AR973" i="3"/>
  <c r="AR961" i="3"/>
  <c r="AR949" i="3"/>
  <c r="AR937" i="3"/>
  <c r="AR925" i="3"/>
  <c r="AR889" i="3"/>
  <c r="AR877" i="3"/>
  <c r="AR865" i="3"/>
  <c r="AR853" i="3"/>
  <c r="AR841" i="3"/>
  <c r="AR817" i="3"/>
  <c r="AR805" i="3"/>
  <c r="AR793" i="3"/>
  <c r="AR769" i="3"/>
  <c r="AR757" i="3"/>
  <c r="AR745" i="3"/>
  <c r="AR709" i="3"/>
  <c r="AR673" i="3"/>
  <c r="AR661" i="3"/>
  <c r="AR649" i="3"/>
  <c r="AR637" i="3"/>
  <c r="AR613" i="3"/>
  <c r="AR601" i="3"/>
  <c r="AR589" i="3"/>
  <c r="AR577" i="3"/>
  <c r="AR541" i="3"/>
  <c r="AR529" i="3"/>
  <c r="AR493" i="3"/>
  <c r="AR433" i="3"/>
  <c r="AR421" i="3"/>
  <c r="AR407" i="3"/>
  <c r="AR394" i="3"/>
  <c r="AR377" i="3"/>
  <c r="AR365" i="3"/>
  <c r="AR349" i="3"/>
  <c r="AR337" i="3"/>
  <c r="AR323" i="3"/>
  <c r="AR311" i="3"/>
  <c r="AR299" i="3"/>
  <c r="AR285" i="3"/>
  <c r="AR273" i="3"/>
  <c r="AR261" i="3"/>
  <c r="AR249" i="3"/>
  <c r="AR237" i="3"/>
  <c r="AR225" i="3"/>
  <c r="AR211" i="3"/>
  <c r="AR196" i="3"/>
  <c r="AR180" i="3"/>
  <c r="AR166" i="3"/>
  <c r="AR152" i="3"/>
  <c r="AR138" i="3"/>
  <c r="AR126" i="3"/>
  <c r="AR114" i="3"/>
  <c r="AR102" i="3"/>
  <c r="AR90" i="3"/>
  <c r="AR78" i="3"/>
  <c r="AR66" i="3"/>
  <c r="AR54" i="3"/>
  <c r="AR42" i="3"/>
  <c r="AR30" i="3"/>
  <c r="AR18" i="3"/>
  <c r="AR6" i="3"/>
  <c r="AR1302" i="3"/>
  <c r="AR1206" i="3"/>
  <c r="AR1121" i="3"/>
  <c r="AR1061" i="3"/>
  <c r="AR963" i="3"/>
  <c r="AR855" i="3"/>
  <c r="AR1323" i="3"/>
  <c r="AR1167" i="3"/>
  <c r="AR1082" i="3"/>
  <c r="AR996" i="3"/>
  <c r="AR912" i="3"/>
  <c r="AR828" i="3"/>
  <c r="AR756" i="3"/>
  <c r="AR672" i="3"/>
  <c r="AR612" i="3"/>
  <c r="AR528" i="3"/>
  <c r="AR456" i="3"/>
  <c r="AR348" i="3"/>
  <c r="AR260" i="3"/>
  <c r="AR194" i="3"/>
  <c r="AR125" i="3"/>
  <c r="AR65" i="3"/>
  <c r="AR1377" i="3"/>
  <c r="AR1274" i="3"/>
  <c r="AR1166" i="3"/>
  <c r="AR875" i="3"/>
  <c r="AR815" i="3"/>
  <c r="AR755" i="3"/>
  <c r="AR671" i="3"/>
  <c r="AR611" i="3"/>
  <c r="AR527" i="3"/>
  <c r="AR443" i="3"/>
  <c r="AR375" i="3"/>
  <c r="AR347" i="3"/>
  <c r="AR297" i="3"/>
  <c r="AR283" i="3"/>
  <c r="AR247" i="3"/>
  <c r="AR223" i="3"/>
  <c r="AR209" i="3"/>
  <c r="AR178" i="3"/>
  <c r="AR150" i="3"/>
  <c r="AR112" i="3"/>
  <c r="AR64" i="3"/>
  <c r="AR40" i="3"/>
  <c r="AR4" i="3"/>
  <c r="AR1363" i="3"/>
  <c r="AR1349" i="3"/>
  <c r="AR1321" i="3"/>
  <c r="AR1297" i="3"/>
  <c r="AR1285" i="3"/>
  <c r="AR1165" i="3"/>
  <c r="AR1152" i="3"/>
  <c r="AR1140" i="3"/>
  <c r="AR1128" i="3"/>
  <c r="AR1116" i="3"/>
  <c r="AR1104" i="3"/>
  <c r="AR1092" i="3"/>
  <c r="AR1080" i="3"/>
  <c r="AR1068" i="3"/>
  <c r="AR1056" i="3"/>
  <c r="AR1044" i="3"/>
  <c r="AR1032" i="3"/>
  <c r="AR1020" i="3"/>
  <c r="AR1008" i="3"/>
  <c r="AR994" i="3"/>
  <c r="AR982" i="3"/>
  <c r="AR970" i="3"/>
  <c r="AR958" i="3"/>
  <c r="AR946" i="3"/>
  <c r="AR934" i="3"/>
  <c r="AR922" i="3"/>
  <c r="AR910" i="3"/>
  <c r="AR898" i="3"/>
  <c r="AR886" i="3"/>
  <c r="AR874" i="3"/>
  <c r="AR862" i="3"/>
  <c r="AR850" i="3"/>
  <c r="AR838" i="3"/>
  <c r="AR826" i="3"/>
  <c r="AR814" i="3"/>
  <c r="AR802" i="3"/>
  <c r="AR790" i="3"/>
  <c r="AR778" i="3"/>
  <c r="AR766" i="3"/>
  <c r="AR754" i="3"/>
  <c r="AR742" i="3"/>
  <c r="AR730" i="3"/>
  <c r="AR718" i="3"/>
  <c r="AR706" i="3"/>
  <c r="AR694" i="3"/>
  <c r="AR682" i="3"/>
  <c r="AR670" i="3"/>
  <c r="AR658" i="3"/>
  <c r="AR646" i="3"/>
  <c r="AR634" i="3"/>
  <c r="AR622" i="3"/>
  <c r="AR610" i="3"/>
  <c r="AR598" i="3"/>
  <c r="AR586" i="3"/>
  <c r="AR574" i="3"/>
  <c r="AR562" i="3"/>
  <c r="AR550" i="3"/>
  <c r="AR538" i="3"/>
  <c r="AR526" i="3"/>
  <c r="AR514" i="3"/>
  <c r="AR502" i="3"/>
  <c r="AR490" i="3"/>
  <c r="AR478" i="3"/>
  <c r="AR466" i="3"/>
  <c r="AR454" i="3"/>
  <c r="AR442" i="3"/>
  <c r="AR430" i="3"/>
  <c r="AR418" i="3"/>
  <c r="AR404" i="3"/>
  <c r="AR388" i="3"/>
  <c r="AR374" i="3"/>
  <c r="AR362" i="3"/>
  <c r="AR346" i="3"/>
  <c r="AR333" i="3"/>
  <c r="AR320" i="3"/>
  <c r="AR308" i="3"/>
  <c r="AR296" i="3"/>
  <c r="AR282" i="3"/>
  <c r="AR270" i="3"/>
  <c r="AR258" i="3"/>
  <c r="AR246" i="3"/>
  <c r="AR234" i="3"/>
  <c r="AR222" i="3"/>
  <c r="AR207" i="3"/>
  <c r="AR191" i="3"/>
  <c r="AR177" i="3"/>
  <c r="AR161" i="3"/>
  <c r="AR149" i="3"/>
  <c r="AR135" i="3"/>
  <c r="AR123" i="3"/>
  <c r="AR111" i="3"/>
  <c r="AR99" i="3"/>
  <c r="AR87" i="3"/>
  <c r="AR75" i="3"/>
  <c r="AR63" i="3"/>
  <c r="AR51" i="3"/>
  <c r="AR39" i="3"/>
  <c r="AR27" i="3"/>
  <c r="AR15" i="3"/>
  <c r="AR3" i="3"/>
  <c r="AR1266" i="3"/>
  <c r="AR1037" i="3"/>
  <c r="AR951" i="3"/>
  <c r="AR879" i="3"/>
  <c r="AR1352" i="3"/>
  <c r="AR1287" i="3"/>
  <c r="AR1118" i="3"/>
  <c r="AR1034" i="3"/>
  <c r="AR948" i="3"/>
  <c r="AR876" i="3"/>
  <c r="AR804" i="3"/>
  <c r="AR720" i="3"/>
  <c r="AR600" i="3"/>
  <c r="AR504" i="3"/>
  <c r="AR420" i="3"/>
  <c r="AR322" i="3"/>
  <c r="AR236" i="3"/>
  <c r="AR89" i="3"/>
  <c r="AR29" i="3"/>
  <c r="AR1334" i="3"/>
  <c r="AR1286" i="3"/>
  <c r="AR1202" i="3"/>
  <c r="AR1129" i="3"/>
  <c r="AR1033" i="3"/>
  <c r="AR983" i="3"/>
  <c r="AR767" i="3"/>
  <c r="AR635" i="3"/>
  <c r="AR563" i="3"/>
  <c r="AR431" i="3"/>
  <c r="AR405" i="3"/>
  <c r="AR334" i="3"/>
  <c r="AR259" i="3"/>
  <c r="AR192" i="3"/>
  <c r="AR136" i="3"/>
  <c r="AR100" i="3"/>
  <c r="AR76" i="3"/>
  <c r="AR52" i="3"/>
  <c r="AR28" i="3"/>
  <c r="AR16" i="3"/>
  <c r="AR1333" i="3"/>
  <c r="AR1309" i="3"/>
  <c r="AR1261" i="3"/>
  <c r="AR1375" i="3"/>
  <c r="AR1362" i="3"/>
  <c r="AR1348" i="3"/>
  <c r="AR1332" i="3"/>
  <c r="AR1308" i="3"/>
  <c r="AR1296" i="3"/>
  <c r="AR1284" i="3"/>
  <c r="AR1272" i="3"/>
  <c r="AR1260" i="3"/>
  <c r="AR1248" i="3"/>
  <c r="AR1236" i="3"/>
  <c r="AR1224" i="3"/>
  <c r="AR1212" i="3"/>
  <c r="AR1200" i="3"/>
  <c r="AR1188" i="3"/>
  <c r="AR1176" i="3"/>
  <c r="AR1151" i="3"/>
  <c r="AR1139" i="3"/>
  <c r="AR1127" i="3"/>
  <c r="AR1091" i="3"/>
  <c r="AR1055" i="3"/>
  <c r="AR1043" i="3"/>
  <c r="AR1031" i="3"/>
  <c r="AR993" i="3"/>
  <c r="AR981" i="3"/>
  <c r="AR969" i="3"/>
  <c r="AR945" i="3"/>
  <c r="AR933" i="3"/>
  <c r="AR921" i="3"/>
  <c r="AR897" i="3"/>
  <c r="AR873" i="3"/>
  <c r="AR837" i="3"/>
  <c r="AR825" i="3"/>
  <c r="AR813" i="3"/>
  <c r="AR801" i="3"/>
  <c r="AR777" i="3"/>
  <c r="AR765" i="3"/>
  <c r="AR753" i="3"/>
  <c r="AR729" i="3"/>
  <c r="AR717" i="3"/>
  <c r="AR705" i="3"/>
  <c r="AR669" i="3"/>
  <c r="AR645" i="3"/>
  <c r="AR633" i="3"/>
  <c r="AR621" i="3"/>
  <c r="AR609" i="3"/>
  <c r="AR597" i="3"/>
  <c r="AR585" i="3"/>
  <c r="AR573" i="3"/>
  <c r="AR561" i="3"/>
  <c r="AR525" i="3"/>
  <c r="AR513" i="3"/>
  <c r="AR501" i="3"/>
  <c r="AR453" i="3"/>
  <c r="AR441" i="3"/>
  <c r="AR403" i="3"/>
  <c r="AR387" i="3"/>
  <c r="AR373" i="3"/>
  <c r="AR361" i="3"/>
  <c r="AR345" i="3"/>
  <c r="AR332" i="3"/>
  <c r="AR319" i="3"/>
  <c r="AR307" i="3"/>
  <c r="AR295" i="3"/>
  <c r="AR281" i="3"/>
  <c r="AR269" i="3"/>
  <c r="AR257" i="3"/>
  <c r="AR245" i="3"/>
  <c r="AR233" i="3"/>
  <c r="AR221" i="3"/>
  <c r="AR205" i="3"/>
  <c r="AR189" i="3"/>
  <c r="AR176" i="3"/>
  <c r="AR160" i="3"/>
  <c r="AR148" i="3"/>
  <c r="AR134" i="3"/>
  <c r="AR122" i="3"/>
  <c r="AR110" i="3"/>
  <c r="AR98" i="3"/>
  <c r="AR86" i="3"/>
  <c r="AR74" i="3"/>
  <c r="AR62" i="3"/>
  <c r="AR50" i="3"/>
  <c r="AR38" i="3"/>
  <c r="AR26" i="3"/>
  <c r="AR14" i="3"/>
  <c r="AR1314" i="3"/>
  <c r="AR1218" i="3"/>
  <c r="AR939" i="3"/>
  <c r="AR1299" i="3"/>
  <c r="AR1142" i="3"/>
  <c r="AR1058" i="3"/>
  <c r="AR972" i="3"/>
  <c r="AR888" i="3"/>
  <c r="AR792" i="3"/>
  <c r="AR708" i="3"/>
  <c r="AR588" i="3"/>
  <c r="AR516" i="3"/>
  <c r="AR432" i="3"/>
  <c r="AR336" i="3"/>
  <c r="AR248" i="3"/>
  <c r="AR41" i="3"/>
  <c r="AR1298" i="3"/>
  <c r="AR1214" i="3"/>
  <c r="AR1117" i="3"/>
  <c r="AR1009" i="3"/>
  <c r="AR707" i="3"/>
  <c r="AR647" i="3"/>
  <c r="AR587" i="3"/>
  <c r="AR539" i="3"/>
  <c r="AR491" i="3"/>
  <c r="AR390" i="3"/>
  <c r="AR363" i="3"/>
  <c r="AR321" i="3"/>
  <c r="AR309" i="3"/>
  <c r="AR271" i="3"/>
  <c r="AR235" i="3"/>
  <c r="AR164" i="3"/>
  <c r="AR124" i="3"/>
  <c r="AR88" i="3"/>
  <c r="AR1361" i="3"/>
  <c r="AR1346" i="3"/>
  <c r="AR1331" i="3"/>
  <c r="AR1319" i="3"/>
  <c r="AR1295" i="3"/>
  <c r="AR1283" i="3"/>
  <c r="AR1259" i="3"/>
  <c r="AR1211" i="3"/>
  <c r="AR1163" i="3"/>
  <c r="AR1150" i="3"/>
  <c r="AR1138" i="3"/>
  <c r="AR1126" i="3"/>
  <c r="AR1114" i="3"/>
  <c r="AR1102" i="3"/>
  <c r="AR1090" i="3"/>
  <c r="AR1078" i="3"/>
  <c r="AR1066" i="3"/>
  <c r="AR1054" i="3"/>
  <c r="AR1042" i="3"/>
  <c r="AR1030" i="3"/>
  <c r="AR1018" i="3"/>
  <c r="AR1006" i="3"/>
  <c r="AR992" i="3"/>
  <c r="AR980" i="3"/>
  <c r="AR968" i="3"/>
  <c r="AR956" i="3"/>
  <c r="AR944" i="3"/>
  <c r="AR932" i="3"/>
  <c r="AR920" i="3"/>
  <c r="AR908" i="3"/>
  <c r="AR896" i="3"/>
  <c r="AR884" i="3"/>
  <c r="AR872" i="3"/>
  <c r="AR860" i="3"/>
  <c r="AR848" i="3"/>
  <c r="AR836" i="3"/>
  <c r="AR824" i="3"/>
  <c r="AR812" i="3"/>
  <c r="AR800" i="3"/>
  <c r="AR788" i="3"/>
  <c r="AR776" i="3"/>
  <c r="AR764" i="3"/>
  <c r="AR752" i="3"/>
  <c r="AR740" i="3"/>
  <c r="AR728" i="3"/>
  <c r="AR716" i="3"/>
  <c r="AR704" i="3"/>
  <c r="AR692" i="3"/>
  <c r="AR680" i="3"/>
  <c r="AR668" i="3"/>
  <c r="AR656" i="3"/>
  <c r="AR644" i="3"/>
  <c r="AR632" i="3"/>
  <c r="AR620" i="3"/>
  <c r="AR608" i="3"/>
  <c r="AR596" i="3"/>
  <c r="AR584" i="3"/>
  <c r="AR572" i="3"/>
  <c r="AR560" i="3"/>
  <c r="AR548" i="3"/>
  <c r="AR536" i="3"/>
  <c r="AR524" i="3"/>
  <c r="AR512" i="3"/>
  <c r="AR500" i="3"/>
  <c r="AR488" i="3"/>
  <c r="AR476" i="3"/>
  <c r="AR464" i="3"/>
  <c r="AR452" i="3"/>
  <c r="AR440" i="3"/>
  <c r="AR428" i="3"/>
  <c r="AR416" i="3"/>
  <c r="AR402" i="3"/>
  <c r="AR386" i="3"/>
  <c r="AR372" i="3"/>
  <c r="AR360" i="3"/>
  <c r="AR344" i="3"/>
  <c r="AR330" i="3"/>
  <c r="AR318" i="3"/>
  <c r="AR306" i="3"/>
  <c r="AR294" i="3"/>
  <c r="AR280" i="3"/>
  <c r="AR268" i="3"/>
  <c r="AR256" i="3"/>
  <c r="AR244" i="3"/>
  <c r="AR232" i="3"/>
  <c r="AR220" i="3"/>
  <c r="AR204" i="3"/>
  <c r="AR187" i="3"/>
  <c r="AR175" i="3"/>
  <c r="AR159" i="3"/>
  <c r="AR147" i="3"/>
  <c r="AR133" i="3"/>
  <c r="AR121" i="3"/>
  <c r="AR109" i="3"/>
  <c r="AR97" i="3"/>
  <c r="AR85" i="3"/>
  <c r="AR73" i="3"/>
  <c r="AR61" i="3"/>
  <c r="AR49" i="3"/>
  <c r="AR37" i="3"/>
  <c r="AR25" i="3"/>
  <c r="AR13" i="3"/>
  <c r="AR1339" i="3"/>
  <c r="AR1242" i="3"/>
  <c r="AR1013" i="3"/>
  <c r="AR891" i="3"/>
  <c r="AR1311" i="3"/>
  <c r="AR1263" i="3"/>
  <c r="AR1130" i="3"/>
  <c r="AR1046" i="3"/>
  <c r="AR960" i="3"/>
  <c r="AR864" i="3"/>
  <c r="AR768" i="3"/>
  <c r="AR684" i="3"/>
  <c r="AR624" i="3"/>
  <c r="AR540" i="3"/>
  <c r="AR444" i="3"/>
  <c r="AR392" i="3"/>
  <c r="AR310" i="3"/>
  <c r="AR210" i="3"/>
  <c r="AR101" i="3"/>
  <c r="AR77" i="3"/>
  <c r="AR5" i="3"/>
  <c r="AR1310" i="3"/>
  <c r="AR1262" i="3"/>
  <c r="AR1178" i="3"/>
  <c r="AR1057" i="3"/>
  <c r="AR1021" i="3"/>
  <c r="AR935" i="3"/>
  <c r="AR1373" i="3"/>
  <c r="AR1330" i="3"/>
  <c r="AR1246" i="3"/>
  <c r="AR1198" i="3"/>
  <c r="AR1137" i="3"/>
  <c r="AR1053" i="3"/>
  <c r="AR967" i="3"/>
  <c r="AR883" i="3"/>
  <c r="AR859" i="3"/>
  <c r="AR835" i="3"/>
  <c r="AR763" i="3"/>
  <c r="AR727" i="3"/>
  <c r="AR631" i="3"/>
  <c r="AR595" i="3"/>
  <c r="AR511" i="3"/>
  <c r="AR371" i="3"/>
  <c r="AR329" i="3"/>
  <c r="AR305" i="3"/>
  <c r="AR293" i="3"/>
  <c r="AR267" i="3"/>
  <c r="AR186" i="3"/>
  <c r="AR132" i="3"/>
  <c r="AR108" i="3"/>
  <c r="AR36" i="3"/>
  <c r="AR1372" i="3"/>
  <c r="AR1329" i="3"/>
  <c r="AR1209" i="3"/>
  <c r="AR1148" i="3"/>
  <c r="AR1112" i="3"/>
  <c r="AR1088" i="3"/>
  <c r="AR1076" i="3"/>
  <c r="AR1064" i="3"/>
  <c r="AR1052" i="3"/>
  <c r="AR1040" i="3"/>
  <c r="AR1028" i="3"/>
  <c r="AR1016" i="3"/>
  <c r="AR1004" i="3"/>
  <c r="AR990" i="3"/>
  <c r="AR978" i="3"/>
  <c r="AR966" i="3"/>
  <c r="AR954" i="3"/>
  <c r="AR942" i="3"/>
  <c r="AR930" i="3"/>
  <c r="AR918" i="3"/>
  <c r="AR906" i="3"/>
  <c r="AR894" i="3"/>
  <c r="AR882" i="3"/>
  <c r="AR870" i="3"/>
  <c r="AR858" i="3"/>
  <c r="AR846" i="3"/>
  <c r="AR834" i="3"/>
  <c r="AR822" i="3"/>
  <c r="AR810" i="3"/>
  <c r="AR798" i="3"/>
  <c r="AR786" i="3"/>
  <c r="AR774" i="3"/>
  <c r="AR762" i="3"/>
  <c r="AR750" i="3"/>
  <c r="AR738" i="3"/>
  <c r="AR726" i="3"/>
  <c r="AR714" i="3"/>
  <c r="AR702" i="3"/>
  <c r="AR690" i="3"/>
  <c r="AR678" i="3"/>
  <c r="AR666" i="3"/>
  <c r="AR654" i="3"/>
  <c r="AR642" i="3"/>
  <c r="AR630" i="3"/>
  <c r="AR618" i="3"/>
  <c r="AR606" i="3"/>
  <c r="AR594" i="3"/>
  <c r="AR582" i="3"/>
  <c r="AR570" i="3"/>
  <c r="AR558" i="3"/>
  <c r="AR546" i="3"/>
  <c r="AR534" i="3"/>
  <c r="AR522" i="3"/>
  <c r="AR510" i="3"/>
  <c r="AR498" i="3"/>
  <c r="AR486" i="3"/>
  <c r="AR474" i="3"/>
  <c r="AR462" i="3"/>
  <c r="AR450" i="3"/>
  <c r="AR438" i="3"/>
  <c r="AR426" i="3"/>
  <c r="AR413" i="3"/>
  <c r="AR400" i="3"/>
  <c r="AR383" i="3"/>
  <c r="AR370" i="3"/>
  <c r="AR356" i="3"/>
  <c r="AR342" i="3"/>
  <c r="AR328" i="3"/>
  <c r="AR316" i="3"/>
  <c r="AR304" i="3"/>
  <c r="AR292" i="3"/>
  <c r="AR278" i="3"/>
  <c r="AR266" i="3"/>
  <c r="AR254" i="3"/>
  <c r="AR242" i="3"/>
  <c r="AR230" i="3"/>
  <c r="AR217" i="3"/>
  <c r="AR202" i="3"/>
  <c r="AR185" i="3"/>
  <c r="AR171" i="3"/>
  <c r="AR157" i="3"/>
  <c r="AR143" i="3"/>
  <c r="AR131" i="3"/>
  <c r="AR119" i="3"/>
  <c r="AR107" i="3"/>
  <c r="AR95" i="3"/>
  <c r="AR83" i="3"/>
  <c r="AR71" i="3"/>
  <c r="AR59" i="3"/>
  <c r="AR47" i="3"/>
  <c r="AR35" i="3"/>
  <c r="AR23" i="3"/>
  <c r="AR11" i="3"/>
  <c r="AR1230" i="3"/>
  <c r="AR999" i="3"/>
  <c r="AR867" i="3"/>
  <c r="AR1094" i="3"/>
  <c r="AR1010" i="3"/>
  <c r="AR924" i="3"/>
  <c r="AR852" i="3"/>
  <c r="AR780" i="3"/>
  <c r="AR696" i="3"/>
  <c r="AR636" i="3"/>
  <c r="AR552" i="3"/>
  <c r="AR480" i="3"/>
  <c r="AR376" i="3"/>
  <c r="AR284" i="3"/>
  <c r="AR179" i="3"/>
  <c r="AR165" i="3"/>
  <c r="AR137" i="3"/>
  <c r="AR53" i="3"/>
  <c r="AR1364" i="3"/>
  <c r="AR1238" i="3"/>
  <c r="AR1153" i="3"/>
  <c r="AR1045" i="3"/>
  <c r="AR971" i="3"/>
  <c r="AR923" i="3"/>
  <c r="AR839" i="3"/>
  <c r="AR599" i="3"/>
  <c r="AR1360" i="3"/>
  <c r="AR1306" i="3"/>
  <c r="AR1282" i="3"/>
  <c r="AR1258" i="3"/>
  <c r="AR1210" i="3"/>
  <c r="AR1149" i="3"/>
  <c r="AR1029" i="3"/>
  <c r="AR979" i="3"/>
  <c r="AR847" i="3"/>
  <c r="AR811" i="3"/>
  <c r="AR751" i="3"/>
  <c r="AR703" i="3"/>
  <c r="AR667" i="3"/>
  <c r="AR619" i="3"/>
  <c r="AR583" i="3"/>
  <c r="AR499" i="3"/>
  <c r="AR451" i="3"/>
  <c r="AR401" i="3"/>
  <c r="AR385" i="3"/>
  <c r="AR317" i="3"/>
  <c r="AR231" i="3"/>
  <c r="AR219" i="3"/>
  <c r="AR203" i="3"/>
  <c r="AR158" i="3"/>
  <c r="AR120" i="3"/>
  <c r="AR96" i="3"/>
  <c r="AR60" i="3"/>
  <c r="AR12" i="3"/>
  <c r="AR1317" i="3"/>
  <c r="AR1293" i="3"/>
  <c r="AR1281" i="3"/>
  <c r="AR1124" i="3"/>
  <c r="AR1357" i="3"/>
  <c r="AR1316" i="3"/>
  <c r="AR1280" i="3"/>
  <c r="AR1232" i="3"/>
  <c r="AR1196" i="3"/>
  <c r="AR1172" i="3"/>
  <c r="AR1123" i="3"/>
  <c r="AR1063" i="3"/>
  <c r="AR1039" i="3"/>
  <c r="AR1015" i="3"/>
  <c r="AR1002" i="3"/>
  <c r="AR977" i="3"/>
  <c r="AR965" i="3"/>
  <c r="AR905" i="3"/>
  <c r="AR881" i="3"/>
  <c r="AR857" i="3"/>
  <c r="AR845" i="3"/>
  <c r="AR833" i="3"/>
  <c r="AR809" i="3"/>
  <c r="AR773" i="3"/>
  <c r="AR761" i="3"/>
  <c r="AR749" i="3"/>
  <c r="AR725" i="3"/>
  <c r="AR701" i="3"/>
  <c r="AR689" i="3"/>
  <c r="AR665" i="3"/>
  <c r="AR653" i="3"/>
  <c r="AR629" i="3"/>
  <c r="AR617" i="3"/>
  <c r="AR605" i="3"/>
  <c r="AR593" i="3"/>
  <c r="AR557" i="3"/>
  <c r="AR533" i="3"/>
  <c r="AR521" i="3"/>
  <c r="AR509" i="3"/>
  <c r="AR497" i="3"/>
  <c r="AR485" i="3"/>
  <c r="AR473" i="3"/>
  <c r="AR461" i="3"/>
  <c r="AR437" i="3"/>
  <c r="AR412" i="3"/>
  <c r="AR399" i="3"/>
  <c r="AR381" i="3"/>
  <c r="AR369" i="3"/>
  <c r="AR355" i="3"/>
  <c r="AR341" i="3"/>
  <c r="AR327" i="3"/>
  <c r="AR315" i="3"/>
  <c r="AR303" i="3"/>
  <c r="AR291" i="3"/>
  <c r="AR277" i="3"/>
  <c r="AR265" i="3"/>
  <c r="AR253" i="3"/>
  <c r="AR241" i="3"/>
  <c r="AR229" i="3"/>
  <c r="AR215" i="3"/>
  <c r="AR201" i="3"/>
  <c r="AR184" i="3"/>
  <c r="AR170" i="3"/>
  <c r="AR156" i="3"/>
  <c r="AR142" i="3"/>
  <c r="AR130" i="3"/>
  <c r="AR118" i="3"/>
  <c r="AR106" i="3"/>
  <c r="AR94" i="3"/>
  <c r="AR82" i="3"/>
  <c r="AR70" i="3"/>
  <c r="AR58" i="3"/>
  <c r="AR46" i="3"/>
  <c r="AR34" i="3"/>
  <c r="AR22" i="3"/>
  <c r="AR10" i="3"/>
  <c r="AR1219" i="3"/>
  <c r="AR1355" i="3"/>
  <c r="AR831" i="3"/>
  <c r="AR783" i="3"/>
  <c r="AR735" i="3"/>
  <c r="AR1083" i="3"/>
  <c r="AR829" i="3"/>
  <c r="AR685" i="3"/>
  <c r="AR565" i="3"/>
  <c r="AR517" i="3"/>
  <c r="AR469" i="3"/>
  <c r="AR445" i="3"/>
  <c r="AR1275" i="3"/>
  <c r="AR1251" i="3"/>
  <c r="AR1227" i="3"/>
  <c r="AR1203" i="3"/>
  <c r="AR1179" i="3"/>
  <c r="AR1243" i="3"/>
  <c r="AR1073" i="3"/>
  <c r="AR1025" i="3"/>
  <c r="AR987" i="3"/>
  <c r="AR1205" i="3"/>
  <c r="AR1107" i="3"/>
  <c r="AR913" i="3"/>
  <c r="AR901" i="3"/>
  <c r="AR781" i="3"/>
  <c r="AR733" i="3"/>
  <c r="AR721" i="3"/>
  <c r="AR697" i="3"/>
  <c r="AR625" i="3"/>
  <c r="AR553" i="3"/>
  <c r="AR505" i="3"/>
  <c r="AR481" i="3"/>
  <c r="AR457" i="3"/>
  <c r="AR1366" i="3"/>
  <c r="AR1239" i="3"/>
  <c r="AR1215" i="3"/>
  <c r="AR1191" i="3"/>
  <c r="AR1351" i="3"/>
  <c r="AR1322" i="3"/>
  <c r="AR1105" i="3"/>
  <c r="AR1093" i="3"/>
  <c r="AR1081" i="3"/>
  <c r="AR1069" i="3"/>
  <c r="AR959" i="3"/>
  <c r="AR911" i="3"/>
  <c r="AR887" i="3"/>
  <c r="AR863" i="3"/>
  <c r="AR851" i="3"/>
  <c r="AR791" i="3"/>
  <c r="AR731" i="3"/>
  <c r="AR719" i="3"/>
  <c r="AR695" i="3"/>
  <c r="AR683" i="3"/>
  <c r="AR659" i="3"/>
  <c r="AR623" i="3"/>
  <c r="AR551" i="3"/>
  <c r="AR515" i="3"/>
  <c r="AR503" i="3"/>
  <c r="AR479" i="3"/>
  <c r="AR467" i="3"/>
  <c r="AR455" i="3"/>
  <c r="AR419" i="3"/>
  <c r="AR1231" i="3"/>
  <c r="AR915" i="3"/>
  <c r="AR579" i="3"/>
  <c r="AR1277" i="3"/>
  <c r="AR1229" i="3"/>
  <c r="AR1324" i="3"/>
  <c r="AR1119" i="3"/>
  <c r="AR1273" i="3"/>
  <c r="AR1225" i="3"/>
  <c r="AR1189" i="3"/>
  <c r="AR1320" i="3"/>
  <c r="AR1164" i="3"/>
  <c r="AR1115" i="3"/>
  <c r="AR1103" i="3"/>
  <c r="AR1079" i="3"/>
  <c r="AR1067" i="3"/>
  <c r="AR1019" i="3"/>
  <c r="AR1007" i="3"/>
  <c r="AR957" i="3"/>
  <c r="AR909" i="3"/>
  <c r="AR885" i="3"/>
  <c r="AR861" i="3"/>
  <c r="AR849" i="3"/>
  <c r="AR789" i="3"/>
  <c r="AR741" i="3"/>
  <c r="AR693" i="3"/>
  <c r="AR681" i="3"/>
  <c r="AR657" i="3"/>
  <c r="AR549" i="3"/>
  <c r="AR537" i="3"/>
  <c r="AR489" i="3"/>
  <c r="AR477" i="3"/>
  <c r="AR465" i="3"/>
  <c r="AR429" i="3"/>
  <c r="AR417" i="3"/>
  <c r="AR1109" i="3"/>
  <c r="AR1049" i="3"/>
  <c r="AR675" i="3"/>
  <c r="AR639" i="3"/>
  <c r="AR555" i="3"/>
  <c r="AR1241" i="3"/>
  <c r="AR1181" i="3"/>
  <c r="AR1169" i="3"/>
  <c r="AR1374" i="3"/>
  <c r="AR1271" i="3"/>
  <c r="AR1247" i="3"/>
  <c r="AR1207" i="3"/>
  <c r="AR1326" i="3"/>
  <c r="AR903" i="3"/>
  <c r="AR447" i="3"/>
  <c r="AR1368" i="3"/>
  <c r="AR1071" i="3"/>
  <c r="AR985" i="3"/>
  <c r="AR1249" i="3"/>
  <c r="AR1201" i="3"/>
  <c r="AR1307" i="3"/>
  <c r="AR1235" i="3"/>
  <c r="AR1223" i="3"/>
  <c r="AR1199" i="3"/>
  <c r="AR1187" i="3"/>
  <c r="AR1175" i="3"/>
  <c r="AR1318" i="3"/>
  <c r="AR1162" i="3"/>
  <c r="AR1101" i="3"/>
  <c r="AR1089" i="3"/>
  <c r="AR1077" i="3"/>
  <c r="AR1065" i="3"/>
  <c r="AR1017" i="3"/>
  <c r="AR1005" i="3"/>
  <c r="AR991" i="3"/>
  <c r="AR955" i="3"/>
  <c r="AR943" i="3"/>
  <c r="AR931" i="3"/>
  <c r="AR919" i="3"/>
  <c r="AR895" i="3"/>
  <c r="AR871" i="3"/>
  <c r="AR823" i="3"/>
  <c r="AR799" i="3"/>
  <c r="AR787" i="3"/>
  <c r="AR739" i="3"/>
  <c r="AR691" i="3"/>
  <c r="AR679" i="3"/>
  <c r="AR571" i="3"/>
  <c r="AR547" i="3"/>
  <c r="AR535" i="3"/>
  <c r="AR487" i="3"/>
  <c r="AR475" i="3"/>
  <c r="AR463" i="3"/>
  <c r="AR427" i="3"/>
  <c r="AR415" i="3"/>
  <c r="AR1267" i="3"/>
  <c r="AR1183" i="3"/>
  <c r="AR1171" i="3"/>
  <c r="AR1158" i="3"/>
  <c r="AR1085" i="3"/>
  <c r="AR711" i="3"/>
  <c r="AR567" i="3"/>
  <c r="AR1217" i="3"/>
  <c r="AR1376" i="3"/>
  <c r="AR1237" i="3"/>
  <c r="AR1213" i="3"/>
  <c r="AR1177" i="3"/>
  <c r="AR1269" i="3"/>
  <c r="AR1245" i="3"/>
  <c r="AR1233" i="3"/>
  <c r="AR1221" i="3"/>
  <c r="AR1197" i="3"/>
  <c r="AR1185" i="3"/>
  <c r="AR1173" i="3"/>
  <c r="AR1160" i="3"/>
  <c r="AR1099" i="3"/>
  <c r="AR1087" i="3"/>
  <c r="AR1075" i="3"/>
  <c r="AR1051" i="3"/>
  <c r="AR1027" i="3"/>
  <c r="AR989" i="3"/>
  <c r="AR953" i="3"/>
  <c r="AR941" i="3"/>
  <c r="AR929" i="3"/>
  <c r="AR917" i="3"/>
  <c r="AR893" i="3"/>
  <c r="AR869" i="3"/>
  <c r="AR821" i="3"/>
  <c r="AR797" i="3"/>
  <c r="AR785" i="3"/>
  <c r="AR737" i="3"/>
  <c r="AR713" i="3"/>
  <c r="AR677" i="3"/>
  <c r="AR641" i="3"/>
  <c r="AR581" i="3"/>
  <c r="AR569" i="3"/>
  <c r="AR545" i="3"/>
  <c r="AR449" i="3"/>
  <c r="AR425" i="3"/>
  <c r="G1278" i="3"/>
  <c r="G1186" i="3"/>
  <c r="G1149" i="3"/>
  <c r="G1005" i="3"/>
  <c r="G897" i="3"/>
  <c r="G813" i="3"/>
  <c r="G705" i="3"/>
  <c r="G609" i="3"/>
  <c r="G513" i="3"/>
  <c r="G387" i="3"/>
  <c r="G281" i="3"/>
  <c r="G148" i="3"/>
  <c r="G110" i="3"/>
  <c r="G26" i="3"/>
  <c r="G1313" i="3"/>
  <c r="G1217" i="3"/>
  <c r="G1173" i="3"/>
  <c r="G1148" i="3"/>
  <c r="G1052" i="3"/>
  <c r="G956" i="3"/>
  <c r="G860" i="3"/>
  <c r="G764" i="3"/>
  <c r="G692" i="3"/>
  <c r="G596" i="3"/>
  <c r="G500" i="3"/>
  <c r="G386" i="3"/>
  <c r="G220" i="3"/>
  <c r="G175" i="3"/>
  <c r="G85" i="3"/>
  <c r="G1337" i="3"/>
  <c r="G1288" i="3"/>
  <c r="G1160" i="3"/>
  <c r="G1051" i="3"/>
  <c r="G955" i="3"/>
  <c r="G847" i="3"/>
  <c r="G727" i="3"/>
  <c r="G643" i="3"/>
  <c r="G523" i="3"/>
  <c r="G358" i="3"/>
  <c r="G293" i="3"/>
  <c r="G84" i="3"/>
  <c r="G1311" i="3"/>
  <c r="G1263" i="3"/>
  <c r="G1146" i="3"/>
  <c r="G1038" i="3"/>
  <c r="G942" i="3"/>
  <c r="G858" i="3"/>
  <c r="G810" i="3"/>
  <c r="G726" i="3"/>
  <c r="G642" i="3"/>
  <c r="G546" i="3"/>
  <c r="G462" i="3"/>
  <c r="G370" i="3"/>
  <c r="G356" i="3"/>
  <c r="G304" i="3"/>
  <c r="G266" i="3"/>
  <c r="G242" i="3"/>
  <c r="G202" i="3"/>
  <c r="G171" i="3"/>
  <c r="G143" i="3"/>
  <c r="G119" i="3"/>
  <c r="G107" i="3"/>
  <c r="G95" i="3"/>
  <c r="G83" i="3"/>
  <c r="G71" i="3"/>
  <c r="G59" i="3"/>
  <c r="G47" i="3"/>
  <c r="G35" i="3"/>
  <c r="G23" i="3"/>
  <c r="G11" i="3"/>
  <c r="G1377" i="3"/>
  <c r="G1364" i="3"/>
  <c r="G1351" i="3"/>
  <c r="G1334" i="3"/>
  <c r="G1322" i="3"/>
  <c r="G1310" i="3"/>
  <c r="G1298" i="3"/>
  <c r="G1286" i="3"/>
  <c r="G1274" i="3"/>
  <c r="G1262" i="3"/>
  <c r="G1250" i="3"/>
  <c r="G1238" i="3"/>
  <c r="G1226" i="3"/>
  <c r="G1206" i="3"/>
  <c r="G1194" i="3"/>
  <c r="G1182" i="3"/>
  <c r="G1170" i="3"/>
  <c r="G1158" i="3"/>
  <c r="G1145" i="3"/>
  <c r="G1133" i="3"/>
  <c r="G1121" i="3"/>
  <c r="G1109" i="3"/>
  <c r="G1097" i="3"/>
  <c r="G1085" i="3"/>
  <c r="G1073" i="3"/>
  <c r="G1061" i="3"/>
  <c r="G1049" i="3"/>
  <c r="G1037" i="3"/>
  <c r="G1025" i="3"/>
  <c r="G1013" i="3"/>
  <c r="G989" i="3"/>
  <c r="G977" i="3"/>
  <c r="G965" i="3"/>
  <c r="G953" i="3"/>
  <c r="G941" i="3"/>
  <c r="G929" i="3"/>
  <c r="G917" i="3"/>
  <c r="G905" i="3"/>
  <c r="G893" i="3"/>
  <c r="G881" i="3"/>
  <c r="G869" i="3"/>
  <c r="G857" i="3"/>
  <c r="G845" i="3"/>
  <c r="G833" i="3"/>
  <c r="G821" i="3"/>
  <c r="G809" i="3"/>
  <c r="G797" i="3"/>
  <c r="G785" i="3"/>
  <c r="G773" i="3"/>
  <c r="G761" i="3"/>
  <c r="G749" i="3"/>
  <c r="G737" i="3"/>
  <c r="G725" i="3"/>
  <c r="G713" i="3"/>
  <c r="G701" i="3"/>
  <c r="G689" i="3"/>
  <c r="G677" i="3"/>
  <c r="G665" i="3"/>
  <c r="G653" i="3"/>
  <c r="G641" i="3"/>
  <c r="G629" i="3"/>
  <c r="G617" i="3"/>
  <c r="G605" i="3"/>
  <c r="G593" i="3"/>
  <c r="G581" i="3"/>
  <c r="G569" i="3"/>
  <c r="G557" i="3"/>
  <c r="G545" i="3"/>
  <c r="G533" i="3"/>
  <c r="G521" i="3"/>
  <c r="G509" i="3"/>
  <c r="G497" i="3"/>
  <c r="G485" i="3"/>
  <c r="G473" i="3"/>
  <c r="G461" i="3"/>
  <c r="G437" i="3"/>
  <c r="G425" i="3"/>
  <c r="G412" i="3"/>
  <c r="G399" i="3"/>
  <c r="G381" i="3"/>
  <c r="G369" i="3"/>
  <c r="G355" i="3"/>
  <c r="G341" i="3"/>
  <c r="G327" i="3"/>
  <c r="G315" i="3"/>
  <c r="G303" i="3"/>
  <c r="G291" i="3"/>
  <c r="G277" i="3"/>
  <c r="G265" i="3"/>
  <c r="G253" i="3"/>
  <c r="G241" i="3"/>
  <c r="G229" i="3"/>
  <c r="G215" i="3"/>
  <c r="G201" i="3"/>
  <c r="G184" i="3"/>
  <c r="G170" i="3"/>
  <c r="G156" i="3"/>
  <c r="G142" i="3"/>
  <c r="G130" i="3"/>
  <c r="G118" i="3"/>
  <c r="G106" i="3"/>
  <c r="G94" i="3"/>
  <c r="G82" i="3"/>
  <c r="G70" i="3"/>
  <c r="G58" i="3"/>
  <c r="G46" i="3"/>
  <c r="G34" i="3"/>
  <c r="G22" i="3"/>
  <c r="G10" i="3"/>
  <c r="G1314" i="3"/>
  <c r="G1218" i="3"/>
  <c r="G1113" i="3"/>
  <c r="G1017" i="3"/>
  <c r="G957" i="3"/>
  <c r="G861" i="3"/>
  <c r="G801" i="3"/>
  <c r="G753" i="3"/>
  <c r="G657" i="3"/>
  <c r="G561" i="3"/>
  <c r="G453" i="3"/>
  <c r="G319" i="3"/>
  <c r="G189" i="3"/>
  <c r="G134" i="3"/>
  <c r="G62" i="3"/>
  <c r="G1277" i="3"/>
  <c r="G1197" i="3"/>
  <c r="G1100" i="3"/>
  <c r="G992" i="3"/>
  <c r="G908" i="3"/>
  <c r="G812" i="3"/>
  <c r="G740" i="3"/>
  <c r="G644" i="3"/>
  <c r="G560" i="3"/>
  <c r="G464" i="3"/>
  <c r="G402" i="3"/>
  <c r="G344" i="3"/>
  <c r="G244" i="3"/>
  <c r="G121" i="3"/>
  <c r="G73" i="3"/>
  <c r="G1324" i="3"/>
  <c r="G1111" i="3"/>
  <c r="G1063" i="3"/>
  <c r="G967" i="3"/>
  <c r="G871" i="3"/>
  <c r="G775" i="3"/>
  <c r="G679" i="3"/>
  <c r="G583" i="3"/>
  <c r="G487" i="3"/>
  <c r="G415" i="3"/>
  <c r="G329" i="3"/>
  <c r="G305" i="3"/>
  <c r="G243" i="3"/>
  <c r="G158" i="3"/>
  <c r="G36" i="3"/>
  <c r="G1275" i="3"/>
  <c r="G1183" i="3"/>
  <c r="G1074" i="3"/>
  <c r="G978" i="3"/>
  <c r="G882" i="3"/>
  <c r="G774" i="3"/>
  <c r="G666" i="3"/>
  <c r="G570" i="3"/>
  <c r="G498" i="3"/>
  <c r="G383" i="3"/>
  <c r="G342" i="3"/>
  <c r="G292" i="3"/>
  <c r="G131" i="3"/>
  <c r="G1349" i="3"/>
  <c r="G1309" i="3"/>
  <c r="G1285" i="3"/>
  <c r="G1249" i="3"/>
  <c r="G1225" i="3"/>
  <c r="G1205" i="3"/>
  <c r="G1181" i="3"/>
  <c r="G1169" i="3"/>
  <c r="G1156" i="3"/>
  <c r="G1144" i="3"/>
  <c r="G1132" i="3"/>
  <c r="G1120" i="3"/>
  <c r="G1108" i="3"/>
  <c r="G1096" i="3"/>
  <c r="G1084" i="3"/>
  <c r="G1072" i="3"/>
  <c r="G1060" i="3"/>
  <c r="G1048" i="3"/>
  <c r="G1036" i="3"/>
  <c r="G1024" i="3"/>
  <c r="G1012" i="3"/>
  <c r="G1000" i="3"/>
  <c r="G988" i="3"/>
  <c r="G976" i="3"/>
  <c r="G964" i="3"/>
  <c r="G952" i="3"/>
  <c r="G940" i="3"/>
  <c r="G928" i="3"/>
  <c r="G916" i="3"/>
  <c r="G904" i="3"/>
  <c r="G892" i="3"/>
  <c r="G880" i="3"/>
  <c r="G868" i="3"/>
  <c r="G856" i="3"/>
  <c r="G844" i="3"/>
  <c r="G832" i="3"/>
  <c r="G820" i="3"/>
  <c r="G808" i="3"/>
  <c r="G796" i="3"/>
  <c r="G784" i="3"/>
  <c r="G772" i="3"/>
  <c r="G760" i="3"/>
  <c r="G748" i="3"/>
  <c r="G736" i="3"/>
  <c r="G724" i="3"/>
  <c r="G712" i="3"/>
  <c r="G700" i="3"/>
  <c r="G688" i="3"/>
  <c r="G676" i="3"/>
  <c r="G664" i="3"/>
  <c r="G652" i="3"/>
  <c r="G640" i="3"/>
  <c r="G628" i="3"/>
  <c r="G616" i="3"/>
  <c r="G604" i="3"/>
  <c r="G592" i="3"/>
  <c r="G580" i="3"/>
  <c r="G568" i="3"/>
  <c r="G556" i="3"/>
  <c r="G544" i="3"/>
  <c r="G532" i="3"/>
  <c r="G520" i="3"/>
  <c r="G508" i="3"/>
  <c r="G496" i="3"/>
  <c r="G484" i="3"/>
  <c r="G472" i="3"/>
  <c r="G460" i="3"/>
  <c r="G448" i="3"/>
  <c r="G436" i="3"/>
  <c r="G424" i="3"/>
  <c r="G411" i="3"/>
  <c r="G398" i="3"/>
  <c r="G380" i="3"/>
  <c r="G368" i="3"/>
  <c r="G354" i="3"/>
  <c r="G340" i="3"/>
  <c r="G326" i="3"/>
  <c r="G314" i="3"/>
  <c r="G302" i="3"/>
  <c r="G290" i="3"/>
  <c r="G276" i="3"/>
  <c r="G264" i="3"/>
  <c r="G252" i="3"/>
  <c r="G240" i="3"/>
  <c r="G228" i="3"/>
  <c r="G214" i="3"/>
  <c r="G200" i="3"/>
  <c r="G183" i="3"/>
  <c r="G169" i="3"/>
  <c r="G155" i="3"/>
  <c r="G141" i="3"/>
  <c r="G129" i="3"/>
  <c r="G117" i="3"/>
  <c r="G105" i="3"/>
  <c r="G93" i="3"/>
  <c r="G81" i="3"/>
  <c r="G69" i="3"/>
  <c r="G57" i="3"/>
  <c r="G45" i="3"/>
  <c r="G33" i="3"/>
  <c r="G21" i="3"/>
  <c r="G9" i="3"/>
  <c r="G1369" i="3"/>
  <c r="G1242" i="3"/>
  <c r="G1137" i="3"/>
  <c r="G1029" i="3"/>
  <c r="G945" i="3"/>
  <c r="G849" i="3"/>
  <c r="G777" i="3"/>
  <c r="G693" i="3"/>
  <c r="G597" i="3"/>
  <c r="G501" i="3"/>
  <c r="G373" i="3"/>
  <c r="G221" i="3"/>
  <c r="G122" i="3"/>
  <c r="G74" i="3"/>
  <c r="G1354" i="3"/>
  <c r="G1185" i="3"/>
  <c r="G1076" i="3"/>
  <c r="G980" i="3"/>
  <c r="G884" i="3"/>
  <c r="G776" i="3"/>
  <c r="G680" i="3"/>
  <c r="G584" i="3"/>
  <c r="G488" i="3"/>
  <c r="G330" i="3"/>
  <c r="G306" i="3"/>
  <c r="G187" i="3"/>
  <c r="G97" i="3"/>
  <c r="G1353" i="3"/>
  <c r="G1228" i="3"/>
  <c r="G1099" i="3"/>
  <c r="G907" i="3"/>
  <c r="G835" i="3"/>
  <c r="G715" i="3"/>
  <c r="G619" i="3"/>
  <c r="G559" i="3"/>
  <c r="G475" i="3"/>
  <c r="G279" i="3"/>
  <c r="G203" i="3"/>
  <c r="G60" i="3"/>
  <c r="G1352" i="3"/>
  <c r="G1239" i="3"/>
  <c r="G1098" i="3"/>
  <c r="G1002" i="3"/>
  <c r="G906" i="3"/>
  <c r="G798" i="3"/>
  <c r="G702" i="3"/>
  <c r="G594" i="3"/>
  <c r="G510" i="3"/>
  <c r="G426" i="3"/>
  <c r="G217" i="3"/>
  <c r="G1376" i="3"/>
  <c r="G1333" i="3"/>
  <c r="G1321" i="3"/>
  <c r="G1297" i="3"/>
  <c r="G1273" i="3"/>
  <c r="G1261" i="3"/>
  <c r="G1237" i="3"/>
  <c r="G1193" i="3"/>
  <c r="G1375" i="3"/>
  <c r="G1362" i="3"/>
  <c r="G1348" i="3"/>
  <c r="G1332" i="3"/>
  <c r="G1320" i="3"/>
  <c r="G1308" i="3"/>
  <c r="G1296" i="3"/>
  <c r="G1284" i="3"/>
  <c r="G1272" i="3"/>
  <c r="G1260" i="3"/>
  <c r="G1248" i="3"/>
  <c r="G1236" i="3"/>
  <c r="G1224" i="3"/>
  <c r="G1216" i="3"/>
  <c r="G1204" i="3"/>
  <c r="G1192" i="3"/>
  <c r="G1180" i="3"/>
  <c r="G1168" i="3"/>
  <c r="G1155" i="3"/>
  <c r="G1143" i="3"/>
  <c r="G1131" i="3"/>
  <c r="G1119" i="3"/>
  <c r="G1107" i="3"/>
  <c r="G1095" i="3"/>
  <c r="G1083" i="3"/>
  <c r="G1071" i="3"/>
  <c r="G1059" i="3"/>
  <c r="G1047" i="3"/>
  <c r="G1035" i="3"/>
  <c r="G1023" i="3"/>
  <c r="G1011" i="3"/>
  <c r="G999" i="3"/>
  <c r="G987" i="3"/>
  <c r="G975" i="3"/>
  <c r="G963" i="3"/>
  <c r="G951" i="3"/>
  <c r="G939" i="3"/>
  <c r="G927" i="3"/>
  <c r="G915" i="3"/>
  <c r="G903" i="3"/>
  <c r="G891" i="3"/>
  <c r="G879" i="3"/>
  <c r="G867" i="3"/>
  <c r="G855" i="3"/>
  <c r="G843" i="3"/>
  <c r="G831" i="3"/>
  <c r="G819" i="3"/>
  <c r="G807" i="3"/>
  <c r="G795" i="3"/>
  <c r="G783" i="3"/>
  <c r="G771" i="3"/>
  <c r="G759" i="3"/>
  <c r="G747" i="3"/>
  <c r="G735" i="3"/>
  <c r="G723" i="3"/>
  <c r="G711" i="3"/>
  <c r="G699" i="3"/>
  <c r="G687" i="3"/>
  <c r="G675" i="3"/>
  <c r="G663" i="3"/>
  <c r="G651" i="3"/>
  <c r="G639" i="3"/>
  <c r="G627" i="3"/>
  <c r="G615" i="3"/>
  <c r="G603" i="3"/>
  <c r="G591" i="3"/>
  <c r="G579" i="3"/>
  <c r="G567" i="3"/>
  <c r="G555" i="3"/>
  <c r="G543" i="3"/>
  <c r="G531" i="3"/>
  <c r="G519" i="3"/>
  <c r="G507" i="3"/>
  <c r="G495" i="3"/>
  <c r="G483" i="3"/>
  <c r="G471" i="3"/>
  <c r="G459" i="3"/>
  <c r="G435" i="3"/>
  <c r="G423" i="3"/>
  <c r="G409" i="3"/>
  <c r="G397" i="3"/>
  <c r="G379" i="3"/>
  <c r="G367" i="3"/>
  <c r="G353" i="3"/>
  <c r="G339" i="3"/>
  <c r="G325" i="3"/>
  <c r="G313" i="3"/>
  <c r="G301" i="3"/>
  <c r="G288" i="3"/>
  <c r="G275" i="3"/>
  <c r="G263" i="3"/>
  <c r="G251" i="3"/>
  <c r="G239" i="3"/>
  <c r="G227" i="3"/>
  <c r="G213" i="3"/>
  <c r="G199" i="3"/>
  <c r="G182" i="3"/>
  <c r="G168" i="3"/>
  <c r="G154" i="3"/>
  <c r="G140" i="3"/>
  <c r="G128" i="3"/>
  <c r="G116" i="3"/>
  <c r="G104" i="3"/>
  <c r="G92" i="3"/>
  <c r="G80" i="3"/>
  <c r="G68" i="3"/>
  <c r="G56" i="3"/>
  <c r="G44" i="3"/>
  <c r="G32" i="3"/>
  <c r="G20" i="3"/>
  <c r="G8" i="3"/>
  <c r="G1339" i="3"/>
  <c r="G1230" i="3"/>
  <c r="G1125" i="3"/>
  <c r="G1065" i="3"/>
  <c r="G921" i="3"/>
  <c r="G837" i="3"/>
  <c r="G717" i="3"/>
  <c r="G645" i="3"/>
  <c r="G549" i="3"/>
  <c r="G477" i="3"/>
  <c r="G417" i="3"/>
  <c r="G295" i="3"/>
  <c r="G176" i="3"/>
  <c r="G98" i="3"/>
  <c r="G1338" i="3"/>
  <c r="G1229" i="3"/>
  <c r="G1124" i="3"/>
  <c r="G1040" i="3"/>
  <c r="G944" i="3"/>
  <c r="G848" i="3"/>
  <c r="G752" i="3"/>
  <c r="G668" i="3"/>
  <c r="G572" i="3"/>
  <c r="G476" i="3"/>
  <c r="G318" i="3"/>
  <c r="G232" i="3"/>
  <c r="G61" i="3"/>
  <c r="G1312" i="3"/>
  <c r="G1208" i="3"/>
  <c r="G1087" i="3"/>
  <c r="G991" i="3"/>
  <c r="G883" i="3"/>
  <c r="G799" i="3"/>
  <c r="G751" i="3"/>
  <c r="G655" i="3"/>
  <c r="G535" i="3"/>
  <c r="G371" i="3"/>
  <c r="G173" i="3"/>
  <c r="G108" i="3"/>
  <c r="G1336" i="3"/>
  <c r="G1207" i="3"/>
  <c r="G1110" i="3"/>
  <c r="G1014" i="3"/>
  <c r="G918" i="3"/>
  <c r="G822" i="3"/>
  <c r="G714" i="3"/>
  <c r="G618" i="3"/>
  <c r="G534" i="3"/>
  <c r="G450" i="3"/>
  <c r="G328" i="3"/>
  <c r="G185" i="3"/>
  <c r="G1363" i="3"/>
  <c r="G1346" i="3"/>
  <c r="G1319" i="3"/>
  <c r="G1295" i="3"/>
  <c r="G1271" i="3"/>
  <c r="G1247" i="3"/>
  <c r="G1223" i="3"/>
  <c r="G1215" i="3"/>
  <c r="G1203" i="3"/>
  <c r="G1191" i="3"/>
  <c r="G1179" i="3"/>
  <c r="G1167" i="3"/>
  <c r="G1154" i="3"/>
  <c r="G1142" i="3"/>
  <c r="G1130" i="3"/>
  <c r="G1118" i="3"/>
  <c r="G1106" i="3"/>
  <c r="G1094" i="3"/>
  <c r="G1082" i="3"/>
  <c r="G1070" i="3"/>
  <c r="G1058" i="3"/>
  <c r="G1046" i="3"/>
  <c r="G1034" i="3"/>
  <c r="G1022" i="3"/>
  <c r="G1010" i="3"/>
  <c r="G998" i="3"/>
  <c r="G986" i="3"/>
  <c r="G974" i="3"/>
  <c r="G962" i="3"/>
  <c r="G950" i="3"/>
  <c r="G938" i="3"/>
  <c r="G926" i="3"/>
  <c r="G914" i="3"/>
  <c r="G902" i="3"/>
  <c r="G890" i="3"/>
  <c r="G878" i="3"/>
  <c r="G866" i="3"/>
  <c r="G854" i="3"/>
  <c r="G842" i="3"/>
  <c r="G830" i="3"/>
  <c r="G818" i="3"/>
  <c r="G806" i="3"/>
  <c r="G794" i="3"/>
  <c r="G782" i="3"/>
  <c r="G770" i="3"/>
  <c r="G758" i="3"/>
  <c r="G746" i="3"/>
  <c r="G734" i="3"/>
  <c r="G722" i="3"/>
  <c r="G710" i="3"/>
  <c r="G698" i="3"/>
  <c r="G686" i="3"/>
  <c r="G674" i="3"/>
  <c r="G662" i="3"/>
  <c r="G650" i="3"/>
  <c r="G638" i="3"/>
  <c r="G626" i="3"/>
  <c r="G614" i="3"/>
  <c r="G602" i="3"/>
  <c r="G590" i="3"/>
  <c r="G578" i="3"/>
  <c r="G566" i="3"/>
  <c r="G554" i="3"/>
  <c r="G542" i="3"/>
  <c r="G530" i="3"/>
  <c r="G518" i="3"/>
  <c r="G506" i="3"/>
  <c r="G494" i="3"/>
  <c r="G482" i="3"/>
  <c r="G470" i="3"/>
  <c r="G458" i="3"/>
  <c r="G446" i="3"/>
  <c r="G434" i="3"/>
  <c r="G422" i="3"/>
  <c r="G408" i="3"/>
  <c r="G396" i="3"/>
  <c r="G378" i="3"/>
  <c r="G366" i="3"/>
  <c r="G351" i="3"/>
  <c r="G338" i="3"/>
  <c r="G324" i="3"/>
  <c r="G312" i="3"/>
  <c r="G300" i="3"/>
  <c r="G286" i="3"/>
  <c r="G274" i="3"/>
  <c r="G262" i="3"/>
  <c r="G250" i="3"/>
  <c r="G238" i="3"/>
  <c r="G226" i="3"/>
  <c r="G212" i="3"/>
  <c r="G198" i="3"/>
  <c r="G181" i="3"/>
  <c r="G167" i="3"/>
  <c r="G153" i="3"/>
  <c r="G139" i="3"/>
  <c r="G127" i="3"/>
  <c r="G115" i="3"/>
  <c r="G103" i="3"/>
  <c r="G91" i="3"/>
  <c r="G79" i="3"/>
  <c r="G67" i="3"/>
  <c r="G55" i="3"/>
  <c r="G43" i="3"/>
  <c r="G31" i="3"/>
  <c r="G19" i="3"/>
  <c r="G7" i="3"/>
  <c r="G1326" i="3"/>
  <c r="G1254" i="3"/>
  <c r="G1174" i="3"/>
  <c r="G1077" i="3"/>
  <c r="G969" i="3"/>
  <c r="G873" i="3"/>
  <c r="G729" i="3"/>
  <c r="G621" i="3"/>
  <c r="G525" i="3"/>
  <c r="G403" i="3"/>
  <c r="G345" i="3"/>
  <c r="G307" i="3"/>
  <c r="G245" i="3"/>
  <c r="G14" i="3"/>
  <c r="G1241" i="3"/>
  <c r="G1161" i="3"/>
  <c r="G1064" i="3"/>
  <c r="G968" i="3"/>
  <c r="G872" i="3"/>
  <c r="G788" i="3"/>
  <c r="G656" i="3"/>
  <c r="G548" i="3"/>
  <c r="G452" i="3"/>
  <c r="G360" i="3"/>
  <c r="G268" i="3"/>
  <c r="G133" i="3"/>
  <c r="G109" i="3"/>
  <c r="G25" i="3"/>
  <c r="G1276" i="3"/>
  <c r="G1196" i="3"/>
  <c r="G1075" i="3"/>
  <c r="G979" i="3"/>
  <c r="G895" i="3"/>
  <c r="G811" i="3"/>
  <c r="G703" i="3"/>
  <c r="G607" i="3"/>
  <c r="G511" i="3"/>
  <c r="G451" i="3"/>
  <c r="G385" i="3"/>
  <c r="G186" i="3"/>
  <c r="G120" i="3"/>
  <c r="G96" i="3"/>
  <c r="G12" i="3"/>
  <c r="G1287" i="3"/>
  <c r="G1195" i="3"/>
  <c r="G1086" i="3"/>
  <c r="G990" i="3"/>
  <c r="G894" i="3"/>
  <c r="G786" i="3"/>
  <c r="G690" i="3"/>
  <c r="G606" i="3"/>
  <c r="G522" i="3"/>
  <c r="G438" i="3"/>
  <c r="G316" i="3"/>
  <c r="G278" i="3"/>
  <c r="G157" i="3"/>
  <c r="G1374" i="3"/>
  <c r="G1361" i="3"/>
  <c r="G1331" i="3"/>
  <c r="G1307" i="3"/>
  <c r="G1283" i="3"/>
  <c r="G1259" i="3"/>
  <c r="G1235" i="3"/>
  <c r="G1373" i="3"/>
  <c r="G1360" i="3"/>
  <c r="G1345" i="3"/>
  <c r="G1330" i="3"/>
  <c r="G1318" i="3"/>
  <c r="G1306" i="3"/>
  <c r="G1294" i="3"/>
  <c r="G1282" i="3"/>
  <c r="G1270" i="3"/>
  <c r="G1258" i="3"/>
  <c r="G1246" i="3"/>
  <c r="G1234" i="3"/>
  <c r="G1222" i="3"/>
  <c r="G1214" i="3"/>
  <c r="G1202" i="3"/>
  <c r="G1190" i="3"/>
  <c r="G1178" i="3"/>
  <c r="G1166" i="3"/>
  <c r="G1153" i="3"/>
  <c r="G1141" i="3"/>
  <c r="G1129" i="3"/>
  <c r="G1117" i="3"/>
  <c r="G1105" i="3"/>
  <c r="G1093" i="3"/>
  <c r="G1081" i="3"/>
  <c r="G1069" i="3"/>
  <c r="G1057" i="3"/>
  <c r="G1045" i="3"/>
  <c r="G1033" i="3"/>
  <c r="G1021" i="3"/>
  <c r="G1009" i="3"/>
  <c r="G997" i="3"/>
  <c r="G985" i="3"/>
  <c r="G973" i="3"/>
  <c r="G961" i="3"/>
  <c r="G949" i="3"/>
  <c r="G937" i="3"/>
  <c r="G925" i="3"/>
  <c r="G913" i="3"/>
  <c r="G901" i="3"/>
  <c r="G889" i="3"/>
  <c r="G877" i="3"/>
  <c r="G865" i="3"/>
  <c r="G853" i="3"/>
  <c r="G841" i="3"/>
  <c r="G829" i="3"/>
  <c r="G817" i="3"/>
  <c r="G805" i="3"/>
  <c r="G793" i="3"/>
  <c r="G781" i="3"/>
  <c r="G769" i="3"/>
  <c r="G757" i="3"/>
  <c r="G745" i="3"/>
  <c r="G733" i="3"/>
  <c r="G721" i="3"/>
  <c r="G709" i="3"/>
  <c r="G697" i="3"/>
  <c r="G685" i="3"/>
  <c r="G673" i="3"/>
  <c r="G661" i="3"/>
  <c r="G649" i="3"/>
  <c r="G637" i="3"/>
  <c r="G625" i="3"/>
  <c r="G613" i="3"/>
  <c r="G601" i="3"/>
  <c r="G589" i="3"/>
  <c r="G577" i="3"/>
  <c r="G565" i="3"/>
  <c r="G553" i="3"/>
  <c r="G541" i="3"/>
  <c r="G529" i="3"/>
  <c r="G517" i="3"/>
  <c r="G505" i="3"/>
  <c r="G493" i="3"/>
  <c r="G481" i="3"/>
  <c r="G469" i="3"/>
  <c r="G457" i="3"/>
  <c r="G445" i="3"/>
  <c r="G433" i="3"/>
  <c r="G421" i="3"/>
  <c r="G407" i="3"/>
  <c r="G394" i="3"/>
  <c r="G377" i="3"/>
  <c r="G365" i="3"/>
  <c r="G349" i="3"/>
  <c r="G337" i="3"/>
  <c r="G323" i="3"/>
  <c r="G311" i="3"/>
  <c r="G299" i="3"/>
  <c r="G285" i="3"/>
  <c r="G273" i="3"/>
  <c r="G261" i="3"/>
  <c r="G249" i="3"/>
  <c r="G237" i="3"/>
  <c r="G225" i="3"/>
  <c r="G211" i="3"/>
  <c r="G196" i="3"/>
  <c r="G180" i="3"/>
  <c r="G166" i="3"/>
  <c r="G152" i="3"/>
  <c r="G138" i="3"/>
  <c r="G126" i="3"/>
  <c r="G114" i="3"/>
  <c r="G102" i="3"/>
  <c r="G90" i="3"/>
  <c r="G78" i="3"/>
  <c r="G66" i="3"/>
  <c r="G54" i="3"/>
  <c r="G42" i="3"/>
  <c r="G30" i="3"/>
  <c r="G18" i="3"/>
  <c r="G6" i="3"/>
  <c r="G1355" i="3"/>
  <c r="G1266" i="3"/>
  <c r="G1162" i="3"/>
  <c r="G1041" i="3"/>
  <c r="G981" i="3"/>
  <c r="G885" i="3"/>
  <c r="G765" i="3"/>
  <c r="G669" i="3"/>
  <c r="G573" i="3"/>
  <c r="G465" i="3"/>
  <c r="G332" i="3"/>
  <c r="G233" i="3"/>
  <c r="G86" i="3"/>
  <c r="G1368" i="3"/>
  <c r="G1289" i="3"/>
  <c r="G1209" i="3"/>
  <c r="G1088" i="3"/>
  <c r="G1004" i="3"/>
  <c r="G896" i="3"/>
  <c r="G824" i="3"/>
  <c r="G728" i="3"/>
  <c r="G608" i="3"/>
  <c r="G512" i="3"/>
  <c r="G428" i="3"/>
  <c r="G372" i="3"/>
  <c r="G280" i="3"/>
  <c r="G147" i="3"/>
  <c r="G49" i="3"/>
  <c r="G1367" i="3"/>
  <c r="G1240" i="3"/>
  <c r="G1123" i="3"/>
  <c r="G1015" i="3"/>
  <c r="G919" i="3"/>
  <c r="G859" i="3"/>
  <c r="G787" i="3"/>
  <c r="G667" i="3"/>
  <c r="G595" i="3"/>
  <c r="G499" i="3"/>
  <c r="G439" i="3"/>
  <c r="G317" i="3"/>
  <c r="G267" i="3"/>
  <c r="G145" i="3"/>
  <c r="G48" i="3"/>
  <c r="G1323" i="3"/>
  <c r="G1227" i="3"/>
  <c r="G1171" i="3"/>
  <c r="G1134" i="3"/>
  <c r="G1026" i="3"/>
  <c r="G930" i="3"/>
  <c r="G834" i="3"/>
  <c r="G738" i="3"/>
  <c r="G654" i="3"/>
  <c r="G558" i="3"/>
  <c r="G474" i="3"/>
  <c r="G413" i="3"/>
  <c r="G254" i="3"/>
  <c r="G1359" i="3"/>
  <c r="G1329" i="3"/>
  <c r="G1305" i="3"/>
  <c r="G1269" i="3"/>
  <c r="G1257" i="3"/>
  <c r="G1233" i="3"/>
  <c r="G1213" i="3"/>
  <c r="G1189" i="3"/>
  <c r="G1165" i="3"/>
  <c r="G1152" i="3"/>
  <c r="G1140" i="3"/>
  <c r="G1128" i="3"/>
  <c r="G1116" i="3"/>
  <c r="G1104" i="3"/>
  <c r="G1092" i="3"/>
  <c r="G1080" i="3"/>
  <c r="G1068" i="3"/>
  <c r="G1056" i="3"/>
  <c r="G1044" i="3"/>
  <c r="G1032" i="3"/>
  <c r="G1020" i="3"/>
  <c r="G1008" i="3"/>
  <c r="G996" i="3"/>
  <c r="G984" i="3"/>
  <c r="G972" i="3"/>
  <c r="G960" i="3"/>
  <c r="G948" i="3"/>
  <c r="G936" i="3"/>
  <c r="G924" i="3"/>
  <c r="G912" i="3"/>
  <c r="G900" i="3"/>
  <c r="G888" i="3"/>
  <c r="G876" i="3"/>
  <c r="G864" i="3"/>
  <c r="G852" i="3"/>
  <c r="G840" i="3"/>
  <c r="G828" i="3"/>
  <c r="G816" i="3"/>
  <c r="G804" i="3"/>
  <c r="G792" i="3"/>
  <c r="G780" i="3"/>
  <c r="G768" i="3"/>
  <c r="G756" i="3"/>
  <c r="G744" i="3"/>
  <c r="G732" i="3"/>
  <c r="G720" i="3"/>
  <c r="G708" i="3"/>
  <c r="G696" i="3"/>
  <c r="G684" i="3"/>
  <c r="G672" i="3"/>
  <c r="G660" i="3"/>
  <c r="G648" i="3"/>
  <c r="G636" i="3"/>
  <c r="G624" i="3"/>
  <c r="G612" i="3"/>
  <c r="G600" i="3"/>
  <c r="G588" i="3"/>
  <c r="G576" i="3"/>
  <c r="G564" i="3"/>
  <c r="G552" i="3"/>
  <c r="G540" i="3"/>
  <c r="G528" i="3"/>
  <c r="G516" i="3"/>
  <c r="G504" i="3"/>
  <c r="G492" i="3"/>
  <c r="G480" i="3"/>
  <c r="G468" i="3"/>
  <c r="G456" i="3"/>
  <c r="G444" i="3"/>
  <c r="G432" i="3"/>
  <c r="G420" i="3"/>
  <c r="G406" i="3"/>
  <c r="G392" i="3"/>
  <c r="G376" i="3"/>
  <c r="G364" i="3"/>
  <c r="G348" i="3"/>
  <c r="G336" i="3"/>
  <c r="G322" i="3"/>
  <c r="G310" i="3"/>
  <c r="G298" i="3"/>
  <c r="G284" i="3"/>
  <c r="G272" i="3"/>
  <c r="G260" i="3"/>
  <c r="G248" i="3"/>
  <c r="G236" i="3"/>
  <c r="G224" i="3"/>
  <c r="G210" i="3"/>
  <c r="G194" i="3"/>
  <c r="G179" i="3"/>
  <c r="G165" i="3"/>
  <c r="G151" i="3"/>
  <c r="G137" i="3"/>
  <c r="G125" i="3"/>
  <c r="G113" i="3"/>
  <c r="G101" i="3"/>
  <c r="G89" i="3"/>
  <c r="G77" i="3"/>
  <c r="G65" i="3"/>
  <c r="G53" i="3"/>
  <c r="G41" i="3"/>
  <c r="G29" i="3"/>
  <c r="G17" i="3"/>
  <c r="G5" i="3"/>
  <c r="G1302" i="3"/>
  <c r="G1210" i="3"/>
  <c r="G1101" i="3"/>
  <c r="G993" i="3"/>
  <c r="G909" i="3"/>
  <c r="G825" i="3"/>
  <c r="G741" i="3"/>
  <c r="G633" i="3"/>
  <c r="G537" i="3"/>
  <c r="G441" i="3"/>
  <c r="G429" i="3"/>
  <c r="G269" i="3"/>
  <c r="G50" i="3"/>
  <c r="G1325" i="3"/>
  <c r="G1265" i="3"/>
  <c r="G1136" i="3"/>
  <c r="G1028" i="3"/>
  <c r="G932" i="3"/>
  <c r="G836" i="3"/>
  <c r="G716" i="3"/>
  <c r="G620" i="3"/>
  <c r="G524" i="3"/>
  <c r="G440" i="3"/>
  <c r="G294" i="3"/>
  <c r="G204" i="3"/>
  <c r="G13" i="3"/>
  <c r="G1252" i="3"/>
  <c r="G1172" i="3"/>
  <c r="G1147" i="3"/>
  <c r="G1039" i="3"/>
  <c r="G943" i="3"/>
  <c r="G823" i="3"/>
  <c r="G739" i="3"/>
  <c r="G631" i="3"/>
  <c r="G547" i="3"/>
  <c r="G463" i="3"/>
  <c r="G427" i="3"/>
  <c r="G343" i="3"/>
  <c r="G255" i="3"/>
  <c r="G219" i="3"/>
  <c r="G72" i="3"/>
  <c r="G1366" i="3"/>
  <c r="G1251" i="3"/>
  <c r="G1159" i="3"/>
  <c r="G1050" i="3"/>
  <c r="G954" i="3"/>
  <c r="G846" i="3"/>
  <c r="G750" i="3"/>
  <c r="G678" i="3"/>
  <c r="G582" i="3"/>
  <c r="G486" i="3"/>
  <c r="G400" i="3"/>
  <c r="G230" i="3"/>
  <c r="G1372" i="3"/>
  <c r="G1343" i="3"/>
  <c r="G1317" i="3"/>
  <c r="G1293" i="3"/>
  <c r="G1281" i="3"/>
  <c r="G1245" i="3"/>
  <c r="G1221" i="3"/>
  <c r="G1201" i="3"/>
  <c r="G1177" i="3"/>
  <c r="G1371" i="3"/>
  <c r="G1357" i="3"/>
  <c r="G1342" i="3"/>
  <c r="G1328" i="3"/>
  <c r="G1316" i="3"/>
  <c r="G1304" i="3"/>
  <c r="G1292" i="3"/>
  <c r="G1280" i="3"/>
  <c r="G1268" i="3"/>
  <c r="G1256" i="3"/>
  <c r="G1244" i="3"/>
  <c r="G1232" i="3"/>
  <c r="G1220" i="3"/>
  <c r="G1212" i="3"/>
  <c r="G1200" i="3"/>
  <c r="G1188" i="3"/>
  <c r="G1176" i="3"/>
  <c r="G1164" i="3"/>
  <c r="G1151" i="3"/>
  <c r="G1139" i="3"/>
  <c r="G1127" i="3"/>
  <c r="G1115" i="3"/>
  <c r="G1103" i="3"/>
  <c r="G1091" i="3"/>
  <c r="G1079" i="3"/>
  <c r="G1067" i="3"/>
  <c r="G1055" i="3"/>
  <c r="G1043" i="3"/>
  <c r="G1031" i="3"/>
  <c r="G1019" i="3"/>
  <c r="G1007" i="3"/>
  <c r="G995" i="3"/>
  <c r="G983" i="3"/>
  <c r="G971" i="3"/>
  <c r="G959" i="3"/>
  <c r="G947" i="3"/>
  <c r="G935" i="3"/>
  <c r="G923" i="3"/>
  <c r="G911" i="3"/>
  <c r="G899" i="3"/>
  <c r="G887" i="3"/>
  <c r="G875" i="3"/>
  <c r="G863" i="3"/>
  <c r="G851" i="3"/>
  <c r="G839" i="3"/>
  <c r="G827" i="3"/>
  <c r="G815" i="3"/>
  <c r="G803" i="3"/>
  <c r="G791" i="3"/>
  <c r="G779" i="3"/>
  <c r="G767" i="3"/>
  <c r="G755" i="3"/>
  <c r="G743" i="3"/>
  <c r="G731" i="3"/>
  <c r="G719" i="3"/>
  <c r="G707" i="3"/>
  <c r="G695" i="3"/>
  <c r="G683" i="3"/>
  <c r="G671" i="3"/>
  <c r="G659" i="3"/>
  <c r="G647" i="3"/>
  <c r="G635" i="3"/>
  <c r="G623" i="3"/>
  <c r="G611" i="3"/>
  <c r="G599" i="3"/>
  <c r="G587" i="3"/>
  <c r="G575" i="3"/>
  <c r="G563" i="3"/>
  <c r="G551" i="3"/>
  <c r="G539" i="3"/>
  <c r="G527" i="3"/>
  <c r="G515" i="3"/>
  <c r="G503" i="3"/>
  <c r="G491" i="3"/>
  <c r="G479" i="3"/>
  <c r="G467" i="3"/>
  <c r="G455" i="3"/>
  <c r="G443" i="3"/>
  <c r="G431" i="3"/>
  <c r="G419" i="3"/>
  <c r="G405" i="3"/>
  <c r="G390" i="3"/>
  <c r="G375" i="3"/>
  <c r="G363" i="3"/>
  <c r="G347" i="3"/>
  <c r="G334" i="3"/>
  <c r="G321" i="3"/>
  <c r="G309" i="3"/>
  <c r="G297" i="3"/>
  <c r="G283" i="3"/>
  <c r="G271" i="3"/>
  <c r="G259" i="3"/>
  <c r="G247" i="3"/>
  <c r="G235" i="3"/>
  <c r="G223" i="3"/>
  <c r="G209" i="3"/>
  <c r="G192" i="3"/>
  <c r="G178" i="3"/>
  <c r="G164" i="3"/>
  <c r="G150" i="3"/>
  <c r="G136" i="3"/>
  <c r="G124" i="3"/>
  <c r="G112" i="3"/>
  <c r="G100" i="3"/>
  <c r="G88" i="3"/>
  <c r="G76" i="3"/>
  <c r="G64" i="3"/>
  <c r="G52" i="3"/>
  <c r="G40" i="3"/>
  <c r="G28" i="3"/>
  <c r="G16" i="3"/>
  <c r="G4" i="3"/>
  <c r="G1290" i="3"/>
  <c r="G1198" i="3"/>
  <c r="G1089" i="3"/>
  <c r="G1053" i="3"/>
  <c r="G933" i="3"/>
  <c r="G789" i="3"/>
  <c r="G681" i="3"/>
  <c r="G585" i="3"/>
  <c r="G489" i="3"/>
  <c r="G361" i="3"/>
  <c r="G257" i="3"/>
  <c r="G205" i="3"/>
  <c r="G160" i="3"/>
  <c r="G38" i="3"/>
  <c r="G1301" i="3"/>
  <c r="G1253" i="3"/>
  <c r="G1112" i="3"/>
  <c r="G1016" i="3"/>
  <c r="G920" i="3"/>
  <c r="G800" i="3"/>
  <c r="G704" i="3"/>
  <c r="G632" i="3"/>
  <c r="G536" i="3"/>
  <c r="G416" i="3"/>
  <c r="G256" i="3"/>
  <c r="G159" i="3"/>
  <c r="G37" i="3"/>
  <c r="G1300" i="3"/>
  <c r="G1264" i="3"/>
  <c r="G1184" i="3"/>
  <c r="G1135" i="3"/>
  <c r="G1027" i="3"/>
  <c r="G931" i="3"/>
  <c r="G763" i="3"/>
  <c r="G691" i="3"/>
  <c r="G571" i="3"/>
  <c r="G401" i="3"/>
  <c r="G231" i="3"/>
  <c r="G132" i="3"/>
  <c r="G24" i="3"/>
  <c r="G1299" i="3"/>
  <c r="G1122" i="3"/>
  <c r="G1062" i="3"/>
  <c r="G966" i="3"/>
  <c r="G870" i="3"/>
  <c r="G762" i="3"/>
  <c r="G630" i="3"/>
  <c r="G1370" i="3"/>
  <c r="G1356" i="3"/>
  <c r="G1340" i="3"/>
  <c r="G1327" i="3"/>
  <c r="G1315" i="3"/>
  <c r="G1303" i="3"/>
  <c r="G1291" i="3"/>
  <c r="G1279" i="3"/>
  <c r="G1267" i="3"/>
  <c r="G1255" i="3"/>
  <c r="G1243" i="3"/>
  <c r="G1231" i="3"/>
  <c r="G1219" i="3"/>
  <c r="G1211" i="3"/>
  <c r="G1199" i="3"/>
  <c r="G1187" i="3"/>
  <c r="G1175" i="3"/>
  <c r="G1163" i="3"/>
  <c r="G1150" i="3"/>
  <c r="G1138" i="3"/>
  <c r="G1126" i="3"/>
  <c r="G1114" i="3"/>
  <c r="G1102" i="3"/>
  <c r="G1090" i="3"/>
  <c r="G1078" i="3"/>
  <c r="G1066" i="3"/>
  <c r="G1054" i="3"/>
  <c r="G1042" i="3"/>
  <c r="G1030" i="3"/>
  <c r="G1018" i="3"/>
  <c r="G1006" i="3"/>
  <c r="G994" i="3"/>
  <c r="G982" i="3"/>
  <c r="G970" i="3"/>
  <c r="G958" i="3"/>
  <c r="G946" i="3"/>
  <c r="G934" i="3"/>
  <c r="G922" i="3"/>
  <c r="G910" i="3"/>
  <c r="G898" i="3"/>
  <c r="G886" i="3"/>
  <c r="G874" i="3"/>
  <c r="G862" i="3"/>
  <c r="G850" i="3"/>
  <c r="G838" i="3"/>
  <c r="G826" i="3"/>
  <c r="G814" i="3"/>
  <c r="G802" i="3"/>
  <c r="G790" i="3"/>
  <c r="G778" i="3"/>
  <c r="G766" i="3"/>
  <c r="G754" i="3"/>
  <c r="G742" i="3"/>
  <c r="G730" i="3"/>
  <c r="G718" i="3"/>
  <c r="G706" i="3"/>
  <c r="G694" i="3"/>
  <c r="G682" i="3"/>
  <c r="G670" i="3"/>
  <c r="G658" i="3"/>
  <c r="G646" i="3"/>
  <c r="G634" i="3"/>
  <c r="G622" i="3"/>
  <c r="G610" i="3"/>
  <c r="G598" i="3"/>
  <c r="G586" i="3"/>
  <c r="G574" i="3"/>
  <c r="G562" i="3"/>
  <c r="G550" i="3"/>
  <c r="G538" i="3"/>
  <c r="G526" i="3"/>
  <c r="G514" i="3"/>
  <c r="G502" i="3"/>
  <c r="G490" i="3"/>
  <c r="G478" i="3"/>
  <c r="G466" i="3"/>
  <c r="G454" i="3"/>
  <c r="G442" i="3"/>
  <c r="G430" i="3"/>
  <c r="G418" i="3"/>
  <c r="G404" i="3"/>
  <c r="G388" i="3"/>
  <c r="G374" i="3"/>
  <c r="G362" i="3"/>
  <c r="G346" i="3"/>
  <c r="G333" i="3"/>
  <c r="G320" i="3"/>
  <c r="G308" i="3"/>
  <c r="G296" i="3"/>
  <c r="G282" i="3"/>
  <c r="G270" i="3"/>
  <c r="G258" i="3"/>
  <c r="G246" i="3"/>
  <c r="G234" i="3"/>
  <c r="G222" i="3"/>
  <c r="G207" i="3"/>
  <c r="G191" i="3"/>
  <c r="G177" i="3"/>
  <c r="G161" i="3"/>
  <c r="G149" i="3"/>
  <c r="G135" i="3"/>
  <c r="G123" i="3"/>
  <c r="G111" i="3"/>
  <c r="G99" i="3"/>
  <c r="G87" i="3"/>
  <c r="G75" i="3"/>
  <c r="G63" i="3"/>
  <c r="G51" i="3"/>
  <c r="G39" i="3"/>
  <c r="G27" i="3"/>
  <c r="G15" i="3"/>
  <c r="G3" i="3"/>
  <c r="I1364" i="3"/>
  <c r="M1364" i="3" l="1" a="1"/>
  <c r="M1364" i="3" s="1"/>
  <c r="K1364" i="3"/>
  <c r="AA5" i="8"/>
  <c r="AA7" i="8"/>
  <c r="AA12" i="8"/>
  <c r="AA24" i="8"/>
  <c r="AA44" i="8"/>
  <c r="AA46" i="8"/>
  <c r="AA78" i="8"/>
  <c r="AA99" i="8"/>
  <c r="AA121" i="8"/>
  <c r="AA123" i="8"/>
  <c r="AA134" i="8"/>
  <c r="AA178" i="8"/>
  <c r="AA216" i="8"/>
  <c r="AA219" i="8"/>
  <c r="AA225" i="8"/>
  <c r="AA226" i="8"/>
  <c r="AA228" i="8"/>
  <c r="AA232" i="8"/>
  <c r="AA236" i="8"/>
  <c r="AA254" i="8"/>
  <c r="AA261" i="8"/>
  <c r="AA274" i="8"/>
  <c r="AA305" i="8"/>
  <c r="AA307" i="8"/>
  <c r="B19" i="15" l="1"/>
  <c r="C16" i="15" s="1"/>
  <c r="B15" i="15"/>
  <c r="C12" i="15" s="1"/>
  <c r="K6" i="15"/>
  <c r="M6" i="15" s="1"/>
  <c r="L5" i="15"/>
  <c r="K5" i="15"/>
  <c r="K4" i="15"/>
  <c r="M4" i="15" s="1"/>
  <c r="K3" i="15"/>
  <c r="M3" i="15" s="1"/>
  <c r="AE1363" i="3"/>
  <c r="AE1362" i="3"/>
  <c r="AE1361" i="3"/>
  <c r="AE1333" i="3"/>
  <c r="AE1315" i="3"/>
  <c r="AE1312" i="3"/>
  <c r="AE1309" i="3"/>
  <c r="AE1150" i="3"/>
  <c r="AE1149" i="3"/>
  <c r="AE1148" i="3"/>
  <c r="AE1147" i="3"/>
  <c r="AE1138" i="3"/>
  <c r="AE1135" i="3"/>
  <c r="AE1134" i="3"/>
  <c r="AE1133" i="3"/>
  <c r="AE1132" i="3"/>
  <c r="AE1129" i="3"/>
  <c r="AE1126" i="3"/>
  <c r="AE1121" i="3"/>
  <c r="AE412" i="3"/>
  <c r="AE408" i="3"/>
  <c r="AE405" i="3"/>
  <c r="AE402" i="3"/>
  <c r="AE399" i="3"/>
  <c r="AE396" i="3"/>
  <c r="AE392" i="3"/>
  <c r="AE388" i="3"/>
  <c r="AE385" i="3"/>
  <c r="AE381" i="3"/>
  <c r="AE375" i="3"/>
  <c r="AE369" i="3"/>
  <c r="AE366" i="3"/>
  <c r="AE363" i="3"/>
  <c r="AE356" i="3"/>
  <c r="AE353" i="3"/>
  <c r="AE349" i="3"/>
  <c r="AE340" i="3"/>
  <c r="AE333" i="3"/>
  <c r="AE329" i="3"/>
  <c r="AE326" i="3"/>
  <c r="AE320" i="3"/>
  <c r="AE317" i="3"/>
  <c r="AE314" i="3"/>
  <c r="AE309" i="3"/>
  <c r="AE305" i="3"/>
  <c r="AE303" i="3"/>
  <c r="AE302" i="3"/>
  <c r="AE299" i="3"/>
  <c r="AE296" i="3"/>
  <c r="AE293" i="3"/>
  <c r="AE292" i="3"/>
  <c r="AE291" i="3"/>
  <c r="AE290" i="3"/>
  <c r="AE286" i="3"/>
  <c r="AE283" i="3"/>
  <c r="AE280" i="3"/>
  <c r="AE277" i="3"/>
  <c r="AE271" i="3"/>
  <c r="AE267" i="3"/>
  <c r="AE264" i="3"/>
  <c r="AE255" i="3"/>
  <c r="AE252" i="3"/>
  <c r="AE249" i="3"/>
  <c r="AE247" i="3"/>
  <c r="AE244" i="3"/>
  <c r="AE232" i="3"/>
  <c r="AE229" i="3"/>
  <c r="AE225" i="3"/>
  <c r="AE223" i="3"/>
  <c r="AE222" i="3"/>
  <c r="AE219" i="3"/>
  <c r="AE215" i="3"/>
  <c r="AE212" i="3"/>
  <c r="AE209" i="3"/>
  <c r="AE205" i="3"/>
  <c r="AE204" i="3"/>
  <c r="AE203" i="3"/>
  <c r="AE202" i="3"/>
  <c r="AE201" i="3"/>
  <c r="AE200" i="3"/>
  <c r="AE199" i="3"/>
  <c r="AE198" i="3"/>
  <c r="AE194" i="3"/>
  <c r="AE191" i="3"/>
  <c r="AE187" i="3"/>
  <c r="AE184" i="3"/>
  <c r="AE181" i="3"/>
  <c r="AE175" i="3"/>
  <c r="AE171" i="3"/>
  <c r="AE168" i="3"/>
  <c r="AE165" i="3"/>
  <c r="AE160" i="3"/>
  <c r="AE159" i="3"/>
  <c r="AE158" i="3"/>
  <c r="AE157" i="3"/>
  <c r="AE153" i="3"/>
  <c r="AE150" i="3"/>
  <c r="AE147" i="3"/>
  <c r="AE143" i="3"/>
  <c r="AE142" i="3"/>
  <c r="AE141" i="3"/>
  <c r="AE140" i="3"/>
  <c r="AE139" i="3"/>
  <c r="AE138" i="3"/>
  <c r="AE137" i="3"/>
  <c r="AE134" i="3"/>
  <c r="AE128" i="3"/>
  <c r="AE125" i="3"/>
  <c r="AE122" i="3"/>
  <c r="AE119" i="3"/>
  <c r="AE113" i="3"/>
  <c r="AE110" i="3"/>
  <c r="AE109" i="3"/>
  <c r="AE108" i="3"/>
  <c r="AE106" i="3"/>
  <c r="AE103" i="3"/>
  <c r="AE102" i="3"/>
  <c r="AE99" i="3"/>
  <c r="AE93" i="3"/>
  <c r="AE92" i="3"/>
  <c r="AE91" i="3"/>
  <c r="AE88" i="3"/>
  <c r="AE78" i="3"/>
  <c r="AE74" i="3"/>
  <c r="AE73" i="3"/>
  <c r="AE70" i="3"/>
  <c r="AE67" i="3"/>
  <c r="AE66" i="3"/>
  <c r="AE65" i="3"/>
  <c r="AE59" i="3"/>
  <c r="AE56" i="3"/>
  <c r="AE53" i="3"/>
  <c r="AE52" i="3"/>
  <c r="AE51" i="3"/>
  <c r="AE48" i="3"/>
  <c r="AE42" i="3"/>
  <c r="AE39" i="3"/>
  <c r="AE38" i="3"/>
  <c r="AE32" i="3"/>
  <c r="AE31" i="3"/>
  <c r="AE30" i="3"/>
  <c r="AE29" i="3"/>
  <c r="AE26" i="3"/>
  <c r="AE25" i="3"/>
  <c r="AE24" i="3"/>
  <c r="AE23" i="3"/>
  <c r="AE20" i="3"/>
  <c r="AE19" i="3"/>
  <c r="AE16" i="3"/>
  <c r="AE15" i="3"/>
  <c r="AE12" i="3"/>
  <c r="AE11" i="3"/>
  <c r="AE8" i="3"/>
  <c r="AE2" i="3"/>
  <c r="AE1376" i="3"/>
  <c r="AE1374" i="3"/>
  <c r="AE1372" i="3"/>
  <c r="AE1370" i="3"/>
  <c r="AE1307" i="3"/>
  <c r="AE1298" i="3"/>
  <c r="AE1293" i="3"/>
  <c r="AE1285" i="3"/>
  <c r="AE1279" i="3"/>
  <c r="AE1273" i="3"/>
  <c r="AE1271" i="3"/>
  <c r="AE1269" i="3"/>
  <c r="AE1267" i="3"/>
  <c r="AE1265" i="3"/>
  <c r="AE1258" i="3"/>
  <c r="AE1249" i="3"/>
  <c r="AE1247" i="3"/>
  <c r="AE1245" i="3"/>
  <c r="AE1243" i="3"/>
  <c r="AE1241" i="3"/>
  <c r="AE1223" i="3"/>
  <c r="AE1221" i="3"/>
  <c r="AE1211" i="3"/>
  <c r="AE1209" i="3"/>
  <c r="AE1203" i="3"/>
  <c r="AE1201" i="3"/>
  <c r="AE1187" i="3"/>
  <c r="AE1164" i="3"/>
  <c r="AE1162" i="3"/>
  <c r="AE1119" i="3"/>
  <c r="AE1117" i="3"/>
  <c r="AE1115" i="3"/>
  <c r="AE1113" i="3"/>
  <c r="AE1111" i="3"/>
  <c r="AE1109" i="3"/>
  <c r="AE1103" i="3"/>
  <c r="AE1097" i="3"/>
  <c r="AE1095" i="3"/>
  <c r="AE1089" i="3"/>
  <c r="AE1087" i="3"/>
  <c r="AE1085" i="3"/>
  <c r="AE1083" i="3"/>
  <c r="AE1069" i="3"/>
  <c r="AE1067" i="3"/>
  <c r="AE1043" i="3"/>
  <c r="AE1041" i="3"/>
  <c r="AE1039" i="3"/>
  <c r="AE1037" i="3"/>
  <c r="AE1035" i="3"/>
  <c r="AE1033" i="3"/>
  <c r="AE1031" i="3"/>
  <c r="AE1029" i="3"/>
  <c r="AE1015" i="3"/>
  <c r="AE1013" i="3"/>
  <c r="AE1011" i="3"/>
  <c r="AE1009" i="3"/>
  <c r="AE1007" i="3"/>
  <c r="AE1005" i="3"/>
  <c r="AE979" i="3"/>
  <c r="AE977" i="3"/>
  <c r="AE975" i="3"/>
  <c r="AE973" i="3"/>
  <c r="AE971" i="3"/>
  <c r="AE969" i="3"/>
  <c r="AE967" i="3"/>
  <c r="AE965" i="3"/>
  <c r="AE963" i="3"/>
  <c r="AE961" i="3"/>
  <c r="AE947" i="3"/>
  <c r="AE945" i="3"/>
  <c r="AE943" i="3"/>
  <c r="AE941" i="3"/>
  <c r="AE939" i="3"/>
  <c r="AE937" i="3"/>
  <c r="AE931" i="3"/>
  <c r="AE929" i="3"/>
  <c r="AE927" i="3"/>
  <c r="AE925" i="3"/>
  <c r="AE923" i="3"/>
  <c r="AE921" i="3"/>
  <c r="AE919" i="3"/>
  <c r="AE917" i="3"/>
  <c r="AE915" i="3"/>
  <c r="AE913" i="3"/>
  <c r="AE911" i="3"/>
  <c r="AE909" i="3"/>
  <c r="AE903" i="3"/>
  <c r="AE901" i="3"/>
  <c r="AE899" i="3"/>
  <c r="AE897" i="3"/>
  <c r="AE895" i="3"/>
  <c r="AE893" i="3"/>
  <c r="AE887" i="3"/>
  <c r="AE885" i="3"/>
  <c r="AE879" i="3"/>
  <c r="AE877" i="3"/>
  <c r="AE875" i="3"/>
  <c r="AE873" i="3"/>
  <c r="AE871" i="3"/>
  <c r="AE869" i="3"/>
  <c r="AE867" i="3"/>
  <c r="AE865" i="3"/>
  <c r="AE859" i="3"/>
  <c r="AE857" i="3"/>
  <c r="AE855" i="3"/>
  <c r="AE853" i="3"/>
  <c r="AE847" i="3"/>
  <c r="AE845" i="3"/>
  <c r="AE843" i="3"/>
  <c r="AE841" i="3"/>
  <c r="AE839" i="3"/>
  <c r="AE837" i="3"/>
  <c r="AE835" i="3"/>
  <c r="AE833" i="3"/>
  <c r="AE827" i="3"/>
  <c r="AE825" i="3"/>
  <c r="AE819" i="3"/>
  <c r="AE817" i="3"/>
  <c r="AE815" i="3"/>
  <c r="AE814" i="3"/>
  <c r="AE813" i="3"/>
  <c r="AE811" i="3"/>
  <c r="AE810" i="3"/>
  <c r="AE809" i="3"/>
  <c r="AE807" i="3"/>
  <c r="AE806" i="3"/>
  <c r="AE805" i="3"/>
  <c r="AE803" i="3"/>
  <c r="AE802" i="3"/>
  <c r="AE801" i="3"/>
  <c r="AE795" i="3"/>
  <c r="AE793" i="3"/>
  <c r="AE791" i="3"/>
  <c r="AE789" i="3"/>
  <c r="AE787" i="3"/>
  <c r="AE785" i="3"/>
  <c r="AE779" i="3"/>
  <c r="AE777" i="3"/>
  <c r="AE775" i="3"/>
  <c r="AE773" i="3"/>
  <c r="AE771" i="3"/>
  <c r="AE769" i="3"/>
  <c r="AE767" i="3"/>
  <c r="AE765" i="3"/>
  <c r="AE763" i="3"/>
  <c r="AE761" i="3"/>
  <c r="AE759" i="3"/>
  <c r="AE757" i="3"/>
  <c r="AE755" i="3"/>
  <c r="AE753" i="3"/>
  <c r="AE751" i="3"/>
  <c r="AE749" i="3"/>
  <c r="AE747" i="3"/>
  <c r="AE745" i="3"/>
  <c r="AE743" i="3"/>
  <c r="AE701" i="3"/>
  <c r="AE699" i="3"/>
  <c r="AE693" i="3"/>
  <c r="AE691" i="3"/>
  <c r="AE673" i="3"/>
  <c r="AE671" i="3"/>
  <c r="AE669" i="3"/>
  <c r="AE667" i="3"/>
  <c r="AE665" i="3"/>
  <c r="AE663" i="3"/>
  <c r="AE661" i="3"/>
  <c r="AE655" i="3"/>
  <c r="AE653" i="3"/>
  <c r="AE651" i="3"/>
  <c r="AE649" i="3"/>
  <c r="AE647" i="3"/>
  <c r="AE645" i="3"/>
  <c r="AE643" i="3"/>
  <c r="AE641" i="3"/>
  <c r="AE639" i="3"/>
  <c r="AE637" i="3"/>
  <c r="AE635" i="3"/>
  <c r="AE609" i="3"/>
  <c r="AE607" i="3"/>
  <c r="AE605" i="3"/>
  <c r="AE603" i="3"/>
  <c r="AE601" i="3"/>
  <c r="AE599" i="3"/>
  <c r="AE597" i="3"/>
  <c r="AE595" i="3"/>
  <c r="AE593" i="3"/>
  <c r="AE591" i="3"/>
  <c r="AE589" i="3"/>
  <c r="AE587" i="3"/>
  <c r="AE585" i="3"/>
  <c r="AE583" i="3"/>
  <c r="AE563" i="3"/>
  <c r="AE561" i="3"/>
  <c r="AE559" i="3"/>
  <c r="AE557" i="3"/>
  <c r="AE543" i="3"/>
  <c r="AE533" i="3"/>
  <c r="AE531" i="3"/>
  <c r="AE529" i="3"/>
  <c r="AE527" i="3"/>
  <c r="AE513" i="3"/>
  <c r="AE511" i="3"/>
  <c r="AE509" i="3"/>
  <c r="AE507" i="3"/>
  <c r="AE501" i="3"/>
  <c r="AE499" i="3"/>
  <c r="AE493" i="3"/>
  <c r="AE491" i="3"/>
  <c r="AE485" i="3"/>
  <c r="AE483" i="3"/>
  <c r="AE461" i="3"/>
  <c r="AE459" i="3"/>
  <c r="AE457" i="3"/>
  <c r="AE455" i="3"/>
  <c r="AE453" i="3"/>
  <c r="AE451" i="3"/>
  <c r="AE445" i="3"/>
  <c r="AE439" i="3"/>
  <c r="AE437" i="3"/>
  <c r="AE435" i="3"/>
  <c r="AE433" i="3"/>
  <c r="AE431" i="3"/>
  <c r="AE423" i="3"/>
  <c r="AE421" i="3"/>
  <c r="AE419" i="3"/>
  <c r="AE415" i="3"/>
  <c r="AD1429" i="3" l="1"/>
  <c r="AD1426" i="3"/>
  <c r="AD1417" i="3"/>
  <c r="AD1416" i="3"/>
  <c r="AD1423" i="3"/>
  <c r="AD1420" i="3"/>
  <c r="AD1419" i="3"/>
  <c r="AD1418" i="3"/>
  <c r="AD1421" i="3"/>
  <c r="AD1422" i="3"/>
  <c r="AD1415" i="3"/>
  <c r="AD1414" i="3"/>
  <c r="AD1428" i="3"/>
  <c r="AD1412" i="3"/>
  <c r="AD1409" i="3"/>
  <c r="AD1408" i="3"/>
  <c r="AD1410" i="3"/>
  <c r="AD1407" i="3"/>
  <c r="AD1406" i="3"/>
  <c r="AD1402" i="3"/>
  <c r="AD1396" i="3"/>
  <c r="AD1397" i="3"/>
  <c r="AD1394" i="3"/>
  <c r="AD1393" i="3"/>
  <c r="AD1395" i="3"/>
  <c r="AD1391" i="3"/>
  <c r="V1450" i="3"/>
  <c r="V1447" i="3"/>
  <c r="V1443" i="3"/>
  <c r="V1451" i="3"/>
  <c r="S1451" i="3"/>
  <c r="S1441" i="3"/>
  <c r="V1435" i="3"/>
  <c r="V1434" i="3"/>
  <c r="S1445" i="3"/>
  <c r="S1448" i="3"/>
  <c r="S1443" i="3"/>
  <c r="V1441" i="3"/>
  <c r="V1446" i="3"/>
  <c r="S1435" i="3"/>
  <c r="S1447" i="3"/>
  <c r="S1436" i="3"/>
  <c r="V1436" i="3"/>
  <c r="V1448" i="3"/>
  <c r="S1437" i="3"/>
  <c r="V1439" i="3"/>
  <c r="V1445" i="3"/>
  <c r="S1439" i="3"/>
  <c r="V1438" i="3"/>
  <c r="S1449" i="3"/>
  <c r="S1442" i="3"/>
  <c r="V1440" i="3"/>
  <c r="V1437" i="3"/>
  <c r="V1449" i="3"/>
  <c r="V1442" i="3"/>
  <c r="V1444" i="3"/>
  <c r="S1440" i="3"/>
  <c r="AD1437" i="3"/>
  <c r="AD1447" i="3"/>
  <c r="AD1441" i="3"/>
  <c r="AD1445" i="3"/>
  <c r="S1438" i="3"/>
  <c r="AD1435" i="3"/>
  <c r="AD1451" i="3"/>
  <c r="AD1439" i="3"/>
  <c r="AD1442" i="3"/>
  <c r="AD1449" i="3"/>
  <c r="AD1436" i="3"/>
  <c r="AD1440" i="3"/>
  <c r="S1446" i="3"/>
  <c r="AD1443" i="3"/>
  <c r="S1434" i="3"/>
  <c r="S1444" i="3"/>
  <c r="AD1448" i="3"/>
  <c r="AD1444" i="3"/>
  <c r="AD1434" i="3"/>
  <c r="AD1446" i="3"/>
  <c r="AD1438" i="3"/>
  <c r="V1433" i="3"/>
  <c r="S1432" i="3"/>
  <c r="S1430" i="3"/>
  <c r="V1431" i="3"/>
  <c r="V1424" i="3"/>
  <c r="S1433" i="3"/>
  <c r="V1425" i="3"/>
  <c r="S1426" i="3"/>
  <c r="S1429" i="3"/>
  <c r="V1432" i="3"/>
  <c r="V1429" i="3"/>
  <c r="V1430" i="3"/>
  <c r="V1426" i="3"/>
  <c r="S1431" i="3"/>
  <c r="V1428" i="3"/>
  <c r="AD1431" i="3"/>
  <c r="AD1430" i="3"/>
  <c r="AD1432" i="3"/>
  <c r="AD1433" i="3"/>
  <c r="V393" i="3"/>
  <c r="S393" i="3"/>
  <c r="AD393" i="3"/>
  <c r="S1428" i="3"/>
  <c r="S389" i="3"/>
  <c r="V389" i="3"/>
  <c r="V382" i="3"/>
  <c r="S382" i="3"/>
  <c r="AD382" i="3"/>
  <c r="S357" i="3"/>
  <c r="V357" i="3"/>
  <c r="AD357" i="3"/>
  <c r="V350" i="3"/>
  <c r="S350" i="3"/>
  <c r="V287" i="3"/>
  <c r="S287" i="3"/>
  <c r="V216" i="3"/>
  <c r="S216" i="3"/>
  <c r="V206" i="3"/>
  <c r="S206" i="3"/>
  <c r="V195" i="3"/>
  <c r="S195" i="3"/>
  <c r="V172" i="3"/>
  <c r="V188" i="3"/>
  <c r="S172" i="3"/>
  <c r="S188" i="3"/>
  <c r="V144" i="3"/>
  <c r="S144" i="3"/>
  <c r="S1421" i="3"/>
  <c r="S1420" i="3"/>
  <c r="V1421" i="3"/>
  <c r="S1417" i="3"/>
  <c r="V1419" i="3"/>
  <c r="S1423" i="3"/>
  <c r="V1423" i="3"/>
  <c r="V1418" i="3"/>
  <c r="V1417" i="3"/>
  <c r="S1422" i="3"/>
  <c r="S1419" i="3"/>
  <c r="V1422" i="3"/>
  <c r="S1418" i="3"/>
  <c r="V1420" i="3"/>
  <c r="V1358" i="3"/>
  <c r="V1416" i="3"/>
  <c r="S1416" i="3"/>
  <c r="V1415" i="3"/>
  <c r="V1414" i="3"/>
  <c r="S1415" i="3"/>
  <c r="Y1415" i="3"/>
  <c r="S1414" i="3"/>
  <c r="Y1412" i="3"/>
  <c r="V1411" i="3"/>
  <c r="S1412" i="3"/>
  <c r="V1412" i="3"/>
  <c r="V1410" i="3"/>
  <c r="V1407" i="3"/>
  <c r="S1408" i="3"/>
  <c r="S1410" i="3"/>
  <c r="V1408" i="3"/>
  <c r="Y1410" i="3"/>
  <c r="V1409" i="3"/>
  <c r="Y1408" i="3"/>
  <c r="S1409" i="3"/>
  <c r="S1407" i="3"/>
  <c r="V1406" i="3"/>
  <c r="S1406" i="3"/>
  <c r="V1403" i="3"/>
  <c r="V1404" i="3"/>
  <c r="V1405" i="3"/>
  <c r="V1401" i="3"/>
  <c r="V1402" i="3"/>
  <c r="V1400" i="3"/>
  <c r="V1399" i="3"/>
  <c r="S1402" i="3"/>
  <c r="V1397" i="3"/>
  <c r="Y1397" i="3"/>
  <c r="S1397" i="3"/>
  <c r="S1396" i="3"/>
  <c r="V1396" i="3"/>
  <c r="S1395" i="3"/>
  <c r="V1395" i="3"/>
  <c r="S1394" i="3"/>
  <c r="V1393" i="3"/>
  <c r="S1393" i="3"/>
  <c r="Y1394" i="3"/>
  <c r="V1394" i="3"/>
  <c r="Y1395" i="3"/>
  <c r="V1391" i="3"/>
  <c r="S1391" i="3"/>
  <c r="Y1391" i="3"/>
  <c r="V1390" i="3"/>
  <c r="V1388" i="3"/>
  <c r="Y1388" i="3"/>
  <c r="V1387" i="3"/>
  <c r="S1388" i="3"/>
  <c r="V1385" i="3"/>
  <c r="V1384" i="3"/>
  <c r="AD1388" i="3"/>
  <c r="V1381" i="3"/>
  <c r="Y1382" i="3"/>
  <c r="Y1385" i="3"/>
  <c r="V1382" i="3"/>
  <c r="S1382" i="3"/>
  <c r="S1385" i="3"/>
  <c r="AD1382" i="3"/>
  <c r="AD1385" i="3"/>
  <c r="S1381" i="3"/>
  <c r="AD1381" i="3"/>
  <c r="V1379" i="3"/>
  <c r="V1378" i="3"/>
  <c r="S1379" i="3"/>
  <c r="Y1379" i="3"/>
  <c r="AD1379" i="3"/>
  <c r="M5" i="15"/>
  <c r="C4" i="15" s="1"/>
  <c r="C3" i="15"/>
  <c r="L572" i="4" l="1"/>
  <c r="L577" i="4"/>
  <c r="M578" i="4"/>
  <c r="M577" i="4"/>
  <c r="L580" i="4"/>
  <c r="L578" i="4"/>
  <c r="M567" i="4"/>
  <c r="L573" i="4"/>
  <c r="M572" i="4"/>
  <c r="M582" i="4"/>
  <c r="M581" i="4"/>
  <c r="L575" i="4"/>
  <c r="M579" i="4"/>
  <c r="M576" i="4"/>
  <c r="M580" i="4"/>
  <c r="L571" i="4"/>
  <c r="L566" i="4"/>
  <c r="M575" i="4"/>
  <c r="M574" i="4"/>
  <c r="M573" i="4"/>
  <c r="L576" i="4"/>
  <c r="M570" i="4"/>
  <c r="M571" i="4"/>
  <c r="L574" i="4"/>
  <c r="Y1445" i="3"/>
  <c r="AI1445" i="3"/>
  <c r="Y1437" i="3"/>
  <c r="AI1437" i="3"/>
  <c r="Y1440" i="3"/>
  <c r="AI1440" i="3"/>
  <c r="Y1448" i="3"/>
  <c r="AI1448" i="3"/>
  <c r="Y1444" i="3"/>
  <c r="AI1444" i="3"/>
  <c r="Y1435" i="3"/>
  <c r="AI1435" i="3"/>
  <c r="Y1433" i="3"/>
  <c r="AI1433" i="3"/>
  <c r="Y1430" i="3"/>
  <c r="AI1430" i="3"/>
  <c r="Y1442" i="3"/>
  <c r="AI1442" i="3"/>
  <c r="Y1436" i="3"/>
  <c r="AI1436" i="3"/>
  <c r="Y1438" i="3"/>
  <c r="AI1438" i="3"/>
  <c r="Y1431" i="3"/>
  <c r="AI1431" i="3"/>
  <c r="Y1434" i="3"/>
  <c r="AI1434" i="3"/>
  <c r="Y1432" i="3"/>
  <c r="AI1432" i="3"/>
  <c r="Y1451" i="3"/>
  <c r="AI1451" i="3"/>
  <c r="Y1443" i="3"/>
  <c r="AI1443" i="3"/>
  <c r="Y1449" i="3"/>
  <c r="AI1449" i="3"/>
  <c r="L581" i="4"/>
  <c r="L579" i="4"/>
  <c r="Y1439" i="3"/>
  <c r="AI1439" i="3"/>
  <c r="Y1441" i="3"/>
  <c r="AI1441" i="3"/>
  <c r="Y1428" i="3"/>
  <c r="AI1428" i="3"/>
  <c r="Y393" i="3"/>
  <c r="AI393" i="3"/>
  <c r="Y1429" i="3"/>
  <c r="AI1429" i="3"/>
  <c r="Y1426" i="3"/>
  <c r="AI1426" i="3"/>
  <c r="Y1446" i="3"/>
  <c r="AI1446" i="3"/>
  <c r="Y1447" i="3"/>
  <c r="AI1447" i="3"/>
  <c r="L565" i="4"/>
  <c r="Y382" i="3"/>
  <c r="AI382" i="3"/>
  <c r="Y357" i="3"/>
  <c r="AI357" i="3"/>
  <c r="L569" i="4"/>
  <c r="M556" i="4"/>
  <c r="M560" i="4"/>
  <c r="M568" i="4"/>
  <c r="L563" i="4"/>
  <c r="M569" i="4"/>
  <c r="L568" i="4"/>
  <c r="L562" i="4"/>
  <c r="M566" i="4"/>
  <c r="Y1422" i="3"/>
  <c r="AI1422" i="3"/>
  <c r="M564" i="4"/>
  <c r="Y1423" i="3"/>
  <c r="Y1420" i="3"/>
  <c r="AI1420" i="3"/>
  <c r="L567" i="4"/>
  <c r="Y1421" i="3"/>
  <c r="Y1419" i="3"/>
  <c r="Y1417" i="3"/>
  <c r="L559" i="4"/>
  <c r="M565" i="4"/>
  <c r="Y1418" i="3"/>
  <c r="AI1418" i="3"/>
  <c r="Y1414" i="3"/>
  <c r="AI1414" i="3"/>
  <c r="Y1416" i="3"/>
  <c r="AI1416" i="3"/>
  <c r="M563" i="4"/>
  <c r="M562" i="4"/>
  <c r="L554" i="4"/>
  <c r="Y1409" i="3"/>
  <c r="AI1409" i="3"/>
  <c r="Y1407" i="3"/>
  <c r="AI1407" i="3"/>
  <c r="M553" i="4"/>
  <c r="L558" i="4"/>
  <c r="M561" i="4"/>
  <c r="Y1406" i="3"/>
  <c r="Y1402" i="3"/>
  <c r="M559" i="4"/>
  <c r="M554" i="4"/>
  <c r="M557" i="4"/>
  <c r="M558" i="4"/>
  <c r="M555" i="4"/>
  <c r="Y1381" i="3"/>
  <c r="Y1396" i="3"/>
  <c r="AI1396" i="3"/>
  <c r="Y1393" i="3"/>
  <c r="AI1393" i="3"/>
  <c r="M7" i="15"/>
  <c r="N567" i="4" l="1"/>
  <c r="N576" i="4"/>
  <c r="N579" i="4"/>
  <c r="N574" i="4"/>
  <c r="N581" i="4"/>
  <c r="N569" i="4"/>
  <c r="P571" i="4"/>
  <c r="N578" i="4"/>
  <c r="N568" i="4"/>
  <c r="P575" i="4"/>
  <c r="P572" i="4"/>
  <c r="P573" i="4"/>
  <c r="Q573" i="4" s="1"/>
  <c r="U573" i="4" s="1"/>
  <c r="P577" i="4"/>
  <c r="P580" i="4"/>
  <c r="Q580" i="4" s="1"/>
  <c r="U580" i="4" s="1"/>
  <c r="N575" i="4"/>
  <c r="N558" i="4"/>
  <c r="N573" i="4"/>
  <c r="P581" i="4"/>
  <c r="P574" i="4"/>
  <c r="N559" i="4"/>
  <c r="N562" i="4"/>
  <c r="N565" i="4"/>
  <c r="N566" i="4"/>
  <c r="N580" i="4"/>
  <c r="N571" i="4"/>
  <c r="N554" i="4"/>
  <c r="P578" i="4"/>
  <c r="Q578" i="4" s="1"/>
  <c r="U578" i="4" s="1"/>
  <c r="N563" i="4"/>
  <c r="P576" i="4"/>
  <c r="N577" i="4"/>
  <c r="P579" i="4"/>
  <c r="N572" i="4"/>
  <c r="Q575" i="4" l="1"/>
  <c r="U575" i="4" s="1"/>
  <c r="Q571" i="4"/>
  <c r="U571" i="4" s="1"/>
  <c r="R572" i="4"/>
  <c r="Q572" i="4"/>
  <c r="U572" i="4" s="1"/>
  <c r="R574" i="4"/>
  <c r="Q574" i="4"/>
  <c r="U574" i="4" s="1"/>
  <c r="R576" i="4"/>
  <c r="Q576" i="4"/>
  <c r="U576" i="4" s="1"/>
  <c r="R579" i="4"/>
  <c r="Q579" i="4"/>
  <c r="U579" i="4" s="1"/>
  <c r="R581" i="4"/>
  <c r="Q581" i="4"/>
  <c r="U581" i="4" s="1"/>
  <c r="R577" i="4"/>
  <c r="Q577" i="4"/>
  <c r="U577" i="4" s="1"/>
  <c r="V580" i="4"/>
  <c r="W580" i="4" s="1"/>
  <c r="R580" i="4"/>
  <c r="V578" i="4"/>
  <c r="W578" i="4" s="1"/>
  <c r="R578" i="4"/>
  <c r="V575" i="4"/>
  <c r="R575" i="4"/>
  <c r="V573" i="4"/>
  <c r="W573" i="4" s="1"/>
  <c r="R573" i="4"/>
  <c r="V571" i="4"/>
  <c r="R571" i="4"/>
  <c r="V577" i="4"/>
  <c r="V572" i="4"/>
  <c r="V576" i="4"/>
  <c r="V581" i="4"/>
  <c r="V574" i="4"/>
  <c r="V579" i="4"/>
  <c r="W575" i="4" l="1"/>
  <c r="W571" i="4"/>
  <c r="W572" i="4"/>
  <c r="W574" i="4"/>
  <c r="W579" i="4"/>
  <c r="W577" i="4"/>
  <c r="W581" i="4"/>
  <c r="W576" i="4"/>
  <c r="AB1395" i="3" l="1"/>
  <c r="U3" i="8"/>
  <c r="V3" i="8"/>
  <c r="U4" i="8"/>
  <c r="V4" i="8"/>
  <c r="U5" i="8"/>
  <c r="V5" i="8"/>
  <c r="U6" i="8"/>
  <c r="V6" i="8"/>
  <c r="U7" i="8"/>
  <c r="V7" i="8"/>
  <c r="U8" i="8"/>
  <c r="V8" i="8"/>
  <c r="U9" i="8"/>
  <c r="V9" i="8"/>
  <c r="U10" i="8"/>
  <c r="R1956" i="3" s="1"/>
  <c r="V10" i="8"/>
  <c r="U11" i="8"/>
  <c r="V11" i="8"/>
  <c r="U12" i="8"/>
  <c r="V12" i="8"/>
  <c r="U13" i="8"/>
  <c r="V13" i="8"/>
  <c r="U14" i="8"/>
  <c r="V14" i="8"/>
  <c r="U15" i="8"/>
  <c r="V15" i="8"/>
  <c r="U16" i="8"/>
  <c r="R2002" i="3" s="1"/>
  <c r="V16" i="8"/>
  <c r="U17" i="8"/>
  <c r="V17" i="8"/>
  <c r="U18" i="8"/>
  <c r="V18" i="8"/>
  <c r="V19" i="8"/>
  <c r="U20" i="8"/>
  <c r="V20" i="8"/>
  <c r="U21" i="8"/>
  <c r="V21" i="8"/>
  <c r="U22" i="8"/>
  <c r="R1993" i="3" s="1"/>
  <c r="V22" i="8"/>
  <c r="U23" i="8"/>
  <c r="V23" i="8"/>
  <c r="U24" i="8"/>
  <c r="V24" i="8"/>
  <c r="U25" i="8"/>
  <c r="V25" i="8"/>
  <c r="U26" i="8"/>
  <c r="V26" i="8"/>
  <c r="U27" i="8"/>
  <c r="V27" i="8"/>
  <c r="U28" i="8"/>
  <c r="V28" i="8"/>
  <c r="U29" i="8"/>
  <c r="R1916" i="3" s="1"/>
  <c r="V29" i="8"/>
  <c r="U30" i="8"/>
  <c r="V30" i="8"/>
  <c r="U31" i="8"/>
  <c r="V31" i="8"/>
  <c r="U32" i="8"/>
  <c r="V32" i="8"/>
  <c r="U33" i="8"/>
  <c r="V33" i="8"/>
  <c r="U34" i="8"/>
  <c r="V34" i="8"/>
  <c r="U35" i="8"/>
  <c r="V35" i="8"/>
  <c r="U36" i="8"/>
  <c r="R1962" i="3" s="1"/>
  <c r="V36" i="8"/>
  <c r="U37" i="8"/>
  <c r="V37" i="8"/>
  <c r="U38" i="8"/>
  <c r="V38" i="8"/>
  <c r="U39" i="8"/>
  <c r="R2008" i="3" s="1"/>
  <c r="V39" i="8"/>
  <c r="U40" i="8"/>
  <c r="V40" i="8"/>
  <c r="U41" i="8"/>
  <c r="V41" i="8"/>
  <c r="U42" i="8"/>
  <c r="V42" i="8"/>
  <c r="U43" i="8"/>
  <c r="V43" i="8"/>
  <c r="U44" i="8"/>
  <c r="V44" i="8"/>
  <c r="U45" i="8"/>
  <c r="V45" i="8"/>
  <c r="U46" i="8"/>
  <c r="V46" i="8"/>
  <c r="U47" i="8"/>
  <c r="V47" i="8"/>
  <c r="U48" i="8"/>
  <c r="V48" i="8"/>
  <c r="U49" i="8"/>
  <c r="V49" i="8"/>
  <c r="U50" i="8"/>
  <c r="V50" i="8"/>
  <c r="U51" i="8"/>
  <c r="V51" i="8"/>
  <c r="U52" i="8"/>
  <c r="V52" i="8"/>
  <c r="U53" i="8"/>
  <c r="R1996" i="3" s="1"/>
  <c r="V53" i="8"/>
  <c r="U54" i="8"/>
  <c r="V54" i="8"/>
  <c r="U55" i="8"/>
  <c r="V55" i="8"/>
  <c r="U56" i="8"/>
  <c r="V56" i="8"/>
  <c r="U57" i="8"/>
  <c r="V57" i="8"/>
  <c r="U58" i="8"/>
  <c r="V58" i="8"/>
  <c r="U59" i="8"/>
  <c r="V59" i="8"/>
  <c r="U60" i="8"/>
  <c r="R1922" i="3" s="1"/>
  <c r="V60" i="8"/>
  <c r="U61" i="8"/>
  <c r="V61" i="8"/>
  <c r="U62" i="8"/>
  <c r="V62" i="8"/>
  <c r="U63" i="8"/>
  <c r="V63" i="8"/>
  <c r="U64" i="8"/>
  <c r="V64" i="8"/>
  <c r="U65" i="8"/>
  <c r="V65" i="8"/>
  <c r="U66" i="8"/>
  <c r="V66" i="8"/>
  <c r="U67" i="8"/>
  <c r="V67" i="8"/>
  <c r="U68" i="8"/>
  <c r="V68" i="8"/>
  <c r="U69" i="8"/>
  <c r="V69" i="8"/>
  <c r="U70" i="8"/>
  <c r="V70" i="8"/>
  <c r="U71" i="8"/>
  <c r="V71" i="8"/>
  <c r="U72" i="8"/>
  <c r="V72" i="8"/>
  <c r="U73" i="8"/>
  <c r="V73" i="8"/>
  <c r="U74" i="8"/>
  <c r="V74" i="8"/>
  <c r="U76" i="8"/>
  <c r="V76" i="8"/>
  <c r="U77" i="8"/>
  <c r="V77" i="8"/>
  <c r="U78" i="8"/>
  <c r="V78" i="8"/>
  <c r="U79" i="8"/>
  <c r="V79" i="8"/>
  <c r="U80" i="8"/>
  <c r="V80" i="8"/>
  <c r="U81" i="8"/>
  <c r="V81" i="8"/>
  <c r="U82" i="8"/>
  <c r="V82" i="8"/>
  <c r="U83" i="8"/>
  <c r="V83" i="8"/>
  <c r="U84" i="8"/>
  <c r="V84" i="8"/>
  <c r="U85" i="8"/>
  <c r="V85" i="8"/>
  <c r="U86" i="8"/>
  <c r="V86" i="8"/>
  <c r="U87" i="8"/>
  <c r="V87" i="8"/>
  <c r="U88" i="8"/>
  <c r="V88" i="8"/>
  <c r="U89" i="8"/>
  <c r="V89" i="8"/>
  <c r="U90" i="8"/>
  <c r="V90" i="8"/>
  <c r="U91" i="8"/>
  <c r="V91" i="8"/>
  <c r="U92" i="8"/>
  <c r="V92" i="8"/>
  <c r="U93" i="8"/>
  <c r="V93" i="8"/>
  <c r="U94" i="8"/>
  <c r="V94" i="8"/>
  <c r="U95" i="8"/>
  <c r="R1957" i="3" s="1"/>
  <c r="V95" i="8"/>
  <c r="U96" i="8"/>
  <c r="V96" i="8"/>
  <c r="U97" i="8"/>
  <c r="V97" i="8"/>
  <c r="U98" i="8"/>
  <c r="V98" i="8"/>
  <c r="U99" i="8"/>
  <c r="V99" i="8"/>
  <c r="U100" i="8"/>
  <c r="V100" i="8"/>
  <c r="U101" i="8"/>
  <c r="V101" i="8"/>
  <c r="U102" i="8"/>
  <c r="V102" i="8"/>
  <c r="U103" i="8"/>
  <c r="V103" i="8"/>
  <c r="U104" i="8"/>
  <c r="V104" i="8"/>
  <c r="U105" i="8"/>
  <c r="V105" i="8"/>
  <c r="U106" i="8"/>
  <c r="V106" i="8"/>
  <c r="U107" i="8"/>
  <c r="V107" i="8"/>
  <c r="U108" i="8"/>
  <c r="V108" i="8"/>
  <c r="U109" i="8"/>
  <c r="V109" i="8"/>
  <c r="U110" i="8"/>
  <c r="V110" i="8"/>
  <c r="U111" i="8"/>
  <c r="V111" i="8"/>
  <c r="U112" i="8"/>
  <c r="V112" i="8"/>
  <c r="U113" i="8"/>
  <c r="V113" i="8"/>
  <c r="U114" i="8"/>
  <c r="V114" i="8"/>
  <c r="U115" i="8"/>
  <c r="V115" i="8"/>
  <c r="U116" i="8"/>
  <c r="V116" i="8"/>
  <c r="U117" i="8"/>
  <c r="V117" i="8"/>
  <c r="U118" i="8"/>
  <c r="V118" i="8"/>
  <c r="U119" i="8"/>
  <c r="V119" i="8"/>
  <c r="U120" i="8"/>
  <c r="V120" i="8"/>
  <c r="U121" i="8"/>
  <c r="V121" i="8"/>
  <c r="U122" i="8"/>
  <c r="V122" i="8"/>
  <c r="U123" i="8"/>
  <c r="V123" i="8"/>
  <c r="U124" i="8"/>
  <c r="V124" i="8"/>
  <c r="U125" i="8"/>
  <c r="V125" i="8"/>
  <c r="U126" i="8"/>
  <c r="V126" i="8"/>
  <c r="U127" i="8"/>
  <c r="V127" i="8"/>
  <c r="U128" i="8"/>
  <c r="V128" i="8"/>
  <c r="U129" i="8"/>
  <c r="U130" i="8"/>
  <c r="V130" i="8"/>
  <c r="U131" i="8"/>
  <c r="V131" i="8"/>
  <c r="U132" i="8"/>
  <c r="V132" i="8"/>
  <c r="U133" i="8"/>
  <c r="V133" i="8"/>
  <c r="U134" i="8"/>
  <c r="V134" i="8"/>
  <c r="U135" i="8"/>
  <c r="V135" i="8"/>
  <c r="U136" i="8"/>
  <c r="V136" i="8"/>
  <c r="U137" i="8"/>
  <c r="V137" i="8"/>
  <c r="U138" i="8"/>
  <c r="V138" i="8"/>
  <c r="U139" i="8"/>
  <c r="V139" i="8"/>
  <c r="U140" i="8"/>
  <c r="V140" i="8"/>
  <c r="U141" i="8"/>
  <c r="V141" i="8"/>
  <c r="U142" i="8"/>
  <c r="V142" i="8"/>
  <c r="U143" i="8"/>
  <c r="V143" i="8"/>
  <c r="U144" i="8"/>
  <c r="V144" i="8"/>
  <c r="U145" i="8"/>
  <c r="V145" i="8"/>
  <c r="U146" i="8"/>
  <c r="V146" i="8"/>
  <c r="U147" i="8"/>
  <c r="V147" i="8"/>
  <c r="U148" i="8"/>
  <c r="V148" i="8"/>
  <c r="U149" i="8"/>
  <c r="V149" i="8"/>
  <c r="U150" i="8"/>
  <c r="V150" i="8"/>
  <c r="U151" i="8"/>
  <c r="V151" i="8"/>
  <c r="U152" i="8"/>
  <c r="V152" i="8"/>
  <c r="U153" i="8"/>
  <c r="V153" i="8"/>
  <c r="U154" i="8"/>
  <c r="V154" i="8"/>
  <c r="U155" i="8"/>
  <c r="V155" i="8"/>
  <c r="U156" i="8"/>
  <c r="V156" i="8"/>
  <c r="U157" i="8"/>
  <c r="V157" i="8"/>
  <c r="U158" i="8"/>
  <c r="V158" i="8"/>
  <c r="U159" i="8"/>
  <c r="V159" i="8"/>
  <c r="U160" i="8"/>
  <c r="V160" i="8"/>
  <c r="U161" i="8"/>
  <c r="V161" i="8"/>
  <c r="U162" i="8"/>
  <c r="R1941" i="3" s="1"/>
  <c r="V162" i="8"/>
  <c r="U163" i="8"/>
  <c r="R1959" i="3" s="1"/>
  <c r="V163" i="8"/>
  <c r="U164" i="8"/>
  <c r="V164" i="8"/>
  <c r="U165" i="8"/>
  <c r="V165" i="8"/>
  <c r="U166" i="8"/>
  <c r="V166" i="8"/>
  <c r="U167" i="8"/>
  <c r="V167" i="8"/>
  <c r="U168" i="8"/>
  <c r="V168" i="8"/>
  <c r="U169" i="8"/>
  <c r="V169" i="8"/>
  <c r="U170" i="8"/>
  <c r="R1958" i="3" s="1"/>
  <c r="V170" i="8"/>
  <c r="U171" i="8"/>
  <c r="V171" i="8"/>
  <c r="V172" i="8"/>
  <c r="V173" i="8"/>
  <c r="U174" i="8"/>
  <c r="V174" i="8"/>
  <c r="U175" i="8"/>
  <c r="R1938" i="3" s="1"/>
  <c r="V175" i="8"/>
  <c r="U176" i="8"/>
  <c r="V176" i="8"/>
  <c r="U177" i="8"/>
  <c r="V177" i="8"/>
  <c r="U178" i="8"/>
  <c r="V178" i="8"/>
  <c r="U179" i="8"/>
  <c r="V179" i="8"/>
  <c r="U180" i="8"/>
  <c r="V180" i="8"/>
  <c r="U181" i="8"/>
  <c r="V181" i="8"/>
  <c r="U182" i="8"/>
  <c r="V182" i="8"/>
  <c r="U183" i="8"/>
  <c r="V183" i="8"/>
  <c r="U184" i="8"/>
  <c r="V184" i="8"/>
  <c r="U185" i="8"/>
  <c r="V185" i="8"/>
  <c r="U186" i="8"/>
  <c r="V186" i="8"/>
  <c r="U187" i="8"/>
  <c r="V187" i="8"/>
  <c r="U188" i="8"/>
  <c r="V188" i="8"/>
  <c r="U189" i="8"/>
  <c r="V189" i="8"/>
  <c r="U190" i="8"/>
  <c r="V190" i="8"/>
  <c r="V191" i="8"/>
  <c r="U192" i="8"/>
  <c r="R1954" i="3" s="1"/>
  <c r="V192" i="8"/>
  <c r="U193" i="8"/>
  <c r="V193" i="8"/>
  <c r="U194" i="8"/>
  <c r="V194" i="8"/>
  <c r="V195" i="8"/>
  <c r="V196" i="8"/>
  <c r="U197" i="8"/>
  <c r="V197" i="8"/>
  <c r="U198" i="8"/>
  <c r="V198" i="8"/>
  <c r="U199" i="8"/>
  <c r="V199" i="8"/>
  <c r="U200" i="8"/>
  <c r="V200" i="8"/>
  <c r="U201" i="8"/>
  <c r="V201" i="8"/>
  <c r="U202" i="8"/>
  <c r="R1955" i="3" s="1"/>
  <c r="V202" i="8"/>
  <c r="U203" i="8"/>
  <c r="V203" i="8"/>
  <c r="U204" i="8"/>
  <c r="V204" i="8"/>
  <c r="U205" i="8"/>
  <c r="V205" i="8"/>
  <c r="U206" i="8"/>
  <c r="V206" i="8"/>
  <c r="U207" i="8"/>
  <c r="V207" i="8"/>
  <c r="U208" i="8"/>
  <c r="V208" i="8"/>
  <c r="U209" i="8"/>
  <c r="V209" i="8"/>
  <c r="U210" i="8"/>
  <c r="V210" i="8"/>
  <c r="U211" i="8"/>
  <c r="R1976" i="3" s="1"/>
  <c r="V211" i="8"/>
  <c r="U212" i="8"/>
  <c r="V212" i="8"/>
  <c r="U213" i="8"/>
  <c r="V213" i="8"/>
  <c r="U214" i="8"/>
  <c r="V214" i="8"/>
  <c r="U215" i="8"/>
  <c r="V215" i="8"/>
  <c r="U216" i="8"/>
  <c r="V216" i="8"/>
  <c r="U217" i="8"/>
  <c r="V217" i="8"/>
  <c r="U218" i="8"/>
  <c r="V218" i="8"/>
  <c r="U219" i="8"/>
  <c r="V219" i="8"/>
  <c r="U220" i="8"/>
  <c r="V220" i="8"/>
  <c r="U221" i="8"/>
  <c r="V221" i="8"/>
  <c r="U222" i="8"/>
  <c r="V222" i="8"/>
  <c r="U223" i="8"/>
  <c r="V223" i="8"/>
  <c r="U224" i="8"/>
  <c r="V224" i="8"/>
  <c r="U225" i="8"/>
  <c r="V225" i="8"/>
  <c r="U226" i="8"/>
  <c r="V226" i="8"/>
  <c r="V227" i="8"/>
  <c r="U228" i="8"/>
  <c r="V228" i="8"/>
  <c r="U229" i="8"/>
  <c r="V229" i="8"/>
  <c r="U230" i="8"/>
  <c r="V230" i="8"/>
  <c r="U231" i="8"/>
  <c r="V231" i="8"/>
  <c r="U232" i="8"/>
  <c r="V232" i="8"/>
  <c r="U233" i="8"/>
  <c r="V233" i="8"/>
  <c r="U234" i="8"/>
  <c r="V234" i="8"/>
  <c r="U235" i="8"/>
  <c r="V235" i="8"/>
  <c r="U236" i="8"/>
  <c r="V236" i="8"/>
  <c r="V237" i="8"/>
  <c r="U238" i="8"/>
  <c r="V238" i="8"/>
  <c r="U239" i="8"/>
  <c r="V239" i="8"/>
  <c r="U240" i="8"/>
  <c r="V240" i="8"/>
  <c r="U241" i="8"/>
  <c r="V241" i="8"/>
  <c r="U242" i="8"/>
  <c r="V242" i="8"/>
  <c r="U243" i="8"/>
  <c r="V243" i="8"/>
  <c r="U244" i="8"/>
  <c r="V244" i="8"/>
  <c r="U245" i="8"/>
  <c r="V245" i="8"/>
  <c r="U246" i="8"/>
  <c r="V246" i="8"/>
  <c r="U247" i="8"/>
  <c r="V247" i="8"/>
  <c r="U248" i="8"/>
  <c r="V248" i="8"/>
  <c r="U249" i="8"/>
  <c r="V249" i="8"/>
  <c r="U250" i="8"/>
  <c r="V250" i="8"/>
  <c r="U251" i="8"/>
  <c r="V251" i="8"/>
  <c r="U252" i="8"/>
  <c r="V252" i="8"/>
  <c r="U253" i="8"/>
  <c r="V253" i="8"/>
  <c r="U254" i="8"/>
  <c r="V254" i="8"/>
  <c r="U255" i="8"/>
  <c r="V255" i="8"/>
  <c r="U256" i="8"/>
  <c r="V256" i="8"/>
  <c r="U257" i="8"/>
  <c r="V257" i="8"/>
  <c r="U258" i="8"/>
  <c r="V258" i="8"/>
  <c r="M2005" i="3" s="1" a="1"/>
  <c r="M2005" i="3" s="1"/>
  <c r="N2005" i="3" s="1"/>
  <c r="U259" i="8"/>
  <c r="R1913" i="3" s="1"/>
  <c r="V259" i="8"/>
  <c r="U260" i="8"/>
  <c r="V260" i="8"/>
  <c r="U261" i="8"/>
  <c r="V261" i="8"/>
  <c r="U262" i="8"/>
  <c r="V262" i="8"/>
  <c r="U263" i="8"/>
  <c r="V263" i="8"/>
  <c r="U264" i="8"/>
  <c r="V264" i="8"/>
  <c r="U265" i="8"/>
  <c r="V265" i="8"/>
  <c r="U266" i="8"/>
  <c r="V266" i="8"/>
  <c r="U267" i="8"/>
  <c r="V267" i="8"/>
  <c r="U268" i="8"/>
  <c r="V268" i="8"/>
  <c r="U269" i="8"/>
  <c r="V269" i="8"/>
  <c r="U270" i="8"/>
  <c r="V270" i="8"/>
  <c r="U271" i="8"/>
  <c r="V271" i="8"/>
  <c r="U272" i="8"/>
  <c r="V272" i="8"/>
  <c r="U273" i="8"/>
  <c r="V273" i="8"/>
  <c r="U274" i="8"/>
  <c r="V274" i="8"/>
  <c r="U275" i="8"/>
  <c r="V275" i="8"/>
  <c r="U276" i="8"/>
  <c r="V276" i="8"/>
  <c r="U277" i="8"/>
  <c r="V277" i="8"/>
  <c r="U278" i="8"/>
  <c r="V278" i="8"/>
  <c r="U279" i="8"/>
  <c r="V279" i="8"/>
  <c r="U280" i="8"/>
  <c r="V280" i="8"/>
  <c r="U281" i="8"/>
  <c r="V281" i="8"/>
  <c r="U282" i="8"/>
  <c r="V282" i="8"/>
  <c r="U283" i="8"/>
  <c r="V283" i="8"/>
  <c r="U284" i="8"/>
  <c r="V284" i="8"/>
  <c r="U285" i="8"/>
  <c r="V285" i="8"/>
  <c r="U286" i="8"/>
  <c r="V286" i="8"/>
  <c r="U287" i="8"/>
  <c r="V287" i="8"/>
  <c r="U288" i="8"/>
  <c r="V288" i="8"/>
  <c r="U289" i="8"/>
  <c r="V289" i="8"/>
  <c r="U290" i="8"/>
  <c r="V290" i="8"/>
  <c r="U291" i="8"/>
  <c r="V291" i="8"/>
  <c r="U292" i="8"/>
  <c r="V292" i="8"/>
  <c r="U293" i="8"/>
  <c r="V293" i="8"/>
  <c r="U294" i="8"/>
  <c r="V294" i="8"/>
  <c r="U295" i="8"/>
  <c r="V295" i="8"/>
  <c r="U296" i="8"/>
  <c r="V296" i="8"/>
  <c r="U297" i="8"/>
  <c r="V297" i="8"/>
  <c r="U298" i="8"/>
  <c r="V298" i="8"/>
  <c r="U299" i="8"/>
  <c r="V299" i="8"/>
  <c r="U300" i="8"/>
  <c r="V300" i="8"/>
  <c r="U301" i="8"/>
  <c r="V301" i="8"/>
  <c r="U302" i="8"/>
  <c r="V302" i="8"/>
  <c r="U303" i="8"/>
  <c r="V303" i="8"/>
  <c r="U304" i="8"/>
  <c r="R1950" i="3" s="1"/>
  <c r="V304" i="8"/>
  <c r="U305" i="8"/>
  <c r="V305" i="8"/>
  <c r="U306" i="8"/>
  <c r="V306" i="8"/>
  <c r="U307" i="8"/>
  <c r="V307" i="8"/>
  <c r="U308" i="8"/>
  <c r="V308" i="8"/>
  <c r="U309" i="8"/>
  <c r="V309" i="8"/>
  <c r="U310" i="8"/>
  <c r="V310" i="8"/>
  <c r="U311" i="8"/>
  <c r="V311" i="8"/>
  <c r="U312" i="8"/>
  <c r="V312" i="8"/>
  <c r="U313" i="8"/>
  <c r="V313" i="8"/>
  <c r="V314" i="8"/>
  <c r="U315" i="8"/>
  <c r="V315" i="8"/>
  <c r="V316" i="8"/>
  <c r="V317" i="8"/>
  <c r="U318" i="8"/>
  <c r="V318" i="8"/>
  <c r="U319" i="8"/>
  <c r="V319" i="8"/>
  <c r="U320" i="8"/>
  <c r="V320" i="8"/>
  <c r="U321" i="8"/>
  <c r="V321" i="8"/>
  <c r="V2" i="8"/>
  <c r="U2" i="8"/>
  <c r="L3" i="8"/>
  <c r="M3" i="8"/>
  <c r="L4" i="8"/>
  <c r="M4" i="8"/>
  <c r="L5" i="8"/>
  <c r="M5" i="8"/>
  <c r="L6" i="8"/>
  <c r="M6" i="8"/>
  <c r="L7" i="8"/>
  <c r="M7" i="8"/>
  <c r="L8" i="8"/>
  <c r="M8" i="8"/>
  <c r="L9" i="8"/>
  <c r="M9" i="8"/>
  <c r="L10" i="8"/>
  <c r="M10" i="8"/>
  <c r="L11" i="8"/>
  <c r="M11" i="8"/>
  <c r="L12" i="8"/>
  <c r="M12" i="8"/>
  <c r="L13" i="8"/>
  <c r="M13" i="8"/>
  <c r="L14" i="8"/>
  <c r="M14" i="8"/>
  <c r="L15" i="8"/>
  <c r="M15" i="8"/>
  <c r="L16" i="8"/>
  <c r="M16" i="8"/>
  <c r="L17" i="8"/>
  <c r="M17" i="8"/>
  <c r="L18" i="8"/>
  <c r="M18" i="8"/>
  <c r="M19" i="8"/>
  <c r="L20" i="8"/>
  <c r="M20" i="8"/>
  <c r="L21" i="8"/>
  <c r="M21" i="8"/>
  <c r="L22" i="8"/>
  <c r="M22" i="8"/>
  <c r="L23" i="8"/>
  <c r="M23" i="8"/>
  <c r="L24" i="8"/>
  <c r="M24" i="8"/>
  <c r="L25" i="8"/>
  <c r="M25" i="8"/>
  <c r="L26" i="8"/>
  <c r="M26" i="8"/>
  <c r="L27" i="8"/>
  <c r="M27" i="8"/>
  <c r="L28" i="8"/>
  <c r="M28" i="8"/>
  <c r="L29" i="8"/>
  <c r="M29" i="8"/>
  <c r="L30" i="8"/>
  <c r="M30" i="8"/>
  <c r="L31" i="8"/>
  <c r="M31" i="8"/>
  <c r="L32" i="8"/>
  <c r="M32" i="8"/>
  <c r="L33" i="8"/>
  <c r="M33" i="8"/>
  <c r="L34" i="8"/>
  <c r="M34" i="8"/>
  <c r="L35" i="8"/>
  <c r="M35" i="8"/>
  <c r="L36" i="8"/>
  <c r="M36" i="8"/>
  <c r="L37" i="8"/>
  <c r="M37" i="8"/>
  <c r="L38" i="8"/>
  <c r="M38" i="8"/>
  <c r="L39" i="8"/>
  <c r="M39" i="8"/>
  <c r="L40" i="8"/>
  <c r="M40" i="8"/>
  <c r="L41" i="8"/>
  <c r="M41" i="8"/>
  <c r="L42" i="8"/>
  <c r="M42" i="8"/>
  <c r="L43" i="8"/>
  <c r="M43" i="8"/>
  <c r="L44" i="8"/>
  <c r="M44" i="8"/>
  <c r="L45" i="8"/>
  <c r="M45" i="8"/>
  <c r="L46" i="8"/>
  <c r="M46" i="8"/>
  <c r="L47" i="8"/>
  <c r="M47" i="8"/>
  <c r="L48" i="8"/>
  <c r="M48" i="8"/>
  <c r="L49" i="8"/>
  <c r="M49" i="8"/>
  <c r="L50" i="8"/>
  <c r="M50" i="8"/>
  <c r="L51" i="8"/>
  <c r="M51" i="8"/>
  <c r="L52" i="8"/>
  <c r="M52" i="8"/>
  <c r="L53" i="8"/>
  <c r="M53" i="8"/>
  <c r="L54" i="8"/>
  <c r="M54" i="8"/>
  <c r="L55" i="8"/>
  <c r="M55" i="8"/>
  <c r="L56" i="8"/>
  <c r="M56" i="8"/>
  <c r="L57" i="8"/>
  <c r="M57" i="8"/>
  <c r="L58" i="8"/>
  <c r="M58" i="8"/>
  <c r="L59" i="8"/>
  <c r="M59" i="8"/>
  <c r="L60" i="8"/>
  <c r="M60" i="8"/>
  <c r="L61" i="8"/>
  <c r="M61" i="8"/>
  <c r="L62" i="8"/>
  <c r="M62" i="8"/>
  <c r="L63" i="8"/>
  <c r="M63" i="8"/>
  <c r="L64" i="8"/>
  <c r="M64" i="8"/>
  <c r="L65" i="8"/>
  <c r="M65" i="8"/>
  <c r="L66" i="8"/>
  <c r="M66" i="8"/>
  <c r="L67" i="8"/>
  <c r="M67" i="8"/>
  <c r="L68" i="8"/>
  <c r="M68" i="8"/>
  <c r="L69" i="8"/>
  <c r="M69" i="8"/>
  <c r="L70" i="8"/>
  <c r="M70" i="8"/>
  <c r="L71" i="8"/>
  <c r="M71" i="8"/>
  <c r="L72" i="8"/>
  <c r="M72" i="8"/>
  <c r="L73" i="8"/>
  <c r="M73" i="8"/>
  <c r="L74" i="8"/>
  <c r="M74" i="8"/>
  <c r="L75" i="8"/>
  <c r="M75" i="8"/>
  <c r="L76" i="8"/>
  <c r="M76" i="8"/>
  <c r="L77" i="8"/>
  <c r="M77" i="8"/>
  <c r="L78" i="8"/>
  <c r="M78" i="8"/>
  <c r="L79" i="8"/>
  <c r="M79" i="8"/>
  <c r="L80" i="8"/>
  <c r="M80" i="8"/>
  <c r="L81" i="8"/>
  <c r="M81" i="8"/>
  <c r="L82" i="8"/>
  <c r="M82" i="8"/>
  <c r="L83" i="8"/>
  <c r="M83" i="8"/>
  <c r="L84" i="8"/>
  <c r="M84" i="8"/>
  <c r="L85" i="8"/>
  <c r="M85" i="8"/>
  <c r="L86" i="8"/>
  <c r="M86" i="8"/>
  <c r="L87" i="8"/>
  <c r="M87" i="8"/>
  <c r="L88" i="8"/>
  <c r="M88" i="8"/>
  <c r="L89" i="8"/>
  <c r="M89" i="8"/>
  <c r="L90" i="8"/>
  <c r="M90" i="8"/>
  <c r="L91" i="8"/>
  <c r="M91" i="8"/>
  <c r="L92" i="8"/>
  <c r="M92" i="8"/>
  <c r="L93" i="8"/>
  <c r="M93" i="8"/>
  <c r="L94" i="8"/>
  <c r="M94" i="8"/>
  <c r="L95" i="8"/>
  <c r="M95" i="8"/>
  <c r="L96" i="8"/>
  <c r="M96" i="8"/>
  <c r="L97" i="8"/>
  <c r="M97" i="8"/>
  <c r="L98" i="8"/>
  <c r="M98" i="8"/>
  <c r="L99" i="8"/>
  <c r="M99" i="8"/>
  <c r="L100" i="8"/>
  <c r="M100" i="8"/>
  <c r="L101" i="8"/>
  <c r="M101" i="8"/>
  <c r="L102" i="8"/>
  <c r="M102" i="8"/>
  <c r="L103" i="8"/>
  <c r="M103" i="8"/>
  <c r="L104" i="8"/>
  <c r="M104" i="8"/>
  <c r="L105" i="8"/>
  <c r="M105" i="8"/>
  <c r="L106" i="8"/>
  <c r="M106" i="8"/>
  <c r="L107" i="8"/>
  <c r="M107" i="8"/>
  <c r="L108" i="8"/>
  <c r="M108" i="8"/>
  <c r="L109" i="8"/>
  <c r="M109" i="8"/>
  <c r="L110" i="8"/>
  <c r="M110" i="8"/>
  <c r="L111" i="8"/>
  <c r="M111" i="8"/>
  <c r="L112" i="8"/>
  <c r="M112" i="8"/>
  <c r="L113" i="8"/>
  <c r="M113" i="8"/>
  <c r="L114" i="8"/>
  <c r="M114" i="8"/>
  <c r="L115" i="8"/>
  <c r="M115" i="8"/>
  <c r="L116" i="8"/>
  <c r="M116" i="8"/>
  <c r="L117" i="8"/>
  <c r="M117" i="8"/>
  <c r="L118" i="8"/>
  <c r="M118" i="8"/>
  <c r="L119" i="8"/>
  <c r="M119" i="8"/>
  <c r="L120" i="8"/>
  <c r="M120" i="8"/>
  <c r="L121" i="8"/>
  <c r="M121" i="8"/>
  <c r="L122" i="8"/>
  <c r="M122" i="8"/>
  <c r="L123" i="8"/>
  <c r="M123" i="8"/>
  <c r="L124" i="8"/>
  <c r="M124" i="8"/>
  <c r="L125" i="8"/>
  <c r="M125" i="8"/>
  <c r="L126" i="8"/>
  <c r="M126" i="8"/>
  <c r="L127" i="8"/>
  <c r="M127" i="8"/>
  <c r="L128" i="8"/>
  <c r="M128" i="8"/>
  <c r="L129" i="8"/>
  <c r="M129" i="8"/>
  <c r="L130" i="8"/>
  <c r="M130" i="8"/>
  <c r="L131" i="8"/>
  <c r="M131" i="8"/>
  <c r="L132" i="8"/>
  <c r="M132" i="8"/>
  <c r="L133" i="8"/>
  <c r="M133" i="8"/>
  <c r="L134" i="8"/>
  <c r="M134" i="8"/>
  <c r="L135" i="8"/>
  <c r="M135" i="8"/>
  <c r="L136" i="8"/>
  <c r="M136" i="8"/>
  <c r="L137" i="8"/>
  <c r="M137" i="8"/>
  <c r="L138" i="8"/>
  <c r="M138" i="8"/>
  <c r="L139" i="8"/>
  <c r="M139" i="8"/>
  <c r="L140" i="8"/>
  <c r="M140" i="8"/>
  <c r="L141" i="8"/>
  <c r="M141" i="8"/>
  <c r="L142" i="8"/>
  <c r="M142" i="8"/>
  <c r="L143" i="8"/>
  <c r="M143" i="8"/>
  <c r="L144" i="8"/>
  <c r="M144" i="8"/>
  <c r="L145" i="8"/>
  <c r="M145" i="8"/>
  <c r="L146" i="8"/>
  <c r="M146" i="8"/>
  <c r="L147" i="8"/>
  <c r="M147" i="8"/>
  <c r="L148" i="8"/>
  <c r="M148" i="8"/>
  <c r="L149" i="8"/>
  <c r="M149" i="8"/>
  <c r="L150" i="8"/>
  <c r="M150" i="8"/>
  <c r="L151" i="8"/>
  <c r="M151" i="8"/>
  <c r="L152" i="8"/>
  <c r="M152" i="8"/>
  <c r="L153" i="8"/>
  <c r="M153" i="8"/>
  <c r="L154" i="8"/>
  <c r="M154" i="8"/>
  <c r="L155" i="8"/>
  <c r="M155" i="8"/>
  <c r="L156" i="8"/>
  <c r="M156" i="8"/>
  <c r="L157" i="8"/>
  <c r="M157" i="8"/>
  <c r="L158" i="8"/>
  <c r="M158" i="8"/>
  <c r="L159" i="8"/>
  <c r="M159" i="8"/>
  <c r="L160" i="8"/>
  <c r="M160" i="8"/>
  <c r="L161" i="8"/>
  <c r="M161" i="8"/>
  <c r="L162" i="8"/>
  <c r="M162" i="8"/>
  <c r="L163" i="8"/>
  <c r="M163" i="8"/>
  <c r="L164" i="8"/>
  <c r="M164" i="8"/>
  <c r="L165" i="8"/>
  <c r="M165" i="8"/>
  <c r="L166" i="8"/>
  <c r="M166" i="8"/>
  <c r="L167" i="8"/>
  <c r="M167" i="8"/>
  <c r="L168" i="8"/>
  <c r="M168" i="8"/>
  <c r="L169" i="8"/>
  <c r="M169" i="8"/>
  <c r="L170" i="8"/>
  <c r="M170" i="8"/>
  <c r="L171" i="8"/>
  <c r="M171" i="8"/>
  <c r="L172" i="8"/>
  <c r="M172" i="8"/>
  <c r="L173" i="8"/>
  <c r="M173" i="8"/>
  <c r="L174" i="8"/>
  <c r="M174" i="8"/>
  <c r="L175" i="8"/>
  <c r="M175" i="8"/>
  <c r="L176" i="8"/>
  <c r="M176" i="8"/>
  <c r="L177" i="8"/>
  <c r="M177" i="8"/>
  <c r="L178" i="8"/>
  <c r="M178" i="8"/>
  <c r="L179" i="8"/>
  <c r="M179" i="8"/>
  <c r="L180" i="8"/>
  <c r="M180" i="8"/>
  <c r="L181" i="8"/>
  <c r="M181" i="8"/>
  <c r="L182" i="8"/>
  <c r="M182" i="8"/>
  <c r="L183" i="8"/>
  <c r="M183" i="8"/>
  <c r="L184" i="8"/>
  <c r="M184" i="8"/>
  <c r="L185" i="8"/>
  <c r="M185" i="8"/>
  <c r="L186" i="8"/>
  <c r="M186" i="8"/>
  <c r="L187" i="8"/>
  <c r="M187" i="8"/>
  <c r="L188" i="8"/>
  <c r="M188" i="8"/>
  <c r="L189" i="8"/>
  <c r="M189" i="8"/>
  <c r="L190" i="8"/>
  <c r="M190" i="8"/>
  <c r="M191" i="8"/>
  <c r="L192" i="8"/>
  <c r="M192" i="8"/>
  <c r="X192" i="8" s="1"/>
  <c r="L193" i="8"/>
  <c r="M193" i="8"/>
  <c r="L194" i="8"/>
  <c r="M194" i="8"/>
  <c r="M195" i="8"/>
  <c r="M196" i="8"/>
  <c r="X196" i="8" s="1"/>
  <c r="L197" i="8"/>
  <c r="M197" i="8"/>
  <c r="L198" i="8"/>
  <c r="M198" i="8"/>
  <c r="L199" i="8"/>
  <c r="M199" i="8"/>
  <c r="L200" i="8"/>
  <c r="M200" i="8"/>
  <c r="L201" i="8"/>
  <c r="M201" i="8"/>
  <c r="L202" i="8"/>
  <c r="M202" i="8"/>
  <c r="X202" i="8" s="1"/>
  <c r="L203" i="8"/>
  <c r="M203" i="8"/>
  <c r="L204" i="8"/>
  <c r="M204" i="8"/>
  <c r="L205" i="8"/>
  <c r="M205" i="8"/>
  <c r="L206" i="8"/>
  <c r="M206" i="8"/>
  <c r="L207" i="8"/>
  <c r="M207" i="8"/>
  <c r="L208" i="8"/>
  <c r="M208" i="8"/>
  <c r="L209" i="8"/>
  <c r="M209" i="8"/>
  <c r="L210" i="8"/>
  <c r="M210" i="8"/>
  <c r="L211" i="8"/>
  <c r="M211" i="8"/>
  <c r="L212" i="8"/>
  <c r="M212" i="8"/>
  <c r="L213" i="8"/>
  <c r="M213" i="8"/>
  <c r="L214" i="8"/>
  <c r="M214" i="8"/>
  <c r="L215" i="8"/>
  <c r="M215" i="8"/>
  <c r="L216" i="8"/>
  <c r="M216" i="8"/>
  <c r="L217" i="8"/>
  <c r="M217" i="8"/>
  <c r="L218" i="8"/>
  <c r="M218" i="8"/>
  <c r="L219" i="8"/>
  <c r="M219" i="8"/>
  <c r="L220" i="8"/>
  <c r="M220" i="8"/>
  <c r="L221" i="8"/>
  <c r="M221" i="8"/>
  <c r="L222" i="8"/>
  <c r="M222" i="8"/>
  <c r="L223" i="8"/>
  <c r="M223" i="8"/>
  <c r="L224" i="8"/>
  <c r="M224" i="8"/>
  <c r="L225" i="8"/>
  <c r="M225" i="8"/>
  <c r="L226" i="8"/>
  <c r="M226" i="8"/>
  <c r="M227" i="8"/>
  <c r="L228" i="8"/>
  <c r="M228" i="8"/>
  <c r="L229" i="8"/>
  <c r="M229" i="8"/>
  <c r="L230" i="8"/>
  <c r="M230" i="8"/>
  <c r="L231" i="8"/>
  <c r="M231" i="8"/>
  <c r="L232" i="8"/>
  <c r="M232" i="8"/>
  <c r="L233" i="8"/>
  <c r="M233" i="8"/>
  <c r="L234" i="8"/>
  <c r="M234" i="8"/>
  <c r="L235" i="8"/>
  <c r="M235" i="8"/>
  <c r="L236" i="8"/>
  <c r="M236" i="8"/>
  <c r="M237" i="8"/>
  <c r="L238" i="8"/>
  <c r="M238" i="8"/>
  <c r="L239" i="8"/>
  <c r="M239" i="8"/>
  <c r="L240" i="8"/>
  <c r="M240" i="8"/>
  <c r="L241" i="8"/>
  <c r="M241" i="8"/>
  <c r="L242" i="8"/>
  <c r="M242" i="8"/>
  <c r="L243" i="8"/>
  <c r="M243" i="8"/>
  <c r="L244" i="8"/>
  <c r="M244" i="8"/>
  <c r="L245" i="8"/>
  <c r="M245" i="8"/>
  <c r="L246" i="8"/>
  <c r="M246" i="8"/>
  <c r="L247" i="8"/>
  <c r="M247" i="8"/>
  <c r="L248" i="8"/>
  <c r="M248" i="8"/>
  <c r="L249" i="8"/>
  <c r="M249" i="8"/>
  <c r="L250" i="8"/>
  <c r="M250" i="8"/>
  <c r="L251" i="8"/>
  <c r="M251" i="8"/>
  <c r="L252" i="8"/>
  <c r="M252" i="8"/>
  <c r="L253" i="8"/>
  <c r="L254" i="8"/>
  <c r="M254" i="8"/>
  <c r="L255" i="8"/>
  <c r="M255" i="8"/>
  <c r="L256" i="8"/>
  <c r="M256" i="8"/>
  <c r="L257" i="8"/>
  <c r="M257" i="8"/>
  <c r="L258" i="8"/>
  <c r="M258" i="8"/>
  <c r="L259" i="8"/>
  <c r="M259" i="8"/>
  <c r="L260" i="8"/>
  <c r="M260" i="8"/>
  <c r="L261" i="8"/>
  <c r="M261" i="8"/>
  <c r="L262" i="8"/>
  <c r="M262" i="8"/>
  <c r="L263" i="8"/>
  <c r="M263" i="8"/>
  <c r="L264" i="8"/>
  <c r="M264" i="8"/>
  <c r="L265" i="8"/>
  <c r="M265" i="8"/>
  <c r="L266" i="8"/>
  <c r="M266" i="8"/>
  <c r="L267" i="8"/>
  <c r="M267" i="8"/>
  <c r="L268" i="8"/>
  <c r="M268" i="8"/>
  <c r="L269" i="8"/>
  <c r="M269" i="8"/>
  <c r="L270" i="8"/>
  <c r="M270" i="8"/>
  <c r="L271" i="8"/>
  <c r="M271" i="8"/>
  <c r="L272" i="8"/>
  <c r="M272" i="8"/>
  <c r="L273" i="8"/>
  <c r="M273" i="8"/>
  <c r="L274" i="8"/>
  <c r="M274" i="8"/>
  <c r="L275" i="8"/>
  <c r="M275" i="8"/>
  <c r="L276" i="8"/>
  <c r="M276" i="8"/>
  <c r="L277" i="8"/>
  <c r="M277" i="8"/>
  <c r="L278" i="8"/>
  <c r="M278" i="8"/>
  <c r="L279" i="8"/>
  <c r="M279" i="8"/>
  <c r="L280" i="8"/>
  <c r="M280" i="8"/>
  <c r="L281" i="8"/>
  <c r="M281" i="8"/>
  <c r="L282" i="8"/>
  <c r="M282" i="8"/>
  <c r="L283" i="8"/>
  <c r="M283" i="8"/>
  <c r="L284" i="8"/>
  <c r="M284" i="8"/>
  <c r="L285" i="8"/>
  <c r="M285" i="8"/>
  <c r="L286" i="8"/>
  <c r="M286" i="8"/>
  <c r="L287" i="8"/>
  <c r="M287" i="8"/>
  <c r="L288" i="8"/>
  <c r="M288" i="8"/>
  <c r="L289" i="8"/>
  <c r="M289" i="8"/>
  <c r="L290" i="8"/>
  <c r="M290" i="8"/>
  <c r="L291" i="8"/>
  <c r="M291" i="8"/>
  <c r="L292" i="8"/>
  <c r="M292" i="8"/>
  <c r="L293" i="8"/>
  <c r="M293" i="8"/>
  <c r="L294" i="8"/>
  <c r="M294" i="8"/>
  <c r="M295" i="8"/>
  <c r="L296" i="8"/>
  <c r="M296" i="8"/>
  <c r="L297" i="8"/>
  <c r="M297" i="8"/>
  <c r="L298" i="8"/>
  <c r="M298" i="8"/>
  <c r="L299" i="8"/>
  <c r="M299" i="8"/>
  <c r="L300" i="8"/>
  <c r="M300" i="8"/>
  <c r="L301" i="8"/>
  <c r="M301" i="8"/>
  <c r="L302" i="8"/>
  <c r="M302" i="8"/>
  <c r="L303" i="8"/>
  <c r="M303" i="8"/>
  <c r="L304" i="8"/>
  <c r="M304" i="8"/>
  <c r="L305" i="8"/>
  <c r="M305" i="8"/>
  <c r="L306" i="8"/>
  <c r="M306" i="8"/>
  <c r="L307" i="8"/>
  <c r="M307" i="8"/>
  <c r="L308" i="8"/>
  <c r="M308" i="8"/>
  <c r="L309" i="8"/>
  <c r="M309" i="8"/>
  <c r="L310" i="8"/>
  <c r="M310" i="8"/>
  <c r="L311" i="8"/>
  <c r="M311" i="8"/>
  <c r="L312" i="8"/>
  <c r="M312" i="8"/>
  <c r="L313" i="8"/>
  <c r="M313" i="8"/>
  <c r="M314" i="8"/>
  <c r="L315" i="8"/>
  <c r="M315" i="8"/>
  <c r="M316" i="8"/>
  <c r="M317" i="8"/>
  <c r="L318" i="8"/>
  <c r="M318" i="8"/>
  <c r="L319" i="8"/>
  <c r="M319" i="8"/>
  <c r="L320" i="8"/>
  <c r="M320" i="8"/>
  <c r="L321" i="8"/>
  <c r="M321" i="8"/>
  <c r="M2" i="8"/>
  <c r="L2" i="8"/>
  <c r="AK1376" i="3"/>
  <c r="AK1374" i="3"/>
  <c r="AK1372" i="3"/>
  <c r="AK1370" i="3"/>
  <c r="AK1368" i="3"/>
  <c r="AK1366" i="3"/>
  <c r="L1364" i="3"/>
  <c r="AK1363" i="3"/>
  <c r="AK1362" i="3"/>
  <c r="AK1361" i="3"/>
  <c r="AK1345" i="3"/>
  <c r="AK1342" i="3"/>
  <c r="AK1339" i="3"/>
  <c r="AK1336" i="3"/>
  <c r="AK1331" i="3"/>
  <c r="AK1328" i="3"/>
  <c r="AK1315" i="3"/>
  <c r="AK1307" i="3"/>
  <c r="AK1304" i="3"/>
  <c r="AK1301" i="3"/>
  <c r="AK1299" i="3"/>
  <c r="AK1298" i="3"/>
  <c r="AK1297" i="3"/>
  <c r="AK1296" i="3"/>
  <c r="AK1294" i="3"/>
  <c r="AK1293" i="3"/>
  <c r="AK1292" i="3"/>
  <c r="AK1291" i="3"/>
  <c r="AK1277" i="3"/>
  <c r="AK1275" i="3"/>
  <c r="AK1265" i="3"/>
  <c r="AK1264" i="3"/>
  <c r="AK1263" i="3"/>
  <c r="AK1262" i="3"/>
  <c r="AK1261" i="3"/>
  <c r="AK1260" i="3"/>
  <c r="AK1258" i="3"/>
  <c r="AK1257" i="3"/>
  <c r="AK1256" i="3"/>
  <c r="AK1255" i="3"/>
  <c r="AK1254" i="3"/>
  <c r="AK1253" i="3"/>
  <c r="AK1249" i="3"/>
  <c r="AK1247" i="3"/>
  <c r="AK1245" i="3"/>
  <c r="AK1243" i="3"/>
  <c r="AK1241" i="3"/>
  <c r="AK1239" i="3"/>
  <c r="AK1235" i="3"/>
  <c r="AK1233" i="3"/>
  <c r="AK1231" i="3"/>
  <c r="AK1229" i="3"/>
  <c r="AK1227" i="3"/>
  <c r="AK1225" i="3"/>
  <c r="AK1223" i="3"/>
  <c r="AK1221" i="3"/>
  <c r="AK1219" i="3"/>
  <c r="AK1217" i="3"/>
  <c r="AK1215" i="3"/>
  <c r="AK1211" i="3"/>
  <c r="AK1207" i="3"/>
  <c r="AK1205" i="3"/>
  <c r="AK1199" i="3"/>
  <c r="AK1193" i="3"/>
  <c r="AK1179" i="3"/>
  <c r="AK1177" i="3"/>
  <c r="AK1175" i="3"/>
  <c r="AK1171" i="3"/>
  <c r="AK1166" i="3"/>
  <c r="AK1162" i="3"/>
  <c r="AK1160" i="3"/>
  <c r="AK1158" i="3"/>
  <c r="AK1155" i="3"/>
  <c r="AK1150" i="3"/>
  <c r="AK1149" i="3"/>
  <c r="AK1148" i="3"/>
  <c r="AK1147" i="3"/>
  <c r="AK1142" i="3"/>
  <c r="AK1140" i="3"/>
  <c r="AK1109" i="3"/>
  <c r="AK1105" i="3"/>
  <c r="AK1103" i="3"/>
  <c r="AK1095" i="3"/>
  <c r="AK1093" i="3"/>
  <c r="AK1091" i="3"/>
  <c r="AK1089" i="3"/>
  <c r="AK1087" i="3"/>
  <c r="AK1077" i="3"/>
  <c r="AK1075" i="3"/>
  <c r="AK1067" i="3"/>
  <c r="AK1063" i="3"/>
  <c r="AK1062" i="3"/>
  <c r="AK1061" i="3"/>
  <c r="AK1060" i="3"/>
  <c r="AK1059" i="3"/>
  <c r="AK1051" i="3"/>
  <c r="AK1049" i="3"/>
  <c r="AK1047" i="3"/>
  <c r="AK1039" i="3"/>
  <c r="AK1027" i="3"/>
  <c r="AK1025" i="3"/>
  <c r="AK1021" i="3"/>
  <c r="AK1019" i="3"/>
  <c r="AK1017" i="3"/>
  <c r="AK1003" i="3"/>
  <c r="AK997" i="3"/>
  <c r="AK991" i="3"/>
  <c r="AK987" i="3"/>
  <c r="AK977" i="3"/>
  <c r="AK975" i="3"/>
  <c r="AK961" i="3"/>
  <c r="AK959" i="3"/>
  <c r="AK955" i="3"/>
  <c r="AK935" i="3"/>
  <c r="AK929" i="3"/>
  <c r="AK917" i="3"/>
  <c r="AK907" i="3"/>
  <c r="AK905" i="3"/>
  <c r="AK891" i="3"/>
  <c r="AK889" i="3"/>
  <c r="AK885" i="3"/>
  <c r="AK883" i="3"/>
  <c r="AK881" i="3"/>
  <c r="AK869" i="3"/>
  <c r="AK867" i="3"/>
  <c r="AK865" i="3"/>
  <c r="AK863" i="3"/>
  <c r="AK861" i="3"/>
  <c r="AK855" i="3"/>
  <c r="AK853" i="3"/>
  <c r="AK849" i="3"/>
  <c r="AK819" i="3"/>
  <c r="AK817" i="3"/>
  <c r="AK815" i="3"/>
  <c r="AK814" i="3"/>
  <c r="AK813" i="3"/>
  <c r="AK811" i="3"/>
  <c r="AK810" i="3"/>
  <c r="AK809" i="3"/>
  <c r="AK807" i="3"/>
  <c r="AK806" i="3"/>
  <c r="AK805" i="3"/>
  <c r="AK803" i="3"/>
  <c r="AK802" i="3"/>
  <c r="AK801" i="3"/>
  <c r="AK799" i="3"/>
  <c r="AK783" i="3"/>
  <c r="AK759" i="3"/>
  <c r="AK757" i="3"/>
  <c r="AK755" i="3"/>
  <c r="AK747" i="3"/>
  <c r="AK741" i="3"/>
  <c r="AK739" i="3"/>
  <c r="AK737" i="3"/>
  <c r="AK735" i="3"/>
  <c r="AK731" i="3"/>
  <c r="AK715" i="3"/>
  <c r="AK705" i="3"/>
  <c r="AK699" i="3"/>
  <c r="AK695" i="3"/>
  <c r="AK693" i="3"/>
  <c r="AK691" i="3"/>
  <c r="AK689" i="3"/>
  <c r="AK687" i="3"/>
  <c r="AK683" i="3"/>
  <c r="AK681" i="3"/>
  <c r="AK675" i="3"/>
  <c r="AK673" i="3"/>
  <c r="AK671" i="3"/>
  <c r="AK659" i="3"/>
  <c r="AK655" i="3"/>
  <c r="AK649" i="3"/>
  <c r="AK647" i="3"/>
  <c r="AK645" i="3"/>
  <c r="AK639" i="3"/>
  <c r="AK631" i="3"/>
  <c r="AK627" i="3"/>
  <c r="AK625" i="3"/>
  <c r="AK621" i="3"/>
  <c r="AK617" i="3"/>
  <c r="AK615" i="3"/>
  <c r="AK609" i="3"/>
  <c r="AK597" i="3"/>
  <c r="AK587" i="3"/>
  <c r="AK581" i="3"/>
  <c r="AK579" i="3"/>
  <c r="AK577" i="3"/>
  <c r="AK571" i="3"/>
  <c r="AK569" i="3"/>
  <c r="AK567" i="3"/>
  <c r="AK565" i="3"/>
  <c r="AK563" i="3"/>
  <c r="AK543" i="3"/>
  <c r="AK535" i="3"/>
  <c r="AK529" i="3"/>
  <c r="AK527" i="3"/>
  <c r="AK517" i="3"/>
  <c r="AK515" i="3"/>
  <c r="AK513" i="3"/>
  <c r="AK511" i="3"/>
  <c r="AK507" i="3"/>
  <c r="AK505" i="3"/>
  <c r="AK503" i="3"/>
  <c r="AK491" i="3"/>
  <c r="AK489" i="3"/>
  <c r="AK487" i="3"/>
  <c r="AK481" i="3"/>
  <c r="AK475" i="3"/>
  <c r="AK469" i="3"/>
  <c r="AK467" i="3"/>
  <c r="AK461" i="3"/>
  <c r="AK459" i="3"/>
  <c r="AK455" i="3"/>
  <c r="AK453" i="3"/>
  <c r="AK449" i="3"/>
  <c r="AK447" i="3"/>
  <c r="AK445" i="3"/>
  <c r="AK443" i="3"/>
  <c r="AK441" i="3"/>
  <c r="AK439" i="3"/>
  <c r="AK433" i="3"/>
  <c r="AK429" i="3"/>
  <c r="AK427" i="3"/>
  <c r="AK423" i="3"/>
  <c r="AK421" i="3"/>
  <c r="AK419" i="3"/>
  <c r="AK415" i="3"/>
  <c r="AK405" i="3"/>
  <c r="AK396" i="3"/>
  <c r="AK392" i="3"/>
  <c r="AK385" i="3"/>
  <c r="AK378" i="3"/>
  <c r="AK375" i="3"/>
  <c r="AK372" i="3"/>
  <c r="AK366" i="3"/>
  <c r="AK363" i="3"/>
  <c r="AK360" i="3"/>
  <c r="AK346" i="3"/>
  <c r="AK345" i="3"/>
  <c r="AK344" i="3"/>
  <c r="AK343" i="3"/>
  <c r="AK342" i="3"/>
  <c r="AK341" i="3"/>
  <c r="AK340" i="3"/>
  <c r="AK296" i="3"/>
  <c r="AK181" i="3"/>
  <c r="AK134" i="3"/>
  <c r="AK119" i="3"/>
  <c r="AK118" i="3"/>
  <c r="AK117" i="3"/>
  <c r="AK116" i="3"/>
  <c r="AK110" i="3"/>
  <c r="AK109" i="3"/>
  <c r="AK108" i="3"/>
  <c r="AK107" i="3"/>
  <c r="AK106" i="3"/>
  <c r="AK103" i="3"/>
  <c r="AK102" i="3"/>
  <c r="AK88" i="3"/>
  <c r="AK53" i="3"/>
  <c r="AK52" i="3"/>
  <c r="AK51" i="3"/>
  <c r="AK26" i="3"/>
  <c r="AK25" i="3"/>
  <c r="AK24" i="3"/>
  <c r="AK23" i="3"/>
  <c r="AA2005" i="3" l="1"/>
  <c r="AG2005" i="3"/>
  <c r="Q2005" i="3"/>
  <c r="I782" i="4" s="1"/>
  <c r="R1944" i="3"/>
  <c r="AQ1944" i="3" s="1"/>
  <c r="R2005" i="3"/>
  <c r="M2002" i="3" a="1"/>
  <c r="M2002" i="3" s="1"/>
  <c r="N2002" i="3" s="1"/>
  <c r="S2002" i="3"/>
  <c r="L781" i="4" s="1"/>
  <c r="N781" i="4" s="1"/>
  <c r="AC2002" i="3"/>
  <c r="AD2002" i="3" s="1"/>
  <c r="T2002" i="3"/>
  <c r="X2002" i="3"/>
  <c r="Y2002" i="3" s="1"/>
  <c r="AQ2002" i="3"/>
  <c r="M2009" i="3" a="1"/>
  <c r="M2009" i="3" s="1"/>
  <c r="N2009" i="3" s="1"/>
  <c r="M1999" i="3" a="1"/>
  <c r="M1999" i="3" s="1"/>
  <c r="N1999" i="3" s="1"/>
  <c r="M2008" i="3" a="1"/>
  <c r="M2008" i="3" s="1"/>
  <c r="N2008" i="3" s="1"/>
  <c r="R2009" i="3"/>
  <c r="R1999" i="3"/>
  <c r="T2008" i="3"/>
  <c r="X2008" i="3"/>
  <c r="Y2008" i="3" s="1"/>
  <c r="S2008" i="3"/>
  <c r="AQ2008" i="3"/>
  <c r="AC2008" i="3"/>
  <c r="AD2008" i="3" s="1"/>
  <c r="R1971" i="3"/>
  <c r="S1971" i="3" s="1"/>
  <c r="R1968" i="3"/>
  <c r="AQ1968" i="3" s="1"/>
  <c r="R1967" i="3"/>
  <c r="X1967" i="3" s="1"/>
  <c r="Y1967" i="3" s="1"/>
  <c r="R1969" i="3"/>
  <c r="AC1969" i="3" s="1"/>
  <c r="AD1969" i="3" s="1"/>
  <c r="R1966" i="3"/>
  <c r="S1966" i="3" s="1"/>
  <c r="R1972" i="3"/>
  <c r="AQ1972" i="3" s="1"/>
  <c r="R1970" i="3"/>
  <c r="AQ1970" i="3" s="1"/>
  <c r="M1996" i="3" a="1"/>
  <c r="M1996" i="3" s="1"/>
  <c r="N1996" i="3" s="1"/>
  <c r="T1996" i="3"/>
  <c r="S1996" i="3"/>
  <c r="L779" i="4" s="1"/>
  <c r="N779" i="4" s="1"/>
  <c r="AQ1996" i="3"/>
  <c r="X1996" i="3"/>
  <c r="Y1996" i="3" s="1"/>
  <c r="AC1996" i="3"/>
  <c r="AD1996" i="3" s="1"/>
  <c r="M1913" i="3" a="1"/>
  <c r="M1913" i="3" s="1"/>
  <c r="N1913" i="3" s="1"/>
  <c r="Q1913" i="3" s="1"/>
  <c r="I758" i="4" s="1"/>
  <c r="M1944" i="3" a="1"/>
  <c r="M1944" i="3" s="1"/>
  <c r="N1944" i="3" s="1"/>
  <c r="Q1944" i="3" s="1"/>
  <c r="M1968" i="3" a="1"/>
  <c r="M1968" i="3" s="1"/>
  <c r="N1968" i="3" s="1"/>
  <c r="Q1968" i="3" s="1"/>
  <c r="M1958" i="3" a="1"/>
  <c r="M1958" i="3" s="1"/>
  <c r="N1958" i="3" s="1"/>
  <c r="Q1958" i="3" s="1"/>
  <c r="M1955" i="3" a="1"/>
  <c r="M1955" i="3" s="1"/>
  <c r="N1955" i="3" s="1"/>
  <c r="AG1955" i="3" s="1"/>
  <c r="M1953" i="3" a="1"/>
  <c r="M1953" i="3" s="1"/>
  <c r="N1953" i="3" s="1"/>
  <c r="AA1953" i="3" s="1"/>
  <c r="M1993" i="3" a="1"/>
  <c r="M1993" i="3" s="1"/>
  <c r="N1993" i="3" s="1"/>
  <c r="S1993" i="3"/>
  <c r="L778" i="4" s="1"/>
  <c r="N778" i="4" s="1"/>
  <c r="AQ1993" i="3"/>
  <c r="X1993" i="3"/>
  <c r="Y1993" i="3" s="1"/>
  <c r="T1993" i="3"/>
  <c r="AC1993" i="3"/>
  <c r="AD1993" i="3" s="1"/>
  <c r="M1971" i="3" a="1"/>
  <c r="M1971" i="3" s="1"/>
  <c r="N1971" i="3" s="1"/>
  <c r="AQ1913" i="3"/>
  <c r="T1913" i="3"/>
  <c r="AC1913" i="3"/>
  <c r="AD1913" i="3" s="1"/>
  <c r="S1913" i="3"/>
  <c r="L758" i="4" s="1"/>
  <c r="N758" i="4" s="1"/>
  <c r="X1913" i="3"/>
  <c r="Y1913" i="3" s="1"/>
  <c r="T1958" i="3"/>
  <c r="AC1958" i="3"/>
  <c r="AD1958" i="3" s="1"/>
  <c r="AQ1958" i="3"/>
  <c r="X1958" i="3"/>
  <c r="Y1958" i="3" s="1"/>
  <c r="S1958" i="3"/>
  <c r="M1922" i="3" a="1"/>
  <c r="M1922" i="3" s="1"/>
  <c r="N1922" i="3" s="1"/>
  <c r="M1962" i="3" a="1"/>
  <c r="M1962" i="3" s="1"/>
  <c r="N1962" i="3" s="1"/>
  <c r="AC1955" i="3"/>
  <c r="AD1955" i="3" s="1"/>
  <c r="AQ1955" i="3"/>
  <c r="T1955" i="3"/>
  <c r="X1955" i="3"/>
  <c r="Y1955" i="3" s="1"/>
  <c r="S1955" i="3"/>
  <c r="M1967" i="3" a="1"/>
  <c r="M1967" i="3" s="1"/>
  <c r="N1967" i="3" s="1"/>
  <c r="T1922" i="3"/>
  <c r="AQ1922" i="3"/>
  <c r="AC1922" i="3"/>
  <c r="AD1922" i="3" s="1"/>
  <c r="X1922" i="3"/>
  <c r="Y1922" i="3" s="1"/>
  <c r="S1922" i="3"/>
  <c r="L761" i="4" s="1"/>
  <c r="N761" i="4" s="1"/>
  <c r="AQ1962" i="3"/>
  <c r="AC1962" i="3"/>
  <c r="AD1962" i="3" s="1"/>
  <c r="T1962" i="3"/>
  <c r="S1962" i="3"/>
  <c r="X1962" i="3"/>
  <c r="Y1962" i="3" s="1"/>
  <c r="M1950" i="3" a="1"/>
  <c r="M1950" i="3" s="1"/>
  <c r="N1950" i="3" s="1"/>
  <c r="T1959" i="3"/>
  <c r="AC1959" i="3"/>
  <c r="AD1959" i="3" s="1"/>
  <c r="AQ1959" i="3"/>
  <c r="S1959" i="3"/>
  <c r="X1959" i="3"/>
  <c r="Y1959" i="3" s="1"/>
  <c r="M1916" i="3" a="1"/>
  <c r="M1916" i="3" s="1"/>
  <c r="N1916" i="3" s="1"/>
  <c r="AC1950" i="3"/>
  <c r="AD1950" i="3" s="1"/>
  <c r="AQ1950" i="3"/>
  <c r="T1950" i="3"/>
  <c r="S1950" i="3"/>
  <c r="L771" i="4" s="1"/>
  <c r="N771" i="4" s="1"/>
  <c r="X1950" i="3"/>
  <c r="Y1950" i="3" s="1"/>
  <c r="M1938" i="3" a="1"/>
  <c r="M1938" i="3" s="1"/>
  <c r="N1938" i="3" s="1"/>
  <c r="M1941" i="3" a="1"/>
  <c r="M1941" i="3" s="1"/>
  <c r="N1941" i="3" s="1"/>
  <c r="T1916" i="3"/>
  <c r="AQ1916" i="3"/>
  <c r="AC1916" i="3"/>
  <c r="AD1916" i="3" s="1"/>
  <c r="S1916" i="3"/>
  <c r="L759" i="4" s="1"/>
  <c r="N759" i="4" s="1"/>
  <c r="X1916" i="3"/>
  <c r="Y1916" i="3" s="1"/>
  <c r="M1956" i="3" a="1"/>
  <c r="M1956" i="3" s="1"/>
  <c r="N1956" i="3" s="1"/>
  <c r="M1966" i="3" a="1"/>
  <c r="M1966" i="3" s="1"/>
  <c r="N1966" i="3" s="1"/>
  <c r="AQ1938" i="3"/>
  <c r="AC1938" i="3"/>
  <c r="AD1938" i="3" s="1"/>
  <c r="T1938" i="3"/>
  <c r="S1938" i="3"/>
  <c r="L767" i="4" s="1"/>
  <c r="N767" i="4" s="1"/>
  <c r="X1938" i="3"/>
  <c r="Y1938" i="3" s="1"/>
  <c r="AC1941" i="3"/>
  <c r="AD1941" i="3" s="1"/>
  <c r="T1941" i="3"/>
  <c r="AQ1941" i="3"/>
  <c r="S1941" i="3"/>
  <c r="L768" i="4" s="1"/>
  <c r="N768" i="4" s="1"/>
  <c r="X1941" i="3"/>
  <c r="Y1941" i="3" s="1"/>
  <c r="M1972" i="3" a="1"/>
  <c r="M1972" i="3" s="1"/>
  <c r="N1972" i="3" s="1"/>
  <c r="M1957" i="3" a="1"/>
  <c r="M1957" i="3" s="1"/>
  <c r="N1957" i="3" s="1"/>
  <c r="T1956" i="3"/>
  <c r="AC1956" i="3"/>
  <c r="AD1956" i="3" s="1"/>
  <c r="AQ1956" i="3"/>
  <c r="X1956" i="3"/>
  <c r="Y1956" i="3" s="1"/>
  <c r="S1956" i="3"/>
  <c r="AQ1957" i="3"/>
  <c r="T1957" i="3"/>
  <c r="AC1957" i="3"/>
  <c r="AD1957" i="3" s="1"/>
  <c r="X1957" i="3"/>
  <c r="Y1957" i="3" s="1"/>
  <c r="S1957" i="3"/>
  <c r="M1969" i="3" a="1"/>
  <c r="M1969" i="3" s="1"/>
  <c r="N1969" i="3" s="1"/>
  <c r="M1976" i="3" a="1"/>
  <c r="M1976" i="3" s="1"/>
  <c r="N1976" i="3" s="1"/>
  <c r="M1954" i="3" a="1"/>
  <c r="M1954" i="3" s="1"/>
  <c r="N1954" i="3" s="1"/>
  <c r="M1970" i="3" a="1"/>
  <c r="M1970" i="3" s="1"/>
  <c r="N1970" i="3" s="1"/>
  <c r="M1985" i="3" a="1"/>
  <c r="M1985" i="3" s="1"/>
  <c r="N1985" i="3" s="1"/>
  <c r="M1980" i="3" a="1"/>
  <c r="M1980" i="3" s="1"/>
  <c r="N1980" i="3" s="1"/>
  <c r="M1932" i="3" a="1"/>
  <c r="M1932" i="3" s="1"/>
  <c r="N1932" i="3" s="1"/>
  <c r="M1919" i="3" a="1"/>
  <c r="M1919" i="3" s="1"/>
  <c r="N1919" i="3" s="1"/>
  <c r="M1925" i="3" a="1"/>
  <c r="M1925" i="3" s="1"/>
  <c r="N1925" i="3" s="1"/>
  <c r="M1963" i="3" a="1"/>
  <c r="M1963" i="3" s="1"/>
  <c r="N1963" i="3" s="1"/>
  <c r="M1986" i="3" a="1"/>
  <c r="M1986" i="3" s="1"/>
  <c r="N1986" i="3" s="1"/>
  <c r="M1981" i="3" a="1"/>
  <c r="M1981" i="3" s="1"/>
  <c r="N1981" i="3" s="1"/>
  <c r="M1931" i="3" a="1"/>
  <c r="M1931" i="3" s="1"/>
  <c r="N1931" i="3" s="1"/>
  <c r="M1928" i="3" a="1"/>
  <c r="M1928" i="3" s="1"/>
  <c r="N1928" i="3" s="1"/>
  <c r="M1961" i="3" a="1"/>
  <c r="M1961" i="3" s="1"/>
  <c r="N1961" i="3" s="1"/>
  <c r="M1987" i="3" a="1"/>
  <c r="M1987" i="3" s="1"/>
  <c r="N1987" i="3" s="1"/>
  <c r="M1982" i="3" a="1"/>
  <c r="M1982" i="3" s="1"/>
  <c r="N1982" i="3" s="1"/>
  <c r="T1944" i="3"/>
  <c r="T1976" i="3"/>
  <c r="AQ1976" i="3"/>
  <c r="AC1976" i="3"/>
  <c r="AD1976" i="3" s="1"/>
  <c r="S1976" i="3"/>
  <c r="L774" i="4" s="1"/>
  <c r="N774" i="4" s="1"/>
  <c r="X1976" i="3"/>
  <c r="Y1976" i="3" s="1"/>
  <c r="T1954" i="3"/>
  <c r="AQ1954" i="3"/>
  <c r="AC1954" i="3"/>
  <c r="AD1954" i="3" s="1"/>
  <c r="X1954" i="3"/>
  <c r="Y1954" i="3" s="1"/>
  <c r="S1954" i="3"/>
  <c r="M1935" i="3" a="1"/>
  <c r="M1935" i="3" s="1"/>
  <c r="N1935" i="3" s="1"/>
  <c r="R1985" i="3"/>
  <c r="R1980" i="3"/>
  <c r="R1919" i="3"/>
  <c r="R1963" i="3"/>
  <c r="R1932" i="3"/>
  <c r="R1925" i="3"/>
  <c r="R1986" i="3"/>
  <c r="R1981" i="3"/>
  <c r="R1961" i="3"/>
  <c r="R1928" i="3"/>
  <c r="R1931" i="3"/>
  <c r="R1987" i="3"/>
  <c r="R1982" i="3"/>
  <c r="R1609" i="3"/>
  <c r="T1609" i="3" s="1"/>
  <c r="R267" i="3"/>
  <c r="R157" i="3"/>
  <c r="R203" i="3"/>
  <c r="R222" i="3"/>
  <c r="R1597" i="3"/>
  <c r="T1597" i="3" s="1"/>
  <c r="R1862" i="3"/>
  <c r="R445" i="3"/>
  <c r="R98" i="3"/>
  <c r="R353" i="3"/>
  <c r="R1348" i="3"/>
  <c r="R1309" i="3"/>
  <c r="R1411" i="3"/>
  <c r="AQ1411" i="3" s="1"/>
  <c r="R255" i="3"/>
  <c r="R168" i="3"/>
  <c r="R388" i="3"/>
  <c r="M1906" i="3" a="1"/>
  <c r="M1906" i="3" s="1"/>
  <c r="M1908" i="3" a="1"/>
  <c r="M1908" i="3" s="1"/>
  <c r="R296" i="3"/>
  <c r="R109" i="3"/>
  <c r="R378" i="3"/>
  <c r="R52" i="3"/>
  <c r="R1781" i="3"/>
  <c r="S1781" i="3" s="1"/>
  <c r="R1345" i="3"/>
  <c r="R405" i="3"/>
  <c r="R1357" i="3"/>
  <c r="R1908" i="3"/>
  <c r="AQ1908" i="3" s="1"/>
  <c r="R1612" i="3"/>
  <c r="T1612" i="3" s="1"/>
  <c r="R81" i="3"/>
  <c r="R80" i="3"/>
  <c r="W192" i="8"/>
  <c r="R1805" i="3"/>
  <c r="S1805" i="3" s="1"/>
  <c r="R1378" i="3"/>
  <c r="AQ1378" i="3" s="1"/>
  <c r="R8" i="3"/>
  <c r="R246" i="3"/>
  <c r="R343" i="3"/>
  <c r="R7" i="3"/>
  <c r="R215" i="3"/>
  <c r="R1152" i="3"/>
  <c r="W202" i="8"/>
  <c r="R1670" i="3" s="1" a="1"/>
  <c r="R1670" i="3" s="1"/>
  <c r="R1304" i="3"/>
  <c r="R1587" i="3"/>
  <c r="T1587" i="3" s="1"/>
  <c r="R1363" i="3"/>
  <c r="R1649" i="3"/>
  <c r="T1649" i="3" s="1"/>
  <c r="R187" i="3"/>
  <c r="R1155" i="3"/>
  <c r="R1142" i="3"/>
  <c r="R342" i="3"/>
  <c r="R159" i="3"/>
  <c r="R191" i="3"/>
  <c r="R340" i="3"/>
  <c r="R415" i="3"/>
  <c r="R1353" i="3"/>
  <c r="R889" i="3"/>
  <c r="R1750" i="3"/>
  <c r="S1750" i="3" s="1"/>
  <c r="R1372" i="3"/>
  <c r="R1318" i="3"/>
  <c r="R1107" i="3"/>
  <c r="R1844" i="3"/>
  <c r="S1844" i="3" s="1"/>
  <c r="R1140" i="3"/>
  <c r="R1362" i="3"/>
  <c r="R1121" i="3"/>
  <c r="R1339" i="3"/>
  <c r="R341" i="3"/>
  <c r="R333" i="3"/>
  <c r="R337" i="3"/>
  <c r="R425" i="3"/>
  <c r="R1873" i="3"/>
  <c r="T1873" i="3" s="1"/>
  <c r="R184" i="3"/>
  <c r="R392" i="3"/>
  <c r="R1875" i="3"/>
  <c r="T1875" i="3" s="1"/>
  <c r="R244" i="3"/>
  <c r="R1129" i="3"/>
  <c r="R891" i="3"/>
  <c r="R953" i="3"/>
  <c r="R140" i="3"/>
  <c r="R258" i="3"/>
  <c r="R1166" i="3"/>
  <c r="R1336" i="3"/>
  <c r="R277" i="3"/>
  <c r="R1910" i="3"/>
  <c r="X1910" i="3" s="1"/>
  <c r="Y1910" i="3" s="1"/>
  <c r="M1862" i="3" a="1"/>
  <c r="M1862" i="3" s="1"/>
  <c r="R1361" i="3"/>
  <c r="R34" i="3"/>
  <c r="R245" i="3"/>
  <c r="R51" i="3"/>
  <c r="R1123" i="3"/>
  <c r="R160" i="3"/>
  <c r="R543" i="3"/>
  <c r="R110" i="3"/>
  <c r="R1138" i="3"/>
  <c r="R1651" i="3"/>
  <c r="AQ1651" i="3" s="1"/>
  <c r="R1312" i="3"/>
  <c r="R1328" i="3"/>
  <c r="R299" i="3"/>
  <c r="R399" i="3"/>
  <c r="R1909" i="3"/>
  <c r="AQ1909" i="3" s="1"/>
  <c r="R1863" i="3"/>
  <c r="T1863" i="3" s="1"/>
  <c r="R311" i="3"/>
  <c r="R1890" i="3"/>
  <c r="S1890" i="3" s="1"/>
  <c r="R1886" i="3"/>
  <c r="X1886" i="3" s="1"/>
  <c r="R1126" i="3"/>
  <c r="M1910" i="3" a="1"/>
  <c r="M1910" i="3" s="1"/>
  <c r="R1370" i="3"/>
  <c r="R1906" i="3"/>
  <c r="M1909" i="3" a="1"/>
  <c r="M1909" i="3" s="1"/>
  <c r="M1890" i="3" a="1"/>
  <c r="M1890" i="3" s="1"/>
  <c r="M1887" i="3" a="1"/>
  <c r="M1887" i="3" s="1"/>
  <c r="R1150" i="3"/>
  <c r="R1887" i="3"/>
  <c r="M1885" i="3" a="1"/>
  <c r="M1885" i="3" s="1"/>
  <c r="M1884" i="3" a="1"/>
  <c r="M1884" i="3" s="1"/>
  <c r="M1886" i="3" a="1"/>
  <c r="M1886" i="3" s="1"/>
  <c r="R1853" i="3"/>
  <c r="AC1853" i="3" s="1"/>
  <c r="R1885" i="3"/>
  <c r="R1880" i="3"/>
  <c r="R1884" i="3"/>
  <c r="M1879" i="3" a="1"/>
  <c r="M1879" i="3" s="1"/>
  <c r="M1875" i="3" a="1"/>
  <c r="M1875" i="3" s="1"/>
  <c r="R11" i="3"/>
  <c r="R1879" i="3"/>
  <c r="M1880" i="3" a="1"/>
  <c r="M1880" i="3" s="1"/>
  <c r="M1881" i="3" a="1"/>
  <c r="M1881" i="3" s="1"/>
  <c r="R1804" i="3"/>
  <c r="X1804" i="3" s="1"/>
  <c r="R1881" i="3"/>
  <c r="M1873" i="3" a="1"/>
  <c r="M1873" i="3" s="1"/>
  <c r="M1863" i="3" a="1"/>
  <c r="M1863" i="3" s="1"/>
  <c r="M1847" i="3" a="1"/>
  <c r="M1847" i="3" s="1"/>
  <c r="M1853" i="3" a="1"/>
  <c r="M1853" i="3" s="1"/>
  <c r="M1834" i="3" a="1"/>
  <c r="M1834" i="3" s="1"/>
  <c r="R1834" i="3" a="1"/>
  <c r="R1834" i="3" s="1"/>
  <c r="M1844" i="3" a="1"/>
  <c r="M1844" i="3" s="1"/>
  <c r="M1841" i="3" a="1"/>
  <c r="M1841" i="3" s="1"/>
  <c r="R1342" i="3"/>
  <c r="R1841" i="3"/>
  <c r="R178" i="3"/>
  <c r="R1847" i="3"/>
  <c r="M1850" i="3" a="1"/>
  <c r="M1850" i="3" s="1"/>
  <c r="M1835" i="3" a="1"/>
  <c r="M1835" i="3" s="1"/>
  <c r="R1813" i="3"/>
  <c r="R1850" i="3"/>
  <c r="R1835" i="3" a="1"/>
  <c r="R1835" i="3" s="1"/>
  <c r="M1812" i="3" a="1"/>
  <c r="M1812" i="3" s="1"/>
  <c r="R1789" i="3"/>
  <c r="R1812" i="3"/>
  <c r="M1813" i="3" a="1"/>
  <c r="M1813" i="3" s="1"/>
  <c r="M1798" i="3" a="1"/>
  <c r="M1798" i="3" s="1"/>
  <c r="M1794" i="3" a="1"/>
  <c r="M1794" i="3" s="1"/>
  <c r="M1805" i="3" a="1"/>
  <c r="M1805" i="3" s="1"/>
  <c r="M1804" i="3" a="1"/>
  <c r="M1804" i="3" s="1"/>
  <c r="R1794" i="3" a="1"/>
  <c r="R1794" i="3" s="1"/>
  <c r="M1795" i="3" a="1"/>
  <c r="M1795" i="3" s="1"/>
  <c r="M1793" i="3" a="1"/>
  <c r="M1793" i="3" s="1"/>
  <c r="R1795" i="3" a="1"/>
  <c r="R1795" i="3" s="1"/>
  <c r="R1762" i="3"/>
  <c r="R1793" i="3" a="1"/>
  <c r="R1793" i="3" s="1"/>
  <c r="M1790" i="3" a="1"/>
  <c r="M1790" i="3" s="1"/>
  <c r="R1763" i="3"/>
  <c r="R1790" i="3"/>
  <c r="M1789" i="3" a="1"/>
  <c r="M1789" i="3" s="1"/>
  <c r="M1785" i="3" a="1"/>
  <c r="M1785" i="3" s="1"/>
  <c r="R349" i="3"/>
  <c r="R1785" i="3"/>
  <c r="M1772" i="3" a="1"/>
  <c r="M1772" i="3" s="1"/>
  <c r="R360" i="3"/>
  <c r="R1772" i="3"/>
  <c r="M1781" i="3" a="1"/>
  <c r="M1781" i="3" s="1"/>
  <c r="M1763" i="3" a="1"/>
  <c r="M1763" i="3" s="1"/>
  <c r="M1762" i="3" a="1"/>
  <c r="M1762" i="3" s="1"/>
  <c r="M1764" i="3" a="1"/>
  <c r="M1764" i="3" s="1"/>
  <c r="R1752" i="3"/>
  <c r="M1759" i="3" a="1"/>
  <c r="M1759" i="3" s="1"/>
  <c r="R1387" i="3"/>
  <c r="R1759" i="3"/>
  <c r="M1521" i="3" a="1"/>
  <c r="M1521" i="3" s="1"/>
  <c r="M1411" i="3" a="1"/>
  <c r="M1411" i="3" s="1"/>
  <c r="M1726" i="3" a="1"/>
  <c r="M1726" i="3" s="1"/>
  <c r="M1724" i="3" a="1"/>
  <c r="M1724" i="3" s="1"/>
  <c r="M1499" i="3" a="1"/>
  <c r="M1499" i="3" s="1"/>
  <c r="M1630" i="3" a="1"/>
  <c r="M1630" i="3" s="1"/>
  <c r="M1624" i="3" a="1"/>
  <c r="M1624" i="3" s="1"/>
  <c r="M1750" i="3" a="1"/>
  <c r="M1750" i="3" s="1"/>
  <c r="M1597" i="3" a="1"/>
  <c r="M1597" i="3" s="1"/>
  <c r="M1651" i="3" a="1"/>
  <c r="M1651" i="3" s="1"/>
  <c r="M1680" i="3" a="1"/>
  <c r="M1680" i="3" s="1"/>
  <c r="M1503" i="3" a="1"/>
  <c r="M1503" i="3" s="1"/>
  <c r="M1531" i="3" a="1"/>
  <c r="M1531" i="3" s="1"/>
  <c r="M1606" i="3" a="1"/>
  <c r="M1606" i="3" s="1"/>
  <c r="M1600" i="3" a="1"/>
  <c r="M1600" i="3" s="1"/>
  <c r="M1390" i="3" a="1"/>
  <c r="M1390" i="3" s="1"/>
  <c r="M1668" i="3" a="1"/>
  <c r="M1668" i="3" s="1"/>
  <c r="M1455" i="3" a="1"/>
  <c r="M1455" i="3" s="1"/>
  <c r="M1400" i="3" a="1"/>
  <c r="M1400" i="3" s="1"/>
  <c r="M1404" i="3" a="1"/>
  <c r="M1404" i="3" s="1"/>
  <c r="M1563" i="3" a="1"/>
  <c r="M1563" i="3" s="1"/>
  <c r="M1487" i="3" a="1"/>
  <c r="M1487" i="3" s="1"/>
  <c r="M1525" i="3" a="1"/>
  <c r="M1525" i="3" s="1"/>
  <c r="M1639" i="3" a="1"/>
  <c r="M1639" i="3" s="1"/>
  <c r="M1642" i="3" a="1"/>
  <c r="M1642" i="3" s="1"/>
  <c r="M1469" i="3" a="1"/>
  <c r="M1469" i="3" s="1"/>
  <c r="M1535" i="3" a="1"/>
  <c r="M1535" i="3" s="1"/>
  <c r="M1609" i="3" a="1"/>
  <c r="M1609" i="3" s="1"/>
  <c r="M1384" i="3" a="1"/>
  <c r="M1384" i="3" s="1"/>
  <c r="M1529" i="3" a="1"/>
  <c r="M1529" i="3" s="1"/>
  <c r="M1537" i="3" a="1"/>
  <c r="M1537" i="3" s="1"/>
  <c r="X1754" i="3"/>
  <c r="AQ1754" i="3"/>
  <c r="AC1754" i="3"/>
  <c r="S1754" i="3"/>
  <c r="T1754" i="3"/>
  <c r="M1706" i="3" a="1"/>
  <c r="M1706" i="3" s="1"/>
  <c r="M1553" i="3" a="1"/>
  <c r="M1553" i="3" s="1"/>
  <c r="M1483" i="3" a="1"/>
  <c r="M1483" i="3" s="1"/>
  <c r="M1424" i="3" a="1"/>
  <c r="M1424" i="3" s="1"/>
  <c r="M1387" i="3" a="1"/>
  <c r="M1387" i="3" s="1"/>
  <c r="M1523" i="3" a="1"/>
  <c r="M1523" i="3" s="1"/>
  <c r="M1621" i="3" a="1"/>
  <c r="M1621" i="3" s="1"/>
  <c r="M1698" i="3" a="1"/>
  <c r="M1698" i="3" s="1"/>
  <c r="M1603" i="3" a="1"/>
  <c r="M1603" i="3" s="1"/>
  <c r="M1573" i="3" a="1"/>
  <c r="M1573" i="3" s="1"/>
  <c r="M1545" i="3" a="1"/>
  <c r="M1545" i="3" s="1"/>
  <c r="M1561" i="3" a="1"/>
  <c r="M1561" i="3" s="1"/>
  <c r="M1682" i="3" a="1"/>
  <c r="M1682" i="3" s="1"/>
  <c r="M1517" i="3" a="1"/>
  <c r="M1517" i="3" s="1"/>
  <c r="M1686" i="3" a="1"/>
  <c r="M1686" i="3" s="1"/>
  <c r="M1509" i="3" a="1"/>
  <c r="M1509" i="3" s="1"/>
  <c r="M1633" i="3" a="1"/>
  <c r="M1633" i="3" s="1"/>
  <c r="M1519" i="3" a="1"/>
  <c r="M1519" i="3" s="1"/>
  <c r="M1612" i="3" a="1"/>
  <c r="M1612" i="3" s="1"/>
  <c r="M1453" i="3" a="1"/>
  <c r="M1453" i="3" s="1"/>
  <c r="M1645" i="3" a="1"/>
  <c r="M1645" i="3" s="1"/>
  <c r="M1491" i="3" a="1"/>
  <c r="M1491" i="3" s="1"/>
  <c r="M1636" i="3" a="1"/>
  <c r="M1636" i="3" s="1"/>
  <c r="M1562" i="3" a="1"/>
  <c r="M1562" i="3" s="1"/>
  <c r="M1358" i="3" a="1"/>
  <c r="M1358" i="3" s="1"/>
  <c r="M1378" i="3" a="1"/>
  <c r="M1378" i="3" s="1"/>
  <c r="M1501" i="3" a="1"/>
  <c r="M1501" i="3" s="1"/>
  <c r="M1674" i="3" a="1"/>
  <c r="M1674" i="3" s="1"/>
  <c r="M1555" i="3" a="1"/>
  <c r="M1555" i="3" s="1"/>
  <c r="M1489" i="3" a="1"/>
  <c r="M1489" i="3" s="1"/>
  <c r="M1646" i="3" a="1"/>
  <c r="M1646" i="3" s="1"/>
  <c r="M1492" i="3" a="1"/>
  <c r="M1492" i="3" s="1"/>
  <c r="M1587" i="3" a="1"/>
  <c r="M1587" i="3" s="1"/>
  <c r="M1649" i="3" a="1"/>
  <c r="M1649" i="3" s="1"/>
  <c r="M1752" i="3" a="1"/>
  <c r="M1752" i="3" s="1"/>
  <c r="M1627" i="3" a="1"/>
  <c r="M1627" i="3" s="1"/>
  <c r="M1670" i="3" a="1"/>
  <c r="M1670" i="3" s="1"/>
  <c r="M1457" i="3" a="1"/>
  <c r="M1457" i="3" s="1"/>
  <c r="M1405" i="3" a="1"/>
  <c r="M1405" i="3" s="1"/>
  <c r="M1401" i="3" a="1"/>
  <c r="M1401" i="3" s="1"/>
  <c r="M1669" i="3" a="1"/>
  <c r="M1669" i="3" s="1"/>
  <c r="M1666" i="3" a="1"/>
  <c r="M1666" i="3" s="1"/>
  <c r="M1551" i="3" a="1"/>
  <c r="M1551" i="3" s="1"/>
  <c r="M1456" i="3" a="1"/>
  <c r="M1456" i="3" s="1"/>
  <c r="M1403" i="3" a="1"/>
  <c r="M1403" i="3" s="1"/>
  <c r="M1399" i="3" a="1"/>
  <c r="M1399" i="3" s="1"/>
  <c r="M1678" i="3" a="1"/>
  <c r="M1678" i="3" s="1"/>
  <c r="M1505" i="3" a="1"/>
  <c r="M1505" i="3" s="1"/>
  <c r="M1704" i="3" a="1"/>
  <c r="M1704" i="3" s="1"/>
  <c r="M1549" i="3" a="1"/>
  <c r="M1549" i="3" s="1"/>
  <c r="M1692" i="3" a="1"/>
  <c r="M1692" i="3" s="1"/>
  <c r="M1541" i="3" a="1"/>
  <c r="M1541" i="3" s="1"/>
  <c r="M1690" i="3" a="1"/>
  <c r="M1690" i="3" s="1"/>
  <c r="M1507" i="3" a="1"/>
  <c r="M1507" i="3" s="1"/>
  <c r="M1450" i="3" a="1"/>
  <c r="M1450" i="3" s="1"/>
  <c r="M1618" i="3" a="1"/>
  <c r="M1618" i="3" s="1"/>
  <c r="M1511" i="3" a="1"/>
  <c r="M1511" i="3" s="1"/>
  <c r="M1497" i="3" a="1"/>
  <c r="M1497" i="3" s="1"/>
  <c r="M1533" i="3" a="1"/>
  <c r="M1533" i="3" s="1"/>
  <c r="M1425" i="3" a="1"/>
  <c r="M1425" i="3" s="1"/>
  <c r="M1754" i="3" a="1"/>
  <c r="M1754" i="3" s="1"/>
  <c r="M1461" i="3" a="1"/>
  <c r="M1461" i="3" s="1"/>
  <c r="M1477" i="3" a="1"/>
  <c r="M1477" i="3" s="1"/>
  <c r="M1479" i="3" a="1"/>
  <c r="M1479" i="3" s="1"/>
  <c r="M1688" i="3" a="1"/>
  <c r="M1688" i="3" s="1"/>
  <c r="M1485" i="3" a="1"/>
  <c r="M1485" i="3" s="1"/>
  <c r="M1720" i="3" a="1"/>
  <c r="M1720" i="3" s="1"/>
  <c r="M1722" i="3" a="1"/>
  <c r="M1722" i="3" s="1"/>
  <c r="M1572" i="3" a="1"/>
  <c r="M1572" i="3" s="1"/>
  <c r="R1603" i="3"/>
  <c r="AI1395" i="3"/>
  <c r="R1720" i="3" a="1"/>
  <c r="R1720" i="3" s="1"/>
  <c r="R1722" i="3" a="1"/>
  <c r="R1722" i="3" s="1"/>
  <c r="R1726" i="3" a="1"/>
  <c r="R1726" i="3" s="1"/>
  <c r="R1724" i="3" a="1"/>
  <c r="R1724" i="3" s="1"/>
  <c r="R1688" i="3" a="1"/>
  <c r="R1688" i="3" s="1"/>
  <c r="R1680" i="3" a="1"/>
  <c r="R1680" i="3" s="1"/>
  <c r="R1674" i="3" a="1"/>
  <c r="R1674" i="3" s="1"/>
  <c r="R1668" i="3" a="1"/>
  <c r="R1668" i="3" s="1"/>
  <c r="R1706" i="3" a="1"/>
  <c r="R1706" i="3" s="1"/>
  <c r="R1698" i="3" a="1"/>
  <c r="R1698" i="3" s="1"/>
  <c r="R1686" i="3" a="1"/>
  <c r="R1686" i="3" s="1"/>
  <c r="R1682" i="3" a="1"/>
  <c r="R1682" i="3" s="1"/>
  <c r="R1656" i="3" a="1"/>
  <c r="R1656" i="3" s="1"/>
  <c r="R1678" i="3" a="1"/>
  <c r="R1678" i="3" s="1"/>
  <c r="R1704" i="3" a="1"/>
  <c r="R1704" i="3" s="1"/>
  <c r="R1692" i="3" a="1"/>
  <c r="R1692" i="3" s="1"/>
  <c r="R1630" i="3" a="1"/>
  <c r="R1630" i="3" s="1"/>
  <c r="R1624" i="3" a="1"/>
  <c r="R1624" i="3" s="1"/>
  <c r="R1390" i="3"/>
  <c r="R1606" i="3"/>
  <c r="R1600" i="3"/>
  <c r="R1633" i="3" a="1"/>
  <c r="R1633" i="3" s="1"/>
  <c r="R1636" i="3" a="1"/>
  <c r="R1636" i="3" s="1"/>
  <c r="R113" i="3"/>
  <c r="R1621" i="3" a="1"/>
  <c r="R1621" i="3" s="1"/>
  <c r="R346" i="3"/>
  <c r="R1627" i="3" a="1"/>
  <c r="R1627" i="3" s="1"/>
  <c r="R1618" i="3" a="1"/>
  <c r="R1618" i="3" s="1"/>
  <c r="R1572" i="3" a="1"/>
  <c r="R1572" i="3" s="1"/>
  <c r="R1573" i="3" a="1"/>
  <c r="R1573" i="3" s="1"/>
  <c r="R1563" i="3" a="1"/>
  <c r="R1563" i="3" s="1"/>
  <c r="R1561" i="3" a="1"/>
  <c r="R1561" i="3" s="1"/>
  <c r="R1562" i="3" a="1"/>
  <c r="R1562" i="3" s="1"/>
  <c r="R1559" i="3" a="1"/>
  <c r="R1559" i="3" s="1"/>
  <c r="R1555" i="3" a="1"/>
  <c r="R1555" i="3" s="1"/>
  <c r="R1553" i="3" a="1"/>
  <c r="R1553" i="3" s="1"/>
  <c r="R1549" i="3" a="1"/>
  <c r="R1549" i="3" s="1"/>
  <c r="R1545" i="3" a="1"/>
  <c r="R1545" i="3" s="1"/>
  <c r="R96" i="3"/>
  <c r="R1541" i="3" a="1"/>
  <c r="R1541" i="3" s="1"/>
  <c r="R1537" i="3" a="1"/>
  <c r="R1537" i="3" s="1"/>
  <c r="R1535" i="3" a="1"/>
  <c r="R1535" i="3" s="1"/>
  <c r="R1533" i="3" a="1"/>
  <c r="R1533" i="3" s="1"/>
  <c r="R1531" i="3" a="1"/>
  <c r="R1531" i="3" s="1"/>
  <c r="R1529" i="3" a="1"/>
  <c r="R1529" i="3" s="1"/>
  <c r="R1525" i="3" a="1"/>
  <c r="R1525" i="3" s="1"/>
  <c r="R1523" i="3" a="1"/>
  <c r="R1523" i="3" s="1"/>
  <c r="R1521" i="3" a="1"/>
  <c r="R1521" i="3" s="1"/>
  <c r="R1519" i="3" a="1"/>
  <c r="R1519" i="3" s="1"/>
  <c r="R1517" i="3" a="1"/>
  <c r="R1517" i="3" s="1"/>
  <c r="X163" i="8"/>
  <c r="M1559" i="3" s="1" a="1"/>
  <c r="M1559" i="3" s="1"/>
  <c r="R1515" i="3" a="1"/>
  <c r="R1515" i="3" s="1"/>
  <c r="R238" i="3"/>
  <c r="R1511" i="3" a="1"/>
  <c r="R1511" i="3" s="1"/>
  <c r="R1333" i="3"/>
  <c r="R1509" i="3" a="1"/>
  <c r="R1509" i="3" s="1"/>
  <c r="R1503" i="3" a="1"/>
  <c r="R1503" i="3" s="1"/>
  <c r="R1505" i="3" a="1"/>
  <c r="R1505" i="3" s="1"/>
  <c r="R1501" i="3" a="1"/>
  <c r="R1501" i="3" s="1"/>
  <c r="R99" i="3"/>
  <c r="R1499" i="3" a="1"/>
  <c r="R1499" i="3" s="1"/>
  <c r="R1497" i="3" a="1"/>
  <c r="R1497" i="3" s="1"/>
  <c r="R1491" i="3" a="1"/>
  <c r="R1491" i="3" s="1"/>
  <c r="R97" i="3"/>
  <c r="R1492" i="3" a="1"/>
  <c r="R1492" i="3" s="1"/>
  <c r="R1489" i="3" a="1"/>
  <c r="R1489" i="3" s="1"/>
  <c r="R1487" i="3" a="1"/>
  <c r="R1487" i="3" s="1"/>
  <c r="R1485" i="3" a="1"/>
  <c r="R1485" i="3" s="1"/>
  <c r="R1483" i="3" a="1"/>
  <c r="R1483" i="3" s="1"/>
  <c r="R1479" i="3" a="1"/>
  <c r="R1479" i="3" s="1"/>
  <c r="R1477" i="3" a="1"/>
  <c r="R1477" i="3" s="1"/>
  <c r="X161" i="8"/>
  <c r="M1471" i="3" s="1" a="1"/>
  <c r="M1471" i="3" s="1"/>
  <c r="R78" i="3"/>
  <c r="W161" i="8"/>
  <c r="R1471" i="3" s="1" a="1"/>
  <c r="R1471" i="3" s="1"/>
  <c r="W22" i="8"/>
  <c r="R158" i="3"/>
  <c r="R1461" i="3" a="1"/>
  <c r="R1461" i="3" s="1"/>
  <c r="R242" i="3"/>
  <c r="R1455" i="3" a="1"/>
  <c r="R1455" i="3" s="1"/>
  <c r="R243" i="3"/>
  <c r="R344" i="3"/>
  <c r="W197" i="8"/>
  <c r="R1453" i="3" s="1" a="1"/>
  <c r="R1453" i="3" s="1"/>
  <c r="R280" i="3"/>
  <c r="R1424" i="3"/>
  <c r="R1331" i="3"/>
  <c r="R1425" i="3"/>
  <c r="AC293" i="8"/>
  <c r="AC287" i="8"/>
  <c r="AC281" i="8"/>
  <c r="AC275" i="8"/>
  <c r="AC269" i="8"/>
  <c r="AC263" i="8"/>
  <c r="AC257" i="8"/>
  <c r="AC251" i="8"/>
  <c r="AC245" i="8"/>
  <c r="AC239" i="8"/>
  <c r="AC226" i="8"/>
  <c r="AC220" i="8"/>
  <c r="AC214" i="8"/>
  <c r="AC208" i="8"/>
  <c r="AC311" i="8"/>
  <c r="AC13" i="8"/>
  <c r="AC7" i="8"/>
  <c r="AC305" i="8"/>
  <c r="AC299" i="8"/>
  <c r="AC310" i="8"/>
  <c r="AC304" i="8"/>
  <c r="AC298" i="8"/>
  <c r="AB1417" i="3"/>
  <c r="AB1423" i="3"/>
  <c r="AB1421" i="3"/>
  <c r="AB1419" i="3"/>
  <c r="AC318" i="8"/>
  <c r="AC232" i="8"/>
  <c r="AC195" i="8"/>
  <c r="AC188" i="8"/>
  <c r="AC182" i="8"/>
  <c r="AC176" i="8"/>
  <c r="AC169" i="8"/>
  <c r="AC163" i="8"/>
  <c r="AC157" i="8"/>
  <c r="AC151" i="8"/>
  <c r="AC145" i="8"/>
  <c r="AC139" i="8"/>
  <c r="AC133" i="8"/>
  <c r="AC127" i="8"/>
  <c r="AC121" i="8"/>
  <c r="AC115" i="8"/>
  <c r="AC109" i="8"/>
  <c r="AC103" i="8"/>
  <c r="AC97" i="8"/>
  <c r="AC91" i="8"/>
  <c r="AC85" i="8"/>
  <c r="AC79" i="8"/>
  <c r="AC73" i="8"/>
  <c r="AC67" i="8"/>
  <c r="AC61" i="8"/>
  <c r="AC55" i="8"/>
  <c r="AC49" i="8"/>
  <c r="AC43" i="8"/>
  <c r="AC37" i="8"/>
  <c r="AC31" i="8"/>
  <c r="AC25" i="8"/>
  <c r="AC19" i="8"/>
  <c r="AC292" i="8"/>
  <c r="AC286" i="8"/>
  <c r="AC280" i="8"/>
  <c r="AC274" i="8"/>
  <c r="AC268" i="8"/>
  <c r="AC262" i="8"/>
  <c r="AC256" i="8"/>
  <c r="AC250" i="8"/>
  <c r="AC244" i="8"/>
  <c r="AC238" i="8"/>
  <c r="AC225" i="8"/>
  <c r="AC219" i="8"/>
  <c r="AC213" i="8"/>
  <c r="AC207" i="8"/>
  <c r="AC201" i="8"/>
  <c r="AC194" i="8"/>
  <c r="AC18" i="8"/>
  <c r="AC12" i="8"/>
  <c r="AC6" i="8"/>
  <c r="AC317" i="8"/>
  <c r="AC316" i="8"/>
  <c r="AC309" i="8"/>
  <c r="AC303" i="8"/>
  <c r="AC297" i="8"/>
  <c r="AC291" i="8"/>
  <c r="AC285" i="8"/>
  <c r="AC279" i="8"/>
  <c r="AC273" i="8"/>
  <c r="AC267" i="8"/>
  <c r="AC261" i="8"/>
  <c r="AC255" i="8"/>
  <c r="AC249" i="8"/>
  <c r="AC243" i="8"/>
  <c r="AC237" i="8"/>
  <c r="AC224" i="8"/>
  <c r="AC218" i="8"/>
  <c r="AC212" i="8"/>
  <c r="AC206" i="8"/>
  <c r="AC200" i="8"/>
  <c r="AC193" i="8"/>
  <c r="AC17" i="8"/>
  <c r="AC11" i="8"/>
  <c r="AC5" i="8"/>
  <c r="AB1412" i="3"/>
  <c r="AB1415" i="3"/>
  <c r="AC2" i="8"/>
  <c r="AC308" i="8"/>
  <c r="AC302" i="8"/>
  <c r="AC296" i="8"/>
  <c r="AC290" i="8"/>
  <c r="AC284" i="8"/>
  <c r="AC278" i="8"/>
  <c r="AC272" i="8"/>
  <c r="AC266" i="8"/>
  <c r="AC260" i="8"/>
  <c r="AC254" i="8"/>
  <c r="AC248" i="8"/>
  <c r="AC242" i="8"/>
  <c r="AC223" i="8"/>
  <c r="AC217" i="8"/>
  <c r="AC211" i="8"/>
  <c r="AC205" i="8"/>
  <c r="R1031" i="3"/>
  <c r="R1029" i="3"/>
  <c r="R963" i="3"/>
  <c r="R961" i="3"/>
  <c r="R224" i="3"/>
  <c r="R304" i="3"/>
  <c r="R1207" i="3"/>
  <c r="R1205" i="3"/>
  <c r="R227" i="3"/>
  <c r="R307" i="3"/>
  <c r="R969" i="3"/>
  <c r="R971" i="3"/>
  <c r="R412" i="3"/>
  <c r="R32" i="3"/>
  <c r="R1247" i="3"/>
  <c r="R1245" i="3"/>
  <c r="R795" i="3"/>
  <c r="R793" i="3"/>
  <c r="R761" i="3"/>
  <c r="R759" i="3"/>
  <c r="R779" i="3"/>
  <c r="R777" i="3"/>
  <c r="R719" i="3"/>
  <c r="R721" i="3"/>
  <c r="R679" i="3"/>
  <c r="R681" i="3"/>
  <c r="R1215" i="3"/>
  <c r="R1213" i="3"/>
  <c r="R635" i="3"/>
  <c r="R637" i="3"/>
  <c r="R631" i="3"/>
  <c r="R633" i="3"/>
  <c r="R437" i="3"/>
  <c r="R439" i="3"/>
  <c r="R593" i="3"/>
  <c r="R591" i="3"/>
  <c r="R589" i="3"/>
  <c r="R549" i="3"/>
  <c r="R551" i="3"/>
  <c r="R535" i="3"/>
  <c r="R537" i="3"/>
  <c r="R517" i="3"/>
  <c r="R515" i="3"/>
  <c r="R497" i="3"/>
  <c r="R495" i="3"/>
  <c r="R465" i="3"/>
  <c r="R463" i="3"/>
  <c r="R219" i="3"/>
  <c r="R385" i="3"/>
  <c r="R1134" i="3"/>
  <c r="R283" i="3"/>
  <c r="R24" i="3"/>
  <c r="AC231" i="8"/>
  <c r="AC187" i="8"/>
  <c r="AC181" i="8"/>
  <c r="AC175" i="8"/>
  <c r="AC168" i="8"/>
  <c r="AC162" i="8"/>
  <c r="AC156" i="8"/>
  <c r="AC150" i="8"/>
  <c r="AC144" i="8"/>
  <c r="AC138" i="8"/>
  <c r="AC132" i="8"/>
  <c r="AC126" i="8"/>
  <c r="AC120" i="8"/>
  <c r="AC114" i="8"/>
  <c r="AC108" i="8"/>
  <c r="AC102" i="8"/>
  <c r="AC96" i="8"/>
  <c r="AC90" i="8"/>
  <c r="AC84" i="8"/>
  <c r="AC78" i="8"/>
  <c r="AC72" i="8"/>
  <c r="AC66" i="8"/>
  <c r="AC60" i="8"/>
  <c r="AC54" i="8"/>
  <c r="AC48" i="8"/>
  <c r="AC42" i="8"/>
  <c r="AC36" i="8"/>
  <c r="AC30" i="8"/>
  <c r="AC24" i="8"/>
  <c r="R1404" i="3"/>
  <c r="R1400" i="3"/>
  <c r="R1256" i="3"/>
  <c r="R429" i="3"/>
  <c r="R427" i="3"/>
  <c r="R1263" i="3"/>
  <c r="R807" i="3"/>
  <c r="R803" i="3"/>
  <c r="R725" i="3"/>
  <c r="R723" i="3"/>
  <c r="R695" i="3"/>
  <c r="R697" i="3"/>
  <c r="R1197" i="3"/>
  <c r="R1169" i="3"/>
  <c r="R499" i="3"/>
  <c r="R501" i="3"/>
  <c r="R1260" i="3"/>
  <c r="R1281" i="3"/>
  <c r="R1287" i="3"/>
  <c r="R1173" i="3"/>
  <c r="R1171" i="3"/>
  <c r="R1253" i="3"/>
  <c r="R831" i="3"/>
  <c r="R1056" i="3"/>
  <c r="R1062" i="3"/>
  <c r="R829" i="3"/>
  <c r="R1258" i="3"/>
  <c r="R457" i="3"/>
  <c r="R1285" i="3"/>
  <c r="R455" i="3"/>
  <c r="R1279" i="3"/>
  <c r="R1265" i="3"/>
  <c r="R56" i="3"/>
  <c r="R128" i="3"/>
  <c r="R77" i="3"/>
  <c r="R62" i="3"/>
  <c r="R369" i="3"/>
  <c r="R153" i="3"/>
  <c r="R38" i="3"/>
  <c r="R1164" i="3"/>
  <c r="R1162" i="3"/>
  <c r="R1368" i="3"/>
  <c r="R1366" i="3"/>
  <c r="R757" i="3"/>
  <c r="R755" i="3"/>
  <c r="R741" i="3"/>
  <c r="R739" i="3"/>
  <c r="R717" i="3"/>
  <c r="R715" i="3"/>
  <c r="R1091" i="3"/>
  <c r="R693" i="3"/>
  <c r="R691" i="3"/>
  <c r="R1175" i="3"/>
  <c r="R1177" i="3"/>
  <c r="R649" i="3"/>
  <c r="R647" i="3"/>
  <c r="R629" i="3"/>
  <c r="R627" i="3"/>
  <c r="R605" i="3"/>
  <c r="R609" i="3"/>
  <c r="R607" i="3"/>
  <c r="R587" i="3"/>
  <c r="R585" i="3"/>
  <c r="R583" i="3"/>
  <c r="R561" i="3"/>
  <c r="R563" i="3"/>
  <c r="R545" i="3"/>
  <c r="R547" i="3"/>
  <c r="R1073" i="3"/>
  <c r="R1079" i="3"/>
  <c r="R513" i="3"/>
  <c r="R511" i="3"/>
  <c r="R491" i="3"/>
  <c r="R493" i="3"/>
  <c r="R481" i="3"/>
  <c r="R479" i="3"/>
  <c r="AC315" i="8"/>
  <c r="AC236" i="8"/>
  <c r="AC230" i="8"/>
  <c r="R137" i="3"/>
  <c r="R200" i="3"/>
  <c r="AC186" i="8"/>
  <c r="AC180" i="8"/>
  <c r="AC174" i="8"/>
  <c r="AC167" i="8"/>
  <c r="AC161" i="8"/>
  <c r="AC155" i="8"/>
  <c r="AC149" i="8"/>
  <c r="AC143" i="8"/>
  <c r="AC137" i="8"/>
  <c r="AC131" i="8"/>
  <c r="AC125" i="8"/>
  <c r="AC119" i="8"/>
  <c r="AC113" i="8"/>
  <c r="AC107" i="8"/>
  <c r="AC101" i="8"/>
  <c r="AC95" i="8"/>
  <c r="AC89" i="8"/>
  <c r="AC83" i="8"/>
  <c r="AC77" i="8"/>
  <c r="AC71" i="8"/>
  <c r="AC65" i="8"/>
  <c r="AC59" i="8"/>
  <c r="AC53" i="8"/>
  <c r="AC47" i="8"/>
  <c r="AC41" i="8"/>
  <c r="AC35" i="8"/>
  <c r="AC29" i="8"/>
  <c r="AC23" i="8"/>
  <c r="R975" i="3"/>
  <c r="R973" i="3"/>
  <c r="R915" i="3"/>
  <c r="R913" i="3"/>
  <c r="R1181" i="3"/>
  <c r="R1179" i="3"/>
  <c r="R1085" i="3"/>
  <c r="R1083" i="3"/>
  <c r="AC202" i="8"/>
  <c r="AC196" i="8"/>
  <c r="R171" i="3"/>
  <c r="R139" i="3"/>
  <c r="R199" i="3"/>
  <c r="R767" i="3"/>
  <c r="R765" i="3"/>
  <c r="R763" i="3"/>
  <c r="R685" i="3"/>
  <c r="R683" i="3"/>
  <c r="R881" i="3"/>
  <c r="R883" i="3"/>
  <c r="R1271" i="3"/>
  <c r="R1273" i="3"/>
  <c r="R1043" i="3"/>
  <c r="R1041" i="3"/>
  <c r="R1093" i="3"/>
  <c r="R985" i="3"/>
  <c r="R987" i="3"/>
  <c r="R1320" i="3"/>
  <c r="R1322" i="3"/>
  <c r="R941" i="3"/>
  <c r="R943" i="3"/>
  <c r="R1109" i="3"/>
  <c r="R1249" i="3"/>
  <c r="R901" i="3"/>
  <c r="R903" i="3"/>
  <c r="R1067" i="3"/>
  <c r="R419" i="3"/>
  <c r="R863" i="3"/>
  <c r="R1057" i="3"/>
  <c r="R861" i="3"/>
  <c r="R1063" i="3"/>
  <c r="R1282" i="3"/>
  <c r="R1401" i="3"/>
  <c r="R1262" i="3"/>
  <c r="R849" i="3"/>
  <c r="R1405" i="3"/>
  <c r="R851" i="3"/>
  <c r="R1288" i="3"/>
  <c r="R1255" i="3"/>
  <c r="R1099" i="3"/>
  <c r="R1101" i="3"/>
  <c r="R453" i="3"/>
  <c r="R451" i="3"/>
  <c r="R1315" i="3"/>
  <c r="R264" i="3"/>
  <c r="AC199" i="8"/>
  <c r="AC192" i="8"/>
  <c r="R201" i="3"/>
  <c r="R143" i="3"/>
  <c r="R70" i="3"/>
  <c r="R125" i="3"/>
  <c r="R122" i="3"/>
  <c r="R92" i="3"/>
  <c r="R1132" i="3"/>
  <c r="R261" i="3"/>
  <c r="R235" i="3"/>
  <c r="R274" i="3"/>
  <c r="R107" i="3"/>
  <c r="R33" i="3"/>
  <c r="R228" i="3"/>
  <c r="R308" i="3"/>
  <c r="AC16" i="8"/>
  <c r="AC10" i="8"/>
  <c r="AC4" i="8"/>
  <c r="R875" i="3"/>
  <c r="R873" i="3"/>
  <c r="R417" i="3"/>
  <c r="R1065" i="3"/>
  <c r="R701" i="3"/>
  <c r="R699" i="3"/>
  <c r="R657" i="3"/>
  <c r="R659" i="3"/>
  <c r="R1211" i="3"/>
  <c r="R1209" i="3"/>
  <c r="R1277" i="3"/>
  <c r="R1275" i="3"/>
  <c r="R993" i="3"/>
  <c r="R995" i="3"/>
  <c r="R1251" i="3"/>
  <c r="R833" i="3"/>
  <c r="R835" i="3"/>
  <c r="R806" i="3"/>
  <c r="R802" i="3"/>
  <c r="R1269" i="3"/>
  <c r="R1267" i="3"/>
  <c r="R905" i="3"/>
  <c r="R907" i="3"/>
  <c r="R381" i="3"/>
  <c r="R356" i="3"/>
  <c r="R202" i="3"/>
  <c r="R1025" i="3"/>
  <c r="R1027" i="3"/>
  <c r="R1324" i="3"/>
  <c r="R1326" i="3"/>
  <c r="R949" i="3"/>
  <c r="R951" i="3"/>
  <c r="R1237" i="3"/>
  <c r="R1239" i="3"/>
  <c r="R1158" i="3"/>
  <c r="R1160" i="3"/>
  <c r="R783" i="3"/>
  <c r="R781" i="3"/>
  <c r="R737" i="3"/>
  <c r="R735" i="3"/>
  <c r="R713" i="3"/>
  <c r="R711" i="3"/>
  <c r="R1219" i="3"/>
  <c r="R1217" i="3"/>
  <c r="R671" i="3"/>
  <c r="R673" i="3"/>
  <c r="R1351" i="3"/>
  <c r="R1355" i="3"/>
  <c r="R643" i="3"/>
  <c r="R645" i="3"/>
  <c r="R1280" i="3"/>
  <c r="R1286" i="3"/>
  <c r="R625" i="3"/>
  <c r="R623" i="3"/>
  <c r="R1254" i="3"/>
  <c r="R1261" i="3"/>
  <c r="R601" i="3"/>
  <c r="R603" i="3"/>
  <c r="R1294" i="3"/>
  <c r="R581" i="3"/>
  <c r="R1299" i="3"/>
  <c r="R579" i="3"/>
  <c r="R1201" i="3"/>
  <c r="R1203" i="3"/>
  <c r="R1199" i="3"/>
  <c r="R1105" i="3"/>
  <c r="R533" i="3"/>
  <c r="R531" i="3"/>
  <c r="R527" i="3"/>
  <c r="R529" i="3"/>
  <c r="R443" i="3"/>
  <c r="R441" i="3"/>
  <c r="R489" i="3"/>
  <c r="R487" i="3"/>
  <c r="R477" i="3"/>
  <c r="R475" i="3"/>
  <c r="R1189" i="3"/>
  <c r="R1191" i="3"/>
  <c r="AC321" i="8"/>
  <c r="AC314" i="8"/>
  <c r="AC235" i="8"/>
  <c r="AC229" i="8"/>
  <c r="R286" i="3"/>
  <c r="R194" i="3"/>
  <c r="AC185" i="8"/>
  <c r="AC179" i="8"/>
  <c r="AC173" i="8"/>
  <c r="AC166" i="8"/>
  <c r="AC160" i="8"/>
  <c r="AC154" i="8"/>
  <c r="AC148" i="8"/>
  <c r="AC142" i="8"/>
  <c r="AC136" i="8"/>
  <c r="AC130" i="8"/>
  <c r="AC124" i="8"/>
  <c r="AC118" i="8"/>
  <c r="AC112" i="8"/>
  <c r="AC106" i="8"/>
  <c r="AC100" i="8"/>
  <c r="AC94" i="8"/>
  <c r="AC88" i="8"/>
  <c r="AC82" i="8"/>
  <c r="AC76" i="8"/>
  <c r="AC70" i="8"/>
  <c r="AC64" i="8"/>
  <c r="AC58" i="8"/>
  <c r="AC52" i="8"/>
  <c r="AC46" i="8"/>
  <c r="AC40" i="8"/>
  <c r="AC34" i="8"/>
  <c r="AC28" i="8"/>
  <c r="AC22" i="8"/>
  <c r="R232" i="3"/>
  <c r="R366" i="3"/>
  <c r="R1225" i="3"/>
  <c r="R1227" i="3"/>
  <c r="R119" i="3"/>
  <c r="R48" i="3"/>
  <c r="R1049" i="3"/>
  <c r="R1051" i="3"/>
  <c r="R1037" i="3"/>
  <c r="R1039" i="3"/>
  <c r="R1307" i="3"/>
  <c r="R1069" i="3"/>
  <c r="R1009" i="3"/>
  <c r="R1011" i="3"/>
  <c r="R981" i="3"/>
  <c r="R983" i="3"/>
  <c r="R965" i="3"/>
  <c r="R967" i="3"/>
  <c r="R939" i="3"/>
  <c r="R937" i="3"/>
  <c r="R927" i="3"/>
  <c r="R925" i="3"/>
  <c r="R923" i="3"/>
  <c r="R921" i="3"/>
  <c r="R897" i="3"/>
  <c r="R899" i="3"/>
  <c r="R1243" i="3"/>
  <c r="R1241" i="3"/>
  <c r="R865" i="3"/>
  <c r="R867" i="3"/>
  <c r="R857" i="3"/>
  <c r="R859" i="3"/>
  <c r="R845" i="3"/>
  <c r="R847" i="3"/>
  <c r="R821" i="3"/>
  <c r="R823" i="3"/>
  <c r="R449" i="3"/>
  <c r="R447" i="3"/>
  <c r="AC313" i="8"/>
  <c r="AC307" i="8"/>
  <c r="AC301" i="8"/>
  <c r="AC295" i="8"/>
  <c r="AC289" i="8"/>
  <c r="AC283" i="8"/>
  <c r="AC277" i="8"/>
  <c r="AC271" i="8"/>
  <c r="AC265" i="8"/>
  <c r="AC259" i="8"/>
  <c r="AC253" i="8"/>
  <c r="AC247" i="8"/>
  <c r="AC241" i="8"/>
  <c r="AC222" i="8"/>
  <c r="AC216" i="8"/>
  <c r="AC210" i="8"/>
  <c r="AC204" i="8"/>
  <c r="AC198" i="8"/>
  <c r="AC191" i="8"/>
  <c r="R314" i="3"/>
  <c r="R317" i="3"/>
  <c r="AC172" i="8"/>
  <c r="R1384" i="3"/>
  <c r="R291" i="3"/>
  <c r="R302" i="3"/>
  <c r="R35" i="3"/>
  <c r="R226" i="3"/>
  <c r="R306" i="3"/>
  <c r="R1135" i="3"/>
  <c r="R26" i="3"/>
  <c r="R205" i="3"/>
  <c r="R141" i="3"/>
  <c r="R229" i="3"/>
  <c r="R309" i="3"/>
  <c r="R1133" i="3"/>
  <c r="R30" i="3"/>
  <c r="R53" i="3"/>
  <c r="R131" i="3"/>
  <c r="R85" i="3"/>
  <c r="R375" i="3"/>
  <c r="R290" i="3"/>
  <c r="AC15" i="8"/>
  <c r="AC9" i="8"/>
  <c r="AC3" i="8"/>
  <c r="R1021" i="3"/>
  <c r="R1023" i="3"/>
  <c r="R837" i="3"/>
  <c r="R810" i="3"/>
  <c r="R839" i="3"/>
  <c r="R814" i="3"/>
  <c r="R1374" i="3"/>
  <c r="R1376" i="3"/>
  <c r="R1301" i="3"/>
  <c r="R1144" i="3"/>
  <c r="R45" i="3"/>
  <c r="R116" i="3"/>
  <c r="R5" i="3"/>
  <c r="R23" i="3"/>
  <c r="R1147" i="3"/>
  <c r="R29" i="3"/>
  <c r="R887" i="3"/>
  <c r="R885" i="3"/>
  <c r="R641" i="3"/>
  <c r="R639" i="3"/>
  <c r="R521" i="3"/>
  <c r="R519" i="3"/>
  <c r="R541" i="3"/>
  <c r="R539" i="3"/>
  <c r="R911" i="3"/>
  <c r="R909" i="3"/>
  <c r="R138" i="3"/>
  <c r="R198" i="3"/>
  <c r="R421" i="3"/>
  <c r="R423" i="3"/>
  <c r="R1185" i="3"/>
  <c r="R1183" i="3"/>
  <c r="R877" i="3"/>
  <c r="R879" i="3"/>
  <c r="R791" i="3"/>
  <c r="R789" i="3"/>
  <c r="R1293" i="3"/>
  <c r="R1298" i="3"/>
  <c r="R785" i="3"/>
  <c r="R787" i="3"/>
  <c r="R1054" i="3"/>
  <c r="R1060" i="3"/>
  <c r="R731" i="3"/>
  <c r="R733" i="3"/>
  <c r="R709" i="3"/>
  <c r="R707" i="3"/>
  <c r="R677" i="3"/>
  <c r="R675" i="3"/>
  <c r="R667" i="3"/>
  <c r="R669" i="3"/>
  <c r="R653" i="3"/>
  <c r="R651" i="3"/>
  <c r="R655" i="3"/>
  <c r="R619" i="3"/>
  <c r="R621" i="3"/>
  <c r="R599" i="3"/>
  <c r="R597" i="3"/>
  <c r="R595" i="3"/>
  <c r="R575" i="3"/>
  <c r="R573" i="3"/>
  <c r="R577" i="3"/>
  <c r="R557" i="3"/>
  <c r="R559" i="3"/>
  <c r="R1081" i="3"/>
  <c r="R1075" i="3"/>
  <c r="R1296" i="3"/>
  <c r="R1291" i="3"/>
  <c r="R1195" i="3"/>
  <c r="R1193" i="3"/>
  <c r="R509" i="3"/>
  <c r="R507" i="3"/>
  <c r="R1097" i="3"/>
  <c r="R485" i="3"/>
  <c r="R483" i="3"/>
  <c r="R473" i="3"/>
  <c r="R471" i="3"/>
  <c r="AC320" i="8"/>
  <c r="R323" i="3"/>
  <c r="R79" i="3"/>
  <c r="AC234" i="8"/>
  <c r="AC228" i="8"/>
  <c r="R303" i="3"/>
  <c r="R106" i="3"/>
  <c r="R223" i="3"/>
  <c r="R31" i="3"/>
  <c r="R292" i="3"/>
  <c r="AC190" i="8"/>
  <c r="AC184" i="8"/>
  <c r="AC178" i="8"/>
  <c r="AC171" i="8"/>
  <c r="AC165" i="8"/>
  <c r="AC159" i="8"/>
  <c r="AC153" i="8"/>
  <c r="AC147" i="8"/>
  <c r="AC141" i="8"/>
  <c r="AC135" i="8"/>
  <c r="AC129" i="8"/>
  <c r="AC123" i="8"/>
  <c r="AC117" i="8"/>
  <c r="AC111" i="8"/>
  <c r="AC105" i="8"/>
  <c r="AC99" i="8"/>
  <c r="AC93" i="8"/>
  <c r="AC87" i="8"/>
  <c r="AC81" i="8"/>
  <c r="AC75" i="8"/>
  <c r="AC69" i="8"/>
  <c r="AC63" i="8"/>
  <c r="AC57" i="8"/>
  <c r="AC51" i="8"/>
  <c r="AC45" i="8"/>
  <c r="AC39" i="8"/>
  <c r="AC33" i="8"/>
  <c r="AC27" i="8"/>
  <c r="AC21" i="8"/>
  <c r="R929" i="3"/>
  <c r="R931" i="3"/>
  <c r="R745" i="3"/>
  <c r="R743" i="3"/>
  <c r="R753" i="3"/>
  <c r="R751" i="3"/>
  <c r="R1087" i="3"/>
  <c r="R1089" i="3"/>
  <c r="R1235" i="3"/>
  <c r="R1233" i="3"/>
  <c r="R989" i="3"/>
  <c r="R991" i="3"/>
  <c r="R809" i="3"/>
  <c r="R813" i="3"/>
  <c r="R853" i="3"/>
  <c r="R855" i="3"/>
  <c r="R1013" i="3"/>
  <c r="R1015" i="3"/>
  <c r="R1007" i="3"/>
  <c r="R1005" i="3"/>
  <c r="R977" i="3"/>
  <c r="R979" i="3"/>
  <c r="R1095" i="3"/>
  <c r="R935" i="3"/>
  <c r="R933" i="3"/>
  <c r="R917" i="3"/>
  <c r="R919" i="3"/>
  <c r="R1231" i="3"/>
  <c r="R1229" i="3"/>
  <c r="R811" i="3"/>
  <c r="R815" i="3"/>
  <c r="R843" i="3"/>
  <c r="R841" i="3"/>
  <c r="R819" i="3"/>
  <c r="R817" i="3"/>
  <c r="R461" i="3"/>
  <c r="R459" i="3"/>
  <c r="R1187" i="3"/>
  <c r="R1103" i="3"/>
  <c r="AC312" i="8"/>
  <c r="AC306" i="8"/>
  <c r="AC300" i="8"/>
  <c r="AC294" i="8"/>
  <c r="AC288" i="8"/>
  <c r="AC282" i="8"/>
  <c r="AC276" i="8"/>
  <c r="AC270" i="8"/>
  <c r="AC264" i="8"/>
  <c r="AC258" i="8"/>
  <c r="AC252" i="8"/>
  <c r="AC246" i="8"/>
  <c r="AC240" i="8"/>
  <c r="AC221" i="8"/>
  <c r="AC215" i="8"/>
  <c r="AC209" i="8"/>
  <c r="AC203" i="8"/>
  <c r="AC197" i="8"/>
  <c r="R142" i="3"/>
  <c r="R204" i="3"/>
  <c r="R402" i="3"/>
  <c r="R134" i="3"/>
  <c r="R396" i="3"/>
  <c r="R181" i="3"/>
  <c r="R108" i="3"/>
  <c r="R59" i="3"/>
  <c r="R66" i="3"/>
  <c r="R1148" i="3"/>
  <c r="R93" i="3"/>
  <c r="R42" i="3"/>
  <c r="R20" i="3"/>
  <c r="R103" i="3"/>
  <c r="R305" i="3"/>
  <c r="R25" i="3"/>
  <c r="R88" i="3"/>
  <c r="R225" i="3"/>
  <c r="R39" i="3"/>
  <c r="R293" i="3"/>
  <c r="R16" i="3"/>
  <c r="R2" i="3"/>
  <c r="R74" i="3"/>
  <c r="R102" i="3"/>
  <c r="R91" i="3"/>
  <c r="R19" i="3"/>
  <c r="R252" i="3"/>
  <c r="R73" i="3"/>
  <c r="R65" i="3"/>
  <c r="R15" i="3"/>
  <c r="R1149" i="3"/>
  <c r="R175" i="3"/>
  <c r="R12" i="3"/>
  <c r="AC14" i="8"/>
  <c r="AC8" i="8"/>
  <c r="R999" i="3"/>
  <c r="R997" i="3"/>
  <c r="R1358" i="3"/>
  <c r="R268" i="3"/>
  <c r="R154" i="3"/>
  <c r="R955" i="3"/>
  <c r="R957" i="3"/>
  <c r="R959" i="3"/>
  <c r="R247" i="3"/>
  <c r="R212" i="3"/>
  <c r="R945" i="3"/>
  <c r="R947" i="3"/>
  <c r="R326" i="3"/>
  <c r="R249" i="3"/>
  <c r="R147" i="3"/>
  <c r="R271" i="3"/>
  <c r="R363" i="3"/>
  <c r="R1292" i="3"/>
  <c r="R1297" i="3"/>
  <c r="R1033" i="3"/>
  <c r="R1035" i="3"/>
  <c r="R1019" i="3"/>
  <c r="R1017" i="3"/>
  <c r="R1001" i="3"/>
  <c r="R1003" i="3"/>
  <c r="R1071" i="3"/>
  <c r="R1077" i="3"/>
  <c r="R1223" i="3"/>
  <c r="R1221" i="3"/>
  <c r="R773" i="3"/>
  <c r="R775" i="3"/>
  <c r="R771" i="3"/>
  <c r="R769" i="3"/>
  <c r="R749" i="3"/>
  <c r="R747" i="3"/>
  <c r="R729" i="3"/>
  <c r="R727" i="3"/>
  <c r="R705" i="3"/>
  <c r="R703" i="3"/>
  <c r="R689" i="3"/>
  <c r="R687" i="3"/>
  <c r="R805" i="3"/>
  <c r="R801" i="3"/>
  <c r="R665" i="3"/>
  <c r="R663" i="3"/>
  <c r="R661" i="3"/>
  <c r="R1111" i="3"/>
  <c r="R1113" i="3"/>
  <c r="R1117" i="3"/>
  <c r="R1059" i="3"/>
  <c r="R1053" i="3"/>
  <c r="R617" i="3"/>
  <c r="R613" i="3"/>
  <c r="R611" i="3"/>
  <c r="R615" i="3"/>
  <c r="R569" i="3"/>
  <c r="R571" i="3"/>
  <c r="R567" i="3"/>
  <c r="R565" i="3"/>
  <c r="R553" i="3"/>
  <c r="R555" i="3"/>
  <c r="R431" i="3"/>
  <c r="R433" i="3"/>
  <c r="R435" i="3"/>
  <c r="R523" i="3"/>
  <c r="R525" i="3"/>
  <c r="R505" i="3"/>
  <c r="R503" i="3"/>
  <c r="R469" i="3"/>
  <c r="R467" i="3"/>
  <c r="AC319" i="8"/>
  <c r="R329" i="3"/>
  <c r="R408" i="3"/>
  <c r="R46" i="3"/>
  <c r="R117" i="3"/>
  <c r="R6" i="3"/>
  <c r="R372" i="3"/>
  <c r="AC233" i="8"/>
  <c r="AC227" i="8"/>
  <c r="AC189" i="8"/>
  <c r="AC183" i="8"/>
  <c r="AC177" i="8"/>
  <c r="AC170" i="8"/>
  <c r="AC164" i="8"/>
  <c r="AC158" i="8"/>
  <c r="AC152" i="8"/>
  <c r="AC146" i="8"/>
  <c r="AC140" i="8"/>
  <c r="AC134" i="8"/>
  <c r="AC128" i="8"/>
  <c r="AC122" i="8"/>
  <c r="AC116" i="8"/>
  <c r="AC110" i="8"/>
  <c r="AC104" i="8"/>
  <c r="AC98" i="8"/>
  <c r="AC92" i="8"/>
  <c r="AC86" i="8"/>
  <c r="AC80" i="8"/>
  <c r="AC74" i="8"/>
  <c r="AC68" i="8"/>
  <c r="AC62" i="8"/>
  <c r="AC56" i="8"/>
  <c r="AC50" i="8"/>
  <c r="AC44" i="8"/>
  <c r="AC38" i="8"/>
  <c r="AC32" i="8"/>
  <c r="AC26" i="8"/>
  <c r="AC20" i="8"/>
  <c r="AB1402" i="3"/>
  <c r="AB1406" i="3"/>
  <c r="AB1408" i="3"/>
  <c r="AB1410" i="3"/>
  <c r="AB1394" i="3"/>
  <c r="AB1397" i="3"/>
  <c r="AB1391" i="3"/>
  <c r="AB1382" i="3"/>
  <c r="AB1385" i="3"/>
  <c r="AB1388" i="3"/>
  <c r="AB1379" i="3"/>
  <c r="AA367" i="3"/>
  <c r="AA397" i="3"/>
  <c r="AA1143" i="3"/>
  <c r="AA89" i="3"/>
  <c r="AA54" i="3"/>
  <c r="S1944" i="3" l="1"/>
  <c r="L769" i="4" s="1"/>
  <c r="N769" i="4" s="1"/>
  <c r="X1944" i="3"/>
  <c r="Y1944" i="3" s="1"/>
  <c r="AC1944" i="3"/>
  <c r="AD1944" i="3" s="1"/>
  <c r="Q2002" i="3"/>
  <c r="I781" i="4" s="1"/>
  <c r="AA2002" i="3"/>
  <c r="AB2002" i="3" s="1"/>
  <c r="X2005" i="3"/>
  <c r="Y2005" i="3" s="1"/>
  <c r="S2005" i="3"/>
  <c r="L782" i="4" s="1"/>
  <c r="N782" i="4" s="1"/>
  <c r="AQ2005" i="3"/>
  <c r="T2005" i="3"/>
  <c r="AC2005" i="3"/>
  <c r="AD2005" i="3" s="1"/>
  <c r="T1999" i="3"/>
  <c r="X1999" i="3"/>
  <c r="Y1999" i="3" s="1"/>
  <c r="AQ1999" i="3"/>
  <c r="S1999" i="3"/>
  <c r="L780" i="4" s="1"/>
  <c r="N780" i="4" s="1"/>
  <c r="AC1999" i="3"/>
  <c r="AD1999" i="3" s="1"/>
  <c r="AA2009" i="3"/>
  <c r="AB2009" i="3" s="1"/>
  <c r="Q2009" i="3"/>
  <c r="T2009" i="3"/>
  <c r="AQ2009" i="3"/>
  <c r="S2009" i="3"/>
  <c r="L783" i="4" s="1"/>
  <c r="N783" i="4" s="1"/>
  <c r="X2009" i="3"/>
  <c r="Y2009" i="3" s="1"/>
  <c r="AC2009" i="3"/>
  <c r="AD2009" i="3" s="1"/>
  <c r="K782" i="4"/>
  <c r="Q2008" i="3"/>
  <c r="I783" i="4" s="1"/>
  <c r="AA2008" i="3"/>
  <c r="AB2008" i="3" s="1"/>
  <c r="AA1999" i="3"/>
  <c r="AB1999" i="3" s="1"/>
  <c r="Q1999" i="3"/>
  <c r="I780" i="4" s="1"/>
  <c r="AB2005" i="3"/>
  <c r="AH2005" i="3"/>
  <c r="AI2005" i="3" s="1"/>
  <c r="T1969" i="3"/>
  <c r="AQ1971" i="3"/>
  <c r="X1968" i="3"/>
  <c r="Y1968" i="3" s="1"/>
  <c r="AC1971" i="3"/>
  <c r="AD1971" i="3" s="1"/>
  <c r="S1972" i="3"/>
  <c r="T1972" i="3"/>
  <c r="X1966" i="3"/>
  <c r="Y1966" i="3" s="1"/>
  <c r="X1972" i="3"/>
  <c r="Y1972" i="3" s="1"/>
  <c r="AC1967" i="3"/>
  <c r="AD1967" i="3" s="1"/>
  <c r="S1967" i="3"/>
  <c r="T1967" i="3"/>
  <c r="S1969" i="3"/>
  <c r="AQ1967" i="3"/>
  <c r="AC1972" i="3"/>
  <c r="AD1972" i="3" s="1"/>
  <c r="T1971" i="3"/>
  <c r="S1968" i="3"/>
  <c r="X1971" i="3"/>
  <c r="Y1971" i="3" s="1"/>
  <c r="AA1913" i="3"/>
  <c r="AB1913" i="3" s="1"/>
  <c r="X1587" i="3"/>
  <c r="Y1587" i="3" s="1"/>
  <c r="T1968" i="3"/>
  <c r="X1969" i="3"/>
  <c r="Y1969" i="3" s="1"/>
  <c r="AC1968" i="3"/>
  <c r="AD1968" i="3" s="1"/>
  <c r="AQ1969" i="3"/>
  <c r="AA1968" i="3"/>
  <c r="AB1968" i="3" s="1"/>
  <c r="AA1944" i="3"/>
  <c r="AH1944" i="3" s="1"/>
  <c r="AI1944" i="3" s="1"/>
  <c r="AG1958" i="3"/>
  <c r="AG1944" i="3"/>
  <c r="AC1966" i="3"/>
  <c r="AD1966" i="3" s="1"/>
  <c r="AQ1966" i="3"/>
  <c r="T1966" i="3"/>
  <c r="X1970" i="3"/>
  <c r="Y1970" i="3" s="1"/>
  <c r="S1970" i="3"/>
  <c r="T1970" i="3"/>
  <c r="AC1970" i="3"/>
  <c r="AD1970" i="3" s="1"/>
  <c r="R1457" i="3" a="1"/>
  <c r="R1457" i="3" s="1"/>
  <c r="S1457" i="3" s="1"/>
  <c r="AA1996" i="3"/>
  <c r="AG1996" i="3"/>
  <c r="Q1996" i="3"/>
  <c r="I779" i="4" s="1"/>
  <c r="AA1955" i="3"/>
  <c r="AB1955" i="3" s="1"/>
  <c r="AA1958" i="3"/>
  <c r="AB1958" i="3" s="1"/>
  <c r="Q1953" i="3"/>
  <c r="AG1953" i="3"/>
  <c r="Q1955" i="3"/>
  <c r="T1411" i="3"/>
  <c r="S1609" i="3"/>
  <c r="L653" i="4" s="1"/>
  <c r="N653" i="4" s="1"/>
  <c r="S1411" i="3"/>
  <c r="L564" i="4" s="1"/>
  <c r="N564" i="4" s="1"/>
  <c r="AA1993" i="3"/>
  <c r="Q1993" i="3"/>
  <c r="AG1993" i="3"/>
  <c r="X1411" i="3"/>
  <c r="Y1411" i="3" s="1"/>
  <c r="AC1609" i="3"/>
  <c r="AD1609" i="3" s="1"/>
  <c r="AC1411" i="3"/>
  <c r="AD1411" i="3" s="1"/>
  <c r="X1609" i="3"/>
  <c r="Y1609" i="3" s="1"/>
  <c r="AQ1609" i="3"/>
  <c r="S1597" i="3"/>
  <c r="L649" i="4" s="1"/>
  <c r="N649" i="4" s="1"/>
  <c r="AQ1587" i="3"/>
  <c r="AC1587" i="3"/>
  <c r="AD1587" i="3" s="1"/>
  <c r="X1597" i="3"/>
  <c r="Y1597" i="3" s="1"/>
  <c r="S1587" i="3"/>
  <c r="L645" i="4" s="1"/>
  <c r="N645" i="4" s="1"/>
  <c r="AC1597" i="3"/>
  <c r="AD1597" i="3" s="1"/>
  <c r="AQ1597" i="3"/>
  <c r="AC1651" i="3"/>
  <c r="AD1651" i="3" s="1"/>
  <c r="X1651" i="3"/>
  <c r="Y1651" i="3" s="1"/>
  <c r="AC1805" i="3"/>
  <c r="AD1805" i="3" s="1"/>
  <c r="S1649" i="3"/>
  <c r="L666" i="4" s="1"/>
  <c r="N666" i="4" s="1"/>
  <c r="T1651" i="3"/>
  <c r="AQ1931" i="3"/>
  <c r="AC1931" i="3"/>
  <c r="AD1931" i="3" s="1"/>
  <c r="T1931" i="3"/>
  <c r="S1931" i="3"/>
  <c r="X1931" i="3"/>
  <c r="Y1931" i="3" s="1"/>
  <c r="AA1931" i="3"/>
  <c r="AB1931" i="3" s="1"/>
  <c r="Q1931" i="3"/>
  <c r="AA1969" i="3"/>
  <c r="AB1969" i="3" s="1"/>
  <c r="Q1969" i="3"/>
  <c r="AA1962" i="3"/>
  <c r="AG1962" i="3"/>
  <c r="Q1962" i="3"/>
  <c r="T1928" i="3"/>
  <c r="AQ1928" i="3"/>
  <c r="AC1928" i="3"/>
  <c r="AD1928" i="3" s="1"/>
  <c r="S1928" i="3"/>
  <c r="L764" i="4" s="1"/>
  <c r="N764" i="4" s="1"/>
  <c r="X1928" i="3"/>
  <c r="Y1928" i="3" s="1"/>
  <c r="AA1981" i="3"/>
  <c r="AB1981" i="3" s="1"/>
  <c r="Q1981" i="3"/>
  <c r="T1961" i="3"/>
  <c r="AQ1961" i="3"/>
  <c r="AC1961" i="3"/>
  <c r="AD1961" i="3" s="1"/>
  <c r="X1961" i="3"/>
  <c r="Y1961" i="3" s="1"/>
  <c r="S1961" i="3"/>
  <c r="AA1986" i="3"/>
  <c r="AG1986" i="3"/>
  <c r="Q1986" i="3"/>
  <c r="AA1957" i="3"/>
  <c r="AG1957" i="3"/>
  <c r="Q1957" i="3"/>
  <c r="AA1966" i="3"/>
  <c r="AB1966" i="3" s="1"/>
  <c r="Q1966" i="3"/>
  <c r="AA1967" i="3"/>
  <c r="AB1967" i="3" s="1"/>
  <c r="Q1967" i="3"/>
  <c r="AH1953" i="3"/>
  <c r="AB1953" i="3"/>
  <c r="T1981" i="3"/>
  <c r="AC1981" i="3"/>
  <c r="AD1981" i="3" s="1"/>
  <c r="S1981" i="3"/>
  <c r="X1981" i="3"/>
  <c r="Y1981" i="3" s="1"/>
  <c r="AG1963" i="3"/>
  <c r="AA1963" i="3"/>
  <c r="Q1963" i="3"/>
  <c r="AA1972" i="3"/>
  <c r="AB1972" i="3" s="1"/>
  <c r="Q1972" i="3"/>
  <c r="AA1956" i="3"/>
  <c r="AB1956" i="3" s="1"/>
  <c r="Q1956" i="3"/>
  <c r="AG1950" i="3"/>
  <c r="AA1950" i="3"/>
  <c r="Q1950" i="3"/>
  <c r="M1959" i="3" a="1"/>
  <c r="M1959" i="3" s="1"/>
  <c r="N1959" i="3" s="1"/>
  <c r="AA1922" i="3"/>
  <c r="AB1922" i="3" s="1"/>
  <c r="Q1922" i="3"/>
  <c r="I761" i="4" s="1"/>
  <c r="AQ1805" i="3"/>
  <c r="T1986" i="3"/>
  <c r="AQ1986" i="3"/>
  <c r="AC1986" i="3"/>
  <c r="AD1986" i="3" s="1"/>
  <c r="S1986" i="3"/>
  <c r="X1986" i="3"/>
  <c r="Y1986" i="3" s="1"/>
  <c r="AA1935" i="3"/>
  <c r="AB1935" i="3" s="1"/>
  <c r="Q1935" i="3"/>
  <c r="I766" i="4" s="1"/>
  <c r="AA1925" i="3"/>
  <c r="AB1925" i="3" s="1"/>
  <c r="Q1925" i="3"/>
  <c r="I763" i="4" s="1"/>
  <c r="AG1916" i="3"/>
  <c r="AA1916" i="3"/>
  <c r="AH1916" i="3" s="1"/>
  <c r="T1925" i="3"/>
  <c r="AQ1925" i="3"/>
  <c r="AC1925" i="3"/>
  <c r="AD1925" i="3" s="1"/>
  <c r="S1925" i="3"/>
  <c r="L763" i="4" s="1"/>
  <c r="N763" i="4" s="1"/>
  <c r="X1925" i="3"/>
  <c r="Y1925" i="3" s="1"/>
  <c r="AA1919" i="3"/>
  <c r="AB1919" i="3" s="1"/>
  <c r="Q1919" i="3"/>
  <c r="I760" i="4" s="1"/>
  <c r="T1932" i="3"/>
  <c r="AQ1932" i="3"/>
  <c r="AC1932" i="3"/>
  <c r="AD1932" i="3" s="1"/>
  <c r="X1932" i="3"/>
  <c r="Y1932" i="3" s="1"/>
  <c r="S1932" i="3"/>
  <c r="AA1932" i="3"/>
  <c r="AB1932" i="3" s="1"/>
  <c r="Q1932" i="3"/>
  <c r="T1963" i="3"/>
  <c r="AQ1963" i="3"/>
  <c r="AC1963" i="3"/>
  <c r="AD1963" i="3" s="1"/>
  <c r="S1963" i="3"/>
  <c r="X1963" i="3"/>
  <c r="Y1963" i="3" s="1"/>
  <c r="AA1980" i="3"/>
  <c r="AB1980" i="3" s="1"/>
  <c r="Q1980" i="3"/>
  <c r="T1919" i="3"/>
  <c r="AQ1919" i="3"/>
  <c r="AC1919" i="3"/>
  <c r="AD1919" i="3" s="1"/>
  <c r="X1919" i="3"/>
  <c r="Y1919" i="3" s="1"/>
  <c r="S1919" i="3"/>
  <c r="L760" i="4" s="1"/>
  <c r="N760" i="4" s="1"/>
  <c r="AA1982" i="3"/>
  <c r="AB1982" i="3" s="1"/>
  <c r="Q1982" i="3"/>
  <c r="AA1985" i="3"/>
  <c r="AG1985" i="3"/>
  <c r="Q1985" i="3"/>
  <c r="I769" i="4"/>
  <c r="AQ1980" i="3"/>
  <c r="AC1980" i="3"/>
  <c r="AD1980" i="3" s="1"/>
  <c r="T1980" i="3"/>
  <c r="S1980" i="3"/>
  <c r="X1980" i="3"/>
  <c r="Y1980" i="3" s="1"/>
  <c r="AA1987" i="3"/>
  <c r="AG1987" i="3"/>
  <c r="Q1987" i="3"/>
  <c r="AA1970" i="3"/>
  <c r="AB1970" i="3" s="1"/>
  <c r="Q1970" i="3"/>
  <c r="AA1941" i="3"/>
  <c r="AB1941" i="3" s="1"/>
  <c r="Q1941" i="3"/>
  <c r="I768" i="4" s="1"/>
  <c r="AA1971" i="3"/>
  <c r="AB1971" i="3" s="1"/>
  <c r="Q1971" i="3"/>
  <c r="AQ1982" i="3"/>
  <c r="T1982" i="3"/>
  <c r="AC1982" i="3"/>
  <c r="AD1982" i="3" s="1"/>
  <c r="X1982" i="3"/>
  <c r="Y1982" i="3" s="1"/>
  <c r="S1982" i="3"/>
  <c r="AQ1985" i="3"/>
  <c r="T1985" i="3"/>
  <c r="AC1985" i="3"/>
  <c r="AD1985" i="3" s="1"/>
  <c r="S1985" i="3"/>
  <c r="X1985" i="3"/>
  <c r="Y1985" i="3" s="1"/>
  <c r="AA1961" i="3"/>
  <c r="AG1961" i="3"/>
  <c r="Q1961" i="3"/>
  <c r="AG1954" i="3"/>
  <c r="AA1954" i="3"/>
  <c r="Q1954" i="3"/>
  <c r="AA1938" i="3"/>
  <c r="AB1938" i="3" s="1"/>
  <c r="Q1938" i="3"/>
  <c r="I767" i="4" s="1"/>
  <c r="P758" i="4"/>
  <c r="K758" i="4"/>
  <c r="AC1987" i="3"/>
  <c r="AD1987" i="3" s="1"/>
  <c r="AQ1987" i="3"/>
  <c r="T1987" i="3"/>
  <c r="S1987" i="3"/>
  <c r="X1987" i="3"/>
  <c r="Y1987" i="3" s="1"/>
  <c r="Q1928" i="3"/>
  <c r="I764" i="4" s="1"/>
  <c r="AA1928" i="3"/>
  <c r="AB1928" i="3" s="1"/>
  <c r="AA1976" i="3"/>
  <c r="AB1976" i="3" s="1"/>
  <c r="Q1976" i="3"/>
  <c r="I774" i="4" s="1"/>
  <c r="X1805" i="3"/>
  <c r="Y1805" i="3" s="1"/>
  <c r="S1651" i="3"/>
  <c r="L667" i="4" s="1"/>
  <c r="N667" i="4" s="1"/>
  <c r="T1805" i="3"/>
  <c r="X1649" i="3"/>
  <c r="Y1649" i="3" s="1"/>
  <c r="AC1649" i="3"/>
  <c r="AD1649" i="3" s="1"/>
  <c r="AQ1649" i="3"/>
  <c r="T1908" i="3"/>
  <c r="S1908" i="3"/>
  <c r="X1908" i="3"/>
  <c r="Y1908" i="3" s="1"/>
  <c r="AC1908" i="3"/>
  <c r="AD1908" i="3" s="1"/>
  <c r="N1862" i="3"/>
  <c r="AA1862" i="3" s="1"/>
  <c r="N1910" i="3"/>
  <c r="N1908" i="3"/>
  <c r="AG1908" i="3" s="1"/>
  <c r="N1906" i="3"/>
  <c r="Q1906" i="3" s="1"/>
  <c r="N1909" i="3"/>
  <c r="AC1612" i="3"/>
  <c r="AD1612" i="3" s="1"/>
  <c r="AQ1612" i="3"/>
  <c r="X1612" i="3"/>
  <c r="Y1612" i="3" s="1"/>
  <c r="S1612" i="3"/>
  <c r="L654" i="4" s="1"/>
  <c r="N654" i="4" s="1"/>
  <c r="X1378" i="3"/>
  <c r="Y1378" i="3" s="1"/>
  <c r="AC1378" i="3"/>
  <c r="AD1378" i="3" s="1"/>
  <c r="X1750" i="3"/>
  <c r="Y1750" i="3" s="1"/>
  <c r="T1750" i="3"/>
  <c r="AC1750" i="3"/>
  <c r="AD1750" i="3" s="1"/>
  <c r="AQ1890" i="3"/>
  <c r="AC1844" i="3"/>
  <c r="AD1844" i="3" s="1"/>
  <c r="X1890" i="3"/>
  <c r="Y1890" i="3" s="1"/>
  <c r="AC1781" i="3"/>
  <c r="AD1781" i="3" s="1"/>
  <c r="AQ1781" i="3"/>
  <c r="AC1909" i="3"/>
  <c r="AD1909" i="3" s="1"/>
  <c r="T1909" i="3"/>
  <c r="S1909" i="3"/>
  <c r="T1886" i="3"/>
  <c r="T1844" i="3"/>
  <c r="AQ1844" i="3"/>
  <c r="X1844" i="3"/>
  <c r="Y1844" i="3" s="1"/>
  <c r="S1875" i="3"/>
  <c r="L749" i="4" s="1"/>
  <c r="N749" i="4" s="1"/>
  <c r="T1781" i="3"/>
  <c r="X1875" i="3"/>
  <c r="Y1875" i="3" s="1"/>
  <c r="X1781" i="3"/>
  <c r="Y1781" i="3" s="1"/>
  <c r="AQ1875" i="3"/>
  <c r="AC1875" i="3"/>
  <c r="AD1875" i="3" s="1"/>
  <c r="T1910" i="3"/>
  <c r="S1910" i="3"/>
  <c r="AC1910" i="3"/>
  <c r="AD1910" i="3" s="1"/>
  <c r="AC1886" i="3"/>
  <c r="AD1886" i="3" s="1"/>
  <c r="AQ1910" i="3"/>
  <c r="AQ1886" i="3"/>
  <c r="S1886" i="3"/>
  <c r="X1873" i="3"/>
  <c r="Y1873" i="3" s="1"/>
  <c r="AC1890" i="3"/>
  <c r="AD1890" i="3" s="1"/>
  <c r="AQ1873" i="3"/>
  <c r="AC1873" i="3"/>
  <c r="AD1873" i="3" s="1"/>
  <c r="T1890" i="3"/>
  <c r="AC1862" i="3"/>
  <c r="AD1862" i="3" s="1"/>
  <c r="AQ1862" i="3"/>
  <c r="T1862" i="3"/>
  <c r="X1862" i="3"/>
  <c r="Y1862" i="3" s="1"/>
  <c r="S1862" i="3"/>
  <c r="S1873" i="3"/>
  <c r="L748" i="4" s="1"/>
  <c r="N748" i="4" s="1"/>
  <c r="X1909" i="3"/>
  <c r="Y1909" i="3" s="1"/>
  <c r="AQ1863" i="3"/>
  <c r="S1863" i="3"/>
  <c r="X1863" i="3"/>
  <c r="Y1863" i="3" s="1"/>
  <c r="AC1863" i="3"/>
  <c r="AD1863" i="3" s="1"/>
  <c r="AC1804" i="3"/>
  <c r="AD1804" i="3" s="1"/>
  <c r="S1804" i="3"/>
  <c r="L731" i="4" s="1"/>
  <c r="N731" i="4" s="1"/>
  <c r="AQ1804" i="3"/>
  <c r="S1906" i="3"/>
  <c r="L756" i="4" s="1"/>
  <c r="N756" i="4" s="1"/>
  <c r="AC1906" i="3"/>
  <c r="AD1906" i="3" s="1"/>
  <c r="T1906" i="3"/>
  <c r="AQ1906" i="3"/>
  <c r="X1906" i="3"/>
  <c r="Y1906" i="3" s="1"/>
  <c r="T1804" i="3"/>
  <c r="N1881" i="3"/>
  <c r="N1880" i="3"/>
  <c r="N1887" i="3"/>
  <c r="L752" i="4"/>
  <c r="N752" i="4" s="1"/>
  <c r="Y1886" i="3"/>
  <c r="S1880" i="3"/>
  <c r="X1853" i="3"/>
  <c r="Y1853" i="3" s="1"/>
  <c r="N1890" i="3"/>
  <c r="N1886" i="3"/>
  <c r="N1873" i="3"/>
  <c r="N1875" i="3"/>
  <c r="N1884" i="3"/>
  <c r="N1879" i="3"/>
  <c r="N1885" i="3"/>
  <c r="T1853" i="3"/>
  <c r="S1853" i="3"/>
  <c r="L744" i="4" s="1"/>
  <c r="N744" i="4" s="1"/>
  <c r="AQ1853" i="3"/>
  <c r="S1884" i="3"/>
  <c r="X1884" i="3"/>
  <c r="AQ1884" i="3"/>
  <c r="T1884" i="3"/>
  <c r="AC1884" i="3"/>
  <c r="AC1885" i="3"/>
  <c r="X1885" i="3"/>
  <c r="S1885" i="3"/>
  <c r="AQ1885" i="3"/>
  <c r="T1885" i="3"/>
  <c r="T1880" i="3"/>
  <c r="X1880" i="3"/>
  <c r="AC1880" i="3"/>
  <c r="X1887" i="3"/>
  <c r="AC1887" i="3"/>
  <c r="S1887" i="3"/>
  <c r="AQ1887" i="3"/>
  <c r="T1887" i="3"/>
  <c r="T1881" i="3"/>
  <c r="AQ1881" i="3"/>
  <c r="AC1881" i="3"/>
  <c r="X1881" i="3"/>
  <c r="S1881" i="3"/>
  <c r="AC1879" i="3"/>
  <c r="AQ1879" i="3"/>
  <c r="T1879" i="3"/>
  <c r="S1879" i="3"/>
  <c r="X1879" i="3"/>
  <c r="S1503" i="3"/>
  <c r="L715" i="4"/>
  <c r="N715" i="4" s="1"/>
  <c r="L717" i="4"/>
  <c r="N717" i="4" s="1"/>
  <c r="AD1754" i="3"/>
  <c r="Y1754" i="3"/>
  <c r="L725" i="4"/>
  <c r="N725" i="4" s="1"/>
  <c r="X1763" i="3"/>
  <c r="S1762" i="3"/>
  <c r="N1793" i="3"/>
  <c r="N1795" i="3"/>
  <c r="Y1804" i="3"/>
  <c r="N1804" i="3"/>
  <c r="N1805" i="3"/>
  <c r="N1794" i="3"/>
  <c r="N1798" i="3"/>
  <c r="N1813" i="3"/>
  <c r="AQ1789" i="3"/>
  <c r="N1812" i="3"/>
  <c r="AQ1850" i="3"/>
  <c r="S1813" i="3"/>
  <c r="N1835" i="3"/>
  <c r="N1850" i="3"/>
  <c r="AQ1847" i="3"/>
  <c r="L741" i="4"/>
  <c r="N741" i="4" s="1"/>
  <c r="N1841" i="3"/>
  <c r="N1844" i="3"/>
  <c r="N1834" i="3"/>
  <c r="AD1853" i="3"/>
  <c r="N1853" i="3"/>
  <c r="N1847" i="3"/>
  <c r="N1863" i="3"/>
  <c r="X1813" i="3"/>
  <c r="S1850" i="3"/>
  <c r="T1850" i="3"/>
  <c r="AC1850" i="3"/>
  <c r="X1850" i="3"/>
  <c r="T1813" i="3"/>
  <c r="AQ1813" i="3"/>
  <c r="S1847" i="3"/>
  <c r="T1847" i="3"/>
  <c r="AC1847" i="3"/>
  <c r="X1847" i="3"/>
  <c r="AC1813" i="3"/>
  <c r="S1841" i="3"/>
  <c r="AQ1841" i="3"/>
  <c r="T1841" i="3"/>
  <c r="AC1841" i="3"/>
  <c r="X1841" i="3"/>
  <c r="AC1834" i="3"/>
  <c r="AQ1834" i="3"/>
  <c r="S1834" i="3"/>
  <c r="T1834" i="3"/>
  <c r="X1834" i="3"/>
  <c r="T1835" i="3"/>
  <c r="X1835" i="3"/>
  <c r="S1835" i="3"/>
  <c r="AC1835" i="3"/>
  <c r="AQ1835" i="3"/>
  <c r="AC1789" i="3"/>
  <c r="X1789" i="3"/>
  <c r="S1789" i="3"/>
  <c r="T1789" i="3"/>
  <c r="AQ1812" i="3"/>
  <c r="S1812" i="3"/>
  <c r="T1812" i="3"/>
  <c r="AC1812" i="3"/>
  <c r="X1812" i="3"/>
  <c r="T1762" i="3"/>
  <c r="X1762" i="3"/>
  <c r="AC1762" i="3"/>
  <c r="AC1793" i="3"/>
  <c r="AQ1793" i="3"/>
  <c r="T1793" i="3"/>
  <c r="X1793" i="3"/>
  <c r="S1793" i="3"/>
  <c r="T1795" i="3"/>
  <c r="AQ1795" i="3"/>
  <c r="AC1795" i="3"/>
  <c r="S1795" i="3"/>
  <c r="X1795" i="3"/>
  <c r="AC1794" i="3"/>
  <c r="AQ1794" i="3"/>
  <c r="T1794" i="3"/>
  <c r="S1794" i="3"/>
  <c r="X1794" i="3"/>
  <c r="T1763" i="3"/>
  <c r="S1763" i="3"/>
  <c r="AC1763" i="3"/>
  <c r="AQ1387" i="3"/>
  <c r="N1762" i="3"/>
  <c r="N1763" i="3"/>
  <c r="N1785" i="3"/>
  <c r="S1752" i="3"/>
  <c r="N1789" i="3"/>
  <c r="N1764" i="3"/>
  <c r="N1759" i="3"/>
  <c r="N1781" i="3"/>
  <c r="AQ1603" i="3"/>
  <c r="N1772" i="3"/>
  <c r="N1790" i="3"/>
  <c r="T1790" i="3"/>
  <c r="AQ1790" i="3"/>
  <c r="AC1790" i="3"/>
  <c r="X1790" i="3"/>
  <c r="S1790" i="3"/>
  <c r="T1785" i="3"/>
  <c r="X1785" i="3"/>
  <c r="AC1785" i="3"/>
  <c r="S1785" i="3"/>
  <c r="AQ1785" i="3"/>
  <c r="AC1387" i="3"/>
  <c r="X1387" i="3"/>
  <c r="AC1772" i="3"/>
  <c r="T1772" i="3"/>
  <c r="X1772" i="3"/>
  <c r="S1772" i="3"/>
  <c r="AC1752" i="3"/>
  <c r="T1752" i="3"/>
  <c r="X1752" i="3"/>
  <c r="AQ1752" i="3"/>
  <c r="S1759" i="3"/>
  <c r="T1759" i="3"/>
  <c r="AC1759" i="3"/>
  <c r="X1759" i="3"/>
  <c r="I563" i="4"/>
  <c r="I562" i="4"/>
  <c r="I567" i="4"/>
  <c r="AI1412" i="3"/>
  <c r="I558" i="4"/>
  <c r="I568" i="4"/>
  <c r="N1750" i="3"/>
  <c r="I569" i="4"/>
  <c r="N1754" i="3"/>
  <c r="I566" i="4"/>
  <c r="I565" i="4"/>
  <c r="N1752" i="3"/>
  <c r="AI1394" i="3"/>
  <c r="R1469" i="3" a="1"/>
  <c r="R1469" i="3" s="1"/>
  <c r="M1656" i="3" a="1"/>
  <c r="M1656" i="3" s="1"/>
  <c r="T1603" i="3"/>
  <c r="S1603" i="3"/>
  <c r="M1515" i="3" a="1"/>
  <c r="M1515" i="3" s="1"/>
  <c r="J558" i="4"/>
  <c r="X1455" i="3"/>
  <c r="AC1455" i="3"/>
  <c r="X1477" i="3"/>
  <c r="AC1477" i="3"/>
  <c r="X1517" i="3"/>
  <c r="AC1517" i="3"/>
  <c r="X1531" i="3"/>
  <c r="AC1531" i="3"/>
  <c r="X1491" i="3"/>
  <c r="AC1491" i="3"/>
  <c r="X1503" i="3"/>
  <c r="AC1503" i="3"/>
  <c r="AC1549" i="3"/>
  <c r="X1549" i="3"/>
  <c r="X1563" i="3"/>
  <c r="AC1563" i="3"/>
  <c r="AC1624" i="3"/>
  <c r="X1624" i="3"/>
  <c r="AC1461" i="3"/>
  <c r="X1461" i="3"/>
  <c r="X1519" i="3"/>
  <c r="AC1519" i="3"/>
  <c r="X1533" i="3"/>
  <c r="AC1533" i="3"/>
  <c r="X1630" i="3"/>
  <c r="AC1630" i="3"/>
  <c r="X1706" i="3"/>
  <c r="AC1706" i="3"/>
  <c r="X1483" i="3"/>
  <c r="AC1483" i="3"/>
  <c r="AC1618" i="3"/>
  <c r="X1618" i="3"/>
  <c r="X1670" i="3"/>
  <c r="AC1670" i="3"/>
  <c r="X1479" i="3"/>
  <c r="AC1479" i="3"/>
  <c r="X1497" i="3"/>
  <c r="AC1497" i="3"/>
  <c r="X1509" i="3"/>
  <c r="AC1509" i="3"/>
  <c r="X1521" i="3"/>
  <c r="AC1521" i="3"/>
  <c r="X1535" i="3"/>
  <c r="AC1535" i="3"/>
  <c r="X1553" i="3"/>
  <c r="AC1553" i="3"/>
  <c r="X1573" i="3"/>
  <c r="AC1573" i="3"/>
  <c r="X1692" i="3"/>
  <c r="AC1692" i="3"/>
  <c r="X1668" i="3"/>
  <c r="AC1668" i="3"/>
  <c r="X1724" i="3"/>
  <c r="AC1724" i="3"/>
  <c r="X1674" i="3"/>
  <c r="AC1674" i="3"/>
  <c r="X1485" i="3"/>
  <c r="AC1485" i="3"/>
  <c r="X1511" i="3"/>
  <c r="AC1511" i="3"/>
  <c r="X1523" i="3"/>
  <c r="AC1523" i="3"/>
  <c r="AC1537" i="3"/>
  <c r="X1537" i="3"/>
  <c r="X1555" i="3"/>
  <c r="AC1555" i="3"/>
  <c r="AC1572" i="3"/>
  <c r="X1572" i="3"/>
  <c r="AC1633" i="3"/>
  <c r="X1633" i="3"/>
  <c r="X1678" i="3"/>
  <c r="AC1678" i="3"/>
  <c r="X1722" i="3"/>
  <c r="AC1722" i="3"/>
  <c r="X1487" i="3"/>
  <c r="AC1487" i="3"/>
  <c r="X1499" i="3"/>
  <c r="AC1499" i="3"/>
  <c r="X1627" i="3"/>
  <c r="AC1627" i="3"/>
  <c r="AC1600" i="3"/>
  <c r="X1600" i="3"/>
  <c r="X1656" i="3"/>
  <c r="AC1656" i="3"/>
  <c r="X1682" i="3"/>
  <c r="AC1682" i="3"/>
  <c r="AC1720" i="3"/>
  <c r="X1720" i="3"/>
  <c r="AC1726" i="3"/>
  <c r="X1726" i="3"/>
  <c r="AC1471" i="3"/>
  <c r="X1471" i="3"/>
  <c r="X1515" i="3"/>
  <c r="AC1515" i="3"/>
  <c r="X1525" i="3"/>
  <c r="AC1525" i="3"/>
  <c r="X1541" i="3"/>
  <c r="AC1541" i="3"/>
  <c r="X1559" i="3"/>
  <c r="AC1559" i="3"/>
  <c r="X1606" i="3"/>
  <c r="AC1606" i="3"/>
  <c r="X1686" i="3"/>
  <c r="AC1686" i="3"/>
  <c r="AC1704" i="3"/>
  <c r="X1704" i="3"/>
  <c r="AC1489" i="3"/>
  <c r="X1489" i="3"/>
  <c r="AC1501" i="3"/>
  <c r="X1501" i="3"/>
  <c r="X1562" i="3"/>
  <c r="AC1562" i="3"/>
  <c r="AC1621" i="3"/>
  <c r="X1621" i="3"/>
  <c r="X1698" i="3"/>
  <c r="AC1698" i="3"/>
  <c r="X1529" i="3"/>
  <c r="AC1529" i="3"/>
  <c r="X1680" i="3"/>
  <c r="AC1680" i="3"/>
  <c r="AC1492" i="3"/>
  <c r="X1492" i="3"/>
  <c r="X1505" i="3"/>
  <c r="AC1505" i="3"/>
  <c r="X1545" i="3"/>
  <c r="AC1545" i="3"/>
  <c r="X1561" i="3"/>
  <c r="AC1561" i="3"/>
  <c r="X1636" i="3"/>
  <c r="AC1636" i="3"/>
  <c r="X1688" i="3"/>
  <c r="AC1688" i="3"/>
  <c r="X1603" i="3"/>
  <c r="AC1603" i="3"/>
  <c r="AH54" i="3"/>
  <c r="AH89" i="3"/>
  <c r="AH1143" i="3"/>
  <c r="AH397" i="3"/>
  <c r="AH367" i="3"/>
  <c r="S1668" i="3"/>
  <c r="T1674" i="3"/>
  <c r="T1680" i="3"/>
  <c r="N1726" i="3"/>
  <c r="N1403" i="3"/>
  <c r="J567" i="4"/>
  <c r="N1455" i="3"/>
  <c r="N1485" i="3"/>
  <c r="N1497" i="3"/>
  <c r="N1521" i="3"/>
  <c r="N1535" i="3"/>
  <c r="N1553" i="3"/>
  <c r="N1573" i="3"/>
  <c r="N1603" i="3"/>
  <c r="N1612" i="3"/>
  <c r="N1706" i="3"/>
  <c r="N1724" i="3"/>
  <c r="N1378" i="3"/>
  <c r="J554" i="4"/>
  <c r="J561" i="4"/>
  <c r="N1390" i="3"/>
  <c r="N1399" i="3"/>
  <c r="N1499" i="3"/>
  <c r="N1618" i="3"/>
  <c r="N1633" i="3"/>
  <c r="N1669" i="3"/>
  <c r="N1621" i="3"/>
  <c r="N1387" i="3"/>
  <c r="J568" i="4"/>
  <c r="N1453" i="3"/>
  <c r="N1469" i="3"/>
  <c r="N1523" i="3"/>
  <c r="N1537" i="3"/>
  <c r="N1555" i="3"/>
  <c r="N1639" i="3"/>
  <c r="N1666" i="3"/>
  <c r="J557" i="4"/>
  <c r="J560" i="4"/>
  <c r="N1401" i="3"/>
  <c r="N1487" i="3"/>
  <c r="N1609" i="3"/>
  <c r="N1649" i="3"/>
  <c r="N1668" i="3"/>
  <c r="N1404" i="3"/>
  <c r="N1405" i="3"/>
  <c r="J569" i="4"/>
  <c r="N1511" i="3"/>
  <c r="N1525" i="3"/>
  <c r="N1587" i="3"/>
  <c r="N1642" i="3"/>
  <c r="N1692" i="3"/>
  <c r="N1680" i="3"/>
  <c r="N1483" i="3"/>
  <c r="J566" i="4"/>
  <c r="N1456" i="3"/>
  <c r="N1471" i="3"/>
  <c r="N1489" i="3"/>
  <c r="N1501" i="3"/>
  <c r="N1541" i="3"/>
  <c r="N1562" i="3"/>
  <c r="N1600" i="3"/>
  <c r="N1688" i="3"/>
  <c r="N1704" i="3"/>
  <c r="N1651" i="3"/>
  <c r="N1450" i="3"/>
  <c r="J559" i="4"/>
  <c r="J565" i="4"/>
  <c r="N1457" i="3"/>
  <c r="N1477" i="3"/>
  <c r="N1509" i="3"/>
  <c r="N1529" i="3"/>
  <c r="N1630" i="3"/>
  <c r="N1606" i="3"/>
  <c r="N1670" i="3"/>
  <c r="N1678" i="3"/>
  <c r="N1674" i="3"/>
  <c r="J564" i="4"/>
  <c r="N1461" i="3"/>
  <c r="N1425" i="3"/>
  <c r="N1505" i="3"/>
  <c r="N1545" i="3"/>
  <c r="N1561" i="3"/>
  <c r="N1624" i="3"/>
  <c r="N1627" i="3"/>
  <c r="N1597" i="3"/>
  <c r="N1682" i="3"/>
  <c r="N1690" i="3"/>
  <c r="N1384" i="3"/>
  <c r="N1479" i="3"/>
  <c r="N1517" i="3"/>
  <c r="N1531" i="3"/>
  <c r="N1698" i="3"/>
  <c r="J555" i="4"/>
  <c r="J553" i="4"/>
  <c r="J556" i="4"/>
  <c r="J563" i="4"/>
  <c r="N1358" i="3"/>
  <c r="N1411" i="3"/>
  <c r="N1492" i="3"/>
  <c r="N1503" i="3"/>
  <c r="N1549" i="3"/>
  <c r="N1563" i="3"/>
  <c r="N1720" i="3"/>
  <c r="J562" i="4"/>
  <c r="N1400" i="3"/>
  <c r="N1424" i="3"/>
  <c r="N1491" i="3"/>
  <c r="N1507" i="3"/>
  <c r="N1519" i="3"/>
  <c r="N1533" i="3"/>
  <c r="N1551" i="3"/>
  <c r="N1572" i="3"/>
  <c r="N1636" i="3"/>
  <c r="N1686" i="3"/>
  <c r="N1722" i="3"/>
  <c r="T1668" i="3"/>
  <c r="AQ1688" i="3"/>
  <c r="S1688" i="3"/>
  <c r="AQ1680" i="3"/>
  <c r="S1680" i="3"/>
  <c r="T1688" i="3"/>
  <c r="T1720" i="3"/>
  <c r="AQ1720" i="3"/>
  <c r="S1720" i="3"/>
  <c r="S1722" i="3"/>
  <c r="T1722" i="3"/>
  <c r="AQ1722" i="3"/>
  <c r="AQ1724" i="3"/>
  <c r="S1724" i="3"/>
  <c r="T1724" i="3"/>
  <c r="S1726" i="3"/>
  <c r="AQ1726" i="3"/>
  <c r="T1726" i="3"/>
  <c r="S1706" i="3"/>
  <c r="AQ1668" i="3"/>
  <c r="T1706" i="3"/>
  <c r="AQ1706" i="3"/>
  <c r="S1674" i="3"/>
  <c r="AQ1674" i="3"/>
  <c r="T1682" i="3"/>
  <c r="S1682" i="3"/>
  <c r="AQ1682" i="3"/>
  <c r="S1686" i="3"/>
  <c r="T1686" i="3"/>
  <c r="AQ1686" i="3"/>
  <c r="AQ1678" i="3"/>
  <c r="S1678" i="3"/>
  <c r="T1678" i="3"/>
  <c r="T1656" i="3"/>
  <c r="AQ1656" i="3"/>
  <c r="S1656" i="3"/>
  <c r="AQ1692" i="3"/>
  <c r="S1692" i="3"/>
  <c r="T1692" i="3"/>
  <c r="S1704" i="3"/>
  <c r="T1704" i="3"/>
  <c r="AQ1704" i="3"/>
  <c r="T1670" i="3"/>
  <c r="S1670" i="3"/>
  <c r="AQ1670" i="3"/>
  <c r="T1698" i="3"/>
  <c r="S1698" i="3"/>
  <c r="AQ1698" i="3"/>
  <c r="X1405" i="3"/>
  <c r="AC1405" i="3"/>
  <c r="AQ1405" i="3"/>
  <c r="X1453" i="3"/>
  <c r="AC1453" i="3"/>
  <c r="AQ1453" i="3"/>
  <c r="AQ1390" i="3"/>
  <c r="AC1390" i="3"/>
  <c r="X1390" i="3"/>
  <c r="AQ1400" i="3"/>
  <c r="X1400" i="3"/>
  <c r="AC1400" i="3"/>
  <c r="AQ1485" i="3"/>
  <c r="AQ1511" i="3"/>
  <c r="AQ1523" i="3"/>
  <c r="AQ1537" i="3"/>
  <c r="AQ1555" i="3"/>
  <c r="AQ1572" i="3"/>
  <c r="AQ1404" i="3"/>
  <c r="AC1404" i="3"/>
  <c r="X1404" i="3"/>
  <c r="AQ1487" i="3"/>
  <c r="AQ1499" i="3"/>
  <c r="AQ1618" i="3"/>
  <c r="AQ1401" i="3"/>
  <c r="X1401" i="3"/>
  <c r="AC1401" i="3"/>
  <c r="AQ1471" i="3"/>
  <c r="AQ1515" i="3"/>
  <c r="AQ1525" i="3"/>
  <c r="AQ1541" i="3"/>
  <c r="AQ1559" i="3"/>
  <c r="AQ1358" i="3"/>
  <c r="AC1358" i="3"/>
  <c r="X1358" i="3"/>
  <c r="AQ1489" i="3"/>
  <c r="AQ1501" i="3"/>
  <c r="AQ1562" i="3"/>
  <c r="AQ1624" i="3"/>
  <c r="AQ1425" i="3"/>
  <c r="X1425" i="3"/>
  <c r="AC1425" i="3"/>
  <c r="AQ1529" i="3"/>
  <c r="AQ1630" i="3"/>
  <c r="AQ1492" i="3"/>
  <c r="AQ1505" i="3"/>
  <c r="AQ1545" i="3"/>
  <c r="AQ1561" i="3"/>
  <c r="AQ1627" i="3"/>
  <c r="AQ1455" i="3"/>
  <c r="AQ1477" i="3"/>
  <c r="AQ1517" i="3"/>
  <c r="AQ1531" i="3"/>
  <c r="AQ1424" i="3"/>
  <c r="AC1424" i="3"/>
  <c r="X1424" i="3"/>
  <c r="AQ1491" i="3"/>
  <c r="AQ1503" i="3"/>
  <c r="AQ1549" i="3"/>
  <c r="AQ1563" i="3"/>
  <c r="AQ1621" i="3"/>
  <c r="AQ1461" i="3"/>
  <c r="AQ1479" i="3"/>
  <c r="AQ1519" i="3"/>
  <c r="AQ1533" i="3"/>
  <c r="AQ1633" i="3"/>
  <c r="AQ1384" i="3"/>
  <c r="AC1384" i="3"/>
  <c r="X1384" i="3"/>
  <c r="AQ1483" i="3"/>
  <c r="AQ1636" i="3"/>
  <c r="AQ1600" i="3"/>
  <c r="AQ1497" i="3"/>
  <c r="AQ1509" i="3"/>
  <c r="AQ1521" i="3"/>
  <c r="AQ1535" i="3"/>
  <c r="AQ1553" i="3"/>
  <c r="AQ1573" i="3"/>
  <c r="AQ1606" i="3"/>
  <c r="R1642" i="3" a="1"/>
  <c r="R1642" i="3" s="1"/>
  <c r="T1618" i="3"/>
  <c r="S1618" i="3"/>
  <c r="S1636" i="3"/>
  <c r="T1636" i="3"/>
  <c r="T1621" i="3"/>
  <c r="S1621" i="3"/>
  <c r="T1630" i="3"/>
  <c r="S1630" i="3"/>
  <c r="R1639" i="3" a="1"/>
  <c r="R1639" i="3" s="1"/>
  <c r="T1627" i="3"/>
  <c r="S1627" i="3"/>
  <c r="S1633" i="3"/>
  <c r="T1633" i="3"/>
  <c r="S1600" i="3"/>
  <c r="T1600" i="3"/>
  <c r="T1624" i="3"/>
  <c r="S1624" i="3"/>
  <c r="T1606" i="3"/>
  <c r="S1606" i="3"/>
  <c r="S1572" i="3"/>
  <c r="T1572" i="3"/>
  <c r="T1573" i="3"/>
  <c r="S1573" i="3"/>
  <c r="T1562" i="3"/>
  <c r="S1562" i="3"/>
  <c r="T1561" i="3"/>
  <c r="S1561" i="3"/>
  <c r="T1563" i="3"/>
  <c r="S1563" i="3"/>
  <c r="S1559" i="3"/>
  <c r="T1559" i="3"/>
  <c r="S1555" i="3"/>
  <c r="T1555" i="3"/>
  <c r="S1553" i="3"/>
  <c r="T1553" i="3"/>
  <c r="S1549" i="3"/>
  <c r="T1549" i="3"/>
  <c r="T1545" i="3"/>
  <c r="S1545" i="3"/>
  <c r="T1541" i="3"/>
  <c r="S1541" i="3"/>
  <c r="T1537" i="3"/>
  <c r="S1537" i="3"/>
  <c r="T1535" i="3"/>
  <c r="S1535" i="3"/>
  <c r="T1533" i="3"/>
  <c r="S1533" i="3"/>
  <c r="S1531" i="3"/>
  <c r="T1531" i="3"/>
  <c r="T1529" i="3"/>
  <c r="S1529" i="3"/>
  <c r="S1525" i="3"/>
  <c r="T1525" i="3"/>
  <c r="S1523" i="3"/>
  <c r="T1523" i="3"/>
  <c r="S1521" i="3"/>
  <c r="T1521" i="3"/>
  <c r="S1519" i="3"/>
  <c r="T1519" i="3"/>
  <c r="S1517" i="3"/>
  <c r="T1517" i="3"/>
  <c r="T1515" i="3"/>
  <c r="S1515" i="3"/>
  <c r="S1511" i="3"/>
  <c r="T1511" i="3"/>
  <c r="T1509" i="3"/>
  <c r="S1509" i="3"/>
  <c r="T1503" i="3"/>
  <c r="T1505" i="3"/>
  <c r="S1505" i="3"/>
  <c r="T1501" i="3"/>
  <c r="S1501" i="3"/>
  <c r="T1499" i="3"/>
  <c r="S1499" i="3"/>
  <c r="T1497" i="3"/>
  <c r="S1497" i="3"/>
  <c r="T1492" i="3"/>
  <c r="S1492" i="3"/>
  <c r="T1491" i="3"/>
  <c r="S1491" i="3"/>
  <c r="S1489" i="3"/>
  <c r="T1489" i="3"/>
  <c r="T1487" i="3"/>
  <c r="S1487" i="3"/>
  <c r="S1485" i="3"/>
  <c r="T1485" i="3"/>
  <c r="T1483" i="3"/>
  <c r="S1483" i="3"/>
  <c r="S1479" i="3"/>
  <c r="T1479" i="3"/>
  <c r="T1477" i="3"/>
  <c r="S1477" i="3"/>
  <c r="S1471" i="3"/>
  <c r="T1471" i="3"/>
  <c r="T1461" i="3"/>
  <c r="S1461" i="3"/>
  <c r="T1455" i="3"/>
  <c r="S1455" i="3"/>
  <c r="T1453" i="3"/>
  <c r="S1453" i="3"/>
  <c r="T1425" i="3"/>
  <c r="S1425" i="3"/>
  <c r="T1424" i="3"/>
  <c r="S1424" i="3"/>
  <c r="AI1419" i="3"/>
  <c r="AI1421" i="3"/>
  <c r="AI1423" i="3"/>
  <c r="AI1417" i="3"/>
  <c r="AI1415" i="3"/>
  <c r="S1358" i="3"/>
  <c r="AI1410" i="3"/>
  <c r="AI1408" i="3"/>
  <c r="AI1406" i="3"/>
  <c r="AI1402" i="3"/>
  <c r="T1400" i="3"/>
  <c r="S1400" i="3"/>
  <c r="T1404" i="3"/>
  <c r="S1404" i="3"/>
  <c r="T1405" i="3"/>
  <c r="S1405" i="3"/>
  <c r="T1401" i="3"/>
  <c r="S1401" i="3"/>
  <c r="AI1397" i="3"/>
  <c r="AI1391" i="3"/>
  <c r="S1390" i="3"/>
  <c r="T1390" i="3"/>
  <c r="S1378" i="3"/>
  <c r="T1384" i="3"/>
  <c r="S1384" i="3"/>
  <c r="S1387" i="3"/>
  <c r="T1387" i="3"/>
  <c r="T1378" i="3"/>
  <c r="AI1388" i="3"/>
  <c r="AI1385" i="3"/>
  <c r="AI1382" i="3"/>
  <c r="AI1379" i="3"/>
  <c r="W1219" i="3"/>
  <c r="W1223" i="3"/>
  <c r="W1229" i="3"/>
  <c r="W1231" i="3"/>
  <c r="W1235" i="3"/>
  <c r="W1239" i="3"/>
  <c r="W1243" i="3"/>
  <c r="W1247" i="3"/>
  <c r="W1249" i="3"/>
  <c r="W1254" i="3"/>
  <c r="W1255" i="3"/>
  <c r="W1256" i="3"/>
  <c r="W1257" i="3"/>
  <c r="W1258" i="3"/>
  <c r="W1260" i="3"/>
  <c r="W1261" i="3"/>
  <c r="W1263" i="3"/>
  <c r="W1264" i="3"/>
  <c r="W1265" i="3"/>
  <c r="AC1269" i="3"/>
  <c r="X1273" i="3"/>
  <c r="AQ1280" i="3"/>
  <c r="AQ1281" i="3"/>
  <c r="AQ1282" i="3"/>
  <c r="AQ1286" i="3"/>
  <c r="AQ1287" i="3"/>
  <c r="AC1288" i="3"/>
  <c r="W1292" i="3"/>
  <c r="W1293" i="3"/>
  <c r="W1294" i="3"/>
  <c r="W1296" i="3"/>
  <c r="W1297" i="3"/>
  <c r="W1299" i="3"/>
  <c r="W1301" i="3"/>
  <c r="W1307" i="3"/>
  <c r="AC1320" i="3"/>
  <c r="AQ1324" i="3"/>
  <c r="W1331" i="3"/>
  <c r="X1333" i="3"/>
  <c r="AQ1351" i="3"/>
  <c r="W1366" i="3"/>
  <c r="W137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5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4" i="3"/>
  <c r="O165" i="3"/>
  <c r="O166" i="3"/>
  <c r="O167" i="3"/>
  <c r="O168" i="3"/>
  <c r="O169" i="3"/>
  <c r="O170" i="3"/>
  <c r="O171" i="3"/>
  <c r="O173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9" i="3"/>
  <c r="O191" i="3"/>
  <c r="O192" i="3"/>
  <c r="O194" i="3"/>
  <c r="O196" i="3"/>
  <c r="O198" i="3"/>
  <c r="O199" i="3"/>
  <c r="O200" i="3"/>
  <c r="O201" i="3"/>
  <c r="O202" i="3"/>
  <c r="O203" i="3"/>
  <c r="O204" i="3"/>
  <c r="O205" i="3"/>
  <c r="O207" i="3"/>
  <c r="O209" i="3"/>
  <c r="O210" i="3"/>
  <c r="O211" i="3"/>
  <c r="O212" i="3"/>
  <c r="O213" i="3"/>
  <c r="O214" i="3"/>
  <c r="O215" i="3"/>
  <c r="O217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8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2" i="3"/>
  <c r="O333" i="3"/>
  <c r="O334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1" i="3"/>
  <c r="O353" i="3"/>
  <c r="O354" i="3"/>
  <c r="O355" i="3"/>
  <c r="O356" i="3"/>
  <c r="O358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3" i="3"/>
  <c r="O385" i="3"/>
  <c r="O386" i="3"/>
  <c r="O387" i="3"/>
  <c r="O388" i="3"/>
  <c r="O390" i="3"/>
  <c r="O392" i="3"/>
  <c r="O394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1" i="3"/>
  <c r="O412" i="3"/>
  <c r="O413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6" i="3"/>
  <c r="O1337" i="3"/>
  <c r="O1338" i="3"/>
  <c r="O1339" i="3"/>
  <c r="O1340" i="3"/>
  <c r="O1342" i="3"/>
  <c r="O1343" i="3"/>
  <c r="O1345" i="3"/>
  <c r="O1346" i="3"/>
  <c r="O1348" i="3"/>
  <c r="O1349" i="3"/>
  <c r="O1351" i="3"/>
  <c r="O1352" i="3"/>
  <c r="O1353" i="3"/>
  <c r="O1354" i="3"/>
  <c r="O1355" i="3"/>
  <c r="O1356" i="3"/>
  <c r="O1357" i="3"/>
  <c r="O1359" i="3"/>
  <c r="O1360" i="3"/>
  <c r="O1361" i="3"/>
  <c r="O1362" i="3"/>
  <c r="O1363" i="3"/>
  <c r="O1364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2" i="3"/>
  <c r="L757" i="4" l="1"/>
  <c r="N757" i="4" s="1"/>
  <c r="P782" i="4"/>
  <c r="Q782" i="4" s="1"/>
  <c r="K783" i="4"/>
  <c r="P783" i="4"/>
  <c r="P780" i="4"/>
  <c r="K780" i="4"/>
  <c r="K781" i="4"/>
  <c r="P781" i="4"/>
  <c r="AQ1457" i="3"/>
  <c r="L773" i="4"/>
  <c r="N773" i="4" s="1"/>
  <c r="X1457" i="3"/>
  <c r="Y1457" i="3" s="1"/>
  <c r="AC1457" i="3"/>
  <c r="AD1457" i="3" s="1"/>
  <c r="T1457" i="3"/>
  <c r="AH1955" i="3"/>
  <c r="AI1955" i="3" s="1"/>
  <c r="AB1944" i="3"/>
  <c r="AH1958" i="3"/>
  <c r="AI1958" i="3" s="1"/>
  <c r="P779" i="4"/>
  <c r="K779" i="4"/>
  <c r="AB1996" i="3"/>
  <c r="AH1996" i="3"/>
  <c r="AI1996" i="3" s="1"/>
  <c r="I778" i="4"/>
  <c r="AB1993" i="3"/>
  <c r="AH1993" i="3"/>
  <c r="AI1993" i="3" s="1"/>
  <c r="L775" i="4"/>
  <c r="N775" i="4" s="1"/>
  <c r="I773" i="4"/>
  <c r="K773" i="4" s="1"/>
  <c r="L776" i="4"/>
  <c r="N776" i="4" s="1"/>
  <c r="AH1961" i="3"/>
  <c r="AI1961" i="3" s="1"/>
  <c r="AB1961" i="3"/>
  <c r="K761" i="4"/>
  <c r="P761" i="4"/>
  <c r="AH1963" i="3"/>
  <c r="AI1963" i="3" s="1"/>
  <c r="AB1963" i="3"/>
  <c r="R758" i="4"/>
  <c r="Q758" i="4"/>
  <c r="P768" i="4"/>
  <c r="K768" i="4"/>
  <c r="P769" i="4"/>
  <c r="K769" i="4"/>
  <c r="I775" i="4"/>
  <c r="I765" i="4"/>
  <c r="K767" i="4"/>
  <c r="P767" i="4"/>
  <c r="K763" i="4"/>
  <c r="P763" i="4"/>
  <c r="AH1957" i="3"/>
  <c r="AI1957" i="3" s="1"/>
  <c r="AB1957" i="3"/>
  <c r="K774" i="4"/>
  <c r="P774" i="4"/>
  <c r="I776" i="4"/>
  <c r="AA1959" i="3"/>
  <c r="AB1959" i="3" s="1"/>
  <c r="Q1959" i="3"/>
  <c r="I772" i="4" s="1"/>
  <c r="K766" i="4"/>
  <c r="P766" i="4"/>
  <c r="I771" i="4"/>
  <c r="L765" i="4"/>
  <c r="N765" i="4" s="1"/>
  <c r="AH1954" i="3"/>
  <c r="AI1954" i="3" s="1"/>
  <c r="AB1954" i="3"/>
  <c r="AH1985" i="3"/>
  <c r="AI1985" i="3" s="1"/>
  <c r="AB1985" i="3"/>
  <c r="P760" i="4"/>
  <c r="K760" i="4"/>
  <c r="AH1950" i="3"/>
  <c r="AI1950" i="3" s="1"/>
  <c r="AB1950" i="3"/>
  <c r="AH1986" i="3"/>
  <c r="AI1986" i="3" s="1"/>
  <c r="AB1986" i="3"/>
  <c r="P764" i="4"/>
  <c r="K764" i="4"/>
  <c r="L762" i="4"/>
  <c r="N762" i="4" s="1"/>
  <c r="AH1962" i="3"/>
  <c r="AI1962" i="3" s="1"/>
  <c r="AB1962" i="3"/>
  <c r="I762" i="4"/>
  <c r="AH1987" i="3"/>
  <c r="AI1987" i="3" s="1"/>
  <c r="AB1987" i="3"/>
  <c r="AG1862" i="3"/>
  <c r="L746" i="4"/>
  <c r="N746" i="4" s="1"/>
  <c r="Q1908" i="3"/>
  <c r="AG1906" i="3"/>
  <c r="Q1862" i="3"/>
  <c r="AA1873" i="3"/>
  <c r="AH1873" i="3" s="1"/>
  <c r="AA1886" i="3"/>
  <c r="I756" i="4"/>
  <c r="K756" i="4" s="1"/>
  <c r="AA1890" i="3"/>
  <c r="AG1910" i="3"/>
  <c r="Q1910" i="3"/>
  <c r="AA1906" i="3"/>
  <c r="AA1910" i="3"/>
  <c r="AB1910" i="3" s="1"/>
  <c r="Q1887" i="3"/>
  <c r="AA1908" i="3"/>
  <c r="AA1885" i="3"/>
  <c r="AA1880" i="3"/>
  <c r="Q1879" i="3"/>
  <c r="AA1881" i="3"/>
  <c r="AB1881" i="3" s="1"/>
  <c r="AG1909" i="3"/>
  <c r="Q1884" i="3"/>
  <c r="Q1909" i="3"/>
  <c r="AA1875" i="3"/>
  <c r="AA1909" i="3"/>
  <c r="AH1862" i="3"/>
  <c r="AB1862" i="3"/>
  <c r="AA1884" i="3"/>
  <c r="Q1873" i="3"/>
  <c r="AG1873" i="3"/>
  <c r="Q1880" i="3"/>
  <c r="Q1875" i="3"/>
  <c r="AG1887" i="3"/>
  <c r="Q1881" i="3"/>
  <c r="AG1886" i="3"/>
  <c r="Q1886" i="3"/>
  <c r="Q1885" i="3"/>
  <c r="AG1885" i="3"/>
  <c r="Q1890" i="3"/>
  <c r="AG1884" i="3"/>
  <c r="AG1890" i="3"/>
  <c r="AA1795" i="3"/>
  <c r="AA1812" i="3"/>
  <c r="AD1879" i="3"/>
  <c r="Y1880" i="3"/>
  <c r="Y1884" i="3"/>
  <c r="Y1881" i="3"/>
  <c r="AD1881" i="3"/>
  <c r="AD1887" i="3"/>
  <c r="Y1887" i="3"/>
  <c r="AA1887" i="3"/>
  <c r="AA1879" i="3"/>
  <c r="AA1847" i="3"/>
  <c r="Y1879" i="3"/>
  <c r="AD1880" i="3"/>
  <c r="Y1885" i="3"/>
  <c r="Q1835" i="3"/>
  <c r="L750" i="4"/>
  <c r="N750" i="4" s="1"/>
  <c r="AD1885" i="3"/>
  <c r="AD1884" i="3"/>
  <c r="L751" i="4"/>
  <c r="N751" i="4" s="1"/>
  <c r="Q1795" i="3"/>
  <c r="AG1795" i="3"/>
  <c r="AG1812" i="3"/>
  <c r="AG1847" i="3"/>
  <c r="AA1850" i="3"/>
  <c r="Q1804" i="3"/>
  <c r="AA1853" i="3"/>
  <c r="AG1834" i="3"/>
  <c r="AG1841" i="3"/>
  <c r="AA1798" i="3"/>
  <c r="AA1794" i="3"/>
  <c r="AA1805" i="3"/>
  <c r="Q1805" i="3"/>
  <c r="AG1805" i="3"/>
  <c r="Q1794" i="3"/>
  <c r="AG1804" i="3"/>
  <c r="AG1798" i="3"/>
  <c r="AA1834" i="3"/>
  <c r="Q1834" i="3"/>
  <c r="Q1850" i="3"/>
  <c r="AA1804" i="3"/>
  <c r="AG1793" i="3"/>
  <c r="AA1813" i="3"/>
  <c r="Q1844" i="3"/>
  <c r="Q1793" i="3"/>
  <c r="AA1793" i="3"/>
  <c r="AG1813" i="3"/>
  <c r="AG1844" i="3"/>
  <c r="Q1853" i="3"/>
  <c r="AA1844" i="3"/>
  <c r="Q1812" i="3"/>
  <c r="AG1835" i="3"/>
  <c r="Q1863" i="3"/>
  <c r="Q1841" i="3"/>
  <c r="AA1835" i="3"/>
  <c r="AA1863" i="3"/>
  <c r="Q1813" i="3"/>
  <c r="AA1841" i="3"/>
  <c r="AG1863" i="3"/>
  <c r="Q1722" i="3"/>
  <c r="Q1686" i="3"/>
  <c r="Q1636" i="3"/>
  <c r="Q1572" i="3"/>
  <c r="Q1551" i="3"/>
  <c r="Q1533" i="3"/>
  <c r="Q1519" i="3"/>
  <c r="Q1507" i="3"/>
  <c r="Q1491" i="3"/>
  <c r="Q1424" i="3"/>
  <c r="Q1400" i="3"/>
  <c r="Q1720" i="3"/>
  <c r="Q1563" i="3"/>
  <c r="Q1549" i="3"/>
  <c r="Q1503" i="3"/>
  <c r="Q1492" i="3"/>
  <c r="Q1358" i="3"/>
  <c r="Q1698" i="3"/>
  <c r="Q1531" i="3"/>
  <c r="Q1517" i="3"/>
  <c r="Q1479" i="3"/>
  <c r="Q1384" i="3"/>
  <c r="Q1690" i="3"/>
  <c r="Q1682" i="3"/>
  <c r="Q1597" i="3"/>
  <c r="Q1627" i="3"/>
  <c r="Q1624" i="3"/>
  <c r="Q1561" i="3"/>
  <c r="Q1545" i="3"/>
  <c r="Q1505" i="3"/>
  <c r="Q1425" i="3"/>
  <c r="Q1461" i="3"/>
  <c r="Q1678" i="3"/>
  <c r="Q1670" i="3"/>
  <c r="Q1606" i="3"/>
  <c r="Q1630" i="3"/>
  <c r="Q1529" i="3"/>
  <c r="Q1509" i="3"/>
  <c r="Q1477" i="3"/>
  <c r="Q1457" i="3"/>
  <c r="Q1450" i="3"/>
  <c r="Q1651" i="3"/>
  <c r="Q1704" i="3"/>
  <c r="Q1688" i="3"/>
  <c r="Q1600" i="3"/>
  <c r="Q1562" i="3"/>
  <c r="Q1541" i="3"/>
  <c r="Q1501" i="3"/>
  <c r="Q1471" i="3"/>
  <c r="Q1456" i="3"/>
  <c r="Q1483" i="3"/>
  <c r="Q1680" i="3"/>
  <c r="Q1692" i="3"/>
  <c r="Q1642" i="3"/>
  <c r="Q1587" i="3"/>
  <c r="Q1525" i="3"/>
  <c r="Q1511" i="3"/>
  <c r="Q1405" i="3"/>
  <c r="Q1404" i="3"/>
  <c r="Q1668" i="3"/>
  <c r="Q1649" i="3"/>
  <c r="Q1609" i="3"/>
  <c r="Q1487" i="3"/>
  <c r="Q1401" i="3"/>
  <c r="Q1666" i="3"/>
  <c r="Q1639" i="3"/>
  <c r="Q1537" i="3"/>
  <c r="Q1523" i="3"/>
  <c r="Q1469" i="3"/>
  <c r="Q1453" i="3"/>
  <c r="Q1387" i="3"/>
  <c r="Q1621" i="3"/>
  <c r="Q1669" i="3"/>
  <c r="Q1633" i="3"/>
  <c r="Q1618" i="3"/>
  <c r="Q1499" i="3"/>
  <c r="Q1399" i="3"/>
  <c r="Q1390" i="3"/>
  <c r="Q1378" i="3"/>
  <c r="Q1724" i="3"/>
  <c r="Q1706" i="3"/>
  <c r="Q1612" i="3"/>
  <c r="Q1603" i="3"/>
  <c r="Q1573" i="3"/>
  <c r="Q1553" i="3"/>
  <c r="Q1535" i="3"/>
  <c r="Q1521" i="3"/>
  <c r="Q1497" i="3"/>
  <c r="Q1485" i="3"/>
  <c r="Q1455" i="3"/>
  <c r="Q1403" i="3"/>
  <c r="Q1726" i="3"/>
  <c r="AD1603" i="3"/>
  <c r="Y1603" i="3"/>
  <c r="AD1688" i="3"/>
  <c r="Y1688" i="3"/>
  <c r="AD1636" i="3"/>
  <c r="Y1636" i="3"/>
  <c r="AD1561" i="3"/>
  <c r="Y1561" i="3"/>
  <c r="AD1545" i="3"/>
  <c r="Y1545" i="3"/>
  <c r="AD1505" i="3"/>
  <c r="Y1505" i="3"/>
  <c r="Y1492" i="3"/>
  <c r="AD1492" i="3"/>
  <c r="AD1680" i="3"/>
  <c r="Y1680" i="3"/>
  <c r="AD1529" i="3"/>
  <c r="Y1529" i="3"/>
  <c r="AD1698" i="3"/>
  <c r="Y1698" i="3"/>
  <c r="Y1621" i="3"/>
  <c r="AD1621" i="3"/>
  <c r="AD1562" i="3"/>
  <c r="Y1562" i="3"/>
  <c r="Y1501" i="3"/>
  <c r="AD1501" i="3"/>
  <c r="Y1489" i="3"/>
  <c r="AD1489" i="3"/>
  <c r="Y1704" i="3"/>
  <c r="AD1704" i="3"/>
  <c r="AD1686" i="3"/>
  <c r="Y1686" i="3"/>
  <c r="AD1606" i="3"/>
  <c r="Y1606" i="3"/>
  <c r="AD1559" i="3"/>
  <c r="Y1559" i="3"/>
  <c r="AD1541" i="3"/>
  <c r="Y1541" i="3"/>
  <c r="AD1525" i="3"/>
  <c r="Y1525" i="3"/>
  <c r="AD1515" i="3"/>
  <c r="Y1515" i="3"/>
  <c r="Y1471" i="3"/>
  <c r="AD1471" i="3"/>
  <c r="Y1726" i="3"/>
  <c r="AD1726" i="3"/>
  <c r="Y1720" i="3"/>
  <c r="AD1720" i="3"/>
  <c r="AD1682" i="3"/>
  <c r="Y1682" i="3"/>
  <c r="AD1656" i="3"/>
  <c r="Y1656" i="3"/>
  <c r="Y1600" i="3"/>
  <c r="AD1600" i="3"/>
  <c r="AD1627" i="3"/>
  <c r="Y1627" i="3"/>
  <c r="AD1499" i="3"/>
  <c r="Y1499" i="3"/>
  <c r="AD1487" i="3"/>
  <c r="Y1487" i="3"/>
  <c r="AD1722" i="3"/>
  <c r="Y1722" i="3"/>
  <c r="AD1678" i="3"/>
  <c r="Y1678" i="3"/>
  <c r="Y1633" i="3"/>
  <c r="AD1633" i="3"/>
  <c r="Y1572" i="3"/>
  <c r="AD1572" i="3"/>
  <c r="AD1555" i="3"/>
  <c r="Y1555" i="3"/>
  <c r="Y1537" i="3"/>
  <c r="AD1537" i="3"/>
  <c r="AD1523" i="3"/>
  <c r="Y1523" i="3"/>
  <c r="AD1511" i="3"/>
  <c r="Y1511" i="3"/>
  <c r="AD1485" i="3"/>
  <c r="Y1485" i="3"/>
  <c r="AD1674" i="3"/>
  <c r="Y1674" i="3"/>
  <c r="AD1724" i="3"/>
  <c r="Y1724" i="3"/>
  <c r="AD1668" i="3"/>
  <c r="Y1668" i="3"/>
  <c r="AD1692" i="3"/>
  <c r="Y1692" i="3"/>
  <c r="AD1573" i="3"/>
  <c r="Y1573" i="3"/>
  <c r="AD1553" i="3"/>
  <c r="Y1553" i="3"/>
  <c r="AD1535" i="3"/>
  <c r="Y1535" i="3"/>
  <c r="AD1521" i="3"/>
  <c r="Y1521" i="3"/>
  <c r="AD1509" i="3"/>
  <c r="Y1509" i="3"/>
  <c r="AD1497" i="3"/>
  <c r="Y1497" i="3"/>
  <c r="AD1479" i="3"/>
  <c r="Y1479" i="3"/>
  <c r="AD1670" i="3"/>
  <c r="Y1670" i="3"/>
  <c r="Y1618" i="3"/>
  <c r="AD1618" i="3"/>
  <c r="AD1483" i="3"/>
  <c r="Y1483" i="3"/>
  <c r="AD1706" i="3"/>
  <c r="Y1706" i="3"/>
  <c r="AD1630" i="3"/>
  <c r="Y1630" i="3"/>
  <c r="AD1533" i="3"/>
  <c r="Y1533" i="3"/>
  <c r="AD1519" i="3"/>
  <c r="Y1519" i="3"/>
  <c r="Y1461" i="3"/>
  <c r="AD1461" i="3"/>
  <c r="Y1624" i="3"/>
  <c r="AD1624" i="3"/>
  <c r="AD1563" i="3"/>
  <c r="Y1563" i="3"/>
  <c r="Y1549" i="3"/>
  <c r="AD1549" i="3"/>
  <c r="AD1503" i="3"/>
  <c r="Y1503" i="3"/>
  <c r="AD1491" i="3"/>
  <c r="Y1491" i="3"/>
  <c r="AD1531" i="3"/>
  <c r="Y1531" i="3"/>
  <c r="AD1517" i="3"/>
  <c r="Y1517" i="3"/>
  <c r="AD1477" i="3"/>
  <c r="Y1477" i="3"/>
  <c r="AD1455" i="3"/>
  <c r="Y1455" i="3"/>
  <c r="L651" i="4"/>
  <c r="N651" i="4" s="1"/>
  <c r="Q1752" i="3"/>
  <c r="Q1754" i="3"/>
  <c r="Q1750" i="3"/>
  <c r="Y1759" i="3"/>
  <c r="AD1759" i="3"/>
  <c r="L719" i="4"/>
  <c r="N719" i="4" s="1"/>
  <c r="Y1752" i="3"/>
  <c r="AD1752" i="3"/>
  <c r="L723" i="4"/>
  <c r="N723" i="4" s="1"/>
  <c r="Y1772" i="3"/>
  <c r="AD1772" i="3"/>
  <c r="Y1387" i="3"/>
  <c r="AD1387" i="3"/>
  <c r="L726" i="4"/>
  <c r="N726" i="4" s="1"/>
  <c r="AD1785" i="3"/>
  <c r="Y1785" i="3"/>
  <c r="Y1790" i="3"/>
  <c r="AD1790" i="3"/>
  <c r="Q1790" i="3"/>
  <c r="Q1772" i="3"/>
  <c r="Q1781" i="3"/>
  <c r="Q1759" i="3"/>
  <c r="Q1764" i="3"/>
  <c r="Q1789" i="3"/>
  <c r="L716" i="4"/>
  <c r="N716" i="4" s="1"/>
  <c r="Q1785" i="3"/>
  <c r="Q1763" i="3"/>
  <c r="AD1763" i="3"/>
  <c r="L720" i="4"/>
  <c r="N720" i="4" s="1"/>
  <c r="Y1794" i="3"/>
  <c r="AD1794" i="3"/>
  <c r="Y1795" i="3"/>
  <c r="AD1795" i="3"/>
  <c r="Y1793" i="3"/>
  <c r="AD1793" i="3"/>
  <c r="AD1762" i="3"/>
  <c r="Y1762" i="3"/>
  <c r="Y1812" i="3"/>
  <c r="AD1812" i="3"/>
  <c r="L735" i="4"/>
  <c r="N735" i="4" s="1"/>
  <c r="Y1789" i="3"/>
  <c r="AD1789" i="3"/>
  <c r="AD1835" i="3"/>
  <c r="Y1835" i="3"/>
  <c r="Y1834" i="3"/>
  <c r="AD1834" i="3"/>
  <c r="Y1841" i="3"/>
  <c r="AD1841" i="3"/>
  <c r="L740" i="4"/>
  <c r="N740" i="4" s="1"/>
  <c r="AD1813" i="3"/>
  <c r="Y1847" i="3"/>
  <c r="AD1847" i="3"/>
  <c r="L742" i="4"/>
  <c r="N742" i="4" s="1"/>
  <c r="Y1850" i="3"/>
  <c r="AD1850" i="3"/>
  <c r="L743" i="4"/>
  <c r="N743" i="4" s="1"/>
  <c r="Y1813" i="3"/>
  <c r="Q1798" i="3"/>
  <c r="AG1794" i="3"/>
  <c r="Y1763" i="3"/>
  <c r="L738" i="4"/>
  <c r="N738" i="4" s="1"/>
  <c r="L727" i="4"/>
  <c r="N727" i="4" s="1"/>
  <c r="L728" i="4"/>
  <c r="N728" i="4" s="1"/>
  <c r="AG1762" i="3"/>
  <c r="Q1762" i="3"/>
  <c r="AA1762" i="3"/>
  <c r="AA1763" i="3"/>
  <c r="AG1785" i="3"/>
  <c r="AA1785" i="3"/>
  <c r="AA1772" i="3"/>
  <c r="AA1781" i="3"/>
  <c r="AA1759" i="3"/>
  <c r="AA1764" i="3"/>
  <c r="AA1789" i="3"/>
  <c r="AG1764" i="3"/>
  <c r="AG1763" i="3"/>
  <c r="AG1759" i="3"/>
  <c r="AG1781" i="3"/>
  <c r="AG1772" i="3"/>
  <c r="AA1790" i="3"/>
  <c r="X1469" i="3"/>
  <c r="P565" i="4"/>
  <c r="K565" i="4"/>
  <c r="P566" i="4"/>
  <c r="K566" i="4"/>
  <c r="P559" i="4"/>
  <c r="R559" i="4" s="1"/>
  <c r="K559" i="4"/>
  <c r="P569" i="4"/>
  <c r="K569" i="4"/>
  <c r="P568" i="4"/>
  <c r="K568" i="4"/>
  <c r="P558" i="4"/>
  <c r="K558" i="4"/>
  <c r="K567" i="4"/>
  <c r="P567" i="4"/>
  <c r="P562" i="4"/>
  <c r="K562" i="4"/>
  <c r="P563" i="4"/>
  <c r="K563" i="4"/>
  <c r="AA1752" i="3"/>
  <c r="AG1752" i="3"/>
  <c r="AG1754" i="3"/>
  <c r="AA1561" i="3"/>
  <c r="AA1509" i="3"/>
  <c r="AA1501" i="3"/>
  <c r="AA1555" i="3"/>
  <c r="AA1545" i="3"/>
  <c r="AA1477" i="3"/>
  <c r="AA1489" i="3"/>
  <c r="AA1537" i="3"/>
  <c r="AA1497" i="3"/>
  <c r="AA1698" i="3"/>
  <c r="AA1505" i="3"/>
  <c r="AA1457" i="3"/>
  <c r="AA1471" i="3"/>
  <c r="AA1523" i="3"/>
  <c r="AA1485" i="3"/>
  <c r="AA1754" i="3"/>
  <c r="AA1722" i="3"/>
  <c r="AA1720" i="3"/>
  <c r="AA1531" i="3"/>
  <c r="AA1425" i="3"/>
  <c r="AA1668" i="3"/>
  <c r="AA1455" i="3"/>
  <c r="AA1686" i="3"/>
  <c r="AA1563" i="3"/>
  <c r="AA1517" i="3"/>
  <c r="AA1461" i="3"/>
  <c r="AA1649" i="3"/>
  <c r="AA1636" i="3"/>
  <c r="AA1549" i="3"/>
  <c r="AA1479" i="3"/>
  <c r="AA1450" i="3"/>
  <c r="AA1483" i="3"/>
  <c r="AA1609" i="3"/>
  <c r="AA1724" i="3"/>
  <c r="AG1750" i="3"/>
  <c r="AA1572" i="3"/>
  <c r="AA1503" i="3"/>
  <c r="AA1674" i="3"/>
  <c r="AA1651" i="3"/>
  <c r="AA1680" i="3"/>
  <c r="AA1487" i="3"/>
  <c r="AA1706" i="3"/>
  <c r="AA1726" i="3"/>
  <c r="AA1551" i="3"/>
  <c r="AA1492" i="3"/>
  <c r="AA1690" i="3"/>
  <c r="AA1678" i="3"/>
  <c r="AA1704" i="3"/>
  <c r="AA1692" i="3"/>
  <c r="AA1621" i="3"/>
  <c r="AA1612" i="3"/>
  <c r="AA1750" i="3"/>
  <c r="AA1533" i="3"/>
  <c r="AA1682" i="3"/>
  <c r="AA1670" i="3"/>
  <c r="AA1688" i="3"/>
  <c r="AA1642" i="3"/>
  <c r="AA1669" i="3"/>
  <c r="AA1603" i="3"/>
  <c r="N1515" i="3"/>
  <c r="AA1519" i="3"/>
  <c r="AA1597" i="3"/>
  <c r="AA1606" i="3"/>
  <c r="AA1600" i="3"/>
  <c r="AA1587" i="3"/>
  <c r="AA1633" i="3"/>
  <c r="AA1573" i="3"/>
  <c r="AA1507" i="3"/>
  <c r="AA1627" i="3"/>
  <c r="AA1630" i="3"/>
  <c r="AA1562" i="3"/>
  <c r="AA1525" i="3"/>
  <c r="AA1666" i="3"/>
  <c r="AA1618" i="3"/>
  <c r="AA1553" i="3"/>
  <c r="AA1491" i="3"/>
  <c r="AA1624" i="3"/>
  <c r="AA1529" i="3"/>
  <c r="AA1541" i="3"/>
  <c r="AA1511" i="3"/>
  <c r="AA1639" i="3"/>
  <c r="AA1499" i="3"/>
  <c r="AA1535" i="3"/>
  <c r="AQ1469" i="3"/>
  <c r="T1469" i="3"/>
  <c r="S1469" i="3"/>
  <c r="AC1469" i="3"/>
  <c r="AG1455" i="3"/>
  <c r="X1642" i="3"/>
  <c r="AC1642" i="3"/>
  <c r="AC1639" i="3"/>
  <c r="X1639" i="3"/>
  <c r="AA1456" i="3"/>
  <c r="AA1469" i="3"/>
  <c r="AA1521" i="3"/>
  <c r="AA1399" i="3"/>
  <c r="AA1378" i="3"/>
  <c r="AA1401" i="3"/>
  <c r="AA1424" i="3"/>
  <c r="AA1405" i="3"/>
  <c r="AA1453" i="3"/>
  <c r="AA1384" i="3"/>
  <c r="AA1404" i="3"/>
  <c r="AA1387" i="3"/>
  <c r="AA1400" i="3"/>
  <c r="AG1680" i="3"/>
  <c r="AG1706" i="3"/>
  <c r="AA1403" i="3"/>
  <c r="AG1674" i="3"/>
  <c r="AG1651" i="3"/>
  <c r="W23" i="3"/>
  <c r="W1215" i="3"/>
  <c r="W1211" i="3"/>
  <c r="X1203" i="3"/>
  <c r="W1199" i="3"/>
  <c r="X1197" i="3"/>
  <c r="AQ1195" i="3"/>
  <c r="AC1191" i="3"/>
  <c r="AQ1187" i="3"/>
  <c r="AC1185" i="3"/>
  <c r="AQ1181" i="3"/>
  <c r="W1175" i="3"/>
  <c r="X1173" i="3"/>
  <c r="AC1164" i="3"/>
  <c r="W1162" i="3"/>
  <c r="W1160" i="3"/>
  <c r="W1148" i="3"/>
  <c r="W1147" i="3"/>
  <c r="AQ1135" i="3"/>
  <c r="X1134" i="3"/>
  <c r="AQ1133" i="3"/>
  <c r="AQ1132" i="3"/>
  <c r="AQ1113" i="3"/>
  <c r="AQ1099" i="3"/>
  <c r="X1097" i="3"/>
  <c r="W1093" i="3"/>
  <c r="W1087" i="3"/>
  <c r="AQ1085" i="3"/>
  <c r="AC1083" i="3"/>
  <c r="W1077" i="3"/>
  <c r="AC1073" i="3"/>
  <c r="AC1071" i="3"/>
  <c r="AC1069" i="3"/>
  <c r="AQ1065" i="3"/>
  <c r="W1063" i="3"/>
  <c r="W1062" i="3"/>
  <c r="W1061" i="3"/>
  <c r="W1060" i="3"/>
  <c r="W1059" i="3"/>
  <c r="AC1057" i="3"/>
  <c r="X1056" i="3"/>
  <c r="AQ1054" i="3"/>
  <c r="W1051" i="3"/>
  <c r="W1049" i="3"/>
  <c r="W1047" i="3"/>
  <c r="AC1043" i="3"/>
  <c r="W1039" i="3"/>
  <c r="AC1035" i="3"/>
  <c r="AC1031" i="3"/>
  <c r="AQ1029" i="3"/>
  <c r="W1027" i="3"/>
  <c r="AC1023" i="3"/>
  <c r="W1019" i="3"/>
  <c r="W1017" i="3"/>
  <c r="AC1015" i="3"/>
  <c r="AC1007" i="3"/>
  <c r="W1003" i="3"/>
  <c r="AC999" i="3"/>
  <c r="W991" i="3"/>
  <c r="W987" i="3"/>
  <c r="AC983" i="3"/>
  <c r="W977" i="3"/>
  <c r="W975" i="3"/>
  <c r="AC971" i="3"/>
  <c r="AQ967" i="3"/>
  <c r="AC963" i="3"/>
  <c r="W959" i="3"/>
  <c r="AC951" i="3"/>
  <c r="AC947" i="3"/>
  <c r="X943" i="3"/>
  <c r="AC939" i="3"/>
  <c r="W935" i="3"/>
  <c r="AC931" i="3"/>
  <c r="AC927" i="3"/>
  <c r="AC923" i="3"/>
  <c r="AC919" i="3"/>
  <c r="AC915" i="3"/>
  <c r="AC911" i="3"/>
  <c r="W907" i="3"/>
  <c r="X903" i="3"/>
  <c r="AC899" i="3"/>
  <c r="AC887" i="3"/>
  <c r="W883" i="3"/>
  <c r="W881" i="3"/>
  <c r="AC879" i="3"/>
  <c r="AC877" i="3"/>
  <c r="X875" i="3"/>
  <c r="W867" i="3"/>
  <c r="W865" i="3"/>
  <c r="W863" i="3"/>
  <c r="W855" i="3"/>
  <c r="AC851" i="3"/>
  <c r="AC847" i="3"/>
  <c r="X843" i="3"/>
  <c r="AC839" i="3"/>
  <c r="AQ835" i="3"/>
  <c r="X833" i="3"/>
  <c r="X831" i="3"/>
  <c r="AC823" i="3"/>
  <c r="AC821" i="3"/>
  <c r="W819" i="3"/>
  <c r="W815" i="3"/>
  <c r="W814" i="3"/>
  <c r="W811" i="3"/>
  <c r="W810" i="3"/>
  <c r="W807" i="3"/>
  <c r="W806" i="3"/>
  <c r="W805" i="3"/>
  <c r="W803" i="3"/>
  <c r="W802" i="3"/>
  <c r="W801" i="3"/>
  <c r="W799" i="3"/>
  <c r="X795" i="3"/>
  <c r="AQ791" i="3"/>
  <c r="AC787" i="3"/>
  <c r="W783" i="3"/>
  <c r="X779" i="3"/>
  <c r="AC775" i="3"/>
  <c r="X771" i="3"/>
  <c r="AC767" i="3"/>
  <c r="AQ765" i="3"/>
  <c r="AQ761" i="3"/>
  <c r="W757" i="3"/>
  <c r="W755" i="3"/>
  <c r="AQ753" i="3"/>
  <c r="AC749" i="3"/>
  <c r="AC745" i="3"/>
  <c r="W741" i="3"/>
  <c r="W737" i="3"/>
  <c r="AC733" i="3"/>
  <c r="AQ729" i="3"/>
  <c r="AC725" i="3"/>
  <c r="AC721" i="3"/>
  <c r="AC717" i="3"/>
  <c r="AC713" i="3"/>
  <c r="AQ709" i="3"/>
  <c r="AC703" i="3"/>
  <c r="X701" i="3"/>
  <c r="AC697" i="3"/>
  <c r="W693" i="3"/>
  <c r="W689" i="3"/>
  <c r="AC685" i="3"/>
  <c r="W683" i="3"/>
  <c r="W681" i="3"/>
  <c r="W673" i="3"/>
  <c r="W671" i="3"/>
  <c r="AQ669" i="3"/>
  <c r="AQ665" i="3"/>
  <c r="W659" i="3"/>
  <c r="AC657" i="3"/>
  <c r="W655" i="3"/>
  <c r="AC653" i="3"/>
  <c r="W645" i="3"/>
  <c r="X641" i="3"/>
  <c r="AC637" i="3"/>
  <c r="AC629" i="3"/>
  <c r="W627" i="3"/>
  <c r="W625" i="3"/>
  <c r="W621" i="3"/>
  <c r="W617" i="3"/>
  <c r="AQ613" i="3"/>
  <c r="AC611" i="3"/>
  <c r="W609" i="3"/>
  <c r="X607" i="3"/>
  <c r="X603" i="3"/>
  <c r="AC601" i="3"/>
  <c r="AC599" i="3"/>
  <c r="W597" i="3"/>
  <c r="X593" i="3"/>
  <c r="W587" i="3"/>
  <c r="AC585" i="3"/>
  <c r="W581" i="3"/>
  <c r="W577" i="3"/>
  <c r="AC575" i="3"/>
  <c r="W571" i="3"/>
  <c r="W569" i="3"/>
  <c r="W567" i="3"/>
  <c r="W563" i="3"/>
  <c r="X559" i="3"/>
  <c r="X557" i="3"/>
  <c r="X555" i="3"/>
  <c r="X551" i="3"/>
  <c r="AC541" i="3"/>
  <c r="X537" i="3"/>
  <c r="AC533" i="3"/>
  <c r="W529" i="3"/>
  <c r="X525" i="3"/>
  <c r="AC521" i="3"/>
  <c r="X519" i="3"/>
  <c r="W513" i="3"/>
  <c r="X509" i="3"/>
  <c r="W505" i="3"/>
  <c r="W503" i="3"/>
  <c r="AC501" i="3"/>
  <c r="AC497" i="3"/>
  <c r="AC493" i="3"/>
  <c r="W489" i="3"/>
  <c r="X485" i="3"/>
  <c r="W481" i="3"/>
  <c r="AQ477" i="3"/>
  <c r="X473" i="3"/>
  <c r="W469" i="3"/>
  <c r="AQ465" i="3"/>
  <c r="W461" i="3"/>
  <c r="W459" i="3"/>
  <c r="X457" i="3"/>
  <c r="W453" i="3"/>
  <c r="W449" i="3"/>
  <c r="W447" i="3"/>
  <c r="W443" i="3"/>
  <c r="W439" i="3"/>
  <c r="X435" i="3"/>
  <c r="W433" i="3"/>
  <c r="W429" i="3"/>
  <c r="W423" i="3"/>
  <c r="AQ417" i="3"/>
  <c r="X412" i="3"/>
  <c r="AC408" i="3"/>
  <c r="AC402" i="3"/>
  <c r="W396" i="3"/>
  <c r="W385" i="3"/>
  <c r="X381" i="3"/>
  <c r="W375" i="3"/>
  <c r="W372" i="3"/>
  <c r="AC369" i="3"/>
  <c r="W366" i="3"/>
  <c r="W363" i="3"/>
  <c r="X356" i="3"/>
  <c r="W346" i="3"/>
  <c r="W345" i="3"/>
  <c r="W344" i="3"/>
  <c r="AC329" i="3"/>
  <c r="AQ326" i="3"/>
  <c r="AC323" i="3"/>
  <c r="X317" i="3"/>
  <c r="AC314" i="3"/>
  <c r="AQ309" i="3"/>
  <c r="AC308" i="3"/>
  <c r="X307" i="3"/>
  <c r="X306" i="3"/>
  <c r="AC305" i="3"/>
  <c r="AC304" i="3"/>
  <c r="X303" i="3"/>
  <c r="AQ302" i="3"/>
  <c r="AQ293" i="3"/>
  <c r="AC292" i="3"/>
  <c r="AC291" i="3"/>
  <c r="AC290" i="3"/>
  <c r="AC286" i="3"/>
  <c r="AC283" i="3"/>
  <c r="X280" i="3"/>
  <c r="AC274" i="3"/>
  <c r="AQ271" i="3"/>
  <c r="AQ268" i="3"/>
  <c r="X264" i="3"/>
  <c r="AQ261" i="3"/>
  <c r="AQ252" i="3"/>
  <c r="AC249" i="3"/>
  <c r="AQ247" i="3"/>
  <c r="AQ243" i="3"/>
  <c r="AQ242" i="3"/>
  <c r="AC238" i="3"/>
  <c r="AC235" i="3"/>
  <c r="AC232" i="3"/>
  <c r="AC229" i="3"/>
  <c r="AQ228" i="3"/>
  <c r="AC226" i="3"/>
  <c r="AQ225" i="3"/>
  <c r="AC224" i="3"/>
  <c r="AQ223" i="3"/>
  <c r="AQ219" i="3"/>
  <c r="AC212" i="3"/>
  <c r="AC205" i="3"/>
  <c r="AC204" i="3"/>
  <c r="X202" i="3"/>
  <c r="AC201" i="3"/>
  <c r="AC200" i="3"/>
  <c r="X198" i="3"/>
  <c r="X194" i="3"/>
  <c r="W181" i="3"/>
  <c r="AC175" i="3"/>
  <c r="AQ171" i="3"/>
  <c r="X158" i="3"/>
  <c r="X153" i="3"/>
  <c r="AQ147" i="3"/>
  <c r="AC143" i="3"/>
  <c r="X142" i="3"/>
  <c r="X141" i="3"/>
  <c r="AQ139" i="3"/>
  <c r="X138" i="3"/>
  <c r="X137" i="3"/>
  <c r="W134" i="3"/>
  <c r="AC131" i="3"/>
  <c r="AC125" i="3"/>
  <c r="AC122" i="3"/>
  <c r="W119" i="3"/>
  <c r="W118" i="3"/>
  <c r="W117" i="3"/>
  <c r="X113" i="3"/>
  <c r="W108" i="3"/>
  <c r="W107" i="3"/>
  <c r="W106" i="3"/>
  <c r="W103" i="3"/>
  <c r="W102" i="3"/>
  <c r="X99" i="3"/>
  <c r="AC97" i="3"/>
  <c r="AQ96" i="3"/>
  <c r="AC93" i="3"/>
  <c r="AQ91" i="3"/>
  <c r="W88" i="3"/>
  <c r="AC85" i="3"/>
  <c r="X79" i="3"/>
  <c r="X78" i="3"/>
  <c r="X77" i="3"/>
  <c r="X74" i="3"/>
  <c r="AC73" i="3"/>
  <c r="AQ70" i="3"/>
  <c r="AC66" i="3"/>
  <c r="AC65" i="3"/>
  <c r="AQ62" i="3"/>
  <c r="AC59" i="3"/>
  <c r="W53" i="3"/>
  <c r="X48" i="3"/>
  <c r="AC46" i="3"/>
  <c r="AC45" i="3"/>
  <c r="AC42" i="3"/>
  <c r="X39" i="3"/>
  <c r="AQ38" i="3"/>
  <c r="AC35" i="3"/>
  <c r="X33" i="3"/>
  <c r="AC31" i="3"/>
  <c r="X30" i="3"/>
  <c r="X29" i="3"/>
  <c r="W26" i="3"/>
  <c r="W25" i="3"/>
  <c r="W24" i="3"/>
  <c r="X20" i="3"/>
  <c r="AC16" i="3"/>
  <c r="X15" i="3"/>
  <c r="AQ12" i="3"/>
  <c r="X5" i="3"/>
  <c r="L557" i="4"/>
  <c r="N557" i="4" s="1"/>
  <c r="L583" i="4"/>
  <c r="L586" i="4"/>
  <c r="L591" i="4"/>
  <c r="N591" i="4" s="1"/>
  <c r="L594" i="4"/>
  <c r="N594" i="4" s="1"/>
  <c r="L595" i="4"/>
  <c r="N595" i="4" s="1"/>
  <c r="L597" i="4"/>
  <c r="N597" i="4" s="1"/>
  <c r="L598" i="4"/>
  <c r="N598" i="4" s="1"/>
  <c r="L599" i="4"/>
  <c r="L600" i="4"/>
  <c r="N600" i="4" s="1"/>
  <c r="L603" i="4"/>
  <c r="L604" i="4"/>
  <c r="L605" i="4"/>
  <c r="L607" i="4"/>
  <c r="N607" i="4" s="1"/>
  <c r="L606" i="4"/>
  <c r="L609" i="4"/>
  <c r="N609" i="4" s="1"/>
  <c r="L610" i="4"/>
  <c r="N610" i="4" s="1"/>
  <c r="L612" i="4"/>
  <c r="N612" i="4" s="1"/>
  <c r="L613" i="4"/>
  <c r="N613" i="4" s="1"/>
  <c r="L614" i="4"/>
  <c r="L615" i="4"/>
  <c r="N615" i="4" s="1"/>
  <c r="L616" i="4"/>
  <c r="L617" i="4"/>
  <c r="N617" i="4" s="1"/>
  <c r="L619" i="4"/>
  <c r="L620" i="4"/>
  <c r="L621" i="4"/>
  <c r="N621" i="4" s="1"/>
  <c r="L622" i="4"/>
  <c r="N622" i="4" s="1"/>
  <c r="L623" i="4"/>
  <c r="L625" i="4"/>
  <c r="N625" i="4" s="1"/>
  <c r="L627" i="4"/>
  <c r="N627" i="4" s="1"/>
  <c r="L629" i="4"/>
  <c r="N629" i="4" s="1"/>
  <c r="L631" i="4"/>
  <c r="N631" i="4" s="1"/>
  <c r="L632" i="4"/>
  <c r="N632" i="4" s="1"/>
  <c r="L634" i="4"/>
  <c r="N634" i="4" s="1"/>
  <c r="L652" i="4"/>
  <c r="N652" i="4" s="1"/>
  <c r="L658" i="4"/>
  <c r="N658" i="4" s="1"/>
  <c r="L650" i="4"/>
  <c r="N650" i="4" s="1"/>
  <c r="L661" i="4"/>
  <c r="N661" i="4" s="1"/>
  <c r="L659" i="4"/>
  <c r="N659" i="4" s="1"/>
  <c r="L660" i="4"/>
  <c r="N660" i="4" s="1"/>
  <c r="L657" i="4"/>
  <c r="N657" i="4" s="1"/>
  <c r="L662" i="4"/>
  <c r="N662" i="4" s="1"/>
  <c r="L656" i="4"/>
  <c r="N656" i="4" s="1"/>
  <c r="Y1384" i="3"/>
  <c r="AD1384" i="3"/>
  <c r="Y1424" i="3"/>
  <c r="AD1424" i="3"/>
  <c r="AD1425" i="3"/>
  <c r="Y1425" i="3"/>
  <c r="AD1401" i="3"/>
  <c r="Y1401" i="3"/>
  <c r="Y1404" i="3"/>
  <c r="AD1404" i="3"/>
  <c r="AD1400" i="3"/>
  <c r="Y1400" i="3"/>
  <c r="Y1390" i="3"/>
  <c r="AD1390" i="3"/>
  <c r="AD1453" i="3"/>
  <c r="Y1453" i="3"/>
  <c r="AD1405" i="3"/>
  <c r="Y1405" i="3"/>
  <c r="L690" i="4"/>
  <c r="N690" i="4" s="1"/>
  <c r="L693" i="4"/>
  <c r="N693" i="4" s="1"/>
  <c r="L687" i="4"/>
  <c r="N687" i="4" s="1"/>
  <c r="L669" i="4"/>
  <c r="N669" i="4" s="1"/>
  <c r="L680" i="4"/>
  <c r="N680" i="4" s="1"/>
  <c r="L684" i="4"/>
  <c r="N684" i="4" s="1"/>
  <c r="L682" i="4"/>
  <c r="N682" i="4" s="1"/>
  <c r="L677" i="4"/>
  <c r="N677" i="4" s="1"/>
  <c r="L694" i="4"/>
  <c r="N694" i="4" s="1"/>
  <c r="L704" i="4"/>
  <c r="N704" i="4" s="1"/>
  <c r="L703" i="4"/>
  <c r="N703" i="4" s="1"/>
  <c r="L702" i="4"/>
  <c r="N702" i="4" s="1"/>
  <c r="L701" i="4"/>
  <c r="N701" i="4" s="1"/>
  <c r="L681" i="4"/>
  <c r="L685" i="4"/>
  <c r="N685" i="4" s="1"/>
  <c r="AA1411" i="3"/>
  <c r="AA1390" i="3"/>
  <c r="N1559" i="3"/>
  <c r="AG1411" i="3"/>
  <c r="AG1698" i="3"/>
  <c r="AG1682" i="3"/>
  <c r="AG1505" i="3"/>
  <c r="AG1670" i="3"/>
  <c r="AG1457" i="3"/>
  <c r="AG1688" i="3"/>
  <c r="AG1489" i="3"/>
  <c r="AG1692" i="3"/>
  <c r="AG1405" i="3"/>
  <c r="AG1401" i="3"/>
  <c r="AG1537" i="3"/>
  <c r="AG1621" i="3"/>
  <c r="AG1390" i="3"/>
  <c r="AG1612" i="3"/>
  <c r="AG1497" i="3"/>
  <c r="AG1722" i="3"/>
  <c r="AG1720" i="3"/>
  <c r="AG1358" i="3"/>
  <c r="AG1531" i="3"/>
  <c r="AG1597" i="3"/>
  <c r="AG1425" i="3"/>
  <c r="AG1606" i="3"/>
  <c r="AG1600" i="3"/>
  <c r="AG1642" i="3"/>
  <c r="AG1404" i="3"/>
  <c r="AG1523" i="3"/>
  <c r="AG1669" i="3"/>
  <c r="AG1603" i="3"/>
  <c r="AG1485" i="3"/>
  <c r="AG1686" i="3"/>
  <c r="AG1507" i="3"/>
  <c r="AG1563" i="3"/>
  <c r="AG1517" i="3"/>
  <c r="AG1627" i="3"/>
  <c r="AG1461" i="3"/>
  <c r="AG1562" i="3"/>
  <c r="AG1456" i="3"/>
  <c r="AG1587" i="3"/>
  <c r="AG1668" i="3"/>
  <c r="AG1469" i="3"/>
  <c r="AG1633" i="3"/>
  <c r="AG1573" i="3"/>
  <c r="AG1519" i="3"/>
  <c r="AG1636" i="3"/>
  <c r="AG1491" i="3"/>
  <c r="AG1549" i="3"/>
  <c r="AG1479" i="3"/>
  <c r="AG1529" i="3"/>
  <c r="AG1450" i="3"/>
  <c r="AG1541" i="3"/>
  <c r="AG1525" i="3"/>
  <c r="AG1666" i="3"/>
  <c r="AG1453" i="3"/>
  <c r="AG1618" i="3"/>
  <c r="AG1378" i="3"/>
  <c r="AG1553" i="3"/>
  <c r="AG1572" i="3"/>
  <c r="AG1424" i="3"/>
  <c r="AG1503" i="3"/>
  <c r="AG1561" i="3"/>
  <c r="AG1509" i="3"/>
  <c r="AG1511" i="3"/>
  <c r="AG1639" i="3"/>
  <c r="AG1499" i="3"/>
  <c r="AG1724" i="3"/>
  <c r="AG1535" i="3"/>
  <c r="AG1403" i="3"/>
  <c r="N1656" i="3"/>
  <c r="AG1551" i="3"/>
  <c r="AG1400" i="3"/>
  <c r="AG1492" i="3"/>
  <c r="AG1690" i="3"/>
  <c r="AG1545" i="3"/>
  <c r="AG1678" i="3"/>
  <c r="AG1477" i="3"/>
  <c r="AG1704" i="3"/>
  <c r="AG1501" i="3"/>
  <c r="AG1487" i="3"/>
  <c r="AG1555" i="3"/>
  <c r="AG1399" i="3"/>
  <c r="AG1521" i="3"/>
  <c r="AG1726" i="3"/>
  <c r="W116" i="3"/>
  <c r="X116" i="3"/>
  <c r="AQ116" i="3"/>
  <c r="AC116" i="3"/>
  <c r="W104" i="3"/>
  <c r="X104" i="3"/>
  <c r="AQ104" i="3"/>
  <c r="AC104" i="3"/>
  <c r="X92" i="3"/>
  <c r="AC92" i="3"/>
  <c r="AQ92" i="3"/>
  <c r="X80" i="3"/>
  <c r="AC80" i="3"/>
  <c r="AQ80" i="3"/>
  <c r="X68" i="3"/>
  <c r="AQ68" i="3"/>
  <c r="AC68" i="3"/>
  <c r="X56" i="3"/>
  <c r="AC56" i="3"/>
  <c r="AQ56" i="3"/>
  <c r="X44" i="3"/>
  <c r="AC44" i="3"/>
  <c r="AQ44" i="3"/>
  <c r="X32" i="3"/>
  <c r="AC32" i="3"/>
  <c r="AQ32" i="3"/>
  <c r="AQ19" i="3"/>
  <c r="AC19" i="3"/>
  <c r="X19" i="3"/>
  <c r="X6" i="3"/>
  <c r="AQ6" i="3"/>
  <c r="AC6" i="3"/>
  <c r="W1373" i="3"/>
  <c r="AC1373" i="3"/>
  <c r="X1373" i="3"/>
  <c r="AQ1373" i="3"/>
  <c r="W1329" i="3"/>
  <c r="AQ1329" i="3"/>
  <c r="AC1329" i="3"/>
  <c r="X1329" i="3"/>
  <c r="W1303" i="3"/>
  <c r="AQ1303" i="3"/>
  <c r="AC1303" i="3"/>
  <c r="X1303" i="3"/>
  <c r="AQ1290" i="3"/>
  <c r="AC1290" i="3"/>
  <c r="X1290" i="3"/>
  <c r="W1248" i="3"/>
  <c r="AC1248" i="3"/>
  <c r="AQ1248" i="3"/>
  <c r="X1248" i="3"/>
  <c r="W1218" i="3"/>
  <c r="AC1218" i="3"/>
  <c r="X1218" i="3"/>
  <c r="AQ1218" i="3"/>
  <c r="AQ1137" i="3"/>
  <c r="AC1137" i="3"/>
  <c r="X1137" i="3"/>
  <c r="W1095" i="3"/>
  <c r="X1095" i="3"/>
  <c r="AC1095" i="3"/>
  <c r="AQ1095" i="3"/>
  <c r="W1026" i="3"/>
  <c r="AC1026" i="3"/>
  <c r="X1026" i="3"/>
  <c r="AQ1026" i="3"/>
  <c r="AC1011" i="3"/>
  <c r="X1011" i="3"/>
  <c r="AQ1011" i="3"/>
  <c r="AC950" i="3"/>
  <c r="X950" i="3"/>
  <c r="AQ950" i="3"/>
  <c r="AC902" i="3"/>
  <c r="X902" i="3"/>
  <c r="AQ902" i="3"/>
  <c r="W784" i="3"/>
  <c r="AC784" i="3"/>
  <c r="X784" i="3"/>
  <c r="AQ784" i="3"/>
  <c r="AQ754" i="3"/>
  <c r="X754" i="3"/>
  <c r="AC754" i="3"/>
  <c r="X663" i="3"/>
  <c r="AQ663" i="3"/>
  <c r="AC663" i="3"/>
  <c r="AQ633" i="3"/>
  <c r="AC633" i="3"/>
  <c r="X633" i="3"/>
  <c r="W618" i="3"/>
  <c r="AC618" i="3"/>
  <c r="X618" i="3"/>
  <c r="AQ618" i="3"/>
  <c r="AC576" i="3"/>
  <c r="X576" i="3"/>
  <c r="AQ576" i="3"/>
  <c r="W517" i="3"/>
  <c r="AQ517" i="3"/>
  <c r="AC517" i="3"/>
  <c r="X517" i="3"/>
  <c r="X486" i="3"/>
  <c r="AQ486" i="3"/>
  <c r="AC486" i="3"/>
  <c r="W456" i="3"/>
  <c r="X456" i="3"/>
  <c r="AC456" i="3"/>
  <c r="AQ456" i="3"/>
  <c r="W442" i="3"/>
  <c r="X442" i="3"/>
  <c r="AQ442" i="3"/>
  <c r="AC442" i="3"/>
  <c r="X409" i="3"/>
  <c r="AQ409" i="3"/>
  <c r="AC409" i="3"/>
  <c r="W397" i="3"/>
  <c r="X397" i="3"/>
  <c r="AC397" i="3"/>
  <c r="AQ397" i="3"/>
  <c r="W379" i="3"/>
  <c r="X379" i="3"/>
  <c r="AC379" i="3"/>
  <c r="AQ379" i="3"/>
  <c r="AC339" i="3"/>
  <c r="AQ339" i="3"/>
  <c r="X339" i="3"/>
  <c r="X313" i="3"/>
  <c r="AC313" i="3"/>
  <c r="AQ313" i="3"/>
  <c r="AC288" i="3"/>
  <c r="X288" i="3"/>
  <c r="AQ288" i="3"/>
  <c r="AC251" i="3"/>
  <c r="X251" i="3"/>
  <c r="AQ251" i="3"/>
  <c r="AQ227" i="3"/>
  <c r="AC227" i="3"/>
  <c r="X227" i="3"/>
  <c r="X128" i="3"/>
  <c r="AC128" i="3"/>
  <c r="AQ128" i="3"/>
  <c r="W1343" i="3"/>
  <c r="AQ1343" i="3"/>
  <c r="AC1343" i="3"/>
  <c r="X1343" i="3"/>
  <c r="W1207" i="3"/>
  <c r="X1207" i="3"/>
  <c r="AC1207" i="3"/>
  <c r="AQ1207" i="3"/>
  <c r="AC1111" i="3"/>
  <c r="AQ1111" i="3"/>
  <c r="X1111" i="3"/>
  <c r="AC979" i="3"/>
  <c r="X979" i="3"/>
  <c r="AQ979" i="3"/>
  <c r="X857" i="3"/>
  <c r="AQ857" i="3"/>
  <c r="AC857" i="3"/>
  <c r="W800" i="3"/>
  <c r="X800" i="3"/>
  <c r="AQ800" i="3"/>
  <c r="AC800" i="3"/>
  <c r="AQ768" i="3"/>
  <c r="AC768" i="3"/>
  <c r="X768" i="3"/>
  <c r="W738" i="3"/>
  <c r="AC738" i="3"/>
  <c r="X738" i="3"/>
  <c r="AQ738" i="3"/>
  <c r="W692" i="3"/>
  <c r="AC692" i="3"/>
  <c r="X692" i="3"/>
  <c r="AQ692" i="3"/>
  <c r="AC604" i="3"/>
  <c r="AQ604" i="3"/>
  <c r="X604" i="3"/>
  <c r="AC168" i="3"/>
  <c r="X168" i="3"/>
  <c r="AQ168" i="3"/>
  <c r="AQ1360" i="3"/>
  <c r="AC1360" i="3"/>
  <c r="X1360" i="3"/>
  <c r="W1277" i="3"/>
  <c r="AQ1277" i="3"/>
  <c r="AC1277" i="3"/>
  <c r="X1277" i="3"/>
  <c r="W1262" i="3"/>
  <c r="AQ1262" i="3"/>
  <c r="X1262" i="3"/>
  <c r="AC1262" i="3"/>
  <c r="W1232" i="3"/>
  <c r="AC1232" i="3"/>
  <c r="AQ1232" i="3"/>
  <c r="X1232" i="3"/>
  <c r="AC1192" i="3"/>
  <c r="AQ1192" i="3"/>
  <c r="X1192" i="3"/>
  <c r="W1163" i="3"/>
  <c r="AC1163" i="3"/>
  <c r="AQ1163" i="3"/>
  <c r="X1163" i="3"/>
  <c r="W1149" i="3"/>
  <c r="X1149" i="3"/>
  <c r="AQ1149" i="3"/>
  <c r="AC1149" i="3"/>
  <c r="AQ1125" i="3"/>
  <c r="AC1125" i="3"/>
  <c r="X1125" i="3"/>
  <c r="AC1081" i="3"/>
  <c r="AQ1081" i="3"/>
  <c r="X1081" i="3"/>
  <c r="W1040" i="3"/>
  <c r="AC1040" i="3"/>
  <c r="AQ1040" i="3"/>
  <c r="X1040" i="3"/>
  <c r="AC995" i="3"/>
  <c r="X995" i="3"/>
  <c r="AQ995" i="3"/>
  <c r="AQ934" i="3"/>
  <c r="X934" i="3"/>
  <c r="AC934" i="3"/>
  <c r="W918" i="3"/>
  <c r="AC918" i="3"/>
  <c r="X918" i="3"/>
  <c r="AQ918" i="3"/>
  <c r="W886" i="3"/>
  <c r="AC886" i="3"/>
  <c r="AQ886" i="3"/>
  <c r="X886" i="3"/>
  <c r="AC872" i="3"/>
  <c r="AQ872" i="3"/>
  <c r="X872" i="3"/>
  <c r="AC842" i="3"/>
  <c r="X842" i="3"/>
  <c r="AQ842" i="3"/>
  <c r="AQ723" i="3"/>
  <c r="X723" i="3"/>
  <c r="AC723" i="3"/>
  <c r="AC708" i="3"/>
  <c r="AQ708" i="3"/>
  <c r="X708" i="3"/>
  <c r="W649" i="3"/>
  <c r="AC649" i="3"/>
  <c r="X649" i="3"/>
  <c r="AQ649" i="3"/>
  <c r="X591" i="3"/>
  <c r="AC591" i="3"/>
  <c r="AQ591" i="3"/>
  <c r="X562" i="3"/>
  <c r="AQ562" i="3"/>
  <c r="AC562" i="3"/>
  <c r="AC353" i="3"/>
  <c r="X353" i="3"/>
  <c r="AQ353" i="3"/>
  <c r="AC325" i="3"/>
  <c r="X325" i="3"/>
  <c r="AQ325" i="3"/>
  <c r="AC301" i="3"/>
  <c r="X301" i="3"/>
  <c r="AQ301" i="3"/>
  <c r="AC275" i="3"/>
  <c r="X275" i="3"/>
  <c r="AQ275" i="3"/>
  <c r="AQ263" i="3"/>
  <c r="AC263" i="3"/>
  <c r="X263" i="3"/>
  <c r="AQ239" i="3"/>
  <c r="AC239" i="3"/>
  <c r="X239" i="3"/>
  <c r="AC213" i="3"/>
  <c r="X213" i="3"/>
  <c r="AQ213" i="3"/>
  <c r="AC199" i="3"/>
  <c r="X199" i="3"/>
  <c r="AQ199" i="3"/>
  <c r="W182" i="3"/>
  <c r="AC182" i="3"/>
  <c r="X182" i="3"/>
  <c r="AQ182" i="3"/>
  <c r="X140" i="3"/>
  <c r="AC140" i="3"/>
  <c r="AQ140" i="3"/>
  <c r="W1315" i="3"/>
  <c r="AQ1315" i="3"/>
  <c r="AC1315" i="3"/>
  <c r="X1315" i="3"/>
  <c r="W1177" i="3"/>
  <c r="X1177" i="3"/>
  <c r="AC1177" i="3"/>
  <c r="AQ1177" i="3"/>
  <c r="W1067" i="3"/>
  <c r="AC1067" i="3"/>
  <c r="X1067" i="3"/>
  <c r="AQ1067" i="3"/>
  <c r="X965" i="3"/>
  <c r="AC965" i="3"/>
  <c r="AQ965" i="3"/>
  <c r="W813" i="3"/>
  <c r="AQ813" i="3"/>
  <c r="AC813" i="3"/>
  <c r="X813" i="3"/>
  <c r="AC677" i="3"/>
  <c r="X677" i="3"/>
  <c r="AQ677" i="3"/>
  <c r="X547" i="3"/>
  <c r="AC547" i="3"/>
  <c r="AQ547" i="3"/>
  <c r="AC532" i="3"/>
  <c r="X532" i="3"/>
  <c r="AQ532" i="3"/>
  <c r="X502" i="3"/>
  <c r="AC502" i="3"/>
  <c r="AQ502" i="3"/>
  <c r="W470" i="3"/>
  <c r="AC470" i="3"/>
  <c r="AQ470" i="3"/>
  <c r="X470" i="3"/>
  <c r="AC426" i="3"/>
  <c r="X426" i="3"/>
  <c r="AQ426" i="3"/>
  <c r="W367" i="3"/>
  <c r="X367" i="3"/>
  <c r="AQ367" i="3"/>
  <c r="AC367" i="3"/>
  <c r="AC154" i="3"/>
  <c r="X154" i="3"/>
  <c r="AQ154" i="3"/>
  <c r="W1368" i="3"/>
  <c r="AQ1368" i="3"/>
  <c r="AC1368" i="3"/>
  <c r="X1368" i="3"/>
  <c r="AQ1353" i="3"/>
  <c r="AC1353" i="3"/>
  <c r="X1353" i="3"/>
  <c r="W1337" i="3"/>
  <c r="AC1337" i="3"/>
  <c r="AQ1337" i="3"/>
  <c r="X1337" i="3"/>
  <c r="AQ1323" i="3"/>
  <c r="AC1323" i="3"/>
  <c r="X1323" i="3"/>
  <c r="AQ1310" i="3"/>
  <c r="AC1310" i="3"/>
  <c r="X1310" i="3"/>
  <c r="W1298" i="3"/>
  <c r="AQ1298" i="3"/>
  <c r="AC1298" i="3"/>
  <c r="X1298" i="3"/>
  <c r="X1285" i="3"/>
  <c r="AQ1285" i="3"/>
  <c r="AC1285" i="3"/>
  <c r="AC1270" i="3"/>
  <c r="AQ1270" i="3"/>
  <c r="X1270" i="3"/>
  <c r="W1242" i="3"/>
  <c r="AQ1242" i="3"/>
  <c r="AC1242" i="3"/>
  <c r="X1242" i="3"/>
  <c r="W1227" i="3"/>
  <c r="X1227" i="3"/>
  <c r="AC1227" i="3"/>
  <c r="AQ1227" i="3"/>
  <c r="W1216" i="3"/>
  <c r="AC1216" i="3"/>
  <c r="AQ1216" i="3"/>
  <c r="X1216" i="3"/>
  <c r="W1200" i="3"/>
  <c r="AQ1200" i="3"/>
  <c r="X1200" i="3"/>
  <c r="AC1200" i="3"/>
  <c r="AQ1186" i="3"/>
  <c r="AC1186" i="3"/>
  <c r="X1186" i="3"/>
  <c r="AC1144" i="3"/>
  <c r="X1144" i="3"/>
  <c r="AQ1144" i="3"/>
  <c r="W1375" i="3"/>
  <c r="AQ1375" i="3"/>
  <c r="AC1375" i="3"/>
  <c r="X1375" i="3"/>
  <c r="W1361" i="3"/>
  <c r="AC1361" i="3"/>
  <c r="AQ1361" i="3"/>
  <c r="X1361" i="3"/>
  <c r="W1345" i="3"/>
  <c r="X1345" i="3"/>
  <c r="AC1345" i="3"/>
  <c r="AQ1345" i="3"/>
  <c r="W1330" i="3"/>
  <c r="AQ1330" i="3"/>
  <c r="X1330" i="3"/>
  <c r="AC1330" i="3"/>
  <c r="W1316" i="3"/>
  <c r="X1316" i="3"/>
  <c r="AC1316" i="3"/>
  <c r="AQ1316" i="3"/>
  <c r="W1304" i="3"/>
  <c r="AQ1304" i="3"/>
  <c r="AC1304" i="3"/>
  <c r="X1304" i="3"/>
  <c r="W1278" i="3"/>
  <c r="AQ1278" i="3"/>
  <c r="X1278" i="3"/>
  <c r="AC1278" i="3"/>
  <c r="W1234" i="3"/>
  <c r="X1234" i="3"/>
  <c r="AC1234" i="3"/>
  <c r="AQ1234" i="3"/>
  <c r="W1208" i="3"/>
  <c r="AC1208" i="3"/>
  <c r="AQ1208" i="3"/>
  <c r="X1208" i="3"/>
  <c r="W1194" i="3"/>
  <c r="X1194" i="3"/>
  <c r="AC1194" i="3"/>
  <c r="AQ1194" i="3"/>
  <c r="W1178" i="3"/>
  <c r="AC1178" i="3"/>
  <c r="AQ1178" i="3"/>
  <c r="X1178" i="3"/>
  <c r="W1150" i="3"/>
  <c r="AQ1150" i="3"/>
  <c r="AC1150" i="3"/>
  <c r="X1150" i="3"/>
  <c r="AQ1138" i="3"/>
  <c r="AC1138" i="3"/>
  <c r="X1138" i="3"/>
  <c r="AC1126" i="3"/>
  <c r="AQ1126" i="3"/>
  <c r="X1126" i="3"/>
  <c r="X1112" i="3"/>
  <c r="AC1112" i="3"/>
  <c r="AQ1112" i="3"/>
  <c r="W1096" i="3"/>
  <c r="AQ1096" i="3"/>
  <c r="X1096" i="3"/>
  <c r="AC1096" i="3"/>
  <c r="X1082" i="3"/>
  <c r="AQ1082" i="3"/>
  <c r="AC1082" i="3"/>
  <c r="W1068" i="3"/>
  <c r="X1068" i="3"/>
  <c r="AC1068" i="3"/>
  <c r="AQ1068" i="3"/>
  <c r="AQ1042" i="3"/>
  <c r="AC1042" i="3"/>
  <c r="X1042" i="3"/>
  <c r="AC1012" i="3"/>
  <c r="X1012" i="3"/>
  <c r="AQ1012" i="3"/>
  <c r="X996" i="3"/>
  <c r="AC996" i="3"/>
  <c r="AQ996" i="3"/>
  <c r="AC980" i="3"/>
  <c r="X980" i="3"/>
  <c r="AQ980" i="3"/>
  <c r="AC966" i="3"/>
  <c r="AQ966" i="3"/>
  <c r="X966" i="3"/>
  <c r="AC874" i="3"/>
  <c r="AQ874" i="3"/>
  <c r="X874" i="3"/>
  <c r="X858" i="3"/>
  <c r="AQ858" i="3"/>
  <c r="AC858" i="3"/>
  <c r="AQ828" i="3"/>
  <c r="AC828" i="3"/>
  <c r="X828" i="3"/>
  <c r="AC786" i="3"/>
  <c r="X786" i="3"/>
  <c r="AQ786" i="3"/>
  <c r="AC770" i="3"/>
  <c r="X770" i="3"/>
  <c r="AQ770" i="3"/>
  <c r="W740" i="3"/>
  <c r="AC740" i="3"/>
  <c r="X740" i="3"/>
  <c r="AQ740" i="3"/>
  <c r="AC724" i="3"/>
  <c r="X724" i="3"/>
  <c r="AQ724" i="3"/>
  <c r="X678" i="3"/>
  <c r="AC678" i="3"/>
  <c r="AQ678" i="3"/>
  <c r="AC664" i="3"/>
  <c r="X664" i="3"/>
  <c r="AQ664" i="3"/>
  <c r="W650" i="3"/>
  <c r="AQ650" i="3"/>
  <c r="X650" i="3"/>
  <c r="AC650" i="3"/>
  <c r="X634" i="3"/>
  <c r="AC634" i="3"/>
  <c r="AQ634" i="3"/>
  <c r="AC620" i="3"/>
  <c r="X620" i="3"/>
  <c r="AQ620" i="3"/>
  <c r="AC606" i="3"/>
  <c r="AQ606" i="3"/>
  <c r="X606" i="3"/>
  <c r="AQ592" i="3"/>
  <c r="X592" i="3"/>
  <c r="AC592" i="3"/>
  <c r="AC548" i="3"/>
  <c r="AQ548" i="3"/>
  <c r="X548" i="3"/>
  <c r="W518" i="3"/>
  <c r="X518" i="3"/>
  <c r="AQ518" i="3"/>
  <c r="AC518" i="3"/>
  <c r="W488" i="3"/>
  <c r="AC488" i="3"/>
  <c r="AQ488" i="3"/>
  <c r="X488" i="3"/>
  <c r="X472" i="3"/>
  <c r="AC472" i="3"/>
  <c r="AQ472" i="3"/>
  <c r="W428" i="3"/>
  <c r="AC428" i="3"/>
  <c r="AQ428" i="3"/>
  <c r="X428" i="3"/>
  <c r="AC411" i="3"/>
  <c r="X411" i="3"/>
  <c r="AQ411" i="3"/>
  <c r="W398" i="3"/>
  <c r="X398" i="3"/>
  <c r="AQ398" i="3"/>
  <c r="AC398" i="3"/>
  <c r="W380" i="3"/>
  <c r="AC380" i="3"/>
  <c r="X380" i="3"/>
  <c r="AQ380" i="3"/>
  <c r="W368" i="3"/>
  <c r="AQ368" i="3"/>
  <c r="AC368" i="3"/>
  <c r="X368" i="3"/>
  <c r="AQ354" i="3"/>
  <c r="X354" i="3"/>
  <c r="AC354" i="3"/>
  <c r="W340" i="3"/>
  <c r="AC340" i="3"/>
  <c r="AQ340" i="3"/>
  <c r="X340" i="3"/>
  <c r="AC276" i="3"/>
  <c r="AQ276" i="3"/>
  <c r="X276" i="3"/>
  <c r="AQ240" i="3"/>
  <c r="X240" i="3"/>
  <c r="AC240" i="3"/>
  <c r="AC214" i="3"/>
  <c r="X214" i="3"/>
  <c r="AQ214" i="3"/>
  <c r="W183" i="3"/>
  <c r="X183" i="3"/>
  <c r="AQ183" i="3"/>
  <c r="AC183" i="3"/>
  <c r="AC169" i="3"/>
  <c r="AQ169" i="3"/>
  <c r="X169" i="3"/>
  <c r="AC155" i="3"/>
  <c r="X155" i="3"/>
  <c r="AQ155" i="3"/>
  <c r="X129" i="3"/>
  <c r="AQ129" i="3"/>
  <c r="AC129" i="3"/>
  <c r="W105" i="3"/>
  <c r="AC105" i="3"/>
  <c r="X105" i="3"/>
  <c r="AQ105" i="3"/>
  <c r="AQ81" i="3"/>
  <c r="AC81" i="3"/>
  <c r="X81" i="3"/>
  <c r="AC69" i="3"/>
  <c r="AQ69" i="3"/>
  <c r="X69" i="3"/>
  <c r="X57" i="3"/>
  <c r="AQ57" i="3"/>
  <c r="AC57" i="3"/>
  <c r="AC7" i="3"/>
  <c r="AQ7" i="3"/>
  <c r="X7" i="3"/>
  <c r="AC457" i="3"/>
  <c r="AC903" i="3"/>
  <c r="AC806" i="3"/>
  <c r="X23" i="3"/>
  <c r="X855" i="3"/>
  <c r="AC503" i="3"/>
  <c r="AC158" i="3"/>
  <c r="AQ1288" i="3"/>
  <c r="AC366" i="3"/>
  <c r="AC138" i="3"/>
  <c r="AC485" i="3"/>
  <c r="X1229" i="3"/>
  <c r="X247" i="3"/>
  <c r="AQ571" i="3"/>
  <c r="AC280" i="3"/>
  <c r="AC551" i="3"/>
  <c r="AC1181" i="3"/>
  <c r="AC1255" i="3"/>
  <c r="AQ1269" i="3"/>
  <c r="X291" i="3"/>
  <c r="AC198" i="3"/>
  <c r="AQ811" i="3"/>
  <c r="AQ212" i="3"/>
  <c r="X567" i="3"/>
  <c r="AC1099" i="3"/>
  <c r="X302" i="3"/>
  <c r="AC473" i="3"/>
  <c r="AQ1148" i="3"/>
  <c r="AC74" i="3"/>
  <c r="AC537" i="3"/>
  <c r="AC757" i="3"/>
  <c r="X1085" i="3"/>
  <c r="X1239" i="3"/>
  <c r="X119" i="3"/>
  <c r="AQ131" i="3"/>
  <c r="X1060" i="3"/>
  <c r="X729" i="3"/>
  <c r="X1073" i="3"/>
  <c r="X1320" i="3"/>
  <c r="X1294" i="3"/>
  <c r="X967" i="3"/>
  <c r="AQ655" i="3"/>
  <c r="X326" i="3"/>
  <c r="AC569" i="3"/>
  <c r="AC627" i="3"/>
  <c r="AQ1063" i="3"/>
  <c r="AQ381" i="3"/>
  <c r="AC1296" i="3"/>
  <c r="AC819" i="3"/>
  <c r="AQ1059" i="3"/>
  <c r="X96" i="3"/>
  <c r="X243" i="3"/>
  <c r="AQ497" i="3"/>
  <c r="AQ875" i="3"/>
  <c r="AQ1301" i="3"/>
  <c r="AC621" i="3"/>
  <c r="AQ703" i="3"/>
  <c r="AQ99" i="3"/>
  <c r="AQ779" i="3"/>
  <c r="AC1056" i="3"/>
  <c r="AQ264" i="3"/>
  <c r="AQ202" i="3"/>
  <c r="X26" i="3"/>
  <c r="X935" i="3"/>
  <c r="X252" i="3"/>
  <c r="AQ689" i="3"/>
  <c r="AC307" i="3"/>
  <c r="AQ847" i="3"/>
  <c r="X791" i="3"/>
  <c r="X134" i="3"/>
  <c r="X363" i="3"/>
  <c r="AC525" i="3"/>
  <c r="X1297" i="3"/>
  <c r="X587" i="3"/>
  <c r="X1249" i="3"/>
  <c r="AC833" i="3"/>
  <c r="AQ1203" i="3"/>
  <c r="AQ821" i="3"/>
  <c r="AQ509" i="3"/>
  <c r="AQ65" i="3"/>
  <c r="AQ919" i="3"/>
  <c r="AQ721" i="3"/>
  <c r="AQ585" i="3"/>
  <c r="X835" i="3"/>
  <c r="AC1199" i="3"/>
  <c r="AQ823" i="3"/>
  <c r="AC5" i="3"/>
  <c r="X575" i="3"/>
  <c r="AQ1642" i="3"/>
  <c r="X1031" i="3"/>
  <c r="AQ385" i="3"/>
  <c r="AQ1164" i="3"/>
  <c r="AQ915" i="3"/>
  <c r="AQ851" i="3"/>
  <c r="X1191" i="3"/>
  <c r="AC449" i="3"/>
  <c r="AQ1097" i="3"/>
  <c r="X1231" i="3"/>
  <c r="AQ959" i="3"/>
  <c r="X1029" i="3"/>
  <c r="AC1134" i="3"/>
  <c r="AQ1162" i="3"/>
  <c r="X139" i="3"/>
  <c r="AC33" i="3"/>
  <c r="X1219" i="3"/>
  <c r="AC1133" i="3"/>
  <c r="X31" i="3"/>
  <c r="X59" i="3"/>
  <c r="X1035" i="3"/>
  <c r="X469" i="3"/>
  <c r="AQ963" i="3"/>
  <c r="AQ283" i="3"/>
  <c r="AQ201" i="3"/>
  <c r="AQ951" i="3"/>
  <c r="AQ30" i="3"/>
  <c r="AQ787" i="3"/>
  <c r="AQ292" i="3"/>
  <c r="AQ66" i="3"/>
  <c r="X1019" i="3"/>
  <c r="X1099" i="3"/>
  <c r="AC302" i="3"/>
  <c r="AQ473" i="3"/>
  <c r="AC1148" i="3"/>
  <c r="AQ74" i="3"/>
  <c r="AQ537" i="3"/>
  <c r="AQ757" i="3"/>
  <c r="AC1085" i="3"/>
  <c r="AQ1239" i="3"/>
  <c r="AC119" i="3"/>
  <c r="X131" i="3"/>
  <c r="AQ1060" i="3"/>
  <c r="AC729" i="3"/>
  <c r="AQ1073" i="3"/>
  <c r="AQ1320" i="3"/>
  <c r="AQ1294" i="3"/>
  <c r="AC967" i="3"/>
  <c r="X655" i="3"/>
  <c r="AC326" i="3"/>
  <c r="AQ569" i="3"/>
  <c r="X627" i="3"/>
  <c r="AC1063" i="3"/>
  <c r="AC381" i="3"/>
  <c r="AQ1296" i="3"/>
  <c r="X819" i="3"/>
  <c r="AC1059" i="3"/>
  <c r="AC96" i="3"/>
  <c r="AC243" i="3"/>
  <c r="X497" i="3"/>
  <c r="AC875" i="3"/>
  <c r="AC1301" i="3"/>
  <c r="AQ621" i="3"/>
  <c r="X703" i="3"/>
  <c r="AC99" i="3"/>
  <c r="AC779" i="3"/>
  <c r="AQ1056" i="3"/>
  <c r="AC264" i="3"/>
  <c r="AC202" i="3"/>
  <c r="AC26" i="3"/>
  <c r="AC935" i="3"/>
  <c r="AC252" i="3"/>
  <c r="X689" i="3"/>
  <c r="AQ307" i="3"/>
  <c r="X847" i="3"/>
  <c r="AC791" i="3"/>
  <c r="AC134" i="3"/>
  <c r="AC363" i="3"/>
  <c r="AQ525" i="3"/>
  <c r="AC1297" i="3"/>
  <c r="AQ587" i="3"/>
  <c r="AQ1249" i="3"/>
  <c r="AQ833" i="3"/>
  <c r="AC1203" i="3"/>
  <c r="X821" i="3"/>
  <c r="AC509" i="3"/>
  <c r="X65" i="3"/>
  <c r="X919" i="3"/>
  <c r="X721" i="3"/>
  <c r="X585" i="3"/>
  <c r="AC835" i="3"/>
  <c r="X1199" i="3"/>
  <c r="X823" i="3"/>
  <c r="AQ5" i="3"/>
  <c r="AQ575" i="3"/>
  <c r="W1372" i="3"/>
  <c r="AQ1372" i="3"/>
  <c r="AC1372" i="3"/>
  <c r="X1372" i="3"/>
  <c r="X1359" i="3"/>
  <c r="AC1359" i="3"/>
  <c r="AQ1359" i="3"/>
  <c r="W1342" i="3"/>
  <c r="AQ1342" i="3"/>
  <c r="AC1342" i="3"/>
  <c r="X1342" i="3"/>
  <c r="W1328" i="3"/>
  <c r="AQ1328" i="3"/>
  <c r="X1328" i="3"/>
  <c r="AC1328" i="3"/>
  <c r="AQ1314" i="3"/>
  <c r="AC1314" i="3"/>
  <c r="X1314" i="3"/>
  <c r="W1302" i="3"/>
  <c r="AQ1302" i="3"/>
  <c r="AC1302" i="3"/>
  <c r="X1302" i="3"/>
  <c r="W1276" i="3"/>
  <c r="AQ1276" i="3"/>
  <c r="AC1276" i="3"/>
  <c r="X1276" i="3"/>
  <c r="W1206" i="3"/>
  <c r="AQ1206" i="3"/>
  <c r="AC1206" i="3"/>
  <c r="X1206" i="3"/>
  <c r="W1176" i="3"/>
  <c r="AC1176" i="3"/>
  <c r="AQ1176" i="3"/>
  <c r="X1176" i="3"/>
  <c r="X1136" i="3"/>
  <c r="AC1136" i="3"/>
  <c r="AQ1136" i="3"/>
  <c r="X1124" i="3"/>
  <c r="AC1124" i="3"/>
  <c r="AQ1124" i="3"/>
  <c r="W1110" i="3"/>
  <c r="AC1110" i="3"/>
  <c r="AQ1110" i="3"/>
  <c r="X1110" i="3"/>
  <c r="W1094" i="3"/>
  <c r="AC1094" i="3"/>
  <c r="AQ1094" i="3"/>
  <c r="X1094" i="3"/>
  <c r="AC1080" i="3"/>
  <c r="X1080" i="3"/>
  <c r="AQ1080" i="3"/>
  <c r="AC1066" i="3"/>
  <c r="AQ1066" i="3"/>
  <c r="X1066" i="3"/>
  <c r="AC1024" i="3"/>
  <c r="X1024" i="3"/>
  <c r="AQ1024" i="3"/>
  <c r="AC1010" i="3"/>
  <c r="X1010" i="3"/>
  <c r="AQ1010" i="3"/>
  <c r="AQ994" i="3"/>
  <c r="X994" i="3"/>
  <c r="AC994" i="3"/>
  <c r="W978" i="3"/>
  <c r="AC978" i="3"/>
  <c r="X978" i="3"/>
  <c r="AQ978" i="3"/>
  <c r="AC964" i="3"/>
  <c r="X964" i="3"/>
  <c r="AQ964" i="3"/>
  <c r="X948" i="3"/>
  <c r="AC948" i="3"/>
  <c r="AQ948" i="3"/>
  <c r="AC932" i="3"/>
  <c r="X932" i="3"/>
  <c r="AQ932" i="3"/>
  <c r="AC916" i="3"/>
  <c r="X916" i="3"/>
  <c r="AQ916" i="3"/>
  <c r="AQ900" i="3"/>
  <c r="AC900" i="3"/>
  <c r="X900" i="3"/>
  <c r="W884" i="3"/>
  <c r="AC884" i="3"/>
  <c r="AQ884" i="3"/>
  <c r="X884" i="3"/>
  <c r="W856" i="3"/>
  <c r="AC856" i="3"/>
  <c r="AQ856" i="3"/>
  <c r="X856" i="3"/>
  <c r="AQ840" i="3"/>
  <c r="AC840" i="3"/>
  <c r="X840" i="3"/>
  <c r="AQ826" i="3"/>
  <c r="X826" i="3"/>
  <c r="AC826" i="3"/>
  <c r="W812" i="3"/>
  <c r="AC812" i="3"/>
  <c r="AQ812" i="3"/>
  <c r="X812" i="3"/>
  <c r="AC722" i="3"/>
  <c r="X722" i="3"/>
  <c r="AQ722" i="3"/>
  <c r="W706" i="3"/>
  <c r="AC706" i="3"/>
  <c r="AQ706" i="3"/>
  <c r="X706" i="3"/>
  <c r="W690" i="3"/>
  <c r="AC690" i="3"/>
  <c r="X690" i="3"/>
  <c r="AQ690" i="3"/>
  <c r="W676" i="3"/>
  <c r="X676" i="3"/>
  <c r="AQ676" i="3"/>
  <c r="AC676" i="3"/>
  <c r="AC662" i="3"/>
  <c r="X662" i="3"/>
  <c r="AQ662" i="3"/>
  <c r="W648" i="3"/>
  <c r="AC648" i="3"/>
  <c r="X648" i="3"/>
  <c r="AQ648" i="3"/>
  <c r="W632" i="3"/>
  <c r="AC632" i="3"/>
  <c r="AQ632" i="3"/>
  <c r="X632" i="3"/>
  <c r="AQ590" i="3"/>
  <c r="X590" i="3"/>
  <c r="AC590" i="3"/>
  <c r="AC560" i="3"/>
  <c r="X560" i="3"/>
  <c r="AQ560" i="3"/>
  <c r="AC546" i="3"/>
  <c r="X546" i="3"/>
  <c r="AQ546" i="3"/>
  <c r="W530" i="3"/>
  <c r="AC530" i="3"/>
  <c r="X530" i="3"/>
  <c r="AQ530" i="3"/>
  <c r="W516" i="3"/>
  <c r="AQ516" i="3"/>
  <c r="AC516" i="3"/>
  <c r="X516" i="3"/>
  <c r="W454" i="3"/>
  <c r="AC454" i="3"/>
  <c r="AQ454" i="3"/>
  <c r="X454" i="3"/>
  <c r="W440" i="3"/>
  <c r="AC440" i="3"/>
  <c r="AQ440" i="3"/>
  <c r="X440" i="3"/>
  <c r="AQ425" i="3"/>
  <c r="AC425" i="3"/>
  <c r="X425" i="3"/>
  <c r="W378" i="3"/>
  <c r="AC378" i="3"/>
  <c r="X378" i="3"/>
  <c r="AQ378" i="3"/>
  <c r="AQ351" i="3"/>
  <c r="X351" i="3"/>
  <c r="AC351" i="3"/>
  <c r="AQ338" i="3"/>
  <c r="AC338" i="3"/>
  <c r="X338" i="3"/>
  <c r="AC324" i="3"/>
  <c r="X324" i="3"/>
  <c r="AQ324" i="3"/>
  <c r="AQ312" i="3"/>
  <c r="AC312" i="3"/>
  <c r="X312" i="3"/>
  <c r="AQ300" i="3"/>
  <c r="AC300" i="3"/>
  <c r="X300" i="3"/>
  <c r="AC262" i="3"/>
  <c r="X262" i="3"/>
  <c r="AQ262" i="3"/>
  <c r="AC250" i="3"/>
  <c r="X250" i="3"/>
  <c r="AQ250" i="3"/>
  <c r="X167" i="3"/>
  <c r="AQ167" i="3"/>
  <c r="AC167" i="3"/>
  <c r="AC127" i="3"/>
  <c r="X127" i="3"/>
  <c r="AQ127" i="3"/>
  <c r="AC115" i="3"/>
  <c r="X115" i="3"/>
  <c r="AQ115" i="3"/>
  <c r="AC67" i="3"/>
  <c r="X67" i="3"/>
  <c r="AQ67" i="3"/>
  <c r="W55" i="3"/>
  <c r="AC55" i="3"/>
  <c r="AQ55" i="3"/>
  <c r="X55" i="3"/>
  <c r="AQ43" i="3"/>
  <c r="AC43" i="3"/>
  <c r="X43" i="3"/>
  <c r="AC18" i="3"/>
  <c r="X18" i="3"/>
  <c r="AQ18" i="3"/>
  <c r="AQ1031" i="3"/>
  <c r="X385" i="3"/>
  <c r="X1164" i="3"/>
  <c r="X915" i="3"/>
  <c r="X851" i="3"/>
  <c r="AQ1191" i="3"/>
  <c r="AQ449" i="3"/>
  <c r="AC1097" i="3"/>
  <c r="AC1231" i="3"/>
  <c r="X959" i="3"/>
  <c r="AC1029" i="3"/>
  <c r="AQ1134" i="3"/>
  <c r="X1162" i="3"/>
  <c r="AC139" i="3"/>
  <c r="AQ33" i="3"/>
  <c r="AQ1219" i="3"/>
  <c r="X1133" i="3"/>
  <c r="AQ31" i="3"/>
  <c r="AQ59" i="3"/>
  <c r="AQ1035" i="3"/>
  <c r="AC469" i="3"/>
  <c r="X963" i="3"/>
  <c r="X283" i="3"/>
  <c r="X201" i="3"/>
  <c r="X951" i="3"/>
  <c r="AC30" i="3"/>
  <c r="X787" i="3"/>
  <c r="X292" i="3"/>
  <c r="X66" i="3"/>
  <c r="AQ1019" i="3"/>
  <c r="AQ24" i="3"/>
  <c r="AC1366" i="3"/>
  <c r="X767" i="3"/>
  <c r="AQ143" i="3"/>
  <c r="AC53" i="3"/>
  <c r="X1054" i="3"/>
  <c r="AC1087" i="3"/>
  <c r="AQ555" i="3"/>
  <c r="AQ224" i="3"/>
  <c r="AQ803" i="3"/>
  <c r="X765" i="3"/>
  <c r="AC70" i="3"/>
  <c r="AQ673" i="3"/>
  <c r="AC814" i="3"/>
  <c r="AQ637" i="3"/>
  <c r="AQ200" i="3"/>
  <c r="X907" i="3"/>
  <c r="X443" i="3"/>
  <c r="AC867" i="3"/>
  <c r="AC641" i="3"/>
  <c r="AQ42" i="3"/>
  <c r="X1003" i="3"/>
  <c r="X761" i="3"/>
  <c r="X1160" i="3"/>
  <c r="AC194" i="3"/>
  <c r="AQ306" i="3"/>
  <c r="AQ323" i="3"/>
  <c r="AC142" i="3"/>
  <c r="AQ249" i="3"/>
  <c r="AC1282" i="3"/>
  <c r="X1299" i="3"/>
  <c r="X521" i="3"/>
  <c r="X62" i="3"/>
  <c r="AC881" i="3"/>
  <c r="AC1132" i="3"/>
  <c r="AQ599" i="3"/>
  <c r="AC461" i="3"/>
  <c r="AC268" i="3"/>
  <c r="X617" i="3"/>
  <c r="X238" i="3"/>
  <c r="AQ1197" i="3"/>
  <c r="AC607" i="3"/>
  <c r="X477" i="3"/>
  <c r="AQ205" i="3"/>
  <c r="AQ25" i="3"/>
  <c r="X372" i="3"/>
  <c r="AC587" i="3"/>
  <c r="AC1249" i="3"/>
  <c r="AQ1199" i="3"/>
  <c r="W1371" i="3"/>
  <c r="AC1371" i="3"/>
  <c r="X1371" i="3"/>
  <c r="AQ1371" i="3"/>
  <c r="AC1357" i="3"/>
  <c r="X1357" i="3"/>
  <c r="AQ1357" i="3"/>
  <c r="W1340" i="3"/>
  <c r="AC1340" i="3"/>
  <c r="X1340" i="3"/>
  <c r="AQ1340" i="3"/>
  <c r="AQ1327" i="3"/>
  <c r="AC1327" i="3"/>
  <c r="X1327" i="3"/>
  <c r="AQ1313" i="3"/>
  <c r="X1313" i="3"/>
  <c r="AC1313" i="3"/>
  <c r="AQ1274" i="3"/>
  <c r="AC1274" i="3"/>
  <c r="X1274" i="3"/>
  <c r="W1246" i="3"/>
  <c r="AQ1246" i="3"/>
  <c r="X1246" i="3"/>
  <c r="AC1246" i="3"/>
  <c r="W1230" i="3"/>
  <c r="AC1230" i="3"/>
  <c r="X1230" i="3"/>
  <c r="AQ1230" i="3"/>
  <c r="AQ1204" i="3"/>
  <c r="X1204" i="3"/>
  <c r="AC1204" i="3"/>
  <c r="X1190" i="3"/>
  <c r="AC1190" i="3"/>
  <c r="AQ1190" i="3"/>
  <c r="W1161" i="3"/>
  <c r="AC1161" i="3"/>
  <c r="AQ1161" i="3"/>
  <c r="X1161" i="3"/>
  <c r="AC1123" i="3"/>
  <c r="AQ1123" i="3"/>
  <c r="X1123" i="3"/>
  <c r="X1108" i="3"/>
  <c r="AQ1108" i="3"/>
  <c r="AC1108" i="3"/>
  <c r="W1078" i="3"/>
  <c r="AC1078" i="3"/>
  <c r="AQ1078" i="3"/>
  <c r="X1078" i="3"/>
  <c r="W1052" i="3"/>
  <c r="X1052" i="3"/>
  <c r="AC1052" i="3"/>
  <c r="AQ1052" i="3"/>
  <c r="X1038" i="3"/>
  <c r="AC1038" i="3"/>
  <c r="AQ1038" i="3"/>
  <c r="AC1008" i="3"/>
  <c r="X1008" i="3"/>
  <c r="AQ1008" i="3"/>
  <c r="W992" i="3"/>
  <c r="AC992" i="3"/>
  <c r="X992" i="3"/>
  <c r="AQ992" i="3"/>
  <c r="W870" i="3"/>
  <c r="X870" i="3"/>
  <c r="AQ870" i="3"/>
  <c r="AC870" i="3"/>
  <c r="AC824" i="3"/>
  <c r="AQ824" i="3"/>
  <c r="X824" i="3"/>
  <c r="AQ798" i="3"/>
  <c r="AC798" i="3"/>
  <c r="X798" i="3"/>
  <c r="AQ782" i="3"/>
  <c r="X782" i="3"/>
  <c r="AC782" i="3"/>
  <c r="AC766" i="3"/>
  <c r="X766" i="3"/>
  <c r="AQ766" i="3"/>
  <c r="AC752" i="3"/>
  <c r="X752" i="3"/>
  <c r="AQ752" i="3"/>
  <c r="W736" i="3"/>
  <c r="AQ736" i="3"/>
  <c r="AC736" i="3"/>
  <c r="X736" i="3"/>
  <c r="X704" i="3"/>
  <c r="AQ704" i="3"/>
  <c r="AC704" i="3"/>
  <c r="W674" i="3"/>
  <c r="X674" i="3"/>
  <c r="AQ674" i="3"/>
  <c r="AC674" i="3"/>
  <c r="W660" i="3"/>
  <c r="X660" i="3"/>
  <c r="AQ660" i="3"/>
  <c r="AC660" i="3"/>
  <c r="W646" i="3"/>
  <c r="X646" i="3"/>
  <c r="AC646" i="3"/>
  <c r="AQ646" i="3"/>
  <c r="X630" i="3"/>
  <c r="AQ630" i="3"/>
  <c r="AC630" i="3"/>
  <c r="W616" i="3"/>
  <c r="AC616" i="3"/>
  <c r="AQ616" i="3"/>
  <c r="X616" i="3"/>
  <c r="AC602" i="3"/>
  <c r="X602" i="3"/>
  <c r="AQ602" i="3"/>
  <c r="W588" i="3"/>
  <c r="X588" i="3"/>
  <c r="AC588" i="3"/>
  <c r="AQ588" i="3"/>
  <c r="AC574" i="3"/>
  <c r="AQ574" i="3"/>
  <c r="X574" i="3"/>
  <c r="W544" i="3"/>
  <c r="X544" i="3"/>
  <c r="AQ544" i="3"/>
  <c r="AC544" i="3"/>
  <c r="W514" i="3"/>
  <c r="AC514" i="3"/>
  <c r="AQ514" i="3"/>
  <c r="X514" i="3"/>
  <c r="AC500" i="3"/>
  <c r="X500" i="3"/>
  <c r="AQ500" i="3"/>
  <c r="AQ484" i="3"/>
  <c r="AC484" i="3"/>
  <c r="X484" i="3"/>
  <c r="W468" i="3"/>
  <c r="AQ468" i="3"/>
  <c r="AC468" i="3"/>
  <c r="X468" i="3"/>
  <c r="W424" i="3"/>
  <c r="AC424" i="3"/>
  <c r="X424" i="3"/>
  <c r="AQ424" i="3"/>
  <c r="W407" i="3"/>
  <c r="AC407" i="3"/>
  <c r="X407" i="3"/>
  <c r="AQ407" i="3"/>
  <c r="W394" i="3"/>
  <c r="AC394" i="3"/>
  <c r="X394" i="3"/>
  <c r="AQ394" i="3"/>
  <c r="W377" i="3"/>
  <c r="AQ377" i="3"/>
  <c r="X377" i="3"/>
  <c r="AC377" i="3"/>
  <c r="W365" i="3"/>
  <c r="X365" i="3"/>
  <c r="AC365" i="3"/>
  <c r="AQ365" i="3"/>
  <c r="AC349" i="3"/>
  <c r="X349" i="3"/>
  <c r="AQ349" i="3"/>
  <c r="AC337" i="3"/>
  <c r="AQ337" i="3"/>
  <c r="X337" i="3"/>
  <c r="AC311" i="3"/>
  <c r="X311" i="3"/>
  <c r="AQ311" i="3"/>
  <c r="AC299" i="3"/>
  <c r="AQ299" i="3"/>
  <c r="X299" i="3"/>
  <c r="AC285" i="3"/>
  <c r="X285" i="3"/>
  <c r="AQ285" i="3"/>
  <c r="X273" i="3"/>
  <c r="AQ273" i="3"/>
  <c r="AC273" i="3"/>
  <c r="AC237" i="3"/>
  <c r="X237" i="3"/>
  <c r="AQ237" i="3"/>
  <c r="AC211" i="3"/>
  <c r="AQ211" i="3"/>
  <c r="X211" i="3"/>
  <c r="X196" i="3"/>
  <c r="AQ196" i="3"/>
  <c r="AC196" i="3"/>
  <c r="X180" i="3"/>
  <c r="AC180" i="3"/>
  <c r="AQ180" i="3"/>
  <c r="X166" i="3"/>
  <c r="AQ166" i="3"/>
  <c r="AC166" i="3"/>
  <c r="X152" i="3"/>
  <c r="AQ152" i="3"/>
  <c r="AC152" i="3"/>
  <c r="AC126" i="3"/>
  <c r="X126" i="3"/>
  <c r="AQ126" i="3"/>
  <c r="AC114" i="3"/>
  <c r="X114" i="3"/>
  <c r="AQ114" i="3"/>
  <c r="W90" i="3"/>
  <c r="X90" i="3"/>
  <c r="AC90" i="3"/>
  <c r="AQ90" i="3"/>
  <c r="W54" i="3"/>
  <c r="X54" i="3"/>
  <c r="AQ54" i="3"/>
  <c r="AC54" i="3"/>
  <c r="AC17" i="3"/>
  <c r="X17" i="3"/>
  <c r="AQ17" i="3"/>
  <c r="AC4" i="3"/>
  <c r="X4" i="3"/>
  <c r="AQ4" i="3"/>
  <c r="AQ1639" i="3"/>
  <c r="AC385" i="3"/>
  <c r="X449" i="3"/>
  <c r="AQ1231" i="3"/>
  <c r="AC959" i="3"/>
  <c r="AC1162" i="3"/>
  <c r="AC1219" i="3"/>
  <c r="AQ469" i="3"/>
  <c r="AC1019" i="3"/>
  <c r="AC24" i="3"/>
  <c r="X1366" i="3"/>
  <c r="AQ767" i="3"/>
  <c r="X143" i="3"/>
  <c r="AQ53" i="3"/>
  <c r="AC1054" i="3"/>
  <c r="X1087" i="3"/>
  <c r="AC555" i="3"/>
  <c r="X224" i="3"/>
  <c r="X803" i="3"/>
  <c r="AC765" i="3"/>
  <c r="X70" i="3"/>
  <c r="X673" i="3"/>
  <c r="X814" i="3"/>
  <c r="X637" i="3"/>
  <c r="X200" i="3"/>
  <c r="AC907" i="3"/>
  <c r="AQ443" i="3"/>
  <c r="AQ867" i="3"/>
  <c r="AQ641" i="3"/>
  <c r="X42" i="3"/>
  <c r="AC1003" i="3"/>
  <c r="AC761" i="3"/>
  <c r="AQ1160" i="3"/>
  <c r="AQ194" i="3"/>
  <c r="AC306" i="3"/>
  <c r="X323" i="3"/>
  <c r="AQ142" i="3"/>
  <c r="X249" i="3"/>
  <c r="X1282" i="3"/>
  <c r="AC1299" i="3"/>
  <c r="AQ521" i="3"/>
  <c r="AC62" i="3"/>
  <c r="AQ881" i="3"/>
  <c r="X1132" i="3"/>
  <c r="X599" i="3"/>
  <c r="X461" i="3"/>
  <c r="X268" i="3"/>
  <c r="AC617" i="3"/>
  <c r="AQ238" i="3"/>
  <c r="AC1197" i="3"/>
  <c r="AQ607" i="3"/>
  <c r="AC477" i="3"/>
  <c r="X205" i="3"/>
  <c r="X25" i="3"/>
  <c r="AC372" i="3"/>
  <c r="AC593" i="3"/>
  <c r="AQ493" i="3"/>
  <c r="X1027" i="3"/>
  <c r="AQ314" i="3"/>
  <c r="AQ303" i="3"/>
  <c r="AC1187" i="3"/>
  <c r="X225" i="3"/>
  <c r="AQ1333" i="3"/>
  <c r="X1258" i="3"/>
  <c r="AQ481" i="3"/>
  <c r="AC1324" i="3"/>
  <c r="AC317" i="3"/>
  <c r="AQ911" i="3"/>
  <c r="X181" i="3"/>
  <c r="W1370" i="3"/>
  <c r="AQ1370" i="3"/>
  <c r="AC1370" i="3"/>
  <c r="X1370" i="3"/>
  <c r="AQ1356" i="3"/>
  <c r="AC1356" i="3"/>
  <c r="X1356" i="3"/>
  <c r="W1339" i="3"/>
  <c r="AQ1339" i="3"/>
  <c r="AC1339" i="3"/>
  <c r="X1339" i="3"/>
  <c r="AC1325" i="3"/>
  <c r="X1325" i="3"/>
  <c r="AQ1325" i="3"/>
  <c r="AQ1312" i="3"/>
  <c r="AC1312" i="3"/>
  <c r="X1312" i="3"/>
  <c r="W1300" i="3"/>
  <c r="AQ1300" i="3"/>
  <c r="AC1300" i="3"/>
  <c r="X1300" i="3"/>
  <c r="W1259" i="3"/>
  <c r="X1259" i="3"/>
  <c r="AC1259" i="3"/>
  <c r="AQ1259" i="3"/>
  <c r="W1244" i="3"/>
  <c r="AC1244" i="3"/>
  <c r="AQ1244" i="3"/>
  <c r="X1244" i="3"/>
  <c r="AC1188" i="3"/>
  <c r="AQ1188" i="3"/>
  <c r="X1188" i="3"/>
  <c r="AQ1174" i="3"/>
  <c r="AC1174" i="3"/>
  <c r="X1174" i="3"/>
  <c r="AQ1146" i="3"/>
  <c r="X1146" i="3"/>
  <c r="AC1146" i="3"/>
  <c r="AC1122" i="3"/>
  <c r="AQ1122" i="3"/>
  <c r="X1122" i="3"/>
  <c r="AC1107" i="3"/>
  <c r="AQ1107" i="3"/>
  <c r="X1107" i="3"/>
  <c r="W1092" i="3"/>
  <c r="X1092" i="3"/>
  <c r="AQ1092" i="3"/>
  <c r="AC1092" i="3"/>
  <c r="W1064" i="3"/>
  <c r="AC1064" i="3"/>
  <c r="AQ1064" i="3"/>
  <c r="X1064" i="3"/>
  <c r="AC1036" i="3"/>
  <c r="AQ1036" i="3"/>
  <c r="X1036" i="3"/>
  <c r="W1022" i="3"/>
  <c r="AQ1022" i="3"/>
  <c r="X1022" i="3"/>
  <c r="AC1022" i="3"/>
  <c r="W976" i="3"/>
  <c r="AC976" i="3"/>
  <c r="X976" i="3"/>
  <c r="AQ976" i="3"/>
  <c r="W962" i="3"/>
  <c r="X962" i="3"/>
  <c r="AQ962" i="3"/>
  <c r="AC962" i="3"/>
  <c r="AQ946" i="3"/>
  <c r="AC946" i="3"/>
  <c r="X946" i="3"/>
  <c r="W930" i="3"/>
  <c r="X930" i="3"/>
  <c r="AQ930" i="3"/>
  <c r="AC930" i="3"/>
  <c r="AC914" i="3"/>
  <c r="AQ914" i="3"/>
  <c r="X914" i="3"/>
  <c r="AQ898" i="3"/>
  <c r="AC898" i="3"/>
  <c r="X898" i="3"/>
  <c r="W882" i="3"/>
  <c r="AC882" i="3"/>
  <c r="X882" i="3"/>
  <c r="AQ882" i="3"/>
  <c r="W868" i="3"/>
  <c r="AC868" i="3"/>
  <c r="X868" i="3"/>
  <c r="AQ868" i="3"/>
  <c r="W854" i="3"/>
  <c r="AQ854" i="3"/>
  <c r="X854" i="3"/>
  <c r="AC854" i="3"/>
  <c r="AQ838" i="3"/>
  <c r="X838" i="3"/>
  <c r="AC838" i="3"/>
  <c r="X796" i="3"/>
  <c r="AQ796" i="3"/>
  <c r="AC796" i="3"/>
  <c r="X780" i="3"/>
  <c r="AC780" i="3"/>
  <c r="AQ780" i="3"/>
  <c r="AC750" i="3"/>
  <c r="AQ750" i="3"/>
  <c r="X750" i="3"/>
  <c r="AC734" i="3"/>
  <c r="X734" i="3"/>
  <c r="AQ734" i="3"/>
  <c r="AC720" i="3"/>
  <c r="X720" i="3"/>
  <c r="AQ720" i="3"/>
  <c r="W688" i="3"/>
  <c r="AC688" i="3"/>
  <c r="X688" i="3"/>
  <c r="AQ688" i="3"/>
  <c r="AC614" i="3"/>
  <c r="X614" i="3"/>
  <c r="AQ614" i="3"/>
  <c r="W572" i="3"/>
  <c r="AC572" i="3"/>
  <c r="X572" i="3"/>
  <c r="AQ572" i="3"/>
  <c r="AQ558" i="3"/>
  <c r="AC558" i="3"/>
  <c r="X558" i="3"/>
  <c r="W543" i="3"/>
  <c r="X543" i="3"/>
  <c r="AC543" i="3"/>
  <c r="AQ543" i="3"/>
  <c r="W528" i="3"/>
  <c r="X528" i="3"/>
  <c r="AC528" i="3"/>
  <c r="AQ528" i="3"/>
  <c r="AC498" i="3"/>
  <c r="X498" i="3"/>
  <c r="AQ498" i="3"/>
  <c r="W482" i="3"/>
  <c r="X482" i="3"/>
  <c r="AQ482" i="3"/>
  <c r="AC482" i="3"/>
  <c r="AC466" i="3"/>
  <c r="AQ466" i="3"/>
  <c r="X466" i="3"/>
  <c r="AC452" i="3"/>
  <c r="X452" i="3"/>
  <c r="AQ452" i="3"/>
  <c r="AQ438" i="3"/>
  <c r="AC438" i="3"/>
  <c r="X438" i="3"/>
  <c r="W406" i="3"/>
  <c r="AQ406" i="3"/>
  <c r="AC406" i="3"/>
  <c r="X406" i="3"/>
  <c r="W392" i="3"/>
  <c r="AC392" i="3"/>
  <c r="AQ392" i="3"/>
  <c r="X392" i="3"/>
  <c r="W376" i="3"/>
  <c r="AQ376" i="3"/>
  <c r="AC376" i="3"/>
  <c r="X376" i="3"/>
  <c r="W364" i="3"/>
  <c r="AC364" i="3"/>
  <c r="X364" i="3"/>
  <c r="AQ364" i="3"/>
  <c r="W348" i="3"/>
  <c r="AC348" i="3"/>
  <c r="X348" i="3"/>
  <c r="AQ348" i="3"/>
  <c r="AC336" i="3"/>
  <c r="X336" i="3"/>
  <c r="AQ336" i="3"/>
  <c r="AC322" i="3"/>
  <c r="X322" i="3"/>
  <c r="AQ322" i="3"/>
  <c r="AQ310" i="3"/>
  <c r="AC310" i="3"/>
  <c r="X310" i="3"/>
  <c r="W298" i="3"/>
  <c r="AC298" i="3"/>
  <c r="X298" i="3"/>
  <c r="AQ298" i="3"/>
  <c r="AQ284" i="3"/>
  <c r="AC284" i="3"/>
  <c r="X284" i="3"/>
  <c r="AC272" i="3"/>
  <c r="X272" i="3"/>
  <c r="AQ272" i="3"/>
  <c r="AQ260" i="3"/>
  <c r="AC260" i="3"/>
  <c r="X260" i="3"/>
  <c r="AC248" i="3"/>
  <c r="AQ248" i="3"/>
  <c r="X248" i="3"/>
  <c r="X236" i="3"/>
  <c r="AQ236" i="3"/>
  <c r="AC236" i="3"/>
  <c r="AC210" i="3"/>
  <c r="X210" i="3"/>
  <c r="AQ210" i="3"/>
  <c r="AC179" i="3"/>
  <c r="X179" i="3"/>
  <c r="AQ179" i="3"/>
  <c r="X165" i="3"/>
  <c r="AQ165" i="3"/>
  <c r="AC165" i="3"/>
  <c r="AC151" i="3"/>
  <c r="X151" i="3"/>
  <c r="AQ151" i="3"/>
  <c r="AQ101" i="3"/>
  <c r="AC101" i="3"/>
  <c r="X101" i="3"/>
  <c r="W89" i="3"/>
  <c r="AQ89" i="3"/>
  <c r="AC89" i="3"/>
  <c r="X89" i="3"/>
  <c r="AC41" i="3"/>
  <c r="X41" i="3"/>
  <c r="AQ41" i="3"/>
  <c r="AC3" i="3"/>
  <c r="AQ3" i="3"/>
  <c r="X3" i="3"/>
  <c r="AC412" i="3"/>
  <c r="AQ429" i="3"/>
  <c r="X171" i="3"/>
  <c r="X107" i="3"/>
  <c r="AQ232" i="3"/>
  <c r="X309" i="3"/>
  <c r="X223" i="3"/>
  <c r="AC108" i="3"/>
  <c r="X1175" i="3"/>
  <c r="AQ657" i="3"/>
  <c r="X1254" i="3"/>
  <c r="AQ899" i="3"/>
  <c r="X753" i="3"/>
  <c r="X293" i="3"/>
  <c r="AC1247" i="3"/>
  <c r="AQ1263" i="3"/>
  <c r="AQ1093" i="3"/>
  <c r="X228" i="3"/>
  <c r="AQ810" i="3"/>
  <c r="X669" i="3"/>
  <c r="AQ16" i="3"/>
  <c r="X749" i="3"/>
  <c r="X24" i="3"/>
  <c r="AQ1366" i="3"/>
  <c r="X53" i="3"/>
  <c r="AQ1087" i="3"/>
  <c r="AC803" i="3"/>
  <c r="AC673" i="3"/>
  <c r="AQ814" i="3"/>
  <c r="AQ907" i="3"/>
  <c r="AC443" i="3"/>
  <c r="X867" i="3"/>
  <c r="AQ1003" i="3"/>
  <c r="AC1160" i="3"/>
  <c r="AQ1299" i="3"/>
  <c r="X881" i="3"/>
  <c r="AQ461" i="3"/>
  <c r="AQ617" i="3"/>
  <c r="AC25" i="3"/>
  <c r="AQ372" i="3"/>
  <c r="AQ593" i="3"/>
  <c r="X493" i="3"/>
  <c r="AQ1027" i="3"/>
  <c r="X314" i="3"/>
  <c r="AC303" i="3"/>
  <c r="X1187" i="3"/>
  <c r="AC225" i="3"/>
  <c r="AC1333" i="3"/>
  <c r="AQ1258" i="3"/>
  <c r="X481" i="3"/>
  <c r="X1324" i="3"/>
  <c r="AQ317" i="3"/>
  <c r="X911" i="3"/>
  <c r="AQ181" i="3"/>
  <c r="W1369" i="3"/>
  <c r="AC1369" i="3"/>
  <c r="X1369" i="3"/>
  <c r="AQ1369" i="3"/>
  <c r="AQ1354" i="3"/>
  <c r="X1354" i="3"/>
  <c r="AC1354" i="3"/>
  <c r="W1338" i="3"/>
  <c r="AQ1338" i="3"/>
  <c r="AC1338" i="3"/>
  <c r="X1338" i="3"/>
  <c r="AC1311" i="3"/>
  <c r="X1311" i="3"/>
  <c r="AQ1311" i="3"/>
  <c r="AQ1272" i="3"/>
  <c r="AC1272" i="3"/>
  <c r="X1272" i="3"/>
  <c r="W1228" i="3"/>
  <c r="AQ1228" i="3"/>
  <c r="X1228" i="3"/>
  <c r="AC1228" i="3"/>
  <c r="AC1202" i="3"/>
  <c r="X1202" i="3"/>
  <c r="AQ1202" i="3"/>
  <c r="W1159" i="3"/>
  <c r="AC1159" i="3"/>
  <c r="AQ1159" i="3"/>
  <c r="X1159" i="3"/>
  <c r="X1145" i="3"/>
  <c r="AC1145" i="3"/>
  <c r="AQ1145" i="3"/>
  <c r="AQ1121" i="3"/>
  <c r="X1121" i="3"/>
  <c r="AC1121" i="3"/>
  <c r="W1106" i="3"/>
  <c r="AC1106" i="3"/>
  <c r="AQ1106" i="3"/>
  <c r="X1106" i="3"/>
  <c r="W1090" i="3"/>
  <c r="AQ1090" i="3"/>
  <c r="X1090" i="3"/>
  <c r="AC1090" i="3"/>
  <c r="W1076" i="3"/>
  <c r="X1076" i="3"/>
  <c r="AC1076" i="3"/>
  <c r="AQ1076" i="3"/>
  <c r="W1050" i="3"/>
  <c r="X1050" i="3"/>
  <c r="AC1050" i="3"/>
  <c r="AQ1050" i="3"/>
  <c r="W1020" i="3"/>
  <c r="X1020" i="3"/>
  <c r="AC1020" i="3"/>
  <c r="AQ1020" i="3"/>
  <c r="AQ1006" i="3"/>
  <c r="X1006" i="3"/>
  <c r="AC1006" i="3"/>
  <c r="AC990" i="3"/>
  <c r="X990" i="3"/>
  <c r="AQ990" i="3"/>
  <c r="W960" i="3"/>
  <c r="X960" i="3"/>
  <c r="AC960" i="3"/>
  <c r="AQ960" i="3"/>
  <c r="X944" i="3"/>
  <c r="AQ944" i="3"/>
  <c r="AC944" i="3"/>
  <c r="AC928" i="3"/>
  <c r="X928" i="3"/>
  <c r="AQ928" i="3"/>
  <c r="AQ912" i="3"/>
  <c r="AC912" i="3"/>
  <c r="X912" i="3"/>
  <c r="AC896" i="3"/>
  <c r="X896" i="3"/>
  <c r="AQ896" i="3"/>
  <c r="X852" i="3"/>
  <c r="AC852" i="3"/>
  <c r="AQ852" i="3"/>
  <c r="AC836" i="3"/>
  <c r="X836" i="3"/>
  <c r="AQ836" i="3"/>
  <c r="X822" i="3"/>
  <c r="AQ822" i="3"/>
  <c r="AC822" i="3"/>
  <c r="W808" i="3"/>
  <c r="X808" i="3"/>
  <c r="AQ808" i="3"/>
  <c r="AC808" i="3"/>
  <c r="AC764" i="3"/>
  <c r="X764" i="3"/>
  <c r="AQ764" i="3"/>
  <c r="AQ718" i="3"/>
  <c r="X718" i="3"/>
  <c r="AC718" i="3"/>
  <c r="AQ702" i="3"/>
  <c r="AC702" i="3"/>
  <c r="X702" i="3"/>
  <c r="AQ686" i="3"/>
  <c r="AC686" i="3"/>
  <c r="X686" i="3"/>
  <c r="W672" i="3"/>
  <c r="X672" i="3"/>
  <c r="AQ672" i="3"/>
  <c r="AC672" i="3"/>
  <c r="X658" i="3"/>
  <c r="AC658" i="3"/>
  <c r="AQ658" i="3"/>
  <c r="AC644" i="3"/>
  <c r="X644" i="3"/>
  <c r="AQ644" i="3"/>
  <c r="W628" i="3"/>
  <c r="X628" i="3"/>
  <c r="AC628" i="3"/>
  <c r="AQ628" i="3"/>
  <c r="X600" i="3"/>
  <c r="AC600" i="3"/>
  <c r="AQ600" i="3"/>
  <c r="AC586" i="3"/>
  <c r="AQ586" i="3"/>
  <c r="X586" i="3"/>
  <c r="X542" i="3"/>
  <c r="AC542" i="3"/>
  <c r="AQ542" i="3"/>
  <c r="AQ526" i="3"/>
  <c r="X526" i="3"/>
  <c r="AC526" i="3"/>
  <c r="W512" i="3"/>
  <c r="X512" i="3"/>
  <c r="AQ512" i="3"/>
  <c r="AC512" i="3"/>
  <c r="W450" i="3"/>
  <c r="AQ450" i="3"/>
  <c r="X450" i="3"/>
  <c r="AC450" i="3"/>
  <c r="X436" i="3"/>
  <c r="AQ436" i="3"/>
  <c r="AC436" i="3"/>
  <c r="W422" i="3"/>
  <c r="AC422" i="3"/>
  <c r="X422" i="3"/>
  <c r="AQ422" i="3"/>
  <c r="W405" i="3"/>
  <c r="AC405" i="3"/>
  <c r="X405" i="3"/>
  <c r="AQ405" i="3"/>
  <c r="AC390" i="3"/>
  <c r="AQ390" i="3"/>
  <c r="X390" i="3"/>
  <c r="W347" i="3"/>
  <c r="AC347" i="3"/>
  <c r="X347" i="3"/>
  <c r="AQ347" i="3"/>
  <c r="X334" i="3"/>
  <c r="AQ334" i="3"/>
  <c r="AC334" i="3"/>
  <c r="X321" i="3"/>
  <c r="AQ321" i="3"/>
  <c r="AC321" i="3"/>
  <c r="W297" i="3"/>
  <c r="AC297" i="3"/>
  <c r="X297" i="3"/>
  <c r="AQ297" i="3"/>
  <c r="X259" i="3"/>
  <c r="AQ259" i="3"/>
  <c r="AC259" i="3"/>
  <c r="AC209" i="3"/>
  <c r="X209" i="3"/>
  <c r="AQ209" i="3"/>
  <c r="AQ192" i="3"/>
  <c r="X192" i="3"/>
  <c r="AC192" i="3"/>
  <c r="AC178" i="3"/>
  <c r="X178" i="3"/>
  <c r="AQ178" i="3"/>
  <c r="AQ164" i="3"/>
  <c r="AC164" i="3"/>
  <c r="X164" i="3"/>
  <c r="W136" i="3"/>
  <c r="AQ136" i="3"/>
  <c r="X136" i="3"/>
  <c r="AC136" i="3"/>
  <c r="AC124" i="3"/>
  <c r="X124" i="3"/>
  <c r="AQ124" i="3"/>
  <c r="W112" i="3"/>
  <c r="AC112" i="3"/>
  <c r="X112" i="3"/>
  <c r="AQ112" i="3"/>
  <c r="AC100" i="3"/>
  <c r="X100" i="3"/>
  <c r="AQ100" i="3"/>
  <c r="AC76" i="3"/>
  <c r="X76" i="3"/>
  <c r="AQ76" i="3"/>
  <c r="AC64" i="3"/>
  <c r="X64" i="3"/>
  <c r="AQ64" i="3"/>
  <c r="W52" i="3"/>
  <c r="AC52" i="3"/>
  <c r="AQ52" i="3"/>
  <c r="X52" i="3"/>
  <c r="AC40" i="3"/>
  <c r="AQ40" i="3"/>
  <c r="X40" i="3"/>
  <c r="W28" i="3"/>
  <c r="AC28" i="3"/>
  <c r="X28" i="3"/>
  <c r="AQ28" i="3"/>
  <c r="AQ412" i="3"/>
  <c r="X429" i="3"/>
  <c r="AC171" i="3"/>
  <c r="AC107" i="3"/>
  <c r="X232" i="3"/>
  <c r="AC309" i="3"/>
  <c r="AC223" i="3"/>
  <c r="X108" i="3"/>
  <c r="AQ1175" i="3"/>
  <c r="X657" i="3"/>
  <c r="AC1254" i="3"/>
  <c r="X899" i="3"/>
  <c r="AC753" i="3"/>
  <c r="AC293" i="3"/>
  <c r="X1247" i="3"/>
  <c r="X1263" i="3"/>
  <c r="AC1093" i="3"/>
  <c r="AC228" i="3"/>
  <c r="X810" i="3"/>
  <c r="AC669" i="3"/>
  <c r="X16" i="3"/>
  <c r="AQ749" i="3"/>
  <c r="AC807" i="3"/>
  <c r="AQ308" i="3"/>
  <c r="AQ671" i="3"/>
  <c r="AQ983" i="3"/>
  <c r="AQ839" i="3"/>
  <c r="X653" i="3"/>
  <c r="AQ1007" i="3"/>
  <c r="X1113" i="3"/>
  <c r="AQ408" i="3"/>
  <c r="AQ97" i="3"/>
  <c r="AQ795" i="3"/>
  <c r="AQ1173" i="3"/>
  <c r="AQ987" i="3"/>
  <c r="AQ603" i="3"/>
  <c r="AQ865" i="3"/>
  <c r="X93" i="3"/>
  <c r="AC1331" i="3"/>
  <c r="AQ755" i="3"/>
  <c r="X1083" i="3"/>
  <c r="X453" i="3"/>
  <c r="X286" i="3"/>
  <c r="X226" i="3"/>
  <c r="X1185" i="3"/>
  <c r="X1235" i="3"/>
  <c r="AQ102" i="3"/>
  <c r="AQ685" i="3"/>
  <c r="AQ122" i="3"/>
  <c r="AQ1049" i="3"/>
  <c r="AQ375" i="3"/>
  <c r="AQ733" i="3"/>
  <c r="AC20" i="3"/>
  <c r="X1071" i="3"/>
  <c r="AQ831" i="3"/>
  <c r="AQ513" i="3"/>
  <c r="AC356" i="3"/>
  <c r="X489" i="3"/>
  <c r="AC1135" i="3"/>
  <c r="AQ877" i="3"/>
  <c r="AC79" i="3"/>
  <c r="AQ204" i="3"/>
  <c r="X147" i="3"/>
  <c r="AQ433" i="3"/>
  <c r="AQ717" i="3"/>
  <c r="AC943" i="3"/>
  <c r="AQ645" i="3"/>
  <c r="AQ927" i="3"/>
  <c r="AC519" i="3"/>
  <c r="X1195" i="3"/>
  <c r="AQ402" i="3"/>
  <c r="X271" i="3"/>
  <c r="AQ435" i="3"/>
  <c r="AQ439" i="3"/>
  <c r="X1062" i="3"/>
  <c r="X261" i="3"/>
  <c r="AC737" i="3"/>
  <c r="AC1039" i="3"/>
  <c r="AQ45" i="3"/>
  <c r="X597" i="3"/>
  <c r="X73" i="3"/>
  <c r="AC1292" i="3"/>
  <c r="X665" i="3"/>
  <c r="AC1027" i="3"/>
  <c r="AC1258" i="3"/>
  <c r="AC481" i="3"/>
  <c r="AC181" i="3"/>
  <c r="AC429" i="3"/>
  <c r="AQ107" i="3"/>
  <c r="AQ108" i="3"/>
  <c r="AC1175" i="3"/>
  <c r="AQ1254" i="3"/>
  <c r="AQ1247" i="3"/>
  <c r="AC1263" i="3"/>
  <c r="X1093" i="3"/>
  <c r="AC810" i="3"/>
  <c r="AQ807" i="3"/>
  <c r="X308" i="3"/>
  <c r="X671" i="3"/>
  <c r="X983" i="3"/>
  <c r="X839" i="3"/>
  <c r="AQ653" i="3"/>
  <c r="X1007" i="3"/>
  <c r="AC1113" i="3"/>
  <c r="X408" i="3"/>
  <c r="X97" i="3"/>
  <c r="AC795" i="3"/>
  <c r="AC1173" i="3"/>
  <c r="X987" i="3"/>
  <c r="AC603" i="3"/>
  <c r="X865" i="3"/>
  <c r="AQ93" i="3"/>
  <c r="X1331" i="3"/>
  <c r="X755" i="3"/>
  <c r="AQ1083" i="3"/>
  <c r="AC453" i="3"/>
  <c r="AQ286" i="3"/>
  <c r="AQ226" i="3"/>
  <c r="AQ1185" i="3"/>
  <c r="AQ1235" i="3"/>
  <c r="X102" i="3"/>
  <c r="X685" i="3"/>
  <c r="X122" i="3"/>
  <c r="X1049" i="3"/>
  <c r="X375" i="3"/>
  <c r="X733" i="3"/>
  <c r="AQ20" i="3"/>
  <c r="AQ1071" i="3"/>
  <c r="AC831" i="3"/>
  <c r="X513" i="3"/>
  <c r="AQ356" i="3"/>
  <c r="AC489" i="3"/>
  <c r="X1135" i="3"/>
  <c r="X877" i="3"/>
  <c r="AQ79" i="3"/>
  <c r="X204" i="3"/>
  <c r="AC147" i="3"/>
  <c r="X433" i="3"/>
  <c r="X717" i="3"/>
  <c r="AQ943" i="3"/>
  <c r="X645" i="3"/>
  <c r="X927" i="3"/>
  <c r="AQ519" i="3"/>
  <c r="AC1195" i="3"/>
  <c r="X402" i="3"/>
  <c r="AC271" i="3"/>
  <c r="AC435" i="3"/>
  <c r="X439" i="3"/>
  <c r="AQ1062" i="3"/>
  <c r="AC261" i="3"/>
  <c r="AQ737" i="3"/>
  <c r="X1039" i="3"/>
  <c r="X45" i="3"/>
  <c r="AC597" i="3"/>
  <c r="AQ73" i="3"/>
  <c r="X1292" i="3"/>
  <c r="AC665" i="3"/>
  <c r="AQ344" i="3"/>
  <c r="AQ153" i="3"/>
  <c r="AQ975" i="3"/>
  <c r="AQ235" i="3"/>
  <c r="X1307" i="3"/>
  <c r="AC141" i="3"/>
  <c r="X931" i="3"/>
  <c r="X396" i="3"/>
  <c r="AQ775" i="3"/>
  <c r="X219" i="3"/>
  <c r="AC38" i="3"/>
  <c r="AQ274" i="3"/>
  <c r="X713" i="3"/>
  <c r="X1069" i="3"/>
  <c r="AQ229" i="3"/>
  <c r="X1293" i="3"/>
  <c r="AC106" i="3"/>
  <c r="AC15" i="3"/>
  <c r="W1367" i="3"/>
  <c r="X1367" i="3"/>
  <c r="AC1367" i="3"/>
  <c r="AQ1367" i="3"/>
  <c r="AQ1352" i="3"/>
  <c r="AC1352" i="3"/>
  <c r="X1352" i="3"/>
  <c r="W1336" i="3"/>
  <c r="AQ1336" i="3"/>
  <c r="AC1336" i="3"/>
  <c r="X1336" i="3"/>
  <c r="X1321" i="3"/>
  <c r="AC1321" i="3"/>
  <c r="AQ1321" i="3"/>
  <c r="AC1309" i="3"/>
  <c r="X1309" i="3"/>
  <c r="AQ1309" i="3"/>
  <c r="AQ1284" i="3"/>
  <c r="AC1284" i="3"/>
  <c r="X1284" i="3"/>
  <c r="W1240" i="3"/>
  <c r="X1240" i="3"/>
  <c r="AC1240" i="3"/>
  <c r="AQ1240" i="3"/>
  <c r="W1226" i="3"/>
  <c r="AC1226" i="3"/>
  <c r="AQ1226" i="3"/>
  <c r="X1226" i="3"/>
  <c r="AQ1170" i="3"/>
  <c r="X1170" i="3"/>
  <c r="AC1170" i="3"/>
  <c r="W1155" i="3"/>
  <c r="AC1155" i="3"/>
  <c r="AQ1155" i="3"/>
  <c r="X1155" i="3"/>
  <c r="W1143" i="3"/>
  <c r="AQ1143" i="3"/>
  <c r="X1143" i="3"/>
  <c r="AC1143" i="3"/>
  <c r="AQ1131" i="3"/>
  <c r="X1131" i="3"/>
  <c r="AC1131" i="3"/>
  <c r="X1118" i="3"/>
  <c r="AQ1118" i="3"/>
  <c r="AC1118" i="3"/>
  <c r="X1102" i="3"/>
  <c r="AC1102" i="3"/>
  <c r="AQ1102" i="3"/>
  <c r="W1048" i="3"/>
  <c r="AQ1048" i="3"/>
  <c r="X1048" i="3"/>
  <c r="AC1048" i="3"/>
  <c r="X1032" i="3"/>
  <c r="AQ1032" i="3"/>
  <c r="AC1032" i="3"/>
  <c r="W1018" i="3"/>
  <c r="AC1018" i="3"/>
  <c r="AQ1018" i="3"/>
  <c r="X1018" i="3"/>
  <c r="AQ972" i="3"/>
  <c r="AC972" i="3"/>
  <c r="X972" i="3"/>
  <c r="AQ958" i="3"/>
  <c r="X958" i="3"/>
  <c r="AC958" i="3"/>
  <c r="AC942" i="3"/>
  <c r="X942" i="3"/>
  <c r="AQ942" i="3"/>
  <c r="AQ926" i="3"/>
  <c r="AC926" i="3"/>
  <c r="X926" i="3"/>
  <c r="X910" i="3"/>
  <c r="AQ910" i="3"/>
  <c r="AC910" i="3"/>
  <c r="AQ894" i="3"/>
  <c r="AC894" i="3"/>
  <c r="X894" i="3"/>
  <c r="W850" i="3"/>
  <c r="X850" i="3"/>
  <c r="AC850" i="3"/>
  <c r="AQ850" i="3"/>
  <c r="AC834" i="3"/>
  <c r="AQ834" i="3"/>
  <c r="X834" i="3"/>
  <c r="W820" i="3"/>
  <c r="AQ820" i="3"/>
  <c r="AC820" i="3"/>
  <c r="X820" i="3"/>
  <c r="AC792" i="3"/>
  <c r="X792" i="3"/>
  <c r="AQ792" i="3"/>
  <c r="AC776" i="3"/>
  <c r="AQ776" i="3"/>
  <c r="X776" i="3"/>
  <c r="X746" i="3"/>
  <c r="AQ746" i="3"/>
  <c r="AC746" i="3"/>
  <c r="X730" i="3"/>
  <c r="AQ730" i="3"/>
  <c r="AC730" i="3"/>
  <c r="W716" i="3"/>
  <c r="AC716" i="3"/>
  <c r="X716" i="3"/>
  <c r="AQ716" i="3"/>
  <c r="W700" i="3"/>
  <c r="AC700" i="3"/>
  <c r="AQ700" i="3"/>
  <c r="X700" i="3"/>
  <c r="W684" i="3"/>
  <c r="AQ684" i="3"/>
  <c r="AC684" i="3"/>
  <c r="X684" i="3"/>
  <c r="AC670" i="3"/>
  <c r="AQ670" i="3"/>
  <c r="X670" i="3"/>
  <c r="W656" i="3"/>
  <c r="AC656" i="3"/>
  <c r="X656" i="3"/>
  <c r="AQ656" i="3"/>
  <c r="W626" i="3"/>
  <c r="AC626" i="3"/>
  <c r="AQ626" i="3"/>
  <c r="X626" i="3"/>
  <c r="W598" i="3"/>
  <c r="X598" i="3"/>
  <c r="AC598" i="3"/>
  <c r="AQ598" i="3"/>
  <c r="AC584" i="3"/>
  <c r="AQ584" i="3"/>
  <c r="X584" i="3"/>
  <c r="AQ540" i="3"/>
  <c r="AC540" i="3"/>
  <c r="X540" i="3"/>
  <c r="AC524" i="3"/>
  <c r="X524" i="3"/>
  <c r="AQ524" i="3"/>
  <c r="AQ494" i="3"/>
  <c r="AC494" i="3"/>
  <c r="X494" i="3"/>
  <c r="AC478" i="3"/>
  <c r="X478" i="3"/>
  <c r="AQ478" i="3"/>
  <c r="W462" i="3"/>
  <c r="AC462" i="3"/>
  <c r="AQ462" i="3"/>
  <c r="X462" i="3"/>
  <c r="W448" i="3"/>
  <c r="AC448" i="3"/>
  <c r="X448" i="3"/>
  <c r="AQ448" i="3"/>
  <c r="W434" i="3"/>
  <c r="AQ434" i="3"/>
  <c r="X434" i="3"/>
  <c r="AC434" i="3"/>
  <c r="AQ418" i="3"/>
  <c r="X418" i="3"/>
  <c r="AC418" i="3"/>
  <c r="AQ403" i="3"/>
  <c r="AC403" i="3"/>
  <c r="X403" i="3"/>
  <c r="W387" i="3"/>
  <c r="AC387" i="3"/>
  <c r="X387" i="3"/>
  <c r="AQ387" i="3"/>
  <c r="W373" i="3"/>
  <c r="AC373" i="3"/>
  <c r="X373" i="3"/>
  <c r="AQ373" i="3"/>
  <c r="W361" i="3"/>
  <c r="AC361" i="3"/>
  <c r="AQ361" i="3"/>
  <c r="X361" i="3"/>
  <c r="X332" i="3"/>
  <c r="AQ332" i="3"/>
  <c r="AC332" i="3"/>
  <c r="AQ319" i="3"/>
  <c r="X319" i="3"/>
  <c r="AC319" i="3"/>
  <c r="AC295" i="3"/>
  <c r="X295" i="3"/>
  <c r="AQ295" i="3"/>
  <c r="X281" i="3"/>
  <c r="AQ281" i="3"/>
  <c r="AC281" i="3"/>
  <c r="X269" i="3"/>
  <c r="AQ269" i="3"/>
  <c r="AC269" i="3"/>
  <c r="AC257" i="3"/>
  <c r="AQ257" i="3"/>
  <c r="X257" i="3"/>
  <c r="X245" i="3"/>
  <c r="AC245" i="3"/>
  <c r="AQ245" i="3"/>
  <c r="X233" i="3"/>
  <c r="AC233" i="3"/>
  <c r="AQ233" i="3"/>
  <c r="AQ221" i="3"/>
  <c r="AC221" i="3"/>
  <c r="X221" i="3"/>
  <c r="X189" i="3"/>
  <c r="AQ189" i="3"/>
  <c r="AC189" i="3"/>
  <c r="AC176" i="3"/>
  <c r="AQ176" i="3"/>
  <c r="X176" i="3"/>
  <c r="X160" i="3"/>
  <c r="AC160" i="3"/>
  <c r="AQ160" i="3"/>
  <c r="AC148" i="3"/>
  <c r="AQ148" i="3"/>
  <c r="X148" i="3"/>
  <c r="W110" i="3"/>
  <c r="AQ110" i="3"/>
  <c r="AC110" i="3"/>
  <c r="X110" i="3"/>
  <c r="AQ98" i="3"/>
  <c r="AC98" i="3"/>
  <c r="X98" i="3"/>
  <c r="AQ86" i="3"/>
  <c r="AC86" i="3"/>
  <c r="X86" i="3"/>
  <c r="AC50" i="3"/>
  <c r="X50" i="3"/>
  <c r="AQ50" i="3"/>
  <c r="AC13" i="3"/>
  <c r="X13" i="3"/>
  <c r="AQ13" i="3"/>
  <c r="AQ501" i="3"/>
  <c r="X1043" i="3"/>
  <c r="AQ1023" i="3"/>
  <c r="AQ39" i="3"/>
  <c r="AQ771" i="3"/>
  <c r="X681" i="3"/>
  <c r="X1260" i="3"/>
  <c r="AQ802" i="3"/>
  <c r="AQ533" i="3"/>
  <c r="AQ447" i="3"/>
  <c r="AQ1147" i="3"/>
  <c r="AQ577" i="3"/>
  <c r="AQ175" i="3"/>
  <c r="AQ113" i="3"/>
  <c r="AQ1215" i="3"/>
  <c r="AC1281" i="3"/>
  <c r="AQ563" i="3"/>
  <c r="AQ659" i="3"/>
  <c r="X1261" i="3"/>
  <c r="X1243" i="3"/>
  <c r="AQ29" i="3"/>
  <c r="AC557" i="3"/>
  <c r="AQ1015" i="3"/>
  <c r="X12" i="3"/>
  <c r="X807" i="3"/>
  <c r="AC671" i="3"/>
  <c r="AC987" i="3"/>
  <c r="AC865" i="3"/>
  <c r="AQ1331" i="3"/>
  <c r="AC755" i="3"/>
  <c r="AQ453" i="3"/>
  <c r="AC1235" i="3"/>
  <c r="AC102" i="3"/>
  <c r="AC1049" i="3"/>
  <c r="AC375" i="3"/>
  <c r="AC513" i="3"/>
  <c r="AQ489" i="3"/>
  <c r="AC433" i="3"/>
  <c r="AC645" i="3"/>
  <c r="AC439" i="3"/>
  <c r="AC1062" i="3"/>
  <c r="X737" i="3"/>
  <c r="AQ1039" i="3"/>
  <c r="AQ597" i="3"/>
  <c r="AQ1292" i="3"/>
  <c r="AC344" i="3"/>
  <c r="AC153" i="3"/>
  <c r="X975" i="3"/>
  <c r="X235" i="3"/>
  <c r="AC1307" i="3"/>
  <c r="AQ141" i="3"/>
  <c r="AQ931" i="3"/>
  <c r="AC396" i="3"/>
  <c r="X775" i="3"/>
  <c r="AC219" i="3"/>
  <c r="X38" i="3"/>
  <c r="X274" i="3"/>
  <c r="AQ713" i="3"/>
  <c r="AQ1069" i="3"/>
  <c r="X229" i="3"/>
  <c r="AC1293" i="3"/>
  <c r="AQ106" i="3"/>
  <c r="AQ15" i="3"/>
  <c r="W1172" i="3"/>
  <c r="AC1172" i="3"/>
  <c r="AQ1172" i="3"/>
  <c r="X1172" i="3"/>
  <c r="AQ1120" i="3"/>
  <c r="X1120" i="3"/>
  <c r="AC1120" i="3"/>
  <c r="W1088" i="3"/>
  <c r="X1088" i="3"/>
  <c r="AC1088" i="3"/>
  <c r="AQ1088" i="3"/>
  <c r="AC1034" i="3"/>
  <c r="AQ1034" i="3"/>
  <c r="X1034" i="3"/>
  <c r="W988" i="3"/>
  <c r="AQ988" i="3"/>
  <c r="AC988" i="3"/>
  <c r="X988" i="3"/>
  <c r="X880" i="3"/>
  <c r="AC880" i="3"/>
  <c r="AQ880" i="3"/>
  <c r="AC794" i="3"/>
  <c r="X794" i="3"/>
  <c r="AQ794" i="3"/>
  <c r="AC762" i="3"/>
  <c r="X762" i="3"/>
  <c r="AQ762" i="3"/>
  <c r="W732" i="3"/>
  <c r="X732" i="3"/>
  <c r="AC732" i="3"/>
  <c r="AQ732" i="3"/>
  <c r="AC642" i="3"/>
  <c r="AQ642" i="3"/>
  <c r="X642" i="3"/>
  <c r="AC612" i="3"/>
  <c r="X612" i="3"/>
  <c r="AQ612" i="3"/>
  <c r="AC464" i="3"/>
  <c r="X464" i="3"/>
  <c r="AQ464" i="3"/>
  <c r="W362" i="3"/>
  <c r="AQ362" i="3"/>
  <c r="AC362" i="3"/>
  <c r="X362" i="3"/>
  <c r="W296" i="3"/>
  <c r="X296" i="3"/>
  <c r="AQ296" i="3"/>
  <c r="AC296" i="3"/>
  <c r="X270" i="3"/>
  <c r="AQ270" i="3"/>
  <c r="AC270" i="3"/>
  <c r="AC191" i="3"/>
  <c r="X191" i="3"/>
  <c r="AQ191" i="3"/>
  <c r="AC161" i="3"/>
  <c r="X161" i="3"/>
  <c r="AQ161" i="3"/>
  <c r="W135" i="3"/>
  <c r="AQ135" i="3"/>
  <c r="AC135" i="3"/>
  <c r="X135" i="3"/>
  <c r="W111" i="3"/>
  <c r="X111" i="3"/>
  <c r="AC111" i="3"/>
  <c r="AQ111" i="3"/>
  <c r="AQ87" i="3"/>
  <c r="AC87" i="3"/>
  <c r="X87" i="3"/>
  <c r="X63" i="3"/>
  <c r="AQ63" i="3"/>
  <c r="AC63" i="3"/>
  <c r="AC14" i="3"/>
  <c r="X14" i="3"/>
  <c r="AQ14" i="3"/>
  <c r="AQ11" i="3"/>
  <c r="AC11" i="3"/>
  <c r="X11" i="3"/>
  <c r="AQ1334" i="3"/>
  <c r="X1334" i="3"/>
  <c r="AC1334" i="3"/>
  <c r="W1308" i="3"/>
  <c r="AQ1308" i="3"/>
  <c r="AC1308" i="3"/>
  <c r="X1308" i="3"/>
  <c r="AC1268" i="3"/>
  <c r="AQ1268" i="3"/>
  <c r="X1268" i="3"/>
  <c r="W1224" i="3"/>
  <c r="AQ1224" i="3"/>
  <c r="X1224" i="3"/>
  <c r="AC1224" i="3"/>
  <c r="AC1214" i="3"/>
  <c r="AQ1214" i="3"/>
  <c r="X1214" i="3"/>
  <c r="AC1198" i="3"/>
  <c r="X1198" i="3"/>
  <c r="AQ1198" i="3"/>
  <c r="AQ1184" i="3"/>
  <c r="X1184" i="3"/>
  <c r="AC1184" i="3"/>
  <c r="W1168" i="3"/>
  <c r="AC1168" i="3"/>
  <c r="AQ1168" i="3"/>
  <c r="X1168" i="3"/>
  <c r="AQ1154" i="3"/>
  <c r="X1154" i="3"/>
  <c r="AC1154" i="3"/>
  <c r="W1142" i="3"/>
  <c r="AC1142" i="3"/>
  <c r="X1142" i="3"/>
  <c r="AQ1142" i="3"/>
  <c r="AC1130" i="3"/>
  <c r="AQ1130" i="3"/>
  <c r="X1130" i="3"/>
  <c r="AQ1116" i="3"/>
  <c r="AC1116" i="3"/>
  <c r="X1116" i="3"/>
  <c r="X1100" i="3"/>
  <c r="AC1100" i="3"/>
  <c r="AQ1100" i="3"/>
  <c r="AC1086" i="3"/>
  <c r="AQ1086" i="3"/>
  <c r="X1086" i="3"/>
  <c r="AC1072" i="3"/>
  <c r="AQ1072" i="3"/>
  <c r="X1072" i="3"/>
  <c r="X1002" i="3"/>
  <c r="AC1002" i="3"/>
  <c r="AQ1002" i="3"/>
  <c r="AC986" i="3"/>
  <c r="X986" i="3"/>
  <c r="AQ986" i="3"/>
  <c r="W956" i="3"/>
  <c r="AC956" i="3"/>
  <c r="X956" i="3"/>
  <c r="AQ956" i="3"/>
  <c r="AC940" i="3"/>
  <c r="X940" i="3"/>
  <c r="AQ940" i="3"/>
  <c r="X924" i="3"/>
  <c r="AC924" i="3"/>
  <c r="AQ924" i="3"/>
  <c r="W908" i="3"/>
  <c r="AQ908" i="3"/>
  <c r="X908" i="3"/>
  <c r="AC908" i="3"/>
  <c r="W892" i="3"/>
  <c r="X892" i="3"/>
  <c r="AQ892" i="3"/>
  <c r="AC892" i="3"/>
  <c r="AQ878" i="3"/>
  <c r="AC878" i="3"/>
  <c r="X878" i="3"/>
  <c r="W864" i="3"/>
  <c r="AC864" i="3"/>
  <c r="X864" i="3"/>
  <c r="AQ864" i="3"/>
  <c r="X848" i="3"/>
  <c r="AC848" i="3"/>
  <c r="AQ848" i="3"/>
  <c r="W760" i="3"/>
  <c r="AC760" i="3"/>
  <c r="X760" i="3"/>
  <c r="AQ760" i="3"/>
  <c r="AC714" i="3"/>
  <c r="X714" i="3"/>
  <c r="AQ714" i="3"/>
  <c r="AQ698" i="3"/>
  <c r="X698" i="3"/>
  <c r="AC698" i="3"/>
  <c r="W640" i="3"/>
  <c r="X640" i="3"/>
  <c r="AQ640" i="3"/>
  <c r="AC640" i="3"/>
  <c r="W610" i="3"/>
  <c r="X610" i="3"/>
  <c r="AC610" i="3"/>
  <c r="AQ610" i="3"/>
  <c r="W582" i="3"/>
  <c r="X582" i="3"/>
  <c r="AQ582" i="3"/>
  <c r="AC582" i="3"/>
  <c r="W568" i="3"/>
  <c r="AC568" i="3"/>
  <c r="X568" i="3"/>
  <c r="AQ568" i="3"/>
  <c r="AC554" i="3"/>
  <c r="X554" i="3"/>
  <c r="AQ554" i="3"/>
  <c r="AC538" i="3"/>
  <c r="AQ538" i="3"/>
  <c r="X538" i="3"/>
  <c r="AC522" i="3"/>
  <c r="X522" i="3"/>
  <c r="AQ522" i="3"/>
  <c r="W508" i="3"/>
  <c r="X508" i="3"/>
  <c r="AQ508" i="3"/>
  <c r="AC508" i="3"/>
  <c r="W386" i="3"/>
  <c r="X386" i="3"/>
  <c r="AQ386" i="3"/>
  <c r="AC386" i="3"/>
  <c r="W360" i="3"/>
  <c r="X360" i="3"/>
  <c r="AQ360" i="3"/>
  <c r="AC360" i="3"/>
  <c r="X330" i="3"/>
  <c r="AC330" i="3"/>
  <c r="AQ330" i="3"/>
  <c r="X318" i="3"/>
  <c r="AQ318" i="3"/>
  <c r="AC318" i="3"/>
  <c r="X294" i="3"/>
  <c r="AC294" i="3"/>
  <c r="AQ294" i="3"/>
  <c r="AC256" i="3"/>
  <c r="X256" i="3"/>
  <c r="AQ256" i="3"/>
  <c r="AQ244" i="3"/>
  <c r="AC244" i="3"/>
  <c r="X244" i="3"/>
  <c r="AQ220" i="3"/>
  <c r="AC220" i="3"/>
  <c r="X220" i="3"/>
  <c r="AC187" i="3"/>
  <c r="X187" i="3"/>
  <c r="AQ187" i="3"/>
  <c r="AQ159" i="3"/>
  <c r="AC159" i="3"/>
  <c r="X159" i="3"/>
  <c r="AC133" i="3"/>
  <c r="AQ133" i="3"/>
  <c r="X133" i="3"/>
  <c r="W121" i="3"/>
  <c r="AC121" i="3"/>
  <c r="X121" i="3"/>
  <c r="AQ121" i="3"/>
  <c r="W109" i="3"/>
  <c r="AC109" i="3"/>
  <c r="X109" i="3"/>
  <c r="AQ109" i="3"/>
  <c r="AC61" i="3"/>
  <c r="X61" i="3"/>
  <c r="AQ61" i="3"/>
  <c r="AC49" i="3"/>
  <c r="X49" i="3"/>
  <c r="AQ49" i="3"/>
  <c r="AQ37" i="3"/>
  <c r="X37" i="3"/>
  <c r="AC37" i="3"/>
  <c r="X501" i="3"/>
  <c r="AQ1043" i="3"/>
  <c r="X1023" i="3"/>
  <c r="AC39" i="3"/>
  <c r="AC771" i="3"/>
  <c r="AC681" i="3"/>
  <c r="AQ1260" i="3"/>
  <c r="AC802" i="3"/>
  <c r="X533" i="3"/>
  <c r="AC447" i="3"/>
  <c r="AC1147" i="3"/>
  <c r="X577" i="3"/>
  <c r="X175" i="3"/>
  <c r="AC113" i="3"/>
  <c r="AC1215" i="3"/>
  <c r="X1281" i="3"/>
  <c r="X563" i="3"/>
  <c r="X659" i="3"/>
  <c r="AQ1261" i="3"/>
  <c r="AC1243" i="3"/>
  <c r="AC29" i="3"/>
  <c r="AQ557" i="3"/>
  <c r="X1015" i="3"/>
  <c r="AC12" i="3"/>
  <c r="X242" i="3"/>
  <c r="X1287" i="3"/>
  <c r="AQ863" i="3"/>
  <c r="X1211" i="3"/>
  <c r="AQ601" i="3"/>
  <c r="X887" i="3"/>
  <c r="AC559" i="3"/>
  <c r="AQ815" i="3"/>
  <c r="AQ1017" i="3"/>
  <c r="AQ843" i="3"/>
  <c r="AC346" i="3"/>
  <c r="AQ1265" i="3"/>
  <c r="AQ137" i="3"/>
  <c r="X1057" i="3"/>
  <c r="AQ529" i="3"/>
  <c r="X35" i="3"/>
  <c r="AC423" i="3"/>
  <c r="AQ947" i="3"/>
  <c r="AQ304" i="3"/>
  <c r="AQ725" i="3"/>
  <c r="AQ629" i="3"/>
  <c r="X125" i="3"/>
  <c r="X1351" i="3"/>
  <c r="AQ48" i="3"/>
  <c r="X85" i="3"/>
  <c r="AC977" i="3"/>
  <c r="AQ999" i="3"/>
  <c r="X329" i="3"/>
  <c r="AC741" i="3"/>
  <c r="AQ581" i="3"/>
  <c r="AQ939" i="3"/>
  <c r="X1376" i="3"/>
  <c r="X91" i="3"/>
  <c r="AQ78" i="3"/>
  <c r="AQ77" i="3"/>
  <c r="X683" i="3"/>
  <c r="AC783" i="3"/>
  <c r="AQ1051" i="3"/>
  <c r="X290" i="3"/>
  <c r="X709" i="3"/>
  <c r="AC103" i="3"/>
  <c r="AQ1077" i="3"/>
  <c r="X46" i="3"/>
  <c r="AQ697" i="3"/>
  <c r="X609" i="3"/>
  <c r="AQ879" i="3"/>
  <c r="AC991" i="3"/>
  <c r="X305" i="3"/>
  <c r="X1223" i="3"/>
  <c r="AQ117" i="3"/>
  <c r="X465" i="3"/>
  <c r="AQ369" i="3"/>
  <c r="AQ883" i="3"/>
  <c r="X417" i="3"/>
  <c r="X1280" i="3"/>
  <c r="AQ541" i="3"/>
  <c r="AQ459" i="3"/>
  <c r="X613" i="3"/>
  <c r="X805" i="3"/>
  <c r="X344" i="3"/>
  <c r="AC975" i="3"/>
  <c r="AQ1307" i="3"/>
  <c r="AQ396" i="3"/>
  <c r="AQ1293" i="3"/>
  <c r="X106" i="3"/>
  <c r="AC1074" i="3"/>
  <c r="AQ1074" i="3"/>
  <c r="X1074" i="3"/>
  <c r="AQ974" i="3"/>
  <c r="X974" i="3"/>
  <c r="AC974" i="3"/>
  <c r="W748" i="3"/>
  <c r="AC748" i="3"/>
  <c r="X748" i="3"/>
  <c r="AQ748" i="3"/>
  <c r="X556" i="3"/>
  <c r="AQ556" i="3"/>
  <c r="AC556" i="3"/>
  <c r="AC496" i="3"/>
  <c r="X496" i="3"/>
  <c r="AQ496" i="3"/>
  <c r="AC333" i="3"/>
  <c r="X333" i="3"/>
  <c r="AQ333" i="3"/>
  <c r="X246" i="3"/>
  <c r="AQ246" i="3"/>
  <c r="AC246" i="3"/>
  <c r="W1364" i="3"/>
  <c r="AQ1364" i="3"/>
  <c r="X1364" i="3"/>
  <c r="AC1364" i="3"/>
  <c r="AC1349" i="3"/>
  <c r="X1349" i="3"/>
  <c r="AQ1349" i="3"/>
  <c r="AQ1319" i="3"/>
  <c r="X1319" i="3"/>
  <c r="AC1319" i="3"/>
  <c r="W1295" i="3"/>
  <c r="AQ1295" i="3"/>
  <c r="X1295" i="3"/>
  <c r="AC1295" i="3"/>
  <c r="W1266" i="3"/>
  <c r="AQ1266" i="3"/>
  <c r="AC1266" i="3"/>
  <c r="X1266" i="3"/>
  <c r="X1238" i="3"/>
  <c r="AC1238" i="3"/>
  <c r="AQ1238" i="3"/>
  <c r="W1212" i="3"/>
  <c r="AC1212" i="3"/>
  <c r="X1212" i="3"/>
  <c r="AQ1212" i="3"/>
  <c r="X1182" i="3"/>
  <c r="AQ1182" i="3"/>
  <c r="AC1182" i="3"/>
  <c r="W1167" i="3"/>
  <c r="X1167" i="3"/>
  <c r="AC1167" i="3"/>
  <c r="AQ1167" i="3"/>
  <c r="AC1153" i="3"/>
  <c r="AQ1153" i="3"/>
  <c r="X1153" i="3"/>
  <c r="W1141" i="3"/>
  <c r="X1141" i="3"/>
  <c r="AC1141" i="3"/>
  <c r="AQ1141" i="3"/>
  <c r="AC1129" i="3"/>
  <c r="AQ1129" i="3"/>
  <c r="X1129" i="3"/>
  <c r="AC1046" i="3"/>
  <c r="AQ1046" i="3"/>
  <c r="X1046" i="3"/>
  <c r="AQ1030" i="3"/>
  <c r="X1030" i="3"/>
  <c r="AC1030" i="3"/>
  <c r="AC1016" i="3"/>
  <c r="AQ1016" i="3"/>
  <c r="X1016" i="3"/>
  <c r="AQ1000" i="3"/>
  <c r="X1000" i="3"/>
  <c r="AC1000" i="3"/>
  <c r="AC984" i="3"/>
  <c r="X984" i="3"/>
  <c r="AQ984" i="3"/>
  <c r="AC970" i="3"/>
  <c r="AQ970" i="3"/>
  <c r="X970" i="3"/>
  <c r="AC954" i="3"/>
  <c r="X954" i="3"/>
  <c r="AQ954" i="3"/>
  <c r="W891" i="3"/>
  <c r="AC891" i="3"/>
  <c r="X891" i="3"/>
  <c r="AQ891" i="3"/>
  <c r="AQ832" i="3"/>
  <c r="AC832" i="3"/>
  <c r="X832" i="3"/>
  <c r="W818" i="3"/>
  <c r="AC818" i="3"/>
  <c r="X818" i="3"/>
  <c r="AQ818" i="3"/>
  <c r="W804" i="3"/>
  <c r="X804" i="3"/>
  <c r="AQ804" i="3"/>
  <c r="AC804" i="3"/>
  <c r="AC790" i="3"/>
  <c r="AQ790" i="3"/>
  <c r="X790" i="3"/>
  <c r="X774" i="3"/>
  <c r="AC774" i="3"/>
  <c r="AQ774" i="3"/>
  <c r="W758" i="3"/>
  <c r="AC758" i="3"/>
  <c r="X758" i="3"/>
  <c r="AQ758" i="3"/>
  <c r="X744" i="3"/>
  <c r="AC744" i="3"/>
  <c r="AQ744" i="3"/>
  <c r="AC728" i="3"/>
  <c r="AQ728" i="3"/>
  <c r="X728" i="3"/>
  <c r="W682" i="3"/>
  <c r="X682" i="3"/>
  <c r="AC682" i="3"/>
  <c r="AQ682" i="3"/>
  <c r="AC668" i="3"/>
  <c r="AQ668" i="3"/>
  <c r="X668" i="3"/>
  <c r="AQ654" i="3"/>
  <c r="AC654" i="3"/>
  <c r="X654" i="3"/>
  <c r="AC638" i="3"/>
  <c r="X638" i="3"/>
  <c r="AQ638" i="3"/>
  <c r="AQ624" i="3"/>
  <c r="AC624" i="3"/>
  <c r="X624" i="3"/>
  <c r="AC596" i="3"/>
  <c r="X596" i="3"/>
  <c r="AQ596" i="3"/>
  <c r="AQ552" i="3"/>
  <c r="AC552" i="3"/>
  <c r="X552" i="3"/>
  <c r="W506" i="3"/>
  <c r="AC506" i="3"/>
  <c r="X506" i="3"/>
  <c r="AQ506" i="3"/>
  <c r="W492" i="3"/>
  <c r="X492" i="3"/>
  <c r="AC492" i="3"/>
  <c r="AQ492" i="3"/>
  <c r="W476" i="3"/>
  <c r="AC476" i="3"/>
  <c r="X476" i="3"/>
  <c r="AQ476" i="3"/>
  <c r="W460" i="3"/>
  <c r="AC460" i="3"/>
  <c r="AQ460" i="3"/>
  <c r="X460" i="3"/>
  <c r="W446" i="3"/>
  <c r="AC446" i="3"/>
  <c r="X446" i="3"/>
  <c r="AQ446" i="3"/>
  <c r="AC432" i="3"/>
  <c r="X432" i="3"/>
  <c r="AQ432" i="3"/>
  <c r="W416" i="3"/>
  <c r="X416" i="3"/>
  <c r="AQ416" i="3"/>
  <c r="AC416" i="3"/>
  <c r="AC401" i="3"/>
  <c r="X401" i="3"/>
  <c r="AQ401" i="3"/>
  <c r="AC371" i="3"/>
  <c r="AQ371" i="3"/>
  <c r="X371" i="3"/>
  <c r="AC358" i="3"/>
  <c r="AQ358" i="3"/>
  <c r="X358" i="3"/>
  <c r="W343" i="3"/>
  <c r="AQ343" i="3"/>
  <c r="AC343" i="3"/>
  <c r="X343" i="3"/>
  <c r="AC279" i="3"/>
  <c r="X279" i="3"/>
  <c r="AQ279" i="3"/>
  <c r="AQ267" i="3"/>
  <c r="AC267" i="3"/>
  <c r="X267" i="3"/>
  <c r="AC255" i="3"/>
  <c r="X255" i="3"/>
  <c r="AQ255" i="3"/>
  <c r="X231" i="3"/>
  <c r="AQ231" i="3"/>
  <c r="AC231" i="3"/>
  <c r="AC203" i="3"/>
  <c r="X203" i="3"/>
  <c r="AQ203" i="3"/>
  <c r="AQ186" i="3"/>
  <c r="AC186" i="3"/>
  <c r="X186" i="3"/>
  <c r="AQ173" i="3"/>
  <c r="AC173" i="3"/>
  <c r="X173" i="3"/>
  <c r="X145" i="3"/>
  <c r="AQ145" i="3"/>
  <c r="AC145" i="3"/>
  <c r="AC132" i="3"/>
  <c r="X132" i="3"/>
  <c r="AQ132" i="3"/>
  <c r="W120" i="3"/>
  <c r="AC120" i="3"/>
  <c r="X120" i="3"/>
  <c r="AQ120" i="3"/>
  <c r="AC84" i="3"/>
  <c r="X84" i="3"/>
  <c r="AQ84" i="3"/>
  <c r="X72" i="3"/>
  <c r="AC72" i="3"/>
  <c r="AQ72" i="3"/>
  <c r="AQ60" i="3"/>
  <c r="X60" i="3"/>
  <c r="AC60" i="3"/>
  <c r="X36" i="3"/>
  <c r="AC36" i="3"/>
  <c r="AQ36" i="3"/>
  <c r="X10" i="3"/>
  <c r="AQ10" i="3"/>
  <c r="AC10" i="3"/>
  <c r="AQ681" i="3"/>
  <c r="AC1260" i="3"/>
  <c r="X802" i="3"/>
  <c r="X447" i="3"/>
  <c r="X1147" i="3"/>
  <c r="AC577" i="3"/>
  <c r="X1215" i="3"/>
  <c r="AC563" i="3"/>
  <c r="AC659" i="3"/>
  <c r="AC1261" i="3"/>
  <c r="AQ1243" i="3"/>
  <c r="AC242" i="3"/>
  <c r="AC1287" i="3"/>
  <c r="X863" i="3"/>
  <c r="AQ1211" i="3"/>
  <c r="X601" i="3"/>
  <c r="AQ887" i="3"/>
  <c r="AQ559" i="3"/>
  <c r="X815" i="3"/>
  <c r="X1017" i="3"/>
  <c r="AC843" i="3"/>
  <c r="AQ346" i="3"/>
  <c r="AC1265" i="3"/>
  <c r="AC137" i="3"/>
  <c r="AQ1057" i="3"/>
  <c r="X529" i="3"/>
  <c r="AQ35" i="3"/>
  <c r="AQ423" i="3"/>
  <c r="X947" i="3"/>
  <c r="X304" i="3"/>
  <c r="X725" i="3"/>
  <c r="X629" i="3"/>
  <c r="AQ125" i="3"/>
  <c r="AC1351" i="3"/>
  <c r="AC48" i="3"/>
  <c r="AQ85" i="3"/>
  <c r="AQ977" i="3"/>
  <c r="X999" i="3"/>
  <c r="AQ329" i="3"/>
  <c r="X741" i="3"/>
  <c r="X581" i="3"/>
  <c r="X939" i="3"/>
  <c r="AC1376" i="3"/>
  <c r="AC91" i="3"/>
  <c r="AC78" i="3"/>
  <c r="AC77" i="3"/>
  <c r="AQ683" i="3"/>
  <c r="AQ783" i="3"/>
  <c r="AC1051" i="3"/>
  <c r="AQ290" i="3"/>
  <c r="AC709" i="3"/>
  <c r="X103" i="3"/>
  <c r="X1077" i="3"/>
  <c r="AQ46" i="3"/>
  <c r="X697" i="3"/>
  <c r="AC609" i="3"/>
  <c r="X879" i="3"/>
  <c r="AQ991" i="3"/>
  <c r="AQ305" i="3"/>
  <c r="AQ1223" i="3"/>
  <c r="AC117" i="3"/>
  <c r="AC465" i="3"/>
  <c r="X369" i="3"/>
  <c r="X883" i="3"/>
  <c r="AC417" i="3"/>
  <c r="AC1280" i="3"/>
  <c r="X541" i="3"/>
  <c r="AC459" i="3"/>
  <c r="AC613" i="3"/>
  <c r="AC805" i="3"/>
  <c r="X1065" i="3"/>
  <c r="X1286" i="3"/>
  <c r="X923" i="3"/>
  <c r="X88" i="3"/>
  <c r="AQ611" i="3"/>
  <c r="AQ505" i="3"/>
  <c r="X971" i="3"/>
  <c r="AQ1256" i="3"/>
  <c r="X693" i="3"/>
  <c r="AQ1273" i="3"/>
  <c r="AC701" i="3"/>
  <c r="X625" i="3"/>
  <c r="AQ745" i="3"/>
  <c r="AQ801" i="3"/>
  <c r="W570" i="3"/>
  <c r="AC570" i="3"/>
  <c r="X570" i="3"/>
  <c r="AQ570" i="3"/>
  <c r="AC388" i="3"/>
  <c r="AQ388" i="3"/>
  <c r="X388" i="3"/>
  <c r="AC258" i="3"/>
  <c r="X258" i="3"/>
  <c r="AQ258" i="3"/>
  <c r="X234" i="3"/>
  <c r="AQ234" i="3"/>
  <c r="AC234" i="3"/>
  <c r="X207" i="3"/>
  <c r="AQ207" i="3"/>
  <c r="AC207" i="3"/>
  <c r="W51" i="3"/>
  <c r="AC51" i="3"/>
  <c r="X51" i="3"/>
  <c r="AQ51" i="3"/>
  <c r="W27" i="3"/>
  <c r="AC27" i="3"/>
  <c r="X27" i="3"/>
  <c r="AQ27" i="3"/>
  <c r="W1377" i="3"/>
  <c r="AQ1377" i="3"/>
  <c r="AC1377" i="3"/>
  <c r="X1377" i="3"/>
  <c r="W1363" i="3"/>
  <c r="AQ1363" i="3"/>
  <c r="AC1363" i="3"/>
  <c r="X1363" i="3"/>
  <c r="AQ1348" i="3"/>
  <c r="AC1348" i="3"/>
  <c r="X1348" i="3"/>
  <c r="W1332" i="3"/>
  <c r="AQ1332" i="3"/>
  <c r="AC1332" i="3"/>
  <c r="X1332" i="3"/>
  <c r="AQ1318" i="3"/>
  <c r="AC1318" i="3"/>
  <c r="X1318" i="3"/>
  <c r="W1306" i="3"/>
  <c r="AQ1306" i="3"/>
  <c r="AC1306" i="3"/>
  <c r="X1306" i="3"/>
  <c r="AC1252" i="3"/>
  <c r="AQ1252" i="3"/>
  <c r="X1252" i="3"/>
  <c r="W1236" i="3"/>
  <c r="AC1236" i="3"/>
  <c r="X1236" i="3"/>
  <c r="AQ1236" i="3"/>
  <c r="W1222" i="3"/>
  <c r="AC1222" i="3"/>
  <c r="AQ1222" i="3"/>
  <c r="X1222" i="3"/>
  <c r="X1196" i="3"/>
  <c r="AC1196" i="3"/>
  <c r="AQ1196" i="3"/>
  <c r="W1166" i="3"/>
  <c r="AC1166" i="3"/>
  <c r="AQ1166" i="3"/>
  <c r="X1166" i="3"/>
  <c r="AC1152" i="3"/>
  <c r="X1152" i="3"/>
  <c r="AQ1152" i="3"/>
  <c r="W1140" i="3"/>
  <c r="X1140" i="3"/>
  <c r="AC1140" i="3"/>
  <c r="AQ1140" i="3"/>
  <c r="AQ1128" i="3"/>
  <c r="AC1128" i="3"/>
  <c r="X1128" i="3"/>
  <c r="AC1114" i="3"/>
  <c r="AQ1114" i="3"/>
  <c r="X1114" i="3"/>
  <c r="AQ1098" i="3"/>
  <c r="X1098" i="3"/>
  <c r="AC1098" i="3"/>
  <c r="X1084" i="3"/>
  <c r="AQ1084" i="3"/>
  <c r="AC1084" i="3"/>
  <c r="X1070" i="3"/>
  <c r="AC1070" i="3"/>
  <c r="AQ1070" i="3"/>
  <c r="AQ1058" i="3"/>
  <c r="X1058" i="3"/>
  <c r="AC1058" i="3"/>
  <c r="AQ1044" i="3"/>
  <c r="AC1044" i="3"/>
  <c r="X1044" i="3"/>
  <c r="AC968" i="3"/>
  <c r="AQ968" i="3"/>
  <c r="X968" i="3"/>
  <c r="AQ953" i="3"/>
  <c r="AC953" i="3"/>
  <c r="X953" i="3"/>
  <c r="AC938" i="3"/>
  <c r="X938" i="3"/>
  <c r="AQ938" i="3"/>
  <c r="AC922" i="3"/>
  <c r="AQ922" i="3"/>
  <c r="X922" i="3"/>
  <c r="W906" i="3"/>
  <c r="AQ906" i="3"/>
  <c r="AC906" i="3"/>
  <c r="X906" i="3"/>
  <c r="W890" i="3"/>
  <c r="AC890" i="3"/>
  <c r="AQ890" i="3"/>
  <c r="X890" i="3"/>
  <c r="X876" i="3"/>
  <c r="AC876" i="3"/>
  <c r="AQ876" i="3"/>
  <c r="W862" i="3"/>
  <c r="AQ862" i="3"/>
  <c r="AC862" i="3"/>
  <c r="X862" i="3"/>
  <c r="AC846" i="3"/>
  <c r="AQ846" i="3"/>
  <c r="X846" i="3"/>
  <c r="W816" i="3"/>
  <c r="X816" i="3"/>
  <c r="AC816" i="3"/>
  <c r="AQ816" i="3"/>
  <c r="AC788" i="3"/>
  <c r="X788" i="3"/>
  <c r="AQ788" i="3"/>
  <c r="AC772" i="3"/>
  <c r="AQ772" i="3"/>
  <c r="X772" i="3"/>
  <c r="W742" i="3"/>
  <c r="X742" i="3"/>
  <c r="AC742" i="3"/>
  <c r="AQ742" i="3"/>
  <c r="X726" i="3"/>
  <c r="AQ726" i="3"/>
  <c r="AC726" i="3"/>
  <c r="AC712" i="3"/>
  <c r="X712" i="3"/>
  <c r="AQ712" i="3"/>
  <c r="W696" i="3"/>
  <c r="AQ696" i="3"/>
  <c r="AC696" i="3"/>
  <c r="X696" i="3"/>
  <c r="X666" i="3"/>
  <c r="AQ666" i="3"/>
  <c r="AC666" i="3"/>
  <c r="W622" i="3"/>
  <c r="X622" i="3"/>
  <c r="AQ622" i="3"/>
  <c r="AC622" i="3"/>
  <c r="X608" i="3"/>
  <c r="AQ608" i="3"/>
  <c r="AC608" i="3"/>
  <c r="AC594" i="3"/>
  <c r="X594" i="3"/>
  <c r="AQ594" i="3"/>
  <c r="W580" i="3"/>
  <c r="X580" i="3"/>
  <c r="AQ580" i="3"/>
  <c r="AC580" i="3"/>
  <c r="W566" i="3"/>
  <c r="AC566" i="3"/>
  <c r="X566" i="3"/>
  <c r="AQ566" i="3"/>
  <c r="W536" i="3"/>
  <c r="AC536" i="3"/>
  <c r="AQ536" i="3"/>
  <c r="X536" i="3"/>
  <c r="AC520" i="3"/>
  <c r="AQ520" i="3"/>
  <c r="X520" i="3"/>
  <c r="W490" i="3"/>
  <c r="AC490" i="3"/>
  <c r="AQ490" i="3"/>
  <c r="X490" i="3"/>
  <c r="AC474" i="3"/>
  <c r="X474" i="3"/>
  <c r="AQ474" i="3"/>
  <c r="W445" i="3"/>
  <c r="AC445" i="3"/>
  <c r="X445" i="3"/>
  <c r="AQ445" i="3"/>
  <c r="W430" i="3"/>
  <c r="AQ430" i="3"/>
  <c r="X430" i="3"/>
  <c r="AC430" i="3"/>
  <c r="AQ413" i="3"/>
  <c r="AC413" i="3"/>
  <c r="X413" i="3"/>
  <c r="AC400" i="3"/>
  <c r="X400" i="3"/>
  <c r="AQ400" i="3"/>
  <c r="AQ383" i="3"/>
  <c r="AC383" i="3"/>
  <c r="X383" i="3"/>
  <c r="X370" i="3"/>
  <c r="AQ370" i="3"/>
  <c r="AC370" i="3"/>
  <c r="W342" i="3"/>
  <c r="AC342" i="3"/>
  <c r="X342" i="3"/>
  <c r="AQ342" i="3"/>
  <c r="X328" i="3"/>
  <c r="AQ328" i="3"/>
  <c r="AC328" i="3"/>
  <c r="AQ316" i="3"/>
  <c r="AC316" i="3"/>
  <c r="X316" i="3"/>
  <c r="AC278" i="3"/>
  <c r="X278" i="3"/>
  <c r="AQ278" i="3"/>
  <c r="X266" i="3"/>
  <c r="AC266" i="3"/>
  <c r="AQ266" i="3"/>
  <c r="AQ254" i="3"/>
  <c r="AC254" i="3"/>
  <c r="X254" i="3"/>
  <c r="X230" i="3"/>
  <c r="AQ230" i="3"/>
  <c r="AC230" i="3"/>
  <c r="X217" i="3"/>
  <c r="AQ217" i="3"/>
  <c r="AC217" i="3"/>
  <c r="AC185" i="3"/>
  <c r="AQ185" i="3"/>
  <c r="X185" i="3"/>
  <c r="AQ157" i="3"/>
  <c r="AC157" i="3"/>
  <c r="X157" i="3"/>
  <c r="AC95" i="3"/>
  <c r="X95" i="3"/>
  <c r="AQ95" i="3"/>
  <c r="X83" i="3"/>
  <c r="AQ83" i="3"/>
  <c r="AC83" i="3"/>
  <c r="X71" i="3"/>
  <c r="AC71" i="3"/>
  <c r="AQ71" i="3"/>
  <c r="AQ22" i="3"/>
  <c r="X22" i="3"/>
  <c r="AC22" i="3"/>
  <c r="X9" i="3"/>
  <c r="AQ9" i="3"/>
  <c r="AC9" i="3"/>
  <c r="AQ457" i="3"/>
  <c r="AQ903" i="3"/>
  <c r="X806" i="3"/>
  <c r="AQ23" i="3"/>
  <c r="AC855" i="3"/>
  <c r="AQ503" i="3"/>
  <c r="AQ158" i="3"/>
  <c r="X1288" i="3"/>
  <c r="AQ366" i="3"/>
  <c r="AQ138" i="3"/>
  <c r="AQ485" i="3"/>
  <c r="AQ1229" i="3"/>
  <c r="AC247" i="3"/>
  <c r="X571" i="3"/>
  <c r="AQ280" i="3"/>
  <c r="AQ551" i="3"/>
  <c r="X1181" i="3"/>
  <c r="X1255" i="3"/>
  <c r="X1269" i="3"/>
  <c r="AQ291" i="3"/>
  <c r="AQ198" i="3"/>
  <c r="X811" i="3"/>
  <c r="X212" i="3"/>
  <c r="AC567" i="3"/>
  <c r="AC863" i="3"/>
  <c r="AC1211" i="3"/>
  <c r="AC815" i="3"/>
  <c r="AC1017" i="3"/>
  <c r="X346" i="3"/>
  <c r="X1265" i="3"/>
  <c r="AC529" i="3"/>
  <c r="X423" i="3"/>
  <c r="X977" i="3"/>
  <c r="AQ741" i="3"/>
  <c r="AC581" i="3"/>
  <c r="AQ1376" i="3"/>
  <c r="AC683" i="3"/>
  <c r="X783" i="3"/>
  <c r="X1051" i="3"/>
  <c r="AQ103" i="3"/>
  <c r="AC1077" i="3"/>
  <c r="AQ609" i="3"/>
  <c r="X991" i="3"/>
  <c r="AC1223" i="3"/>
  <c r="X117" i="3"/>
  <c r="AC883" i="3"/>
  <c r="X459" i="3"/>
  <c r="AQ805" i="3"/>
  <c r="AC1065" i="3"/>
  <c r="AC1286" i="3"/>
  <c r="AQ923" i="3"/>
  <c r="AQ88" i="3"/>
  <c r="X611" i="3"/>
  <c r="X505" i="3"/>
  <c r="AQ971" i="3"/>
  <c r="X1256" i="3"/>
  <c r="AC693" i="3"/>
  <c r="AC1273" i="3"/>
  <c r="AQ701" i="3"/>
  <c r="AQ625" i="3"/>
  <c r="X745" i="3"/>
  <c r="X801" i="3"/>
  <c r="W1156" i="3"/>
  <c r="AC1156" i="3"/>
  <c r="AQ1156" i="3"/>
  <c r="X1156" i="3"/>
  <c r="W1104" i="3"/>
  <c r="AQ1104" i="3"/>
  <c r="AC1104" i="3"/>
  <c r="X1104" i="3"/>
  <c r="W1004" i="3"/>
  <c r="AQ1004" i="3"/>
  <c r="X1004" i="3"/>
  <c r="AC1004" i="3"/>
  <c r="W866" i="3"/>
  <c r="AC866" i="3"/>
  <c r="X866" i="3"/>
  <c r="AQ866" i="3"/>
  <c r="AQ778" i="3"/>
  <c r="X778" i="3"/>
  <c r="AC778" i="3"/>
  <c r="AQ510" i="3"/>
  <c r="AC510" i="3"/>
  <c r="X510" i="3"/>
  <c r="AQ480" i="3"/>
  <c r="AC480" i="3"/>
  <c r="X480" i="3"/>
  <c r="W420" i="3"/>
  <c r="AC420" i="3"/>
  <c r="AQ420" i="3"/>
  <c r="X420" i="3"/>
  <c r="X404" i="3"/>
  <c r="AC404" i="3"/>
  <c r="AQ404" i="3"/>
  <c r="W374" i="3"/>
  <c r="AC374" i="3"/>
  <c r="X374" i="3"/>
  <c r="AQ374" i="3"/>
  <c r="AC320" i="3"/>
  <c r="AQ320" i="3"/>
  <c r="X320" i="3"/>
  <c r="X282" i="3"/>
  <c r="AQ282" i="3"/>
  <c r="AC282" i="3"/>
  <c r="AQ222" i="3"/>
  <c r="AC222" i="3"/>
  <c r="X222" i="3"/>
  <c r="AQ177" i="3"/>
  <c r="AC177" i="3"/>
  <c r="X177" i="3"/>
  <c r="AC149" i="3"/>
  <c r="X149" i="3"/>
  <c r="AQ149" i="3"/>
  <c r="AC123" i="3"/>
  <c r="AQ123" i="3"/>
  <c r="X123" i="3"/>
  <c r="AC75" i="3"/>
  <c r="AQ75" i="3"/>
  <c r="X75" i="3"/>
  <c r="W1362" i="3"/>
  <c r="AQ1362" i="3"/>
  <c r="AC1362" i="3"/>
  <c r="X1362" i="3"/>
  <c r="W1346" i="3"/>
  <c r="AQ1346" i="3"/>
  <c r="AC1346" i="3"/>
  <c r="X1346" i="3"/>
  <c r="W1317" i="3"/>
  <c r="AQ1317" i="3"/>
  <c r="X1317" i="3"/>
  <c r="AC1317" i="3"/>
  <c r="W1305" i="3"/>
  <c r="AQ1305" i="3"/>
  <c r="X1305" i="3"/>
  <c r="AC1305" i="3"/>
  <c r="W1250" i="3"/>
  <c r="AC1250" i="3"/>
  <c r="AQ1250" i="3"/>
  <c r="X1250" i="3"/>
  <c r="W1220" i="3"/>
  <c r="AC1220" i="3"/>
  <c r="X1220" i="3"/>
  <c r="AQ1220" i="3"/>
  <c r="AQ1210" i="3"/>
  <c r="AC1210" i="3"/>
  <c r="X1210" i="3"/>
  <c r="W1180" i="3"/>
  <c r="AC1180" i="3"/>
  <c r="AQ1180" i="3"/>
  <c r="X1180" i="3"/>
  <c r="X1165" i="3"/>
  <c r="AC1165" i="3"/>
  <c r="AQ1165" i="3"/>
  <c r="W1151" i="3"/>
  <c r="AC1151" i="3"/>
  <c r="AQ1151" i="3"/>
  <c r="X1151" i="3"/>
  <c r="AC1139" i="3"/>
  <c r="AQ1139" i="3"/>
  <c r="X1139" i="3"/>
  <c r="AC1127" i="3"/>
  <c r="AQ1127" i="3"/>
  <c r="X1127" i="3"/>
  <c r="W1028" i="3"/>
  <c r="AC1028" i="3"/>
  <c r="X1028" i="3"/>
  <c r="AQ1028" i="3"/>
  <c r="AC1014" i="3"/>
  <c r="X1014" i="3"/>
  <c r="AQ1014" i="3"/>
  <c r="W998" i="3"/>
  <c r="X998" i="3"/>
  <c r="AQ998" i="3"/>
  <c r="AC998" i="3"/>
  <c r="AC982" i="3"/>
  <c r="AQ982" i="3"/>
  <c r="X982" i="3"/>
  <c r="AC952" i="3"/>
  <c r="AQ952" i="3"/>
  <c r="X952" i="3"/>
  <c r="W936" i="3"/>
  <c r="AC936" i="3"/>
  <c r="X936" i="3"/>
  <c r="AQ936" i="3"/>
  <c r="AQ920" i="3"/>
  <c r="X920" i="3"/>
  <c r="AC920" i="3"/>
  <c r="X904" i="3"/>
  <c r="AQ904" i="3"/>
  <c r="AC904" i="3"/>
  <c r="X888" i="3"/>
  <c r="AC888" i="3"/>
  <c r="AQ888" i="3"/>
  <c r="AC860" i="3"/>
  <c r="X860" i="3"/>
  <c r="AQ860" i="3"/>
  <c r="X844" i="3"/>
  <c r="AQ844" i="3"/>
  <c r="AC844" i="3"/>
  <c r="AQ830" i="3"/>
  <c r="AC830" i="3"/>
  <c r="X830" i="3"/>
  <c r="W756" i="3"/>
  <c r="AQ756" i="3"/>
  <c r="AC756" i="3"/>
  <c r="X756" i="3"/>
  <c r="AC710" i="3"/>
  <c r="X710" i="3"/>
  <c r="AQ710" i="3"/>
  <c r="W694" i="3"/>
  <c r="X694" i="3"/>
  <c r="AQ694" i="3"/>
  <c r="AC694" i="3"/>
  <c r="AC680" i="3"/>
  <c r="AQ680" i="3"/>
  <c r="X680" i="3"/>
  <c r="X652" i="3"/>
  <c r="AQ652" i="3"/>
  <c r="AC652" i="3"/>
  <c r="X636" i="3"/>
  <c r="AC636" i="3"/>
  <c r="AQ636" i="3"/>
  <c r="W578" i="3"/>
  <c r="AC578" i="3"/>
  <c r="X578" i="3"/>
  <c r="AQ578" i="3"/>
  <c r="W564" i="3"/>
  <c r="X564" i="3"/>
  <c r="AQ564" i="3"/>
  <c r="AC564" i="3"/>
  <c r="X550" i="3"/>
  <c r="AC550" i="3"/>
  <c r="AQ550" i="3"/>
  <c r="AQ534" i="3"/>
  <c r="AC534" i="3"/>
  <c r="X534" i="3"/>
  <c r="W504" i="3"/>
  <c r="X504" i="3"/>
  <c r="AC504" i="3"/>
  <c r="AQ504" i="3"/>
  <c r="AC458" i="3"/>
  <c r="X458" i="3"/>
  <c r="AQ458" i="3"/>
  <c r="W444" i="3"/>
  <c r="X444" i="3"/>
  <c r="AQ444" i="3"/>
  <c r="AC444" i="3"/>
  <c r="X399" i="3"/>
  <c r="AQ399" i="3"/>
  <c r="AC399" i="3"/>
  <c r="AC355" i="3"/>
  <c r="X355" i="3"/>
  <c r="AQ355" i="3"/>
  <c r="W341" i="3"/>
  <c r="X341" i="3"/>
  <c r="AC341" i="3"/>
  <c r="AQ341" i="3"/>
  <c r="AQ327" i="3"/>
  <c r="AC327" i="3"/>
  <c r="X327" i="3"/>
  <c r="AQ315" i="3"/>
  <c r="AC315" i="3"/>
  <c r="X315" i="3"/>
  <c r="AC277" i="3"/>
  <c r="X277" i="3"/>
  <c r="AQ277" i="3"/>
  <c r="AC265" i="3"/>
  <c r="X265" i="3"/>
  <c r="AQ265" i="3"/>
  <c r="AC253" i="3"/>
  <c r="X253" i="3"/>
  <c r="AQ253" i="3"/>
  <c r="AC215" i="3"/>
  <c r="AQ215" i="3"/>
  <c r="X215" i="3"/>
  <c r="AC184" i="3"/>
  <c r="X184" i="3"/>
  <c r="AQ184" i="3"/>
  <c r="X170" i="3"/>
  <c r="AQ170" i="3"/>
  <c r="AC170" i="3"/>
  <c r="AQ156" i="3"/>
  <c r="AC156" i="3"/>
  <c r="X156" i="3"/>
  <c r="AC130" i="3"/>
  <c r="X130" i="3"/>
  <c r="AQ130" i="3"/>
  <c r="X94" i="3"/>
  <c r="AQ94" i="3"/>
  <c r="AC94" i="3"/>
  <c r="X58" i="3"/>
  <c r="AQ58" i="3"/>
  <c r="AC58" i="3"/>
  <c r="X34" i="3"/>
  <c r="AC34" i="3"/>
  <c r="AQ34" i="3"/>
  <c r="X21" i="3"/>
  <c r="AC21" i="3"/>
  <c r="AQ21" i="3"/>
  <c r="X8" i="3"/>
  <c r="AC8" i="3"/>
  <c r="AQ8" i="3"/>
  <c r="AQ806" i="3"/>
  <c r="AC23" i="3"/>
  <c r="AQ855" i="3"/>
  <c r="X503" i="3"/>
  <c r="X366" i="3"/>
  <c r="AC1229" i="3"/>
  <c r="AC571" i="3"/>
  <c r="AQ1255" i="3"/>
  <c r="AC811" i="3"/>
  <c r="AQ567" i="3"/>
  <c r="X1148" i="3"/>
  <c r="X757" i="3"/>
  <c r="AC1239" i="3"/>
  <c r="AQ119" i="3"/>
  <c r="AC1060" i="3"/>
  <c r="AC1294" i="3"/>
  <c r="AC655" i="3"/>
  <c r="X569" i="3"/>
  <c r="AQ627" i="3"/>
  <c r="X1063" i="3"/>
  <c r="X1296" i="3"/>
  <c r="AQ819" i="3"/>
  <c r="X1059" i="3"/>
  <c r="X1301" i="3"/>
  <c r="X621" i="3"/>
  <c r="AQ26" i="3"/>
  <c r="AQ935" i="3"/>
  <c r="AC689" i="3"/>
  <c r="AQ134" i="3"/>
  <c r="AQ363" i="3"/>
  <c r="AQ1297" i="3"/>
  <c r="AC88" i="3"/>
  <c r="AC505" i="3"/>
  <c r="AC1256" i="3"/>
  <c r="AQ693" i="3"/>
  <c r="AC625" i="3"/>
  <c r="AC801" i="3"/>
  <c r="S1642" i="3"/>
  <c r="T1642" i="3"/>
  <c r="L639" i="4"/>
  <c r="N639" i="4" s="1"/>
  <c r="T1639" i="3"/>
  <c r="S1639" i="3"/>
  <c r="L635" i="4"/>
  <c r="N635" i="4" s="1"/>
  <c r="L601" i="4"/>
  <c r="Y558" i="4"/>
  <c r="L570" i="4"/>
  <c r="N570" i="4" s="1"/>
  <c r="T558" i="4"/>
  <c r="S278" i="3"/>
  <c r="S401" i="3"/>
  <c r="S277" i="3"/>
  <c r="S400" i="3"/>
  <c r="S279" i="3"/>
  <c r="S1354" i="3"/>
  <c r="S1353" i="3"/>
  <c r="S399" i="3"/>
  <c r="L555" i="4"/>
  <c r="N555" i="4" s="1"/>
  <c r="L556" i="4"/>
  <c r="N556" i="4" s="1"/>
  <c r="L553" i="4"/>
  <c r="N553" i="4" s="1"/>
  <c r="V14" i="3"/>
  <c r="V13" i="3"/>
  <c r="V1153" i="3"/>
  <c r="V1074" i="3"/>
  <c r="V840" i="3"/>
  <c r="V246" i="3"/>
  <c r="V161" i="3"/>
  <c r="V1354" i="3"/>
  <c r="V995" i="3"/>
  <c r="V657" i="3"/>
  <c r="V560" i="3"/>
  <c r="V1353" i="3"/>
  <c r="V1323" i="3"/>
  <c r="V1310" i="3"/>
  <c r="V1285" i="3"/>
  <c r="V1270" i="3"/>
  <c r="V1164" i="3"/>
  <c r="V1139" i="3"/>
  <c r="V1127" i="3"/>
  <c r="V1115" i="3"/>
  <c r="V1099" i="3"/>
  <c r="V1086" i="3"/>
  <c r="V1072" i="3"/>
  <c r="V1032" i="3"/>
  <c r="V1007" i="3"/>
  <c r="V994" i="3"/>
  <c r="V979" i="3"/>
  <c r="V966" i="3"/>
  <c r="V953" i="3"/>
  <c r="V938" i="3"/>
  <c r="V923" i="3"/>
  <c r="V910" i="3"/>
  <c r="V895" i="3"/>
  <c r="V880" i="3"/>
  <c r="V838" i="3"/>
  <c r="V824" i="3"/>
  <c r="V770" i="3"/>
  <c r="V726" i="3"/>
  <c r="V713" i="3"/>
  <c r="V670" i="3"/>
  <c r="V642" i="3"/>
  <c r="V613" i="3"/>
  <c r="V601" i="3"/>
  <c r="V559" i="3"/>
  <c r="V546" i="3"/>
  <c r="V533" i="3"/>
  <c r="V474" i="3"/>
  <c r="V417" i="3"/>
  <c r="V402" i="3"/>
  <c r="V330" i="3"/>
  <c r="V318" i="3"/>
  <c r="V306" i="3"/>
  <c r="V294" i="3"/>
  <c r="V280" i="3"/>
  <c r="V268" i="3"/>
  <c r="V256" i="3"/>
  <c r="V244" i="3"/>
  <c r="V232" i="3"/>
  <c r="V220" i="3"/>
  <c r="V204" i="3"/>
  <c r="V187" i="3"/>
  <c r="V175" i="3"/>
  <c r="V159" i="3"/>
  <c r="V147" i="3"/>
  <c r="V133" i="3"/>
  <c r="V97" i="3"/>
  <c r="V85" i="3"/>
  <c r="V73" i="3"/>
  <c r="V61" i="3"/>
  <c r="V49" i="3"/>
  <c r="V37" i="3"/>
  <c r="V12" i="3"/>
  <c r="V1287" i="3"/>
  <c r="V1129" i="3"/>
  <c r="V996" i="3"/>
  <c r="V912" i="3"/>
  <c r="V562" i="3"/>
  <c r="V333" i="3"/>
  <c r="V282" i="3"/>
  <c r="V177" i="3"/>
  <c r="V39" i="3"/>
  <c r="V1286" i="3"/>
  <c r="V1073" i="3"/>
  <c r="V911" i="3"/>
  <c r="V826" i="3"/>
  <c r="V307" i="3"/>
  <c r="V257" i="3"/>
  <c r="V205" i="3"/>
  <c r="V176" i="3"/>
  <c r="V148" i="3"/>
  <c r="V38" i="3"/>
  <c r="V1352" i="3"/>
  <c r="V1321" i="3"/>
  <c r="V1309" i="3"/>
  <c r="V1284" i="3"/>
  <c r="V1269" i="3"/>
  <c r="V1192" i="3"/>
  <c r="V1138" i="3"/>
  <c r="V1126" i="3"/>
  <c r="V1114" i="3"/>
  <c r="V1098" i="3"/>
  <c r="V1085" i="3"/>
  <c r="V1071" i="3"/>
  <c r="V1031" i="3"/>
  <c r="V1006" i="3"/>
  <c r="V965" i="3"/>
  <c r="V952" i="3"/>
  <c r="V922" i="3"/>
  <c r="V894" i="3"/>
  <c r="V879" i="3"/>
  <c r="V852" i="3"/>
  <c r="V836" i="3"/>
  <c r="V823" i="3"/>
  <c r="V768" i="3"/>
  <c r="V725" i="3"/>
  <c r="V712" i="3"/>
  <c r="V698" i="3"/>
  <c r="V669" i="3"/>
  <c r="V641" i="3"/>
  <c r="V612" i="3"/>
  <c r="V600" i="3"/>
  <c r="V586" i="3"/>
  <c r="V558" i="3"/>
  <c r="V532" i="3"/>
  <c r="V473" i="3"/>
  <c r="V432" i="3"/>
  <c r="V401" i="3"/>
  <c r="V371" i="3"/>
  <c r="V358" i="3"/>
  <c r="V329" i="3"/>
  <c r="V317" i="3"/>
  <c r="V305" i="3"/>
  <c r="V293" i="3"/>
  <c r="V279" i="3"/>
  <c r="V267" i="3"/>
  <c r="V255" i="3"/>
  <c r="V243" i="3"/>
  <c r="V231" i="3"/>
  <c r="V219" i="3"/>
  <c r="V203" i="3"/>
  <c r="V186" i="3"/>
  <c r="V173" i="3"/>
  <c r="V158" i="3"/>
  <c r="V145" i="3"/>
  <c r="V132" i="3"/>
  <c r="V96" i="3"/>
  <c r="V84" i="3"/>
  <c r="V72" i="3"/>
  <c r="V60" i="3"/>
  <c r="V48" i="3"/>
  <c r="V36" i="3"/>
  <c r="V10" i="3"/>
  <c r="V1102" i="3"/>
  <c r="V940" i="3"/>
  <c r="V686" i="3"/>
  <c r="V123" i="3"/>
  <c r="V1195" i="3"/>
  <c r="V50" i="3"/>
  <c r="V1351" i="3"/>
  <c r="V1334" i="3"/>
  <c r="V1320" i="3"/>
  <c r="V1283" i="3"/>
  <c r="V1268" i="3"/>
  <c r="V1191" i="3"/>
  <c r="V1137" i="3"/>
  <c r="V1125" i="3"/>
  <c r="V1113" i="3"/>
  <c r="V1097" i="3"/>
  <c r="V1084" i="3"/>
  <c r="V1070" i="3"/>
  <c r="V1058" i="3"/>
  <c r="V1046" i="3"/>
  <c r="V1030" i="3"/>
  <c r="V964" i="3"/>
  <c r="V951" i="3"/>
  <c r="V920" i="3"/>
  <c r="V878" i="3"/>
  <c r="V851" i="3"/>
  <c r="V835" i="3"/>
  <c r="V822" i="3"/>
  <c r="V798" i="3"/>
  <c r="V782" i="3"/>
  <c r="V767" i="3"/>
  <c r="V754" i="3"/>
  <c r="V724" i="3"/>
  <c r="V710" i="3"/>
  <c r="V697" i="3"/>
  <c r="V668" i="3"/>
  <c r="V654" i="3"/>
  <c r="V611" i="3"/>
  <c r="V599" i="3"/>
  <c r="V585" i="3"/>
  <c r="V557" i="3"/>
  <c r="V502" i="3"/>
  <c r="V472" i="3"/>
  <c r="V458" i="3"/>
  <c r="V413" i="3"/>
  <c r="V400" i="3"/>
  <c r="V383" i="3"/>
  <c r="V370" i="3"/>
  <c r="V356" i="3"/>
  <c r="V328" i="3"/>
  <c r="V316" i="3"/>
  <c r="V304" i="3"/>
  <c r="V292" i="3"/>
  <c r="V278" i="3"/>
  <c r="V266" i="3"/>
  <c r="V254" i="3"/>
  <c r="V242" i="3"/>
  <c r="V230" i="3"/>
  <c r="V217" i="3"/>
  <c r="V202" i="3"/>
  <c r="V185" i="3"/>
  <c r="V171" i="3"/>
  <c r="V157" i="3"/>
  <c r="V143" i="3"/>
  <c r="V131" i="3"/>
  <c r="V95" i="3"/>
  <c r="V83" i="3"/>
  <c r="V71" i="3"/>
  <c r="V59" i="3"/>
  <c r="V47" i="3"/>
  <c r="V35" i="3"/>
  <c r="V22" i="3"/>
  <c r="V9" i="3"/>
  <c r="V827" i="3"/>
  <c r="V575" i="3"/>
  <c r="V520" i="3"/>
  <c r="V1324" i="3"/>
  <c r="V924" i="3"/>
  <c r="V519" i="3"/>
  <c r="V122" i="3"/>
  <c r="V11" i="3"/>
  <c r="V1349" i="3"/>
  <c r="V1333" i="3"/>
  <c r="V1319" i="3"/>
  <c r="V1282" i="3"/>
  <c r="V1204" i="3"/>
  <c r="V1190" i="3"/>
  <c r="V1136" i="3"/>
  <c r="V1124" i="3"/>
  <c r="V1112" i="3"/>
  <c r="V1083" i="3"/>
  <c r="V1069" i="3"/>
  <c r="V1057" i="3"/>
  <c r="V1044" i="3"/>
  <c r="V1029" i="3"/>
  <c r="V1016" i="3"/>
  <c r="V990" i="3"/>
  <c r="V963" i="3"/>
  <c r="V950" i="3"/>
  <c r="V934" i="3"/>
  <c r="V919" i="3"/>
  <c r="V877" i="3"/>
  <c r="V834" i="3"/>
  <c r="V821" i="3"/>
  <c r="V796" i="3"/>
  <c r="V780" i="3"/>
  <c r="V766" i="3"/>
  <c r="V753" i="3"/>
  <c r="V723" i="3"/>
  <c r="V709" i="3"/>
  <c r="V666" i="3"/>
  <c r="V653" i="3"/>
  <c r="V638" i="3"/>
  <c r="V624" i="3"/>
  <c r="V584" i="3"/>
  <c r="V556" i="3"/>
  <c r="V501" i="3"/>
  <c r="V486" i="3"/>
  <c r="V457" i="3"/>
  <c r="V412" i="3"/>
  <c r="V399" i="3"/>
  <c r="V381" i="3"/>
  <c r="V369" i="3"/>
  <c r="V355" i="3"/>
  <c r="V327" i="3"/>
  <c r="V315" i="3"/>
  <c r="V303" i="3"/>
  <c r="V291" i="3"/>
  <c r="V277" i="3"/>
  <c r="V265" i="3"/>
  <c r="V253" i="3"/>
  <c r="V241" i="3"/>
  <c r="V229" i="3"/>
  <c r="V215" i="3"/>
  <c r="V201" i="3"/>
  <c r="V184" i="3"/>
  <c r="V170" i="3"/>
  <c r="V156" i="3"/>
  <c r="V142" i="3"/>
  <c r="V130" i="3"/>
  <c r="V94" i="3"/>
  <c r="V82" i="3"/>
  <c r="V70" i="3"/>
  <c r="V58" i="3"/>
  <c r="V46" i="3"/>
  <c r="V34" i="3"/>
  <c r="V21" i="3"/>
  <c r="V8" i="3"/>
  <c r="V1348" i="3"/>
  <c r="V1318" i="3"/>
  <c r="V1281" i="3"/>
  <c r="V1203" i="3"/>
  <c r="V1188" i="3"/>
  <c r="V1174" i="3"/>
  <c r="V1135" i="3"/>
  <c r="V1123" i="3"/>
  <c r="V1111" i="3"/>
  <c r="V1082" i="3"/>
  <c r="V1056" i="3"/>
  <c r="V1043" i="3"/>
  <c r="V1015" i="3"/>
  <c r="V948" i="3"/>
  <c r="V932" i="3"/>
  <c r="V876" i="3"/>
  <c r="V848" i="3"/>
  <c r="V833" i="3"/>
  <c r="V795" i="3"/>
  <c r="V779" i="3"/>
  <c r="V765" i="3"/>
  <c r="V752" i="3"/>
  <c r="V722" i="3"/>
  <c r="V708" i="3"/>
  <c r="V680" i="3"/>
  <c r="V665" i="3"/>
  <c r="V652" i="3"/>
  <c r="V637" i="3"/>
  <c r="V555" i="3"/>
  <c r="V542" i="3"/>
  <c r="V500" i="3"/>
  <c r="V485" i="3"/>
  <c r="V411" i="3"/>
  <c r="V354" i="3"/>
  <c r="V326" i="3"/>
  <c r="V314" i="3"/>
  <c r="V302" i="3"/>
  <c r="V290" i="3"/>
  <c r="V276" i="3"/>
  <c r="V264" i="3"/>
  <c r="V252" i="3"/>
  <c r="V240" i="3"/>
  <c r="V228" i="3"/>
  <c r="V214" i="3"/>
  <c r="V200" i="3"/>
  <c r="V169" i="3"/>
  <c r="V155" i="3"/>
  <c r="V141" i="3"/>
  <c r="V129" i="3"/>
  <c r="V93" i="3"/>
  <c r="V81" i="3"/>
  <c r="V69" i="3"/>
  <c r="V57" i="3"/>
  <c r="V45" i="3"/>
  <c r="V33" i="3"/>
  <c r="V20" i="3"/>
  <c r="V7" i="3"/>
  <c r="V1325" i="3"/>
  <c r="V729" i="3"/>
  <c r="V590" i="3"/>
  <c r="V435" i="3"/>
  <c r="V258" i="3"/>
  <c r="V980" i="3"/>
  <c r="V786" i="3"/>
  <c r="V714" i="3"/>
  <c r="V418" i="3"/>
  <c r="V319" i="3"/>
  <c r="V221" i="3"/>
  <c r="V98" i="3"/>
  <c r="V1280" i="3"/>
  <c r="V1238" i="3"/>
  <c r="V1214" i="3"/>
  <c r="V1202" i="3"/>
  <c r="V1187" i="3"/>
  <c r="V1173" i="3"/>
  <c r="V1146" i="3"/>
  <c r="V1134" i="3"/>
  <c r="V1122" i="3"/>
  <c r="V1081" i="3"/>
  <c r="V1055" i="3"/>
  <c r="V1042" i="3"/>
  <c r="V1014" i="3"/>
  <c r="V1002" i="3"/>
  <c r="V974" i="3"/>
  <c r="V947" i="3"/>
  <c r="V931" i="3"/>
  <c r="V904" i="3"/>
  <c r="V888" i="3"/>
  <c r="V875" i="3"/>
  <c r="V847" i="3"/>
  <c r="V832" i="3"/>
  <c r="V794" i="3"/>
  <c r="V778" i="3"/>
  <c r="V764" i="3"/>
  <c r="V750" i="3"/>
  <c r="V734" i="3"/>
  <c r="V721" i="3"/>
  <c r="V678" i="3"/>
  <c r="V664" i="3"/>
  <c r="V636" i="3"/>
  <c r="V608" i="3"/>
  <c r="V596" i="3"/>
  <c r="V554" i="3"/>
  <c r="V541" i="3"/>
  <c r="V526" i="3"/>
  <c r="V498" i="3"/>
  <c r="V484" i="3"/>
  <c r="V426" i="3"/>
  <c r="V409" i="3"/>
  <c r="V353" i="3"/>
  <c r="V339" i="3"/>
  <c r="V325" i="3"/>
  <c r="V313" i="3"/>
  <c r="V301" i="3"/>
  <c r="V288" i="3"/>
  <c r="V275" i="3"/>
  <c r="V263" i="3"/>
  <c r="V251" i="3"/>
  <c r="V239" i="3"/>
  <c r="V227" i="3"/>
  <c r="V213" i="3"/>
  <c r="V199" i="3"/>
  <c r="V168" i="3"/>
  <c r="V154" i="3"/>
  <c r="V140" i="3"/>
  <c r="V128" i="3"/>
  <c r="V92" i="3"/>
  <c r="V80" i="3"/>
  <c r="V68" i="3"/>
  <c r="V56" i="3"/>
  <c r="V44" i="3"/>
  <c r="V32" i="3"/>
  <c r="V19" i="3"/>
  <c r="V6" i="3"/>
  <c r="V968" i="3"/>
  <c r="V603" i="3"/>
  <c r="V493" i="3"/>
  <c r="V404" i="3"/>
  <c r="V191" i="3"/>
  <c r="V75" i="3"/>
  <c r="V939" i="3"/>
  <c r="V896" i="3"/>
  <c r="V771" i="3"/>
  <c r="V728" i="3"/>
  <c r="V644" i="3"/>
  <c r="V534" i="3"/>
  <c r="V403" i="3"/>
  <c r="V332" i="3"/>
  <c r="V269" i="3"/>
  <c r="V1360" i="3"/>
  <c r="V1252" i="3"/>
  <c r="V1186" i="3"/>
  <c r="V1145" i="3"/>
  <c r="V1133" i="3"/>
  <c r="V1121" i="3"/>
  <c r="V1108" i="3"/>
  <c r="V1080" i="3"/>
  <c r="V1066" i="3"/>
  <c r="V1054" i="3"/>
  <c r="V986" i="3"/>
  <c r="V972" i="3"/>
  <c r="V946" i="3"/>
  <c r="V916" i="3"/>
  <c r="V903" i="3"/>
  <c r="V887" i="3"/>
  <c r="V874" i="3"/>
  <c r="V860" i="3"/>
  <c r="V846" i="3"/>
  <c r="V831" i="3"/>
  <c r="V792" i="3"/>
  <c r="V776" i="3"/>
  <c r="V762" i="3"/>
  <c r="V749" i="3"/>
  <c r="V733" i="3"/>
  <c r="V720" i="3"/>
  <c r="V677" i="3"/>
  <c r="V663" i="3"/>
  <c r="V634" i="3"/>
  <c r="V620" i="3"/>
  <c r="V607" i="3"/>
  <c r="V594" i="3"/>
  <c r="V540" i="3"/>
  <c r="V525" i="3"/>
  <c r="V510" i="3"/>
  <c r="V497" i="3"/>
  <c r="V425" i="3"/>
  <c r="V408" i="3"/>
  <c r="V351" i="3"/>
  <c r="V338" i="3"/>
  <c r="V324" i="3"/>
  <c r="V312" i="3"/>
  <c r="V300" i="3"/>
  <c r="V286" i="3"/>
  <c r="V274" i="3"/>
  <c r="V262" i="3"/>
  <c r="V250" i="3"/>
  <c r="V238" i="3"/>
  <c r="V226" i="3"/>
  <c r="V212" i="3"/>
  <c r="V198" i="3"/>
  <c r="V167" i="3"/>
  <c r="V153" i="3"/>
  <c r="V139" i="3"/>
  <c r="V127" i="3"/>
  <c r="V115" i="3"/>
  <c r="V91" i="3"/>
  <c r="V79" i="3"/>
  <c r="V67" i="3"/>
  <c r="V43" i="3"/>
  <c r="V31" i="3"/>
  <c r="V18" i="3"/>
  <c r="V5" i="3"/>
  <c r="V898" i="3"/>
  <c r="V477" i="3"/>
  <c r="V308" i="3"/>
  <c r="V234" i="3"/>
  <c r="V87" i="3"/>
  <c r="V1128" i="3"/>
  <c r="V967" i="3"/>
  <c r="V547" i="3"/>
  <c r="V281" i="3"/>
  <c r="V245" i="3"/>
  <c r="V189" i="3"/>
  <c r="V160" i="3"/>
  <c r="V74" i="3"/>
  <c r="V1359" i="3"/>
  <c r="V1290" i="3"/>
  <c r="V1185" i="3"/>
  <c r="V1170" i="3"/>
  <c r="V1144" i="3"/>
  <c r="V1132" i="3"/>
  <c r="V1120" i="3"/>
  <c r="V1107" i="3"/>
  <c r="V1065" i="3"/>
  <c r="V1012" i="3"/>
  <c r="V1000" i="3"/>
  <c r="V984" i="3"/>
  <c r="V971" i="3"/>
  <c r="V944" i="3"/>
  <c r="V915" i="3"/>
  <c r="V902" i="3"/>
  <c r="V872" i="3"/>
  <c r="V858" i="3"/>
  <c r="V844" i="3"/>
  <c r="V830" i="3"/>
  <c r="V791" i="3"/>
  <c r="V775" i="3"/>
  <c r="V761" i="3"/>
  <c r="V662" i="3"/>
  <c r="V633" i="3"/>
  <c r="V606" i="3"/>
  <c r="V593" i="3"/>
  <c r="V552" i="3"/>
  <c r="V524" i="3"/>
  <c r="V509" i="3"/>
  <c r="V496" i="3"/>
  <c r="V466" i="3"/>
  <c r="V349" i="3"/>
  <c r="V337" i="3"/>
  <c r="V323" i="3"/>
  <c r="V311" i="3"/>
  <c r="V299" i="3"/>
  <c r="V285" i="3"/>
  <c r="V273" i="3"/>
  <c r="V261" i="3"/>
  <c r="V249" i="3"/>
  <c r="V237" i="3"/>
  <c r="V225" i="3"/>
  <c r="V211" i="3"/>
  <c r="V196" i="3"/>
  <c r="V180" i="3"/>
  <c r="V166" i="3"/>
  <c r="V152" i="3"/>
  <c r="V138" i="3"/>
  <c r="V126" i="3"/>
  <c r="V114" i="3"/>
  <c r="V78" i="3"/>
  <c r="V66" i="3"/>
  <c r="V42" i="3"/>
  <c r="V30" i="3"/>
  <c r="V17" i="3"/>
  <c r="V4" i="3"/>
  <c r="V1273" i="3"/>
  <c r="V1196" i="3"/>
  <c r="V1035" i="3"/>
  <c r="V772" i="3"/>
  <c r="V629" i="3"/>
  <c r="V320" i="3"/>
  <c r="V270" i="3"/>
  <c r="V207" i="3"/>
  <c r="V63" i="3"/>
  <c r="V1152" i="3"/>
  <c r="V1100" i="3"/>
  <c r="V1008" i="3"/>
  <c r="V839" i="3"/>
  <c r="V685" i="3"/>
  <c r="V614" i="3"/>
  <c r="V602" i="3"/>
  <c r="V574" i="3"/>
  <c r="V295" i="3"/>
  <c r="V233" i="3"/>
  <c r="V86" i="3"/>
  <c r="V1357" i="3"/>
  <c r="V1314" i="3"/>
  <c r="V1289" i="3"/>
  <c r="V1198" i="3"/>
  <c r="V1184" i="3"/>
  <c r="V1131" i="3"/>
  <c r="V1038" i="3"/>
  <c r="V1024" i="3"/>
  <c r="V1011" i="3"/>
  <c r="V999" i="3"/>
  <c r="V983" i="3"/>
  <c r="V970" i="3"/>
  <c r="V958" i="3"/>
  <c r="V943" i="3"/>
  <c r="V928" i="3"/>
  <c r="V914" i="3"/>
  <c r="V900" i="3"/>
  <c r="V871" i="3"/>
  <c r="V857" i="3"/>
  <c r="V843" i="3"/>
  <c r="V790" i="3"/>
  <c r="V774" i="3"/>
  <c r="V746" i="3"/>
  <c r="V718" i="3"/>
  <c r="V704" i="3"/>
  <c r="V592" i="3"/>
  <c r="V551" i="3"/>
  <c r="V538" i="3"/>
  <c r="V522" i="3"/>
  <c r="V480" i="3"/>
  <c r="V465" i="3"/>
  <c r="V452" i="3"/>
  <c r="V438" i="3"/>
  <c r="V336" i="3"/>
  <c r="V322" i="3"/>
  <c r="V310" i="3"/>
  <c r="V284" i="3"/>
  <c r="V272" i="3"/>
  <c r="V260" i="3"/>
  <c r="V248" i="3"/>
  <c r="V236" i="3"/>
  <c r="V224" i="3"/>
  <c r="V210" i="3"/>
  <c r="V194" i="3"/>
  <c r="V179" i="3"/>
  <c r="V165" i="3"/>
  <c r="V151" i="3"/>
  <c r="V137" i="3"/>
  <c r="V125" i="3"/>
  <c r="V113" i="3"/>
  <c r="V101" i="3"/>
  <c r="V77" i="3"/>
  <c r="V65" i="3"/>
  <c r="V41" i="3"/>
  <c r="V29" i="3"/>
  <c r="V16" i="3"/>
  <c r="V3" i="3"/>
  <c r="V1312" i="3"/>
  <c r="V1181" i="3"/>
  <c r="V926" i="3"/>
  <c r="V787" i="3"/>
  <c r="V744" i="3"/>
  <c r="V702" i="3"/>
  <c r="V658" i="3"/>
  <c r="V548" i="3"/>
  <c r="V388" i="3"/>
  <c r="V222" i="3"/>
  <c r="V149" i="3"/>
  <c r="V99" i="3"/>
  <c r="V1311" i="3"/>
  <c r="V1272" i="3"/>
  <c r="V1165" i="3"/>
  <c r="V1116" i="3"/>
  <c r="V1034" i="3"/>
  <c r="V954" i="3"/>
  <c r="V701" i="3"/>
  <c r="V62" i="3"/>
  <c r="V1356" i="3"/>
  <c r="V1327" i="3"/>
  <c r="V1313" i="3"/>
  <c r="V1288" i="3"/>
  <c r="V1274" i="3"/>
  <c r="V1210" i="3"/>
  <c r="V1197" i="3"/>
  <c r="V1182" i="3"/>
  <c r="V1154" i="3"/>
  <c r="V1130" i="3"/>
  <c r="V1118" i="3"/>
  <c r="V1036" i="3"/>
  <c r="V1023" i="3"/>
  <c r="V1010" i="3"/>
  <c r="V982" i="3"/>
  <c r="V942" i="3"/>
  <c r="V927" i="3"/>
  <c r="V899" i="3"/>
  <c r="V842" i="3"/>
  <c r="V828" i="3"/>
  <c r="V788" i="3"/>
  <c r="V745" i="3"/>
  <c r="V730" i="3"/>
  <c r="V717" i="3"/>
  <c r="V703" i="3"/>
  <c r="V630" i="3"/>
  <c r="V604" i="3"/>
  <c r="V591" i="3"/>
  <c r="V576" i="3"/>
  <c r="V550" i="3"/>
  <c r="V537" i="3"/>
  <c r="V521" i="3"/>
  <c r="V494" i="3"/>
  <c r="V478" i="3"/>
  <c r="V464" i="3"/>
  <c r="V436" i="3"/>
  <c r="V390" i="3"/>
  <c r="V334" i="3"/>
  <c r="V321" i="3"/>
  <c r="V309" i="3"/>
  <c r="V283" i="3"/>
  <c r="V271" i="3"/>
  <c r="V259" i="3"/>
  <c r="V247" i="3"/>
  <c r="V235" i="3"/>
  <c r="V223" i="3"/>
  <c r="V209" i="3"/>
  <c r="V192" i="3"/>
  <c r="V178" i="3"/>
  <c r="V164" i="3"/>
  <c r="V150" i="3"/>
  <c r="V124" i="3"/>
  <c r="V100" i="3"/>
  <c r="V76" i="3"/>
  <c r="V64" i="3"/>
  <c r="V40" i="3"/>
  <c r="V15" i="3"/>
  <c r="V1369" i="3"/>
  <c r="V1339" i="3"/>
  <c r="V1300" i="3"/>
  <c r="V1260" i="3"/>
  <c r="V1247" i="3"/>
  <c r="V1231" i="3"/>
  <c r="V1218" i="3"/>
  <c r="V1166" i="3"/>
  <c r="V1141" i="3"/>
  <c r="V1088" i="3"/>
  <c r="V1062" i="3"/>
  <c r="V1050" i="3"/>
  <c r="V1022" i="3"/>
  <c r="V956" i="3"/>
  <c r="V882" i="3"/>
  <c r="V855" i="3"/>
  <c r="V814" i="3"/>
  <c r="V802" i="3"/>
  <c r="V758" i="3"/>
  <c r="V716" i="3"/>
  <c r="V672" i="3"/>
  <c r="V645" i="3"/>
  <c r="V536" i="3"/>
  <c r="V506" i="3"/>
  <c r="V462" i="3"/>
  <c r="V449" i="3"/>
  <c r="V420" i="3"/>
  <c r="V374" i="3"/>
  <c r="V362" i="3"/>
  <c r="V346" i="3"/>
  <c r="V296" i="3"/>
  <c r="V135" i="3"/>
  <c r="V111" i="3"/>
  <c r="V51" i="3"/>
  <c r="V27" i="3"/>
  <c r="V1368" i="3"/>
  <c r="V1338" i="3"/>
  <c r="V1299" i="3"/>
  <c r="V1259" i="3"/>
  <c r="V1246" i="3"/>
  <c r="V1230" i="3"/>
  <c r="V1208" i="3"/>
  <c r="V1180" i="3"/>
  <c r="V1140" i="3"/>
  <c r="V1087" i="3"/>
  <c r="V1061" i="3"/>
  <c r="V1049" i="3"/>
  <c r="V1020" i="3"/>
  <c r="V881" i="3"/>
  <c r="V868" i="3"/>
  <c r="V854" i="3"/>
  <c r="V813" i="3"/>
  <c r="V801" i="3"/>
  <c r="V757" i="3"/>
  <c r="V742" i="3"/>
  <c r="V671" i="3"/>
  <c r="V628" i="3"/>
  <c r="V588" i="3"/>
  <c r="V505" i="3"/>
  <c r="V492" i="3"/>
  <c r="V476" i="3"/>
  <c r="V461" i="3"/>
  <c r="V448" i="3"/>
  <c r="V434" i="3"/>
  <c r="V387" i="3"/>
  <c r="V373" i="3"/>
  <c r="V361" i="3"/>
  <c r="V345" i="3"/>
  <c r="V134" i="3"/>
  <c r="V110" i="3"/>
  <c r="V26" i="3"/>
  <c r="V1367" i="3"/>
  <c r="V1337" i="3"/>
  <c r="V1298" i="3"/>
  <c r="V1258" i="3"/>
  <c r="V1244" i="3"/>
  <c r="V1229" i="3"/>
  <c r="M710" i="4"/>
  <c r="V1207" i="3"/>
  <c r="V1194" i="3"/>
  <c r="V1178" i="3"/>
  <c r="V1151" i="3"/>
  <c r="V1060" i="3"/>
  <c r="V1048" i="3"/>
  <c r="V1019" i="3"/>
  <c r="V867" i="3"/>
  <c r="V812" i="3"/>
  <c r="V800" i="3"/>
  <c r="V784" i="3"/>
  <c r="V756" i="3"/>
  <c r="V741" i="3"/>
  <c r="V700" i="3"/>
  <c r="V684" i="3"/>
  <c r="V656" i="3"/>
  <c r="V627" i="3"/>
  <c r="V587" i="3"/>
  <c r="V572" i="3"/>
  <c r="V518" i="3"/>
  <c r="V504" i="3"/>
  <c r="V490" i="3"/>
  <c r="V460" i="3"/>
  <c r="V447" i="3"/>
  <c r="V433" i="3"/>
  <c r="V386" i="3"/>
  <c r="V372" i="3"/>
  <c r="V360" i="3"/>
  <c r="V344" i="3"/>
  <c r="V121" i="3"/>
  <c r="V109" i="3"/>
  <c r="V25" i="3"/>
  <c r="V1366" i="3"/>
  <c r="V1336" i="3"/>
  <c r="V1297" i="3"/>
  <c r="V1257" i="3"/>
  <c r="V1243" i="3"/>
  <c r="V1228" i="3"/>
  <c r="V1206" i="3"/>
  <c r="V1177" i="3"/>
  <c r="V1163" i="3"/>
  <c r="V1150" i="3"/>
  <c r="V1059" i="3"/>
  <c r="V1047" i="3"/>
  <c r="V1018" i="3"/>
  <c r="V992" i="3"/>
  <c r="V978" i="3"/>
  <c r="V936" i="3"/>
  <c r="V908" i="3"/>
  <c r="V866" i="3"/>
  <c r="V811" i="3"/>
  <c r="V799" i="3"/>
  <c r="V783" i="3"/>
  <c r="V755" i="3"/>
  <c r="V740" i="3"/>
  <c r="V683" i="3"/>
  <c r="V655" i="3"/>
  <c r="V626" i="3"/>
  <c r="V571" i="3"/>
  <c r="V517" i="3"/>
  <c r="V503" i="3"/>
  <c r="V489" i="3"/>
  <c r="V459" i="3"/>
  <c r="V446" i="3"/>
  <c r="V416" i="3"/>
  <c r="V385" i="3"/>
  <c r="V343" i="3"/>
  <c r="V120" i="3"/>
  <c r="V108" i="3"/>
  <c r="V24" i="3"/>
  <c r="V1377" i="3"/>
  <c r="V1364" i="3"/>
  <c r="V1308" i="3"/>
  <c r="V1296" i="3"/>
  <c r="V1256" i="3"/>
  <c r="V1242" i="3"/>
  <c r="V1227" i="3"/>
  <c r="M709" i="4"/>
  <c r="V1176" i="3"/>
  <c r="V1162" i="3"/>
  <c r="V1149" i="3"/>
  <c r="V1017" i="3"/>
  <c r="V991" i="3"/>
  <c r="V977" i="3"/>
  <c r="V935" i="3"/>
  <c r="V907" i="3"/>
  <c r="V892" i="3"/>
  <c r="V865" i="3"/>
  <c r="V810" i="3"/>
  <c r="V738" i="3"/>
  <c r="V682" i="3"/>
  <c r="V640" i="3"/>
  <c r="V625" i="3"/>
  <c r="V570" i="3"/>
  <c r="V544" i="3"/>
  <c r="V530" i="3"/>
  <c r="V516" i="3"/>
  <c r="V488" i="3"/>
  <c r="V445" i="3"/>
  <c r="V430" i="3"/>
  <c r="V342" i="3"/>
  <c r="V119" i="3"/>
  <c r="V107" i="3"/>
  <c r="V1376" i="3"/>
  <c r="V1363" i="3"/>
  <c r="V1307" i="3"/>
  <c r="V1295" i="3"/>
  <c r="V1255" i="3"/>
  <c r="V1240" i="3"/>
  <c r="V1226" i="3"/>
  <c r="V1216" i="3"/>
  <c r="V1175" i="3"/>
  <c r="V1161" i="3"/>
  <c r="V1148" i="3"/>
  <c r="V1096" i="3"/>
  <c r="V1004" i="3"/>
  <c r="V976" i="3"/>
  <c r="V906" i="3"/>
  <c r="V891" i="3"/>
  <c r="V864" i="3"/>
  <c r="V850" i="3"/>
  <c r="V737" i="3"/>
  <c r="V696" i="3"/>
  <c r="V681" i="3"/>
  <c r="V610" i="3"/>
  <c r="V598" i="3"/>
  <c r="V569" i="3"/>
  <c r="V543" i="3"/>
  <c r="V529" i="3"/>
  <c r="V514" i="3"/>
  <c r="V470" i="3"/>
  <c r="V444" i="3"/>
  <c r="V429" i="3"/>
  <c r="V341" i="3"/>
  <c r="V118" i="3"/>
  <c r="V106" i="3"/>
  <c r="V23" i="3"/>
  <c r="V1375" i="3"/>
  <c r="V1362" i="3"/>
  <c r="V1332" i="3"/>
  <c r="V1306" i="3"/>
  <c r="V1294" i="3"/>
  <c r="V1266" i="3"/>
  <c r="V1254" i="3"/>
  <c r="V1239" i="3"/>
  <c r="V1224" i="3"/>
  <c r="V1215" i="3"/>
  <c r="V1160" i="3"/>
  <c r="V1147" i="3"/>
  <c r="V1095" i="3"/>
  <c r="V1068" i="3"/>
  <c r="V1028" i="3"/>
  <c r="V1003" i="3"/>
  <c r="V988" i="3"/>
  <c r="V975" i="3"/>
  <c r="V962" i="3"/>
  <c r="V918" i="3"/>
  <c r="V890" i="3"/>
  <c r="V863" i="3"/>
  <c r="V820" i="3"/>
  <c r="V808" i="3"/>
  <c r="V736" i="3"/>
  <c r="V694" i="3"/>
  <c r="V622" i="3"/>
  <c r="V609" i="3"/>
  <c r="V597" i="3"/>
  <c r="V582" i="3"/>
  <c r="V568" i="3"/>
  <c r="V528" i="3"/>
  <c r="V513" i="3"/>
  <c r="V469" i="3"/>
  <c r="V456" i="3"/>
  <c r="V443" i="3"/>
  <c r="V428" i="3"/>
  <c r="V398" i="3"/>
  <c r="V380" i="3"/>
  <c r="V368" i="3"/>
  <c r="V340" i="3"/>
  <c r="V183" i="3"/>
  <c r="V117" i="3"/>
  <c r="V105" i="3"/>
  <c r="V1361" i="3"/>
  <c r="V1346" i="3"/>
  <c r="V1331" i="3"/>
  <c r="V1317" i="3"/>
  <c r="V1305" i="3"/>
  <c r="V1293" i="3"/>
  <c r="V1265" i="3"/>
  <c r="V1223" i="3"/>
  <c r="V1159" i="3"/>
  <c r="V1110" i="3"/>
  <c r="V1094" i="3"/>
  <c r="V1067" i="3"/>
  <c r="V1027" i="3"/>
  <c r="V987" i="3"/>
  <c r="V862" i="3"/>
  <c r="V819" i="3"/>
  <c r="V807" i="3"/>
  <c r="V693" i="3"/>
  <c r="V621" i="3"/>
  <c r="V581" i="3"/>
  <c r="V567" i="3"/>
  <c r="V512" i="3"/>
  <c r="V468" i="3"/>
  <c r="V442" i="3"/>
  <c r="V397" i="3"/>
  <c r="V379" i="3"/>
  <c r="V367" i="3"/>
  <c r="V182" i="3"/>
  <c r="V116" i="3"/>
  <c r="V104" i="3"/>
  <c r="V1373" i="3"/>
  <c r="V1345" i="3"/>
  <c r="V1330" i="3"/>
  <c r="V1316" i="3"/>
  <c r="V1304" i="3"/>
  <c r="V1292" i="3"/>
  <c r="V1278" i="3"/>
  <c r="V1264" i="3"/>
  <c r="V1236" i="3"/>
  <c r="V1222" i="3"/>
  <c r="V1200" i="3"/>
  <c r="V1172" i="3"/>
  <c r="V1093" i="3"/>
  <c r="V1040" i="3"/>
  <c r="V1026" i="3"/>
  <c r="V960" i="3"/>
  <c r="V930" i="3"/>
  <c r="V818" i="3"/>
  <c r="V806" i="3"/>
  <c r="V706" i="3"/>
  <c r="V692" i="3"/>
  <c r="V650" i="3"/>
  <c r="V580" i="3"/>
  <c r="V566" i="3"/>
  <c r="V482" i="3"/>
  <c r="V454" i="3"/>
  <c r="V440" i="3"/>
  <c r="V396" i="3"/>
  <c r="V378" i="3"/>
  <c r="V366" i="3"/>
  <c r="V181" i="3"/>
  <c r="V103" i="3"/>
  <c r="V55" i="3"/>
  <c r="V1372" i="3"/>
  <c r="V1343" i="3"/>
  <c r="V1329" i="3"/>
  <c r="V1315" i="3"/>
  <c r="V1303" i="3"/>
  <c r="V1277" i="3"/>
  <c r="V1263" i="3"/>
  <c r="V1250" i="3"/>
  <c r="V1235" i="3"/>
  <c r="V1212" i="3"/>
  <c r="V1199" i="3"/>
  <c r="V1156" i="3"/>
  <c r="V1092" i="3"/>
  <c r="V1078" i="3"/>
  <c r="V1039" i="3"/>
  <c r="V959" i="3"/>
  <c r="V886" i="3"/>
  <c r="V805" i="3"/>
  <c r="V748" i="3"/>
  <c r="V732" i="3"/>
  <c r="V690" i="3"/>
  <c r="V676" i="3"/>
  <c r="V649" i="3"/>
  <c r="V618" i="3"/>
  <c r="V578" i="3"/>
  <c r="V481" i="3"/>
  <c r="V453" i="3"/>
  <c r="V439" i="3"/>
  <c r="V424" i="3"/>
  <c r="V407" i="3"/>
  <c r="V394" i="3"/>
  <c r="V377" i="3"/>
  <c r="V365" i="3"/>
  <c r="V102" i="3"/>
  <c r="V90" i="3"/>
  <c r="V54" i="3"/>
  <c r="V1371" i="3"/>
  <c r="V1342" i="3"/>
  <c r="V1328" i="3"/>
  <c r="V1302" i="3"/>
  <c r="V1276" i="3"/>
  <c r="V1262" i="3"/>
  <c r="V1249" i="3"/>
  <c r="V1234" i="3"/>
  <c r="V1220" i="3"/>
  <c r="V1211" i="3"/>
  <c r="V1168" i="3"/>
  <c r="V1155" i="3"/>
  <c r="V1143" i="3"/>
  <c r="V1106" i="3"/>
  <c r="V1090" i="3"/>
  <c r="V1077" i="3"/>
  <c r="V1064" i="3"/>
  <c r="V1052" i="3"/>
  <c r="V884" i="3"/>
  <c r="V816" i="3"/>
  <c r="V804" i="3"/>
  <c r="V760" i="3"/>
  <c r="V689" i="3"/>
  <c r="V674" i="3"/>
  <c r="V660" i="3"/>
  <c r="V648" i="3"/>
  <c r="V632" i="3"/>
  <c r="V617" i="3"/>
  <c r="V577" i="3"/>
  <c r="V564" i="3"/>
  <c r="V508" i="3"/>
  <c r="V423" i="3"/>
  <c r="V406" i="3"/>
  <c r="V392" i="3"/>
  <c r="V376" i="3"/>
  <c r="V364" i="3"/>
  <c r="V348" i="3"/>
  <c r="V298" i="3"/>
  <c r="V89" i="3"/>
  <c r="V53" i="3"/>
  <c r="V1370" i="3"/>
  <c r="V1340" i="3"/>
  <c r="V1301" i="3"/>
  <c r="V1261" i="3"/>
  <c r="V1248" i="3"/>
  <c r="V1232" i="3"/>
  <c r="V1219" i="3"/>
  <c r="V1167" i="3"/>
  <c r="V1142" i="3"/>
  <c r="V1104" i="3"/>
  <c r="V1076" i="3"/>
  <c r="V1063" i="3"/>
  <c r="V1051" i="3"/>
  <c r="V998" i="3"/>
  <c r="V883" i="3"/>
  <c r="V870" i="3"/>
  <c r="V856" i="3"/>
  <c r="V815" i="3"/>
  <c r="V803" i="3"/>
  <c r="V688" i="3"/>
  <c r="V673" i="3"/>
  <c r="V659" i="3"/>
  <c r="V646" i="3"/>
  <c r="V616" i="3"/>
  <c r="V563" i="3"/>
  <c r="V450" i="3"/>
  <c r="V422" i="3"/>
  <c r="V405" i="3"/>
  <c r="V375" i="3"/>
  <c r="V363" i="3"/>
  <c r="V347" i="3"/>
  <c r="V297" i="3"/>
  <c r="V136" i="3"/>
  <c r="V112" i="3"/>
  <c r="V88" i="3"/>
  <c r="V52" i="3"/>
  <c r="V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5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4" i="3"/>
  <c r="I165" i="3"/>
  <c r="I166" i="3"/>
  <c r="I167" i="3"/>
  <c r="I168" i="3"/>
  <c r="I169" i="3"/>
  <c r="I170" i="3"/>
  <c r="I171" i="3"/>
  <c r="I173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9" i="3"/>
  <c r="I191" i="3"/>
  <c r="I192" i="3"/>
  <c r="I194" i="3"/>
  <c r="I196" i="3"/>
  <c r="I198" i="3"/>
  <c r="I199" i="3"/>
  <c r="I200" i="3"/>
  <c r="I201" i="3"/>
  <c r="I202" i="3"/>
  <c r="I203" i="3"/>
  <c r="I204" i="3"/>
  <c r="I205" i="3"/>
  <c r="I207" i="3"/>
  <c r="I209" i="3"/>
  <c r="I210" i="3"/>
  <c r="I211" i="3"/>
  <c r="I212" i="3"/>
  <c r="I213" i="3"/>
  <c r="I214" i="3"/>
  <c r="I215" i="3"/>
  <c r="I217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8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2" i="3"/>
  <c r="I333" i="3"/>
  <c r="I334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1" i="3"/>
  <c r="I353" i="3"/>
  <c r="I354" i="3"/>
  <c r="I355" i="3"/>
  <c r="I356" i="3"/>
  <c r="I358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3" i="3"/>
  <c r="I385" i="3"/>
  <c r="I386" i="3"/>
  <c r="I387" i="3"/>
  <c r="I388" i="3"/>
  <c r="I390" i="3"/>
  <c r="I392" i="3"/>
  <c r="I394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1" i="3"/>
  <c r="I412" i="3"/>
  <c r="I413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6" i="3"/>
  <c r="I1337" i="3"/>
  <c r="I1338" i="3"/>
  <c r="I1339" i="3"/>
  <c r="I1340" i="3"/>
  <c r="I1342" i="3"/>
  <c r="I1343" i="3"/>
  <c r="I1345" i="3"/>
  <c r="I1346" i="3"/>
  <c r="I1348" i="3"/>
  <c r="I1349" i="3"/>
  <c r="I1351" i="3"/>
  <c r="I1352" i="3"/>
  <c r="I1353" i="3"/>
  <c r="I1354" i="3"/>
  <c r="I1355" i="3"/>
  <c r="I1356" i="3"/>
  <c r="I1357" i="3"/>
  <c r="I1359" i="3"/>
  <c r="I1360" i="3"/>
  <c r="I1361" i="3"/>
  <c r="I1362" i="3"/>
  <c r="I1363" i="3"/>
  <c r="N1364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F2" i="3"/>
  <c r="S4" i="3"/>
  <c r="S9" i="3"/>
  <c r="S10" i="3"/>
  <c r="S14" i="3"/>
  <c r="S18" i="3"/>
  <c r="S21" i="3"/>
  <c r="S22" i="3"/>
  <c r="S27" i="3"/>
  <c r="S36" i="3"/>
  <c r="S37" i="3"/>
  <c r="S40" i="3"/>
  <c r="S41" i="3"/>
  <c r="S43" i="3"/>
  <c r="S44" i="3"/>
  <c r="S50" i="3"/>
  <c r="S54" i="3"/>
  <c r="S57" i="3"/>
  <c r="S60" i="3"/>
  <c r="S61" i="3"/>
  <c r="S63" i="3"/>
  <c r="S64" i="3"/>
  <c r="S68" i="3"/>
  <c r="S71" i="3"/>
  <c r="S72" i="3"/>
  <c r="S75" i="3"/>
  <c r="S76" i="3"/>
  <c r="S83" i="3"/>
  <c r="S84" i="3"/>
  <c r="S86" i="3"/>
  <c r="S94" i="3"/>
  <c r="S95" i="3"/>
  <c r="S100" i="3"/>
  <c r="S101" i="3"/>
  <c r="S104" i="3"/>
  <c r="S111" i="3"/>
  <c r="S114" i="3"/>
  <c r="S115" i="3"/>
  <c r="S120" i="3"/>
  <c r="S123" i="3"/>
  <c r="S124" i="3"/>
  <c r="S126" i="3"/>
  <c r="S127" i="3"/>
  <c r="S129" i="3"/>
  <c r="S130" i="3"/>
  <c r="S132" i="3"/>
  <c r="S133" i="3"/>
  <c r="S135" i="3"/>
  <c r="S145" i="3"/>
  <c r="S148" i="3"/>
  <c r="S151" i="3"/>
  <c r="S152" i="3"/>
  <c r="S155" i="3"/>
  <c r="S156" i="3"/>
  <c r="S164" i="3"/>
  <c r="S166" i="3"/>
  <c r="S167" i="3"/>
  <c r="S169" i="3"/>
  <c r="S170" i="3"/>
  <c r="S173" i="3"/>
  <c r="S176" i="3"/>
  <c r="S180" i="3"/>
  <c r="S185" i="3"/>
  <c r="S186" i="3"/>
  <c r="S192" i="3"/>
  <c r="S196" i="3"/>
  <c r="S210" i="3"/>
  <c r="S211" i="3"/>
  <c r="S213" i="3"/>
  <c r="S214" i="3"/>
  <c r="S217" i="3"/>
  <c r="S221" i="3"/>
  <c r="S231" i="3"/>
  <c r="S234" i="3"/>
  <c r="S236" i="3"/>
  <c r="S237" i="3"/>
  <c r="S239" i="3"/>
  <c r="S240" i="3"/>
  <c r="S248" i="3"/>
  <c r="S251" i="3"/>
  <c r="S254" i="3"/>
  <c r="S256" i="3"/>
  <c r="S257" i="3"/>
  <c r="S259" i="3"/>
  <c r="S263" i="3"/>
  <c r="S265" i="3"/>
  <c r="S266" i="3"/>
  <c r="S269" i="3"/>
  <c r="S272" i="3"/>
  <c r="S275" i="3"/>
  <c r="S276" i="3"/>
  <c r="S282" i="3"/>
  <c r="S284" i="3"/>
  <c r="S285" i="3"/>
  <c r="S288" i="3"/>
  <c r="S294" i="3"/>
  <c r="S301" i="3"/>
  <c r="S310" i="3"/>
  <c r="S312" i="3"/>
  <c r="S315" i="3"/>
  <c r="S316" i="3"/>
  <c r="S318" i="3"/>
  <c r="S319" i="3"/>
  <c r="S321" i="3"/>
  <c r="S324" i="3"/>
  <c r="S327" i="3"/>
  <c r="S328" i="3"/>
  <c r="S330" i="3"/>
  <c r="S332" i="3"/>
  <c r="S334" i="3"/>
  <c r="S338" i="3"/>
  <c r="S339" i="3"/>
  <c r="S351" i="3"/>
  <c r="S354" i="3"/>
  <c r="S355" i="3"/>
  <c r="S358" i="3"/>
  <c r="S362" i="3"/>
  <c r="S371" i="3"/>
  <c r="S383" i="3"/>
  <c r="S390" i="3"/>
  <c r="S403" i="3"/>
  <c r="S404" i="3"/>
  <c r="S409" i="3"/>
  <c r="S411" i="3"/>
  <c r="S413" i="3"/>
  <c r="S418" i="3"/>
  <c r="S426" i="3"/>
  <c r="S432" i="3"/>
  <c r="S436" i="3"/>
  <c r="S438" i="3"/>
  <c r="S452" i="3"/>
  <c r="S458" i="3"/>
  <c r="S460" i="3"/>
  <c r="S464" i="3"/>
  <c r="S466" i="3"/>
  <c r="S472" i="3"/>
  <c r="S474" i="3"/>
  <c r="S478" i="3"/>
  <c r="S480" i="3"/>
  <c r="S484" i="3"/>
  <c r="S486" i="3"/>
  <c r="S494" i="3"/>
  <c r="S496" i="3"/>
  <c r="S498" i="3"/>
  <c r="S500" i="3"/>
  <c r="S502" i="3"/>
  <c r="S510" i="3"/>
  <c r="S520" i="3"/>
  <c r="S522" i="3"/>
  <c r="S524" i="3"/>
  <c r="S526" i="3"/>
  <c r="S532" i="3"/>
  <c r="S534" i="3"/>
  <c r="S538" i="3"/>
  <c r="S540" i="3"/>
  <c r="S550" i="3"/>
  <c r="S552" i="3"/>
  <c r="S556" i="3"/>
  <c r="S560" i="3"/>
  <c r="S562" i="3"/>
  <c r="S574" i="3"/>
  <c r="S584" i="3"/>
  <c r="S588" i="3"/>
  <c r="S590" i="3"/>
  <c r="S592" i="3"/>
  <c r="S594" i="3"/>
  <c r="S596" i="3"/>
  <c r="S600" i="3"/>
  <c r="S602" i="3"/>
  <c r="S604" i="3"/>
  <c r="S606" i="3"/>
  <c r="S608" i="3"/>
  <c r="S610" i="3"/>
  <c r="S618" i="3"/>
  <c r="S620" i="3"/>
  <c r="S624" i="3"/>
  <c r="S630" i="3"/>
  <c r="S636" i="3"/>
  <c r="S638" i="3"/>
  <c r="S642" i="3"/>
  <c r="S644" i="3"/>
  <c r="S652" i="3"/>
  <c r="S654" i="3"/>
  <c r="S658" i="3"/>
  <c r="S662" i="3"/>
  <c r="S666" i="3"/>
  <c r="S668" i="3"/>
  <c r="S670" i="3"/>
  <c r="S676" i="3"/>
  <c r="S678" i="3"/>
  <c r="S680" i="3"/>
  <c r="S686" i="3"/>
  <c r="S692" i="3"/>
  <c r="S698" i="3"/>
  <c r="S700" i="3"/>
  <c r="S702" i="3"/>
  <c r="S710" i="3"/>
  <c r="S712" i="3"/>
  <c r="S714" i="3"/>
  <c r="S718" i="3"/>
  <c r="S722" i="3"/>
  <c r="S724" i="3"/>
  <c r="S726" i="3"/>
  <c r="S730" i="3"/>
  <c r="S734" i="3"/>
  <c r="S746" i="3"/>
  <c r="S750" i="3"/>
  <c r="S752" i="3"/>
  <c r="S754" i="3"/>
  <c r="S762" i="3"/>
  <c r="S764" i="3"/>
  <c r="S766" i="3"/>
  <c r="S768" i="3"/>
  <c r="S770" i="3"/>
  <c r="S772" i="3"/>
  <c r="S774" i="3"/>
  <c r="S776" i="3"/>
  <c r="S780" i="3"/>
  <c r="S788" i="3"/>
  <c r="S792" i="3"/>
  <c r="S796" i="3"/>
  <c r="S818" i="3"/>
  <c r="S824" i="3"/>
  <c r="S826" i="3"/>
  <c r="S828" i="3"/>
  <c r="S830" i="3"/>
  <c r="S832" i="3"/>
  <c r="S834" i="3"/>
  <c r="S836" i="3"/>
  <c r="S838" i="3"/>
  <c r="S840" i="3"/>
  <c r="S842" i="3"/>
  <c r="S844" i="3"/>
  <c r="S846" i="3"/>
  <c r="S848" i="3"/>
  <c r="S852" i="3"/>
  <c r="S856" i="3"/>
  <c r="S858" i="3"/>
  <c r="S860" i="3"/>
  <c r="S868" i="3"/>
  <c r="S874" i="3"/>
  <c r="S876" i="3"/>
  <c r="S878" i="3"/>
  <c r="S880" i="3"/>
  <c r="S884" i="3"/>
  <c r="S888" i="3"/>
  <c r="S894" i="3"/>
  <c r="S896" i="3"/>
  <c r="S898" i="3"/>
  <c r="S902" i="3"/>
  <c r="S904" i="3"/>
  <c r="S910" i="3"/>
  <c r="S914" i="3"/>
  <c r="S916" i="3"/>
  <c r="S920" i="3"/>
  <c r="S922" i="3"/>
  <c r="S924" i="3"/>
  <c r="S926" i="3"/>
  <c r="S930" i="3"/>
  <c r="S934" i="3"/>
  <c r="S938" i="3"/>
  <c r="S940" i="3"/>
  <c r="S944" i="3"/>
  <c r="S946" i="3"/>
  <c r="S948" i="3"/>
  <c r="S950" i="3"/>
  <c r="S952" i="3"/>
  <c r="S954" i="3"/>
  <c r="S964" i="3"/>
  <c r="S966" i="3"/>
  <c r="S968" i="3"/>
  <c r="S980" i="3"/>
  <c r="S982" i="3"/>
  <c r="S984" i="3"/>
  <c r="S990" i="3"/>
  <c r="S994" i="3"/>
  <c r="S996" i="3"/>
  <c r="S1000" i="3"/>
  <c r="S1006" i="3"/>
  <c r="S1008" i="3"/>
  <c r="S1010" i="3"/>
  <c r="S1012" i="3"/>
  <c r="S1014" i="3"/>
  <c r="S1016" i="3"/>
  <c r="S1024" i="3"/>
  <c r="S1030" i="3"/>
  <c r="S1032" i="3"/>
  <c r="S1034" i="3"/>
  <c r="S1036" i="3"/>
  <c r="S1038" i="3"/>
  <c r="S1042" i="3"/>
  <c r="S1044" i="3"/>
  <c r="S1058" i="3"/>
  <c r="S1066" i="3"/>
  <c r="S1070" i="3"/>
  <c r="S1072" i="3"/>
  <c r="S1074" i="3"/>
  <c r="S1080" i="3"/>
  <c r="S1082" i="3"/>
  <c r="S1084" i="3"/>
  <c r="S1086" i="3"/>
  <c r="S1096" i="3"/>
  <c r="S1098" i="3"/>
  <c r="S1102" i="3"/>
  <c r="S1112" i="3"/>
  <c r="S1114" i="3"/>
  <c r="S1116" i="3"/>
  <c r="S1118" i="3"/>
  <c r="S1120" i="3"/>
  <c r="S1122" i="3"/>
  <c r="S1124" i="3"/>
  <c r="S1125" i="3"/>
  <c r="S1127" i="3"/>
  <c r="S1128" i="3"/>
  <c r="S1130" i="3"/>
  <c r="S1136" i="3"/>
  <c r="S1139" i="3"/>
  <c r="S1145" i="3"/>
  <c r="S1153" i="3"/>
  <c r="S1154" i="3"/>
  <c r="S1161" i="3"/>
  <c r="S1163" i="3"/>
  <c r="S1165" i="3"/>
  <c r="S1170" i="3"/>
  <c r="S1172" i="3"/>
  <c r="S1174" i="3"/>
  <c r="S1180" i="3"/>
  <c r="S1182" i="3"/>
  <c r="S1184" i="3"/>
  <c r="S1186" i="3"/>
  <c r="S1188" i="3"/>
  <c r="S1190" i="3"/>
  <c r="S1196" i="3"/>
  <c r="S1198" i="3"/>
  <c r="S1204" i="3"/>
  <c r="S1214" i="3"/>
  <c r="S1216" i="3"/>
  <c r="S1222" i="3"/>
  <c r="S1238" i="3"/>
  <c r="S1252" i="3"/>
  <c r="S1268" i="3"/>
  <c r="S1270" i="3"/>
  <c r="S1272" i="3"/>
  <c r="S1274" i="3"/>
  <c r="S1284" i="3"/>
  <c r="S1290" i="3"/>
  <c r="S1310" i="3"/>
  <c r="S1311" i="3"/>
  <c r="S1313" i="3"/>
  <c r="S1314" i="3"/>
  <c r="S1316" i="3"/>
  <c r="S1321" i="3"/>
  <c r="S1323" i="3"/>
  <c r="S1325" i="3"/>
  <c r="S1327" i="3"/>
  <c r="S1329" i="3"/>
  <c r="S1349" i="3"/>
  <c r="S1352" i="3"/>
  <c r="S1356" i="3"/>
  <c r="S1359" i="3"/>
  <c r="S1360" i="3"/>
  <c r="S1369" i="3"/>
  <c r="S1371" i="3"/>
  <c r="R782" i="4" l="1"/>
  <c r="R780" i="4"/>
  <c r="Q780" i="4"/>
  <c r="Q781" i="4"/>
  <c r="R781" i="4"/>
  <c r="Q783" i="4"/>
  <c r="R783" i="4"/>
  <c r="R779" i="4"/>
  <c r="Q779" i="4"/>
  <c r="P778" i="4"/>
  <c r="K778" i="4"/>
  <c r="P773" i="4"/>
  <c r="Q773" i="4" s="1"/>
  <c r="R768" i="4"/>
  <c r="Q768" i="4"/>
  <c r="Q767" i="4"/>
  <c r="R767" i="4"/>
  <c r="R766" i="4"/>
  <c r="Q766" i="4"/>
  <c r="Q763" i="4"/>
  <c r="R763" i="4"/>
  <c r="R760" i="4"/>
  <c r="Q760" i="4"/>
  <c r="R761" i="4"/>
  <c r="Q761" i="4"/>
  <c r="K772" i="4"/>
  <c r="K776" i="4"/>
  <c r="P776" i="4"/>
  <c r="K765" i="4"/>
  <c r="P765" i="4"/>
  <c r="K775" i="4"/>
  <c r="P775" i="4"/>
  <c r="Q774" i="4"/>
  <c r="R774" i="4"/>
  <c r="K762" i="4"/>
  <c r="P762" i="4"/>
  <c r="R764" i="4"/>
  <c r="Q764" i="4"/>
  <c r="R769" i="4"/>
  <c r="Q769" i="4"/>
  <c r="K771" i="4"/>
  <c r="P771" i="4"/>
  <c r="AB1873" i="3"/>
  <c r="AH1910" i="3"/>
  <c r="AI1910" i="3" s="1"/>
  <c r="AB1880" i="3"/>
  <c r="AB1886" i="3"/>
  <c r="P756" i="4"/>
  <c r="R756" i="4" s="1"/>
  <c r="AB1890" i="3"/>
  <c r="AB1875" i="3"/>
  <c r="AH1890" i="3"/>
  <c r="AI1890" i="3" s="1"/>
  <c r="AH1885" i="3"/>
  <c r="AI1885" i="3" s="1"/>
  <c r="AB1885" i="3"/>
  <c r="AH1909" i="3"/>
  <c r="I757" i="4"/>
  <c r="P757" i="4" s="1"/>
  <c r="Q757" i="4" s="1"/>
  <c r="AH1886" i="3"/>
  <c r="AH1847" i="3"/>
  <c r="AH1812" i="3"/>
  <c r="AB1909" i="3"/>
  <c r="AB1906" i="3"/>
  <c r="AH1906" i="3"/>
  <c r="AH1795" i="3"/>
  <c r="AI1795" i="3" s="1"/>
  <c r="AI1862" i="3"/>
  <c r="I752" i="4"/>
  <c r="K752" i="4" s="1"/>
  <c r="I749" i="4"/>
  <c r="P749" i="4" s="1"/>
  <c r="R749" i="4" s="1"/>
  <c r="AB1908" i="3"/>
  <c r="AH1908" i="3"/>
  <c r="AB1798" i="3"/>
  <c r="I748" i="4"/>
  <c r="P748" i="4" s="1"/>
  <c r="AB1884" i="3"/>
  <c r="I750" i="4"/>
  <c r="P750" i="4" s="1"/>
  <c r="I751" i="4"/>
  <c r="K751" i="4" s="1"/>
  <c r="AH1884" i="3"/>
  <c r="AB1795" i="3"/>
  <c r="AB1812" i="3"/>
  <c r="AH1805" i="3"/>
  <c r="AH1887" i="3"/>
  <c r="AB1887" i="3"/>
  <c r="AH1794" i="3"/>
  <c r="AH1798" i="3"/>
  <c r="I743" i="4"/>
  <c r="K743" i="4" s="1"/>
  <c r="I738" i="4"/>
  <c r="K738" i="4" s="1"/>
  <c r="AB1853" i="3"/>
  <c r="AB1844" i="3"/>
  <c r="AB1834" i="3"/>
  <c r="AB1850" i="3"/>
  <c r="I723" i="4"/>
  <c r="K723" i="4" s="1"/>
  <c r="AI1873" i="3"/>
  <c r="AB1879" i="3"/>
  <c r="AH1834" i="3"/>
  <c r="AH1844" i="3"/>
  <c r="I731" i="4"/>
  <c r="AB1805" i="3"/>
  <c r="AB1794" i="3"/>
  <c r="AH1793" i="3"/>
  <c r="I735" i="4"/>
  <c r="P735" i="4" s="1"/>
  <c r="I728" i="4"/>
  <c r="AB1863" i="3"/>
  <c r="I741" i="4"/>
  <c r="P741" i="4" s="1"/>
  <c r="R741" i="4" s="1"/>
  <c r="AH1835" i="3"/>
  <c r="AH1813" i="3"/>
  <c r="I726" i="4"/>
  <c r="P726" i="4" s="1"/>
  <c r="R726" i="4" s="1"/>
  <c r="I740" i="4"/>
  <c r="K740" i="4" s="1"/>
  <c r="I583" i="4"/>
  <c r="I744" i="4"/>
  <c r="K744" i="4" s="1"/>
  <c r="AB1835" i="3"/>
  <c r="AB1813" i="3"/>
  <c r="AB1793" i="3"/>
  <c r="I725" i="4"/>
  <c r="AB1841" i="3"/>
  <c r="AH1863" i="3"/>
  <c r="I716" i="4"/>
  <c r="AH1841" i="3"/>
  <c r="I746" i="4"/>
  <c r="I729" i="4"/>
  <c r="AB1804" i="3"/>
  <c r="I553" i="4"/>
  <c r="K553" i="4" s="1"/>
  <c r="I719" i="4"/>
  <c r="AH1804" i="3"/>
  <c r="Q1364" i="3"/>
  <c r="Q1656" i="3"/>
  <c r="Q1559" i="3"/>
  <c r="Y1639" i="3"/>
  <c r="AD1639" i="3"/>
  <c r="AD1642" i="3"/>
  <c r="Y1642" i="3"/>
  <c r="AD1469" i="3"/>
  <c r="L590" i="4"/>
  <c r="N590" i="4" s="1"/>
  <c r="AH1535" i="3"/>
  <c r="AH1511" i="3"/>
  <c r="AH1525" i="3"/>
  <c r="AH1597" i="3"/>
  <c r="Q1515" i="3"/>
  <c r="AH1682" i="3"/>
  <c r="AH1692" i="3"/>
  <c r="AH1704" i="3"/>
  <c r="AH1450" i="3"/>
  <c r="AH1455" i="3"/>
  <c r="AH1668" i="3"/>
  <c r="AB1425" i="3"/>
  <c r="AH1754" i="3"/>
  <c r="AH1485" i="3"/>
  <c r="AH1523" i="3"/>
  <c r="AH1537" i="3"/>
  <c r="AB1752" i="3"/>
  <c r="Y1469" i="3"/>
  <c r="AB1790" i="3"/>
  <c r="AB1789" i="3"/>
  <c r="AH1764" i="3"/>
  <c r="AB1759" i="3"/>
  <c r="AH1781" i="3"/>
  <c r="AB1772" i="3"/>
  <c r="AB1785" i="3"/>
  <c r="AB1763" i="3"/>
  <c r="AH1762" i="3"/>
  <c r="AR2" i="3"/>
  <c r="N681" i="4"/>
  <c r="N620" i="4"/>
  <c r="N605" i="4"/>
  <c r="N619" i="4"/>
  <c r="N604" i="4"/>
  <c r="N606" i="4"/>
  <c r="N603" i="4"/>
  <c r="N586" i="4"/>
  <c r="N616" i="4"/>
  <c r="N623" i="4"/>
  <c r="N583" i="4"/>
  <c r="N599" i="4"/>
  <c r="N614" i="4"/>
  <c r="N601" i="4"/>
  <c r="R562" i="4"/>
  <c r="Q562" i="4"/>
  <c r="U562" i="4" s="1"/>
  <c r="R567" i="4"/>
  <c r="Q567" i="4"/>
  <c r="U567" i="4" s="1"/>
  <c r="R563" i="4"/>
  <c r="Q563" i="4"/>
  <c r="U563" i="4" s="1"/>
  <c r="R566" i="4"/>
  <c r="Q566" i="4"/>
  <c r="U566" i="4" s="1"/>
  <c r="R565" i="4"/>
  <c r="Q565" i="4"/>
  <c r="U565" i="4" s="1"/>
  <c r="R568" i="4"/>
  <c r="Q568" i="4"/>
  <c r="U568" i="4" s="1"/>
  <c r="R569" i="4"/>
  <c r="Q569" i="4"/>
  <c r="U569" i="4" s="1"/>
  <c r="AH1763" i="3"/>
  <c r="I727" i="4"/>
  <c r="AB1762" i="3"/>
  <c r="AH1785" i="3"/>
  <c r="I720" i="4"/>
  <c r="AB1781" i="3"/>
  <c r="AH1772" i="3"/>
  <c r="AB1764" i="3"/>
  <c r="AH1759" i="3"/>
  <c r="AH1752" i="3"/>
  <c r="AB1450" i="3"/>
  <c r="AG1515" i="3"/>
  <c r="V558" i="4"/>
  <c r="W558" i="4" s="1"/>
  <c r="R558" i="4"/>
  <c r="AB1754" i="3"/>
  <c r="AB1750" i="3"/>
  <c r="M1316" i="3" a="1"/>
  <c r="M1316" i="3" s="1"/>
  <c r="M219" i="3" a="1"/>
  <c r="M219" i="3" s="1"/>
  <c r="AB1603" i="3"/>
  <c r="M1372" i="3" a="1"/>
  <c r="M1372" i="3" s="1"/>
  <c r="M1359" i="3" a="1"/>
  <c r="M1359" i="3" s="1"/>
  <c r="M1343" i="3" a="1"/>
  <c r="M1343" i="3" s="1"/>
  <c r="M1329" i="3" a="1"/>
  <c r="M1329" i="3" s="1"/>
  <c r="M1317" i="3" a="1"/>
  <c r="M1317" i="3" s="1"/>
  <c r="M1305" i="3" a="1"/>
  <c r="M1305" i="3" s="1"/>
  <c r="M1293" i="3" a="1"/>
  <c r="M1293" i="3" s="1"/>
  <c r="M1281" i="3" a="1"/>
  <c r="M1281" i="3" s="1"/>
  <c r="M1269" i="3" a="1"/>
  <c r="M1269" i="3" s="1"/>
  <c r="M1257" i="3" a="1"/>
  <c r="M1257" i="3" s="1"/>
  <c r="M1245" i="3" a="1"/>
  <c r="M1245" i="3" s="1"/>
  <c r="M1233" i="3" a="1"/>
  <c r="M1233" i="3" s="1"/>
  <c r="M1221" i="3" a="1"/>
  <c r="M1221" i="3" s="1"/>
  <c r="M1209" i="3" a="1"/>
  <c r="M1209" i="3" s="1"/>
  <c r="M1197" i="3" a="1"/>
  <c r="M1197" i="3" s="1"/>
  <c r="M1185" i="3" a="1"/>
  <c r="M1185" i="3" s="1"/>
  <c r="M1173" i="3" a="1"/>
  <c r="M1173" i="3" s="1"/>
  <c r="M1161" i="3" a="1"/>
  <c r="M1161" i="3" s="1"/>
  <c r="M1148" i="3" a="1"/>
  <c r="M1148" i="3" s="1"/>
  <c r="M1136" i="3" a="1"/>
  <c r="M1136" i="3" s="1"/>
  <c r="M1124" i="3" a="1"/>
  <c r="M1124" i="3" s="1"/>
  <c r="M1112" i="3" a="1"/>
  <c r="M1112" i="3" s="1"/>
  <c r="M1100" i="3" a="1"/>
  <c r="M1100" i="3" s="1"/>
  <c r="M1088" i="3" a="1"/>
  <c r="M1088" i="3" s="1"/>
  <c r="M1076" i="3" a="1"/>
  <c r="M1076" i="3" s="1"/>
  <c r="M1064" i="3" a="1"/>
  <c r="M1064" i="3" s="1"/>
  <c r="M1052" i="3" a="1"/>
  <c r="M1052" i="3" s="1"/>
  <c r="M1040" i="3" a="1"/>
  <c r="M1040" i="3" s="1"/>
  <c r="M1028" i="3" a="1"/>
  <c r="M1028" i="3" s="1"/>
  <c r="M1016" i="3" a="1"/>
  <c r="M1016" i="3" s="1"/>
  <c r="M1004" i="3" a="1"/>
  <c r="M1004" i="3" s="1"/>
  <c r="M992" i="3" a="1"/>
  <c r="M992" i="3" s="1"/>
  <c r="M980" i="3" a="1"/>
  <c r="M980" i="3" s="1"/>
  <c r="M968" i="3" a="1"/>
  <c r="M968" i="3" s="1"/>
  <c r="M956" i="3" a="1"/>
  <c r="M956" i="3" s="1"/>
  <c r="M944" i="3" a="1"/>
  <c r="M944" i="3" s="1"/>
  <c r="M932" i="3" a="1"/>
  <c r="M932" i="3" s="1"/>
  <c r="M920" i="3" a="1"/>
  <c r="M920" i="3" s="1"/>
  <c r="M908" i="3" a="1"/>
  <c r="M908" i="3" s="1"/>
  <c r="M896" i="3" a="1"/>
  <c r="M896" i="3" s="1"/>
  <c r="M884" i="3" a="1"/>
  <c r="M884" i="3" s="1"/>
  <c r="M872" i="3" a="1"/>
  <c r="M872" i="3" s="1"/>
  <c r="M860" i="3" a="1"/>
  <c r="M860" i="3" s="1"/>
  <c r="M848" i="3" a="1"/>
  <c r="M848" i="3" s="1"/>
  <c r="M836" i="3" a="1"/>
  <c r="M836" i="3" s="1"/>
  <c r="M824" i="3" a="1"/>
  <c r="M824" i="3" s="1"/>
  <c r="M812" i="3" a="1"/>
  <c r="M812" i="3" s="1"/>
  <c r="M800" i="3" a="1"/>
  <c r="M800" i="3" s="1"/>
  <c r="M788" i="3" a="1"/>
  <c r="M788" i="3" s="1"/>
  <c r="M776" i="3" a="1"/>
  <c r="M776" i="3" s="1"/>
  <c r="M764" i="3" a="1"/>
  <c r="M764" i="3" s="1"/>
  <c r="M752" i="3" a="1"/>
  <c r="M752" i="3" s="1"/>
  <c r="M740" i="3" a="1"/>
  <c r="M740" i="3" s="1"/>
  <c r="M728" i="3" a="1"/>
  <c r="M728" i="3" s="1"/>
  <c r="M716" i="3" a="1"/>
  <c r="M716" i="3" s="1"/>
  <c r="M704" i="3" a="1"/>
  <c r="M704" i="3" s="1"/>
  <c r="M692" i="3" a="1"/>
  <c r="M692" i="3" s="1"/>
  <c r="M680" i="3" a="1"/>
  <c r="M680" i="3" s="1"/>
  <c r="M668" i="3" a="1"/>
  <c r="M668" i="3" s="1"/>
  <c r="M656" i="3" a="1"/>
  <c r="M656" i="3" s="1"/>
  <c r="M644" i="3" a="1"/>
  <c r="M644" i="3" s="1"/>
  <c r="M632" i="3" a="1"/>
  <c r="M632" i="3" s="1"/>
  <c r="M620" i="3" a="1"/>
  <c r="M620" i="3" s="1"/>
  <c r="M608" i="3" a="1"/>
  <c r="M608" i="3" s="1"/>
  <c r="M596" i="3" a="1"/>
  <c r="M596" i="3" s="1"/>
  <c r="M584" i="3" a="1"/>
  <c r="M584" i="3" s="1"/>
  <c r="M572" i="3" a="1"/>
  <c r="M572" i="3" s="1"/>
  <c r="M560" i="3" a="1"/>
  <c r="M560" i="3" s="1"/>
  <c r="M548" i="3" a="1"/>
  <c r="M548" i="3" s="1"/>
  <c r="M536" i="3" a="1"/>
  <c r="M536" i="3" s="1"/>
  <c r="M524" i="3" a="1"/>
  <c r="M524" i="3" s="1"/>
  <c r="M512" i="3" a="1"/>
  <c r="M512" i="3" s="1"/>
  <c r="M500" i="3" a="1"/>
  <c r="M500" i="3" s="1"/>
  <c r="M488" i="3" a="1"/>
  <c r="M488" i="3" s="1"/>
  <c r="M476" i="3" a="1"/>
  <c r="M476" i="3" s="1"/>
  <c r="M464" i="3" a="1"/>
  <c r="M464" i="3" s="1"/>
  <c r="M452" i="3" a="1"/>
  <c r="M452" i="3" s="1"/>
  <c r="M440" i="3" a="1"/>
  <c r="M440" i="3" s="1"/>
  <c r="M428" i="3" a="1"/>
  <c r="M428" i="3" s="1"/>
  <c r="M416" i="3" a="1"/>
  <c r="M416" i="3" s="1"/>
  <c r="M402" i="3" a="1"/>
  <c r="M402" i="3" s="1"/>
  <c r="M386" i="3" a="1"/>
  <c r="M386" i="3" s="1"/>
  <c r="M372" i="3" a="1"/>
  <c r="M372" i="3" s="1"/>
  <c r="M360" i="3" a="1"/>
  <c r="M360" i="3" s="1"/>
  <c r="M344" i="3" a="1"/>
  <c r="M344" i="3" s="1"/>
  <c r="M330" i="3" a="1"/>
  <c r="M330" i="3" s="1"/>
  <c r="M318" i="3" a="1"/>
  <c r="M318" i="3" s="1"/>
  <c r="M306" i="3" a="1"/>
  <c r="M306" i="3" s="1"/>
  <c r="M294" i="3" a="1"/>
  <c r="M294" i="3" s="1"/>
  <c r="M280" i="3" a="1"/>
  <c r="M280" i="3" s="1"/>
  <c r="M268" i="3" a="1"/>
  <c r="M268" i="3" s="1"/>
  <c r="M256" i="3" a="1"/>
  <c r="M256" i="3" s="1"/>
  <c r="M244" i="3" a="1"/>
  <c r="M244" i="3" s="1"/>
  <c r="M232" i="3" a="1"/>
  <c r="M232" i="3" s="1"/>
  <c r="M220" i="3" a="1"/>
  <c r="M220" i="3" s="1"/>
  <c r="M204" i="3" a="1"/>
  <c r="M204" i="3" s="1"/>
  <c r="M187" i="3" a="1"/>
  <c r="M187" i="3" s="1"/>
  <c r="M175" i="3" a="1"/>
  <c r="M175" i="3" s="1"/>
  <c r="M159" i="3" a="1"/>
  <c r="M159" i="3" s="1"/>
  <c r="M147" i="3" a="1"/>
  <c r="M147" i="3" s="1"/>
  <c r="M133" i="3" a="1"/>
  <c r="M133" i="3" s="1"/>
  <c r="M121" i="3" a="1"/>
  <c r="M121" i="3" s="1"/>
  <c r="M109" i="3" a="1"/>
  <c r="M109" i="3" s="1"/>
  <c r="M97" i="3" a="1"/>
  <c r="M97" i="3" s="1"/>
  <c r="M85" i="3" a="1"/>
  <c r="M85" i="3" s="1"/>
  <c r="M73" i="3" a="1"/>
  <c r="M73" i="3" s="1"/>
  <c r="M61" i="3" a="1"/>
  <c r="M61" i="3" s="1"/>
  <c r="M49" i="3" a="1"/>
  <c r="M49" i="3" s="1"/>
  <c r="M37" i="3" a="1"/>
  <c r="M37" i="3" s="1"/>
  <c r="M25" i="3" a="1"/>
  <c r="M25" i="3" s="1"/>
  <c r="M13" i="3" a="1"/>
  <c r="M13" i="3" s="1"/>
  <c r="AH1425" i="3"/>
  <c r="I591" i="4"/>
  <c r="AB1424" i="3"/>
  <c r="AB1521" i="3"/>
  <c r="AB1678" i="3"/>
  <c r="AB1479" i="3"/>
  <c r="AB1523" i="3"/>
  <c r="AB1497" i="3"/>
  <c r="M1232" i="3" a="1"/>
  <c r="M1232" i="3" s="1"/>
  <c r="M1111" i="3" a="1"/>
  <c r="M1111" i="3" s="1"/>
  <c r="M1051" i="3" a="1"/>
  <c r="M1051" i="3" s="1"/>
  <c r="M919" i="3" a="1"/>
  <c r="M919" i="3" s="1"/>
  <c r="M823" i="3" a="1"/>
  <c r="M823" i="3" s="1"/>
  <c r="M703" i="3" a="1"/>
  <c r="M703" i="3" s="1"/>
  <c r="M619" i="3" a="1"/>
  <c r="M619" i="3" s="1"/>
  <c r="M371" i="3" a="1"/>
  <c r="M371" i="3" s="1"/>
  <c r="M255" i="3" a="1"/>
  <c r="M255" i="3" s="1"/>
  <c r="M84" i="3" a="1"/>
  <c r="M84" i="3" s="1"/>
  <c r="M1356" i="3" a="1"/>
  <c r="M1356" i="3" s="1"/>
  <c r="M1327" i="3" a="1"/>
  <c r="M1327" i="3" s="1"/>
  <c r="M1315" i="3" a="1"/>
  <c r="M1315" i="3" s="1"/>
  <c r="M1291" i="3" a="1"/>
  <c r="M1291" i="3" s="1"/>
  <c r="M1279" i="3" a="1"/>
  <c r="M1279" i="3" s="1"/>
  <c r="M1255" i="3" a="1"/>
  <c r="M1255" i="3" s="1"/>
  <c r="M1243" i="3" a="1"/>
  <c r="M1243" i="3" s="1"/>
  <c r="M1231" i="3" a="1"/>
  <c r="M1231" i="3" s="1"/>
  <c r="M1207" i="3" a="1"/>
  <c r="M1207" i="3" s="1"/>
  <c r="M1195" i="3" a="1"/>
  <c r="M1195" i="3" s="1"/>
  <c r="M1183" i="3" a="1"/>
  <c r="M1183" i="3" s="1"/>
  <c r="M1171" i="3" a="1"/>
  <c r="M1171" i="3" s="1"/>
  <c r="M1146" i="3" a="1"/>
  <c r="M1146" i="3" s="1"/>
  <c r="M1134" i="3" a="1"/>
  <c r="M1134" i="3" s="1"/>
  <c r="M1098" i="3" a="1"/>
  <c r="M1098" i="3" s="1"/>
  <c r="M1074" i="3" a="1"/>
  <c r="M1074" i="3" s="1"/>
  <c r="M1050" i="3" a="1"/>
  <c r="M1050" i="3" s="1"/>
  <c r="M1026" i="3" a="1"/>
  <c r="M1026" i="3" s="1"/>
  <c r="M1014" i="3" a="1"/>
  <c r="M1014" i="3" s="1"/>
  <c r="M1002" i="3" a="1"/>
  <c r="M1002" i="3" s="1"/>
  <c r="M990" i="3" a="1"/>
  <c r="M990" i="3" s="1"/>
  <c r="M978" i="3" a="1"/>
  <c r="M978" i="3" s="1"/>
  <c r="M966" i="3" a="1"/>
  <c r="M966" i="3" s="1"/>
  <c r="M954" i="3" a="1"/>
  <c r="M954" i="3" s="1"/>
  <c r="M942" i="3" a="1"/>
  <c r="M942" i="3" s="1"/>
  <c r="M930" i="3" a="1"/>
  <c r="M930" i="3" s="1"/>
  <c r="M918" i="3" a="1"/>
  <c r="M918" i="3" s="1"/>
  <c r="M906" i="3" a="1"/>
  <c r="M906" i="3" s="1"/>
  <c r="M894" i="3" a="1"/>
  <c r="M894" i="3" s="1"/>
  <c r="M882" i="3" a="1"/>
  <c r="M882" i="3" s="1"/>
  <c r="M870" i="3" a="1"/>
  <c r="M870" i="3" s="1"/>
  <c r="M858" i="3" a="1"/>
  <c r="M858" i="3" s="1"/>
  <c r="M846" i="3" a="1"/>
  <c r="M846" i="3" s="1"/>
  <c r="M834" i="3" a="1"/>
  <c r="M834" i="3" s="1"/>
  <c r="M822" i="3" a="1"/>
  <c r="M822" i="3" s="1"/>
  <c r="M810" i="3" a="1"/>
  <c r="M810" i="3" s="1"/>
  <c r="M798" i="3" a="1"/>
  <c r="M798" i="3" s="1"/>
  <c r="M786" i="3" a="1"/>
  <c r="M786" i="3" s="1"/>
  <c r="M774" i="3" a="1"/>
  <c r="M774" i="3" s="1"/>
  <c r="M762" i="3" a="1"/>
  <c r="M762" i="3" s="1"/>
  <c r="M750" i="3" a="1"/>
  <c r="M750" i="3" s="1"/>
  <c r="M738" i="3" a="1"/>
  <c r="M738" i="3" s="1"/>
  <c r="M726" i="3" a="1"/>
  <c r="M726" i="3" s="1"/>
  <c r="M714" i="3" a="1"/>
  <c r="M714" i="3" s="1"/>
  <c r="M702" i="3" a="1"/>
  <c r="M702" i="3" s="1"/>
  <c r="M690" i="3" a="1"/>
  <c r="M690" i="3" s="1"/>
  <c r="M678" i="3" a="1"/>
  <c r="M678" i="3" s="1"/>
  <c r="M666" i="3" a="1"/>
  <c r="M666" i="3" s="1"/>
  <c r="M654" i="3" a="1"/>
  <c r="M654" i="3" s="1"/>
  <c r="M642" i="3" a="1"/>
  <c r="M642" i="3" s="1"/>
  <c r="M630" i="3" a="1"/>
  <c r="M630" i="3" s="1"/>
  <c r="M618" i="3" a="1"/>
  <c r="M618" i="3" s="1"/>
  <c r="M606" i="3" a="1"/>
  <c r="M606" i="3" s="1"/>
  <c r="M594" i="3" a="1"/>
  <c r="M594" i="3" s="1"/>
  <c r="M582" i="3" a="1"/>
  <c r="M582" i="3" s="1"/>
  <c r="M570" i="3" a="1"/>
  <c r="M570" i="3" s="1"/>
  <c r="M558" i="3" a="1"/>
  <c r="M558" i="3" s="1"/>
  <c r="M546" i="3" a="1"/>
  <c r="M546" i="3" s="1"/>
  <c r="M534" i="3" a="1"/>
  <c r="M534" i="3" s="1"/>
  <c r="M522" i="3" a="1"/>
  <c r="M522" i="3" s="1"/>
  <c r="M510" i="3" a="1"/>
  <c r="M510" i="3" s="1"/>
  <c r="M498" i="3" a="1"/>
  <c r="M498" i="3" s="1"/>
  <c r="M486" i="3" a="1"/>
  <c r="M486" i="3" s="1"/>
  <c r="M474" i="3" a="1"/>
  <c r="M474" i="3" s="1"/>
  <c r="M462" i="3" a="1"/>
  <c r="M462" i="3" s="1"/>
  <c r="M450" i="3" a="1"/>
  <c r="M450" i="3" s="1"/>
  <c r="M438" i="3" a="1"/>
  <c r="M438" i="3" s="1"/>
  <c r="M426" i="3" a="1"/>
  <c r="M426" i="3" s="1"/>
  <c r="M413" i="3" a="1"/>
  <c r="M413" i="3" s="1"/>
  <c r="M400" i="3" a="1"/>
  <c r="M400" i="3" s="1"/>
  <c r="M383" i="3" a="1"/>
  <c r="M383" i="3" s="1"/>
  <c r="M370" i="3" a="1"/>
  <c r="M370" i="3" s="1"/>
  <c r="M356" i="3" a="1"/>
  <c r="M356" i="3" s="1"/>
  <c r="M342" i="3" a="1"/>
  <c r="M342" i="3" s="1"/>
  <c r="M328" i="3" a="1"/>
  <c r="M328" i="3" s="1"/>
  <c r="M316" i="3" a="1"/>
  <c r="M316" i="3" s="1"/>
  <c r="M304" i="3" a="1"/>
  <c r="M304" i="3" s="1"/>
  <c r="M292" i="3" a="1"/>
  <c r="M292" i="3" s="1"/>
  <c r="M278" i="3" a="1"/>
  <c r="M278" i="3" s="1"/>
  <c r="M266" i="3" a="1"/>
  <c r="M266" i="3" s="1"/>
  <c r="M254" i="3" a="1"/>
  <c r="M254" i="3" s="1"/>
  <c r="M242" i="3" a="1"/>
  <c r="M242" i="3" s="1"/>
  <c r="M230" i="3" a="1"/>
  <c r="M230" i="3" s="1"/>
  <c r="M217" i="3" a="1"/>
  <c r="M217" i="3" s="1"/>
  <c r="M202" i="3" a="1"/>
  <c r="M202" i="3" s="1"/>
  <c r="M185" i="3" a="1"/>
  <c r="M185" i="3" s="1"/>
  <c r="M171" i="3" a="1"/>
  <c r="M171" i="3" s="1"/>
  <c r="M157" i="3" a="1"/>
  <c r="M157" i="3" s="1"/>
  <c r="M143" i="3" a="1"/>
  <c r="M143" i="3" s="1"/>
  <c r="M131" i="3" a="1"/>
  <c r="M131" i="3" s="1"/>
  <c r="M119" i="3" a="1"/>
  <c r="M119" i="3" s="1"/>
  <c r="M107" i="3" a="1"/>
  <c r="M107" i="3" s="1"/>
  <c r="M95" i="3" a="1"/>
  <c r="M95" i="3" s="1"/>
  <c r="M83" i="3" a="1"/>
  <c r="M83" i="3" s="1"/>
  <c r="M71" i="3" a="1"/>
  <c r="M71" i="3" s="1"/>
  <c r="M59" i="3" a="1"/>
  <c r="M59" i="3" s="1"/>
  <c r="M47" i="3" a="1"/>
  <c r="M47" i="3" s="1"/>
  <c r="M35" i="3" a="1"/>
  <c r="M35" i="3" s="1"/>
  <c r="M23" i="3" a="1"/>
  <c r="M23" i="3" s="1"/>
  <c r="M11" i="3" a="1"/>
  <c r="M11" i="3" s="1"/>
  <c r="I656" i="4"/>
  <c r="I657" i="4"/>
  <c r="I598" i="4"/>
  <c r="AB1690" i="3"/>
  <c r="AB1549" i="3"/>
  <c r="AB1471" i="3"/>
  <c r="AB1537" i="3"/>
  <c r="M1208" i="3" a="1"/>
  <c r="M1208" i="3" s="1"/>
  <c r="M1123" i="3" a="1"/>
  <c r="M1123" i="3" s="1"/>
  <c r="M1015" i="3" a="1"/>
  <c r="M1015" i="3" s="1"/>
  <c r="M895" i="3" a="1"/>
  <c r="M895" i="3" s="1"/>
  <c r="M739" i="3" a="1"/>
  <c r="M739" i="3" s="1"/>
  <c r="M679" i="3" a="1"/>
  <c r="M679" i="3" s="1"/>
  <c r="M583" i="3" a="1"/>
  <c r="M583" i="3" s="1"/>
  <c r="M535" i="3" a="1"/>
  <c r="M535" i="3" s="1"/>
  <c r="M451" i="3" a="1"/>
  <c r="M451" i="3" s="1"/>
  <c r="M385" i="3" a="1"/>
  <c r="M385" i="3" s="1"/>
  <c r="M186" i="3" a="1"/>
  <c r="M186" i="3" s="1"/>
  <c r="M158" i="3" a="1"/>
  <c r="M158" i="3" s="1"/>
  <c r="M12" i="3" a="1"/>
  <c r="M12" i="3" s="1"/>
  <c r="I557" i="4"/>
  <c r="I631" i="4"/>
  <c r="AB1639" i="3"/>
  <c r="I717" i="4"/>
  <c r="M1370" i="3" a="1"/>
  <c r="M1370" i="3" s="1"/>
  <c r="M1340" i="3" a="1"/>
  <c r="M1340" i="3" s="1"/>
  <c r="M1303" i="3" a="1"/>
  <c r="M1303" i="3" s="1"/>
  <c r="M1267" i="3" a="1"/>
  <c r="M1267" i="3" s="1"/>
  <c r="M1219" i="3" a="1"/>
  <c r="M1219" i="3" s="1"/>
  <c r="M1159" i="3" a="1"/>
  <c r="M1159" i="3" s="1"/>
  <c r="M1122" i="3" a="1"/>
  <c r="M1122" i="3" s="1"/>
  <c r="M1110" i="3" a="1"/>
  <c r="M1110" i="3" s="1"/>
  <c r="M1086" i="3" a="1"/>
  <c r="M1086" i="3" s="1"/>
  <c r="M1062" i="3" a="1"/>
  <c r="M1062" i="3" s="1"/>
  <c r="M1038" i="3" a="1"/>
  <c r="M1038" i="3" s="1"/>
  <c r="M1369" i="3" a="1"/>
  <c r="M1369" i="3" s="1"/>
  <c r="M1355" i="3" a="1"/>
  <c r="M1355" i="3" s="1"/>
  <c r="M1339" i="3" a="1"/>
  <c r="M1339" i="3" s="1"/>
  <c r="M1326" i="3" a="1"/>
  <c r="M1326" i="3" s="1"/>
  <c r="M1314" i="3" a="1"/>
  <c r="M1314" i="3" s="1"/>
  <c r="M1302" i="3" a="1"/>
  <c r="M1302" i="3" s="1"/>
  <c r="M1290" i="3" a="1"/>
  <c r="M1290" i="3" s="1"/>
  <c r="M1278" i="3" a="1"/>
  <c r="M1278" i="3" s="1"/>
  <c r="M1266" i="3" a="1"/>
  <c r="M1266" i="3" s="1"/>
  <c r="M1254" i="3" a="1"/>
  <c r="M1254" i="3" s="1"/>
  <c r="M1242" i="3" a="1"/>
  <c r="M1242" i="3" s="1"/>
  <c r="M1230" i="3" a="1"/>
  <c r="M1230" i="3" s="1"/>
  <c r="M1218" i="3" a="1"/>
  <c r="M1218" i="3" s="1"/>
  <c r="M1206" i="3" a="1"/>
  <c r="M1206" i="3" s="1"/>
  <c r="M1194" i="3" a="1"/>
  <c r="M1194" i="3" s="1"/>
  <c r="M1182" i="3" a="1"/>
  <c r="M1182" i="3" s="1"/>
  <c r="M1170" i="3" a="1"/>
  <c r="M1170" i="3" s="1"/>
  <c r="M1158" i="3" a="1"/>
  <c r="M1158" i="3" s="1"/>
  <c r="M1145" i="3" a="1"/>
  <c r="M1145" i="3" s="1"/>
  <c r="M1133" i="3" a="1"/>
  <c r="M1133" i="3" s="1"/>
  <c r="M1121" i="3" a="1"/>
  <c r="M1121" i="3" s="1"/>
  <c r="M1109" i="3" a="1"/>
  <c r="M1109" i="3" s="1"/>
  <c r="M1097" i="3" a="1"/>
  <c r="M1097" i="3" s="1"/>
  <c r="M1085" i="3" a="1"/>
  <c r="M1085" i="3" s="1"/>
  <c r="M1073" i="3" a="1"/>
  <c r="M1073" i="3" s="1"/>
  <c r="M1061" i="3" a="1"/>
  <c r="M1061" i="3" s="1"/>
  <c r="M1049" i="3" a="1"/>
  <c r="M1049" i="3" s="1"/>
  <c r="M1037" i="3" a="1"/>
  <c r="M1037" i="3" s="1"/>
  <c r="M1025" i="3" a="1"/>
  <c r="M1025" i="3" s="1"/>
  <c r="M1013" i="3" a="1"/>
  <c r="M1013" i="3" s="1"/>
  <c r="M1001" i="3" a="1"/>
  <c r="M1001" i="3" s="1"/>
  <c r="M989" i="3" a="1"/>
  <c r="M989" i="3" s="1"/>
  <c r="M977" i="3" a="1"/>
  <c r="M977" i="3" s="1"/>
  <c r="M965" i="3" a="1"/>
  <c r="M965" i="3" s="1"/>
  <c r="M953" i="3" a="1"/>
  <c r="M953" i="3" s="1"/>
  <c r="M941" i="3" a="1"/>
  <c r="M941" i="3" s="1"/>
  <c r="M929" i="3" a="1"/>
  <c r="M929" i="3" s="1"/>
  <c r="M917" i="3" a="1"/>
  <c r="M917" i="3" s="1"/>
  <c r="M905" i="3" a="1"/>
  <c r="M905" i="3" s="1"/>
  <c r="M893" i="3" a="1"/>
  <c r="M893" i="3" s="1"/>
  <c r="M881" i="3" a="1"/>
  <c r="M881" i="3" s="1"/>
  <c r="M869" i="3" a="1"/>
  <c r="M869" i="3" s="1"/>
  <c r="M857" i="3" a="1"/>
  <c r="M857" i="3" s="1"/>
  <c r="M845" i="3" a="1"/>
  <c r="M845" i="3" s="1"/>
  <c r="M833" i="3" a="1"/>
  <c r="M833" i="3" s="1"/>
  <c r="M821" i="3" a="1"/>
  <c r="M821" i="3" s="1"/>
  <c r="M809" i="3" a="1"/>
  <c r="M809" i="3" s="1"/>
  <c r="M797" i="3" a="1"/>
  <c r="M797" i="3" s="1"/>
  <c r="M785" i="3" a="1"/>
  <c r="M785" i="3" s="1"/>
  <c r="M773" i="3" a="1"/>
  <c r="M773" i="3" s="1"/>
  <c r="M761" i="3" a="1"/>
  <c r="M761" i="3" s="1"/>
  <c r="M749" i="3" a="1"/>
  <c r="M749" i="3" s="1"/>
  <c r="M737" i="3" a="1"/>
  <c r="M737" i="3" s="1"/>
  <c r="M725" i="3" a="1"/>
  <c r="M725" i="3" s="1"/>
  <c r="M713" i="3" a="1"/>
  <c r="M713" i="3" s="1"/>
  <c r="M701" i="3" a="1"/>
  <c r="M701" i="3" s="1"/>
  <c r="M689" i="3" a="1"/>
  <c r="M689" i="3" s="1"/>
  <c r="M677" i="3" a="1"/>
  <c r="M677" i="3" s="1"/>
  <c r="M665" i="3" a="1"/>
  <c r="M665" i="3" s="1"/>
  <c r="M653" i="3" a="1"/>
  <c r="M653" i="3" s="1"/>
  <c r="M641" i="3" a="1"/>
  <c r="M641" i="3" s="1"/>
  <c r="M629" i="3" a="1"/>
  <c r="M629" i="3" s="1"/>
  <c r="M617" i="3" a="1"/>
  <c r="M617" i="3" s="1"/>
  <c r="M605" i="3" a="1"/>
  <c r="M605" i="3" s="1"/>
  <c r="M593" i="3" a="1"/>
  <c r="M593" i="3" s="1"/>
  <c r="M581" i="3" a="1"/>
  <c r="M581" i="3" s="1"/>
  <c r="M569" i="3" a="1"/>
  <c r="M569" i="3" s="1"/>
  <c r="M557" i="3" a="1"/>
  <c r="M557" i="3" s="1"/>
  <c r="M545" i="3" a="1"/>
  <c r="M545" i="3" s="1"/>
  <c r="M533" i="3" a="1"/>
  <c r="M533" i="3" s="1"/>
  <c r="M521" i="3" a="1"/>
  <c r="M521" i="3" s="1"/>
  <c r="M509" i="3" a="1"/>
  <c r="M509" i="3" s="1"/>
  <c r="M497" i="3" a="1"/>
  <c r="M497" i="3" s="1"/>
  <c r="M485" i="3" a="1"/>
  <c r="M485" i="3" s="1"/>
  <c r="M473" i="3" a="1"/>
  <c r="M473" i="3" s="1"/>
  <c r="M461" i="3" a="1"/>
  <c r="M461" i="3" s="1"/>
  <c r="M449" i="3" a="1"/>
  <c r="M449" i="3" s="1"/>
  <c r="M437" i="3" a="1"/>
  <c r="M437" i="3" s="1"/>
  <c r="M425" i="3" a="1"/>
  <c r="M425" i="3" s="1"/>
  <c r="M412" i="3" a="1"/>
  <c r="M412" i="3" s="1"/>
  <c r="M399" i="3" a="1"/>
  <c r="M399" i="3" s="1"/>
  <c r="M381" i="3" a="1"/>
  <c r="M381" i="3" s="1"/>
  <c r="M369" i="3" a="1"/>
  <c r="M369" i="3" s="1"/>
  <c r="M355" i="3" a="1"/>
  <c r="M355" i="3" s="1"/>
  <c r="M341" i="3" a="1"/>
  <c r="M341" i="3" s="1"/>
  <c r="M327" i="3" a="1"/>
  <c r="M327" i="3" s="1"/>
  <c r="M315" i="3" a="1"/>
  <c r="M315" i="3" s="1"/>
  <c r="M303" i="3" a="1"/>
  <c r="M303" i="3" s="1"/>
  <c r="M291" i="3" a="1"/>
  <c r="M291" i="3" s="1"/>
  <c r="M277" i="3" a="1"/>
  <c r="M277" i="3" s="1"/>
  <c r="M265" i="3" a="1"/>
  <c r="M265" i="3" s="1"/>
  <c r="M253" i="3" a="1"/>
  <c r="M253" i="3" s="1"/>
  <c r="M241" i="3" a="1"/>
  <c r="M241" i="3" s="1"/>
  <c r="M229" i="3" a="1"/>
  <c r="M229" i="3" s="1"/>
  <c r="M215" i="3" a="1"/>
  <c r="M215" i="3" s="1"/>
  <c r="M201" i="3" a="1"/>
  <c r="M201" i="3" s="1"/>
  <c r="M184" i="3" a="1"/>
  <c r="M184" i="3" s="1"/>
  <c r="M170" i="3" a="1"/>
  <c r="M170" i="3" s="1"/>
  <c r="M156" i="3" a="1"/>
  <c r="M156" i="3" s="1"/>
  <c r="M142" i="3" a="1"/>
  <c r="M142" i="3" s="1"/>
  <c r="M130" i="3" a="1"/>
  <c r="M130" i="3" s="1"/>
  <c r="M118" i="3" a="1"/>
  <c r="M118" i="3" s="1"/>
  <c r="M106" i="3" a="1"/>
  <c r="M106" i="3" s="1"/>
  <c r="M94" i="3" a="1"/>
  <c r="M94" i="3" s="1"/>
  <c r="M82" i="3" a="1"/>
  <c r="M82" i="3" s="1"/>
  <c r="M70" i="3" a="1"/>
  <c r="M70" i="3" s="1"/>
  <c r="M58" i="3" a="1"/>
  <c r="M58" i="3" s="1"/>
  <c r="M46" i="3" a="1"/>
  <c r="M46" i="3" s="1"/>
  <c r="M34" i="3" a="1"/>
  <c r="M34" i="3" s="1"/>
  <c r="M22" i="3" a="1"/>
  <c r="M22" i="3" s="1"/>
  <c r="M10" i="3" a="1"/>
  <c r="M10" i="3" s="1"/>
  <c r="AB1384" i="3"/>
  <c r="AH1405" i="3"/>
  <c r="I674" i="4"/>
  <c r="AB1401" i="3"/>
  <c r="I616" i="4"/>
  <c r="AH1750" i="3"/>
  <c r="AB1511" i="3"/>
  <c r="AB1553" i="3"/>
  <c r="AB1627" i="3"/>
  <c r="AB1600" i="3"/>
  <c r="AB1669" i="3"/>
  <c r="AB1680" i="3"/>
  <c r="AB1517" i="3"/>
  <c r="AB1531" i="3"/>
  <c r="M1371" i="3" a="1"/>
  <c r="M1371" i="3" s="1"/>
  <c r="M1172" i="3" a="1"/>
  <c r="M1172" i="3" s="1"/>
  <c r="M1003" i="3" a="1"/>
  <c r="M1003" i="3" s="1"/>
  <c r="M871" i="3" a="1"/>
  <c r="M871" i="3" s="1"/>
  <c r="M691" i="3" a="1"/>
  <c r="M691" i="3" s="1"/>
  <c r="M487" i="3" a="1"/>
  <c r="M487" i="3" s="1"/>
  <c r="M267" i="3" a="1"/>
  <c r="M267" i="3" s="1"/>
  <c r="AB1487" i="3"/>
  <c r="M1368" i="3" a="1"/>
  <c r="M1368" i="3" s="1"/>
  <c r="M1338" i="3" a="1"/>
  <c r="M1338" i="3" s="1"/>
  <c r="M1313" i="3" a="1"/>
  <c r="M1313" i="3" s="1"/>
  <c r="M1277" i="3" a="1"/>
  <c r="M1277" i="3" s="1"/>
  <c r="M1253" i="3" a="1"/>
  <c r="M1253" i="3" s="1"/>
  <c r="M1241" i="3" a="1"/>
  <c r="M1241" i="3" s="1"/>
  <c r="M1229" i="3" a="1"/>
  <c r="M1229" i="3" s="1"/>
  <c r="M1205" i="3" a="1"/>
  <c r="M1205" i="3" s="1"/>
  <c r="M1193" i="3" a="1"/>
  <c r="M1193" i="3" s="1"/>
  <c r="M1181" i="3" a="1"/>
  <c r="M1181" i="3" s="1"/>
  <c r="M1169" i="3" a="1"/>
  <c r="M1169" i="3" s="1"/>
  <c r="M1120" i="3" a="1"/>
  <c r="M1120" i="3" s="1"/>
  <c r="M1096" i="3" a="1"/>
  <c r="M1096" i="3" s="1"/>
  <c r="M1072" i="3" a="1"/>
  <c r="M1072" i="3" s="1"/>
  <c r="M1060" i="3" a="1"/>
  <c r="M1060" i="3" s="1"/>
  <c r="M1036" i="3" a="1"/>
  <c r="M1036" i="3" s="1"/>
  <c r="M1024" i="3" a="1"/>
  <c r="M1024" i="3" s="1"/>
  <c r="M1000" i="3" a="1"/>
  <c r="M1000" i="3" s="1"/>
  <c r="M988" i="3" a="1"/>
  <c r="M988" i="3" s="1"/>
  <c r="M976" i="3" a="1"/>
  <c r="M976" i="3" s="1"/>
  <c r="M964" i="3" a="1"/>
  <c r="M964" i="3" s="1"/>
  <c r="M952" i="3" a="1"/>
  <c r="M952" i="3" s="1"/>
  <c r="M940" i="3" a="1"/>
  <c r="M940" i="3" s="1"/>
  <c r="M928" i="3" a="1"/>
  <c r="M928" i="3" s="1"/>
  <c r="M916" i="3" a="1"/>
  <c r="M916" i="3" s="1"/>
  <c r="M904" i="3" a="1"/>
  <c r="M904" i="3" s="1"/>
  <c r="M892" i="3" a="1"/>
  <c r="M892" i="3" s="1"/>
  <c r="M880" i="3" a="1"/>
  <c r="M880" i="3" s="1"/>
  <c r="M868" i="3" a="1"/>
  <c r="M868" i="3" s="1"/>
  <c r="M856" i="3" a="1"/>
  <c r="M856" i="3" s="1"/>
  <c r="M844" i="3" a="1"/>
  <c r="M844" i="3" s="1"/>
  <c r="M832" i="3" a="1"/>
  <c r="M832" i="3" s="1"/>
  <c r="M820" i="3" a="1"/>
  <c r="M820" i="3" s="1"/>
  <c r="M808" i="3" a="1"/>
  <c r="M808" i="3" s="1"/>
  <c r="M796" i="3" a="1"/>
  <c r="M796" i="3" s="1"/>
  <c r="M784" i="3" a="1"/>
  <c r="M784" i="3" s="1"/>
  <c r="M772" i="3" a="1"/>
  <c r="M772" i="3" s="1"/>
  <c r="M760" i="3" a="1"/>
  <c r="M760" i="3" s="1"/>
  <c r="M748" i="3" a="1"/>
  <c r="M748" i="3" s="1"/>
  <c r="M736" i="3" a="1"/>
  <c r="M736" i="3" s="1"/>
  <c r="M724" i="3" a="1"/>
  <c r="M724" i="3" s="1"/>
  <c r="M712" i="3" a="1"/>
  <c r="M712" i="3" s="1"/>
  <c r="M700" i="3" a="1"/>
  <c r="M700" i="3" s="1"/>
  <c r="M688" i="3" a="1"/>
  <c r="M688" i="3" s="1"/>
  <c r="M676" i="3" a="1"/>
  <c r="M676" i="3" s="1"/>
  <c r="M664" i="3" a="1"/>
  <c r="M664" i="3" s="1"/>
  <c r="M652" i="3" a="1"/>
  <c r="M652" i="3" s="1"/>
  <c r="M640" i="3" a="1"/>
  <c r="M640" i="3" s="1"/>
  <c r="M628" i="3" a="1"/>
  <c r="M628" i="3" s="1"/>
  <c r="M616" i="3" a="1"/>
  <c r="M616" i="3" s="1"/>
  <c r="M604" i="3" a="1"/>
  <c r="M604" i="3" s="1"/>
  <c r="M592" i="3" a="1"/>
  <c r="M592" i="3" s="1"/>
  <c r="M580" i="3" a="1"/>
  <c r="M580" i="3" s="1"/>
  <c r="M568" i="3" a="1"/>
  <c r="M568" i="3" s="1"/>
  <c r="M556" i="3" a="1"/>
  <c r="M556" i="3" s="1"/>
  <c r="M544" i="3" a="1"/>
  <c r="M544" i="3" s="1"/>
  <c r="M532" i="3" a="1"/>
  <c r="M532" i="3" s="1"/>
  <c r="M520" i="3" a="1"/>
  <c r="M520" i="3" s="1"/>
  <c r="M508" i="3" a="1"/>
  <c r="M508" i="3" s="1"/>
  <c r="M496" i="3" a="1"/>
  <c r="M496" i="3" s="1"/>
  <c r="M484" i="3" a="1"/>
  <c r="M484" i="3" s="1"/>
  <c r="M472" i="3" a="1"/>
  <c r="M472" i="3" s="1"/>
  <c r="M460" i="3" a="1"/>
  <c r="M460" i="3" s="1"/>
  <c r="M448" i="3" a="1"/>
  <c r="M448" i="3" s="1"/>
  <c r="M436" i="3" a="1"/>
  <c r="M436" i="3" s="1"/>
  <c r="M424" i="3" a="1"/>
  <c r="M424" i="3" s="1"/>
  <c r="M411" i="3" a="1"/>
  <c r="M411" i="3" s="1"/>
  <c r="M398" i="3" a="1"/>
  <c r="M398" i="3" s="1"/>
  <c r="M380" i="3" a="1"/>
  <c r="M380" i="3" s="1"/>
  <c r="M368" i="3" a="1"/>
  <c r="M368" i="3" s="1"/>
  <c r="M354" i="3" a="1"/>
  <c r="M354" i="3" s="1"/>
  <c r="M340" i="3" a="1"/>
  <c r="M340" i="3" s="1"/>
  <c r="M326" i="3" a="1"/>
  <c r="M326" i="3" s="1"/>
  <c r="M314" i="3" a="1"/>
  <c r="M314" i="3" s="1"/>
  <c r="M302" i="3" a="1"/>
  <c r="M302" i="3" s="1"/>
  <c r="M290" i="3" a="1"/>
  <c r="M290" i="3" s="1"/>
  <c r="M276" i="3" a="1"/>
  <c r="M276" i="3" s="1"/>
  <c r="M264" i="3" a="1"/>
  <c r="M264" i="3" s="1"/>
  <c r="M252" i="3" a="1"/>
  <c r="M252" i="3" s="1"/>
  <c r="M240" i="3" a="1"/>
  <c r="M240" i="3" s="1"/>
  <c r="M228" i="3" a="1"/>
  <c r="M228" i="3" s="1"/>
  <c r="M214" i="3" a="1"/>
  <c r="M214" i="3" s="1"/>
  <c r="M200" i="3" a="1"/>
  <c r="M200" i="3" s="1"/>
  <c r="M183" i="3" a="1"/>
  <c r="M183" i="3" s="1"/>
  <c r="M169" i="3" a="1"/>
  <c r="M169" i="3" s="1"/>
  <c r="M155" i="3" a="1"/>
  <c r="M155" i="3" s="1"/>
  <c r="M141" i="3" a="1"/>
  <c r="M141" i="3" s="1"/>
  <c r="M129" i="3" a="1"/>
  <c r="M129" i="3" s="1"/>
  <c r="M117" i="3" a="1"/>
  <c r="M117" i="3" s="1"/>
  <c r="M105" i="3" a="1"/>
  <c r="M105" i="3" s="1"/>
  <c r="M93" i="3" a="1"/>
  <c r="M93" i="3" s="1"/>
  <c r="M81" i="3" a="1"/>
  <c r="M81" i="3" s="1"/>
  <c r="M69" i="3" a="1"/>
  <c r="M69" i="3" s="1"/>
  <c r="M57" i="3" a="1"/>
  <c r="M57" i="3" s="1"/>
  <c r="M45" i="3" a="1"/>
  <c r="M45" i="3" s="1"/>
  <c r="M33" i="3" a="1"/>
  <c r="M33" i="3" s="1"/>
  <c r="M21" i="3" a="1"/>
  <c r="M21" i="3" s="1"/>
  <c r="M9" i="3" a="1"/>
  <c r="M9" i="3" s="1"/>
  <c r="I651" i="4"/>
  <c r="I606" i="4"/>
  <c r="I617" i="4"/>
  <c r="AB1469" i="3"/>
  <c r="AB1612" i="3"/>
  <c r="AB1492" i="3"/>
  <c r="AB1724" i="3"/>
  <c r="AB1636" i="3"/>
  <c r="AB1457" i="3"/>
  <c r="M1357" i="3" a="1"/>
  <c r="M1357" i="3" s="1"/>
  <c r="M1196" i="3" a="1"/>
  <c r="M1196" i="3" s="1"/>
  <c r="M1147" i="3" a="1"/>
  <c r="M1147" i="3" s="1"/>
  <c r="M991" i="3" a="1"/>
  <c r="M991" i="3" s="1"/>
  <c r="M967" i="3" a="1"/>
  <c r="M967" i="3" s="1"/>
  <c r="M859" i="3" a="1"/>
  <c r="M859" i="3" s="1"/>
  <c r="M787" i="3" a="1"/>
  <c r="M787" i="3" s="1"/>
  <c r="M655" i="3" a="1"/>
  <c r="M655" i="3" s="1"/>
  <c r="M571" i="3" a="1"/>
  <c r="M571" i="3" s="1"/>
  <c r="M523" i="3" a="1"/>
  <c r="M523" i="3" s="1"/>
  <c r="M427" i="3" a="1"/>
  <c r="M427" i="3" s="1"/>
  <c r="M329" i="3" a="1"/>
  <c r="M329" i="3" s="1"/>
  <c r="M293" i="3" a="1"/>
  <c r="M293" i="3" s="1"/>
  <c r="M203" i="3" a="1"/>
  <c r="M203" i="3" s="1"/>
  <c r="M60" i="3" a="1"/>
  <c r="M60" i="3" s="1"/>
  <c r="AB1461" i="3"/>
  <c r="M1354" i="3" a="1"/>
  <c r="M1354" i="3" s="1"/>
  <c r="M1325" i="3" a="1"/>
  <c r="M1325" i="3" s="1"/>
  <c r="M1301" i="3" a="1"/>
  <c r="M1301" i="3" s="1"/>
  <c r="M1289" i="3" a="1"/>
  <c r="M1289" i="3" s="1"/>
  <c r="M1265" i="3" a="1"/>
  <c r="M1265" i="3" s="1"/>
  <c r="M1217" i="3" a="1"/>
  <c r="M1217" i="3" s="1"/>
  <c r="M1156" i="3" a="1"/>
  <c r="M1156" i="3" s="1"/>
  <c r="M1144" i="3" a="1"/>
  <c r="M1144" i="3" s="1"/>
  <c r="M1132" i="3" a="1"/>
  <c r="M1132" i="3" s="1"/>
  <c r="M1108" i="3" a="1"/>
  <c r="M1108" i="3" s="1"/>
  <c r="M1084" i="3" a="1"/>
  <c r="M1084" i="3" s="1"/>
  <c r="M1048" i="3" a="1"/>
  <c r="M1048" i="3" s="1"/>
  <c r="M1012" i="3" a="1"/>
  <c r="M1012" i="3" s="1"/>
  <c r="M1367" i="3" a="1"/>
  <c r="M1367" i="3" s="1"/>
  <c r="M1353" i="3" a="1"/>
  <c r="M1353" i="3" s="1"/>
  <c r="M1337" i="3" a="1"/>
  <c r="M1337" i="3" s="1"/>
  <c r="M1324" i="3" a="1"/>
  <c r="M1324" i="3" s="1"/>
  <c r="M1312" i="3" a="1"/>
  <c r="M1312" i="3" s="1"/>
  <c r="M1300" i="3" a="1"/>
  <c r="M1300" i="3" s="1"/>
  <c r="M1288" i="3" a="1"/>
  <c r="M1288" i="3" s="1"/>
  <c r="M1276" i="3" a="1"/>
  <c r="M1276" i="3" s="1"/>
  <c r="M1264" i="3" a="1"/>
  <c r="M1264" i="3" s="1"/>
  <c r="M1252" i="3" a="1"/>
  <c r="M1252" i="3" s="1"/>
  <c r="M1240" i="3" a="1"/>
  <c r="M1240" i="3" s="1"/>
  <c r="M1228" i="3" a="1"/>
  <c r="M1228" i="3" s="1"/>
  <c r="M1216" i="3" a="1"/>
  <c r="M1216" i="3" s="1"/>
  <c r="M1204" i="3" a="1"/>
  <c r="M1204" i="3" s="1"/>
  <c r="M1192" i="3" a="1"/>
  <c r="M1192" i="3" s="1"/>
  <c r="M1180" i="3" a="1"/>
  <c r="M1180" i="3" s="1"/>
  <c r="M1168" i="3" a="1"/>
  <c r="M1168" i="3" s="1"/>
  <c r="M1155" i="3" a="1"/>
  <c r="M1155" i="3" s="1"/>
  <c r="M1143" i="3" a="1"/>
  <c r="M1143" i="3" s="1"/>
  <c r="M1131" i="3" a="1"/>
  <c r="M1131" i="3" s="1"/>
  <c r="M1119" i="3" a="1"/>
  <c r="M1119" i="3" s="1"/>
  <c r="M1107" i="3" a="1"/>
  <c r="M1107" i="3" s="1"/>
  <c r="M1095" i="3" a="1"/>
  <c r="M1095" i="3" s="1"/>
  <c r="M1083" i="3" a="1"/>
  <c r="M1083" i="3" s="1"/>
  <c r="M1071" i="3" a="1"/>
  <c r="M1071" i="3" s="1"/>
  <c r="M1059" i="3" a="1"/>
  <c r="M1059" i="3" s="1"/>
  <c r="M1047" i="3" a="1"/>
  <c r="M1047" i="3" s="1"/>
  <c r="M1035" i="3" a="1"/>
  <c r="M1035" i="3" s="1"/>
  <c r="M1023" i="3" a="1"/>
  <c r="M1023" i="3" s="1"/>
  <c r="M1011" i="3" a="1"/>
  <c r="M1011" i="3" s="1"/>
  <c r="M999" i="3" a="1"/>
  <c r="M999" i="3" s="1"/>
  <c r="M987" i="3" a="1"/>
  <c r="M987" i="3" s="1"/>
  <c r="M975" i="3" a="1"/>
  <c r="M975" i="3" s="1"/>
  <c r="M963" i="3" a="1"/>
  <c r="M963" i="3" s="1"/>
  <c r="M951" i="3" a="1"/>
  <c r="M951" i="3" s="1"/>
  <c r="M939" i="3" a="1"/>
  <c r="M939" i="3" s="1"/>
  <c r="M927" i="3" a="1"/>
  <c r="M927" i="3" s="1"/>
  <c r="M915" i="3" a="1"/>
  <c r="M915" i="3" s="1"/>
  <c r="M903" i="3" a="1"/>
  <c r="M903" i="3" s="1"/>
  <c r="M891" i="3" a="1"/>
  <c r="M891" i="3" s="1"/>
  <c r="M879" i="3" a="1"/>
  <c r="M879" i="3" s="1"/>
  <c r="M867" i="3" a="1"/>
  <c r="M867" i="3" s="1"/>
  <c r="M855" i="3" a="1"/>
  <c r="M855" i="3" s="1"/>
  <c r="M843" i="3" a="1"/>
  <c r="M843" i="3" s="1"/>
  <c r="M831" i="3" a="1"/>
  <c r="M831" i="3" s="1"/>
  <c r="M819" i="3" a="1"/>
  <c r="M819" i="3" s="1"/>
  <c r="M807" i="3" a="1"/>
  <c r="M807" i="3" s="1"/>
  <c r="M795" i="3" a="1"/>
  <c r="M795" i="3" s="1"/>
  <c r="M783" i="3" a="1"/>
  <c r="M783" i="3" s="1"/>
  <c r="M771" i="3" a="1"/>
  <c r="M771" i="3" s="1"/>
  <c r="M759" i="3" a="1"/>
  <c r="M759" i="3" s="1"/>
  <c r="M747" i="3" a="1"/>
  <c r="M747" i="3" s="1"/>
  <c r="M735" i="3" a="1"/>
  <c r="M735" i="3" s="1"/>
  <c r="M723" i="3" a="1"/>
  <c r="M723" i="3" s="1"/>
  <c r="M711" i="3" a="1"/>
  <c r="M711" i="3" s="1"/>
  <c r="M699" i="3" a="1"/>
  <c r="M699" i="3" s="1"/>
  <c r="M687" i="3" a="1"/>
  <c r="M687" i="3" s="1"/>
  <c r="M675" i="3" a="1"/>
  <c r="M675" i="3" s="1"/>
  <c r="M663" i="3" a="1"/>
  <c r="M663" i="3" s="1"/>
  <c r="M651" i="3" a="1"/>
  <c r="M651" i="3" s="1"/>
  <c r="M639" i="3" a="1"/>
  <c r="M639" i="3" s="1"/>
  <c r="M627" i="3" a="1"/>
  <c r="M627" i="3" s="1"/>
  <c r="M615" i="3" a="1"/>
  <c r="M615" i="3" s="1"/>
  <c r="M603" i="3" a="1"/>
  <c r="M603" i="3" s="1"/>
  <c r="M591" i="3" a="1"/>
  <c r="M591" i="3" s="1"/>
  <c r="M579" i="3" a="1"/>
  <c r="M579" i="3" s="1"/>
  <c r="M567" i="3" a="1"/>
  <c r="M567" i="3" s="1"/>
  <c r="M555" i="3" a="1"/>
  <c r="M555" i="3" s="1"/>
  <c r="M543" i="3" a="1"/>
  <c r="M543" i="3" s="1"/>
  <c r="M531" i="3" a="1"/>
  <c r="M531" i="3" s="1"/>
  <c r="M519" i="3" a="1"/>
  <c r="M519" i="3" s="1"/>
  <c r="M507" i="3" a="1"/>
  <c r="M507" i="3" s="1"/>
  <c r="M495" i="3" a="1"/>
  <c r="M495" i="3" s="1"/>
  <c r="M483" i="3" a="1"/>
  <c r="M483" i="3" s="1"/>
  <c r="M471" i="3" a="1"/>
  <c r="M471" i="3" s="1"/>
  <c r="M459" i="3" a="1"/>
  <c r="M459" i="3" s="1"/>
  <c r="M447" i="3" a="1"/>
  <c r="M447" i="3" s="1"/>
  <c r="M435" i="3" a="1"/>
  <c r="M435" i="3" s="1"/>
  <c r="M423" i="3" a="1"/>
  <c r="M423" i="3" s="1"/>
  <c r="M409" i="3" a="1"/>
  <c r="M409" i="3" s="1"/>
  <c r="M397" i="3" a="1"/>
  <c r="M397" i="3" s="1"/>
  <c r="M379" i="3" a="1"/>
  <c r="M379" i="3" s="1"/>
  <c r="M367" i="3" a="1"/>
  <c r="M367" i="3" s="1"/>
  <c r="M353" i="3" a="1"/>
  <c r="M353" i="3" s="1"/>
  <c r="M339" i="3" a="1"/>
  <c r="M339" i="3" s="1"/>
  <c r="M325" i="3" a="1"/>
  <c r="M325" i="3" s="1"/>
  <c r="M313" i="3" a="1"/>
  <c r="M313" i="3" s="1"/>
  <c r="M301" i="3" a="1"/>
  <c r="M301" i="3" s="1"/>
  <c r="M288" i="3" a="1"/>
  <c r="M288" i="3" s="1"/>
  <c r="M275" i="3" a="1"/>
  <c r="M275" i="3" s="1"/>
  <c r="M263" i="3" a="1"/>
  <c r="M263" i="3" s="1"/>
  <c r="M251" i="3" a="1"/>
  <c r="M251" i="3" s="1"/>
  <c r="M239" i="3" a="1"/>
  <c r="M239" i="3" s="1"/>
  <c r="M227" i="3" a="1"/>
  <c r="M227" i="3" s="1"/>
  <c r="M213" i="3" a="1"/>
  <c r="M213" i="3" s="1"/>
  <c r="M199" i="3" a="1"/>
  <c r="M199" i="3" s="1"/>
  <c r="M182" i="3" a="1"/>
  <c r="M182" i="3" s="1"/>
  <c r="M168" i="3" a="1"/>
  <c r="M168" i="3" s="1"/>
  <c r="M154" i="3" a="1"/>
  <c r="M154" i="3" s="1"/>
  <c r="M140" i="3" a="1"/>
  <c r="M140" i="3" s="1"/>
  <c r="M128" i="3" a="1"/>
  <c r="M128" i="3" s="1"/>
  <c r="M116" i="3" a="1"/>
  <c r="M116" i="3" s="1"/>
  <c r="M104" i="3" a="1"/>
  <c r="M104" i="3" s="1"/>
  <c r="M92" i="3" a="1"/>
  <c r="M92" i="3" s="1"/>
  <c r="M80" i="3" a="1"/>
  <c r="M80" i="3" s="1"/>
  <c r="M68" i="3" a="1"/>
  <c r="M68" i="3" s="1"/>
  <c r="M56" i="3" a="1"/>
  <c r="M56" i="3" s="1"/>
  <c r="M44" i="3" a="1"/>
  <c r="M44" i="3" s="1"/>
  <c r="M32" i="3" a="1"/>
  <c r="M32" i="3" s="1"/>
  <c r="M20" i="3" a="1"/>
  <c r="M20" i="3" s="1"/>
  <c r="M8" i="3" a="1"/>
  <c r="M8" i="3" s="1"/>
  <c r="I607" i="4"/>
  <c r="I625" i="4"/>
  <c r="I590" i="4"/>
  <c r="AB1541" i="3"/>
  <c r="AB1618" i="3"/>
  <c r="AB1507" i="3"/>
  <c r="AB1606" i="3"/>
  <c r="AB1642" i="3"/>
  <c r="AB1651" i="3"/>
  <c r="AB1563" i="3"/>
  <c r="AB1720" i="3"/>
  <c r="M1304" i="3" a="1"/>
  <c r="M1304" i="3" s="1"/>
  <c r="M1256" i="3" a="1"/>
  <c r="M1256" i="3" s="1"/>
  <c r="M1099" i="3" a="1"/>
  <c r="M1099" i="3" s="1"/>
  <c r="M955" i="3" a="1"/>
  <c r="M955" i="3" s="1"/>
  <c r="M847" i="3" a="1"/>
  <c r="M847" i="3" s="1"/>
  <c r="M775" i="3" a="1"/>
  <c r="M775" i="3" s="1"/>
  <c r="M667" i="3" a="1"/>
  <c r="M667" i="3" s="1"/>
  <c r="M547" i="3" a="1"/>
  <c r="M547" i="3" s="1"/>
  <c r="M511" i="3" a="1"/>
  <c r="M511" i="3" s="1"/>
  <c r="M463" i="3" a="1"/>
  <c r="M463" i="3" s="1"/>
  <c r="M415" i="3" a="1"/>
  <c r="M415" i="3" s="1"/>
  <c r="M343" i="3" a="1"/>
  <c r="M343" i="3" s="1"/>
  <c r="M243" i="3" a="1"/>
  <c r="M243" i="3" s="1"/>
  <c r="M36" i="3" a="1"/>
  <c r="M36" i="3" s="1"/>
  <c r="M1352" i="3" a="1"/>
  <c r="M1352" i="3" s="1"/>
  <c r="M1336" i="3" a="1"/>
  <c r="M1336" i="3" s="1"/>
  <c r="M1311" i="3" a="1"/>
  <c r="M1311" i="3" s="1"/>
  <c r="M1275" i="3" a="1"/>
  <c r="M1275" i="3" s="1"/>
  <c r="M1251" i="3" a="1"/>
  <c r="M1251" i="3" s="1"/>
  <c r="M1215" i="3" a="1"/>
  <c r="M1215" i="3" s="1"/>
  <c r="M1191" i="3" a="1"/>
  <c r="M1191" i="3" s="1"/>
  <c r="M1167" i="3" a="1"/>
  <c r="M1167" i="3" s="1"/>
  <c r="M1130" i="3" a="1"/>
  <c r="M1130" i="3" s="1"/>
  <c r="M1106" i="3" a="1"/>
  <c r="M1106" i="3" s="1"/>
  <c r="M1082" i="3" a="1"/>
  <c r="M1082" i="3" s="1"/>
  <c r="M1070" i="3" a="1"/>
  <c r="M1070" i="3" s="1"/>
  <c r="M1046" i="3" a="1"/>
  <c r="M1046" i="3" s="1"/>
  <c r="M1034" i="3" a="1"/>
  <c r="M1034" i="3" s="1"/>
  <c r="M1022" i="3" a="1"/>
  <c r="M1022" i="3" s="1"/>
  <c r="M1010" i="3" a="1"/>
  <c r="M1010" i="3" s="1"/>
  <c r="M998" i="3" a="1"/>
  <c r="M998" i="3" s="1"/>
  <c r="M986" i="3" a="1"/>
  <c r="M986" i="3" s="1"/>
  <c r="M974" i="3" a="1"/>
  <c r="M974" i="3" s="1"/>
  <c r="M962" i="3" a="1"/>
  <c r="M962" i="3" s="1"/>
  <c r="M950" i="3" a="1"/>
  <c r="M950" i="3" s="1"/>
  <c r="M938" i="3" a="1"/>
  <c r="M938" i="3" s="1"/>
  <c r="M926" i="3" a="1"/>
  <c r="M926" i="3" s="1"/>
  <c r="M914" i="3" a="1"/>
  <c r="M914" i="3" s="1"/>
  <c r="M902" i="3" a="1"/>
  <c r="M902" i="3" s="1"/>
  <c r="M890" i="3" a="1"/>
  <c r="M890" i="3" s="1"/>
  <c r="M878" i="3" a="1"/>
  <c r="M878" i="3" s="1"/>
  <c r="M866" i="3" a="1"/>
  <c r="M866" i="3" s="1"/>
  <c r="M854" i="3" a="1"/>
  <c r="M854" i="3" s="1"/>
  <c r="M842" i="3" a="1"/>
  <c r="M842" i="3" s="1"/>
  <c r="M830" i="3" a="1"/>
  <c r="M830" i="3" s="1"/>
  <c r="M818" i="3" a="1"/>
  <c r="M818" i="3" s="1"/>
  <c r="M806" i="3" a="1"/>
  <c r="M806" i="3" s="1"/>
  <c r="M794" i="3" a="1"/>
  <c r="M794" i="3" s="1"/>
  <c r="M782" i="3" a="1"/>
  <c r="M782" i="3" s="1"/>
  <c r="M770" i="3" a="1"/>
  <c r="M770" i="3" s="1"/>
  <c r="M758" i="3" a="1"/>
  <c r="M758" i="3" s="1"/>
  <c r="M746" i="3" a="1"/>
  <c r="M746" i="3" s="1"/>
  <c r="M734" i="3" a="1"/>
  <c r="M734" i="3" s="1"/>
  <c r="M722" i="3" a="1"/>
  <c r="M722" i="3" s="1"/>
  <c r="M710" i="3" a="1"/>
  <c r="M710" i="3" s="1"/>
  <c r="M698" i="3" a="1"/>
  <c r="M698" i="3" s="1"/>
  <c r="M686" i="3" a="1"/>
  <c r="M686" i="3" s="1"/>
  <c r="M674" i="3" a="1"/>
  <c r="M674" i="3" s="1"/>
  <c r="M662" i="3" a="1"/>
  <c r="M662" i="3" s="1"/>
  <c r="M650" i="3" a="1"/>
  <c r="M650" i="3" s="1"/>
  <c r="M638" i="3" a="1"/>
  <c r="M638" i="3" s="1"/>
  <c r="M626" i="3" a="1"/>
  <c r="M626" i="3" s="1"/>
  <c r="M614" i="3" a="1"/>
  <c r="M614" i="3" s="1"/>
  <c r="M602" i="3" a="1"/>
  <c r="M602" i="3" s="1"/>
  <c r="M590" i="3" a="1"/>
  <c r="M590" i="3" s="1"/>
  <c r="M578" i="3" a="1"/>
  <c r="M578" i="3" s="1"/>
  <c r="M566" i="3" a="1"/>
  <c r="M566" i="3" s="1"/>
  <c r="M554" i="3" a="1"/>
  <c r="M554" i="3" s="1"/>
  <c r="M542" i="3" a="1"/>
  <c r="M542" i="3" s="1"/>
  <c r="M530" i="3" a="1"/>
  <c r="M530" i="3" s="1"/>
  <c r="M518" i="3" a="1"/>
  <c r="M518" i="3" s="1"/>
  <c r="M506" i="3" a="1"/>
  <c r="M506" i="3" s="1"/>
  <c r="M494" i="3" a="1"/>
  <c r="M494" i="3" s="1"/>
  <c r="M482" i="3" a="1"/>
  <c r="M482" i="3" s="1"/>
  <c r="M470" i="3" a="1"/>
  <c r="M470" i="3" s="1"/>
  <c r="M458" i="3" a="1"/>
  <c r="M458" i="3" s="1"/>
  <c r="M446" i="3" a="1"/>
  <c r="M446" i="3" s="1"/>
  <c r="M434" i="3" a="1"/>
  <c r="M434" i="3" s="1"/>
  <c r="M422" i="3" a="1"/>
  <c r="M422" i="3" s="1"/>
  <c r="M408" i="3" a="1"/>
  <c r="M408" i="3" s="1"/>
  <c r="M396" i="3" a="1"/>
  <c r="M396" i="3" s="1"/>
  <c r="M378" i="3" a="1"/>
  <c r="M378" i="3" s="1"/>
  <c r="M366" i="3" a="1"/>
  <c r="M366" i="3" s="1"/>
  <c r="M351" i="3" a="1"/>
  <c r="M351" i="3" s="1"/>
  <c r="M338" i="3" a="1"/>
  <c r="M338" i="3" s="1"/>
  <c r="M324" i="3" a="1"/>
  <c r="M324" i="3" s="1"/>
  <c r="M312" i="3" a="1"/>
  <c r="M312" i="3" s="1"/>
  <c r="M300" i="3" a="1"/>
  <c r="M300" i="3" s="1"/>
  <c r="M286" i="3" a="1"/>
  <c r="M286" i="3" s="1"/>
  <c r="M274" i="3" a="1"/>
  <c r="M274" i="3" s="1"/>
  <c r="M262" i="3" a="1"/>
  <c r="M262" i="3" s="1"/>
  <c r="M250" i="3" a="1"/>
  <c r="M250" i="3" s="1"/>
  <c r="M238" i="3" a="1"/>
  <c r="M238" i="3" s="1"/>
  <c r="M226" i="3" a="1"/>
  <c r="M226" i="3" s="1"/>
  <c r="M212" i="3" a="1"/>
  <c r="M212" i="3" s="1"/>
  <c r="M198" i="3" a="1"/>
  <c r="M198" i="3" s="1"/>
  <c r="M181" i="3" a="1"/>
  <c r="M181" i="3" s="1"/>
  <c r="M167" i="3" a="1"/>
  <c r="M167" i="3" s="1"/>
  <c r="M153" i="3" a="1"/>
  <c r="M153" i="3" s="1"/>
  <c r="M139" i="3" a="1"/>
  <c r="M139" i="3" s="1"/>
  <c r="M127" i="3" a="1"/>
  <c r="M127" i="3" s="1"/>
  <c r="M115" i="3" a="1"/>
  <c r="M115" i="3" s="1"/>
  <c r="M103" i="3" a="1"/>
  <c r="M103" i="3" s="1"/>
  <c r="M91" i="3" a="1"/>
  <c r="M91" i="3" s="1"/>
  <c r="M79" i="3" a="1"/>
  <c r="M79" i="3" s="1"/>
  <c r="M67" i="3" a="1"/>
  <c r="M67" i="3" s="1"/>
  <c r="M55" i="3" a="1"/>
  <c r="M55" i="3" s="1"/>
  <c r="M43" i="3" a="1"/>
  <c r="M43" i="3" s="1"/>
  <c r="M31" i="3" a="1"/>
  <c r="M31" i="3" s="1"/>
  <c r="M19" i="3" a="1"/>
  <c r="M19" i="3" s="1"/>
  <c r="M7" i="3" a="1"/>
  <c r="M7" i="3" s="1"/>
  <c r="AB1404" i="3"/>
  <c r="AH1453" i="3"/>
  <c r="I594" i="4"/>
  <c r="AB1456" i="3"/>
  <c r="AB1621" i="3"/>
  <c r="AB1551" i="3"/>
  <c r="AB1609" i="3"/>
  <c r="AB1505" i="3"/>
  <c r="AB1477" i="3"/>
  <c r="M1220" i="3" a="1"/>
  <c r="M1220" i="3" s="1"/>
  <c r="M1039" i="3" a="1"/>
  <c r="M1039" i="3" s="1"/>
  <c r="M907" i="3" a="1"/>
  <c r="M907" i="3" s="1"/>
  <c r="M799" i="3" a="1"/>
  <c r="M799" i="3" s="1"/>
  <c r="M751" i="3" a="1"/>
  <c r="M751" i="3" s="1"/>
  <c r="M607" i="3" a="1"/>
  <c r="M607" i="3" s="1"/>
  <c r="M499" i="3" a="1"/>
  <c r="M499" i="3" s="1"/>
  <c r="M279" i="3" a="1"/>
  <c r="M279" i="3" s="1"/>
  <c r="M132" i="3" a="1"/>
  <c r="M132" i="3" s="1"/>
  <c r="M48" i="3" a="1"/>
  <c r="M48" i="3" s="1"/>
  <c r="M1366" i="3" a="1"/>
  <c r="M1366" i="3" s="1"/>
  <c r="M1323" i="3" a="1"/>
  <c r="M1323" i="3" s="1"/>
  <c r="M1299" i="3" a="1"/>
  <c r="M1299" i="3" s="1"/>
  <c r="M1287" i="3" a="1"/>
  <c r="M1287" i="3" s="1"/>
  <c r="M1263" i="3" a="1"/>
  <c r="M1263" i="3" s="1"/>
  <c r="M1239" i="3" a="1"/>
  <c r="M1239" i="3" s="1"/>
  <c r="M1227" i="3" a="1"/>
  <c r="M1227" i="3" s="1"/>
  <c r="M1203" i="3" a="1"/>
  <c r="M1203" i="3" s="1"/>
  <c r="M1179" i="3" a="1"/>
  <c r="M1179" i="3" s="1"/>
  <c r="M1154" i="3" a="1"/>
  <c r="M1154" i="3" s="1"/>
  <c r="M1142" i="3" a="1"/>
  <c r="M1142" i="3" s="1"/>
  <c r="M1118" i="3" a="1"/>
  <c r="M1118" i="3" s="1"/>
  <c r="M1094" i="3" a="1"/>
  <c r="M1094" i="3" s="1"/>
  <c r="M1058" i="3" a="1"/>
  <c r="M1058" i="3" s="1"/>
  <c r="M1377" i="3" a="1"/>
  <c r="M1377" i="3" s="1"/>
  <c r="M1351" i="3" a="1"/>
  <c r="M1351" i="3" s="1"/>
  <c r="M1334" i="3" a="1"/>
  <c r="M1334" i="3" s="1"/>
  <c r="M1322" i="3" a="1"/>
  <c r="M1322" i="3" s="1"/>
  <c r="M1310" i="3" a="1"/>
  <c r="M1310" i="3" s="1"/>
  <c r="M1298" i="3" a="1"/>
  <c r="M1298" i="3" s="1"/>
  <c r="M1286" i="3" a="1"/>
  <c r="M1286" i="3" s="1"/>
  <c r="M1274" i="3" a="1"/>
  <c r="M1274" i="3" s="1"/>
  <c r="M1262" i="3" a="1"/>
  <c r="M1262" i="3" s="1"/>
  <c r="M1250" i="3" a="1"/>
  <c r="M1250" i="3" s="1"/>
  <c r="M1238" i="3" a="1"/>
  <c r="M1238" i="3" s="1"/>
  <c r="M1226" i="3" a="1"/>
  <c r="M1226" i="3" s="1"/>
  <c r="M1214" i="3" a="1"/>
  <c r="M1214" i="3" s="1"/>
  <c r="M1202" i="3" a="1"/>
  <c r="M1202" i="3" s="1"/>
  <c r="M1190" i="3" a="1"/>
  <c r="M1190" i="3" s="1"/>
  <c r="M1178" i="3" a="1"/>
  <c r="M1178" i="3" s="1"/>
  <c r="M1166" i="3" a="1"/>
  <c r="M1166" i="3" s="1"/>
  <c r="M1153" i="3" a="1"/>
  <c r="M1153" i="3" s="1"/>
  <c r="M1141" i="3" a="1"/>
  <c r="M1141" i="3" s="1"/>
  <c r="M1129" i="3" a="1"/>
  <c r="M1129" i="3" s="1"/>
  <c r="M1117" i="3" a="1"/>
  <c r="M1117" i="3" s="1"/>
  <c r="M1105" i="3" a="1"/>
  <c r="M1105" i="3" s="1"/>
  <c r="M1093" i="3" a="1"/>
  <c r="M1093" i="3" s="1"/>
  <c r="M1081" i="3" a="1"/>
  <c r="M1081" i="3" s="1"/>
  <c r="M1069" i="3" a="1"/>
  <c r="M1069" i="3" s="1"/>
  <c r="M1057" i="3" a="1"/>
  <c r="M1057" i="3" s="1"/>
  <c r="M1045" i="3" a="1"/>
  <c r="M1045" i="3" s="1"/>
  <c r="M1033" i="3" a="1"/>
  <c r="M1033" i="3" s="1"/>
  <c r="M1021" i="3" a="1"/>
  <c r="M1021" i="3" s="1"/>
  <c r="M1009" i="3" a="1"/>
  <c r="M1009" i="3" s="1"/>
  <c r="M997" i="3" a="1"/>
  <c r="M997" i="3" s="1"/>
  <c r="M985" i="3" a="1"/>
  <c r="M985" i="3" s="1"/>
  <c r="M973" i="3" a="1"/>
  <c r="M973" i="3" s="1"/>
  <c r="M961" i="3" a="1"/>
  <c r="M961" i="3" s="1"/>
  <c r="M949" i="3" a="1"/>
  <c r="M949" i="3" s="1"/>
  <c r="M937" i="3" a="1"/>
  <c r="M937" i="3" s="1"/>
  <c r="M925" i="3" a="1"/>
  <c r="M925" i="3" s="1"/>
  <c r="M913" i="3" a="1"/>
  <c r="M913" i="3" s="1"/>
  <c r="M901" i="3" a="1"/>
  <c r="M901" i="3" s="1"/>
  <c r="M889" i="3" a="1"/>
  <c r="M889" i="3" s="1"/>
  <c r="M877" i="3" a="1"/>
  <c r="M877" i="3" s="1"/>
  <c r="M865" i="3" a="1"/>
  <c r="M865" i="3" s="1"/>
  <c r="M853" i="3" a="1"/>
  <c r="M853" i="3" s="1"/>
  <c r="M841" i="3" a="1"/>
  <c r="M841" i="3" s="1"/>
  <c r="M829" i="3" a="1"/>
  <c r="M829" i="3" s="1"/>
  <c r="M817" i="3" a="1"/>
  <c r="M817" i="3" s="1"/>
  <c r="M805" i="3" a="1"/>
  <c r="M805" i="3" s="1"/>
  <c r="M793" i="3" a="1"/>
  <c r="M793" i="3" s="1"/>
  <c r="M781" i="3" a="1"/>
  <c r="M781" i="3" s="1"/>
  <c r="M769" i="3" a="1"/>
  <c r="M769" i="3" s="1"/>
  <c r="M757" i="3" a="1"/>
  <c r="M757" i="3" s="1"/>
  <c r="M745" i="3" a="1"/>
  <c r="M745" i="3" s="1"/>
  <c r="M733" i="3" a="1"/>
  <c r="M733" i="3" s="1"/>
  <c r="M721" i="3" a="1"/>
  <c r="M721" i="3" s="1"/>
  <c r="M709" i="3" a="1"/>
  <c r="M709" i="3" s="1"/>
  <c r="M697" i="3" a="1"/>
  <c r="M697" i="3" s="1"/>
  <c r="M685" i="3" a="1"/>
  <c r="M685" i="3" s="1"/>
  <c r="M673" i="3" a="1"/>
  <c r="M673" i="3" s="1"/>
  <c r="M661" i="3" a="1"/>
  <c r="M661" i="3" s="1"/>
  <c r="M649" i="3" a="1"/>
  <c r="M649" i="3" s="1"/>
  <c r="M637" i="3" a="1"/>
  <c r="M637" i="3" s="1"/>
  <c r="M625" i="3" a="1"/>
  <c r="M625" i="3" s="1"/>
  <c r="M613" i="3" a="1"/>
  <c r="M613" i="3" s="1"/>
  <c r="M601" i="3" a="1"/>
  <c r="M601" i="3" s="1"/>
  <c r="M589" i="3" a="1"/>
  <c r="M589" i="3" s="1"/>
  <c r="M577" i="3" a="1"/>
  <c r="M577" i="3" s="1"/>
  <c r="M565" i="3" a="1"/>
  <c r="M565" i="3" s="1"/>
  <c r="M553" i="3" a="1"/>
  <c r="M553" i="3" s="1"/>
  <c r="M541" i="3" a="1"/>
  <c r="M541" i="3" s="1"/>
  <c r="M529" i="3" a="1"/>
  <c r="M529" i="3" s="1"/>
  <c r="M517" i="3" a="1"/>
  <c r="M517" i="3" s="1"/>
  <c r="M505" i="3" a="1"/>
  <c r="M505" i="3" s="1"/>
  <c r="M493" i="3" a="1"/>
  <c r="M493" i="3" s="1"/>
  <c r="M481" i="3" a="1"/>
  <c r="M481" i="3" s="1"/>
  <c r="M469" i="3" a="1"/>
  <c r="M469" i="3" s="1"/>
  <c r="M457" i="3" a="1"/>
  <c r="M457" i="3" s="1"/>
  <c r="M445" i="3" a="1"/>
  <c r="M445" i="3" s="1"/>
  <c r="M433" i="3" a="1"/>
  <c r="M433" i="3" s="1"/>
  <c r="M421" i="3" a="1"/>
  <c r="M421" i="3" s="1"/>
  <c r="M407" i="3" a="1"/>
  <c r="M407" i="3" s="1"/>
  <c r="M394" i="3" a="1"/>
  <c r="M394" i="3" s="1"/>
  <c r="M377" i="3" a="1"/>
  <c r="M377" i="3" s="1"/>
  <c r="M365" i="3" a="1"/>
  <c r="M365" i="3" s="1"/>
  <c r="M349" i="3" a="1"/>
  <c r="M349" i="3" s="1"/>
  <c r="M337" i="3" a="1"/>
  <c r="M337" i="3" s="1"/>
  <c r="M323" i="3" a="1"/>
  <c r="M323" i="3" s="1"/>
  <c r="M311" i="3" a="1"/>
  <c r="M311" i="3" s="1"/>
  <c r="M299" i="3" a="1"/>
  <c r="M299" i="3" s="1"/>
  <c r="M285" i="3" a="1"/>
  <c r="M285" i="3" s="1"/>
  <c r="M273" i="3" a="1"/>
  <c r="M273" i="3" s="1"/>
  <c r="M261" i="3" a="1"/>
  <c r="M261" i="3" s="1"/>
  <c r="M249" i="3" a="1"/>
  <c r="M249" i="3" s="1"/>
  <c r="M237" i="3" a="1"/>
  <c r="M237" i="3" s="1"/>
  <c r="M225" i="3" a="1"/>
  <c r="M225" i="3" s="1"/>
  <c r="M211" i="3" a="1"/>
  <c r="M211" i="3" s="1"/>
  <c r="M196" i="3" a="1"/>
  <c r="M196" i="3" s="1"/>
  <c r="M180" i="3" a="1"/>
  <c r="M180" i="3" s="1"/>
  <c r="M166" i="3" a="1"/>
  <c r="M166" i="3" s="1"/>
  <c r="M152" i="3" a="1"/>
  <c r="M152" i="3" s="1"/>
  <c r="M138" i="3" a="1"/>
  <c r="M138" i="3" s="1"/>
  <c r="M126" i="3" a="1"/>
  <c r="M126" i="3" s="1"/>
  <c r="M114" i="3" a="1"/>
  <c r="M114" i="3" s="1"/>
  <c r="M102" i="3" a="1"/>
  <c r="M102" i="3" s="1"/>
  <c r="M90" i="3" a="1"/>
  <c r="M90" i="3" s="1"/>
  <c r="M78" i="3" a="1"/>
  <c r="M78" i="3" s="1"/>
  <c r="M66" i="3" a="1"/>
  <c r="M66" i="3" s="1"/>
  <c r="M54" i="3" a="1"/>
  <c r="M54" i="3" s="1"/>
  <c r="M42" i="3" a="1"/>
  <c r="M42" i="3" s="1"/>
  <c r="M30" i="3" a="1"/>
  <c r="M30" i="3" s="1"/>
  <c r="M18" i="3" a="1"/>
  <c r="M18" i="3" s="1"/>
  <c r="M6" i="3" a="1"/>
  <c r="M6" i="3" s="1"/>
  <c r="AA1656" i="3"/>
  <c r="I694" i="4"/>
  <c r="I595" i="4"/>
  <c r="AB1529" i="3"/>
  <c r="AB1666" i="3"/>
  <c r="AB1597" i="3"/>
  <c r="AB1688" i="3"/>
  <c r="I715" i="4"/>
  <c r="AB1686" i="3"/>
  <c r="AB1722" i="3"/>
  <c r="AB1501" i="3"/>
  <c r="M1342" i="3" a="1"/>
  <c r="M1342" i="3" s="1"/>
  <c r="M1184" i="3" a="1"/>
  <c r="M1184" i="3" s="1"/>
  <c r="M1135" i="3" a="1"/>
  <c r="M1135" i="3" s="1"/>
  <c r="M1063" i="3" a="1"/>
  <c r="M1063" i="3" s="1"/>
  <c r="M883" i="3" a="1"/>
  <c r="M883" i="3" s="1"/>
  <c r="M715" i="3" a="1"/>
  <c r="M715" i="3" s="1"/>
  <c r="M631" i="3" a="1"/>
  <c r="M631" i="3" s="1"/>
  <c r="M401" i="3" a="1"/>
  <c r="M401" i="3" s="1"/>
  <c r="M317" i="3" a="1"/>
  <c r="M317" i="3" s="1"/>
  <c r="M173" i="3" a="1"/>
  <c r="M173" i="3" s="1"/>
  <c r="M96" i="3" a="1"/>
  <c r="M96" i="3" s="1"/>
  <c r="I630" i="4"/>
  <c r="I615" i="4"/>
  <c r="AB1630" i="3"/>
  <c r="AB1587" i="3"/>
  <c r="AB1533" i="3"/>
  <c r="M1376" i="3" a="1"/>
  <c r="M1376" i="3" s="1"/>
  <c r="M1363" i="3" a="1"/>
  <c r="M1363" i="3" s="1"/>
  <c r="M1321" i="3" a="1"/>
  <c r="M1321" i="3" s="1"/>
  <c r="M1297" i="3" a="1"/>
  <c r="M1297" i="3" s="1"/>
  <c r="M1285" i="3" a="1"/>
  <c r="M1285" i="3" s="1"/>
  <c r="M1261" i="3" a="1"/>
  <c r="M1261" i="3" s="1"/>
  <c r="M1237" i="3" a="1"/>
  <c r="M1237" i="3" s="1"/>
  <c r="M1225" i="3" a="1"/>
  <c r="M1225" i="3" s="1"/>
  <c r="M1201" i="3" a="1"/>
  <c r="M1201" i="3" s="1"/>
  <c r="M1177" i="3" a="1"/>
  <c r="M1177" i="3" s="1"/>
  <c r="M1152" i="3" a="1"/>
  <c r="M1152" i="3" s="1"/>
  <c r="M1140" i="3" a="1"/>
  <c r="M1140" i="3" s="1"/>
  <c r="M1116" i="3" a="1"/>
  <c r="M1116" i="3" s="1"/>
  <c r="M1080" i="3" a="1"/>
  <c r="M1080" i="3" s="1"/>
  <c r="M1044" i="3" a="1"/>
  <c r="M1044" i="3" s="1"/>
  <c r="M1020" i="3" a="1"/>
  <c r="M1020" i="3" s="1"/>
  <c r="M1008" i="3" a="1"/>
  <c r="M1008" i="3" s="1"/>
  <c r="M984" i="3" a="1"/>
  <c r="M984" i="3" s="1"/>
  <c r="M972" i="3" a="1"/>
  <c r="M972" i="3" s="1"/>
  <c r="M960" i="3" a="1"/>
  <c r="M960" i="3" s="1"/>
  <c r="M948" i="3" a="1"/>
  <c r="M948" i="3" s="1"/>
  <c r="M936" i="3" a="1"/>
  <c r="M936" i="3" s="1"/>
  <c r="M924" i="3" a="1"/>
  <c r="M924" i="3" s="1"/>
  <c r="M912" i="3" a="1"/>
  <c r="M912" i="3" s="1"/>
  <c r="M900" i="3" a="1"/>
  <c r="M900" i="3" s="1"/>
  <c r="M888" i="3" a="1"/>
  <c r="M888" i="3" s="1"/>
  <c r="M876" i="3" a="1"/>
  <c r="M876" i="3" s="1"/>
  <c r="M864" i="3" a="1"/>
  <c r="M864" i="3" s="1"/>
  <c r="M852" i="3" a="1"/>
  <c r="M852" i="3" s="1"/>
  <c r="M840" i="3" a="1"/>
  <c r="M840" i="3" s="1"/>
  <c r="M828" i="3" a="1"/>
  <c r="M828" i="3" s="1"/>
  <c r="M816" i="3" a="1"/>
  <c r="M816" i="3" s="1"/>
  <c r="M804" i="3" a="1"/>
  <c r="M804" i="3" s="1"/>
  <c r="M792" i="3" a="1"/>
  <c r="M792" i="3" s="1"/>
  <c r="M780" i="3" a="1"/>
  <c r="M780" i="3" s="1"/>
  <c r="M768" i="3" a="1"/>
  <c r="M768" i="3" s="1"/>
  <c r="M756" i="3" a="1"/>
  <c r="M756" i="3" s="1"/>
  <c r="M744" i="3" a="1"/>
  <c r="M744" i="3" s="1"/>
  <c r="M732" i="3" a="1"/>
  <c r="M732" i="3" s="1"/>
  <c r="M720" i="3" a="1"/>
  <c r="M720" i="3" s="1"/>
  <c r="M708" i="3" a="1"/>
  <c r="M708" i="3" s="1"/>
  <c r="M696" i="3" a="1"/>
  <c r="M696" i="3" s="1"/>
  <c r="M684" i="3" a="1"/>
  <c r="M684" i="3" s="1"/>
  <c r="M672" i="3" a="1"/>
  <c r="M672" i="3" s="1"/>
  <c r="M660" i="3" a="1"/>
  <c r="M660" i="3" s="1"/>
  <c r="M648" i="3" a="1"/>
  <c r="M648" i="3" s="1"/>
  <c r="M636" i="3" a="1"/>
  <c r="M636" i="3" s="1"/>
  <c r="M624" i="3" a="1"/>
  <c r="M624" i="3" s="1"/>
  <c r="M612" i="3" a="1"/>
  <c r="M612" i="3" s="1"/>
  <c r="M600" i="3" a="1"/>
  <c r="M600" i="3" s="1"/>
  <c r="M588" i="3" a="1"/>
  <c r="M588" i="3" s="1"/>
  <c r="M576" i="3" a="1"/>
  <c r="M576" i="3" s="1"/>
  <c r="M564" i="3" a="1"/>
  <c r="M564" i="3" s="1"/>
  <c r="M552" i="3" a="1"/>
  <c r="M552" i="3" s="1"/>
  <c r="M540" i="3" a="1"/>
  <c r="M540" i="3" s="1"/>
  <c r="M528" i="3" a="1"/>
  <c r="M528" i="3" s="1"/>
  <c r="M516" i="3" a="1"/>
  <c r="M516" i="3" s="1"/>
  <c r="M504" i="3" a="1"/>
  <c r="M504" i="3" s="1"/>
  <c r="M492" i="3" a="1"/>
  <c r="M492" i="3" s="1"/>
  <c r="M480" i="3" a="1"/>
  <c r="M480" i="3" s="1"/>
  <c r="M468" i="3" a="1"/>
  <c r="M468" i="3" s="1"/>
  <c r="M456" i="3" a="1"/>
  <c r="M456" i="3" s="1"/>
  <c r="M444" i="3" a="1"/>
  <c r="M444" i="3" s="1"/>
  <c r="M432" i="3" a="1"/>
  <c r="M432" i="3" s="1"/>
  <c r="M420" i="3" a="1"/>
  <c r="M420" i="3" s="1"/>
  <c r="M406" i="3" a="1"/>
  <c r="M406" i="3" s="1"/>
  <c r="M392" i="3" a="1"/>
  <c r="M392" i="3" s="1"/>
  <c r="M376" i="3" a="1"/>
  <c r="M376" i="3" s="1"/>
  <c r="M364" i="3" a="1"/>
  <c r="M364" i="3" s="1"/>
  <c r="M348" i="3" a="1"/>
  <c r="M348" i="3" s="1"/>
  <c r="M336" i="3" a="1"/>
  <c r="M336" i="3" s="1"/>
  <c r="M322" i="3" a="1"/>
  <c r="M322" i="3" s="1"/>
  <c r="M310" i="3" a="1"/>
  <c r="M310" i="3" s="1"/>
  <c r="M298" i="3" a="1"/>
  <c r="M298" i="3" s="1"/>
  <c r="M284" i="3" a="1"/>
  <c r="M284" i="3" s="1"/>
  <c r="M272" i="3" a="1"/>
  <c r="M272" i="3" s="1"/>
  <c r="M260" i="3" a="1"/>
  <c r="M260" i="3" s="1"/>
  <c r="M248" i="3" a="1"/>
  <c r="M248" i="3" s="1"/>
  <c r="M236" i="3" a="1"/>
  <c r="M236" i="3" s="1"/>
  <c r="M224" i="3" a="1"/>
  <c r="M224" i="3" s="1"/>
  <c r="M210" i="3" a="1"/>
  <c r="M210" i="3" s="1"/>
  <c r="M194" i="3" a="1"/>
  <c r="M194" i="3" s="1"/>
  <c r="M179" i="3" a="1"/>
  <c r="M179" i="3" s="1"/>
  <c r="M165" i="3" a="1"/>
  <c r="M165" i="3" s="1"/>
  <c r="M151" i="3" a="1"/>
  <c r="M151" i="3" s="1"/>
  <c r="M137" i="3" a="1"/>
  <c r="M137" i="3" s="1"/>
  <c r="M125" i="3" a="1"/>
  <c r="M125" i="3" s="1"/>
  <c r="M113" i="3" a="1"/>
  <c r="M113" i="3" s="1"/>
  <c r="M101" i="3" a="1"/>
  <c r="M101" i="3" s="1"/>
  <c r="M89" i="3" a="1"/>
  <c r="M89" i="3" s="1"/>
  <c r="M77" i="3" a="1"/>
  <c r="M77" i="3" s="1"/>
  <c r="M65" i="3" a="1"/>
  <c r="M65" i="3" s="1"/>
  <c r="M53" i="3" a="1"/>
  <c r="M53" i="3" s="1"/>
  <c r="M41" i="3" a="1"/>
  <c r="M41" i="3" s="1"/>
  <c r="M29" i="3" a="1"/>
  <c r="M29" i="3" s="1"/>
  <c r="M17" i="3" a="1"/>
  <c r="M17" i="3" s="1"/>
  <c r="M5" i="3" a="1"/>
  <c r="M5" i="3" s="1"/>
  <c r="AA1559" i="3"/>
  <c r="I556" i="4"/>
  <c r="I661" i="4"/>
  <c r="I621" i="4"/>
  <c r="AB1692" i="3"/>
  <c r="AB1483" i="3"/>
  <c r="AB1698" i="3"/>
  <c r="AB1545" i="3"/>
  <c r="M1328" i="3" a="1"/>
  <c r="M1328" i="3" s="1"/>
  <c r="M1292" i="3" a="1"/>
  <c r="M1292" i="3" s="1"/>
  <c r="M1280" i="3" a="1"/>
  <c r="M1280" i="3" s="1"/>
  <c r="M1160" i="3" a="1"/>
  <c r="M1160" i="3" s="1"/>
  <c r="M1027" i="3" a="1"/>
  <c r="M1027" i="3" s="1"/>
  <c r="M979" i="3" a="1"/>
  <c r="M979" i="3" s="1"/>
  <c r="M811" i="3" a="1"/>
  <c r="M811" i="3" s="1"/>
  <c r="M643" i="3" a="1"/>
  <c r="M643" i="3" s="1"/>
  <c r="M439" i="3" a="1"/>
  <c r="M439" i="3" s="1"/>
  <c r="M120" i="3" a="1"/>
  <c r="M120" i="3" s="1"/>
  <c r="M1349" i="3" a="1"/>
  <c r="M1349" i="3" s="1"/>
  <c r="M1333" i="3" a="1"/>
  <c r="M1333" i="3" s="1"/>
  <c r="M1309" i="3" a="1"/>
  <c r="M1309" i="3" s="1"/>
  <c r="M1273" i="3" a="1"/>
  <c r="M1273" i="3" s="1"/>
  <c r="M1249" i="3" a="1"/>
  <c r="M1249" i="3" s="1"/>
  <c r="M1213" i="3" a="1"/>
  <c r="M1213" i="3" s="1"/>
  <c r="M1189" i="3" a="1"/>
  <c r="M1189" i="3" s="1"/>
  <c r="M1165" i="3" a="1"/>
  <c r="M1165" i="3" s="1"/>
  <c r="M1128" i="3" a="1"/>
  <c r="M1128" i="3" s="1"/>
  <c r="M1104" i="3" a="1"/>
  <c r="M1104" i="3" s="1"/>
  <c r="M1092" i="3" a="1"/>
  <c r="M1092" i="3" s="1"/>
  <c r="M1068" i="3" a="1"/>
  <c r="M1068" i="3" s="1"/>
  <c r="M1056" i="3" a="1"/>
  <c r="M1056" i="3" s="1"/>
  <c r="M1032" i="3" a="1"/>
  <c r="M1032" i="3" s="1"/>
  <c r="M996" i="3" a="1"/>
  <c r="M996" i="3" s="1"/>
  <c r="M1375" i="3" a="1"/>
  <c r="M1375" i="3" s="1"/>
  <c r="M1362" i="3" a="1"/>
  <c r="M1362" i="3" s="1"/>
  <c r="M1348" i="3" a="1"/>
  <c r="M1348" i="3" s="1"/>
  <c r="M1332" i="3" a="1"/>
  <c r="M1332" i="3" s="1"/>
  <c r="M1320" i="3" a="1"/>
  <c r="M1320" i="3" s="1"/>
  <c r="M1308" i="3" a="1"/>
  <c r="M1308" i="3" s="1"/>
  <c r="M1296" i="3" a="1"/>
  <c r="M1296" i="3" s="1"/>
  <c r="M1284" i="3" a="1"/>
  <c r="M1284" i="3" s="1"/>
  <c r="M1272" i="3" a="1"/>
  <c r="M1272" i="3" s="1"/>
  <c r="M1260" i="3" a="1"/>
  <c r="M1260" i="3" s="1"/>
  <c r="M1248" i="3" a="1"/>
  <c r="M1248" i="3" s="1"/>
  <c r="M1236" i="3" a="1"/>
  <c r="M1236" i="3" s="1"/>
  <c r="M1224" i="3" a="1"/>
  <c r="M1224" i="3" s="1"/>
  <c r="M1212" i="3" a="1"/>
  <c r="M1212" i="3" s="1"/>
  <c r="M1200" i="3" a="1"/>
  <c r="M1200" i="3" s="1"/>
  <c r="M1188" i="3" a="1"/>
  <c r="M1188" i="3" s="1"/>
  <c r="M1176" i="3" a="1"/>
  <c r="M1176" i="3" s="1"/>
  <c r="M1164" i="3" a="1"/>
  <c r="M1164" i="3" s="1"/>
  <c r="M1151" i="3" a="1"/>
  <c r="M1151" i="3" s="1"/>
  <c r="M1139" i="3" a="1"/>
  <c r="M1139" i="3" s="1"/>
  <c r="M1127" i="3" a="1"/>
  <c r="M1127" i="3" s="1"/>
  <c r="M1115" i="3" a="1"/>
  <c r="M1115" i="3" s="1"/>
  <c r="M1103" i="3" a="1"/>
  <c r="M1103" i="3" s="1"/>
  <c r="M1091" i="3" a="1"/>
  <c r="M1091" i="3" s="1"/>
  <c r="M1079" i="3" a="1"/>
  <c r="M1079" i="3" s="1"/>
  <c r="M1067" i="3" a="1"/>
  <c r="M1067" i="3" s="1"/>
  <c r="M1055" i="3" a="1"/>
  <c r="M1055" i="3" s="1"/>
  <c r="M1043" i="3" a="1"/>
  <c r="M1043" i="3" s="1"/>
  <c r="M1031" i="3" a="1"/>
  <c r="M1031" i="3" s="1"/>
  <c r="M1019" i="3" a="1"/>
  <c r="M1019" i="3" s="1"/>
  <c r="M1007" i="3" a="1"/>
  <c r="M1007" i="3" s="1"/>
  <c r="M995" i="3" a="1"/>
  <c r="M995" i="3" s="1"/>
  <c r="M983" i="3" a="1"/>
  <c r="M983" i="3" s="1"/>
  <c r="M971" i="3" a="1"/>
  <c r="M971" i="3" s="1"/>
  <c r="M959" i="3" a="1"/>
  <c r="M959" i="3" s="1"/>
  <c r="M947" i="3" a="1"/>
  <c r="M947" i="3" s="1"/>
  <c r="M935" i="3" a="1"/>
  <c r="M935" i="3" s="1"/>
  <c r="M923" i="3" a="1"/>
  <c r="M923" i="3" s="1"/>
  <c r="M911" i="3" a="1"/>
  <c r="M911" i="3" s="1"/>
  <c r="M899" i="3" a="1"/>
  <c r="M899" i="3" s="1"/>
  <c r="M887" i="3" a="1"/>
  <c r="M887" i="3" s="1"/>
  <c r="M875" i="3" a="1"/>
  <c r="M875" i="3" s="1"/>
  <c r="M863" i="3" a="1"/>
  <c r="M863" i="3" s="1"/>
  <c r="M851" i="3" a="1"/>
  <c r="M851" i="3" s="1"/>
  <c r="M839" i="3" a="1"/>
  <c r="M839" i="3" s="1"/>
  <c r="M827" i="3" a="1"/>
  <c r="M827" i="3" s="1"/>
  <c r="M815" i="3" a="1"/>
  <c r="M815" i="3" s="1"/>
  <c r="M803" i="3" a="1"/>
  <c r="M803" i="3" s="1"/>
  <c r="M791" i="3" a="1"/>
  <c r="M791" i="3" s="1"/>
  <c r="M779" i="3" a="1"/>
  <c r="M779" i="3" s="1"/>
  <c r="M767" i="3" a="1"/>
  <c r="M767" i="3" s="1"/>
  <c r="M755" i="3" a="1"/>
  <c r="M755" i="3" s="1"/>
  <c r="M743" i="3" a="1"/>
  <c r="M743" i="3" s="1"/>
  <c r="M731" i="3" a="1"/>
  <c r="M731" i="3" s="1"/>
  <c r="M719" i="3" a="1"/>
  <c r="M719" i="3" s="1"/>
  <c r="M707" i="3" a="1"/>
  <c r="M707" i="3" s="1"/>
  <c r="M695" i="3" a="1"/>
  <c r="M695" i="3" s="1"/>
  <c r="M683" i="3" a="1"/>
  <c r="M683" i="3" s="1"/>
  <c r="M671" i="3" a="1"/>
  <c r="M671" i="3" s="1"/>
  <c r="M659" i="3" a="1"/>
  <c r="M659" i="3" s="1"/>
  <c r="M647" i="3" a="1"/>
  <c r="M647" i="3" s="1"/>
  <c r="M635" i="3" a="1"/>
  <c r="M635" i="3" s="1"/>
  <c r="M623" i="3" a="1"/>
  <c r="M623" i="3" s="1"/>
  <c r="M611" i="3" a="1"/>
  <c r="M611" i="3" s="1"/>
  <c r="M599" i="3" a="1"/>
  <c r="M599" i="3" s="1"/>
  <c r="M587" i="3" a="1"/>
  <c r="M587" i="3" s="1"/>
  <c r="M575" i="3" a="1"/>
  <c r="M575" i="3" s="1"/>
  <c r="M563" i="3" a="1"/>
  <c r="M563" i="3" s="1"/>
  <c r="M551" i="3" a="1"/>
  <c r="M551" i="3" s="1"/>
  <c r="M539" i="3" a="1"/>
  <c r="M539" i="3" s="1"/>
  <c r="M527" i="3" a="1"/>
  <c r="M527" i="3" s="1"/>
  <c r="M515" i="3" a="1"/>
  <c r="M515" i="3" s="1"/>
  <c r="M503" i="3" a="1"/>
  <c r="M503" i="3" s="1"/>
  <c r="M491" i="3" a="1"/>
  <c r="M491" i="3" s="1"/>
  <c r="M479" i="3" a="1"/>
  <c r="M479" i="3" s="1"/>
  <c r="M467" i="3" a="1"/>
  <c r="M467" i="3" s="1"/>
  <c r="M455" i="3" a="1"/>
  <c r="M455" i="3" s="1"/>
  <c r="M443" i="3" a="1"/>
  <c r="M443" i="3" s="1"/>
  <c r="M431" i="3" a="1"/>
  <c r="M431" i="3" s="1"/>
  <c r="M419" i="3" a="1"/>
  <c r="M419" i="3" s="1"/>
  <c r="M405" i="3" a="1"/>
  <c r="M405" i="3" s="1"/>
  <c r="M390" i="3" a="1"/>
  <c r="M390" i="3" s="1"/>
  <c r="M375" i="3" a="1"/>
  <c r="M375" i="3" s="1"/>
  <c r="M363" i="3" a="1"/>
  <c r="M363" i="3" s="1"/>
  <c r="M347" i="3" a="1"/>
  <c r="M347" i="3" s="1"/>
  <c r="M334" i="3" a="1"/>
  <c r="M334" i="3" s="1"/>
  <c r="M321" i="3" a="1"/>
  <c r="M321" i="3" s="1"/>
  <c r="M309" i="3" a="1"/>
  <c r="M309" i="3" s="1"/>
  <c r="M297" i="3" a="1"/>
  <c r="M297" i="3" s="1"/>
  <c r="M283" i="3" a="1"/>
  <c r="M283" i="3" s="1"/>
  <c r="M271" i="3" a="1"/>
  <c r="M271" i="3" s="1"/>
  <c r="M259" i="3" a="1"/>
  <c r="M259" i="3" s="1"/>
  <c r="M247" i="3" a="1"/>
  <c r="M247" i="3" s="1"/>
  <c r="M235" i="3" a="1"/>
  <c r="M235" i="3" s="1"/>
  <c r="M223" i="3" a="1"/>
  <c r="M223" i="3" s="1"/>
  <c r="M209" i="3" a="1"/>
  <c r="M209" i="3" s="1"/>
  <c r="M192" i="3" a="1"/>
  <c r="M192" i="3" s="1"/>
  <c r="M178" i="3" a="1"/>
  <c r="M178" i="3" s="1"/>
  <c r="M164" i="3" a="1"/>
  <c r="M164" i="3" s="1"/>
  <c r="M150" i="3" a="1"/>
  <c r="M150" i="3" s="1"/>
  <c r="M136" i="3" a="1"/>
  <c r="M136" i="3" s="1"/>
  <c r="M124" i="3" a="1"/>
  <c r="M124" i="3" s="1"/>
  <c r="M112" i="3" a="1"/>
  <c r="M112" i="3" s="1"/>
  <c r="M100" i="3" a="1"/>
  <c r="M100" i="3" s="1"/>
  <c r="M88" i="3" a="1"/>
  <c r="M88" i="3" s="1"/>
  <c r="M76" i="3" a="1"/>
  <c r="M76" i="3" s="1"/>
  <c r="M64" i="3" a="1"/>
  <c r="M64" i="3" s="1"/>
  <c r="M52" i="3" a="1"/>
  <c r="M52" i="3" s="1"/>
  <c r="M40" i="3" a="1"/>
  <c r="M40" i="3" s="1"/>
  <c r="M28" i="3" a="1"/>
  <c r="M28" i="3" s="1"/>
  <c r="M16" i="3" a="1"/>
  <c r="M16" i="3" s="1"/>
  <c r="M4" i="3" a="1"/>
  <c r="M4" i="3" s="1"/>
  <c r="I627" i="4"/>
  <c r="I613" i="4"/>
  <c r="I663" i="4"/>
  <c r="I645" i="4"/>
  <c r="I582" i="4"/>
  <c r="AB1535" i="3"/>
  <c r="AB1624" i="3"/>
  <c r="AB1525" i="3"/>
  <c r="AB1573" i="3"/>
  <c r="AB1519" i="3"/>
  <c r="AB1670" i="3"/>
  <c r="AB1726" i="3"/>
  <c r="AB1503" i="3"/>
  <c r="AB1455" i="3"/>
  <c r="AB1509" i="3"/>
  <c r="M1268" i="3" a="1"/>
  <c r="M1268" i="3" s="1"/>
  <c r="M1087" i="3" a="1"/>
  <c r="M1087" i="3" s="1"/>
  <c r="M943" i="3" a="1"/>
  <c r="M943" i="3" s="1"/>
  <c r="M727" i="3" a="1"/>
  <c r="M727" i="3" s="1"/>
  <c r="M559" i="3" a="1"/>
  <c r="M559" i="3" s="1"/>
  <c r="M358" i="3" a="1"/>
  <c r="M358" i="3" s="1"/>
  <c r="M305" i="3" a="1"/>
  <c r="M305" i="3" s="1"/>
  <c r="M145" i="3" a="1"/>
  <c r="M145" i="3" s="1"/>
  <c r="M108" i="3" a="1"/>
  <c r="M108" i="3" s="1"/>
  <c r="M24" i="3" a="1"/>
  <c r="M24" i="3" s="1"/>
  <c r="M1361" i="3" a="1"/>
  <c r="M1361" i="3" s="1"/>
  <c r="M1319" i="3" a="1"/>
  <c r="M1319" i="3" s="1"/>
  <c r="M1307" i="3" a="1"/>
  <c r="M1307" i="3" s="1"/>
  <c r="M1283" i="3" a="1"/>
  <c r="M1283" i="3" s="1"/>
  <c r="M1271" i="3" a="1"/>
  <c r="M1271" i="3" s="1"/>
  <c r="M1235" i="3" a="1"/>
  <c r="M1235" i="3" s="1"/>
  <c r="M1223" i="3" a="1"/>
  <c r="M1223" i="3" s="1"/>
  <c r="M1199" i="3" a="1"/>
  <c r="M1199" i="3" s="1"/>
  <c r="M1175" i="3" a="1"/>
  <c r="M1175" i="3" s="1"/>
  <c r="M1150" i="3" a="1"/>
  <c r="M1150" i="3" s="1"/>
  <c r="M1138" i="3" a="1"/>
  <c r="M1138" i="3" s="1"/>
  <c r="M1114" i="3" a="1"/>
  <c r="M1114" i="3" s="1"/>
  <c r="M1090" i="3" a="1"/>
  <c r="M1090" i="3" s="1"/>
  <c r="M1066" i="3" a="1"/>
  <c r="M1066" i="3" s="1"/>
  <c r="M1054" i="3" a="1"/>
  <c r="M1054" i="3" s="1"/>
  <c r="M1030" i="3" a="1"/>
  <c r="M1030" i="3" s="1"/>
  <c r="M1006" i="3" a="1"/>
  <c r="M1006" i="3" s="1"/>
  <c r="M994" i="3" a="1"/>
  <c r="M994" i="3" s="1"/>
  <c r="M982" i="3" a="1"/>
  <c r="M982" i="3" s="1"/>
  <c r="M970" i="3" a="1"/>
  <c r="M970" i="3" s="1"/>
  <c r="M958" i="3" a="1"/>
  <c r="M958" i="3" s="1"/>
  <c r="M946" i="3" a="1"/>
  <c r="M946" i="3" s="1"/>
  <c r="M934" i="3" a="1"/>
  <c r="M934" i="3" s="1"/>
  <c r="M922" i="3" a="1"/>
  <c r="M922" i="3" s="1"/>
  <c r="M910" i="3" a="1"/>
  <c r="M910" i="3" s="1"/>
  <c r="M898" i="3" a="1"/>
  <c r="M898" i="3" s="1"/>
  <c r="M886" i="3" a="1"/>
  <c r="M886" i="3" s="1"/>
  <c r="M874" i="3" a="1"/>
  <c r="M874" i="3" s="1"/>
  <c r="M862" i="3" a="1"/>
  <c r="M862" i="3" s="1"/>
  <c r="M850" i="3" a="1"/>
  <c r="M850" i="3" s="1"/>
  <c r="M838" i="3" a="1"/>
  <c r="M838" i="3" s="1"/>
  <c r="M826" i="3" a="1"/>
  <c r="M826" i="3" s="1"/>
  <c r="M814" i="3" a="1"/>
  <c r="M814" i="3" s="1"/>
  <c r="M802" i="3" a="1"/>
  <c r="M802" i="3" s="1"/>
  <c r="M790" i="3" a="1"/>
  <c r="M790" i="3" s="1"/>
  <c r="M778" i="3" a="1"/>
  <c r="M778" i="3" s="1"/>
  <c r="M766" i="3" a="1"/>
  <c r="M766" i="3" s="1"/>
  <c r="M754" i="3" a="1"/>
  <c r="M754" i="3" s="1"/>
  <c r="M742" i="3" a="1"/>
  <c r="M742" i="3" s="1"/>
  <c r="M730" i="3" a="1"/>
  <c r="M730" i="3" s="1"/>
  <c r="M718" i="3" a="1"/>
  <c r="M718" i="3" s="1"/>
  <c r="M706" i="3" a="1"/>
  <c r="M706" i="3" s="1"/>
  <c r="M694" i="3" a="1"/>
  <c r="M694" i="3" s="1"/>
  <c r="M682" i="3" a="1"/>
  <c r="M682" i="3" s="1"/>
  <c r="M670" i="3" a="1"/>
  <c r="M670" i="3" s="1"/>
  <c r="M658" i="3" a="1"/>
  <c r="M658" i="3" s="1"/>
  <c r="M646" i="3" a="1"/>
  <c r="M646" i="3" s="1"/>
  <c r="M634" i="3" a="1"/>
  <c r="M634" i="3" s="1"/>
  <c r="M622" i="3" a="1"/>
  <c r="M622" i="3" s="1"/>
  <c r="M610" i="3" a="1"/>
  <c r="M610" i="3" s="1"/>
  <c r="M598" i="3" a="1"/>
  <c r="M598" i="3" s="1"/>
  <c r="M586" i="3" a="1"/>
  <c r="M586" i="3" s="1"/>
  <c r="M574" i="3" a="1"/>
  <c r="M574" i="3" s="1"/>
  <c r="M562" i="3" a="1"/>
  <c r="M562" i="3" s="1"/>
  <c r="M550" i="3" a="1"/>
  <c r="M550" i="3" s="1"/>
  <c r="M538" i="3" a="1"/>
  <c r="M538" i="3" s="1"/>
  <c r="M526" i="3" a="1"/>
  <c r="M526" i="3" s="1"/>
  <c r="M514" i="3" a="1"/>
  <c r="M514" i="3" s="1"/>
  <c r="M502" i="3" a="1"/>
  <c r="M502" i="3" s="1"/>
  <c r="M490" i="3" a="1"/>
  <c r="M490" i="3" s="1"/>
  <c r="M478" i="3" a="1"/>
  <c r="M478" i="3" s="1"/>
  <c r="M466" i="3" a="1"/>
  <c r="M466" i="3" s="1"/>
  <c r="M454" i="3" a="1"/>
  <c r="M454" i="3" s="1"/>
  <c r="M442" i="3" a="1"/>
  <c r="M442" i="3" s="1"/>
  <c r="M430" i="3" a="1"/>
  <c r="M430" i="3" s="1"/>
  <c r="M418" i="3" a="1"/>
  <c r="M418" i="3" s="1"/>
  <c r="M404" i="3" a="1"/>
  <c r="M404" i="3" s="1"/>
  <c r="M388" i="3" a="1"/>
  <c r="M388" i="3" s="1"/>
  <c r="M374" i="3" a="1"/>
  <c r="M374" i="3" s="1"/>
  <c r="M362" i="3" a="1"/>
  <c r="M362" i="3" s="1"/>
  <c r="M346" i="3" a="1"/>
  <c r="M346" i="3" s="1"/>
  <c r="M333" i="3" a="1"/>
  <c r="M333" i="3" s="1"/>
  <c r="M320" i="3" a="1"/>
  <c r="M320" i="3" s="1"/>
  <c r="M308" i="3" a="1"/>
  <c r="M308" i="3" s="1"/>
  <c r="M296" i="3" a="1"/>
  <c r="M296" i="3" s="1"/>
  <c r="M282" i="3" a="1"/>
  <c r="M282" i="3" s="1"/>
  <c r="M270" i="3" a="1"/>
  <c r="M270" i="3" s="1"/>
  <c r="M258" i="3" a="1"/>
  <c r="M258" i="3" s="1"/>
  <c r="M246" i="3" a="1"/>
  <c r="M246" i="3" s="1"/>
  <c r="M234" i="3" a="1"/>
  <c r="M234" i="3" s="1"/>
  <c r="M222" i="3" a="1"/>
  <c r="M222" i="3" s="1"/>
  <c r="M207" i="3" a="1"/>
  <c r="M207" i="3" s="1"/>
  <c r="M191" i="3" a="1"/>
  <c r="M191" i="3" s="1"/>
  <c r="M177" i="3" a="1"/>
  <c r="M177" i="3" s="1"/>
  <c r="M161" i="3" a="1"/>
  <c r="M161" i="3" s="1"/>
  <c r="M149" i="3" a="1"/>
  <c r="M149" i="3" s="1"/>
  <c r="M135" i="3" a="1"/>
  <c r="M135" i="3" s="1"/>
  <c r="M123" i="3" a="1"/>
  <c r="M123" i="3" s="1"/>
  <c r="M111" i="3" a="1"/>
  <c r="M111" i="3" s="1"/>
  <c r="M99" i="3" a="1"/>
  <c r="M99" i="3" s="1"/>
  <c r="M87" i="3" a="1"/>
  <c r="M87" i="3" s="1"/>
  <c r="M75" i="3" a="1"/>
  <c r="M75" i="3" s="1"/>
  <c r="M63" i="3" a="1"/>
  <c r="M63" i="3" s="1"/>
  <c r="M51" i="3" a="1"/>
  <c r="M51" i="3" s="1"/>
  <c r="M39" i="3" a="1"/>
  <c r="M39" i="3" s="1"/>
  <c r="M27" i="3" a="1"/>
  <c r="M27" i="3" s="1"/>
  <c r="M15" i="3" a="1"/>
  <c r="M15" i="3" s="1"/>
  <c r="M3" i="3" a="1"/>
  <c r="M3" i="3" s="1"/>
  <c r="I680" i="4"/>
  <c r="I610" i="4"/>
  <c r="I664" i="4"/>
  <c r="AB1378" i="3"/>
  <c r="AB1704" i="3"/>
  <c r="AB1485" i="3"/>
  <c r="M1244" i="3" a="1"/>
  <c r="M1244" i="3" s="1"/>
  <c r="M1075" i="3" a="1"/>
  <c r="M1075" i="3" s="1"/>
  <c r="M931" i="3" a="1"/>
  <c r="M931" i="3" s="1"/>
  <c r="M835" i="3" a="1"/>
  <c r="M835" i="3" s="1"/>
  <c r="M763" i="3" a="1"/>
  <c r="M763" i="3" s="1"/>
  <c r="M595" i="3" a="1"/>
  <c r="M595" i="3" s="1"/>
  <c r="M475" i="3" a="1"/>
  <c r="M475" i="3" s="1"/>
  <c r="M231" i="3" a="1"/>
  <c r="M231" i="3" s="1"/>
  <c r="M72" i="3" a="1"/>
  <c r="M72" i="3" s="1"/>
  <c r="M1374" i="3" a="1"/>
  <c r="M1374" i="3" s="1"/>
  <c r="M1346" i="3" a="1"/>
  <c r="M1346" i="3" s="1"/>
  <c r="M1331" i="3" a="1"/>
  <c r="M1331" i="3" s="1"/>
  <c r="M1295" i="3" a="1"/>
  <c r="M1295" i="3" s="1"/>
  <c r="M1259" i="3" a="1"/>
  <c r="M1259" i="3" s="1"/>
  <c r="M1247" i="3" a="1"/>
  <c r="M1247" i="3" s="1"/>
  <c r="M1211" i="3" a="1"/>
  <c r="M1211" i="3" s="1"/>
  <c r="M1187" i="3" a="1"/>
  <c r="M1187" i="3" s="1"/>
  <c r="M1163" i="3" a="1"/>
  <c r="M1163" i="3" s="1"/>
  <c r="M1126" i="3" a="1"/>
  <c r="M1126" i="3" s="1"/>
  <c r="M1102" i="3" a="1"/>
  <c r="M1102" i="3" s="1"/>
  <c r="M1078" i="3" a="1"/>
  <c r="M1078" i="3" s="1"/>
  <c r="M1042" i="3" a="1"/>
  <c r="M1042" i="3" s="1"/>
  <c r="M1018" i="3" a="1"/>
  <c r="M1018" i="3" s="1"/>
  <c r="M1373" i="3" a="1"/>
  <c r="M1373" i="3" s="1"/>
  <c r="M1360" i="3" a="1"/>
  <c r="M1360" i="3" s="1"/>
  <c r="M1345" i="3" a="1"/>
  <c r="M1345" i="3" s="1"/>
  <c r="M1330" i="3" a="1"/>
  <c r="M1330" i="3" s="1"/>
  <c r="M1318" i="3" a="1"/>
  <c r="M1318" i="3" s="1"/>
  <c r="M1306" i="3" a="1"/>
  <c r="M1306" i="3" s="1"/>
  <c r="M1294" i="3" a="1"/>
  <c r="M1294" i="3" s="1"/>
  <c r="M1282" i="3" a="1"/>
  <c r="M1282" i="3" s="1"/>
  <c r="M1270" i="3" a="1"/>
  <c r="M1270" i="3" s="1"/>
  <c r="M1258" i="3" a="1"/>
  <c r="M1258" i="3" s="1"/>
  <c r="M1246" i="3" a="1"/>
  <c r="M1246" i="3" s="1"/>
  <c r="M1234" i="3" a="1"/>
  <c r="M1234" i="3" s="1"/>
  <c r="M1222" i="3" a="1"/>
  <c r="M1222" i="3" s="1"/>
  <c r="M1210" i="3" a="1"/>
  <c r="M1210" i="3" s="1"/>
  <c r="M1198" i="3" a="1"/>
  <c r="M1198" i="3" s="1"/>
  <c r="M1186" i="3" a="1"/>
  <c r="M1186" i="3" s="1"/>
  <c r="M1174" i="3" a="1"/>
  <c r="M1174" i="3" s="1"/>
  <c r="M1162" i="3" a="1"/>
  <c r="M1162" i="3" s="1"/>
  <c r="M1149" i="3" a="1"/>
  <c r="M1149" i="3" s="1"/>
  <c r="M1137" i="3" a="1"/>
  <c r="M1137" i="3" s="1"/>
  <c r="M1125" i="3" a="1"/>
  <c r="M1125" i="3" s="1"/>
  <c r="M1113" i="3" a="1"/>
  <c r="M1113" i="3" s="1"/>
  <c r="M1101" i="3" a="1"/>
  <c r="M1101" i="3" s="1"/>
  <c r="M1089" i="3" a="1"/>
  <c r="M1089" i="3" s="1"/>
  <c r="M1077" i="3" a="1"/>
  <c r="M1077" i="3" s="1"/>
  <c r="M1065" i="3" a="1"/>
  <c r="M1065" i="3" s="1"/>
  <c r="M1053" i="3" a="1"/>
  <c r="M1053" i="3" s="1"/>
  <c r="M1041" i="3" a="1"/>
  <c r="M1041" i="3" s="1"/>
  <c r="M1029" i="3" a="1"/>
  <c r="M1029" i="3" s="1"/>
  <c r="M1017" i="3" a="1"/>
  <c r="M1017" i="3" s="1"/>
  <c r="M1005" i="3" a="1"/>
  <c r="M1005" i="3" s="1"/>
  <c r="M993" i="3" a="1"/>
  <c r="M993" i="3" s="1"/>
  <c r="M981" i="3" a="1"/>
  <c r="M981" i="3" s="1"/>
  <c r="M969" i="3" a="1"/>
  <c r="M969" i="3" s="1"/>
  <c r="M957" i="3" a="1"/>
  <c r="M957" i="3" s="1"/>
  <c r="M945" i="3" a="1"/>
  <c r="M945" i="3" s="1"/>
  <c r="M933" i="3" a="1"/>
  <c r="M933" i="3" s="1"/>
  <c r="M921" i="3" a="1"/>
  <c r="M921" i="3" s="1"/>
  <c r="M909" i="3" a="1"/>
  <c r="M909" i="3" s="1"/>
  <c r="M897" i="3" a="1"/>
  <c r="M897" i="3" s="1"/>
  <c r="M885" i="3" a="1"/>
  <c r="M885" i="3" s="1"/>
  <c r="M873" i="3" a="1"/>
  <c r="M873" i="3" s="1"/>
  <c r="M861" i="3" a="1"/>
  <c r="M861" i="3" s="1"/>
  <c r="M849" i="3" a="1"/>
  <c r="M849" i="3" s="1"/>
  <c r="M837" i="3" a="1"/>
  <c r="M837" i="3" s="1"/>
  <c r="M825" i="3" a="1"/>
  <c r="M825" i="3" s="1"/>
  <c r="M813" i="3" a="1"/>
  <c r="M813" i="3" s="1"/>
  <c r="M801" i="3" a="1"/>
  <c r="M801" i="3" s="1"/>
  <c r="M789" i="3" a="1"/>
  <c r="M789" i="3" s="1"/>
  <c r="M777" i="3" a="1"/>
  <c r="M777" i="3" s="1"/>
  <c r="M765" i="3" a="1"/>
  <c r="M765" i="3" s="1"/>
  <c r="M753" i="3" a="1"/>
  <c r="M753" i="3" s="1"/>
  <c r="M741" i="3" a="1"/>
  <c r="M741" i="3" s="1"/>
  <c r="M729" i="3" a="1"/>
  <c r="M729" i="3" s="1"/>
  <c r="M717" i="3" a="1"/>
  <c r="M717" i="3" s="1"/>
  <c r="M705" i="3" a="1"/>
  <c r="M705" i="3" s="1"/>
  <c r="M693" i="3" a="1"/>
  <c r="M693" i="3" s="1"/>
  <c r="M681" i="3" a="1"/>
  <c r="M681" i="3" s="1"/>
  <c r="M669" i="3" a="1"/>
  <c r="M669" i="3" s="1"/>
  <c r="M657" i="3" a="1"/>
  <c r="M657" i="3" s="1"/>
  <c r="M645" i="3" a="1"/>
  <c r="M645" i="3" s="1"/>
  <c r="M633" i="3" a="1"/>
  <c r="M633" i="3" s="1"/>
  <c r="M621" i="3" a="1"/>
  <c r="M621" i="3" s="1"/>
  <c r="M609" i="3" a="1"/>
  <c r="M609" i="3" s="1"/>
  <c r="M597" i="3" a="1"/>
  <c r="M597" i="3" s="1"/>
  <c r="M585" i="3" a="1"/>
  <c r="M585" i="3" s="1"/>
  <c r="M573" i="3" a="1"/>
  <c r="M573" i="3" s="1"/>
  <c r="M561" i="3" a="1"/>
  <c r="M561" i="3" s="1"/>
  <c r="M549" i="3" a="1"/>
  <c r="M549" i="3" s="1"/>
  <c r="M537" i="3" a="1"/>
  <c r="M537" i="3" s="1"/>
  <c r="M525" i="3" a="1"/>
  <c r="M525" i="3" s="1"/>
  <c r="M513" i="3" a="1"/>
  <c r="M513" i="3" s="1"/>
  <c r="M501" i="3" a="1"/>
  <c r="M501" i="3" s="1"/>
  <c r="M489" i="3" a="1"/>
  <c r="M489" i="3" s="1"/>
  <c r="M477" i="3" a="1"/>
  <c r="M477" i="3" s="1"/>
  <c r="M465" i="3" a="1"/>
  <c r="M465" i="3" s="1"/>
  <c r="M453" i="3" a="1"/>
  <c r="M453" i="3" s="1"/>
  <c r="M441" i="3" a="1"/>
  <c r="M441" i="3" s="1"/>
  <c r="M429" i="3" a="1"/>
  <c r="M429" i="3" s="1"/>
  <c r="M417" i="3" a="1"/>
  <c r="M417" i="3" s="1"/>
  <c r="M403" i="3" a="1"/>
  <c r="M403" i="3" s="1"/>
  <c r="M387" i="3" a="1"/>
  <c r="M387" i="3" s="1"/>
  <c r="M373" i="3" a="1"/>
  <c r="M373" i="3" s="1"/>
  <c r="M361" i="3" a="1"/>
  <c r="M361" i="3" s="1"/>
  <c r="M345" i="3" a="1"/>
  <c r="M345" i="3" s="1"/>
  <c r="M332" i="3" a="1"/>
  <c r="M332" i="3" s="1"/>
  <c r="M319" i="3" a="1"/>
  <c r="M319" i="3" s="1"/>
  <c r="M307" i="3" a="1"/>
  <c r="M307" i="3" s="1"/>
  <c r="M295" i="3" a="1"/>
  <c r="M295" i="3" s="1"/>
  <c r="M281" i="3" a="1"/>
  <c r="M281" i="3" s="1"/>
  <c r="M269" i="3" a="1"/>
  <c r="M269" i="3" s="1"/>
  <c r="M257" i="3" a="1"/>
  <c r="M257" i="3" s="1"/>
  <c r="M245" i="3" a="1"/>
  <c r="M245" i="3" s="1"/>
  <c r="M233" i="3" a="1"/>
  <c r="M233" i="3" s="1"/>
  <c r="M221" i="3" a="1"/>
  <c r="M221" i="3" s="1"/>
  <c r="M205" i="3" a="1"/>
  <c r="M205" i="3" s="1"/>
  <c r="M189" i="3" a="1"/>
  <c r="M189" i="3" s="1"/>
  <c r="M176" i="3" a="1"/>
  <c r="M176" i="3" s="1"/>
  <c r="M160" i="3" a="1"/>
  <c r="M160" i="3" s="1"/>
  <c r="M148" i="3" a="1"/>
  <c r="M148" i="3" s="1"/>
  <c r="M134" i="3" a="1"/>
  <c r="M134" i="3" s="1"/>
  <c r="M122" i="3" a="1"/>
  <c r="M122" i="3" s="1"/>
  <c r="M110" i="3" a="1"/>
  <c r="M110" i="3" s="1"/>
  <c r="M98" i="3" a="1"/>
  <c r="M98" i="3" s="1"/>
  <c r="M86" i="3" a="1"/>
  <c r="M86" i="3" s="1"/>
  <c r="M74" i="3" a="1"/>
  <c r="M74" i="3" s="1"/>
  <c r="M62" i="3" a="1"/>
  <c r="M62" i="3" s="1"/>
  <c r="M50" i="3" a="1"/>
  <c r="M50" i="3" s="1"/>
  <c r="M38" i="3" a="1"/>
  <c r="M38" i="3" s="1"/>
  <c r="M26" i="3" a="1"/>
  <c r="M26" i="3" s="1"/>
  <c r="M14" i="3" a="1"/>
  <c r="M14" i="3" s="1"/>
  <c r="I686" i="4"/>
  <c r="I650" i="4"/>
  <c r="AH1399" i="3"/>
  <c r="AB1499" i="3"/>
  <c r="AB1491" i="3"/>
  <c r="AB1562" i="3"/>
  <c r="AB1633" i="3"/>
  <c r="AA1515" i="3"/>
  <c r="AB1682" i="3"/>
  <c r="AB1706" i="3"/>
  <c r="AB1572" i="3"/>
  <c r="AB1649" i="3"/>
  <c r="AB1668" i="3"/>
  <c r="AB1561" i="3"/>
  <c r="AH1378" i="3"/>
  <c r="AB1399" i="3"/>
  <c r="AB1405" i="3"/>
  <c r="AH1456" i="3"/>
  <c r="AH1469" i="3"/>
  <c r="AH1487" i="3"/>
  <c r="AH1477" i="3"/>
  <c r="AH1688" i="3"/>
  <c r="AH1529" i="3"/>
  <c r="AH1497" i="3"/>
  <c r="AH1549" i="3"/>
  <c r="AH1499" i="3"/>
  <c r="AH1603" i="3"/>
  <c r="AH1507" i="3"/>
  <c r="AB1453" i="3"/>
  <c r="AH1545" i="3"/>
  <c r="AH1600" i="3"/>
  <c r="AH1501" i="3"/>
  <c r="AH1636" i="3"/>
  <c r="AH1720" i="3"/>
  <c r="AH1669" i="3"/>
  <c r="AH1531" i="3"/>
  <c r="AH1726" i="3"/>
  <c r="I639" i="4"/>
  <c r="AH1563" i="3"/>
  <c r="AH1561" i="3"/>
  <c r="AH1404" i="3"/>
  <c r="AH1509" i="3"/>
  <c r="AH1724" i="3"/>
  <c r="AH1698" i="3"/>
  <c r="AH1612" i="3"/>
  <c r="AH1642" i="3"/>
  <c r="AH1555" i="3"/>
  <c r="AH1424" i="3"/>
  <c r="AH1627" i="3"/>
  <c r="AH1521" i="3"/>
  <c r="AH1562" i="3"/>
  <c r="AH1401" i="3"/>
  <c r="AH1457" i="3"/>
  <c r="AH1491" i="3"/>
  <c r="AH1461" i="3"/>
  <c r="AH1606" i="3"/>
  <c r="I653" i="4"/>
  <c r="I701" i="4"/>
  <c r="I584" i="4"/>
  <c r="I681" i="4"/>
  <c r="AH1587" i="3"/>
  <c r="I605" i="4"/>
  <c r="I608" i="4"/>
  <c r="I658" i="4"/>
  <c r="I599" i="4"/>
  <c r="AH1690" i="3"/>
  <c r="AH1400" i="3"/>
  <c r="I682" i="4"/>
  <c r="I703" i="4"/>
  <c r="I620" i="4"/>
  <c r="I652" i="4"/>
  <c r="I603" i="4"/>
  <c r="I622" i="4"/>
  <c r="I609" i="4"/>
  <c r="I654" i="4"/>
  <c r="AH1479" i="3"/>
  <c r="AH1639" i="3"/>
  <c r="I659" i="4"/>
  <c r="I623" i="4"/>
  <c r="I687" i="4"/>
  <c r="I604" i="4"/>
  <c r="I666" i="4"/>
  <c r="I619" i="4"/>
  <c r="I597" i="4"/>
  <c r="AH1706" i="3"/>
  <c r="I667" i="4"/>
  <c r="AH1503" i="3"/>
  <c r="I704" i="4"/>
  <c r="AB1387" i="3"/>
  <c r="AH1633" i="3"/>
  <c r="AH1553" i="3"/>
  <c r="AH1573" i="3"/>
  <c r="AH1678" i="3"/>
  <c r="AB1400" i="3"/>
  <c r="AH1618" i="3"/>
  <c r="AH1492" i="3"/>
  <c r="AH1680" i="3"/>
  <c r="AH1551" i="3"/>
  <c r="AH1674" i="3"/>
  <c r="AH1519" i="3"/>
  <c r="AH1666" i="3"/>
  <c r="AH1541" i="3"/>
  <c r="AH1505" i="3"/>
  <c r="I693" i="4"/>
  <c r="I586" i="4"/>
  <c r="AH1403" i="3"/>
  <c r="AB1403" i="3"/>
  <c r="AH1489" i="3"/>
  <c r="I570" i="4"/>
  <c r="AH1670" i="3"/>
  <c r="I649" i="4"/>
  <c r="I685" i="4"/>
  <c r="I690" i="4"/>
  <c r="AH1651" i="3"/>
  <c r="AH1572" i="3"/>
  <c r="I635" i="4"/>
  <c r="I561" i="4"/>
  <c r="I660" i="4"/>
  <c r="I629" i="4"/>
  <c r="AH1411" i="3"/>
  <c r="W869" i="3"/>
  <c r="V893" i="3"/>
  <c r="V1045" i="3"/>
  <c r="V1119" i="3"/>
  <c r="V825" i="3"/>
  <c r="V797" i="3"/>
  <c r="L663" i="4"/>
  <c r="N663" i="4" s="1"/>
  <c r="L664" i="4"/>
  <c r="N664" i="4" s="1"/>
  <c r="AH1517" i="3"/>
  <c r="I614" i="4"/>
  <c r="I560" i="4"/>
  <c r="AH1390" i="3"/>
  <c r="AB1390" i="3"/>
  <c r="AH1621" i="3"/>
  <c r="I662" i="4"/>
  <c r="I675" i="4"/>
  <c r="I684" i="4"/>
  <c r="I702" i="4"/>
  <c r="AG1364" i="3"/>
  <c r="AH1686" i="3"/>
  <c r="I555" i="4"/>
  <c r="K51" i="3"/>
  <c r="AH1722" i="3"/>
  <c r="AG1559" i="3"/>
  <c r="AG1656" i="3"/>
  <c r="V981" i="3"/>
  <c r="AQ981" i="3"/>
  <c r="AC981" i="3"/>
  <c r="X981" i="3"/>
  <c r="W1275" i="3"/>
  <c r="AQ1275" i="3"/>
  <c r="AC1275" i="3"/>
  <c r="X1275" i="3"/>
  <c r="W1233" i="3"/>
  <c r="X1233" i="3"/>
  <c r="AQ1233" i="3"/>
  <c r="AC1233" i="3"/>
  <c r="W579" i="3"/>
  <c r="X579" i="3"/>
  <c r="AQ579" i="3"/>
  <c r="AC579" i="3"/>
  <c r="W905" i="3"/>
  <c r="AC905" i="3"/>
  <c r="AQ905" i="3"/>
  <c r="X905" i="3"/>
  <c r="W487" i="3"/>
  <c r="AQ487" i="3"/>
  <c r="AC487" i="3"/>
  <c r="X487" i="3"/>
  <c r="W631" i="3"/>
  <c r="AC631" i="3"/>
  <c r="X631" i="3"/>
  <c r="AQ631" i="3"/>
  <c r="V463" i="3"/>
  <c r="AQ463" i="3"/>
  <c r="AC463" i="3"/>
  <c r="X463" i="3"/>
  <c r="V897" i="3"/>
  <c r="AC897" i="3"/>
  <c r="X897" i="3"/>
  <c r="AQ897" i="3"/>
  <c r="W1291" i="3"/>
  <c r="AQ1291" i="3"/>
  <c r="AC1291" i="3"/>
  <c r="X1291" i="3"/>
  <c r="V925" i="3"/>
  <c r="AC925" i="3"/>
  <c r="X925" i="3"/>
  <c r="AQ925" i="3"/>
  <c r="W647" i="3"/>
  <c r="AC647" i="3"/>
  <c r="AQ647" i="3"/>
  <c r="X647" i="3"/>
  <c r="W955" i="3"/>
  <c r="AQ955" i="3"/>
  <c r="AC955" i="3"/>
  <c r="X955" i="3"/>
  <c r="V993" i="3"/>
  <c r="AQ993" i="3"/>
  <c r="AC993" i="3"/>
  <c r="X993" i="3"/>
  <c r="V1009" i="3"/>
  <c r="AC1009" i="3"/>
  <c r="X1009" i="3"/>
  <c r="AQ1009" i="3"/>
  <c r="V845" i="3"/>
  <c r="X845" i="3"/>
  <c r="AQ845" i="3"/>
  <c r="AC845" i="3"/>
  <c r="W1217" i="3"/>
  <c r="X1217" i="3"/>
  <c r="AC1217" i="3"/>
  <c r="AQ1217" i="3"/>
  <c r="W699" i="3"/>
  <c r="X699" i="3"/>
  <c r="AQ699" i="3"/>
  <c r="AC699" i="3"/>
  <c r="V1183" i="3"/>
  <c r="AC1183" i="3"/>
  <c r="AQ1183" i="3"/>
  <c r="X1183" i="3"/>
  <c r="W527" i="3"/>
  <c r="AQ527" i="3"/>
  <c r="AC527" i="3"/>
  <c r="X527" i="3"/>
  <c r="W715" i="3"/>
  <c r="X715" i="3"/>
  <c r="AQ715" i="3"/>
  <c r="AC715" i="3"/>
  <c r="V495" i="3"/>
  <c r="X495" i="3"/>
  <c r="AQ495" i="3"/>
  <c r="AC495" i="3"/>
  <c r="V573" i="3"/>
  <c r="X573" i="3"/>
  <c r="AQ573" i="3"/>
  <c r="AC573" i="3"/>
  <c r="W1205" i="3"/>
  <c r="AC1205" i="3"/>
  <c r="AQ1205" i="3"/>
  <c r="X1205" i="3"/>
  <c r="V743" i="3"/>
  <c r="AC743" i="3"/>
  <c r="X743" i="3"/>
  <c r="AQ743" i="3"/>
  <c r="W1225" i="3"/>
  <c r="X1225" i="3"/>
  <c r="AC1225" i="3"/>
  <c r="AQ1225" i="3"/>
  <c r="W961" i="3"/>
  <c r="AC961" i="3"/>
  <c r="X961" i="3"/>
  <c r="AQ961" i="3"/>
  <c r="W441" i="3"/>
  <c r="AQ441" i="3"/>
  <c r="AC441" i="3"/>
  <c r="X441" i="3"/>
  <c r="V1117" i="3"/>
  <c r="AC1117" i="3"/>
  <c r="AQ1117" i="3"/>
  <c r="X1117" i="3"/>
  <c r="V789" i="3"/>
  <c r="AC789" i="3"/>
  <c r="X789" i="3"/>
  <c r="AQ789" i="3"/>
  <c r="V1169" i="3"/>
  <c r="AC1169" i="3"/>
  <c r="AQ1169" i="3"/>
  <c r="X1169" i="3"/>
  <c r="W491" i="3"/>
  <c r="AC491" i="3"/>
  <c r="AQ491" i="3"/>
  <c r="X491" i="3"/>
  <c r="V1101" i="3"/>
  <c r="X1101" i="3"/>
  <c r="AQ1101" i="3"/>
  <c r="AC1101" i="3"/>
  <c r="V479" i="3"/>
  <c r="X479" i="3"/>
  <c r="AQ479" i="3"/>
  <c r="AC479" i="3"/>
  <c r="W809" i="3"/>
  <c r="AQ809" i="3"/>
  <c r="AC809" i="3"/>
  <c r="X809" i="3"/>
  <c r="V605" i="3"/>
  <c r="AC605" i="3"/>
  <c r="X605" i="3"/>
  <c r="AQ605" i="3"/>
  <c r="V523" i="3"/>
  <c r="X523" i="3"/>
  <c r="AQ523" i="3"/>
  <c r="AC523" i="3"/>
  <c r="V909" i="3"/>
  <c r="AQ909" i="3"/>
  <c r="AC909" i="3"/>
  <c r="X909" i="3"/>
  <c r="V589" i="3"/>
  <c r="X589" i="3"/>
  <c r="AQ589" i="3"/>
  <c r="AC589" i="3"/>
  <c r="V777" i="3"/>
  <c r="AQ777" i="3"/>
  <c r="AC777" i="3"/>
  <c r="X777" i="3"/>
  <c r="W1193" i="3"/>
  <c r="AC1193" i="3"/>
  <c r="X1193" i="3"/>
  <c r="AQ1193" i="3"/>
  <c r="V1209" i="3"/>
  <c r="X1209" i="3"/>
  <c r="AC1209" i="3"/>
  <c r="AQ1209" i="3"/>
  <c r="W739" i="3"/>
  <c r="AQ739" i="3"/>
  <c r="AC739" i="3"/>
  <c r="X739" i="3"/>
  <c r="V1079" i="3"/>
  <c r="AC1079" i="3"/>
  <c r="AQ1079" i="3"/>
  <c r="X1079" i="3"/>
  <c r="W849" i="3"/>
  <c r="AQ849" i="3"/>
  <c r="AC849" i="3"/>
  <c r="X849" i="3"/>
  <c r="V1033" i="3"/>
  <c r="AC1033" i="3"/>
  <c r="AQ1033" i="3"/>
  <c r="X1033" i="3"/>
  <c r="W427" i="3"/>
  <c r="AC427" i="3"/>
  <c r="AQ427" i="3"/>
  <c r="X427" i="3"/>
  <c r="V661" i="3"/>
  <c r="AQ661" i="3"/>
  <c r="AC661" i="3"/>
  <c r="X661" i="3"/>
  <c r="W731" i="3"/>
  <c r="AC731" i="3"/>
  <c r="AQ731" i="3"/>
  <c r="X731" i="3"/>
  <c r="W475" i="3"/>
  <c r="AC475" i="3"/>
  <c r="X475" i="3"/>
  <c r="AQ475" i="3"/>
  <c r="V451" i="3"/>
  <c r="AC451" i="3"/>
  <c r="X451" i="3"/>
  <c r="AQ451" i="3"/>
  <c r="V539" i="3"/>
  <c r="AC539" i="3"/>
  <c r="AQ539" i="3"/>
  <c r="X539" i="3"/>
  <c r="V727" i="3"/>
  <c r="AQ727" i="3"/>
  <c r="AC727" i="3"/>
  <c r="X727" i="3"/>
  <c r="V1271" i="3"/>
  <c r="AC1271" i="3"/>
  <c r="AQ1271" i="3"/>
  <c r="X1271" i="3"/>
  <c r="V1041" i="3"/>
  <c r="AQ1041" i="3"/>
  <c r="AC1041" i="3"/>
  <c r="X1041" i="3"/>
  <c r="W1253" i="3"/>
  <c r="X1253" i="3"/>
  <c r="AC1253" i="3"/>
  <c r="AQ1253" i="3"/>
  <c r="V781" i="3"/>
  <c r="AC781" i="3"/>
  <c r="X781" i="3"/>
  <c r="AQ781" i="3"/>
  <c r="V1355" i="3"/>
  <c r="AQ1355" i="3"/>
  <c r="AC1355" i="3"/>
  <c r="X1355" i="3"/>
  <c r="W691" i="3"/>
  <c r="AC691" i="3"/>
  <c r="X691" i="3"/>
  <c r="AQ691" i="3"/>
  <c r="V873" i="3"/>
  <c r="AC873" i="3"/>
  <c r="X873" i="3"/>
  <c r="AQ873" i="3"/>
  <c r="W507" i="3"/>
  <c r="X507" i="3"/>
  <c r="AC507" i="3"/>
  <c r="AQ507" i="3"/>
  <c r="V985" i="3"/>
  <c r="AC985" i="3"/>
  <c r="X985" i="3"/>
  <c r="AQ985" i="3"/>
  <c r="W467" i="3"/>
  <c r="AC467" i="3"/>
  <c r="X467" i="3"/>
  <c r="AQ467" i="3"/>
  <c r="V1005" i="3"/>
  <c r="AC1005" i="3"/>
  <c r="X1005" i="3"/>
  <c r="AQ1005" i="3"/>
  <c r="V829" i="3"/>
  <c r="AC829" i="3"/>
  <c r="X829" i="3"/>
  <c r="AQ829" i="3"/>
  <c r="W421" i="3"/>
  <c r="X421" i="3"/>
  <c r="AQ421" i="3"/>
  <c r="AC421" i="3"/>
  <c r="V751" i="3"/>
  <c r="X751" i="3"/>
  <c r="AQ751" i="3"/>
  <c r="AC751" i="3"/>
  <c r="W565" i="3"/>
  <c r="AQ565" i="3"/>
  <c r="AC565" i="3"/>
  <c r="X565" i="3"/>
  <c r="V679" i="3"/>
  <c r="AC679" i="3"/>
  <c r="X679" i="3"/>
  <c r="AQ679" i="3"/>
  <c r="W1075" i="3"/>
  <c r="AC1075" i="3"/>
  <c r="AQ1075" i="3"/>
  <c r="X1075" i="3"/>
  <c r="V945" i="3"/>
  <c r="AC945" i="3"/>
  <c r="AQ945" i="3"/>
  <c r="X945" i="3"/>
  <c r="V643" i="3"/>
  <c r="AQ643" i="3"/>
  <c r="AC643" i="3"/>
  <c r="X643" i="3"/>
  <c r="V1326" i="3"/>
  <c r="AQ1326" i="3"/>
  <c r="AC1326" i="3"/>
  <c r="X1326" i="3"/>
  <c r="W639" i="3"/>
  <c r="AQ639" i="3"/>
  <c r="X639" i="3"/>
  <c r="AC639" i="3"/>
  <c r="V619" i="3"/>
  <c r="AQ619" i="3"/>
  <c r="AC619" i="3"/>
  <c r="X619" i="3"/>
  <c r="W759" i="3"/>
  <c r="X759" i="3"/>
  <c r="AQ759" i="3"/>
  <c r="AC759" i="3"/>
  <c r="V937" i="3"/>
  <c r="AQ937" i="3"/>
  <c r="AC937" i="3"/>
  <c r="X937" i="3"/>
  <c r="V973" i="3"/>
  <c r="AC973" i="3"/>
  <c r="X973" i="3"/>
  <c r="AQ973" i="3"/>
  <c r="V549" i="3"/>
  <c r="AC549" i="3"/>
  <c r="X549" i="3"/>
  <c r="AQ549" i="3"/>
  <c r="V1213" i="3"/>
  <c r="X1213" i="3"/>
  <c r="AC1213" i="3"/>
  <c r="AQ1213" i="3"/>
  <c r="W853" i="3"/>
  <c r="AQ853" i="3"/>
  <c r="AC853" i="3"/>
  <c r="X853" i="3"/>
  <c r="W705" i="3"/>
  <c r="AQ705" i="3"/>
  <c r="AC705" i="3"/>
  <c r="X705" i="3"/>
  <c r="V471" i="3"/>
  <c r="X471" i="3"/>
  <c r="AQ471" i="3"/>
  <c r="AC471" i="3"/>
  <c r="V763" i="3"/>
  <c r="AQ763" i="3"/>
  <c r="AC763" i="3"/>
  <c r="X763" i="3"/>
  <c r="V793" i="3"/>
  <c r="AQ793" i="3"/>
  <c r="AC793" i="3"/>
  <c r="X793" i="3"/>
  <c r="V941" i="3"/>
  <c r="AQ941" i="3"/>
  <c r="AC941" i="3"/>
  <c r="X941" i="3"/>
  <c r="V921" i="3"/>
  <c r="AQ921" i="3"/>
  <c r="AC921" i="3"/>
  <c r="X921" i="3"/>
  <c r="W1221" i="3"/>
  <c r="AC1221" i="3"/>
  <c r="AQ1221" i="3"/>
  <c r="X1221" i="3"/>
  <c r="V1237" i="3"/>
  <c r="AQ1237" i="3"/>
  <c r="X1237" i="3"/>
  <c r="AC1237" i="3"/>
  <c r="V583" i="3"/>
  <c r="AC583" i="3"/>
  <c r="X583" i="3"/>
  <c r="AQ583" i="3"/>
  <c r="V561" i="3"/>
  <c r="AQ561" i="3"/>
  <c r="X561" i="3"/>
  <c r="AC561" i="3"/>
  <c r="V773" i="3"/>
  <c r="AC773" i="3"/>
  <c r="X773" i="3"/>
  <c r="AQ773" i="3"/>
  <c r="W889" i="3"/>
  <c r="AC889" i="3"/>
  <c r="X889" i="3"/>
  <c r="AQ889" i="3"/>
  <c r="W675" i="3"/>
  <c r="X675" i="3"/>
  <c r="AC675" i="3"/>
  <c r="AQ675" i="3"/>
  <c r="V545" i="3"/>
  <c r="X545" i="3"/>
  <c r="AQ545" i="3"/>
  <c r="AC545" i="3"/>
  <c r="W1179" i="3"/>
  <c r="AQ1179" i="3"/>
  <c r="AC1179" i="3"/>
  <c r="X1179" i="3"/>
  <c r="W1021" i="3"/>
  <c r="AC1021" i="3"/>
  <c r="X1021" i="3"/>
  <c r="AQ1021" i="3"/>
  <c r="V1201" i="3"/>
  <c r="X1201" i="3"/>
  <c r="AQ1201" i="3"/>
  <c r="AC1201" i="3"/>
  <c r="V719" i="3"/>
  <c r="AC719" i="3"/>
  <c r="X719" i="3"/>
  <c r="AQ719" i="3"/>
  <c r="W419" i="3"/>
  <c r="AC419" i="3"/>
  <c r="X419" i="3"/>
  <c r="AQ419" i="3"/>
  <c r="V667" i="3"/>
  <c r="AQ667" i="3"/>
  <c r="AC667" i="3"/>
  <c r="X667" i="3"/>
  <c r="W695" i="3"/>
  <c r="AC695" i="3"/>
  <c r="X695" i="3"/>
  <c r="AQ695" i="3"/>
  <c r="V1189" i="3"/>
  <c r="AQ1189" i="3"/>
  <c r="AC1189" i="3"/>
  <c r="X1189" i="3"/>
  <c r="V531" i="3"/>
  <c r="AC531" i="3"/>
  <c r="AQ531" i="3"/>
  <c r="X531" i="3"/>
  <c r="W415" i="3"/>
  <c r="AQ415" i="3"/>
  <c r="AC415" i="3"/>
  <c r="X415" i="3"/>
  <c r="V913" i="3"/>
  <c r="X913" i="3"/>
  <c r="AQ913" i="3"/>
  <c r="AC913" i="3"/>
  <c r="V841" i="3"/>
  <c r="AQ841" i="3"/>
  <c r="AC841" i="3"/>
  <c r="X841" i="3"/>
  <c r="V623" i="3"/>
  <c r="AC623" i="3"/>
  <c r="X623" i="3"/>
  <c r="AQ623" i="3"/>
  <c r="V1251" i="3"/>
  <c r="X1251" i="3"/>
  <c r="AC1251" i="3"/>
  <c r="AQ1251" i="3"/>
  <c r="W1091" i="3"/>
  <c r="AC1091" i="3"/>
  <c r="AQ1091" i="3"/>
  <c r="X1091" i="3"/>
  <c r="V707" i="3"/>
  <c r="AQ707" i="3"/>
  <c r="AC707" i="3"/>
  <c r="X707" i="3"/>
  <c r="V901" i="3"/>
  <c r="AQ901" i="3"/>
  <c r="AC901" i="3"/>
  <c r="X901" i="3"/>
  <c r="W817" i="3"/>
  <c r="AC817" i="3"/>
  <c r="X817" i="3"/>
  <c r="AQ817" i="3"/>
  <c r="V553" i="3"/>
  <c r="AC553" i="3"/>
  <c r="X553" i="3"/>
  <c r="AQ553" i="3"/>
  <c r="V1267" i="3"/>
  <c r="X1267" i="3"/>
  <c r="AC1267" i="3"/>
  <c r="AQ1267" i="3"/>
  <c r="W535" i="3"/>
  <c r="AQ535" i="3"/>
  <c r="AC535" i="3"/>
  <c r="X535" i="3"/>
  <c r="W1103" i="3"/>
  <c r="AC1103" i="3"/>
  <c r="AQ1103" i="3"/>
  <c r="X1103" i="3"/>
  <c r="V483" i="3"/>
  <c r="AC483" i="3"/>
  <c r="AQ483" i="3"/>
  <c r="X483" i="3"/>
  <c r="V711" i="3"/>
  <c r="X711" i="3"/>
  <c r="AQ711" i="3"/>
  <c r="AC711" i="3"/>
  <c r="V957" i="3"/>
  <c r="AQ957" i="3"/>
  <c r="AC957" i="3"/>
  <c r="X957" i="3"/>
  <c r="V785" i="3"/>
  <c r="X785" i="3"/>
  <c r="AQ785" i="3"/>
  <c r="AC785" i="3"/>
  <c r="W515" i="3"/>
  <c r="AC515" i="3"/>
  <c r="X515" i="3"/>
  <c r="AQ515" i="3"/>
  <c r="V859" i="3"/>
  <c r="AQ859" i="3"/>
  <c r="AC859" i="3"/>
  <c r="X859" i="3"/>
  <c r="V933" i="3"/>
  <c r="AC933" i="3"/>
  <c r="X933" i="3"/>
  <c r="AQ933" i="3"/>
  <c r="W917" i="3"/>
  <c r="AC917" i="3"/>
  <c r="X917" i="3"/>
  <c r="AQ917" i="3"/>
  <c r="W747" i="3"/>
  <c r="AQ747" i="3"/>
  <c r="X747" i="3"/>
  <c r="AC747" i="3"/>
  <c r="W929" i="3"/>
  <c r="X929" i="3"/>
  <c r="AC929" i="3"/>
  <c r="AQ929" i="3"/>
  <c r="V1013" i="3"/>
  <c r="AC1013" i="3"/>
  <c r="X1013" i="3"/>
  <c r="AQ1013" i="3"/>
  <c r="W1245" i="3"/>
  <c r="X1245" i="3"/>
  <c r="AC1245" i="3"/>
  <c r="AQ1245" i="3"/>
  <c r="V437" i="3"/>
  <c r="AC437" i="3"/>
  <c r="X437" i="3"/>
  <c r="AQ437" i="3"/>
  <c r="V1322" i="3"/>
  <c r="AQ1322" i="3"/>
  <c r="AC1322" i="3"/>
  <c r="X1322" i="3"/>
  <c r="W1171" i="3"/>
  <c r="X1171" i="3"/>
  <c r="AC1171" i="3"/>
  <c r="AQ1171" i="3"/>
  <c r="V1037" i="3"/>
  <c r="AC1037" i="3"/>
  <c r="AQ1037" i="3"/>
  <c r="X1037" i="3"/>
  <c r="V431" i="3"/>
  <c r="AC431" i="3"/>
  <c r="X431" i="3"/>
  <c r="AQ431" i="3"/>
  <c r="W861" i="3"/>
  <c r="AC861" i="3"/>
  <c r="X861" i="3"/>
  <c r="AQ861" i="3"/>
  <c r="V969" i="3"/>
  <c r="AQ969" i="3"/>
  <c r="AC969" i="3"/>
  <c r="X969" i="3"/>
  <c r="W735" i="3"/>
  <c r="X735" i="3"/>
  <c r="AC735" i="3"/>
  <c r="AQ735" i="3"/>
  <c r="W455" i="3"/>
  <c r="AQ455" i="3"/>
  <c r="X455" i="3"/>
  <c r="AC455" i="3"/>
  <c r="V949" i="3"/>
  <c r="AC949" i="3"/>
  <c r="X949" i="3"/>
  <c r="AQ949" i="3"/>
  <c r="W885" i="3"/>
  <c r="AQ885" i="3"/>
  <c r="AC885" i="3"/>
  <c r="X885" i="3"/>
  <c r="W1374" i="3"/>
  <c r="X1374" i="3"/>
  <c r="AQ1374" i="3"/>
  <c r="AC1374" i="3"/>
  <c r="V595" i="3"/>
  <c r="X595" i="3"/>
  <c r="AC595" i="3"/>
  <c r="AQ595" i="3"/>
  <c r="W1025" i="3"/>
  <c r="X1025" i="3"/>
  <c r="AQ1025" i="3"/>
  <c r="AC1025" i="3"/>
  <c r="W1158" i="3"/>
  <c r="AC1158" i="3"/>
  <c r="AQ1158" i="3"/>
  <c r="X1158" i="3"/>
  <c r="W1109" i="3"/>
  <c r="X1109" i="3"/>
  <c r="AC1109" i="3"/>
  <c r="AQ1109" i="3"/>
  <c r="V635" i="3"/>
  <c r="AC635" i="3"/>
  <c r="AQ635" i="3"/>
  <c r="X635" i="3"/>
  <c r="W511" i="3"/>
  <c r="AC511" i="3"/>
  <c r="X511" i="3"/>
  <c r="AQ511" i="3"/>
  <c r="W615" i="3"/>
  <c r="X615" i="3"/>
  <c r="AQ615" i="3"/>
  <c r="AC615" i="3"/>
  <c r="V989" i="3"/>
  <c r="X989" i="3"/>
  <c r="AQ989" i="3"/>
  <c r="AC989" i="3"/>
  <c r="V1001" i="3"/>
  <c r="AQ1001" i="3"/>
  <c r="X1001" i="3"/>
  <c r="AC1001" i="3"/>
  <c r="V499" i="3"/>
  <c r="X499" i="3"/>
  <c r="AC499" i="3"/>
  <c r="AQ499" i="3"/>
  <c r="W1089" i="3"/>
  <c r="AQ1089" i="3"/>
  <c r="AC1089" i="3"/>
  <c r="X1089" i="3"/>
  <c r="W687" i="3"/>
  <c r="X687" i="3"/>
  <c r="AC687" i="3"/>
  <c r="AQ687" i="3"/>
  <c r="V651" i="3"/>
  <c r="X651" i="3"/>
  <c r="AC651" i="3"/>
  <c r="AQ651" i="3"/>
  <c r="W1105" i="3"/>
  <c r="AQ1105" i="3"/>
  <c r="X1105" i="3"/>
  <c r="AC1105" i="3"/>
  <c r="V837" i="3"/>
  <c r="AQ837" i="3"/>
  <c r="AC837" i="3"/>
  <c r="X837" i="3"/>
  <c r="V769" i="3"/>
  <c r="AC769" i="3"/>
  <c r="X769" i="3"/>
  <c r="AQ769" i="3"/>
  <c r="W1241" i="3"/>
  <c r="X1241" i="3"/>
  <c r="AC1241" i="3"/>
  <c r="AQ1241" i="3"/>
  <c r="V1053" i="3"/>
  <c r="AQ1053" i="3"/>
  <c r="AC1053" i="3"/>
  <c r="X1053" i="3"/>
  <c r="V1279" i="3"/>
  <c r="X1279" i="3"/>
  <c r="AQ1279" i="3"/>
  <c r="AC1279" i="3"/>
  <c r="W997" i="3"/>
  <c r="X997" i="3"/>
  <c r="AQ997" i="3"/>
  <c r="AC997" i="3"/>
  <c r="Y567" i="4"/>
  <c r="Y568" i="4"/>
  <c r="Y565" i="4"/>
  <c r="Y569" i="4"/>
  <c r="Y566" i="4"/>
  <c r="Y563" i="4"/>
  <c r="Y562" i="4"/>
  <c r="Y559" i="4"/>
  <c r="V535" i="3"/>
  <c r="V885" i="3"/>
  <c r="V511" i="3"/>
  <c r="V441" i="3"/>
  <c r="V1245" i="3"/>
  <c r="V687" i="3"/>
  <c r="V1089" i="3"/>
  <c r="V731" i="3"/>
  <c r="V421" i="3"/>
  <c r="V905" i="3"/>
  <c r="V1193" i="3"/>
  <c r="V961" i="3"/>
  <c r="V1275" i="3"/>
  <c r="V427" i="3"/>
  <c r="M317" i="4"/>
  <c r="V1221" i="3"/>
  <c r="V475" i="3"/>
  <c r="V735" i="3"/>
  <c r="V467" i="3"/>
  <c r="V955" i="3"/>
  <c r="V647" i="3"/>
  <c r="V1025" i="3"/>
  <c r="V487" i="3"/>
  <c r="V691" i="3"/>
  <c r="V639" i="3"/>
  <c r="V1171" i="3"/>
  <c r="V1253" i="3"/>
  <c r="V527" i="3"/>
  <c r="V515" i="3"/>
  <c r="M118" i="4"/>
  <c r="V1233" i="3"/>
  <c r="V1091" i="3"/>
  <c r="V817" i="3"/>
  <c r="V889" i="3"/>
  <c r="M363" i="4"/>
  <c r="V809" i="3"/>
  <c r="V631" i="3"/>
  <c r="V929" i="3"/>
  <c r="V1179" i="3"/>
  <c r="V759" i="3"/>
  <c r="V1105" i="3"/>
  <c r="V455" i="3"/>
  <c r="V695" i="3"/>
  <c r="M138" i="4"/>
  <c r="M190" i="4"/>
  <c r="M391" i="4"/>
  <c r="V849" i="3"/>
  <c r="V869" i="3"/>
  <c r="V1291" i="3"/>
  <c r="V1158" i="3"/>
  <c r="V1374" i="3"/>
  <c r="M253" i="4"/>
  <c r="M125" i="4"/>
  <c r="V1225" i="3"/>
  <c r="M260" i="4"/>
  <c r="V419" i="3"/>
  <c r="V565" i="3"/>
  <c r="V747" i="3"/>
  <c r="V699" i="3"/>
  <c r="V415" i="3"/>
  <c r="V1205" i="3"/>
  <c r="V491" i="3"/>
  <c r="V739" i="3"/>
  <c r="V579" i="3"/>
  <c r="V675" i="3"/>
  <c r="V1021" i="3"/>
  <c r="V1109" i="3"/>
  <c r="V861" i="3"/>
  <c r="V1217" i="3"/>
  <c r="V615" i="3"/>
  <c r="V853" i="3"/>
  <c r="V997" i="3"/>
  <c r="V1075" i="3"/>
  <c r="V715" i="3"/>
  <c r="V1103" i="3"/>
  <c r="V507" i="3"/>
  <c r="V705" i="3"/>
  <c r="V917" i="3"/>
  <c r="V1241" i="3"/>
  <c r="T564" i="4"/>
  <c r="V565" i="4"/>
  <c r="T565" i="4"/>
  <c r="V568" i="4"/>
  <c r="T568" i="4"/>
  <c r="T554" i="4"/>
  <c r="V567" i="4"/>
  <c r="T567" i="4"/>
  <c r="V569" i="4"/>
  <c r="T569" i="4"/>
  <c r="V566" i="4"/>
  <c r="T566" i="4"/>
  <c r="V563" i="4"/>
  <c r="T563" i="4"/>
  <c r="V562" i="4"/>
  <c r="T562" i="4"/>
  <c r="V559" i="4"/>
  <c r="W559" i="4" s="1"/>
  <c r="T559" i="4"/>
  <c r="G2" i="3"/>
  <c r="K99" i="3"/>
  <c r="K539" i="3"/>
  <c r="K455" i="3"/>
  <c r="K191" i="3"/>
  <c r="K443" i="3"/>
  <c r="K695" i="3"/>
  <c r="K863" i="3"/>
  <c r="K731" i="3"/>
  <c r="K1019" i="3"/>
  <c r="K983" i="3"/>
  <c r="K659" i="3"/>
  <c r="K587" i="3"/>
  <c r="K1067" i="3"/>
  <c r="K647" i="3"/>
  <c r="K815" i="3"/>
  <c r="K599" i="3"/>
  <c r="K515" i="3"/>
  <c r="K431" i="3"/>
  <c r="K551" i="3"/>
  <c r="K479" i="3"/>
  <c r="K947" i="3"/>
  <c r="K791" i="3"/>
  <c r="K623" i="3"/>
  <c r="K923" i="3"/>
  <c r="K887" i="3"/>
  <c r="K995" i="3"/>
  <c r="K392" i="3"/>
  <c r="K1103" i="3"/>
  <c r="K1031" i="3"/>
  <c r="K959" i="3"/>
  <c r="K899" i="3"/>
  <c r="K839" i="3"/>
  <c r="K803" i="3"/>
  <c r="K767" i="3"/>
  <c r="K405" i="3"/>
  <c r="K1091" i="3"/>
  <c r="K1055" i="3"/>
  <c r="K755" i="3"/>
  <c r="K719" i="3"/>
  <c r="K683" i="3"/>
  <c r="K611" i="3"/>
  <c r="K503" i="3"/>
  <c r="K467" i="3"/>
  <c r="K827" i="3"/>
  <c r="K971" i="3"/>
  <c r="K911" i="3"/>
  <c r="K671" i="3"/>
  <c r="K258" i="3"/>
  <c r="K1115" i="3"/>
  <c r="K1043" i="3"/>
  <c r="K851" i="3"/>
  <c r="K779" i="3"/>
  <c r="K575" i="3"/>
  <c r="K419" i="3"/>
  <c r="K1079" i="3"/>
  <c r="K1007" i="3"/>
  <c r="K743" i="3"/>
  <c r="K707" i="3"/>
  <c r="K563" i="3"/>
  <c r="K527" i="3"/>
  <c r="K935" i="3"/>
  <c r="K875" i="3"/>
  <c r="K635" i="3"/>
  <c r="K491" i="3"/>
  <c r="K222" i="3"/>
  <c r="K15" i="3"/>
  <c r="K246" i="3"/>
  <c r="K39" i="3"/>
  <c r="K1002" i="3"/>
  <c r="N1002" i="3"/>
  <c r="K870" i="3"/>
  <c r="N870" i="3"/>
  <c r="K750" i="3"/>
  <c r="N750" i="3"/>
  <c r="K630" i="3"/>
  <c r="K618" i="3"/>
  <c r="K498" i="3"/>
  <c r="K486" i="3"/>
  <c r="N486" i="3"/>
  <c r="K474" i="3"/>
  <c r="K462" i="3"/>
  <c r="N462" i="3"/>
  <c r="K450" i="3"/>
  <c r="K438" i="3"/>
  <c r="K426" i="3"/>
  <c r="K413" i="3"/>
  <c r="K400" i="3"/>
  <c r="N400" i="3"/>
  <c r="K383" i="3"/>
  <c r="N383" i="3"/>
  <c r="K370" i="3"/>
  <c r="K328" i="3"/>
  <c r="K316" i="3"/>
  <c r="K278" i="3"/>
  <c r="N278" i="3"/>
  <c r="K266" i="3"/>
  <c r="N266" i="3"/>
  <c r="K254" i="3"/>
  <c r="N254" i="3"/>
  <c r="K230" i="3"/>
  <c r="K217" i="3"/>
  <c r="K185" i="3"/>
  <c r="K95" i="3"/>
  <c r="N95" i="3"/>
  <c r="K83" i="3"/>
  <c r="N83" i="3"/>
  <c r="K71" i="3"/>
  <c r="N71" i="3"/>
  <c r="K399" i="3"/>
  <c r="K355" i="3"/>
  <c r="K327" i="3"/>
  <c r="K315" i="3"/>
  <c r="N315" i="3"/>
  <c r="K277" i="3"/>
  <c r="K265" i="3"/>
  <c r="N265" i="3"/>
  <c r="K253" i="3"/>
  <c r="K170" i="3"/>
  <c r="K156" i="3"/>
  <c r="K130" i="3"/>
  <c r="N130" i="3"/>
  <c r="K94" i="3"/>
  <c r="K58" i="3"/>
  <c r="N58" i="3"/>
  <c r="K22" i="3"/>
  <c r="K10" i="3"/>
  <c r="K1228" i="3"/>
  <c r="N1228" i="3"/>
  <c r="K358" i="3"/>
  <c r="N358" i="3"/>
  <c r="K231" i="3"/>
  <c r="N231" i="3"/>
  <c r="K132" i="3"/>
  <c r="N132" i="3"/>
  <c r="K84" i="3"/>
  <c r="K1323" i="3"/>
  <c r="K1122" i="3"/>
  <c r="N1122" i="3"/>
  <c r="K1026" i="3"/>
  <c r="K966" i="3"/>
  <c r="N966" i="3"/>
  <c r="K894" i="3"/>
  <c r="N894" i="3"/>
  <c r="K822" i="3"/>
  <c r="K762" i="3"/>
  <c r="K642" i="3"/>
  <c r="N642" i="3"/>
  <c r="K606" i="3"/>
  <c r="N606" i="3"/>
  <c r="K1226" i="3"/>
  <c r="N1226" i="3"/>
  <c r="K1170" i="3"/>
  <c r="N1170" i="3"/>
  <c r="K1108" i="3"/>
  <c r="K1048" i="3"/>
  <c r="K1000" i="3"/>
  <c r="K928" i="3"/>
  <c r="N928" i="3"/>
  <c r="K856" i="3"/>
  <c r="N856" i="3"/>
  <c r="K796" i="3"/>
  <c r="N796" i="3"/>
  <c r="K748" i="3"/>
  <c r="K652" i="3"/>
  <c r="K604" i="3"/>
  <c r="N604" i="3"/>
  <c r="K544" i="3"/>
  <c r="K460" i="3"/>
  <c r="N460" i="3"/>
  <c r="K424" i="3"/>
  <c r="N424" i="3"/>
  <c r="K276" i="3"/>
  <c r="K169" i="3"/>
  <c r="N169" i="3"/>
  <c r="K129" i="3"/>
  <c r="N129" i="3"/>
  <c r="K105" i="3"/>
  <c r="K69" i="3"/>
  <c r="N69" i="3"/>
  <c r="K57" i="3"/>
  <c r="N57" i="3"/>
  <c r="K21" i="3"/>
  <c r="N21" i="3"/>
  <c r="K9" i="3"/>
  <c r="N9" i="3"/>
  <c r="K1337" i="3"/>
  <c r="N1337" i="3"/>
  <c r="K1172" i="3"/>
  <c r="N1172" i="3"/>
  <c r="K279" i="3"/>
  <c r="K1098" i="3"/>
  <c r="N1098" i="3"/>
  <c r="K990" i="3"/>
  <c r="K858" i="3"/>
  <c r="N858" i="3"/>
  <c r="K726" i="3"/>
  <c r="K594" i="3"/>
  <c r="N594" i="3"/>
  <c r="K1375" i="3"/>
  <c r="N1375" i="3"/>
  <c r="K1332" i="3"/>
  <c r="K1308" i="3"/>
  <c r="K1284" i="3"/>
  <c r="K1272" i="3"/>
  <c r="N1272" i="3"/>
  <c r="K1248" i="3"/>
  <c r="N1248" i="3"/>
  <c r="K1236" i="3"/>
  <c r="N1236" i="3"/>
  <c r="K1224" i="3"/>
  <c r="N1224" i="3"/>
  <c r="K1216" i="3"/>
  <c r="K1204" i="3"/>
  <c r="N1204" i="3"/>
  <c r="K1192" i="3"/>
  <c r="N1192" i="3"/>
  <c r="K1180" i="3"/>
  <c r="N1180" i="3"/>
  <c r="K1168" i="3"/>
  <c r="K1143" i="3"/>
  <c r="K1131" i="3"/>
  <c r="N1131" i="3"/>
  <c r="K409" i="3"/>
  <c r="K397" i="3"/>
  <c r="K379" i="3"/>
  <c r="K367" i="3"/>
  <c r="K339" i="3"/>
  <c r="N339" i="3"/>
  <c r="K325" i="3"/>
  <c r="N325" i="3"/>
  <c r="K313" i="3"/>
  <c r="K301" i="3"/>
  <c r="N301" i="3"/>
  <c r="K288" i="3"/>
  <c r="N288" i="3"/>
  <c r="K275" i="3"/>
  <c r="N275" i="3"/>
  <c r="K263" i="3"/>
  <c r="N263" i="3"/>
  <c r="K251" i="3"/>
  <c r="N251" i="3"/>
  <c r="K239" i="3"/>
  <c r="N239" i="3"/>
  <c r="K213" i="3"/>
  <c r="K182" i="3"/>
  <c r="K104" i="3"/>
  <c r="N104" i="3"/>
  <c r="K68" i="3"/>
  <c r="K44" i="3"/>
  <c r="K1353" i="3"/>
  <c r="K1208" i="3"/>
  <c r="K60" i="3"/>
  <c r="N60" i="3"/>
  <c r="K1038" i="3"/>
  <c r="N1038" i="3"/>
  <c r="K882" i="3"/>
  <c r="N882" i="3"/>
  <c r="K738" i="3"/>
  <c r="N738" i="3"/>
  <c r="K510" i="3"/>
  <c r="N510" i="3"/>
  <c r="K1310" i="3"/>
  <c r="K1096" i="3"/>
  <c r="N1096" i="3"/>
  <c r="K952" i="3"/>
  <c r="N952" i="3"/>
  <c r="K844" i="3"/>
  <c r="N844" i="3"/>
  <c r="K700" i="3"/>
  <c r="N700" i="3"/>
  <c r="K556" i="3"/>
  <c r="N556" i="3"/>
  <c r="K436" i="3"/>
  <c r="N436" i="3"/>
  <c r="K1346" i="3"/>
  <c r="N1346" i="3"/>
  <c r="K1319" i="3"/>
  <c r="N1319" i="3"/>
  <c r="K1295" i="3"/>
  <c r="N1295" i="3"/>
  <c r="K1259" i="3"/>
  <c r="K1167" i="3"/>
  <c r="N1167" i="3"/>
  <c r="K1154" i="3"/>
  <c r="K1130" i="3"/>
  <c r="N1130" i="3"/>
  <c r="K1118" i="3"/>
  <c r="N1118" i="3"/>
  <c r="K1106" i="3"/>
  <c r="N1106" i="3"/>
  <c r="K1094" i="3"/>
  <c r="K1082" i="3"/>
  <c r="N1082" i="3"/>
  <c r="K1070" i="3"/>
  <c r="N1070" i="3"/>
  <c r="K1058" i="3"/>
  <c r="N1058" i="3"/>
  <c r="K1046" i="3"/>
  <c r="N1046" i="3"/>
  <c r="K1034" i="3"/>
  <c r="N1034" i="3"/>
  <c r="K1022" i="3"/>
  <c r="K1010" i="3"/>
  <c r="N1010" i="3"/>
  <c r="K998" i="3"/>
  <c r="N998" i="3"/>
  <c r="K986" i="3"/>
  <c r="K974" i="3"/>
  <c r="N974" i="3"/>
  <c r="K962" i="3"/>
  <c r="K950" i="3"/>
  <c r="K938" i="3"/>
  <c r="K926" i="3"/>
  <c r="N926" i="3"/>
  <c r="K914" i="3"/>
  <c r="N914" i="3"/>
  <c r="K902" i="3"/>
  <c r="N902" i="3"/>
  <c r="K890" i="3"/>
  <c r="N890" i="3"/>
  <c r="K878" i="3"/>
  <c r="K866" i="3"/>
  <c r="N866" i="3"/>
  <c r="K854" i="3"/>
  <c r="K842" i="3"/>
  <c r="N842" i="3"/>
  <c r="K830" i="3"/>
  <c r="K818" i="3"/>
  <c r="N818" i="3"/>
  <c r="K794" i="3"/>
  <c r="N794" i="3"/>
  <c r="K782" i="3"/>
  <c r="N782" i="3"/>
  <c r="K770" i="3"/>
  <c r="K758" i="3"/>
  <c r="N758" i="3"/>
  <c r="K746" i="3"/>
  <c r="N746" i="3"/>
  <c r="K734" i="3"/>
  <c r="N734" i="3"/>
  <c r="K722" i="3"/>
  <c r="N722" i="3"/>
  <c r="K710" i="3"/>
  <c r="K698" i="3"/>
  <c r="N698" i="3"/>
  <c r="K686" i="3"/>
  <c r="K674" i="3"/>
  <c r="N674" i="3"/>
  <c r="K662" i="3"/>
  <c r="N662" i="3"/>
  <c r="K650" i="3"/>
  <c r="K638" i="3"/>
  <c r="N638" i="3"/>
  <c r="K626" i="3"/>
  <c r="K614" i="3"/>
  <c r="N614" i="3"/>
  <c r="K602" i="3"/>
  <c r="N602" i="3"/>
  <c r="K590" i="3"/>
  <c r="N590" i="3"/>
  <c r="K578" i="3"/>
  <c r="K566" i="3"/>
  <c r="N566" i="3"/>
  <c r="K554" i="3"/>
  <c r="K542" i="3"/>
  <c r="N542" i="3"/>
  <c r="K530" i="3"/>
  <c r="N530" i="3"/>
  <c r="K518" i="3"/>
  <c r="N518" i="3"/>
  <c r="K506" i="3"/>
  <c r="K494" i="3"/>
  <c r="K482" i="3"/>
  <c r="N482" i="3"/>
  <c r="K470" i="3"/>
  <c r="N470" i="3"/>
  <c r="K458" i="3"/>
  <c r="N458" i="3"/>
  <c r="K446" i="3"/>
  <c r="N446" i="3"/>
  <c r="K434" i="3"/>
  <c r="K422" i="3"/>
  <c r="N422" i="3"/>
  <c r="K351" i="3"/>
  <c r="N351" i="3"/>
  <c r="K338" i="3"/>
  <c r="N338" i="3"/>
  <c r="K324" i="3"/>
  <c r="N324" i="3"/>
  <c r="K312" i="3"/>
  <c r="N312" i="3"/>
  <c r="K300" i="3"/>
  <c r="K262" i="3"/>
  <c r="N262" i="3"/>
  <c r="K250" i="3"/>
  <c r="K167" i="3"/>
  <c r="N167" i="3"/>
  <c r="K127" i="3"/>
  <c r="N127" i="3"/>
  <c r="K115" i="3"/>
  <c r="N115" i="3"/>
  <c r="K55" i="3"/>
  <c r="K43" i="3"/>
  <c r="N43" i="3"/>
  <c r="K1252" i="3"/>
  <c r="K1146" i="3"/>
  <c r="N1146" i="3"/>
  <c r="K930" i="3"/>
  <c r="N930" i="3"/>
  <c r="K786" i="3"/>
  <c r="N786" i="3"/>
  <c r="K678" i="3"/>
  <c r="K546" i="3"/>
  <c r="N546" i="3"/>
  <c r="K1377" i="3"/>
  <c r="N1377" i="3"/>
  <c r="K1194" i="3"/>
  <c r="N1194" i="3"/>
  <c r="K1349" i="3"/>
  <c r="N1349" i="3"/>
  <c r="K1084" i="3"/>
  <c r="N1084" i="3"/>
  <c r="K988" i="3"/>
  <c r="N988" i="3"/>
  <c r="K892" i="3"/>
  <c r="N892" i="3"/>
  <c r="K772" i="3"/>
  <c r="N772" i="3"/>
  <c r="K676" i="3"/>
  <c r="N676" i="3"/>
  <c r="K592" i="3"/>
  <c r="N592" i="3"/>
  <c r="K496" i="3"/>
  <c r="K380" i="3"/>
  <c r="K155" i="3"/>
  <c r="K1373" i="3"/>
  <c r="N1373" i="3"/>
  <c r="K1360" i="3"/>
  <c r="N1360" i="3"/>
  <c r="K1330" i="3"/>
  <c r="N1330" i="3"/>
  <c r="K1306" i="3"/>
  <c r="N1306" i="3"/>
  <c r="K1270" i="3"/>
  <c r="K1246" i="3"/>
  <c r="N1246" i="3"/>
  <c r="K1234" i="3"/>
  <c r="N1234" i="3"/>
  <c r="K1222" i="3"/>
  <c r="N1222" i="3"/>
  <c r="K1214" i="3"/>
  <c r="K1202" i="3"/>
  <c r="N1202" i="3"/>
  <c r="K1190" i="3"/>
  <c r="N1190" i="3"/>
  <c r="K1178" i="3"/>
  <c r="K1153" i="3"/>
  <c r="N1153" i="3"/>
  <c r="K1141" i="3"/>
  <c r="N1141" i="3"/>
  <c r="K407" i="3"/>
  <c r="N407" i="3"/>
  <c r="K394" i="3"/>
  <c r="N394" i="3"/>
  <c r="K377" i="3"/>
  <c r="N377" i="3"/>
  <c r="K365" i="3"/>
  <c r="N365" i="3"/>
  <c r="K285" i="3"/>
  <c r="N285" i="3"/>
  <c r="K273" i="3"/>
  <c r="N273" i="3"/>
  <c r="K237" i="3"/>
  <c r="N237" i="3"/>
  <c r="K211" i="3"/>
  <c r="N211" i="3"/>
  <c r="K196" i="3"/>
  <c r="N196" i="3"/>
  <c r="K180" i="3"/>
  <c r="N180" i="3"/>
  <c r="K166" i="3"/>
  <c r="K152" i="3"/>
  <c r="N152" i="3"/>
  <c r="K126" i="3"/>
  <c r="K114" i="3"/>
  <c r="N114" i="3"/>
  <c r="K90" i="3"/>
  <c r="N90" i="3"/>
  <c r="K54" i="3"/>
  <c r="K18" i="3"/>
  <c r="K401" i="3"/>
  <c r="N401" i="3"/>
  <c r="K186" i="3"/>
  <c r="N186" i="3"/>
  <c r="K36" i="3"/>
  <c r="N36" i="3"/>
  <c r="K1352" i="3"/>
  <c r="N1352" i="3"/>
  <c r="K1086" i="3"/>
  <c r="N1086" i="3"/>
  <c r="K954" i="3"/>
  <c r="N954" i="3"/>
  <c r="K834" i="3"/>
  <c r="K702" i="3"/>
  <c r="N702" i="3"/>
  <c r="K558" i="3"/>
  <c r="N558" i="3"/>
  <c r="K1334" i="3"/>
  <c r="N1334" i="3"/>
  <c r="K1238" i="3"/>
  <c r="N1238" i="3"/>
  <c r="K1145" i="3"/>
  <c r="N1145" i="3"/>
  <c r="K1024" i="3"/>
  <c r="N1024" i="3"/>
  <c r="K916" i="3"/>
  <c r="N916" i="3"/>
  <c r="K820" i="3"/>
  <c r="N820" i="3"/>
  <c r="K724" i="3"/>
  <c r="N724" i="3"/>
  <c r="K628" i="3"/>
  <c r="N628" i="3"/>
  <c r="K520" i="3"/>
  <c r="K411" i="3"/>
  <c r="N411" i="3"/>
  <c r="K1359" i="3"/>
  <c r="K1343" i="3"/>
  <c r="N1343" i="3"/>
  <c r="K1329" i="3"/>
  <c r="K1317" i="3"/>
  <c r="N1317" i="3"/>
  <c r="K1305" i="3"/>
  <c r="N1305" i="3"/>
  <c r="K1165" i="3"/>
  <c r="N1165" i="3"/>
  <c r="K1128" i="3"/>
  <c r="N1128" i="3"/>
  <c r="K1116" i="3"/>
  <c r="N1116" i="3"/>
  <c r="K1104" i="3"/>
  <c r="K1092" i="3"/>
  <c r="N1092" i="3"/>
  <c r="K1080" i="3"/>
  <c r="N1080" i="3"/>
  <c r="K1068" i="3"/>
  <c r="N1068" i="3"/>
  <c r="K1044" i="3"/>
  <c r="N1044" i="3"/>
  <c r="K1032" i="3"/>
  <c r="N1032" i="3"/>
  <c r="K1020" i="3"/>
  <c r="K1008" i="3"/>
  <c r="N1008" i="3"/>
  <c r="K996" i="3"/>
  <c r="K984" i="3"/>
  <c r="N984" i="3"/>
  <c r="K972" i="3"/>
  <c r="N972" i="3"/>
  <c r="K960" i="3"/>
  <c r="N960" i="3"/>
  <c r="K948" i="3"/>
  <c r="N948" i="3"/>
  <c r="K936" i="3"/>
  <c r="K924" i="3"/>
  <c r="N924" i="3"/>
  <c r="K912" i="3"/>
  <c r="N912" i="3"/>
  <c r="K900" i="3"/>
  <c r="N900" i="3"/>
  <c r="K888" i="3"/>
  <c r="N888" i="3"/>
  <c r="K876" i="3"/>
  <c r="N876" i="3"/>
  <c r="K864" i="3"/>
  <c r="K852" i="3"/>
  <c r="N852" i="3"/>
  <c r="K840" i="3"/>
  <c r="N840" i="3"/>
  <c r="K828" i="3"/>
  <c r="K816" i="3"/>
  <c r="N816" i="3"/>
  <c r="K804" i="3"/>
  <c r="K792" i="3"/>
  <c r="N792" i="3"/>
  <c r="K780" i="3"/>
  <c r="N780" i="3"/>
  <c r="K768" i="3"/>
  <c r="N768" i="3"/>
  <c r="K756" i="3"/>
  <c r="N756" i="3"/>
  <c r="K744" i="3"/>
  <c r="N744" i="3"/>
  <c r="K732" i="3"/>
  <c r="K720" i="3"/>
  <c r="N720" i="3"/>
  <c r="K708" i="3"/>
  <c r="N708" i="3"/>
  <c r="K696" i="3"/>
  <c r="N696" i="3"/>
  <c r="K684" i="3"/>
  <c r="N684" i="3"/>
  <c r="K672" i="3"/>
  <c r="N672" i="3"/>
  <c r="K660" i="3"/>
  <c r="N660" i="3"/>
  <c r="K648" i="3"/>
  <c r="K636" i="3"/>
  <c r="N636" i="3"/>
  <c r="K624" i="3"/>
  <c r="N624" i="3"/>
  <c r="K612" i="3"/>
  <c r="K600" i="3"/>
  <c r="N600" i="3"/>
  <c r="K588" i="3"/>
  <c r="N588" i="3"/>
  <c r="K576" i="3"/>
  <c r="K564" i="3"/>
  <c r="N564" i="3"/>
  <c r="K552" i="3"/>
  <c r="N552" i="3"/>
  <c r="K540" i="3"/>
  <c r="N540" i="3"/>
  <c r="K528" i="3"/>
  <c r="N528" i="3"/>
  <c r="K516" i="3"/>
  <c r="K504" i="3"/>
  <c r="N504" i="3"/>
  <c r="K492" i="3"/>
  <c r="K480" i="3"/>
  <c r="N480" i="3"/>
  <c r="K468" i="3"/>
  <c r="N468" i="3"/>
  <c r="K456" i="3"/>
  <c r="N456" i="3"/>
  <c r="K444" i="3"/>
  <c r="K432" i="3"/>
  <c r="K420" i="3"/>
  <c r="N420" i="3"/>
  <c r="K406" i="3"/>
  <c r="N406" i="3"/>
  <c r="K376" i="3"/>
  <c r="N376" i="3"/>
  <c r="K364" i="3"/>
  <c r="N364" i="3"/>
  <c r="K348" i="3"/>
  <c r="N348" i="3"/>
  <c r="K336" i="3"/>
  <c r="K322" i="3"/>
  <c r="N322" i="3"/>
  <c r="K310" i="3"/>
  <c r="N310" i="3"/>
  <c r="K298" i="3"/>
  <c r="N298" i="3"/>
  <c r="K284" i="3"/>
  <c r="N284" i="3"/>
  <c r="K272" i="3"/>
  <c r="N272" i="3"/>
  <c r="K260" i="3"/>
  <c r="N260" i="3"/>
  <c r="K248" i="3"/>
  <c r="N248" i="3"/>
  <c r="K236" i="3"/>
  <c r="N236" i="3"/>
  <c r="K210" i="3"/>
  <c r="K179" i="3"/>
  <c r="N179" i="3"/>
  <c r="K151" i="3"/>
  <c r="N151" i="3"/>
  <c r="K101" i="3"/>
  <c r="K89" i="3"/>
  <c r="K41" i="3"/>
  <c r="N41" i="3"/>
  <c r="K17" i="3"/>
  <c r="N17" i="3"/>
  <c r="K1276" i="3"/>
  <c r="N1276" i="3"/>
  <c r="K371" i="3"/>
  <c r="K120" i="3"/>
  <c r="N120" i="3"/>
  <c r="K72" i="3"/>
  <c r="N72" i="3"/>
  <c r="K1074" i="3"/>
  <c r="N1074" i="3"/>
  <c r="K942" i="3"/>
  <c r="N942" i="3"/>
  <c r="K774" i="3"/>
  <c r="N774" i="3"/>
  <c r="K654" i="3"/>
  <c r="N654" i="3"/>
  <c r="K534" i="3"/>
  <c r="K1321" i="3"/>
  <c r="N1321" i="3"/>
  <c r="K1120" i="3"/>
  <c r="N1120" i="3"/>
  <c r="K1012" i="3"/>
  <c r="N1012" i="3"/>
  <c r="K904" i="3"/>
  <c r="N904" i="3"/>
  <c r="K808" i="3"/>
  <c r="K712" i="3"/>
  <c r="K616" i="3"/>
  <c r="N616" i="3"/>
  <c r="K508" i="3"/>
  <c r="N508" i="3"/>
  <c r="K398" i="3"/>
  <c r="N398" i="3"/>
  <c r="K183" i="3"/>
  <c r="N183" i="3"/>
  <c r="K1371" i="3"/>
  <c r="K1316" i="3"/>
  <c r="N1316" i="3"/>
  <c r="K1268" i="3"/>
  <c r="N1268" i="3"/>
  <c r="K1244" i="3"/>
  <c r="K1232" i="3"/>
  <c r="N1232" i="3"/>
  <c r="K1220" i="3"/>
  <c r="N1220" i="3"/>
  <c r="K1212" i="3"/>
  <c r="N1212" i="3"/>
  <c r="K1200" i="3"/>
  <c r="K1188" i="3"/>
  <c r="N1188" i="3"/>
  <c r="K1176" i="3"/>
  <c r="N1176" i="3"/>
  <c r="K1151" i="3"/>
  <c r="N1151" i="3"/>
  <c r="K1139" i="3"/>
  <c r="N1139" i="3"/>
  <c r="K1127" i="3"/>
  <c r="N1127" i="3"/>
  <c r="K390" i="3"/>
  <c r="K347" i="3"/>
  <c r="N347" i="3"/>
  <c r="K334" i="3"/>
  <c r="K321" i="3"/>
  <c r="K297" i="3"/>
  <c r="N297" i="3"/>
  <c r="K259" i="3"/>
  <c r="N259" i="3"/>
  <c r="K192" i="3"/>
  <c r="N192" i="3"/>
  <c r="K164" i="3"/>
  <c r="K136" i="3"/>
  <c r="N136" i="3"/>
  <c r="K124" i="3"/>
  <c r="N124" i="3"/>
  <c r="K112" i="3"/>
  <c r="N112" i="3"/>
  <c r="K100" i="3"/>
  <c r="N100" i="3"/>
  <c r="K76" i="3"/>
  <c r="K64" i="3"/>
  <c r="N64" i="3"/>
  <c r="K40" i="3"/>
  <c r="K28" i="3"/>
  <c r="N28" i="3"/>
  <c r="K4" i="3"/>
  <c r="N4" i="3"/>
  <c r="K1184" i="3"/>
  <c r="K173" i="3"/>
  <c r="N173" i="3"/>
  <c r="K1311" i="3"/>
  <c r="N1311" i="3"/>
  <c r="K1110" i="3"/>
  <c r="N1110" i="3"/>
  <c r="K978" i="3"/>
  <c r="N978" i="3"/>
  <c r="K846" i="3"/>
  <c r="N846" i="3"/>
  <c r="K714" i="3"/>
  <c r="N714" i="3"/>
  <c r="K582" i="3"/>
  <c r="N582" i="3"/>
  <c r="K1250" i="3"/>
  <c r="K1156" i="3"/>
  <c r="N1156" i="3"/>
  <c r="K964" i="3"/>
  <c r="N964" i="3"/>
  <c r="K868" i="3"/>
  <c r="N868" i="3"/>
  <c r="K760" i="3"/>
  <c r="N760" i="3"/>
  <c r="K664" i="3"/>
  <c r="N664" i="3"/>
  <c r="K568" i="3"/>
  <c r="K472" i="3"/>
  <c r="N472" i="3"/>
  <c r="K354" i="3"/>
  <c r="K214" i="3"/>
  <c r="N214" i="3"/>
  <c r="K1356" i="3"/>
  <c r="N1356" i="3"/>
  <c r="K1340" i="3"/>
  <c r="K1327" i="3"/>
  <c r="N1327" i="3"/>
  <c r="K1303" i="3"/>
  <c r="N1303" i="3"/>
  <c r="K1163" i="3"/>
  <c r="N1163" i="3"/>
  <c r="K1114" i="3"/>
  <c r="N1114" i="3"/>
  <c r="K1102" i="3"/>
  <c r="N1102" i="3"/>
  <c r="K1090" i="3"/>
  <c r="N1090" i="3"/>
  <c r="K1078" i="3"/>
  <c r="N1078" i="3"/>
  <c r="K1066" i="3"/>
  <c r="N1066" i="3"/>
  <c r="K1042" i="3"/>
  <c r="N1042" i="3"/>
  <c r="K1030" i="3"/>
  <c r="N1030" i="3"/>
  <c r="K1018" i="3"/>
  <c r="N1018" i="3"/>
  <c r="K1006" i="3"/>
  <c r="K994" i="3"/>
  <c r="N994" i="3"/>
  <c r="K982" i="3"/>
  <c r="K970" i="3"/>
  <c r="N970" i="3"/>
  <c r="K958" i="3"/>
  <c r="K946" i="3"/>
  <c r="N946" i="3"/>
  <c r="K934" i="3"/>
  <c r="N934" i="3"/>
  <c r="K922" i="3"/>
  <c r="N922" i="3"/>
  <c r="K910" i="3"/>
  <c r="N910" i="3"/>
  <c r="K898" i="3"/>
  <c r="N898" i="3"/>
  <c r="K886" i="3"/>
  <c r="N886" i="3"/>
  <c r="K874" i="3"/>
  <c r="N874" i="3"/>
  <c r="K862" i="3"/>
  <c r="K850" i="3"/>
  <c r="N850" i="3"/>
  <c r="K838" i="3"/>
  <c r="N838" i="3"/>
  <c r="K826" i="3"/>
  <c r="N826" i="3"/>
  <c r="K790" i="3"/>
  <c r="N790" i="3"/>
  <c r="K778" i="3"/>
  <c r="N778" i="3"/>
  <c r="K766" i="3"/>
  <c r="N766" i="3"/>
  <c r="K754" i="3"/>
  <c r="N754" i="3"/>
  <c r="K742" i="3"/>
  <c r="N742" i="3"/>
  <c r="K730" i="3"/>
  <c r="N730" i="3"/>
  <c r="K718" i="3"/>
  <c r="N718" i="3"/>
  <c r="K706" i="3"/>
  <c r="N706" i="3"/>
  <c r="K694" i="3"/>
  <c r="K682" i="3"/>
  <c r="N682" i="3"/>
  <c r="K670" i="3"/>
  <c r="N670" i="3"/>
  <c r="K658" i="3"/>
  <c r="N658" i="3"/>
  <c r="K646" i="3"/>
  <c r="N646" i="3"/>
  <c r="K634" i="3"/>
  <c r="N634" i="3"/>
  <c r="K622" i="3"/>
  <c r="N622" i="3"/>
  <c r="K610" i="3"/>
  <c r="N610" i="3"/>
  <c r="K598" i="3"/>
  <c r="N598" i="3"/>
  <c r="K586" i="3"/>
  <c r="N586" i="3"/>
  <c r="K574" i="3"/>
  <c r="N574" i="3"/>
  <c r="K562" i="3"/>
  <c r="N562" i="3"/>
  <c r="K550" i="3"/>
  <c r="K538" i="3"/>
  <c r="N538" i="3"/>
  <c r="K526" i="3"/>
  <c r="N526" i="3"/>
  <c r="K514" i="3"/>
  <c r="N514" i="3"/>
  <c r="K502" i="3"/>
  <c r="K490" i="3"/>
  <c r="N490" i="3"/>
  <c r="K478" i="3"/>
  <c r="N478" i="3"/>
  <c r="K466" i="3"/>
  <c r="N466" i="3"/>
  <c r="K454" i="3"/>
  <c r="N454" i="3"/>
  <c r="K442" i="3"/>
  <c r="N442" i="3"/>
  <c r="K430" i="3"/>
  <c r="N430" i="3"/>
  <c r="K418" i="3"/>
  <c r="N418" i="3"/>
  <c r="K404" i="3"/>
  <c r="K374" i="3"/>
  <c r="N374" i="3"/>
  <c r="K362" i="3"/>
  <c r="N362" i="3"/>
  <c r="K282" i="3"/>
  <c r="N282" i="3"/>
  <c r="K270" i="3"/>
  <c r="N270" i="3"/>
  <c r="K234" i="3"/>
  <c r="N234" i="3"/>
  <c r="K207" i="3"/>
  <c r="N207" i="3"/>
  <c r="K177" i="3"/>
  <c r="K161" i="3"/>
  <c r="N161" i="3"/>
  <c r="K149" i="3"/>
  <c r="N149" i="3"/>
  <c r="K135" i="3"/>
  <c r="N135" i="3"/>
  <c r="K123" i="3"/>
  <c r="N123" i="3"/>
  <c r="K111" i="3"/>
  <c r="K87" i="3"/>
  <c r="N87" i="3"/>
  <c r="K75" i="3"/>
  <c r="N75" i="3"/>
  <c r="K63" i="3"/>
  <c r="N63" i="3"/>
  <c r="K27" i="3"/>
  <c r="N27" i="3"/>
  <c r="K3" i="3"/>
  <c r="N3" i="3"/>
  <c r="K1300" i="3"/>
  <c r="N1300" i="3"/>
  <c r="K1196" i="3"/>
  <c r="N1196" i="3"/>
  <c r="K145" i="3"/>
  <c r="N145" i="3"/>
  <c r="K1159" i="3"/>
  <c r="N1159" i="3"/>
  <c r="K1014" i="3"/>
  <c r="N1014" i="3"/>
  <c r="K906" i="3"/>
  <c r="N906" i="3"/>
  <c r="K666" i="3"/>
  <c r="N666" i="3"/>
  <c r="K522" i="3"/>
  <c r="N522" i="3"/>
  <c r="K1274" i="3"/>
  <c r="N1274" i="3"/>
  <c r="K1182" i="3"/>
  <c r="K1036" i="3"/>
  <c r="N1036" i="3"/>
  <c r="K940" i="3"/>
  <c r="N940" i="3"/>
  <c r="K832" i="3"/>
  <c r="N832" i="3"/>
  <c r="K736" i="3"/>
  <c r="K640" i="3"/>
  <c r="N640" i="3"/>
  <c r="K532" i="3"/>
  <c r="N532" i="3"/>
  <c r="K448" i="3"/>
  <c r="N448" i="3"/>
  <c r="K1369" i="3"/>
  <c r="N1369" i="3"/>
  <c r="K1314" i="3"/>
  <c r="N1314" i="3"/>
  <c r="K1302" i="3"/>
  <c r="N1302" i="3"/>
  <c r="K1290" i="3"/>
  <c r="N1290" i="3"/>
  <c r="K1278" i="3"/>
  <c r="N1278" i="3"/>
  <c r="K1266" i="3"/>
  <c r="N1266" i="3"/>
  <c r="K1242" i="3"/>
  <c r="N1242" i="3"/>
  <c r="K1230" i="3"/>
  <c r="N1230" i="3"/>
  <c r="K1218" i="3"/>
  <c r="N1218" i="3"/>
  <c r="K1210" i="3"/>
  <c r="N1210" i="3"/>
  <c r="K1198" i="3"/>
  <c r="N1198" i="3"/>
  <c r="K1186" i="3"/>
  <c r="N1186" i="3"/>
  <c r="K1174" i="3"/>
  <c r="N1174" i="3"/>
  <c r="K1137" i="3"/>
  <c r="N1137" i="3"/>
  <c r="K1125" i="3"/>
  <c r="N1125" i="3"/>
  <c r="K403" i="3"/>
  <c r="N403" i="3"/>
  <c r="K387" i="3"/>
  <c r="N387" i="3"/>
  <c r="K373" i="3"/>
  <c r="N373" i="3"/>
  <c r="K361" i="3"/>
  <c r="N361" i="3"/>
  <c r="K332" i="3"/>
  <c r="K319" i="3"/>
  <c r="N319" i="3"/>
  <c r="K295" i="3"/>
  <c r="N295" i="3"/>
  <c r="K281" i="3"/>
  <c r="N281" i="3"/>
  <c r="K269" i="3"/>
  <c r="K257" i="3"/>
  <c r="K233" i="3"/>
  <c r="N233" i="3"/>
  <c r="K221" i="3"/>
  <c r="N221" i="3"/>
  <c r="K189" i="3"/>
  <c r="N189" i="3"/>
  <c r="K176" i="3"/>
  <c r="N176" i="3"/>
  <c r="K148" i="3"/>
  <c r="N148" i="3"/>
  <c r="K86" i="3"/>
  <c r="N86" i="3"/>
  <c r="K50" i="3"/>
  <c r="N50" i="3"/>
  <c r="K14" i="3"/>
  <c r="K1367" i="3"/>
  <c r="N1367" i="3"/>
  <c r="K1240" i="3"/>
  <c r="N1240" i="3"/>
  <c r="K1050" i="3"/>
  <c r="N1050" i="3"/>
  <c r="K918" i="3"/>
  <c r="K798" i="3"/>
  <c r="N798" i="3"/>
  <c r="K690" i="3"/>
  <c r="N690" i="3"/>
  <c r="K570" i="3"/>
  <c r="N570" i="3"/>
  <c r="K1206" i="3"/>
  <c r="N1206" i="3"/>
  <c r="K1072" i="3"/>
  <c r="N1072" i="3"/>
  <c r="K976" i="3"/>
  <c r="N976" i="3"/>
  <c r="K880" i="3"/>
  <c r="K784" i="3"/>
  <c r="N784" i="3"/>
  <c r="K688" i="3"/>
  <c r="K580" i="3"/>
  <c r="N580" i="3"/>
  <c r="K484" i="3"/>
  <c r="N484" i="3"/>
  <c r="K368" i="3"/>
  <c r="K240" i="3"/>
  <c r="N240" i="3"/>
  <c r="K1354" i="3"/>
  <c r="K1338" i="3"/>
  <c r="N1338" i="3"/>
  <c r="K1325" i="3"/>
  <c r="N1325" i="3"/>
  <c r="K1313" i="3"/>
  <c r="N1313" i="3"/>
  <c r="K1161" i="3"/>
  <c r="N1161" i="3"/>
  <c r="K1136" i="3"/>
  <c r="K1124" i="3"/>
  <c r="N1124" i="3"/>
  <c r="K1112" i="3"/>
  <c r="N1112" i="3"/>
  <c r="K1100" i="3"/>
  <c r="N1100" i="3"/>
  <c r="K1088" i="3"/>
  <c r="N1088" i="3"/>
  <c r="K1076" i="3"/>
  <c r="K1064" i="3"/>
  <c r="N1064" i="3"/>
  <c r="K1052" i="3"/>
  <c r="N1052" i="3"/>
  <c r="K1040" i="3"/>
  <c r="N1040" i="3"/>
  <c r="K1028" i="3"/>
  <c r="N1028" i="3"/>
  <c r="K1016" i="3"/>
  <c r="N1016" i="3"/>
  <c r="K1004" i="3"/>
  <c r="K992" i="3"/>
  <c r="N992" i="3"/>
  <c r="K980" i="3"/>
  <c r="N980" i="3"/>
  <c r="K968" i="3"/>
  <c r="N968" i="3"/>
  <c r="K956" i="3"/>
  <c r="N956" i="3"/>
  <c r="K944" i="3"/>
  <c r="N944" i="3"/>
  <c r="K932" i="3"/>
  <c r="N932" i="3"/>
  <c r="K920" i="3"/>
  <c r="N920" i="3"/>
  <c r="K908" i="3"/>
  <c r="N908" i="3"/>
  <c r="K896" i="3"/>
  <c r="N896" i="3"/>
  <c r="K884" i="3"/>
  <c r="N884" i="3"/>
  <c r="K872" i="3"/>
  <c r="N872" i="3"/>
  <c r="K860" i="3"/>
  <c r="K848" i="3"/>
  <c r="K836" i="3"/>
  <c r="N836" i="3"/>
  <c r="K824" i="3"/>
  <c r="N824" i="3"/>
  <c r="K812" i="3"/>
  <c r="N812" i="3"/>
  <c r="K800" i="3"/>
  <c r="N800" i="3"/>
  <c r="K788" i="3"/>
  <c r="N788" i="3"/>
  <c r="K776" i="3"/>
  <c r="N776" i="3"/>
  <c r="K764" i="3"/>
  <c r="N764" i="3"/>
  <c r="K752" i="3"/>
  <c r="N752" i="3"/>
  <c r="K740" i="3"/>
  <c r="N740" i="3"/>
  <c r="K728" i="3"/>
  <c r="N728" i="3"/>
  <c r="K716" i="3"/>
  <c r="N716" i="3"/>
  <c r="K704" i="3"/>
  <c r="N704" i="3"/>
  <c r="K692" i="3"/>
  <c r="N692" i="3"/>
  <c r="K680" i="3"/>
  <c r="K668" i="3"/>
  <c r="N668" i="3"/>
  <c r="K656" i="3"/>
  <c r="N656" i="3"/>
  <c r="K644" i="3"/>
  <c r="N644" i="3"/>
  <c r="K632" i="3"/>
  <c r="K620" i="3"/>
  <c r="N620" i="3"/>
  <c r="K608" i="3"/>
  <c r="N608" i="3"/>
  <c r="K596" i="3"/>
  <c r="N596" i="3"/>
  <c r="K584" i="3"/>
  <c r="N584" i="3"/>
  <c r="K572" i="3"/>
  <c r="N572" i="3"/>
  <c r="K560" i="3"/>
  <c r="N560" i="3"/>
  <c r="K548" i="3"/>
  <c r="N548" i="3"/>
  <c r="K536" i="3"/>
  <c r="N536" i="3"/>
  <c r="K524" i="3"/>
  <c r="N524" i="3"/>
  <c r="K512" i="3"/>
  <c r="N512" i="3"/>
  <c r="K500" i="3"/>
  <c r="K488" i="3"/>
  <c r="N488" i="3"/>
  <c r="K476" i="3"/>
  <c r="N476" i="3"/>
  <c r="K464" i="3"/>
  <c r="N464" i="3"/>
  <c r="K452" i="3"/>
  <c r="N452" i="3"/>
  <c r="K440" i="3"/>
  <c r="N440" i="3"/>
  <c r="K428" i="3"/>
  <c r="N428" i="3"/>
  <c r="K416" i="3"/>
  <c r="N416" i="3"/>
  <c r="K386" i="3"/>
  <c r="N386" i="3"/>
  <c r="K330" i="3"/>
  <c r="K318" i="3"/>
  <c r="N318" i="3"/>
  <c r="K294" i="3"/>
  <c r="N294" i="3"/>
  <c r="K256" i="3"/>
  <c r="N256" i="3"/>
  <c r="K220" i="3"/>
  <c r="N220" i="3"/>
  <c r="K133" i="3"/>
  <c r="N133" i="3"/>
  <c r="K121" i="3"/>
  <c r="N121" i="3"/>
  <c r="K61" i="3"/>
  <c r="N61" i="3"/>
  <c r="K49" i="3"/>
  <c r="N49" i="3"/>
  <c r="K37" i="3"/>
  <c r="N37" i="3"/>
  <c r="K13" i="3"/>
  <c r="N13" i="3"/>
  <c r="M538" i="4"/>
  <c r="K375" i="3"/>
  <c r="K363" i="3"/>
  <c r="K309" i="3"/>
  <c r="K283" i="3"/>
  <c r="K1357" i="3"/>
  <c r="K271" i="3"/>
  <c r="K247" i="3"/>
  <c r="K235" i="3"/>
  <c r="K223" i="3"/>
  <c r="K209" i="3"/>
  <c r="K178" i="3"/>
  <c r="K150" i="3"/>
  <c r="K88" i="3"/>
  <c r="K52" i="3"/>
  <c r="K16" i="3"/>
  <c r="K245" i="3"/>
  <c r="K205" i="3"/>
  <c r="K160" i="3"/>
  <c r="K134" i="3"/>
  <c r="K122" i="3"/>
  <c r="K110" i="3"/>
  <c r="K98" i="3"/>
  <c r="K74" i="3"/>
  <c r="K62" i="3"/>
  <c r="K38" i="3"/>
  <c r="K26" i="3"/>
  <c r="K345" i="3"/>
  <c r="K307" i="3"/>
  <c r="K388" i="3"/>
  <c r="K346" i="3"/>
  <c r="K333" i="3"/>
  <c r="K320" i="3"/>
  <c r="K308" i="3"/>
  <c r="K296" i="3"/>
  <c r="K814" i="3"/>
  <c r="K802" i="3"/>
  <c r="K1065" i="3"/>
  <c r="K1053" i="3"/>
  <c r="K1041" i="3"/>
  <c r="K1029" i="3"/>
  <c r="K1017" i="3"/>
  <c r="K1005" i="3"/>
  <c r="K993" i="3"/>
  <c r="K981" i="3"/>
  <c r="K969" i="3"/>
  <c r="K957" i="3"/>
  <c r="K945" i="3"/>
  <c r="K933" i="3"/>
  <c r="K921" i="3"/>
  <c r="K909" i="3"/>
  <c r="K897" i="3"/>
  <c r="K885" i="3"/>
  <c r="K873" i="3"/>
  <c r="K861" i="3"/>
  <c r="K849" i="3"/>
  <c r="K837" i="3"/>
  <c r="K825" i="3"/>
  <c r="K813" i="3"/>
  <c r="K801" i="3"/>
  <c r="K789" i="3"/>
  <c r="K777" i="3"/>
  <c r="K765" i="3"/>
  <c r="K753" i="3"/>
  <c r="K741" i="3"/>
  <c r="K729" i="3"/>
  <c r="K717" i="3"/>
  <c r="K705" i="3"/>
  <c r="K693" i="3"/>
  <c r="K681" i="3"/>
  <c r="K669" i="3"/>
  <c r="K657" i="3"/>
  <c r="K645" i="3"/>
  <c r="K633" i="3"/>
  <c r="K621" i="3"/>
  <c r="K609" i="3"/>
  <c r="K597" i="3"/>
  <c r="K585" i="3"/>
  <c r="K573" i="3"/>
  <c r="K561" i="3"/>
  <c r="K549" i="3"/>
  <c r="K537" i="3"/>
  <c r="K525" i="3"/>
  <c r="K513" i="3"/>
  <c r="K501" i="3"/>
  <c r="K489" i="3"/>
  <c r="K477" i="3"/>
  <c r="K465" i="3"/>
  <c r="K453" i="3"/>
  <c r="K441" i="3"/>
  <c r="K429" i="3"/>
  <c r="K417" i="3"/>
  <c r="K1164" i="3"/>
  <c r="K1328" i="3"/>
  <c r="K1304" i="3"/>
  <c r="K1292" i="3"/>
  <c r="K1280" i="3"/>
  <c r="K1256" i="3"/>
  <c r="K249" i="3"/>
  <c r="K225" i="3"/>
  <c r="K138" i="3"/>
  <c r="K102" i="3"/>
  <c r="K78" i="3"/>
  <c r="K66" i="3"/>
  <c r="K42" i="3"/>
  <c r="K30" i="3"/>
  <c r="K6" i="3"/>
  <c r="K349" i="3"/>
  <c r="K337" i="3"/>
  <c r="K323" i="3"/>
  <c r="K311" i="3"/>
  <c r="K299" i="3"/>
  <c r="K1345" i="3"/>
  <c r="K1318" i="3"/>
  <c r="K1294" i="3"/>
  <c r="K1282" i="3"/>
  <c r="K1258" i="3"/>
  <c r="K1166" i="3"/>
  <c r="K1129" i="3"/>
  <c r="K1117" i="3"/>
  <c r="K1105" i="3"/>
  <c r="K1093" i="3"/>
  <c r="K1081" i="3"/>
  <c r="K1069" i="3"/>
  <c r="K1057" i="3"/>
  <c r="K1045" i="3"/>
  <c r="K1033" i="3"/>
  <c r="K1021" i="3"/>
  <c r="K1009" i="3"/>
  <c r="K997" i="3"/>
  <c r="K985" i="3"/>
  <c r="K973" i="3"/>
  <c r="K961" i="3"/>
  <c r="K949" i="3"/>
  <c r="K937" i="3"/>
  <c r="K925" i="3"/>
  <c r="K913" i="3"/>
  <c r="K901" i="3"/>
  <c r="K889" i="3"/>
  <c r="K877" i="3"/>
  <c r="K865" i="3"/>
  <c r="K853" i="3"/>
  <c r="K841" i="3"/>
  <c r="K829" i="3"/>
  <c r="K817" i="3"/>
  <c r="K805" i="3"/>
  <c r="K793" i="3"/>
  <c r="K781" i="3"/>
  <c r="K769" i="3"/>
  <c r="K757" i="3"/>
  <c r="K745" i="3"/>
  <c r="K733" i="3"/>
  <c r="K721" i="3"/>
  <c r="K709" i="3"/>
  <c r="K697" i="3"/>
  <c r="K685" i="3"/>
  <c r="K673" i="3"/>
  <c r="K661" i="3"/>
  <c r="K649" i="3"/>
  <c r="K637" i="3"/>
  <c r="K625" i="3"/>
  <c r="K613" i="3"/>
  <c r="K601" i="3"/>
  <c r="K589" i="3"/>
  <c r="K577" i="3"/>
  <c r="K565" i="3"/>
  <c r="K553" i="3"/>
  <c r="K541" i="3"/>
  <c r="K529" i="3"/>
  <c r="K517" i="3"/>
  <c r="K505" i="3"/>
  <c r="K493" i="3"/>
  <c r="K481" i="3"/>
  <c r="K469" i="3"/>
  <c r="K457" i="3"/>
  <c r="K445" i="3"/>
  <c r="K433" i="3"/>
  <c r="K421" i="3"/>
  <c r="K261" i="3"/>
  <c r="K1162" i="3"/>
  <c r="K1149" i="3"/>
  <c r="K1113" i="3"/>
  <c r="K1101" i="3"/>
  <c r="K1089" i="3"/>
  <c r="K1077" i="3"/>
  <c r="K224" i="3"/>
  <c r="K194" i="3"/>
  <c r="K165" i="3"/>
  <c r="K125" i="3"/>
  <c r="K113" i="3"/>
  <c r="K77" i="3"/>
  <c r="K65" i="3"/>
  <c r="K53" i="3"/>
  <c r="K29" i="3"/>
  <c r="K1150" i="3"/>
  <c r="K1199" i="3"/>
  <c r="K1175" i="3"/>
  <c r="K1138" i="3"/>
  <c r="K1054" i="3"/>
  <c r="K1355" i="3"/>
  <c r="K1211" i="3"/>
  <c r="K1187" i="3"/>
  <c r="K1126" i="3"/>
  <c r="K1342" i="3"/>
  <c r="K268" i="3"/>
  <c r="K244" i="3"/>
  <c r="K232" i="3"/>
  <c r="K204" i="3"/>
  <c r="K187" i="3"/>
  <c r="K175" i="3"/>
  <c r="K159" i="3"/>
  <c r="K147" i="3"/>
  <c r="K109" i="3"/>
  <c r="K97" i="3"/>
  <c r="K85" i="3"/>
  <c r="K73" i="3"/>
  <c r="K25" i="3"/>
  <c r="K372" i="3"/>
  <c r="K360" i="3"/>
  <c r="K344" i="3"/>
  <c r="K306" i="3"/>
  <c r="K280" i="3"/>
  <c r="K402" i="3"/>
  <c r="M545" i="4"/>
  <c r="K1255" i="3"/>
  <c r="K1279" i="3"/>
  <c r="K1291" i="3"/>
  <c r="K1243" i="3"/>
  <c r="K1219" i="3"/>
  <c r="K1267" i="3"/>
  <c r="K1315" i="3"/>
  <c r="K1231" i="3"/>
  <c r="K408" i="3"/>
  <c r="K227" i="3"/>
  <c r="K199" i="3"/>
  <c r="K168" i="3"/>
  <c r="K154" i="3"/>
  <c r="K140" i="3"/>
  <c r="K128" i="3"/>
  <c r="K116" i="3"/>
  <c r="K92" i="3"/>
  <c r="K80" i="3"/>
  <c r="K56" i="3"/>
  <c r="K32" i="3"/>
  <c r="K20" i="3"/>
  <c r="K8" i="3"/>
  <c r="K353" i="3"/>
  <c r="K663" i="3"/>
  <c r="K651" i="3"/>
  <c r="K639" i="3"/>
  <c r="K627" i="3"/>
  <c r="K615" i="3"/>
  <c r="K603" i="3"/>
  <c r="K591" i="3"/>
  <c r="K579" i="3"/>
  <c r="K567" i="3"/>
  <c r="K555" i="3"/>
  <c r="K543" i="3"/>
  <c r="K531" i="3"/>
  <c r="K519" i="3"/>
  <c r="K507" i="3"/>
  <c r="K495" i="3"/>
  <c r="K483" i="3"/>
  <c r="K471" i="3"/>
  <c r="K459" i="3"/>
  <c r="K447" i="3"/>
  <c r="K435" i="3"/>
  <c r="K423" i="3"/>
  <c r="K1362" i="3"/>
  <c r="K1339" i="3"/>
  <c r="K1326" i="3"/>
  <c r="K1254" i="3"/>
  <c r="K274" i="3"/>
  <c r="K238" i="3"/>
  <c r="K226" i="3"/>
  <c r="K212" i="3"/>
  <c r="K198" i="3"/>
  <c r="K181" i="3"/>
  <c r="K153" i="3"/>
  <c r="K139" i="3"/>
  <c r="K103" i="3"/>
  <c r="K91" i="3"/>
  <c r="K79" i="3"/>
  <c r="K67" i="3"/>
  <c r="K31" i="3"/>
  <c r="K19" i="3"/>
  <c r="K7" i="3"/>
  <c r="K396" i="3"/>
  <c r="K378" i="3"/>
  <c r="K366" i="3"/>
  <c r="K286" i="3"/>
  <c r="K1223" i="3"/>
  <c r="K1203" i="3"/>
  <c r="K1191" i="3"/>
  <c r="K1179" i="3"/>
  <c r="K1142" i="3"/>
  <c r="K806" i="3"/>
  <c r="K1372" i="3"/>
  <c r="K1148" i="3"/>
  <c r="K1247" i="3"/>
  <c r="K1361" i="3"/>
  <c r="K1331" i="3"/>
  <c r="K1307" i="3"/>
  <c r="K1283" i="3"/>
  <c r="K1271" i="3"/>
  <c r="K1235" i="3"/>
  <c r="K1215" i="3"/>
  <c r="K1374" i="3"/>
  <c r="K1293" i="3"/>
  <c r="K1281" i="3"/>
  <c r="K1269" i="3"/>
  <c r="K1257" i="3"/>
  <c r="K1245" i="3"/>
  <c r="K1233" i="3"/>
  <c r="K1221" i="3"/>
  <c r="K1213" i="3"/>
  <c r="K1201" i="3"/>
  <c r="K1189" i="3"/>
  <c r="K1177" i="3"/>
  <c r="K1152" i="3"/>
  <c r="K1140" i="3"/>
  <c r="K1056" i="3"/>
  <c r="K1370" i="3"/>
  <c r="K242" i="3"/>
  <c r="K202" i="3"/>
  <c r="K171" i="3"/>
  <c r="K157" i="3"/>
  <c r="K143" i="3"/>
  <c r="K131" i="3"/>
  <c r="K119" i="3"/>
  <c r="K107" i="3"/>
  <c r="K59" i="3"/>
  <c r="K47" i="3"/>
  <c r="K35" i="3"/>
  <c r="K23" i="3"/>
  <c r="K11" i="3"/>
  <c r="K1209" i="3"/>
  <c r="K1197" i="3"/>
  <c r="K1185" i="3"/>
  <c r="K1173" i="3"/>
  <c r="K356" i="3"/>
  <c r="K342" i="3"/>
  <c r="K304" i="3"/>
  <c r="K292" i="3"/>
  <c r="K1275" i="3"/>
  <c r="K1062" i="3"/>
  <c r="K1299" i="3"/>
  <c r="K1227" i="3"/>
  <c r="K1134" i="3"/>
  <c r="K1336" i="3"/>
  <c r="K1263" i="3"/>
  <c r="K1287" i="3"/>
  <c r="K1251" i="3"/>
  <c r="K1239" i="3"/>
  <c r="K1207" i="3"/>
  <c r="K1195" i="3"/>
  <c r="K1183" i="3"/>
  <c r="K1171" i="3"/>
  <c r="K810" i="3"/>
  <c r="K1229" i="3"/>
  <c r="K1241" i="3"/>
  <c r="K1277" i="3"/>
  <c r="K1265" i="3"/>
  <c r="K1301" i="3"/>
  <c r="K1253" i="3"/>
  <c r="K1289" i="3"/>
  <c r="K1217" i="3"/>
  <c r="K241" i="3"/>
  <c r="K229" i="3"/>
  <c r="K215" i="3"/>
  <c r="K201" i="3"/>
  <c r="K184" i="3"/>
  <c r="K142" i="3"/>
  <c r="K118" i="3"/>
  <c r="K106" i="3"/>
  <c r="K82" i="3"/>
  <c r="K70" i="3"/>
  <c r="K46" i="3"/>
  <c r="K34" i="3"/>
  <c r="K381" i="3"/>
  <c r="K369" i="3"/>
  <c r="K341" i="3"/>
  <c r="K303" i="3"/>
  <c r="K291" i="3"/>
  <c r="K1351" i="3"/>
  <c r="K1322" i="3"/>
  <c r="K1298" i="3"/>
  <c r="K1286" i="3"/>
  <c r="K1262" i="3"/>
  <c r="K1158" i="3"/>
  <c r="K1133" i="3"/>
  <c r="K1121" i="3"/>
  <c r="K1109" i="3"/>
  <c r="K1097" i="3"/>
  <c r="K1085" i="3"/>
  <c r="K1073" i="3"/>
  <c r="K1061" i="3"/>
  <c r="K1049" i="3"/>
  <c r="K1037" i="3"/>
  <c r="K1025" i="3"/>
  <c r="K1013" i="3"/>
  <c r="K1001" i="3"/>
  <c r="K989" i="3"/>
  <c r="K977" i="3"/>
  <c r="K965" i="3"/>
  <c r="K953" i="3"/>
  <c r="K941" i="3"/>
  <c r="K929" i="3"/>
  <c r="K917" i="3"/>
  <c r="K905" i="3"/>
  <c r="K893" i="3"/>
  <c r="K881" i="3"/>
  <c r="K869" i="3"/>
  <c r="K857" i="3"/>
  <c r="K845" i="3"/>
  <c r="K833" i="3"/>
  <c r="K821" i="3"/>
  <c r="K809" i="3"/>
  <c r="K797" i="3"/>
  <c r="K785" i="3"/>
  <c r="K773" i="3"/>
  <c r="K761" i="3"/>
  <c r="K749" i="3"/>
  <c r="K737" i="3"/>
  <c r="K725" i="3"/>
  <c r="K713" i="3"/>
  <c r="K701" i="3"/>
  <c r="K689" i="3"/>
  <c r="K677" i="3"/>
  <c r="K665" i="3"/>
  <c r="K653" i="3"/>
  <c r="K641" i="3"/>
  <c r="K629" i="3"/>
  <c r="K617" i="3"/>
  <c r="K605" i="3"/>
  <c r="K593" i="3"/>
  <c r="K581" i="3"/>
  <c r="K569" i="3"/>
  <c r="K557" i="3"/>
  <c r="K545" i="3"/>
  <c r="K533" i="3"/>
  <c r="K521" i="3"/>
  <c r="K509" i="3"/>
  <c r="K497" i="3"/>
  <c r="K485" i="3"/>
  <c r="K473" i="3"/>
  <c r="K461" i="3"/>
  <c r="K449" i="3"/>
  <c r="K437" i="3"/>
  <c r="K425" i="3"/>
  <c r="K412" i="3"/>
  <c r="K267" i="3"/>
  <c r="K255" i="3"/>
  <c r="K243" i="3"/>
  <c r="K219" i="3"/>
  <c r="K203" i="3"/>
  <c r="K158" i="3"/>
  <c r="K108" i="3"/>
  <c r="K96" i="3"/>
  <c r="K48" i="3"/>
  <c r="K24" i="3"/>
  <c r="K12" i="3"/>
  <c r="K385" i="3"/>
  <c r="K343" i="3"/>
  <c r="K329" i="3"/>
  <c r="K317" i="3"/>
  <c r="K305" i="3"/>
  <c r="K293" i="3"/>
  <c r="K1160" i="3"/>
  <c r="K1051" i="3"/>
  <c r="K967" i="3"/>
  <c r="K883" i="3"/>
  <c r="K811" i="3"/>
  <c r="K739" i="3"/>
  <c r="K679" i="3"/>
  <c r="K643" i="3"/>
  <c r="K619" i="3"/>
  <c r="K583" i="3"/>
  <c r="K535" i="3"/>
  <c r="K499" i="3"/>
  <c r="K463" i="3"/>
  <c r="K427" i="3"/>
  <c r="K1147" i="3"/>
  <c r="K1099" i="3"/>
  <c r="K1039" i="3"/>
  <c r="K991" i="3"/>
  <c r="K931" i="3"/>
  <c r="K871" i="3"/>
  <c r="K835" i="3"/>
  <c r="K787" i="3"/>
  <c r="K751" i="3"/>
  <c r="K715" i="3"/>
  <c r="K667" i="3"/>
  <c r="K655" i="3"/>
  <c r="K631" i="3"/>
  <c r="K607" i="3"/>
  <c r="K595" i="3"/>
  <c r="K571" i="3"/>
  <c r="K523" i="3"/>
  <c r="K511" i="3"/>
  <c r="K487" i="3"/>
  <c r="K475" i="3"/>
  <c r="K451" i="3"/>
  <c r="K439" i="3"/>
  <c r="K415" i="3"/>
  <c r="K1324" i="3"/>
  <c r="K1288" i="3"/>
  <c r="K1123" i="3"/>
  <c r="K1087" i="3"/>
  <c r="K1027" i="3"/>
  <c r="K979" i="3"/>
  <c r="K943" i="3"/>
  <c r="K895" i="3"/>
  <c r="K847" i="3"/>
  <c r="K799" i="3"/>
  <c r="K763" i="3"/>
  <c r="K703" i="3"/>
  <c r="K547" i="3"/>
  <c r="K1135" i="3"/>
  <c r="K1075" i="3"/>
  <c r="K1015" i="3"/>
  <c r="K955" i="3"/>
  <c r="K919" i="3"/>
  <c r="K859" i="3"/>
  <c r="K823" i="3"/>
  <c r="K775" i="3"/>
  <c r="K727" i="3"/>
  <c r="K559" i="3"/>
  <c r="K1312" i="3"/>
  <c r="K1264" i="3"/>
  <c r="K1111" i="3"/>
  <c r="K1063" i="3"/>
  <c r="K1003" i="3"/>
  <c r="K907" i="3"/>
  <c r="K691" i="3"/>
  <c r="K1368" i="3"/>
  <c r="K1333" i="3"/>
  <c r="K1309" i="3"/>
  <c r="K1285" i="3"/>
  <c r="K1261" i="3"/>
  <c r="K1237" i="3"/>
  <c r="K1193" i="3"/>
  <c r="K1169" i="3"/>
  <c r="K1144" i="3"/>
  <c r="K1297" i="3"/>
  <c r="K1273" i="3"/>
  <c r="K1249" i="3"/>
  <c r="K1225" i="3"/>
  <c r="K1205" i="3"/>
  <c r="K1181" i="3"/>
  <c r="K1132" i="3"/>
  <c r="K1060" i="3"/>
  <c r="K1376" i="3"/>
  <c r="K1363" i="3"/>
  <c r="K1348" i="3"/>
  <c r="K1320" i="3"/>
  <c r="K264" i="3"/>
  <c r="K252" i="3"/>
  <c r="K228" i="3"/>
  <c r="K200" i="3"/>
  <c r="K141" i="3"/>
  <c r="K117" i="3"/>
  <c r="K93" i="3"/>
  <c r="K81" i="3"/>
  <c r="K45" i="3"/>
  <c r="K33" i="3"/>
  <c r="K1366" i="3"/>
  <c r="K340" i="3"/>
  <c r="K326" i="3"/>
  <c r="K314" i="3"/>
  <c r="K302" i="3"/>
  <c r="K290" i="3"/>
  <c r="K1296" i="3"/>
  <c r="K1260" i="3"/>
  <c r="K1155" i="3"/>
  <c r="K1119" i="3"/>
  <c r="K1107" i="3"/>
  <c r="K1095" i="3"/>
  <c r="K1083" i="3"/>
  <c r="K1071" i="3"/>
  <c r="K1059" i="3"/>
  <c r="K1047" i="3"/>
  <c r="K1035" i="3"/>
  <c r="K1023" i="3"/>
  <c r="K1011" i="3"/>
  <c r="K999" i="3"/>
  <c r="K987" i="3"/>
  <c r="K975" i="3"/>
  <c r="K963" i="3"/>
  <c r="K951" i="3"/>
  <c r="K939" i="3"/>
  <c r="K927" i="3"/>
  <c r="K915" i="3"/>
  <c r="K903" i="3"/>
  <c r="K891" i="3"/>
  <c r="K879" i="3"/>
  <c r="K867" i="3"/>
  <c r="K855" i="3"/>
  <c r="K843" i="3"/>
  <c r="K831" i="3"/>
  <c r="K819" i="3"/>
  <c r="K807" i="3"/>
  <c r="K795" i="3"/>
  <c r="K783" i="3"/>
  <c r="K771" i="3"/>
  <c r="K759" i="3"/>
  <c r="K747" i="3"/>
  <c r="K735" i="3"/>
  <c r="K723" i="3"/>
  <c r="K711" i="3"/>
  <c r="K699" i="3"/>
  <c r="K687" i="3"/>
  <c r="K675" i="3"/>
  <c r="S5" i="3"/>
  <c r="K5" i="3"/>
  <c r="L97" i="4"/>
  <c r="L53" i="4"/>
  <c r="L549" i="4"/>
  <c r="M371" i="4"/>
  <c r="M216" i="4"/>
  <c r="N500" i="3"/>
  <c r="N1252" i="3"/>
  <c r="N1208" i="3"/>
  <c r="N1184" i="3"/>
  <c r="N371" i="3"/>
  <c r="N279" i="3"/>
  <c r="N84" i="3"/>
  <c r="N330" i="3"/>
  <c r="N1323" i="3"/>
  <c r="N1026" i="3"/>
  <c r="N990" i="3"/>
  <c r="N918" i="3"/>
  <c r="N834" i="3"/>
  <c r="N822" i="3"/>
  <c r="N762" i="3"/>
  <c r="N726" i="3"/>
  <c r="N678" i="3"/>
  <c r="N630" i="3"/>
  <c r="N618" i="3"/>
  <c r="N534" i="3"/>
  <c r="N498" i="3"/>
  <c r="N474" i="3"/>
  <c r="N450" i="3"/>
  <c r="N438" i="3"/>
  <c r="N426" i="3"/>
  <c r="N370" i="3"/>
  <c r="N328" i="3"/>
  <c r="N316" i="3"/>
  <c r="N230" i="3"/>
  <c r="N217" i="3"/>
  <c r="N185" i="3"/>
  <c r="N1310" i="3"/>
  <c r="N1250" i="3"/>
  <c r="N1182" i="3"/>
  <c r="N355" i="3"/>
  <c r="N327" i="3"/>
  <c r="N253" i="3"/>
  <c r="N170" i="3"/>
  <c r="N156" i="3"/>
  <c r="N22" i="3"/>
  <c r="N10" i="3"/>
  <c r="N257" i="3"/>
  <c r="N1076" i="3"/>
  <c r="N860" i="3"/>
  <c r="N1108" i="3"/>
  <c r="N1048" i="3"/>
  <c r="N1000" i="3"/>
  <c r="N880" i="3"/>
  <c r="N808" i="3"/>
  <c r="N748" i="3"/>
  <c r="N736" i="3"/>
  <c r="N712" i="3"/>
  <c r="N688" i="3"/>
  <c r="N652" i="3"/>
  <c r="N568" i="3"/>
  <c r="N544" i="3"/>
  <c r="N520" i="3"/>
  <c r="N496" i="3"/>
  <c r="N380" i="3"/>
  <c r="N368" i="3"/>
  <c r="N276" i="3"/>
  <c r="N155" i="3"/>
  <c r="N105" i="3"/>
  <c r="N1354" i="3"/>
  <c r="N1332" i="3"/>
  <c r="N1308" i="3"/>
  <c r="N1284" i="3"/>
  <c r="N1216" i="3"/>
  <c r="N1168" i="3"/>
  <c r="N379" i="3"/>
  <c r="N313" i="3"/>
  <c r="N213" i="3"/>
  <c r="N44" i="3"/>
  <c r="N332" i="3"/>
  <c r="N1259" i="3"/>
  <c r="N1154" i="3"/>
  <c r="N1094" i="3"/>
  <c r="N1022" i="3"/>
  <c r="N986" i="3"/>
  <c r="N962" i="3"/>
  <c r="N950" i="3"/>
  <c r="N938" i="3"/>
  <c r="N878" i="3"/>
  <c r="N854" i="3"/>
  <c r="N830" i="3"/>
  <c r="N770" i="3"/>
  <c r="N710" i="3"/>
  <c r="N686" i="3"/>
  <c r="N650" i="3"/>
  <c r="N626" i="3"/>
  <c r="N578" i="3"/>
  <c r="N554" i="3"/>
  <c r="N506" i="3"/>
  <c r="N494" i="3"/>
  <c r="N434" i="3"/>
  <c r="N300" i="3"/>
  <c r="N250" i="3"/>
  <c r="N55" i="3"/>
  <c r="N14" i="3"/>
  <c r="N1004" i="3"/>
  <c r="N680" i="3"/>
  <c r="N1270" i="3"/>
  <c r="N1214" i="3"/>
  <c r="N1178" i="3"/>
  <c r="N166" i="3"/>
  <c r="N126" i="3"/>
  <c r="N18" i="3"/>
  <c r="N848" i="3"/>
  <c r="N632" i="3"/>
  <c r="N1329" i="3"/>
  <c r="N1104" i="3"/>
  <c r="N1020" i="3"/>
  <c r="N996" i="3"/>
  <c r="N936" i="3"/>
  <c r="N864" i="3"/>
  <c r="N828" i="3"/>
  <c r="N804" i="3"/>
  <c r="N732" i="3"/>
  <c r="N648" i="3"/>
  <c r="N612" i="3"/>
  <c r="N576" i="3"/>
  <c r="N516" i="3"/>
  <c r="N492" i="3"/>
  <c r="N444" i="3"/>
  <c r="N432" i="3"/>
  <c r="N336" i="3"/>
  <c r="N210" i="3"/>
  <c r="N101" i="3"/>
  <c r="N1371" i="3"/>
  <c r="N1244" i="3"/>
  <c r="N1200" i="3"/>
  <c r="N390" i="3"/>
  <c r="N334" i="3"/>
  <c r="N164" i="3"/>
  <c r="N76" i="3"/>
  <c r="N1136" i="3"/>
  <c r="N1340" i="3"/>
  <c r="N1006" i="3"/>
  <c r="N982" i="3"/>
  <c r="N958" i="3"/>
  <c r="N862" i="3"/>
  <c r="N694" i="3"/>
  <c r="N550" i="3"/>
  <c r="N502" i="3"/>
  <c r="N404" i="3"/>
  <c r="N177" i="3"/>
  <c r="N111" i="3"/>
  <c r="M435" i="4"/>
  <c r="M380" i="4"/>
  <c r="M518" i="4"/>
  <c r="M236" i="4"/>
  <c r="M395" i="4"/>
  <c r="M170" i="4"/>
  <c r="M383" i="4"/>
  <c r="M266" i="4"/>
  <c r="M547" i="4"/>
  <c r="M445" i="4"/>
  <c r="M172" i="4"/>
  <c r="M180" i="4"/>
  <c r="M8" i="4"/>
  <c r="M262" i="4"/>
  <c r="M336" i="4"/>
  <c r="M387" i="4"/>
  <c r="M429" i="4"/>
  <c r="M15" i="4"/>
  <c r="M314" i="4"/>
  <c r="M428" i="4"/>
  <c r="M379" i="4"/>
  <c r="M222" i="4"/>
  <c r="M542" i="4"/>
  <c r="M207" i="4"/>
  <c r="M381" i="4"/>
  <c r="M43" i="4"/>
  <c r="M357" i="4"/>
  <c r="M461" i="4"/>
  <c r="M463" i="4"/>
  <c r="M181" i="4"/>
  <c r="M397" i="4"/>
  <c r="M359" i="4"/>
  <c r="M457" i="4"/>
  <c r="M67" i="4"/>
  <c r="M440" i="4"/>
  <c r="M46" i="4"/>
  <c r="M287" i="4"/>
  <c r="M345" i="4"/>
  <c r="M144" i="4"/>
  <c r="M114" i="4"/>
  <c r="M161" i="4"/>
  <c r="M104" i="4"/>
  <c r="M65" i="4"/>
  <c r="M258" i="4"/>
  <c r="M156" i="4"/>
  <c r="M52" i="4"/>
  <c r="M289" i="4"/>
  <c r="M78" i="4"/>
  <c r="M44" i="4"/>
  <c r="M321" i="4"/>
  <c r="M482" i="4"/>
  <c r="M106" i="4"/>
  <c r="M278" i="4"/>
  <c r="M194" i="4"/>
  <c r="M532" i="4"/>
  <c r="M353" i="4"/>
  <c r="M319" i="4"/>
  <c r="M56" i="4"/>
  <c r="M367" i="4"/>
  <c r="M105" i="4"/>
  <c r="M240" i="4"/>
  <c r="M349" i="4"/>
  <c r="M220" i="4"/>
  <c r="M490" i="4"/>
  <c r="M130" i="4"/>
  <c r="M284" i="4"/>
  <c r="M412" i="4"/>
  <c r="M311" i="4"/>
  <c r="M202" i="4"/>
  <c r="M413" i="4"/>
  <c r="M548" i="4"/>
  <c r="M14" i="4"/>
  <c r="M110" i="4"/>
  <c r="M206" i="4"/>
  <c r="M53" i="4"/>
  <c r="M152" i="4"/>
  <c r="M430" i="4"/>
  <c r="M285" i="4"/>
  <c r="M244" i="4"/>
  <c r="M11" i="4"/>
  <c r="M168" i="4"/>
  <c r="M33" i="4"/>
  <c r="M88" i="4"/>
  <c r="M373" i="4"/>
  <c r="M484" i="4"/>
  <c r="M101" i="4"/>
  <c r="M71" i="4"/>
  <c r="M263" i="4"/>
  <c r="M19" i="4"/>
  <c r="M208" i="4"/>
  <c r="M234" i="4"/>
  <c r="M299" i="4"/>
  <c r="M228" i="4"/>
  <c r="M31" i="4"/>
  <c r="M92" i="4"/>
  <c r="M198" i="4"/>
  <c r="M103" i="4"/>
  <c r="M337" i="4"/>
  <c r="M389" i="4"/>
  <c r="M355" i="4"/>
  <c r="M54" i="4"/>
  <c r="M276" i="4"/>
  <c r="M534" i="4"/>
  <c r="M148" i="4"/>
  <c r="M409" i="4"/>
  <c r="M252" i="4"/>
  <c r="M230" i="4"/>
  <c r="M70" i="4"/>
  <c r="M256" i="4"/>
  <c r="M295" i="4"/>
  <c r="M162" i="4"/>
  <c r="M210" i="4"/>
  <c r="M323" i="4"/>
  <c r="M431" i="4"/>
  <c r="M486" i="4"/>
  <c r="M520" i="4"/>
  <c r="M140" i="4"/>
  <c r="M59" i="4"/>
  <c r="M419" i="4"/>
  <c r="M374" i="4"/>
  <c r="M24" i="4"/>
  <c r="M326" i="4"/>
  <c r="M551" i="4"/>
  <c r="M444" i="4"/>
  <c r="M45" i="4"/>
  <c r="M179" i="4"/>
  <c r="M405" i="4"/>
  <c r="M308" i="4"/>
  <c r="M84" i="4"/>
  <c r="M63" i="4"/>
  <c r="M459" i="4"/>
  <c r="M9" i="4"/>
  <c r="M32" i="4"/>
  <c r="M47" i="4"/>
  <c r="M64" i="4"/>
  <c r="M315" i="4"/>
  <c r="M451" i="4"/>
  <c r="M436" i="4"/>
  <c r="M99" i="4"/>
  <c r="M203" i="4"/>
  <c r="M309" i="4"/>
  <c r="M274" i="4"/>
  <c r="M150" i="4"/>
  <c r="M268" i="4"/>
  <c r="M469" i="4"/>
  <c r="M69" i="4"/>
  <c r="M282" i="4"/>
  <c r="M68" i="4"/>
  <c r="M51" i="4"/>
  <c r="M7" i="4"/>
  <c r="M27" i="4"/>
  <c r="M74" i="4"/>
  <c r="M197" i="4"/>
  <c r="M477" i="4"/>
  <c r="M37" i="4"/>
  <c r="M28" i="4"/>
  <c r="M79" i="4"/>
  <c r="M462" i="4"/>
  <c r="M452" i="4"/>
  <c r="M72" i="4"/>
  <c r="M250" i="4"/>
  <c r="M18" i="4"/>
  <c r="M264" i="4"/>
  <c r="M549" i="4"/>
  <c r="M434" i="4"/>
  <c r="M369" i="4"/>
  <c r="M313" i="4"/>
  <c r="M291" i="4"/>
  <c r="M62" i="4"/>
  <c r="M66" i="4"/>
  <c r="M361" i="4"/>
  <c r="M487" i="4"/>
  <c r="M426" i="4"/>
  <c r="M21" i="4"/>
  <c r="M479" i="4"/>
  <c r="M55" i="4"/>
  <c r="M189" i="4"/>
  <c r="M49" i="4"/>
  <c r="M177" i="4"/>
  <c r="M36" i="4"/>
  <c r="M433" i="4"/>
  <c r="M30" i="4"/>
  <c r="M39" i="4"/>
  <c r="M57" i="4"/>
  <c r="M22" i="4"/>
  <c r="M80" i="4"/>
  <c r="M524" i="4"/>
  <c r="M73" i="4"/>
  <c r="M6" i="4"/>
  <c r="M119" i="4"/>
  <c r="M42" i="4"/>
  <c r="M529" i="4"/>
  <c r="M34" i="4"/>
  <c r="M25" i="4"/>
  <c r="M401" i="4"/>
  <c r="M26" i="4"/>
  <c r="M442" i="4"/>
  <c r="M48" i="4"/>
  <c r="M50" i="4"/>
  <c r="M40" i="4"/>
  <c r="M38" i="4"/>
  <c r="M10" i="4"/>
  <c r="M61" i="4"/>
  <c r="M218" i="4"/>
  <c r="M175" i="4"/>
  <c r="M29" i="4"/>
  <c r="M76" i="4"/>
  <c r="M233" i="4"/>
  <c r="M341" i="4"/>
  <c r="M96" i="4"/>
  <c r="M17" i="4"/>
  <c r="M297" i="4"/>
  <c r="M335" i="4"/>
  <c r="M473" i="4"/>
  <c r="M97" i="4"/>
  <c r="M432" i="4"/>
  <c r="M12" i="4"/>
  <c r="M107" i="4"/>
  <c r="M91" i="4"/>
  <c r="M89" i="4"/>
  <c r="M333" i="4"/>
  <c r="M41" i="4"/>
  <c r="M108" i="4"/>
  <c r="M60" i="4"/>
  <c r="M13" i="4"/>
  <c r="M146" i="4"/>
  <c r="M153" i="4"/>
  <c r="M164" i="4"/>
  <c r="M415" i="4"/>
  <c r="M23" i="4"/>
  <c r="M204" i="4"/>
  <c r="M347" i="4"/>
  <c r="M131" i="4"/>
  <c r="M185" i="4"/>
  <c r="M160" i="4"/>
  <c r="M192" i="4"/>
  <c r="M187" i="4"/>
  <c r="M134" i="4"/>
  <c r="M102" i="4"/>
  <c r="M403" i="4"/>
  <c r="S1237" i="3"/>
  <c r="S1181" i="3"/>
  <c r="S1169" i="3"/>
  <c r="S1144" i="3"/>
  <c r="S1132" i="3"/>
  <c r="S249" i="3"/>
  <c r="S225" i="3"/>
  <c r="S138" i="3"/>
  <c r="S78" i="3"/>
  <c r="S42" i="3"/>
  <c r="S30" i="3"/>
  <c r="S6" i="3"/>
  <c r="S1083" i="3"/>
  <c r="S1071" i="3"/>
  <c r="S1035" i="3"/>
  <c r="S1023" i="3"/>
  <c r="S1011" i="3"/>
  <c r="S999" i="3"/>
  <c r="S963" i="3"/>
  <c r="S939" i="3"/>
  <c r="S903" i="3"/>
  <c r="S879" i="3"/>
  <c r="S843" i="3"/>
  <c r="S831" i="3"/>
  <c r="S795" i="3"/>
  <c r="S771" i="3"/>
  <c r="S747" i="3"/>
  <c r="S723" i="3"/>
  <c r="S711" i="3"/>
  <c r="S663" i="3"/>
  <c r="S651" i="3"/>
  <c r="S603" i="3"/>
  <c r="S591" i="3"/>
  <c r="S555" i="3"/>
  <c r="S531" i="3"/>
  <c r="S519" i="3"/>
  <c r="S495" i="3"/>
  <c r="S435" i="3"/>
  <c r="S224" i="3"/>
  <c r="S165" i="3"/>
  <c r="S125" i="3"/>
  <c r="S113" i="3"/>
  <c r="S77" i="3"/>
  <c r="S65" i="3"/>
  <c r="S29" i="3"/>
  <c r="S1203" i="3"/>
  <c r="S349" i="3"/>
  <c r="S178" i="3"/>
  <c r="S88" i="3"/>
  <c r="S877" i="3"/>
  <c r="S733" i="3"/>
  <c r="S721" i="3"/>
  <c r="S709" i="3"/>
  <c r="S637" i="3"/>
  <c r="S625" i="3"/>
  <c r="S613" i="3"/>
  <c r="S601" i="3"/>
  <c r="S589" i="3"/>
  <c r="S541" i="3"/>
  <c r="S457" i="3"/>
  <c r="S258" i="3"/>
  <c r="S222" i="3"/>
  <c r="S99" i="3"/>
  <c r="S51" i="3"/>
  <c r="S299" i="3"/>
  <c r="S209" i="3"/>
  <c r="S1318" i="3"/>
  <c r="S309" i="3"/>
  <c r="S74" i="3"/>
  <c r="S971" i="3"/>
  <c r="S635" i="3"/>
  <c r="S623" i="3"/>
  <c r="S611" i="3"/>
  <c r="S575" i="3"/>
  <c r="S551" i="3"/>
  <c r="S539" i="3"/>
  <c r="S479" i="3"/>
  <c r="S443" i="3"/>
  <c r="S431" i="3"/>
  <c r="S346" i="3"/>
  <c r="S333" i="3"/>
  <c r="S320" i="3"/>
  <c r="S308" i="3"/>
  <c r="S296" i="3"/>
  <c r="S268" i="3"/>
  <c r="S244" i="3"/>
  <c r="S232" i="3"/>
  <c r="S204" i="3"/>
  <c r="S159" i="3"/>
  <c r="S147" i="3"/>
  <c r="S97" i="3"/>
  <c r="S85" i="3"/>
  <c r="S73" i="3"/>
  <c r="S25" i="3"/>
  <c r="S814" i="3"/>
  <c r="S307" i="3"/>
  <c r="S267" i="3"/>
  <c r="S255" i="3"/>
  <c r="S243" i="3"/>
  <c r="S219" i="3"/>
  <c r="S203" i="3"/>
  <c r="S108" i="3"/>
  <c r="S96" i="3"/>
  <c r="S48" i="3"/>
  <c r="S12" i="3"/>
  <c r="S1333" i="3"/>
  <c r="S1191" i="3"/>
  <c r="S271" i="3"/>
  <c r="S16" i="3"/>
  <c r="S1069" i="3"/>
  <c r="S205" i="3"/>
  <c r="S62" i="3"/>
  <c r="S38" i="3"/>
  <c r="S59" i="3"/>
  <c r="S1285" i="3"/>
  <c r="S1320" i="3"/>
  <c r="S247" i="3"/>
  <c r="S1057" i="3"/>
  <c r="S985" i="3"/>
  <c r="S949" i="3"/>
  <c r="S829" i="3"/>
  <c r="S781" i="3"/>
  <c r="S1293" i="3"/>
  <c r="S1213" i="3"/>
  <c r="S1189" i="3"/>
  <c r="S1056" i="3"/>
  <c r="S160" i="3"/>
  <c r="S98" i="3"/>
  <c r="S983" i="3"/>
  <c r="S899" i="3"/>
  <c r="S1279" i="3"/>
  <c r="S1219" i="3"/>
  <c r="S1126" i="3"/>
  <c r="S1326" i="3"/>
  <c r="S1149" i="3"/>
  <c r="S1065" i="3"/>
  <c r="S1029" i="3"/>
  <c r="S993" i="3"/>
  <c r="S921" i="3"/>
  <c r="S789" i="3"/>
  <c r="S669" i="3"/>
  <c r="S633" i="3"/>
  <c r="S501" i="3"/>
  <c r="S280" i="3"/>
  <c r="S131" i="3"/>
  <c r="S305" i="3"/>
  <c r="S1297" i="3"/>
  <c r="S1348" i="3"/>
  <c r="S1331" i="3"/>
  <c r="S408" i="3"/>
  <c r="S223" i="3"/>
  <c r="S1345" i="3"/>
  <c r="S1166" i="3"/>
  <c r="S1117" i="3"/>
  <c r="S1081" i="3"/>
  <c r="S901" i="3"/>
  <c r="S769" i="3"/>
  <c r="S1140" i="3"/>
  <c r="S1031" i="3"/>
  <c r="S1007" i="3"/>
  <c r="S923" i="3"/>
  <c r="S887" i="3"/>
  <c r="S779" i="3"/>
  <c r="S743" i="3"/>
  <c r="S1357" i="3"/>
  <c r="S1255" i="3"/>
  <c r="S1054" i="3"/>
  <c r="S1053" i="3"/>
  <c r="S981" i="3"/>
  <c r="S945" i="3"/>
  <c r="S873" i="3"/>
  <c r="S837" i="3"/>
  <c r="S765" i="3"/>
  <c r="S657" i="3"/>
  <c r="S537" i="3"/>
  <c r="S465" i="3"/>
  <c r="S35" i="3"/>
  <c r="S1209" i="3"/>
  <c r="S1173" i="3"/>
  <c r="S402" i="3"/>
  <c r="S317" i="3"/>
  <c r="S201" i="3"/>
  <c r="S184" i="3"/>
  <c r="S142" i="3"/>
  <c r="S70" i="3"/>
  <c r="S34" i="3"/>
  <c r="S1324" i="3"/>
  <c r="S1312" i="3"/>
  <c r="S1288" i="3"/>
  <c r="S1147" i="3"/>
  <c r="S1135" i="3"/>
  <c r="S1123" i="3"/>
  <c r="S1111" i="3"/>
  <c r="S1099" i="3"/>
  <c r="S1063" i="3"/>
  <c r="S1039" i="3"/>
  <c r="S1015" i="3"/>
  <c r="S979" i="3"/>
  <c r="S967" i="3"/>
  <c r="S943" i="3"/>
  <c r="S931" i="3"/>
  <c r="S919" i="3"/>
  <c r="S907" i="3"/>
  <c r="S883" i="3"/>
  <c r="S847" i="3"/>
  <c r="S835" i="3"/>
  <c r="S823" i="3"/>
  <c r="S787" i="3"/>
  <c r="S775" i="3"/>
  <c r="S763" i="3"/>
  <c r="S727" i="3"/>
  <c r="S679" i="3"/>
  <c r="S667" i="3"/>
  <c r="S631" i="3"/>
  <c r="S619" i="3"/>
  <c r="S607" i="3"/>
  <c r="S595" i="3"/>
  <c r="S583" i="3"/>
  <c r="S559" i="3"/>
  <c r="S547" i="3"/>
  <c r="S523" i="3"/>
  <c r="S499" i="3"/>
  <c r="S475" i="3"/>
  <c r="S463" i="3"/>
  <c r="S304" i="3"/>
  <c r="S292" i="3"/>
  <c r="S264" i="3"/>
  <c r="S252" i="3"/>
  <c r="S228" i="3"/>
  <c r="S200" i="3"/>
  <c r="S93" i="3"/>
  <c r="S45" i="3"/>
  <c r="S33" i="3"/>
  <c r="S1271" i="3"/>
  <c r="S323" i="3"/>
  <c r="S1282" i="3"/>
  <c r="S1129" i="3"/>
  <c r="S1009" i="3"/>
  <c r="S925" i="3"/>
  <c r="S841" i="3"/>
  <c r="S1269" i="3"/>
  <c r="S1201" i="3"/>
  <c r="S245" i="3"/>
  <c r="S122" i="3"/>
  <c r="S1328" i="3"/>
  <c r="S1280" i="3"/>
  <c r="S1164" i="3"/>
  <c r="S1079" i="3"/>
  <c r="S1043" i="3"/>
  <c r="S995" i="3"/>
  <c r="S947" i="3"/>
  <c r="S875" i="3"/>
  <c r="S719" i="3"/>
  <c r="S1267" i="3"/>
  <c r="S1187" i="3"/>
  <c r="S1138" i="3"/>
  <c r="S1113" i="3"/>
  <c r="S1041" i="3"/>
  <c r="S1005" i="3"/>
  <c r="S969" i="3"/>
  <c r="S933" i="3"/>
  <c r="S777" i="3"/>
  <c r="S585" i="3"/>
  <c r="S561" i="3"/>
  <c r="S477" i="3"/>
  <c r="S242" i="3"/>
  <c r="S202" i="3"/>
  <c r="S143" i="3"/>
  <c r="S1253" i="3"/>
  <c r="S1336" i="3"/>
  <c r="S1287" i="3"/>
  <c r="S1251" i="3"/>
  <c r="S1195" i="3"/>
  <c r="S1183" i="3"/>
  <c r="S1134" i="3"/>
  <c r="S369" i="3"/>
  <c r="S303" i="3"/>
  <c r="S291" i="3"/>
  <c r="S227" i="3"/>
  <c r="S199" i="3"/>
  <c r="S168" i="3"/>
  <c r="S154" i="3"/>
  <c r="S140" i="3"/>
  <c r="S80" i="3"/>
  <c r="S56" i="3"/>
  <c r="S32" i="3"/>
  <c r="S20" i="3"/>
  <c r="S8" i="3"/>
  <c r="S1273" i="3"/>
  <c r="S2" i="3"/>
  <c r="S1351" i="3"/>
  <c r="S1322" i="3"/>
  <c r="S1262" i="3"/>
  <c r="S1133" i="3"/>
  <c r="S1121" i="3"/>
  <c r="S1097" i="3"/>
  <c r="S1085" i="3"/>
  <c r="S1073" i="3"/>
  <c r="S1037" i="3"/>
  <c r="S1013" i="3"/>
  <c r="S1001" i="3"/>
  <c r="S941" i="3"/>
  <c r="S857" i="3"/>
  <c r="S845" i="3"/>
  <c r="S833" i="3"/>
  <c r="S821" i="3"/>
  <c r="S773" i="3"/>
  <c r="S761" i="3"/>
  <c r="S749" i="3"/>
  <c r="S701" i="3"/>
  <c r="S677" i="3"/>
  <c r="S665" i="3"/>
  <c r="S653" i="3"/>
  <c r="S641" i="3"/>
  <c r="S629" i="3"/>
  <c r="S605" i="3"/>
  <c r="S593" i="3"/>
  <c r="S557" i="3"/>
  <c r="S545" i="3"/>
  <c r="S521" i="3"/>
  <c r="S485" i="3"/>
  <c r="S473" i="3"/>
  <c r="S437" i="3"/>
  <c r="S425" i="3"/>
  <c r="S412" i="3"/>
  <c r="S340" i="3"/>
  <c r="S326" i="3"/>
  <c r="S314" i="3"/>
  <c r="S290" i="3"/>
  <c r="S274" i="3"/>
  <c r="S238" i="3"/>
  <c r="S226" i="3"/>
  <c r="S212" i="3"/>
  <c r="S198" i="3"/>
  <c r="S153" i="3"/>
  <c r="S139" i="3"/>
  <c r="S91" i="3"/>
  <c r="S79" i="3"/>
  <c r="S31" i="3"/>
  <c r="S19" i="3"/>
  <c r="M399" i="4"/>
  <c r="M81" i="4"/>
  <c r="M393" i="4"/>
  <c r="M20" i="4"/>
  <c r="M124" i="4"/>
  <c r="M214" i="4"/>
  <c r="M136" i="4"/>
  <c r="M215" i="4"/>
  <c r="M279" i="4"/>
  <c r="M537" i="4"/>
  <c r="M199" i="4"/>
  <c r="M329" i="4"/>
  <c r="M229" i="4"/>
  <c r="M128" i="4"/>
  <c r="M427" i="4"/>
  <c r="M272" i="4"/>
  <c r="M438" i="4"/>
  <c r="M90" i="4"/>
  <c r="M121" i="4"/>
  <c r="M226" i="4"/>
  <c r="M531" i="4"/>
  <c r="M411" i="4"/>
  <c r="M158" i="4"/>
  <c r="M243" i="4"/>
  <c r="M338" i="4"/>
  <c r="M513" i="4"/>
  <c r="M123" i="4"/>
  <c r="M450" i="4"/>
  <c r="M173" i="4"/>
  <c r="M270" i="4"/>
  <c r="M293" i="4"/>
  <c r="M331" i="4"/>
  <c r="M470" i="4"/>
  <c r="M544" i="4"/>
  <c r="M502" i="4"/>
  <c r="M510" i="4"/>
  <c r="M498" i="4"/>
  <c r="M488" i="4"/>
  <c r="M186" i="4"/>
  <c r="M351" i="4"/>
  <c r="M475" i="4"/>
  <c r="M407" i="4"/>
  <c r="M492" i="4"/>
  <c r="M446" i="4"/>
  <c r="M100" i="4"/>
  <c r="M539" i="4"/>
  <c r="M231" i="4"/>
  <c r="M246" i="4"/>
  <c r="M377" i="4"/>
  <c r="M449" i="4"/>
  <c r="M116" i="4"/>
  <c r="M481" i="4"/>
  <c r="M87" i="4"/>
  <c r="M98" i="4"/>
  <c r="M248" i="4"/>
  <c r="M500" i="4"/>
  <c r="M541" i="4"/>
  <c r="M467" i="4"/>
  <c r="M365" i="4"/>
  <c r="M543" i="4"/>
  <c r="M132" i="4"/>
  <c r="M237" i="4"/>
  <c r="M441" i="4"/>
  <c r="M458" i="4"/>
  <c r="M522" i="4"/>
  <c r="M83" i="4"/>
  <c r="M546" i="4"/>
  <c r="M212" i="4"/>
  <c r="M75" i="4"/>
  <c r="M201" i="4"/>
  <c r="M385" i="4"/>
  <c r="M456" i="4"/>
  <c r="M468" i="4"/>
  <c r="M301" i="4"/>
  <c r="M195" i="4"/>
  <c r="M5" i="4"/>
  <c r="M35" i="4"/>
  <c r="M504" i="4"/>
  <c r="M386" i="4"/>
  <c r="M421" i="4"/>
  <c r="M325" i="4"/>
  <c r="M238" i="4"/>
  <c r="M526" i="4"/>
  <c r="M303" i="4"/>
  <c r="M536" i="4"/>
  <c r="M224" i="4"/>
  <c r="M527" i="4"/>
  <c r="M113" i="4"/>
  <c r="M528" i="4"/>
  <c r="M307" i="4"/>
  <c r="M552" i="4"/>
  <c r="M95" i="4"/>
  <c r="M343" i="4"/>
  <c r="M425" i="4"/>
  <c r="M85" i="4"/>
  <c r="M280" i="4"/>
  <c r="M126" i="4"/>
  <c r="M516" i="4"/>
  <c r="M305" i="4"/>
  <c r="M94" i="4"/>
  <c r="M16" i="4"/>
  <c r="M183" i="4"/>
  <c r="M443" i="4"/>
  <c r="M540" i="4"/>
  <c r="M506" i="4"/>
  <c r="M242" i="4"/>
  <c r="M93" i="4"/>
  <c r="M494" i="4"/>
  <c r="M417" i="4"/>
  <c r="M503" i="4"/>
  <c r="M86" i="4"/>
  <c r="M166" i="4"/>
  <c r="M530" i="4"/>
  <c r="M406" i="4"/>
  <c r="M154" i="4"/>
  <c r="M422" i="4"/>
  <c r="M58" i="4"/>
  <c r="M339" i="4"/>
  <c r="M496" i="4"/>
  <c r="M512" i="4"/>
  <c r="M82" i="4"/>
  <c r="M77" i="4"/>
  <c r="M423" i="4"/>
  <c r="M142" i="4"/>
  <c r="M508" i="4"/>
  <c r="M474" i="4"/>
  <c r="M330" i="4"/>
  <c r="M302" i="4"/>
  <c r="T1332" i="3"/>
  <c r="S1332" i="3"/>
  <c r="T1260" i="3"/>
  <c r="S1260" i="3"/>
  <c r="T1168" i="3"/>
  <c r="S1168" i="3"/>
  <c r="S927" i="3"/>
  <c r="S687" i="3"/>
  <c r="T366" i="3"/>
  <c r="S366" i="3"/>
  <c r="S286" i="3"/>
  <c r="S179" i="3"/>
  <c r="T89" i="3"/>
  <c r="S89" i="3"/>
  <c r="T1259" i="3"/>
  <c r="S1259" i="3"/>
  <c r="T806" i="3"/>
  <c r="S806" i="3"/>
  <c r="T566" i="3"/>
  <c r="S566" i="3"/>
  <c r="T422" i="3"/>
  <c r="S422" i="3"/>
  <c r="S337" i="3"/>
  <c r="T1374" i="3"/>
  <c r="S1374" i="3"/>
  <c r="S1202" i="3"/>
  <c r="T1141" i="3"/>
  <c r="S1141" i="3"/>
  <c r="T1021" i="3"/>
  <c r="S1021" i="3"/>
  <c r="T889" i="3"/>
  <c r="S889" i="3"/>
  <c r="T805" i="3"/>
  <c r="S805" i="3"/>
  <c r="S745" i="3"/>
  <c r="T673" i="3"/>
  <c r="S673" i="3"/>
  <c r="T517" i="3"/>
  <c r="S517" i="3"/>
  <c r="T407" i="3"/>
  <c r="S407" i="3"/>
  <c r="S336" i="3"/>
  <c r="S207" i="3"/>
  <c r="S149" i="3"/>
  <c r="S87" i="3"/>
  <c r="S39" i="3"/>
  <c r="T1373" i="3"/>
  <c r="S1373" i="3"/>
  <c r="T1305" i="3"/>
  <c r="S1305" i="3"/>
  <c r="T1245" i="3"/>
  <c r="S1245" i="3"/>
  <c r="S1152" i="3"/>
  <c r="T1092" i="3"/>
  <c r="S1092" i="3"/>
  <c r="S972" i="3"/>
  <c r="S912" i="3"/>
  <c r="T816" i="3"/>
  <c r="S816" i="3"/>
  <c r="T756" i="3"/>
  <c r="S756" i="3"/>
  <c r="T696" i="3"/>
  <c r="S696" i="3"/>
  <c r="T564" i="3"/>
  <c r="S564" i="3"/>
  <c r="T110" i="3"/>
  <c r="S110" i="3"/>
  <c r="T1292" i="3"/>
  <c r="S1292" i="3"/>
  <c r="T1232" i="3"/>
  <c r="S1232" i="3"/>
  <c r="T1176" i="3"/>
  <c r="S1176" i="3"/>
  <c r="S851" i="3"/>
  <c r="T587" i="3"/>
  <c r="S587" i="3"/>
  <c r="T515" i="3"/>
  <c r="S515" i="3"/>
  <c r="T455" i="3"/>
  <c r="S455" i="3"/>
  <c r="S388" i="3"/>
  <c r="T1340" i="3"/>
  <c r="S1340" i="3"/>
  <c r="T682" i="3"/>
  <c r="S682" i="3"/>
  <c r="T490" i="3"/>
  <c r="S490" i="3"/>
  <c r="T1155" i="3"/>
  <c r="S1155" i="3"/>
  <c r="S1107" i="3"/>
  <c r="T975" i="3"/>
  <c r="S975" i="3"/>
  <c r="S915" i="3"/>
  <c r="T759" i="3"/>
  <c r="S759" i="3"/>
  <c r="T699" i="3"/>
  <c r="S699" i="3"/>
  <c r="T627" i="3"/>
  <c r="S627" i="3"/>
  <c r="T579" i="3"/>
  <c r="S579" i="3"/>
  <c r="T507" i="3"/>
  <c r="S507" i="3"/>
  <c r="T53" i="3"/>
  <c r="S53" i="3"/>
  <c r="S1319" i="3"/>
  <c r="T1247" i="3"/>
  <c r="S1247" i="3"/>
  <c r="Y1167" i="3"/>
  <c r="S1167" i="3"/>
  <c r="S986" i="3"/>
  <c r="T530" i="3"/>
  <c r="S530" i="3"/>
  <c r="T446" i="3"/>
  <c r="S446" i="3"/>
  <c r="T377" i="3"/>
  <c r="S377" i="3"/>
  <c r="S311" i="3"/>
  <c r="S235" i="3"/>
  <c r="T1178" i="3"/>
  <c r="S1178" i="3"/>
  <c r="T1105" i="3"/>
  <c r="S1105" i="3"/>
  <c r="T961" i="3"/>
  <c r="S961" i="3"/>
  <c r="T577" i="3"/>
  <c r="S577" i="3"/>
  <c r="T505" i="3"/>
  <c r="S505" i="3"/>
  <c r="T433" i="3"/>
  <c r="S433" i="3"/>
  <c r="T348" i="3"/>
  <c r="S348" i="3"/>
  <c r="S270" i="3"/>
  <c r="S191" i="3"/>
  <c r="T1221" i="3"/>
  <c r="S1221" i="3"/>
  <c r="T1068" i="3"/>
  <c r="S1068" i="3"/>
  <c r="T960" i="3"/>
  <c r="S960" i="3"/>
  <c r="S900" i="3"/>
  <c r="S708" i="3"/>
  <c r="T648" i="3"/>
  <c r="S648" i="3"/>
  <c r="T528" i="3"/>
  <c r="S528" i="3"/>
  <c r="T468" i="3"/>
  <c r="S468" i="3"/>
  <c r="T406" i="3"/>
  <c r="S406" i="3"/>
  <c r="T347" i="3"/>
  <c r="S347" i="3"/>
  <c r="T134" i="3"/>
  <c r="S134" i="3"/>
  <c r="Y1342" i="3"/>
  <c r="S1342" i="3"/>
  <c r="T1200" i="3"/>
  <c r="S1200" i="3"/>
  <c r="T1019" i="3"/>
  <c r="S1019" i="3"/>
  <c r="T959" i="3"/>
  <c r="S959" i="3"/>
  <c r="S839" i="3"/>
  <c r="S791" i="3"/>
  <c r="T731" i="3"/>
  <c r="S731" i="3"/>
  <c r="T671" i="3"/>
  <c r="S671" i="3"/>
  <c r="T405" i="3"/>
  <c r="S405" i="3"/>
  <c r="S13" i="3"/>
  <c r="T1199" i="3"/>
  <c r="S1199" i="3"/>
  <c r="T1078" i="3"/>
  <c r="S1078" i="3"/>
  <c r="T598" i="3"/>
  <c r="S598" i="3"/>
  <c r="Y442" i="3"/>
  <c r="S442" i="3"/>
  <c r="T373" i="3"/>
  <c r="S373" i="3"/>
  <c r="S281" i="3"/>
  <c r="S158" i="3"/>
  <c r="T1339" i="3"/>
  <c r="S1339" i="3"/>
  <c r="T1278" i="3"/>
  <c r="S1278" i="3"/>
  <c r="Y1218" i="3"/>
  <c r="S1218" i="3"/>
  <c r="S1137" i="3"/>
  <c r="S1089" i="3"/>
  <c r="S897" i="3"/>
  <c r="S729" i="3"/>
  <c r="T621" i="3"/>
  <c r="S621" i="3"/>
  <c r="S573" i="3"/>
  <c r="S525" i="3"/>
  <c r="T441" i="3"/>
  <c r="S441" i="3"/>
  <c r="T386" i="3"/>
  <c r="S386" i="3"/>
  <c r="T344" i="3"/>
  <c r="S344" i="3"/>
  <c r="S306" i="3"/>
  <c r="S157" i="3"/>
  <c r="T119" i="3"/>
  <c r="S119" i="3"/>
  <c r="S11" i="3"/>
  <c r="T1338" i="3"/>
  <c r="S1338" i="3"/>
  <c r="T1301" i="3"/>
  <c r="S1301" i="3"/>
  <c r="T1265" i="3"/>
  <c r="S1265" i="3"/>
  <c r="T1241" i="3"/>
  <c r="S1241" i="3"/>
  <c r="T1217" i="3"/>
  <c r="S1217" i="3"/>
  <c r="S1197" i="3"/>
  <c r="T1088" i="3"/>
  <c r="S1088" i="3"/>
  <c r="T1052" i="3"/>
  <c r="S1052" i="3"/>
  <c r="T1028" i="3"/>
  <c r="S1028" i="3"/>
  <c r="T1004" i="3"/>
  <c r="S1004" i="3"/>
  <c r="T956" i="3"/>
  <c r="S956" i="3"/>
  <c r="S872" i="3"/>
  <c r="T812" i="3"/>
  <c r="S812" i="3"/>
  <c r="S728" i="3"/>
  <c r="S704" i="3"/>
  <c r="T536" i="3"/>
  <c r="S536" i="3"/>
  <c r="T512" i="3"/>
  <c r="S512" i="3"/>
  <c r="T476" i="3"/>
  <c r="S476" i="3"/>
  <c r="T440" i="3"/>
  <c r="S440" i="3"/>
  <c r="T343" i="3"/>
  <c r="S343" i="3"/>
  <c r="S293" i="3"/>
  <c r="S253" i="3"/>
  <c r="S229" i="3"/>
  <c r="S46" i="3"/>
  <c r="T1376" i="3"/>
  <c r="S1376" i="3"/>
  <c r="T1308" i="3"/>
  <c r="S1308" i="3"/>
  <c r="T1248" i="3"/>
  <c r="S1248" i="3"/>
  <c r="T1095" i="3"/>
  <c r="S1095" i="3"/>
  <c r="S951" i="3"/>
  <c r="T891" i="3"/>
  <c r="S891" i="3"/>
  <c r="T819" i="3"/>
  <c r="S819" i="3"/>
  <c r="Y543" i="3"/>
  <c r="S543" i="3"/>
  <c r="T459" i="3"/>
  <c r="S459" i="3"/>
  <c r="T378" i="3"/>
  <c r="S378" i="3"/>
  <c r="S300" i="3"/>
  <c r="T1346" i="3"/>
  <c r="S1346" i="3"/>
  <c r="T1223" i="3"/>
  <c r="S1223" i="3"/>
  <c r="T1106" i="3"/>
  <c r="S1106" i="3"/>
  <c r="S1046" i="3"/>
  <c r="S974" i="3"/>
  <c r="T650" i="3"/>
  <c r="S650" i="3"/>
  <c r="T578" i="3"/>
  <c r="S578" i="3"/>
  <c r="T506" i="3"/>
  <c r="S506" i="3"/>
  <c r="T434" i="3"/>
  <c r="S434" i="3"/>
  <c r="T136" i="3"/>
  <c r="S136" i="3"/>
  <c r="S685" i="3"/>
  <c r="T565" i="3"/>
  <c r="S565" i="3"/>
  <c r="S493" i="3"/>
  <c r="T445" i="3"/>
  <c r="S445" i="3"/>
  <c r="T376" i="3"/>
  <c r="S376" i="3"/>
  <c r="S15" i="3"/>
  <c r="T1317" i="3"/>
  <c r="S1317" i="3"/>
  <c r="T1020" i="3"/>
  <c r="S1020" i="3"/>
  <c r="T864" i="3"/>
  <c r="S864" i="3"/>
  <c r="S744" i="3"/>
  <c r="T672" i="3"/>
  <c r="S672" i="3"/>
  <c r="T492" i="3"/>
  <c r="S492" i="3"/>
  <c r="T363" i="3"/>
  <c r="S363" i="3"/>
  <c r="T297" i="3"/>
  <c r="S297" i="3"/>
  <c r="S233" i="3"/>
  <c r="T1372" i="3"/>
  <c r="S1372" i="3"/>
  <c r="T1256" i="3"/>
  <c r="S1256" i="3"/>
  <c r="T1212" i="3"/>
  <c r="S1212" i="3"/>
  <c r="T1103" i="3"/>
  <c r="S1103" i="3"/>
  <c r="T935" i="3"/>
  <c r="S935" i="3"/>
  <c r="T803" i="3"/>
  <c r="S803" i="3"/>
  <c r="T683" i="3"/>
  <c r="S683" i="3"/>
  <c r="T491" i="3"/>
  <c r="S491" i="3"/>
  <c r="T374" i="3"/>
  <c r="S374" i="3"/>
  <c r="S175" i="3"/>
  <c r="T121" i="3"/>
  <c r="S121" i="3"/>
  <c r="T1315" i="3"/>
  <c r="S1315" i="3"/>
  <c r="T1211" i="3"/>
  <c r="S1211" i="3"/>
  <c r="T1150" i="3"/>
  <c r="S1150" i="3"/>
  <c r="T1090" i="3"/>
  <c r="S1090" i="3"/>
  <c r="S958" i="3"/>
  <c r="T850" i="3"/>
  <c r="S850" i="3"/>
  <c r="T802" i="3"/>
  <c r="S802" i="3"/>
  <c r="T742" i="3"/>
  <c r="S742" i="3"/>
  <c r="T694" i="3"/>
  <c r="S694" i="3"/>
  <c r="T646" i="3"/>
  <c r="S646" i="3"/>
  <c r="T622" i="3"/>
  <c r="S622" i="3"/>
  <c r="S586" i="3"/>
  <c r="T387" i="3"/>
  <c r="S387" i="3"/>
  <c r="S295" i="3"/>
  <c r="T24" i="3"/>
  <c r="S24" i="3"/>
  <c r="T1302" i="3"/>
  <c r="S1302" i="3"/>
  <c r="T1266" i="3"/>
  <c r="S1266" i="3"/>
  <c r="Y1242" i="3"/>
  <c r="S1242" i="3"/>
  <c r="S1210" i="3"/>
  <c r="Y1162" i="3"/>
  <c r="S1162" i="3"/>
  <c r="T885" i="3"/>
  <c r="S885" i="3"/>
  <c r="T849" i="3"/>
  <c r="S849" i="3"/>
  <c r="T813" i="3"/>
  <c r="S813" i="3"/>
  <c r="S717" i="3"/>
  <c r="T693" i="3"/>
  <c r="S693" i="3"/>
  <c r="T597" i="3"/>
  <c r="S597" i="3"/>
  <c r="T453" i="3"/>
  <c r="S453" i="3"/>
  <c r="T429" i="3"/>
  <c r="S429" i="3"/>
  <c r="T372" i="3"/>
  <c r="S372" i="3"/>
  <c r="S171" i="3"/>
  <c r="T23" i="3"/>
  <c r="S23" i="3"/>
  <c r="S1355" i="3"/>
  <c r="T1277" i="3"/>
  <c r="S1277" i="3"/>
  <c r="T1229" i="3"/>
  <c r="S1229" i="3"/>
  <c r="S1185" i="3"/>
  <c r="T1148" i="3"/>
  <c r="S1148" i="3"/>
  <c r="S1100" i="3"/>
  <c r="Y1076" i="3"/>
  <c r="S1076" i="3"/>
  <c r="T1064" i="3"/>
  <c r="S1064" i="3"/>
  <c r="T1040" i="3"/>
  <c r="S1040" i="3"/>
  <c r="T992" i="3"/>
  <c r="S992" i="3"/>
  <c r="S932" i="3"/>
  <c r="T908" i="3"/>
  <c r="S908" i="3"/>
  <c r="T800" i="3"/>
  <c r="S800" i="3"/>
  <c r="T740" i="3"/>
  <c r="S740" i="3"/>
  <c r="T716" i="3"/>
  <c r="S716" i="3"/>
  <c r="T656" i="3"/>
  <c r="S656" i="3"/>
  <c r="T632" i="3"/>
  <c r="S632" i="3"/>
  <c r="T572" i="3"/>
  <c r="S572" i="3"/>
  <c r="S548" i="3"/>
  <c r="T488" i="3"/>
  <c r="S488" i="3"/>
  <c r="T428" i="3"/>
  <c r="S428" i="3"/>
  <c r="T416" i="3"/>
  <c r="S416" i="3"/>
  <c r="T385" i="3"/>
  <c r="S385" i="3"/>
  <c r="S329" i="3"/>
  <c r="S215" i="3"/>
  <c r="T106" i="3"/>
  <c r="S106" i="3"/>
  <c r="S58" i="3"/>
  <c r="T1368" i="3"/>
  <c r="S1368" i="3"/>
  <c r="T1337" i="3"/>
  <c r="S1337" i="3"/>
  <c r="T1300" i="3"/>
  <c r="S1300" i="3"/>
  <c r="T1276" i="3"/>
  <c r="S1276" i="3"/>
  <c r="T1240" i="3"/>
  <c r="S1240" i="3"/>
  <c r="T1228" i="3"/>
  <c r="S1228" i="3"/>
  <c r="T1208" i="3"/>
  <c r="S1208" i="3"/>
  <c r="T1160" i="3"/>
  <c r="S1160" i="3"/>
  <c r="T1087" i="3"/>
  <c r="S1087" i="3"/>
  <c r="T1075" i="3"/>
  <c r="S1075" i="3"/>
  <c r="T1051" i="3"/>
  <c r="S1051" i="3"/>
  <c r="Y1027" i="3"/>
  <c r="S1027" i="3"/>
  <c r="T1003" i="3"/>
  <c r="S1003" i="3"/>
  <c r="T991" i="3"/>
  <c r="S991" i="3"/>
  <c r="T955" i="3"/>
  <c r="S955" i="3"/>
  <c r="S859" i="3"/>
  <c r="T811" i="3"/>
  <c r="S811" i="3"/>
  <c r="S751" i="3"/>
  <c r="T739" i="3"/>
  <c r="S739" i="3"/>
  <c r="T715" i="3"/>
  <c r="S715" i="3"/>
  <c r="S703" i="3"/>
  <c r="T691" i="3"/>
  <c r="S691" i="3"/>
  <c r="T655" i="3"/>
  <c r="S655" i="3"/>
  <c r="S643" i="3"/>
  <c r="T571" i="3"/>
  <c r="S571" i="3"/>
  <c r="T535" i="3"/>
  <c r="S535" i="3"/>
  <c r="T511" i="3"/>
  <c r="S511" i="3"/>
  <c r="T487" i="3"/>
  <c r="S487" i="3"/>
  <c r="S451" i="3"/>
  <c r="Y439" i="3"/>
  <c r="S439" i="3"/>
  <c r="T427" i="3"/>
  <c r="S427" i="3"/>
  <c r="T415" i="3"/>
  <c r="S415" i="3"/>
  <c r="S370" i="3"/>
  <c r="S356" i="3"/>
  <c r="T342" i="3"/>
  <c r="S342" i="3"/>
  <c r="T183" i="3"/>
  <c r="S183" i="3"/>
  <c r="S141" i="3"/>
  <c r="T117" i="3"/>
  <c r="S117" i="3"/>
  <c r="T105" i="3"/>
  <c r="S105" i="3"/>
  <c r="S81" i="3"/>
  <c r="S69" i="3"/>
  <c r="T1224" i="3"/>
  <c r="S1224" i="3"/>
  <c r="T1143" i="3"/>
  <c r="S1143" i="3"/>
  <c r="T867" i="3"/>
  <c r="S867" i="3"/>
  <c r="T807" i="3"/>
  <c r="S807" i="3"/>
  <c r="S483" i="3"/>
  <c r="T423" i="3"/>
  <c r="S423" i="3"/>
  <c r="S260" i="3"/>
  <c r="S194" i="3"/>
  <c r="T1375" i="3"/>
  <c r="S1375" i="3"/>
  <c r="T1307" i="3"/>
  <c r="S1307" i="3"/>
  <c r="T1235" i="3"/>
  <c r="S1235" i="3"/>
  <c r="T1179" i="3"/>
  <c r="S1179" i="3"/>
  <c r="T866" i="3"/>
  <c r="S866" i="3"/>
  <c r="S782" i="3"/>
  <c r="T626" i="3"/>
  <c r="S626" i="3"/>
  <c r="S554" i="3"/>
  <c r="T482" i="3"/>
  <c r="S482" i="3"/>
  <c r="T28" i="3"/>
  <c r="S28" i="3"/>
  <c r="T1330" i="3"/>
  <c r="S1330" i="3"/>
  <c r="T1234" i="3"/>
  <c r="S1234" i="3"/>
  <c r="T997" i="3"/>
  <c r="S997" i="3"/>
  <c r="S937" i="3"/>
  <c r="T865" i="3"/>
  <c r="S865" i="3"/>
  <c r="T817" i="3"/>
  <c r="S817" i="3"/>
  <c r="T757" i="3"/>
  <c r="S757" i="3"/>
  <c r="S697" i="3"/>
  <c r="S553" i="3"/>
  <c r="T469" i="3"/>
  <c r="S469" i="3"/>
  <c r="T421" i="3"/>
  <c r="S421" i="3"/>
  <c r="Y364" i="3"/>
  <c r="S364" i="3"/>
  <c r="T298" i="3"/>
  <c r="S298" i="3"/>
  <c r="S161" i="3"/>
  <c r="T1104" i="3"/>
  <c r="S1104" i="3"/>
  <c r="T732" i="3"/>
  <c r="S732" i="3"/>
  <c r="T684" i="3"/>
  <c r="S684" i="3"/>
  <c r="S576" i="3"/>
  <c r="T516" i="3"/>
  <c r="S516" i="3"/>
  <c r="T456" i="3"/>
  <c r="S456" i="3"/>
  <c r="T420" i="3"/>
  <c r="S420" i="3"/>
  <c r="S283" i="3"/>
  <c r="T26" i="3"/>
  <c r="S26" i="3"/>
  <c r="T1220" i="3"/>
  <c r="S1220" i="3"/>
  <c r="T1151" i="3"/>
  <c r="S1151" i="3"/>
  <c r="T1091" i="3"/>
  <c r="S1091" i="3"/>
  <c r="S767" i="3"/>
  <c r="S707" i="3"/>
  <c r="T659" i="3"/>
  <c r="S659" i="3"/>
  <c r="T527" i="3"/>
  <c r="S527" i="3"/>
  <c r="T467" i="3"/>
  <c r="S467" i="3"/>
  <c r="T419" i="3"/>
  <c r="S419" i="3"/>
  <c r="S220" i="3"/>
  <c r="T1303" i="3"/>
  <c r="S1303" i="3"/>
  <c r="T1243" i="3"/>
  <c r="S1243" i="3"/>
  <c r="Y1018" i="3"/>
  <c r="S1018" i="3"/>
  <c r="S970" i="3"/>
  <c r="T862" i="3"/>
  <c r="S862" i="3"/>
  <c r="S790" i="3"/>
  <c r="T706" i="3"/>
  <c r="S706" i="3"/>
  <c r="S634" i="3"/>
  <c r="T1254" i="3"/>
  <c r="S1254" i="3"/>
  <c r="T1077" i="3"/>
  <c r="S1077" i="3"/>
  <c r="S957" i="3"/>
  <c r="S909" i="3"/>
  <c r="T861" i="3"/>
  <c r="S861" i="3"/>
  <c r="T801" i="3"/>
  <c r="S801" i="3"/>
  <c r="T741" i="3"/>
  <c r="S741" i="3"/>
  <c r="T609" i="3"/>
  <c r="S609" i="3"/>
  <c r="T489" i="3"/>
  <c r="S489" i="3"/>
  <c r="S417" i="3"/>
  <c r="T1299" i="3"/>
  <c r="S1299" i="3"/>
  <c r="T1275" i="3"/>
  <c r="S1275" i="3"/>
  <c r="T1159" i="3"/>
  <c r="S1159" i="3"/>
  <c r="T1110" i="3"/>
  <c r="S1110" i="3"/>
  <c r="T1050" i="3"/>
  <c r="S1050" i="3"/>
  <c r="T1026" i="3"/>
  <c r="S1026" i="3"/>
  <c r="S942" i="3"/>
  <c r="T906" i="3"/>
  <c r="S906" i="3"/>
  <c r="T882" i="3"/>
  <c r="S882" i="3"/>
  <c r="S822" i="3"/>
  <c r="S798" i="3"/>
  <c r="T738" i="3"/>
  <c r="S738" i="3"/>
  <c r="T582" i="3"/>
  <c r="S582" i="3"/>
  <c r="S558" i="3"/>
  <c r="T450" i="3"/>
  <c r="S450" i="3"/>
  <c r="S128" i="3"/>
  <c r="Y1363" i="3"/>
  <c r="S1363" i="3"/>
  <c r="T1296" i="3"/>
  <c r="S1296" i="3"/>
  <c r="T1236" i="3"/>
  <c r="S1236" i="3"/>
  <c r="S1192" i="3"/>
  <c r="T735" i="3"/>
  <c r="S735" i="3"/>
  <c r="S675" i="3"/>
  <c r="T615" i="3"/>
  <c r="S615" i="3"/>
  <c r="S471" i="3"/>
  <c r="T396" i="3"/>
  <c r="S396" i="3"/>
  <c r="S17" i="3"/>
  <c r="T1295" i="3"/>
  <c r="S1295" i="3"/>
  <c r="T1142" i="3"/>
  <c r="S1142" i="3"/>
  <c r="T1094" i="3"/>
  <c r="S1094" i="3"/>
  <c r="T1022" i="3"/>
  <c r="S1022" i="3"/>
  <c r="T962" i="3"/>
  <c r="S962" i="3"/>
  <c r="T890" i="3"/>
  <c r="S890" i="3"/>
  <c r="T758" i="3"/>
  <c r="S758" i="3"/>
  <c r="S614" i="3"/>
  <c r="S542" i="3"/>
  <c r="T470" i="3"/>
  <c r="S470" i="3"/>
  <c r="T394" i="3"/>
  <c r="S394" i="3"/>
  <c r="T1306" i="3"/>
  <c r="S1306" i="3"/>
  <c r="T1246" i="3"/>
  <c r="S1246" i="3"/>
  <c r="T1093" i="3"/>
  <c r="S1093" i="3"/>
  <c r="S913" i="3"/>
  <c r="T853" i="3"/>
  <c r="S853" i="3"/>
  <c r="S793" i="3"/>
  <c r="T649" i="3"/>
  <c r="S649" i="3"/>
  <c r="T481" i="3"/>
  <c r="S481" i="3"/>
  <c r="T392" i="3"/>
  <c r="S392" i="3"/>
  <c r="S246" i="3"/>
  <c r="S177" i="3"/>
  <c r="T1343" i="3"/>
  <c r="S1343" i="3"/>
  <c r="S1281" i="3"/>
  <c r="T1233" i="3"/>
  <c r="S1233" i="3"/>
  <c r="T1177" i="3"/>
  <c r="S1177" i="3"/>
  <c r="T936" i="3"/>
  <c r="S936" i="3"/>
  <c r="T804" i="3"/>
  <c r="S804" i="3"/>
  <c r="S720" i="3"/>
  <c r="T660" i="3"/>
  <c r="S660" i="3"/>
  <c r="S612" i="3"/>
  <c r="T504" i="3"/>
  <c r="S504" i="3"/>
  <c r="T444" i="3"/>
  <c r="S444" i="3"/>
  <c r="T375" i="3"/>
  <c r="S375" i="3"/>
  <c r="S189" i="3"/>
  <c r="T1304" i="3"/>
  <c r="S1304" i="3"/>
  <c r="T1244" i="3"/>
  <c r="S1244" i="3"/>
  <c r="T1067" i="3"/>
  <c r="S1067" i="3"/>
  <c r="S911" i="3"/>
  <c r="T863" i="3"/>
  <c r="S863" i="3"/>
  <c r="T815" i="3"/>
  <c r="S815" i="3"/>
  <c r="T755" i="3"/>
  <c r="S755" i="3"/>
  <c r="T695" i="3"/>
  <c r="S695" i="3"/>
  <c r="T647" i="3"/>
  <c r="S647" i="3"/>
  <c r="S599" i="3"/>
  <c r="T563" i="3"/>
  <c r="S563" i="3"/>
  <c r="T503" i="3"/>
  <c r="S503" i="3"/>
  <c r="S187" i="3"/>
  <c r="T109" i="3"/>
  <c r="S109" i="3"/>
  <c r="S49" i="3"/>
  <c r="T1291" i="3"/>
  <c r="S1291" i="3"/>
  <c r="Y1231" i="3"/>
  <c r="S1231" i="3"/>
  <c r="T1175" i="3"/>
  <c r="S1175" i="3"/>
  <c r="T886" i="3"/>
  <c r="S886" i="3"/>
  <c r="S778" i="3"/>
  <c r="T514" i="3"/>
  <c r="S514" i="3"/>
  <c r="T454" i="3"/>
  <c r="S454" i="3"/>
  <c r="T430" i="3"/>
  <c r="S430" i="3"/>
  <c r="Y361" i="3"/>
  <c r="S361" i="3"/>
  <c r="T1370" i="3"/>
  <c r="S1370" i="3"/>
  <c r="T1230" i="3"/>
  <c r="S1230" i="3"/>
  <c r="S1101" i="3"/>
  <c r="T1017" i="3"/>
  <c r="S1017" i="3"/>
  <c r="S753" i="3"/>
  <c r="T705" i="3"/>
  <c r="S705" i="3"/>
  <c r="T681" i="3"/>
  <c r="S681" i="3"/>
  <c r="T645" i="3"/>
  <c r="S645" i="3"/>
  <c r="S549" i="3"/>
  <c r="T513" i="3"/>
  <c r="S513" i="3"/>
  <c r="T360" i="3"/>
  <c r="S360" i="3"/>
  <c r="S230" i="3"/>
  <c r="T107" i="3"/>
  <c r="S107" i="3"/>
  <c r="T1367" i="3"/>
  <c r="S1367" i="3"/>
  <c r="T1263" i="3"/>
  <c r="S1263" i="3"/>
  <c r="T1239" i="3"/>
  <c r="S1239" i="3"/>
  <c r="T1227" i="3"/>
  <c r="S1227" i="3"/>
  <c r="T1207" i="3"/>
  <c r="S1207" i="3"/>
  <c r="T1171" i="3"/>
  <c r="S1171" i="3"/>
  <c r="S1146" i="3"/>
  <c r="T1062" i="3"/>
  <c r="S1062" i="3"/>
  <c r="S1002" i="3"/>
  <c r="T978" i="3"/>
  <c r="S978" i="3"/>
  <c r="T918" i="3"/>
  <c r="S918" i="3"/>
  <c r="T870" i="3"/>
  <c r="S870" i="3"/>
  <c r="T810" i="3"/>
  <c r="S810" i="3"/>
  <c r="S786" i="3"/>
  <c r="T690" i="3"/>
  <c r="S690" i="3"/>
  <c r="T570" i="3"/>
  <c r="S570" i="3"/>
  <c r="S546" i="3"/>
  <c r="T462" i="3"/>
  <c r="S462" i="3"/>
  <c r="S381" i="3"/>
  <c r="T341" i="3"/>
  <c r="S341" i="3"/>
  <c r="T182" i="3"/>
  <c r="S182" i="3"/>
  <c r="T116" i="3"/>
  <c r="S116" i="3"/>
  <c r="S92" i="3"/>
  <c r="T1366" i="3"/>
  <c r="S1366" i="3"/>
  <c r="S1334" i="3"/>
  <c r="T1298" i="3"/>
  <c r="S1298" i="3"/>
  <c r="S1286" i="3"/>
  <c r="Y1250" i="3"/>
  <c r="S1250" i="3"/>
  <c r="T1226" i="3"/>
  <c r="S1226" i="3"/>
  <c r="T1206" i="3"/>
  <c r="S1206" i="3"/>
  <c r="T1194" i="3"/>
  <c r="S1194" i="3"/>
  <c r="T1158" i="3"/>
  <c r="S1158" i="3"/>
  <c r="T1109" i="3"/>
  <c r="S1109" i="3"/>
  <c r="T1049" i="3"/>
  <c r="S1049" i="3"/>
  <c r="T1025" i="3"/>
  <c r="S1025" i="3"/>
  <c r="S989" i="3"/>
  <c r="T977" i="3"/>
  <c r="S977" i="3"/>
  <c r="S965" i="3"/>
  <c r="S953" i="3"/>
  <c r="T929" i="3"/>
  <c r="S929" i="3"/>
  <c r="T917" i="3"/>
  <c r="S917" i="3"/>
  <c r="T905" i="3"/>
  <c r="S905" i="3"/>
  <c r="T881" i="3"/>
  <c r="S881" i="3"/>
  <c r="T809" i="3"/>
  <c r="S809" i="3"/>
  <c r="S785" i="3"/>
  <c r="T737" i="3"/>
  <c r="S737" i="3"/>
  <c r="S725" i="3"/>
  <c r="S713" i="3"/>
  <c r="T689" i="3"/>
  <c r="S689" i="3"/>
  <c r="T617" i="3"/>
  <c r="S617" i="3"/>
  <c r="T581" i="3"/>
  <c r="S581" i="3"/>
  <c r="T569" i="3"/>
  <c r="S569" i="3"/>
  <c r="S533" i="3"/>
  <c r="S509" i="3"/>
  <c r="S497" i="3"/>
  <c r="T461" i="3"/>
  <c r="S461" i="3"/>
  <c r="T449" i="3"/>
  <c r="S449" i="3"/>
  <c r="T398" i="3"/>
  <c r="S398" i="3"/>
  <c r="T380" i="3"/>
  <c r="S380" i="3"/>
  <c r="T368" i="3"/>
  <c r="S368" i="3"/>
  <c r="S302" i="3"/>
  <c r="S262" i="3"/>
  <c r="S250" i="3"/>
  <c r="T181" i="3"/>
  <c r="S181" i="3"/>
  <c r="T103" i="3"/>
  <c r="S103" i="3"/>
  <c r="S67" i="3"/>
  <c r="T55" i="3"/>
  <c r="S55" i="3"/>
  <c r="S7" i="3"/>
  <c r="S1131" i="3"/>
  <c r="T1059" i="3"/>
  <c r="S1059" i="3"/>
  <c r="T987" i="3"/>
  <c r="S987" i="3"/>
  <c r="T855" i="3"/>
  <c r="S855" i="3"/>
  <c r="T783" i="3"/>
  <c r="S783" i="3"/>
  <c r="T639" i="3"/>
  <c r="S639" i="3"/>
  <c r="T567" i="3"/>
  <c r="S567" i="3"/>
  <c r="T447" i="3"/>
  <c r="S447" i="3"/>
  <c r="T1362" i="3"/>
  <c r="S1362" i="3"/>
  <c r="T1215" i="3"/>
  <c r="S1215" i="3"/>
  <c r="T998" i="3"/>
  <c r="S998" i="3"/>
  <c r="T854" i="3"/>
  <c r="S854" i="3"/>
  <c r="S794" i="3"/>
  <c r="T674" i="3"/>
  <c r="S674" i="3"/>
  <c r="T518" i="3"/>
  <c r="S518" i="3"/>
  <c r="T365" i="3"/>
  <c r="S365" i="3"/>
  <c r="T112" i="3"/>
  <c r="S112" i="3"/>
  <c r="T52" i="3"/>
  <c r="S52" i="3"/>
  <c r="T1361" i="3"/>
  <c r="S1361" i="3"/>
  <c r="T1294" i="3"/>
  <c r="S1294" i="3"/>
  <c r="T1258" i="3"/>
  <c r="S1258" i="3"/>
  <c r="S1033" i="3"/>
  <c r="S973" i="3"/>
  <c r="S661" i="3"/>
  <c r="T529" i="3"/>
  <c r="S529" i="3"/>
  <c r="S322" i="3"/>
  <c r="S3" i="3"/>
  <c r="T1377" i="3"/>
  <c r="S1377" i="3"/>
  <c r="T1364" i="3"/>
  <c r="S1364" i="3"/>
  <c r="S1309" i="3"/>
  <c r="T1261" i="3"/>
  <c r="S1261" i="3"/>
  <c r="T1249" i="3"/>
  <c r="S1249" i="3"/>
  <c r="T1225" i="3"/>
  <c r="S1225" i="3"/>
  <c r="T1205" i="3"/>
  <c r="S1205" i="3"/>
  <c r="T1193" i="3"/>
  <c r="S1193" i="3"/>
  <c r="T1156" i="3"/>
  <c r="S1156" i="3"/>
  <c r="S1108" i="3"/>
  <c r="T1060" i="3"/>
  <c r="S1060" i="3"/>
  <c r="T1048" i="3"/>
  <c r="S1048" i="3"/>
  <c r="T988" i="3"/>
  <c r="S988" i="3"/>
  <c r="T976" i="3"/>
  <c r="S976" i="3"/>
  <c r="S928" i="3"/>
  <c r="T892" i="3"/>
  <c r="S892" i="3"/>
  <c r="T820" i="3"/>
  <c r="S820" i="3"/>
  <c r="T808" i="3"/>
  <c r="S808" i="3"/>
  <c r="T784" i="3"/>
  <c r="S784" i="3"/>
  <c r="T760" i="3"/>
  <c r="S760" i="3"/>
  <c r="T748" i="3"/>
  <c r="S748" i="3"/>
  <c r="T736" i="3"/>
  <c r="S736" i="3"/>
  <c r="T688" i="3"/>
  <c r="S688" i="3"/>
  <c r="S664" i="3"/>
  <c r="T640" i="3"/>
  <c r="S640" i="3"/>
  <c r="T628" i="3"/>
  <c r="S628" i="3"/>
  <c r="T616" i="3"/>
  <c r="S616" i="3"/>
  <c r="T580" i="3"/>
  <c r="S580" i="3"/>
  <c r="T568" i="3"/>
  <c r="S568" i="3"/>
  <c r="T544" i="3"/>
  <c r="S544" i="3"/>
  <c r="T508" i="3"/>
  <c r="S508" i="3"/>
  <c r="T448" i="3"/>
  <c r="S448" i="3"/>
  <c r="T424" i="3"/>
  <c r="S424" i="3"/>
  <c r="T397" i="3"/>
  <c r="S397" i="3"/>
  <c r="T379" i="3"/>
  <c r="S379" i="3"/>
  <c r="T367" i="3"/>
  <c r="S367" i="3"/>
  <c r="S353" i="3"/>
  <c r="S325" i="3"/>
  <c r="S313" i="3"/>
  <c r="S273" i="3"/>
  <c r="S261" i="3"/>
  <c r="T102" i="3"/>
  <c r="S102" i="3"/>
  <c r="Y90" i="3"/>
  <c r="S90" i="3"/>
  <c r="S66" i="3"/>
  <c r="T1342" i="3"/>
  <c r="T687" i="3"/>
  <c r="Y1345" i="3"/>
  <c r="T1345" i="3"/>
  <c r="Y1140" i="3"/>
  <c r="T1140" i="3"/>
  <c r="Y588" i="3"/>
  <c r="T588" i="3"/>
  <c r="T675" i="3"/>
  <c r="T1167" i="3"/>
  <c r="T1018" i="3"/>
  <c r="T1162" i="3"/>
  <c r="Y443" i="3"/>
  <c r="T443" i="3"/>
  <c r="T543" i="3"/>
  <c r="T1089" i="3"/>
  <c r="T1250" i="3"/>
  <c r="Y625" i="3"/>
  <c r="T625" i="3"/>
  <c r="Y1329" i="3"/>
  <c r="T1329" i="3"/>
  <c r="Y1371" i="3"/>
  <c r="T1371" i="3"/>
  <c r="Y1316" i="3"/>
  <c r="T1316" i="3"/>
  <c r="Y814" i="3"/>
  <c r="T814" i="3"/>
  <c r="Y610" i="3"/>
  <c r="T610" i="3"/>
  <c r="Y362" i="3"/>
  <c r="T362" i="3"/>
  <c r="Y346" i="3"/>
  <c r="T346" i="3"/>
  <c r="Y296" i="3"/>
  <c r="T296" i="3"/>
  <c r="Y135" i="3"/>
  <c r="T135" i="3"/>
  <c r="Y111" i="3"/>
  <c r="T111" i="3"/>
  <c r="Y51" i="3"/>
  <c r="T51" i="3"/>
  <c r="Y27" i="3"/>
  <c r="T27" i="3"/>
  <c r="T442" i="3"/>
  <c r="Y1222" i="3"/>
  <c r="T1222" i="3"/>
  <c r="Y1293" i="3"/>
  <c r="T1293" i="3"/>
  <c r="Y1328" i="3"/>
  <c r="T1328" i="3"/>
  <c r="Y88" i="3"/>
  <c r="T88" i="3"/>
  <c r="Y1255" i="3"/>
  <c r="T1255" i="3"/>
  <c r="Y1219" i="3"/>
  <c r="T1219" i="3"/>
  <c r="Y1163" i="3"/>
  <c r="T1163" i="3"/>
  <c r="Y1369" i="3"/>
  <c r="T1369" i="3"/>
  <c r="Y1149" i="3"/>
  <c r="T1149" i="3"/>
  <c r="T1076" i="3"/>
  <c r="T364" i="3"/>
  <c r="T54" i="3"/>
  <c r="T1253" i="3"/>
  <c r="Y1161" i="3"/>
  <c r="T1161" i="3"/>
  <c r="Y884" i="3"/>
  <c r="T884" i="3"/>
  <c r="Y692" i="3"/>
  <c r="T692" i="3"/>
  <c r="Y25" i="3"/>
  <c r="T25" i="3"/>
  <c r="Y1172" i="3"/>
  <c r="T1172" i="3"/>
  <c r="Y1147" i="3"/>
  <c r="T1147" i="3"/>
  <c r="Y1063" i="3"/>
  <c r="T1063" i="3"/>
  <c r="Y1039" i="3"/>
  <c r="T1039" i="3"/>
  <c r="Y907" i="3"/>
  <c r="T907" i="3"/>
  <c r="Y883" i="3"/>
  <c r="T883" i="3"/>
  <c r="T631" i="3"/>
  <c r="T475" i="3"/>
  <c r="Y120" i="3"/>
  <c r="T120" i="3"/>
  <c r="Y108" i="3"/>
  <c r="T108" i="3"/>
  <c r="T1242" i="3"/>
  <c r="Y930" i="3"/>
  <c r="T930" i="3"/>
  <c r="Y618" i="3"/>
  <c r="T618" i="3"/>
  <c r="T1231" i="3"/>
  <c r="T1218" i="3"/>
  <c r="T90" i="3"/>
  <c r="T1363" i="3"/>
  <c r="Y1331" i="3"/>
  <c r="T1331" i="3"/>
  <c r="Y1166" i="3"/>
  <c r="T1166" i="3"/>
  <c r="Y1336" i="3"/>
  <c r="T1336" i="3"/>
  <c r="Y1262" i="3"/>
  <c r="T1262" i="3"/>
  <c r="Y1297" i="3"/>
  <c r="T1297" i="3"/>
  <c r="Y1096" i="3"/>
  <c r="T1096" i="3"/>
  <c r="Y868" i="3"/>
  <c r="T868" i="3"/>
  <c r="Y856" i="3"/>
  <c r="T856" i="3"/>
  <c r="Y700" i="3"/>
  <c r="T700" i="3"/>
  <c r="Y676" i="3"/>
  <c r="T676" i="3"/>
  <c r="Y460" i="3"/>
  <c r="T460" i="3"/>
  <c r="Y340" i="3"/>
  <c r="T340" i="3"/>
  <c r="T1027" i="3"/>
  <c r="Y1216" i="3"/>
  <c r="T1216" i="3"/>
  <c r="Y1180" i="3"/>
  <c r="T1180" i="3"/>
  <c r="T747" i="3"/>
  <c r="Y104" i="3"/>
  <c r="T104" i="3"/>
  <c r="T361" i="3"/>
  <c r="Y818" i="3"/>
  <c r="T818" i="3"/>
  <c r="T439" i="3"/>
  <c r="AD1255" i="3"/>
  <c r="AD340" i="3"/>
  <c r="AD362" i="3"/>
  <c r="AD1172" i="3"/>
  <c r="AD296" i="3"/>
  <c r="AD111" i="3"/>
  <c r="AD51" i="3"/>
  <c r="AD442" i="3"/>
  <c r="AD818" i="3"/>
  <c r="AD1297" i="3"/>
  <c r="AD1231" i="3"/>
  <c r="AD25" i="3"/>
  <c r="AD610" i="3"/>
  <c r="AD1218" i="3"/>
  <c r="AD1369" i="3"/>
  <c r="Y1299" i="3"/>
  <c r="AD1299" i="3"/>
  <c r="Y1239" i="3"/>
  <c r="AD1239" i="3"/>
  <c r="Y1050" i="3"/>
  <c r="AD1050" i="3"/>
  <c r="Y882" i="3"/>
  <c r="AD882" i="3"/>
  <c r="Y570" i="3"/>
  <c r="AD570" i="3"/>
  <c r="Y1249" i="3"/>
  <c r="AD1249" i="3"/>
  <c r="Y1156" i="3"/>
  <c r="AD1156" i="3"/>
  <c r="Y1060" i="3"/>
  <c r="AD1060" i="3"/>
  <c r="Y1048" i="3"/>
  <c r="AD1048" i="3"/>
  <c r="Y988" i="3"/>
  <c r="AD988" i="3"/>
  <c r="Y976" i="3"/>
  <c r="AD976" i="3"/>
  <c r="Y892" i="3"/>
  <c r="AD892" i="3"/>
  <c r="Y820" i="3"/>
  <c r="AD820" i="3"/>
  <c r="Y808" i="3"/>
  <c r="AD808" i="3"/>
  <c r="Y784" i="3"/>
  <c r="AD784" i="3"/>
  <c r="Y760" i="3"/>
  <c r="AD760" i="3"/>
  <c r="Y748" i="3"/>
  <c r="AD748" i="3"/>
  <c r="Y736" i="3"/>
  <c r="AD736" i="3"/>
  <c r="Y688" i="3"/>
  <c r="AD688" i="3"/>
  <c r="Y640" i="3"/>
  <c r="AD640" i="3"/>
  <c r="Y628" i="3"/>
  <c r="AD628" i="3"/>
  <c r="Y616" i="3"/>
  <c r="AD616" i="3"/>
  <c r="Y580" i="3"/>
  <c r="AD580" i="3"/>
  <c r="Y568" i="3"/>
  <c r="AD568" i="3"/>
  <c r="Y544" i="3"/>
  <c r="AD544" i="3"/>
  <c r="Y508" i="3"/>
  <c r="AD508" i="3"/>
  <c r="Y448" i="3"/>
  <c r="AD448" i="3"/>
  <c r="Y424" i="3"/>
  <c r="AD424" i="3"/>
  <c r="Y398" i="3"/>
  <c r="AD398" i="3"/>
  <c r="Y380" i="3"/>
  <c r="AD380" i="3"/>
  <c r="Y368" i="3"/>
  <c r="AD368" i="3"/>
  <c r="Y183" i="3"/>
  <c r="AD183" i="3"/>
  <c r="Y117" i="3"/>
  <c r="AD117" i="3"/>
  <c r="Y105" i="3"/>
  <c r="AD105" i="3"/>
  <c r="AD1219" i="3"/>
  <c r="AD1345" i="3"/>
  <c r="AD1363" i="3"/>
  <c r="AD692" i="3"/>
  <c r="AD1096" i="3"/>
  <c r="Y738" i="3"/>
  <c r="AD738" i="3"/>
  <c r="Y23" i="3"/>
  <c r="AD23" i="3"/>
  <c r="Y1377" i="3"/>
  <c r="AD1377" i="3"/>
  <c r="Y891" i="3"/>
  <c r="AD891" i="3"/>
  <c r="Y867" i="3"/>
  <c r="AD867" i="3"/>
  <c r="Y855" i="3"/>
  <c r="AD855" i="3"/>
  <c r="Y819" i="3"/>
  <c r="AD819" i="3"/>
  <c r="Y807" i="3"/>
  <c r="AD807" i="3"/>
  <c r="Y783" i="3"/>
  <c r="AD783" i="3"/>
  <c r="Y627" i="3"/>
  <c r="AD627" i="3"/>
  <c r="Y567" i="3"/>
  <c r="AD567" i="3"/>
  <c r="Y459" i="3"/>
  <c r="AD459" i="3"/>
  <c r="Y447" i="3"/>
  <c r="AD447" i="3"/>
  <c r="Y423" i="3"/>
  <c r="AD423" i="3"/>
  <c r="AD397" i="3"/>
  <c r="Y379" i="3"/>
  <c r="AD379" i="3"/>
  <c r="AD367" i="3"/>
  <c r="AD182" i="3"/>
  <c r="Y116" i="3"/>
  <c r="AD116" i="3"/>
  <c r="AD1063" i="3"/>
  <c r="AD364" i="3"/>
  <c r="AD1222" i="3"/>
  <c r="AD460" i="3"/>
  <c r="AD443" i="3"/>
  <c r="AD88" i="3"/>
  <c r="AD120" i="3"/>
  <c r="AD1039" i="3"/>
  <c r="AD868" i="3"/>
  <c r="Y1366" i="3"/>
  <c r="AD1366" i="3"/>
  <c r="Y1062" i="3"/>
  <c r="AD1062" i="3"/>
  <c r="AD1242" i="3"/>
  <c r="Y1226" i="3"/>
  <c r="AD1226" i="3"/>
  <c r="Y1194" i="3"/>
  <c r="AD1194" i="3"/>
  <c r="Y881" i="3"/>
  <c r="AD881" i="3"/>
  <c r="Y689" i="3"/>
  <c r="AD689" i="3"/>
  <c r="Y581" i="3"/>
  <c r="AD581" i="3"/>
  <c r="Y449" i="3"/>
  <c r="AD449" i="3"/>
  <c r="Y106" i="3"/>
  <c r="AD106" i="3"/>
  <c r="Y1261" i="3"/>
  <c r="AD1261" i="3"/>
  <c r="Y1362" i="3"/>
  <c r="AD1362" i="3"/>
  <c r="Y1332" i="3"/>
  <c r="AD1332" i="3"/>
  <c r="Y1308" i="3"/>
  <c r="AD1308" i="3"/>
  <c r="Y1296" i="3"/>
  <c r="AD1296" i="3"/>
  <c r="Y1260" i="3"/>
  <c r="AD1260" i="3"/>
  <c r="Y1248" i="3"/>
  <c r="AD1248" i="3"/>
  <c r="Y1236" i="3"/>
  <c r="AD1236" i="3"/>
  <c r="Y1224" i="3"/>
  <c r="AD1224" i="3"/>
  <c r="Y1168" i="3"/>
  <c r="AD1168" i="3"/>
  <c r="Y1155" i="3"/>
  <c r="AD1155" i="3"/>
  <c r="AD1143" i="3"/>
  <c r="Y1258" i="3"/>
  <c r="AD1258" i="3"/>
  <c r="Y1246" i="3"/>
  <c r="AD1246" i="3"/>
  <c r="Y1234" i="3"/>
  <c r="AD1234" i="3"/>
  <c r="Y1178" i="3"/>
  <c r="AD1178" i="3"/>
  <c r="Y1141" i="3"/>
  <c r="AD1141" i="3"/>
  <c r="Y1093" i="3"/>
  <c r="AD1093" i="3"/>
  <c r="Y865" i="3"/>
  <c r="AD865" i="3"/>
  <c r="Y805" i="3"/>
  <c r="AD805" i="3"/>
  <c r="Y757" i="3"/>
  <c r="AD757" i="3"/>
  <c r="Y673" i="3"/>
  <c r="AD673" i="3"/>
  <c r="Y649" i="3"/>
  <c r="AD649" i="3"/>
  <c r="Y577" i="3"/>
  <c r="AD577" i="3"/>
  <c r="Y529" i="3"/>
  <c r="AD529" i="3"/>
  <c r="Y517" i="3"/>
  <c r="AD517" i="3"/>
  <c r="Y505" i="3"/>
  <c r="AD505" i="3"/>
  <c r="Y481" i="3"/>
  <c r="AD481" i="3"/>
  <c r="Y469" i="3"/>
  <c r="AD469" i="3"/>
  <c r="Y445" i="3"/>
  <c r="AD445" i="3"/>
  <c r="Y433" i="3"/>
  <c r="AD433" i="3"/>
  <c r="Y407" i="3"/>
  <c r="AD407" i="3"/>
  <c r="Y394" i="3"/>
  <c r="AD394" i="3"/>
  <c r="Y377" i="3"/>
  <c r="AD377" i="3"/>
  <c r="Y365" i="3"/>
  <c r="AD365" i="3"/>
  <c r="Y102" i="3"/>
  <c r="AD102" i="3"/>
  <c r="AD108" i="3"/>
  <c r="AD1027" i="3"/>
  <c r="AD1163" i="3"/>
  <c r="AD930" i="3"/>
  <c r="AD856" i="3"/>
  <c r="AD1336" i="3"/>
  <c r="AD907" i="3"/>
  <c r="AD1329" i="3"/>
  <c r="AD1018" i="3"/>
  <c r="AD1161" i="3"/>
  <c r="AD700" i="3"/>
  <c r="AD1216" i="3"/>
  <c r="AD90" i="3"/>
  <c r="AD1316" i="3"/>
  <c r="Y1110" i="3"/>
  <c r="AD1110" i="3"/>
  <c r="Y918" i="3"/>
  <c r="AD918" i="3"/>
  <c r="Y810" i="3"/>
  <c r="AD810" i="3"/>
  <c r="Y690" i="3"/>
  <c r="AD690" i="3"/>
  <c r="Y582" i="3"/>
  <c r="AD582" i="3"/>
  <c r="Y462" i="3"/>
  <c r="AD462" i="3"/>
  <c r="Y119" i="3"/>
  <c r="AD119" i="3"/>
  <c r="Y1364" i="3"/>
  <c r="AD1364" i="3"/>
  <c r="Y1298" i="3"/>
  <c r="AD1298" i="3"/>
  <c r="Y1206" i="3"/>
  <c r="AD1206" i="3"/>
  <c r="Y977" i="3"/>
  <c r="AD977" i="3"/>
  <c r="Y737" i="3"/>
  <c r="AD737" i="3"/>
  <c r="Y617" i="3"/>
  <c r="AD617" i="3"/>
  <c r="Y569" i="3"/>
  <c r="AD569" i="3"/>
  <c r="Y1095" i="3"/>
  <c r="AD1095" i="3"/>
  <c r="Y1059" i="3"/>
  <c r="AD1059" i="3"/>
  <c r="Y987" i="3"/>
  <c r="AD987" i="3"/>
  <c r="Y975" i="3"/>
  <c r="AD975" i="3"/>
  <c r="Y1200" i="3"/>
  <c r="AD1200" i="3"/>
  <c r="Y1067" i="3"/>
  <c r="AD1067" i="3"/>
  <c r="Y375" i="3"/>
  <c r="AD375" i="3"/>
  <c r="Y297" i="3"/>
  <c r="AD297" i="3"/>
  <c r="Y112" i="3"/>
  <c r="AD112" i="3"/>
  <c r="AD1167" i="3"/>
  <c r="AD1293" i="3"/>
  <c r="AD883" i="3"/>
  <c r="AD104" i="3"/>
  <c r="AD676" i="3"/>
  <c r="AD1262" i="3"/>
  <c r="AD588" i="3"/>
  <c r="AD1149" i="3"/>
  <c r="Y1227" i="3"/>
  <c r="AD1227" i="3"/>
  <c r="Y1026" i="3"/>
  <c r="AD1026" i="3"/>
  <c r="Y978" i="3"/>
  <c r="AD978" i="3"/>
  <c r="Y906" i="3"/>
  <c r="AD906" i="3"/>
  <c r="Y342" i="3"/>
  <c r="AD342" i="3"/>
  <c r="Y1049" i="3"/>
  <c r="AD1049" i="3"/>
  <c r="Y461" i="3"/>
  <c r="AD461" i="3"/>
  <c r="Y341" i="3"/>
  <c r="AD341" i="3"/>
  <c r="Y1376" i="3"/>
  <c r="AD1376" i="3"/>
  <c r="Y1375" i="3"/>
  <c r="AD1375" i="3"/>
  <c r="Y1361" i="3"/>
  <c r="AD1361" i="3"/>
  <c r="Y1346" i="3"/>
  <c r="AD1346" i="3"/>
  <c r="Y1307" i="3"/>
  <c r="AD1307" i="3"/>
  <c r="Y1295" i="3"/>
  <c r="AD1295" i="3"/>
  <c r="Y1259" i="3"/>
  <c r="AD1259" i="3"/>
  <c r="Y1247" i="3"/>
  <c r="AD1247" i="3"/>
  <c r="Y1235" i="3"/>
  <c r="AD1235" i="3"/>
  <c r="Y1223" i="3"/>
  <c r="AD1223" i="3"/>
  <c r="Y1215" i="3"/>
  <c r="AD1215" i="3"/>
  <c r="Y1142" i="3"/>
  <c r="AD1142" i="3"/>
  <c r="Y1106" i="3"/>
  <c r="AD1106" i="3"/>
  <c r="Y1094" i="3"/>
  <c r="AD1094" i="3"/>
  <c r="Y1022" i="3"/>
  <c r="AD1022" i="3"/>
  <c r="Y998" i="3"/>
  <c r="AD998" i="3"/>
  <c r="Y962" i="3"/>
  <c r="AD962" i="3"/>
  <c r="Y890" i="3"/>
  <c r="AD890" i="3"/>
  <c r="Y866" i="3"/>
  <c r="AD866" i="3"/>
  <c r="Y854" i="3"/>
  <c r="AD854" i="3"/>
  <c r="Y806" i="3"/>
  <c r="AD806" i="3"/>
  <c r="Y758" i="3"/>
  <c r="AD758" i="3"/>
  <c r="Y674" i="3"/>
  <c r="AD674" i="3"/>
  <c r="Y650" i="3"/>
  <c r="AD650" i="3"/>
  <c r="Y626" i="3"/>
  <c r="AD626" i="3"/>
  <c r="Y578" i="3"/>
  <c r="AD578" i="3"/>
  <c r="Y566" i="3"/>
  <c r="AD566" i="3"/>
  <c r="Y530" i="3"/>
  <c r="AD530" i="3"/>
  <c r="Y518" i="3"/>
  <c r="AD518" i="3"/>
  <c r="Y506" i="3"/>
  <c r="AD506" i="3"/>
  <c r="Y482" i="3"/>
  <c r="AD482" i="3"/>
  <c r="Y470" i="3"/>
  <c r="AD470" i="3"/>
  <c r="Y446" i="3"/>
  <c r="AD446" i="3"/>
  <c r="Y434" i="3"/>
  <c r="AD434" i="3"/>
  <c r="Y422" i="3"/>
  <c r="AD422" i="3"/>
  <c r="Y396" i="3"/>
  <c r="AD396" i="3"/>
  <c r="Y378" i="3"/>
  <c r="AD378" i="3"/>
  <c r="Y366" i="3"/>
  <c r="AD366" i="3"/>
  <c r="Y181" i="3"/>
  <c r="AD181" i="3"/>
  <c r="Y103" i="3"/>
  <c r="AD103" i="3"/>
  <c r="Y55" i="3"/>
  <c r="AD55" i="3"/>
  <c r="Y1373" i="3"/>
  <c r="AD1373" i="3"/>
  <c r="Y1330" i="3"/>
  <c r="AD1330" i="3"/>
  <c r="Y1306" i="3"/>
  <c r="AD1306" i="3"/>
  <c r="Y1294" i="3"/>
  <c r="AD1294" i="3"/>
  <c r="Y1372" i="3"/>
  <c r="AD1372" i="3"/>
  <c r="Y1343" i="3"/>
  <c r="AD1343" i="3"/>
  <c r="Y1317" i="3"/>
  <c r="AD1317" i="3"/>
  <c r="Y1305" i="3"/>
  <c r="AD1305" i="3"/>
  <c r="Y1177" i="3"/>
  <c r="AD1177" i="3"/>
  <c r="Y1104" i="3"/>
  <c r="AD1104" i="3"/>
  <c r="Y1092" i="3"/>
  <c r="AD1092" i="3"/>
  <c r="Y1068" i="3"/>
  <c r="AD1068" i="3"/>
  <c r="Y1020" i="3"/>
  <c r="AD1020" i="3"/>
  <c r="Y960" i="3"/>
  <c r="AD960" i="3"/>
  <c r="Y936" i="3"/>
  <c r="AD936" i="3"/>
  <c r="Y864" i="3"/>
  <c r="AD864" i="3"/>
  <c r="Y816" i="3"/>
  <c r="AD816" i="3"/>
  <c r="Y804" i="3"/>
  <c r="AD804" i="3"/>
  <c r="Y756" i="3"/>
  <c r="AD756" i="3"/>
  <c r="Y732" i="3"/>
  <c r="AD732" i="3"/>
  <c r="Y696" i="3"/>
  <c r="AD696" i="3"/>
  <c r="Y684" i="3"/>
  <c r="AD684" i="3"/>
  <c r="Y672" i="3"/>
  <c r="AD672" i="3"/>
  <c r="Y660" i="3"/>
  <c r="AD660" i="3"/>
  <c r="Y648" i="3"/>
  <c r="AD648" i="3"/>
  <c r="Y564" i="3"/>
  <c r="AD564" i="3"/>
  <c r="Y528" i="3"/>
  <c r="AD528" i="3"/>
  <c r="Y516" i="3"/>
  <c r="AD516" i="3"/>
  <c r="Y504" i="3"/>
  <c r="AD504" i="3"/>
  <c r="Y492" i="3"/>
  <c r="AD492" i="3"/>
  <c r="Y468" i="3"/>
  <c r="AD468" i="3"/>
  <c r="Y456" i="3"/>
  <c r="AD456" i="3"/>
  <c r="Y444" i="3"/>
  <c r="AD444" i="3"/>
  <c r="Y420" i="3"/>
  <c r="AD420" i="3"/>
  <c r="Y406" i="3"/>
  <c r="AD406" i="3"/>
  <c r="Y392" i="3"/>
  <c r="AD392" i="3"/>
  <c r="Y376" i="3"/>
  <c r="AD376" i="3"/>
  <c r="Y348" i="3"/>
  <c r="AD348" i="3"/>
  <c r="Y298" i="3"/>
  <c r="AD298" i="3"/>
  <c r="AD89" i="3"/>
  <c r="Y53" i="3"/>
  <c r="AD53" i="3"/>
  <c r="Y1304" i="3"/>
  <c r="AD1304" i="3"/>
  <c r="Y1292" i="3"/>
  <c r="AD1292" i="3"/>
  <c r="Y1256" i="3"/>
  <c r="AD1256" i="3"/>
  <c r="Y1244" i="3"/>
  <c r="AD1244" i="3"/>
  <c r="Y1232" i="3"/>
  <c r="AD1232" i="3"/>
  <c r="Y1220" i="3"/>
  <c r="AD1220" i="3"/>
  <c r="Y1212" i="3"/>
  <c r="AD1212" i="3"/>
  <c r="Y1176" i="3"/>
  <c r="AD1176" i="3"/>
  <c r="Y1151" i="3"/>
  <c r="AD1151" i="3"/>
  <c r="Y1019" i="3"/>
  <c r="AD1019" i="3"/>
  <c r="Y959" i="3"/>
  <c r="AD959" i="3"/>
  <c r="Y935" i="3"/>
  <c r="AD935" i="3"/>
  <c r="Y863" i="3"/>
  <c r="AD863" i="3"/>
  <c r="Y815" i="3"/>
  <c r="AD815" i="3"/>
  <c r="Y803" i="3"/>
  <c r="AD803" i="3"/>
  <c r="Y755" i="3"/>
  <c r="AD755" i="3"/>
  <c r="Y683" i="3"/>
  <c r="AD683" i="3"/>
  <c r="Y671" i="3"/>
  <c r="AD671" i="3"/>
  <c r="Y659" i="3"/>
  <c r="AD659" i="3"/>
  <c r="Y587" i="3"/>
  <c r="AD587" i="3"/>
  <c r="Y563" i="3"/>
  <c r="AD563" i="3"/>
  <c r="Y503" i="3"/>
  <c r="AD503" i="3"/>
  <c r="Y405" i="3"/>
  <c r="AD405" i="3"/>
  <c r="Y363" i="3"/>
  <c r="AD363" i="3"/>
  <c r="Y347" i="3"/>
  <c r="AD347" i="3"/>
  <c r="Y136" i="3"/>
  <c r="AD136" i="3"/>
  <c r="Y52" i="3"/>
  <c r="AD52" i="3"/>
  <c r="Y28" i="3"/>
  <c r="AD28" i="3"/>
  <c r="Y1370" i="3"/>
  <c r="AD1370" i="3"/>
  <c r="Y1340" i="3"/>
  <c r="AD1340" i="3"/>
  <c r="Y1315" i="3"/>
  <c r="AD1315" i="3"/>
  <c r="Y1303" i="3"/>
  <c r="AD1303" i="3"/>
  <c r="Y1243" i="3"/>
  <c r="AD1243" i="3"/>
  <c r="Y1211" i="3"/>
  <c r="AD1211" i="3"/>
  <c r="Y1199" i="3"/>
  <c r="AD1199" i="3"/>
  <c r="Y1175" i="3"/>
  <c r="AD1175" i="3"/>
  <c r="Y1150" i="3"/>
  <c r="AD1150" i="3"/>
  <c r="Y1090" i="3"/>
  <c r="AD1090" i="3"/>
  <c r="Y1078" i="3"/>
  <c r="AD1078" i="3"/>
  <c r="Y886" i="3"/>
  <c r="AD886" i="3"/>
  <c r="Y862" i="3"/>
  <c r="AD862" i="3"/>
  <c r="Y850" i="3"/>
  <c r="AD850" i="3"/>
  <c r="Y802" i="3"/>
  <c r="AD802" i="3"/>
  <c r="Y742" i="3"/>
  <c r="AD742" i="3"/>
  <c r="Y706" i="3"/>
  <c r="AD706" i="3"/>
  <c r="Y694" i="3"/>
  <c r="AD694" i="3"/>
  <c r="Y682" i="3"/>
  <c r="AD682" i="3"/>
  <c r="Y646" i="3"/>
  <c r="AD646" i="3"/>
  <c r="Y622" i="3"/>
  <c r="AD622" i="3"/>
  <c r="Y598" i="3"/>
  <c r="AD598" i="3"/>
  <c r="Y514" i="3"/>
  <c r="AD514" i="3"/>
  <c r="Y490" i="3"/>
  <c r="AD490" i="3"/>
  <c r="Y454" i="3"/>
  <c r="AD454" i="3"/>
  <c r="Y430" i="3"/>
  <c r="AD430" i="3"/>
  <c r="Y374" i="3"/>
  <c r="AD374" i="3"/>
  <c r="AD1140" i="3"/>
  <c r="AD346" i="3"/>
  <c r="AD1076" i="3"/>
  <c r="AD439" i="3"/>
  <c r="AD1180" i="3"/>
  <c r="AD54" i="3"/>
  <c r="AD1250" i="3"/>
  <c r="AD1147" i="3"/>
  <c r="Y1278" i="3"/>
  <c r="AD1278" i="3"/>
  <c r="Y1077" i="3"/>
  <c r="AD1077" i="3"/>
  <c r="Y1017" i="3"/>
  <c r="AD1017" i="3"/>
  <c r="Y813" i="3"/>
  <c r="AD813" i="3"/>
  <c r="Y801" i="3"/>
  <c r="AD801" i="3"/>
  <c r="Y741" i="3"/>
  <c r="AD741" i="3"/>
  <c r="Y693" i="3"/>
  <c r="AD693" i="3"/>
  <c r="Y681" i="3"/>
  <c r="AD681" i="3"/>
  <c r="Y645" i="3"/>
  <c r="AD645" i="3"/>
  <c r="Y621" i="3"/>
  <c r="AD621" i="3"/>
  <c r="Y609" i="3"/>
  <c r="AD609" i="3"/>
  <c r="Y597" i="3"/>
  <c r="AD597" i="3"/>
  <c r="Y513" i="3"/>
  <c r="AD513" i="3"/>
  <c r="Y489" i="3"/>
  <c r="AD489" i="3"/>
  <c r="Y453" i="3"/>
  <c r="AD453" i="3"/>
  <c r="Y429" i="3"/>
  <c r="AD429" i="3"/>
  <c r="Y387" i="3"/>
  <c r="AD387" i="3"/>
  <c r="Y373" i="3"/>
  <c r="AD373" i="3"/>
  <c r="Y134" i="3"/>
  <c r="AD134" i="3"/>
  <c r="Y110" i="3"/>
  <c r="AD110" i="3"/>
  <c r="Y26" i="3"/>
  <c r="AD26" i="3"/>
  <c r="AD1162" i="3"/>
  <c r="AD814" i="3"/>
  <c r="AD618" i="3"/>
  <c r="AD543" i="3"/>
  <c r="AD361" i="3"/>
  <c r="AD1331" i="3"/>
  <c r="AD1342" i="3"/>
  <c r="AD884" i="3"/>
  <c r="Y1263" i="3"/>
  <c r="AD1263" i="3"/>
  <c r="Y1207" i="3"/>
  <c r="AD1207" i="3"/>
  <c r="Y1159" i="3"/>
  <c r="AD1159" i="3"/>
  <c r="Y870" i="3"/>
  <c r="AD870" i="3"/>
  <c r="Y450" i="3"/>
  <c r="AD450" i="3"/>
  <c r="Y107" i="3"/>
  <c r="AD107" i="3"/>
  <c r="Y1339" i="3"/>
  <c r="AD1339" i="3"/>
  <c r="Y1302" i="3"/>
  <c r="AD1302" i="3"/>
  <c r="Y1266" i="3"/>
  <c r="AD1266" i="3"/>
  <c r="Y1254" i="3"/>
  <c r="AD1254" i="3"/>
  <c r="Y1230" i="3"/>
  <c r="AD1230" i="3"/>
  <c r="Y1368" i="3"/>
  <c r="AD1368" i="3"/>
  <c r="Y1338" i="3"/>
  <c r="AD1338" i="3"/>
  <c r="Y1301" i="3"/>
  <c r="AD1301" i="3"/>
  <c r="Y1277" i="3"/>
  <c r="AD1277" i="3"/>
  <c r="Y1265" i="3"/>
  <c r="AD1265" i="3"/>
  <c r="Y1229" i="3"/>
  <c r="AD1229" i="3"/>
  <c r="Y1148" i="3"/>
  <c r="AD1148" i="3"/>
  <c r="Y1088" i="3"/>
  <c r="AD1088" i="3"/>
  <c r="Y1064" i="3"/>
  <c r="AD1064" i="3"/>
  <c r="Y1052" i="3"/>
  <c r="AD1052" i="3"/>
  <c r="Y1040" i="3"/>
  <c r="AD1040" i="3"/>
  <c r="Y1028" i="3"/>
  <c r="AD1028" i="3"/>
  <c r="Y1004" i="3"/>
  <c r="AD1004" i="3"/>
  <c r="Y992" i="3"/>
  <c r="AD992" i="3"/>
  <c r="Y956" i="3"/>
  <c r="AD956" i="3"/>
  <c r="Y908" i="3"/>
  <c r="AD908" i="3"/>
  <c r="Y812" i="3"/>
  <c r="AD812" i="3"/>
  <c r="Y800" i="3"/>
  <c r="AD800" i="3"/>
  <c r="Y740" i="3"/>
  <c r="AD740" i="3"/>
  <c r="Y716" i="3"/>
  <c r="AD716" i="3"/>
  <c r="Y656" i="3"/>
  <c r="AD656" i="3"/>
  <c r="Y632" i="3"/>
  <c r="AD632" i="3"/>
  <c r="Y572" i="3"/>
  <c r="AD572" i="3"/>
  <c r="Y536" i="3"/>
  <c r="AD536" i="3"/>
  <c r="Y512" i="3"/>
  <c r="AD512" i="3"/>
  <c r="Y488" i="3"/>
  <c r="AD488" i="3"/>
  <c r="Y476" i="3"/>
  <c r="AD476" i="3"/>
  <c r="Y440" i="3"/>
  <c r="AD440" i="3"/>
  <c r="Y428" i="3"/>
  <c r="AD428" i="3"/>
  <c r="Y416" i="3"/>
  <c r="AD416" i="3"/>
  <c r="Y386" i="3"/>
  <c r="AD386" i="3"/>
  <c r="Y372" i="3"/>
  <c r="AD372" i="3"/>
  <c r="Y360" i="3"/>
  <c r="AD360" i="3"/>
  <c r="Y344" i="3"/>
  <c r="AD344" i="3"/>
  <c r="Y121" i="3"/>
  <c r="AD121" i="3"/>
  <c r="Y109" i="3"/>
  <c r="AD109" i="3"/>
  <c r="Y1367" i="3"/>
  <c r="AD1367" i="3"/>
  <c r="Y1337" i="3"/>
  <c r="AD1337" i="3"/>
  <c r="Y1300" i="3"/>
  <c r="AD1300" i="3"/>
  <c r="Y1276" i="3"/>
  <c r="AD1276" i="3"/>
  <c r="Y1240" i="3"/>
  <c r="AD1240" i="3"/>
  <c r="Y1228" i="3"/>
  <c r="AD1228" i="3"/>
  <c r="Y1208" i="3"/>
  <c r="AD1208" i="3"/>
  <c r="Y1160" i="3"/>
  <c r="AD1160" i="3"/>
  <c r="Y1087" i="3"/>
  <c r="AD1087" i="3"/>
  <c r="Y1051" i="3"/>
  <c r="AD1051" i="3"/>
  <c r="Y1003" i="3"/>
  <c r="AD1003" i="3"/>
  <c r="Y991" i="3"/>
  <c r="AD991" i="3"/>
  <c r="Y811" i="3"/>
  <c r="AD811" i="3"/>
  <c r="Y655" i="3"/>
  <c r="AD655" i="3"/>
  <c r="Y571" i="3"/>
  <c r="AD571" i="3"/>
  <c r="Y385" i="3"/>
  <c r="AD385" i="3"/>
  <c r="Y343" i="3"/>
  <c r="AD343" i="3"/>
  <c r="Y24" i="3"/>
  <c r="AD24" i="3"/>
  <c r="AD1166" i="3"/>
  <c r="AD1328" i="3"/>
  <c r="AD1371" i="3"/>
  <c r="AD625" i="3"/>
  <c r="AD27" i="3"/>
  <c r="AD135" i="3"/>
  <c r="I2" i="3"/>
  <c r="AA1364" i="3"/>
  <c r="AA182" i="3"/>
  <c r="R773" i="4" l="1"/>
  <c r="R778" i="4"/>
  <c r="Q778" i="4"/>
  <c r="Q775" i="4"/>
  <c r="R775" i="4"/>
  <c r="R771" i="4"/>
  <c r="Q771" i="4"/>
  <c r="R765" i="4"/>
  <c r="Q765" i="4"/>
  <c r="Q776" i="4"/>
  <c r="R776" i="4"/>
  <c r="R762" i="4"/>
  <c r="Q762" i="4"/>
  <c r="R757" i="4"/>
  <c r="AI1834" i="3"/>
  <c r="AI1886" i="3"/>
  <c r="K748" i="4"/>
  <c r="Q756" i="4"/>
  <c r="P752" i="4"/>
  <c r="Q752" i="4" s="1"/>
  <c r="K749" i="4"/>
  <c r="AI1812" i="3"/>
  <c r="AI1908" i="3"/>
  <c r="AI1798" i="3"/>
  <c r="AI1906" i="3"/>
  <c r="AI1794" i="3"/>
  <c r="K757" i="4"/>
  <c r="AI1884" i="3"/>
  <c r="AI1805" i="3"/>
  <c r="Q749" i="4"/>
  <c r="AI1692" i="3"/>
  <c r="AI1909" i="3"/>
  <c r="K750" i="4"/>
  <c r="P751" i="4"/>
  <c r="Q751" i="4" s="1"/>
  <c r="P723" i="4"/>
  <c r="R723" i="4" s="1"/>
  <c r="P738" i="4"/>
  <c r="R738" i="4" s="1"/>
  <c r="AI1537" i="3"/>
  <c r="AI1597" i="3"/>
  <c r="AI1523" i="3"/>
  <c r="AI1525" i="3"/>
  <c r="AI1844" i="3"/>
  <c r="AI1887" i="3"/>
  <c r="AI1485" i="3"/>
  <c r="AI1511" i="3"/>
  <c r="AI1793" i="3"/>
  <c r="AI1535" i="3"/>
  <c r="AI1813" i="3"/>
  <c r="AI1835" i="3"/>
  <c r="AI1682" i="3"/>
  <c r="K583" i="4"/>
  <c r="P746" i="4"/>
  <c r="Q746" i="4" s="1"/>
  <c r="P716" i="4"/>
  <c r="K725" i="4"/>
  <c r="P728" i="4"/>
  <c r="P731" i="4"/>
  <c r="P719" i="4"/>
  <c r="K731" i="4"/>
  <c r="R750" i="4"/>
  <c r="Q750" i="4"/>
  <c r="P583" i="4"/>
  <c r="Q583" i="4" s="1"/>
  <c r="K735" i="4"/>
  <c r="R748" i="4"/>
  <c r="Q748" i="4"/>
  <c r="K741" i="4"/>
  <c r="K726" i="4"/>
  <c r="K728" i="4"/>
  <c r="P740" i="4"/>
  <c r="R740" i="4" s="1"/>
  <c r="AI1841" i="3"/>
  <c r="AI1704" i="3"/>
  <c r="AI1863" i="3"/>
  <c r="I612" i="4"/>
  <c r="AI1762" i="3"/>
  <c r="AI1804" i="3"/>
  <c r="AI1754" i="3"/>
  <c r="AI1781" i="3"/>
  <c r="AI1668" i="3"/>
  <c r="AI1455" i="3"/>
  <c r="P725" i="4"/>
  <c r="K716" i="4"/>
  <c r="K746" i="4"/>
  <c r="K719" i="4"/>
  <c r="P729" i="4"/>
  <c r="K729" i="4"/>
  <c r="Q111" i="3"/>
  <c r="Q177" i="3"/>
  <c r="Q404" i="3"/>
  <c r="Q502" i="3"/>
  <c r="Q550" i="3"/>
  <c r="Q694" i="3"/>
  <c r="Q862" i="3"/>
  <c r="Q958" i="3"/>
  <c r="Q982" i="3"/>
  <c r="Q1006" i="3"/>
  <c r="Q1340" i="3"/>
  <c r="Q1136" i="3"/>
  <c r="Q76" i="3"/>
  <c r="Q164" i="3"/>
  <c r="Q334" i="3"/>
  <c r="Q390" i="3"/>
  <c r="Q1200" i="3"/>
  <c r="Q1244" i="3"/>
  <c r="Q1371" i="3"/>
  <c r="Q101" i="3"/>
  <c r="Q210" i="3"/>
  <c r="Q336" i="3"/>
  <c r="Q432" i="3"/>
  <c r="Q444" i="3"/>
  <c r="Q492" i="3"/>
  <c r="Q516" i="3"/>
  <c r="Q576" i="3"/>
  <c r="Q612" i="3"/>
  <c r="Q648" i="3"/>
  <c r="Q732" i="3"/>
  <c r="Q804" i="3"/>
  <c r="Q828" i="3"/>
  <c r="Q864" i="3"/>
  <c r="Q936" i="3"/>
  <c r="Q996" i="3"/>
  <c r="Q1020" i="3"/>
  <c r="Q1104" i="3"/>
  <c r="Q1329" i="3"/>
  <c r="Q632" i="3"/>
  <c r="Q848" i="3"/>
  <c r="Q18" i="3"/>
  <c r="Q126" i="3"/>
  <c r="Q166" i="3"/>
  <c r="Q1178" i="3"/>
  <c r="Q1214" i="3"/>
  <c r="Q1270" i="3"/>
  <c r="Q680" i="3"/>
  <c r="Q1004" i="3"/>
  <c r="Q14" i="3"/>
  <c r="Q55" i="3"/>
  <c r="Q250" i="3"/>
  <c r="Q300" i="3"/>
  <c r="Q434" i="3"/>
  <c r="Q494" i="3"/>
  <c r="Q506" i="3"/>
  <c r="Q554" i="3"/>
  <c r="Q578" i="3"/>
  <c r="Q626" i="3"/>
  <c r="Q650" i="3"/>
  <c r="Q686" i="3"/>
  <c r="Q710" i="3"/>
  <c r="Q770" i="3"/>
  <c r="Q830" i="3"/>
  <c r="Q854" i="3"/>
  <c r="Q878" i="3"/>
  <c r="Q938" i="3"/>
  <c r="Q950" i="3"/>
  <c r="Q962" i="3"/>
  <c r="Q986" i="3"/>
  <c r="Q1022" i="3"/>
  <c r="Q1094" i="3"/>
  <c r="Q1154" i="3"/>
  <c r="Q1259" i="3"/>
  <c r="Q332" i="3"/>
  <c r="Q44" i="3"/>
  <c r="Q213" i="3"/>
  <c r="Q313" i="3"/>
  <c r="Q379" i="3"/>
  <c r="Q1168" i="3"/>
  <c r="Q1216" i="3"/>
  <c r="Q1284" i="3"/>
  <c r="Q1308" i="3"/>
  <c r="Q1332" i="3"/>
  <c r="Q1354" i="3"/>
  <c r="Q105" i="3"/>
  <c r="Q155" i="3"/>
  <c r="Q276" i="3"/>
  <c r="Q368" i="3"/>
  <c r="Q380" i="3"/>
  <c r="Q496" i="3"/>
  <c r="Q520" i="3"/>
  <c r="Q544" i="3"/>
  <c r="Q568" i="3"/>
  <c r="Q652" i="3"/>
  <c r="Q688" i="3"/>
  <c r="Q712" i="3"/>
  <c r="Q736" i="3"/>
  <c r="Q748" i="3"/>
  <c r="Q808" i="3"/>
  <c r="Q880" i="3"/>
  <c r="Q1000" i="3"/>
  <c r="Q1048" i="3"/>
  <c r="Q1108" i="3"/>
  <c r="Q860" i="3"/>
  <c r="Q1076" i="3"/>
  <c r="Q257" i="3"/>
  <c r="Q10" i="3"/>
  <c r="Q22" i="3"/>
  <c r="Q156" i="3"/>
  <c r="Q170" i="3"/>
  <c r="Q253" i="3"/>
  <c r="Q327" i="3"/>
  <c r="Q355" i="3"/>
  <c r="Q1182" i="3"/>
  <c r="Q1250" i="3"/>
  <c r="Q1310" i="3"/>
  <c r="Q185" i="3"/>
  <c r="Q217" i="3"/>
  <c r="Q230" i="3"/>
  <c r="Q316" i="3"/>
  <c r="Q328" i="3"/>
  <c r="Q370" i="3"/>
  <c r="Q426" i="3"/>
  <c r="Q438" i="3"/>
  <c r="Q450" i="3"/>
  <c r="Q474" i="3"/>
  <c r="Q498" i="3"/>
  <c r="Q534" i="3"/>
  <c r="Q618" i="3"/>
  <c r="Q630" i="3"/>
  <c r="Q678" i="3"/>
  <c r="Q726" i="3"/>
  <c r="Q762" i="3"/>
  <c r="Q822" i="3"/>
  <c r="Q834" i="3"/>
  <c r="Q918" i="3"/>
  <c r="Q990" i="3"/>
  <c r="Q1026" i="3"/>
  <c r="Q1323" i="3"/>
  <c r="Q330" i="3"/>
  <c r="Q84" i="3"/>
  <c r="Q279" i="3"/>
  <c r="Q371" i="3"/>
  <c r="Q1184" i="3"/>
  <c r="Q1208" i="3"/>
  <c r="Q1252" i="3"/>
  <c r="Q500" i="3"/>
  <c r="Q13" i="3"/>
  <c r="Q37" i="3"/>
  <c r="Q49" i="3"/>
  <c r="Q61" i="3"/>
  <c r="Q121" i="3"/>
  <c r="Q133" i="3"/>
  <c r="Q220" i="3"/>
  <c r="Q256" i="3"/>
  <c r="Q294" i="3"/>
  <c r="Q318" i="3"/>
  <c r="Q386" i="3"/>
  <c r="Q416" i="3"/>
  <c r="Q428" i="3"/>
  <c r="Q440" i="3"/>
  <c r="Q452" i="3"/>
  <c r="Q464" i="3"/>
  <c r="Q476" i="3"/>
  <c r="Q488" i="3"/>
  <c r="Q512" i="3"/>
  <c r="Q524" i="3"/>
  <c r="Q536" i="3"/>
  <c r="Q548" i="3"/>
  <c r="Q560" i="3"/>
  <c r="Q572" i="3"/>
  <c r="Q584" i="3"/>
  <c r="Q596" i="3"/>
  <c r="Q608" i="3"/>
  <c r="Q620" i="3"/>
  <c r="Q644" i="3"/>
  <c r="Q656" i="3"/>
  <c r="Q668" i="3"/>
  <c r="Q692" i="3"/>
  <c r="Q704" i="3"/>
  <c r="Q716" i="3"/>
  <c r="Q728" i="3"/>
  <c r="Q740" i="3"/>
  <c r="Q752" i="3"/>
  <c r="Q764" i="3"/>
  <c r="Q776" i="3"/>
  <c r="Q788" i="3"/>
  <c r="Q800" i="3"/>
  <c r="Q812" i="3"/>
  <c r="Q824" i="3"/>
  <c r="Q836" i="3"/>
  <c r="Q872" i="3"/>
  <c r="Q884" i="3"/>
  <c r="Q896" i="3"/>
  <c r="Q908" i="3"/>
  <c r="Q920" i="3"/>
  <c r="Q932" i="3"/>
  <c r="Q944" i="3"/>
  <c r="Q956" i="3"/>
  <c r="Q968" i="3"/>
  <c r="Q980" i="3"/>
  <c r="Q992" i="3"/>
  <c r="Q1016" i="3"/>
  <c r="Q1028" i="3"/>
  <c r="Q1040" i="3"/>
  <c r="Q1052" i="3"/>
  <c r="Q1064" i="3"/>
  <c r="Q1088" i="3"/>
  <c r="Q1100" i="3"/>
  <c r="Q1112" i="3"/>
  <c r="Q1124" i="3"/>
  <c r="Q1161" i="3"/>
  <c r="Q1313" i="3"/>
  <c r="Q1325" i="3"/>
  <c r="Q1338" i="3"/>
  <c r="Q240" i="3"/>
  <c r="Q484" i="3"/>
  <c r="Q580" i="3"/>
  <c r="Q784" i="3"/>
  <c r="Q976" i="3"/>
  <c r="Q1072" i="3"/>
  <c r="Q1206" i="3"/>
  <c r="Q570" i="3"/>
  <c r="Q690" i="3"/>
  <c r="Q798" i="3"/>
  <c r="Q1050" i="3"/>
  <c r="Q1240" i="3"/>
  <c r="Q1367" i="3"/>
  <c r="Q50" i="3"/>
  <c r="Q86" i="3"/>
  <c r="Q148" i="3"/>
  <c r="Q176" i="3"/>
  <c r="Q189" i="3"/>
  <c r="Q221" i="3"/>
  <c r="Q233" i="3"/>
  <c r="Q281" i="3"/>
  <c r="Q295" i="3"/>
  <c r="Q319" i="3"/>
  <c r="Q361" i="3"/>
  <c r="Q373" i="3"/>
  <c r="Q387" i="3"/>
  <c r="Q403" i="3"/>
  <c r="Q1125" i="3"/>
  <c r="Q1137" i="3"/>
  <c r="Q1174" i="3"/>
  <c r="Q1186" i="3"/>
  <c r="Q1198" i="3"/>
  <c r="Q1210" i="3"/>
  <c r="Q1218" i="3"/>
  <c r="Q1230" i="3"/>
  <c r="Q1242" i="3"/>
  <c r="Q1266" i="3"/>
  <c r="Q1278" i="3"/>
  <c r="Q1290" i="3"/>
  <c r="Q1302" i="3"/>
  <c r="Q1314" i="3"/>
  <c r="Q1369" i="3"/>
  <c r="Q448" i="3"/>
  <c r="Q532" i="3"/>
  <c r="Q640" i="3"/>
  <c r="Q832" i="3"/>
  <c r="Q940" i="3"/>
  <c r="Q1036" i="3"/>
  <c r="Q1274" i="3"/>
  <c r="Q522" i="3"/>
  <c r="Q666" i="3"/>
  <c r="Q906" i="3"/>
  <c r="Q1014" i="3"/>
  <c r="Q1159" i="3"/>
  <c r="Q145" i="3"/>
  <c r="Q1196" i="3"/>
  <c r="Q1300" i="3"/>
  <c r="Q3" i="3"/>
  <c r="Q27" i="3"/>
  <c r="Q63" i="3"/>
  <c r="Q75" i="3"/>
  <c r="Q87" i="3"/>
  <c r="Q123" i="3"/>
  <c r="Q135" i="3"/>
  <c r="Q149" i="3"/>
  <c r="Q161" i="3"/>
  <c r="Q207" i="3"/>
  <c r="Q234" i="3"/>
  <c r="Q270" i="3"/>
  <c r="Q282" i="3"/>
  <c r="Q362" i="3"/>
  <c r="Q374" i="3"/>
  <c r="Q418" i="3"/>
  <c r="Q430" i="3"/>
  <c r="Q442" i="3"/>
  <c r="Q454" i="3"/>
  <c r="Q466" i="3"/>
  <c r="Q478" i="3"/>
  <c r="Q490" i="3"/>
  <c r="Q514" i="3"/>
  <c r="Q526" i="3"/>
  <c r="Q538" i="3"/>
  <c r="Q562" i="3"/>
  <c r="Q574" i="3"/>
  <c r="Q586" i="3"/>
  <c r="Q598" i="3"/>
  <c r="Q610" i="3"/>
  <c r="Q622" i="3"/>
  <c r="Q634" i="3"/>
  <c r="Q646" i="3"/>
  <c r="Q658" i="3"/>
  <c r="Q670" i="3"/>
  <c r="Q682" i="3"/>
  <c r="Q706" i="3"/>
  <c r="Q718" i="3"/>
  <c r="Q730" i="3"/>
  <c r="Q742" i="3"/>
  <c r="Q754" i="3"/>
  <c r="Q766" i="3"/>
  <c r="Q778" i="3"/>
  <c r="Q790" i="3"/>
  <c r="Q826" i="3"/>
  <c r="Q838" i="3"/>
  <c r="Q850" i="3"/>
  <c r="Q874" i="3"/>
  <c r="Q886" i="3"/>
  <c r="Q898" i="3"/>
  <c r="Q910" i="3"/>
  <c r="Q922" i="3"/>
  <c r="Q934" i="3"/>
  <c r="Q946" i="3"/>
  <c r="Q970" i="3"/>
  <c r="Q994" i="3"/>
  <c r="Q1018" i="3"/>
  <c r="Q1030" i="3"/>
  <c r="Q1042" i="3"/>
  <c r="Q1066" i="3"/>
  <c r="Q1078" i="3"/>
  <c r="Q1090" i="3"/>
  <c r="Q1102" i="3"/>
  <c r="Q1114" i="3"/>
  <c r="Q1163" i="3"/>
  <c r="Q1303" i="3"/>
  <c r="Q1327" i="3"/>
  <c r="Q1356" i="3"/>
  <c r="Q214" i="3"/>
  <c r="Q472" i="3"/>
  <c r="Q664" i="3"/>
  <c r="Q760" i="3"/>
  <c r="Q868" i="3"/>
  <c r="Q964" i="3"/>
  <c r="Q1156" i="3"/>
  <c r="Q582" i="3"/>
  <c r="Q714" i="3"/>
  <c r="Q846" i="3"/>
  <c r="Q978" i="3"/>
  <c r="Q1110" i="3"/>
  <c r="Q1311" i="3"/>
  <c r="Q173" i="3"/>
  <c r="Q4" i="3"/>
  <c r="Q28" i="3"/>
  <c r="Q64" i="3"/>
  <c r="Q100" i="3"/>
  <c r="Q112" i="3"/>
  <c r="Q124" i="3"/>
  <c r="Q136" i="3"/>
  <c r="Q192" i="3"/>
  <c r="Q259" i="3"/>
  <c r="Q297" i="3"/>
  <c r="Q347" i="3"/>
  <c r="Q1127" i="3"/>
  <c r="Q1139" i="3"/>
  <c r="Q1151" i="3"/>
  <c r="Q1176" i="3"/>
  <c r="Q1188" i="3"/>
  <c r="Q1212" i="3"/>
  <c r="Q1220" i="3"/>
  <c r="Q1232" i="3"/>
  <c r="Q1268" i="3"/>
  <c r="Q1316" i="3"/>
  <c r="Q183" i="3"/>
  <c r="Q398" i="3"/>
  <c r="Q508" i="3"/>
  <c r="Q616" i="3"/>
  <c r="Q904" i="3"/>
  <c r="Q1012" i="3"/>
  <c r="Q1120" i="3"/>
  <c r="Q1321" i="3"/>
  <c r="Q654" i="3"/>
  <c r="Q774" i="3"/>
  <c r="Q942" i="3"/>
  <c r="Q1074" i="3"/>
  <c r="Q72" i="3"/>
  <c r="Q120" i="3"/>
  <c r="Q1276" i="3"/>
  <c r="Q17" i="3"/>
  <c r="Q41" i="3"/>
  <c r="Q151" i="3"/>
  <c r="Q179" i="3"/>
  <c r="Q236" i="3"/>
  <c r="Q248" i="3"/>
  <c r="Q260" i="3"/>
  <c r="Q272" i="3"/>
  <c r="Q284" i="3"/>
  <c r="Q298" i="3"/>
  <c r="Q310" i="3"/>
  <c r="Q322" i="3"/>
  <c r="Q348" i="3"/>
  <c r="Q364" i="3"/>
  <c r="Q376" i="3"/>
  <c r="Q406" i="3"/>
  <c r="Q420" i="3"/>
  <c r="Q456" i="3"/>
  <c r="Q468" i="3"/>
  <c r="Q480" i="3"/>
  <c r="Q504" i="3"/>
  <c r="Q528" i="3"/>
  <c r="Q540" i="3"/>
  <c r="Q552" i="3"/>
  <c r="Q564" i="3"/>
  <c r="Q588" i="3"/>
  <c r="Q600" i="3"/>
  <c r="Q624" i="3"/>
  <c r="Q636" i="3"/>
  <c r="Q660" i="3"/>
  <c r="Q672" i="3"/>
  <c r="Q684" i="3"/>
  <c r="Q696" i="3"/>
  <c r="Q708" i="3"/>
  <c r="Q720" i="3"/>
  <c r="Q744" i="3"/>
  <c r="Q756" i="3"/>
  <c r="Q768" i="3"/>
  <c r="Q780" i="3"/>
  <c r="Q792" i="3"/>
  <c r="Q816" i="3"/>
  <c r="Q840" i="3"/>
  <c r="Q852" i="3"/>
  <c r="Q876" i="3"/>
  <c r="Q888" i="3"/>
  <c r="Q900" i="3"/>
  <c r="Q912" i="3"/>
  <c r="Q924" i="3"/>
  <c r="Q948" i="3"/>
  <c r="Q960" i="3"/>
  <c r="Q972" i="3"/>
  <c r="Q984" i="3"/>
  <c r="Q1008" i="3"/>
  <c r="Q1032" i="3"/>
  <c r="Q1044" i="3"/>
  <c r="Q1068" i="3"/>
  <c r="Q1080" i="3"/>
  <c r="Q1092" i="3"/>
  <c r="Q1116" i="3"/>
  <c r="Q1128" i="3"/>
  <c r="Q1165" i="3"/>
  <c r="Q1305" i="3"/>
  <c r="Q1317" i="3"/>
  <c r="Q1343" i="3"/>
  <c r="Q411" i="3"/>
  <c r="Q628" i="3"/>
  <c r="Q724" i="3"/>
  <c r="Q820" i="3"/>
  <c r="Q916" i="3"/>
  <c r="Q1024" i="3"/>
  <c r="Q1145" i="3"/>
  <c r="Q1238" i="3"/>
  <c r="Q1334" i="3"/>
  <c r="Q558" i="3"/>
  <c r="Q702" i="3"/>
  <c r="Q954" i="3"/>
  <c r="Q1086" i="3"/>
  <c r="Q1352" i="3"/>
  <c r="Q36" i="3"/>
  <c r="Q186" i="3"/>
  <c r="Q401" i="3"/>
  <c r="Q90" i="3"/>
  <c r="Q114" i="3"/>
  <c r="Q152" i="3"/>
  <c r="Q180" i="3"/>
  <c r="Q196" i="3"/>
  <c r="Q211" i="3"/>
  <c r="Q237" i="3"/>
  <c r="Q273" i="3"/>
  <c r="Q285" i="3"/>
  <c r="Q365" i="3"/>
  <c r="Q377" i="3"/>
  <c r="Q394" i="3"/>
  <c r="Q407" i="3"/>
  <c r="Q1141" i="3"/>
  <c r="Q1153" i="3"/>
  <c r="Q1190" i="3"/>
  <c r="Q1202" i="3"/>
  <c r="Q1222" i="3"/>
  <c r="Q1234" i="3"/>
  <c r="Q1246" i="3"/>
  <c r="Q1306" i="3"/>
  <c r="Q1330" i="3"/>
  <c r="Q1360" i="3"/>
  <c r="Q1373" i="3"/>
  <c r="Q592" i="3"/>
  <c r="Q676" i="3"/>
  <c r="Q772" i="3"/>
  <c r="Q892" i="3"/>
  <c r="Q988" i="3"/>
  <c r="Q1084" i="3"/>
  <c r="Q1349" i="3"/>
  <c r="Q1194" i="3"/>
  <c r="Q1377" i="3"/>
  <c r="Q546" i="3"/>
  <c r="Q786" i="3"/>
  <c r="Q930" i="3"/>
  <c r="Q1146" i="3"/>
  <c r="Q43" i="3"/>
  <c r="Q115" i="3"/>
  <c r="Q127" i="3"/>
  <c r="Q167" i="3"/>
  <c r="Q262" i="3"/>
  <c r="Q312" i="3"/>
  <c r="Q324" i="3"/>
  <c r="Q338" i="3"/>
  <c r="Q351" i="3"/>
  <c r="Q422" i="3"/>
  <c r="Q446" i="3"/>
  <c r="Q458" i="3"/>
  <c r="Q470" i="3"/>
  <c r="Q482" i="3"/>
  <c r="Q518" i="3"/>
  <c r="Q530" i="3"/>
  <c r="Q542" i="3"/>
  <c r="Q566" i="3"/>
  <c r="Q590" i="3"/>
  <c r="Q602" i="3"/>
  <c r="Q614" i="3"/>
  <c r="Q638" i="3"/>
  <c r="Q662" i="3"/>
  <c r="Q674" i="3"/>
  <c r="Q698" i="3"/>
  <c r="Q722" i="3"/>
  <c r="Q734" i="3"/>
  <c r="Q746" i="3"/>
  <c r="Q758" i="3"/>
  <c r="Q782" i="3"/>
  <c r="Q794" i="3"/>
  <c r="Q818" i="3"/>
  <c r="Q842" i="3"/>
  <c r="Q866" i="3"/>
  <c r="Q890" i="3"/>
  <c r="Q902" i="3"/>
  <c r="Q914" i="3"/>
  <c r="Q926" i="3"/>
  <c r="Q974" i="3"/>
  <c r="Q998" i="3"/>
  <c r="Q1010" i="3"/>
  <c r="Q1034" i="3"/>
  <c r="Q1046" i="3"/>
  <c r="Q1058" i="3"/>
  <c r="Q1070" i="3"/>
  <c r="Q1082" i="3"/>
  <c r="Q1106" i="3"/>
  <c r="Q1118" i="3"/>
  <c r="Q1130" i="3"/>
  <c r="Q1167" i="3"/>
  <c r="Q1295" i="3"/>
  <c r="Q1319" i="3"/>
  <c r="Q1346" i="3"/>
  <c r="Q436" i="3"/>
  <c r="Q556" i="3"/>
  <c r="Q700" i="3"/>
  <c r="Q844" i="3"/>
  <c r="Q952" i="3"/>
  <c r="Q1096" i="3"/>
  <c r="Q510" i="3"/>
  <c r="Q738" i="3"/>
  <c r="Q882" i="3"/>
  <c r="Q1038" i="3"/>
  <c r="Q60" i="3"/>
  <c r="Q104" i="3"/>
  <c r="Q239" i="3"/>
  <c r="Q251" i="3"/>
  <c r="Q263" i="3"/>
  <c r="Q275" i="3"/>
  <c r="Q288" i="3"/>
  <c r="Q301" i="3"/>
  <c r="Q325" i="3"/>
  <c r="Q339" i="3"/>
  <c r="Q1131" i="3"/>
  <c r="Q1180" i="3"/>
  <c r="Q1192" i="3"/>
  <c r="Q1204" i="3"/>
  <c r="Q1224" i="3"/>
  <c r="Q1236" i="3"/>
  <c r="Q1248" i="3"/>
  <c r="Q1272" i="3"/>
  <c r="Q1375" i="3"/>
  <c r="Q594" i="3"/>
  <c r="Q858" i="3"/>
  <c r="Q1098" i="3"/>
  <c r="Q1172" i="3"/>
  <c r="Q1337" i="3"/>
  <c r="Q9" i="3"/>
  <c r="Q21" i="3"/>
  <c r="Q57" i="3"/>
  <c r="Q69" i="3"/>
  <c r="Q129" i="3"/>
  <c r="Q169" i="3"/>
  <c r="Q424" i="3"/>
  <c r="Q460" i="3"/>
  <c r="Q604" i="3"/>
  <c r="Q796" i="3"/>
  <c r="Q856" i="3"/>
  <c r="Q928" i="3"/>
  <c r="Q1170" i="3"/>
  <c r="Q1226" i="3"/>
  <c r="Q606" i="3"/>
  <c r="Q642" i="3"/>
  <c r="Q894" i="3"/>
  <c r="Q966" i="3"/>
  <c r="Q1122" i="3"/>
  <c r="Q132" i="3"/>
  <c r="Q231" i="3"/>
  <c r="Q358" i="3"/>
  <c r="Q1228" i="3"/>
  <c r="Q58" i="3"/>
  <c r="Q130" i="3"/>
  <c r="Q265" i="3"/>
  <c r="Q315" i="3"/>
  <c r="Q71" i="3"/>
  <c r="Q83" i="3"/>
  <c r="Q95" i="3"/>
  <c r="Q254" i="3"/>
  <c r="Q266" i="3"/>
  <c r="Q278" i="3"/>
  <c r="Q383" i="3"/>
  <c r="Q400" i="3"/>
  <c r="Q462" i="3"/>
  <c r="Q486" i="3"/>
  <c r="Q750" i="3"/>
  <c r="Q870" i="3"/>
  <c r="Q1002" i="3"/>
  <c r="M550" i="4"/>
  <c r="M171" i="4"/>
  <c r="M300" i="4"/>
  <c r="M420" i="4"/>
  <c r="M344" i="4"/>
  <c r="AI1378" i="3"/>
  <c r="AI1453" i="3"/>
  <c r="AI1405" i="3"/>
  <c r="AI1425" i="3"/>
  <c r="AI1752" i="3"/>
  <c r="AI1759" i="3"/>
  <c r="AI1772" i="3"/>
  <c r="AI1785" i="3"/>
  <c r="AI1763" i="3"/>
  <c r="AI1764" i="3"/>
  <c r="W562" i="4"/>
  <c r="W568" i="4"/>
  <c r="W569" i="4"/>
  <c r="K720" i="4"/>
  <c r="K727" i="4"/>
  <c r="W567" i="4"/>
  <c r="R735" i="4"/>
  <c r="W563" i="4"/>
  <c r="W565" i="4"/>
  <c r="W566" i="4"/>
  <c r="P720" i="4"/>
  <c r="N549" i="4"/>
  <c r="N53" i="4"/>
  <c r="N97" i="4"/>
  <c r="P629" i="4"/>
  <c r="K629" i="4"/>
  <c r="P649" i="4"/>
  <c r="R649" i="4" s="1"/>
  <c r="K649" i="4"/>
  <c r="P586" i="4"/>
  <c r="K586" i="4"/>
  <c r="P617" i="4"/>
  <c r="K617" i="4"/>
  <c r="P606" i="4"/>
  <c r="K606" i="4"/>
  <c r="P653" i="4"/>
  <c r="R653" i="4" s="1"/>
  <c r="K653" i="4"/>
  <c r="K561" i="4"/>
  <c r="P604" i="4"/>
  <c r="K604" i="4"/>
  <c r="K615" i="4"/>
  <c r="P615" i="4"/>
  <c r="P595" i="4"/>
  <c r="K595" i="4"/>
  <c r="P594" i="4"/>
  <c r="K594" i="4"/>
  <c r="K651" i="4"/>
  <c r="P651" i="4"/>
  <c r="R651" i="4" s="1"/>
  <c r="P693" i="4"/>
  <c r="K693" i="4"/>
  <c r="P635" i="4"/>
  <c r="K635" i="4"/>
  <c r="K687" i="4"/>
  <c r="P687" i="4"/>
  <c r="P609" i="4"/>
  <c r="K609" i="4"/>
  <c r="P599" i="4"/>
  <c r="K599" i="4"/>
  <c r="P664" i="4"/>
  <c r="K664" i="4"/>
  <c r="K630" i="4"/>
  <c r="P694" i="4"/>
  <c r="K694" i="4"/>
  <c r="P598" i="4"/>
  <c r="K598" i="4"/>
  <c r="K591" i="4"/>
  <c r="P702" i="4"/>
  <c r="K702" i="4"/>
  <c r="K675" i="4"/>
  <c r="P622" i="4"/>
  <c r="K622" i="4"/>
  <c r="P658" i="4"/>
  <c r="R658" i="4" s="1"/>
  <c r="K658" i="4"/>
  <c r="P610" i="4"/>
  <c r="K610" i="4"/>
  <c r="Y582" i="4"/>
  <c r="K582" i="4"/>
  <c r="P657" i="4"/>
  <c r="R657" i="4" s="1"/>
  <c r="K657" i="4"/>
  <c r="K555" i="4"/>
  <c r="P704" i="4"/>
  <c r="K704" i="4"/>
  <c r="K603" i="4"/>
  <c r="P603" i="4"/>
  <c r="K608" i="4"/>
  <c r="P680" i="4"/>
  <c r="K680" i="4"/>
  <c r="P645" i="4"/>
  <c r="K645" i="4"/>
  <c r="P590" i="4"/>
  <c r="K590" i="4"/>
  <c r="P717" i="4"/>
  <c r="K717" i="4"/>
  <c r="P656" i="4"/>
  <c r="R656" i="4" s="1"/>
  <c r="K656" i="4"/>
  <c r="P570" i="4"/>
  <c r="K570" i="4"/>
  <c r="P623" i="4"/>
  <c r="K623" i="4"/>
  <c r="P605" i="4"/>
  <c r="K605" i="4"/>
  <c r="P663" i="4"/>
  <c r="R663" i="4" s="1"/>
  <c r="K663" i="4"/>
  <c r="K621" i="4"/>
  <c r="P625" i="4"/>
  <c r="K625" i="4"/>
  <c r="P619" i="4"/>
  <c r="K619" i="4"/>
  <c r="P660" i="4"/>
  <c r="R660" i="4" s="1"/>
  <c r="K660" i="4"/>
  <c r="P662" i="4"/>
  <c r="R662" i="4" s="1"/>
  <c r="K662" i="4"/>
  <c r="P690" i="4"/>
  <c r="K690" i="4"/>
  <c r="P667" i="4"/>
  <c r="K667" i="4"/>
  <c r="P659" i="4"/>
  <c r="R659" i="4" s="1"/>
  <c r="K659" i="4"/>
  <c r="P652" i="4"/>
  <c r="R652" i="4" s="1"/>
  <c r="K652" i="4"/>
  <c r="K639" i="4"/>
  <c r="P639" i="4"/>
  <c r="P650" i="4"/>
  <c r="R650" i="4" s="1"/>
  <c r="K650" i="4"/>
  <c r="P613" i="4"/>
  <c r="K613" i="4"/>
  <c r="P661" i="4"/>
  <c r="R661" i="4" s="1"/>
  <c r="K661" i="4"/>
  <c r="P715" i="4"/>
  <c r="K715" i="4"/>
  <c r="P607" i="4"/>
  <c r="K607" i="4"/>
  <c r="P631" i="4"/>
  <c r="K631" i="4"/>
  <c r="P654" i="4"/>
  <c r="R654" i="4" s="1"/>
  <c r="K654" i="4"/>
  <c r="K674" i="4"/>
  <c r="P684" i="4"/>
  <c r="K684" i="4"/>
  <c r="K560" i="4"/>
  <c r="P685" i="4"/>
  <c r="K685" i="4"/>
  <c r="P620" i="4"/>
  <c r="K620" i="4"/>
  <c r="P681" i="4"/>
  <c r="K681" i="4"/>
  <c r="K686" i="4"/>
  <c r="K627" i="4"/>
  <c r="P627" i="4"/>
  <c r="K556" i="4"/>
  <c r="P557" i="4"/>
  <c r="K557" i="4"/>
  <c r="K666" i="4"/>
  <c r="P614" i="4"/>
  <c r="K614" i="4"/>
  <c r="K597" i="4"/>
  <c r="P703" i="4"/>
  <c r="K703" i="4"/>
  <c r="K584" i="4"/>
  <c r="P553" i="4"/>
  <c r="P682" i="4"/>
  <c r="K682" i="4"/>
  <c r="P701" i="4"/>
  <c r="K701" i="4"/>
  <c r="P616" i="4"/>
  <c r="K616" i="4"/>
  <c r="N34" i="3"/>
  <c r="AB1656" i="3"/>
  <c r="AI1503" i="3"/>
  <c r="AI1401" i="3"/>
  <c r="AI1561" i="3"/>
  <c r="AI1600" i="3"/>
  <c r="AI1491" i="3"/>
  <c r="AI1562" i="3"/>
  <c r="AI1563" i="3"/>
  <c r="AI1603" i="3"/>
  <c r="AI1509" i="3"/>
  <c r="AI1706" i="3"/>
  <c r="AI1587" i="3"/>
  <c r="AI1521" i="3"/>
  <c r="AI1499" i="3"/>
  <c r="AI1469" i="3"/>
  <c r="AI1639" i="3"/>
  <c r="AI1627" i="3"/>
  <c r="AI1726" i="3"/>
  <c r="AI1549" i="3"/>
  <c r="AB1515" i="3"/>
  <c r="AH1515" i="3"/>
  <c r="AI1724" i="3"/>
  <c r="AI1457" i="3"/>
  <c r="AI1479" i="3"/>
  <c r="AI1424" i="3"/>
  <c r="AI1531" i="3"/>
  <c r="AI1497" i="3"/>
  <c r="AI1461" i="3"/>
  <c r="AI1545" i="3"/>
  <c r="M2" i="3" a="1"/>
  <c r="M2" i="3" s="1"/>
  <c r="AI1529" i="3"/>
  <c r="AI1400" i="3"/>
  <c r="AI1642" i="3"/>
  <c r="AI1720" i="3"/>
  <c r="AI1688" i="3"/>
  <c r="AI1612" i="3"/>
  <c r="AI1636" i="3"/>
  <c r="AI1477" i="3"/>
  <c r="AI1750" i="3"/>
  <c r="AI1404" i="3"/>
  <c r="AI1606" i="3"/>
  <c r="AI1698" i="3"/>
  <c r="AI1501" i="3"/>
  <c r="AI1487" i="3"/>
  <c r="AB1559" i="3"/>
  <c r="AH1559" i="3"/>
  <c r="N46" i="3"/>
  <c r="AI1517" i="3"/>
  <c r="N35" i="3"/>
  <c r="N1256" i="3"/>
  <c r="AI1553" i="3"/>
  <c r="AI1621" i="3"/>
  <c r="N228" i="3"/>
  <c r="AI1492" i="3"/>
  <c r="AI1505" i="3"/>
  <c r="AI1618" i="3"/>
  <c r="N119" i="3"/>
  <c r="N66" i="3"/>
  <c r="AI1633" i="3"/>
  <c r="AI1541" i="3"/>
  <c r="N346" i="3"/>
  <c r="AI1678" i="3"/>
  <c r="N291" i="3"/>
  <c r="N1056" i="3"/>
  <c r="AI1390" i="3"/>
  <c r="AI1670" i="3"/>
  <c r="AI1573" i="3"/>
  <c r="N1062" i="3"/>
  <c r="N343" i="3"/>
  <c r="N8" i="3"/>
  <c r="N1263" i="3"/>
  <c r="AI1519" i="3"/>
  <c r="AI1680" i="3"/>
  <c r="N20" i="3"/>
  <c r="Y570" i="4"/>
  <c r="N1257" i="3"/>
  <c r="N1283" i="3"/>
  <c r="N1287" i="3"/>
  <c r="N25" i="3"/>
  <c r="N268" i="3"/>
  <c r="N26" i="3"/>
  <c r="N309" i="3"/>
  <c r="AI1651" i="3"/>
  <c r="M298" i="4"/>
  <c r="M418" i="4"/>
  <c r="M348" i="4"/>
  <c r="M176" i="4"/>
  <c r="N159" i="3"/>
  <c r="N80" i="3"/>
  <c r="N200" i="3"/>
  <c r="N341" i="3"/>
  <c r="N199" i="3"/>
  <c r="M310" i="4"/>
  <c r="N1265" i="3"/>
  <c r="N81" i="3"/>
  <c r="M465" i="4"/>
  <c r="N229" i="3"/>
  <c r="N204" i="3"/>
  <c r="N344" i="3"/>
  <c r="N1282" i="3"/>
  <c r="N78" i="3"/>
  <c r="N806" i="3"/>
  <c r="Y1221" i="3"/>
  <c r="Y441" i="3"/>
  <c r="N1258" i="3"/>
  <c r="N139" i="3"/>
  <c r="N74" i="3"/>
  <c r="N307" i="3"/>
  <c r="AI1572" i="3"/>
  <c r="Y1291" i="3"/>
  <c r="AD759" i="3"/>
  <c r="Y739" i="3"/>
  <c r="Y955" i="3"/>
  <c r="N1054" i="3"/>
  <c r="M312" i="4"/>
  <c r="M439" i="4"/>
  <c r="AD579" i="3"/>
  <c r="Y731" i="3"/>
  <c r="AD615" i="3"/>
  <c r="N12" i="3"/>
  <c r="N1281" i="3"/>
  <c r="N305" i="3"/>
  <c r="N1363" i="3"/>
  <c r="N1289" i="3"/>
  <c r="N30" i="3"/>
  <c r="N1135" i="3"/>
  <c r="N1288" i="3"/>
  <c r="N342" i="3"/>
  <c r="N7" i="3"/>
  <c r="N1134" i="3"/>
  <c r="N103" i="3"/>
  <c r="N1286" i="3"/>
  <c r="N803" i="3"/>
  <c r="N93" i="3"/>
  <c r="N224" i="3"/>
  <c r="N16" i="3"/>
  <c r="N98" i="3"/>
  <c r="AH182" i="3"/>
  <c r="M509" i="4"/>
  <c r="M356" i="4"/>
  <c r="M254" i="4"/>
  <c r="M155" i="4"/>
  <c r="M454" i="4"/>
  <c r="M259" i="4"/>
  <c r="M437" i="4"/>
  <c r="M396" i="4"/>
  <c r="M324" i="4"/>
  <c r="M209" i="4"/>
  <c r="M497" i="4"/>
  <c r="M328" i="4"/>
  <c r="M460" i="4"/>
  <c r="M408" i="4"/>
  <c r="M239" i="4"/>
  <c r="M191" i="4"/>
  <c r="M271" i="4"/>
  <c r="M147" i="4"/>
  <c r="M491" i="4"/>
  <c r="M109" i="4"/>
  <c r="M251" i="4"/>
  <c r="M275" i="4"/>
  <c r="M184" i="4"/>
  <c r="M111" i="4"/>
  <c r="M501" i="4"/>
  <c r="M480" i="4"/>
  <c r="M466" i="4"/>
  <c r="M525" i="4"/>
  <c r="M332" i="4"/>
  <c r="M322" i="4"/>
  <c r="M249" i="4"/>
  <c r="M129" i="4"/>
  <c r="M455" i="4"/>
  <c r="M281" i="4"/>
  <c r="M476" i="4"/>
  <c r="M362" i="4"/>
  <c r="M217" i="4"/>
  <c r="M304" i="4"/>
  <c r="M342" i="4"/>
  <c r="M306" i="4"/>
  <c r="M448" i="4"/>
  <c r="M505" i="4"/>
  <c r="M159" i="4"/>
  <c r="M165" i="4"/>
  <c r="M515" i="4"/>
  <c r="M472" i="4"/>
  <c r="M221" i="4"/>
  <c r="M247" i="4"/>
  <c r="M145" i="4"/>
  <c r="M410" i="4"/>
  <c r="M225" i="4"/>
  <c r="M375" i="4"/>
  <c r="M135" i="4"/>
  <c r="M269" i="4"/>
  <c r="M139" i="4"/>
  <c r="M499" i="4"/>
  <c r="M115" i="4"/>
  <c r="M521" i="4"/>
  <c r="M378" i="4"/>
  <c r="M485" i="4"/>
  <c r="M350" i="4"/>
  <c r="M112" i="4"/>
  <c r="M267" i="4"/>
  <c r="M447" i="4"/>
  <c r="M245" i="4"/>
  <c r="M511" i="4"/>
  <c r="M122" i="4"/>
  <c r="M157" i="4"/>
  <c r="M340" i="4"/>
  <c r="M169" i="4"/>
  <c r="AD997" i="3"/>
  <c r="Y997" i="3"/>
  <c r="M523" i="4"/>
  <c r="M424" i="4"/>
  <c r="AD1241" i="3"/>
  <c r="Y1241" i="3"/>
  <c r="M286" i="4"/>
  <c r="M316" i="4"/>
  <c r="AD1105" i="3"/>
  <c r="Y1105" i="3"/>
  <c r="M227" i="4"/>
  <c r="AD687" i="3"/>
  <c r="Y687" i="3"/>
  <c r="Y1089" i="3"/>
  <c r="AD1089" i="3"/>
  <c r="M151" i="4"/>
  <c r="M398" i="4"/>
  <c r="M392" i="4"/>
  <c r="Y615" i="3"/>
  <c r="Y511" i="3"/>
  <c r="AD511" i="3"/>
  <c r="M219" i="4"/>
  <c r="AD1109" i="3"/>
  <c r="Y1109" i="3"/>
  <c r="Y1158" i="3"/>
  <c r="AD1158" i="3"/>
  <c r="AD1025" i="3"/>
  <c r="Y1025" i="3"/>
  <c r="M200" i="4"/>
  <c r="AD1374" i="3"/>
  <c r="Y1374" i="3"/>
  <c r="Y885" i="3"/>
  <c r="AD885" i="3"/>
  <c r="M372" i="4"/>
  <c r="AD455" i="3"/>
  <c r="Y455" i="3"/>
  <c r="AD735" i="3"/>
  <c r="Y735" i="3"/>
  <c r="M382" i="4"/>
  <c r="Y861" i="3"/>
  <c r="AD861" i="3"/>
  <c r="M117" i="4"/>
  <c r="M416" i="4"/>
  <c r="AD1171" i="3"/>
  <c r="Y1171" i="3"/>
  <c r="M533" i="4"/>
  <c r="M120" i="4"/>
  <c r="AD1245" i="3"/>
  <c r="Y1245" i="3"/>
  <c r="M404" i="4"/>
  <c r="AD929" i="3"/>
  <c r="Y929" i="3"/>
  <c r="AD747" i="3"/>
  <c r="Y747" i="3"/>
  <c r="Y917" i="3"/>
  <c r="AD917" i="3"/>
  <c r="M364" i="4"/>
  <c r="M327" i="4"/>
  <c r="Y515" i="3"/>
  <c r="AD515" i="3"/>
  <c r="M294" i="4"/>
  <c r="M376" i="4"/>
  <c r="M257" i="4"/>
  <c r="M143" i="4"/>
  <c r="Y1103" i="3"/>
  <c r="AD1103" i="3"/>
  <c r="Y535" i="3"/>
  <c r="AD535" i="3"/>
  <c r="M517" i="4"/>
  <c r="M178" i="4"/>
  <c r="Y817" i="3"/>
  <c r="AD817" i="3"/>
  <c r="M255" i="4"/>
  <c r="Y1091" i="3"/>
  <c r="AD1091" i="3"/>
  <c r="M514" i="4"/>
  <c r="M213" i="4"/>
  <c r="M318" i="4"/>
  <c r="M354" i="4"/>
  <c r="Y415" i="3"/>
  <c r="AD415" i="3"/>
  <c r="M167" i="4"/>
  <c r="M483" i="4"/>
  <c r="Y695" i="3"/>
  <c r="AD695" i="3"/>
  <c r="M235" i="4"/>
  <c r="Y419" i="3"/>
  <c r="AD419" i="3"/>
  <c r="M261" i="4"/>
  <c r="M489" i="4"/>
  <c r="Y1021" i="3"/>
  <c r="AD1021" i="3"/>
  <c r="Y1179" i="3"/>
  <c r="AD1179" i="3"/>
  <c r="M174" i="4"/>
  <c r="AD675" i="3"/>
  <c r="Y675" i="3"/>
  <c r="Y889" i="3"/>
  <c r="AD889" i="3"/>
  <c r="M288" i="4"/>
  <c r="M182" i="4"/>
  <c r="M193" i="4"/>
  <c r="M507" i="4"/>
  <c r="AD1221" i="3"/>
  <c r="M358" i="4"/>
  <c r="M368" i="4"/>
  <c r="M283" i="4"/>
  <c r="M137" i="4"/>
  <c r="Y705" i="3"/>
  <c r="AD705" i="3"/>
  <c r="Y853" i="3"/>
  <c r="AD853" i="3"/>
  <c r="M495" i="4"/>
  <c r="M384" i="4"/>
  <c r="M366" i="4"/>
  <c r="Y759" i="3"/>
  <c r="M211" i="4"/>
  <c r="AD639" i="3"/>
  <c r="Y639" i="3"/>
  <c r="M535" i="4"/>
  <c r="M223" i="4"/>
  <c r="M370" i="4"/>
  <c r="Y1075" i="3"/>
  <c r="AD1075" i="3"/>
  <c r="M241" i="4"/>
  <c r="Y565" i="3"/>
  <c r="AD565" i="3"/>
  <c r="M277" i="4"/>
  <c r="AD421" i="3"/>
  <c r="Y421" i="3"/>
  <c r="M400" i="4"/>
  <c r="Y467" i="3"/>
  <c r="AD467" i="3"/>
  <c r="M390" i="4"/>
  <c r="AD507" i="3"/>
  <c r="Y507" i="3"/>
  <c r="M334" i="4"/>
  <c r="Y691" i="3"/>
  <c r="AD691" i="3"/>
  <c r="M292" i="4"/>
  <c r="AD1253" i="3"/>
  <c r="Y1253" i="3"/>
  <c r="M519" i="4"/>
  <c r="M265" i="4"/>
  <c r="M127" i="4"/>
  <c r="Y475" i="3"/>
  <c r="AD475" i="3"/>
  <c r="AD731" i="3"/>
  <c r="M232" i="4"/>
  <c r="Y427" i="3"/>
  <c r="AD427" i="3"/>
  <c r="M414" i="4"/>
  <c r="Y849" i="3"/>
  <c r="AD849" i="3"/>
  <c r="AD739" i="3"/>
  <c r="M493" i="4"/>
  <c r="Y1193" i="3"/>
  <c r="AD1193" i="3"/>
  <c r="M290" i="4"/>
  <c r="M196" i="4"/>
  <c r="M352" i="4"/>
  <c r="M163" i="4"/>
  <c r="M205" i="4"/>
  <c r="Y809" i="3"/>
  <c r="AD809" i="3"/>
  <c r="M141" i="4"/>
  <c r="M453" i="4"/>
  <c r="Y491" i="3"/>
  <c r="AD491" i="3"/>
  <c r="M471" i="4"/>
  <c r="M296" i="4"/>
  <c r="M464" i="4"/>
  <c r="AD441" i="3"/>
  <c r="Y961" i="3"/>
  <c r="AD961" i="3"/>
  <c r="AD1225" i="3"/>
  <c r="Y1225" i="3"/>
  <c r="M273" i="4"/>
  <c r="Y1205" i="3"/>
  <c r="AD1205" i="3"/>
  <c r="M188" i="4"/>
  <c r="M149" i="4"/>
  <c r="AD715" i="3"/>
  <c r="Y715" i="3"/>
  <c r="Y527" i="3"/>
  <c r="AD527" i="3"/>
  <c r="M478" i="4"/>
  <c r="AD699" i="3"/>
  <c r="Y699" i="3"/>
  <c r="AD1217" i="3"/>
  <c r="Y1217" i="3"/>
  <c r="M320" i="4"/>
  <c r="M402" i="4"/>
  <c r="M394" i="4"/>
  <c r="AD955" i="3"/>
  <c r="Y647" i="3"/>
  <c r="AD647" i="3"/>
  <c r="M360" i="4"/>
  <c r="AD1291" i="3"/>
  <c r="M346" i="4"/>
  <c r="M133" i="4"/>
  <c r="Y631" i="3"/>
  <c r="AD631" i="3"/>
  <c r="Y487" i="3"/>
  <c r="AD487" i="3"/>
  <c r="Y905" i="3"/>
  <c r="AD905" i="3"/>
  <c r="Y579" i="3"/>
  <c r="AD1233" i="3"/>
  <c r="Y1233" i="3"/>
  <c r="Y1275" i="3"/>
  <c r="AD1275" i="3"/>
  <c r="M388" i="4"/>
  <c r="I634" i="4"/>
  <c r="N205" i="3"/>
  <c r="N202" i="3"/>
  <c r="N814" i="3"/>
  <c r="N92" i="3"/>
  <c r="N82" i="3"/>
  <c r="N1060" i="3"/>
  <c r="N1293" i="3"/>
  <c r="N118" i="3"/>
  <c r="N1297" i="3"/>
  <c r="N24" i="3"/>
  <c r="N227" i="3"/>
  <c r="N201" i="3"/>
  <c r="N108" i="3"/>
  <c r="N203" i="3"/>
  <c r="N107" i="3"/>
  <c r="N247" i="3"/>
  <c r="N138" i="3"/>
  <c r="N242" i="3"/>
  <c r="N1298" i="3"/>
  <c r="N31" i="3"/>
  <c r="N1264" i="3"/>
  <c r="N6" i="3"/>
  <c r="N225" i="3"/>
  <c r="N1261" i="3"/>
  <c r="N245" i="3"/>
  <c r="N1292" i="3"/>
  <c r="N1148" i="3"/>
  <c r="N1061" i="3"/>
  <c r="N53" i="3"/>
  <c r="N158" i="3"/>
  <c r="N1133" i="3"/>
  <c r="N1299" i="3"/>
  <c r="N110" i="3"/>
  <c r="N39" i="3"/>
  <c r="N154" i="3"/>
  <c r="N1262" i="3"/>
  <c r="N308" i="3"/>
  <c r="N67" i="3"/>
  <c r="N293" i="3"/>
  <c r="N1254" i="3"/>
  <c r="N79" i="3"/>
  <c r="N807" i="3"/>
  <c r="N811" i="3"/>
  <c r="N226" i="3"/>
  <c r="N1063" i="3"/>
  <c r="N109" i="3"/>
  <c r="N141" i="3"/>
  <c r="N292" i="3"/>
  <c r="N304" i="3"/>
  <c r="N1055" i="3"/>
  <c r="N810" i="3"/>
  <c r="N345" i="3"/>
  <c r="N223" i="3"/>
  <c r="N1150" i="3"/>
  <c r="N5" i="3"/>
  <c r="N52" i="3"/>
  <c r="N1280" i="3"/>
  <c r="N1057" i="3"/>
  <c r="N33" i="3"/>
  <c r="N47" i="3"/>
  <c r="N48" i="3"/>
  <c r="N142" i="3"/>
  <c r="N1255" i="3"/>
  <c r="N32" i="3"/>
  <c r="N117" i="3"/>
  <c r="N143" i="3"/>
  <c r="N243" i="3"/>
  <c r="N303" i="3"/>
  <c r="N140" i="3"/>
  <c r="N246" i="3"/>
  <c r="N815" i="3"/>
  <c r="N160" i="3"/>
  <c r="N306" i="3"/>
  <c r="AH1656" i="3"/>
  <c r="N1149" i="3"/>
  <c r="AG982" i="3"/>
  <c r="AG660" i="3"/>
  <c r="AG1141" i="3"/>
  <c r="AG1118" i="3"/>
  <c r="AG520" i="3"/>
  <c r="AG1250" i="3"/>
  <c r="AG584" i="3"/>
  <c r="L759" i="3"/>
  <c r="L1027" i="3"/>
  <c r="L1158" i="3"/>
  <c r="N45" i="3"/>
  <c r="N869" i="3"/>
  <c r="N219" i="3"/>
  <c r="N441" i="3"/>
  <c r="N541" i="3"/>
  <c r="AB397" i="3"/>
  <c r="N1362" i="3"/>
  <c r="AG87" i="3"/>
  <c r="AG374" i="3"/>
  <c r="AG538" i="3"/>
  <c r="AG682" i="3"/>
  <c r="AG850" i="3"/>
  <c r="AG994" i="3"/>
  <c r="AG1327" i="3"/>
  <c r="AG373" i="3"/>
  <c r="AG192" i="3"/>
  <c r="AG1212" i="3"/>
  <c r="AG836" i="3"/>
  <c r="AG179" i="3"/>
  <c r="AG364" i="3"/>
  <c r="AG528" i="3"/>
  <c r="AG672" i="3"/>
  <c r="AG816" i="3"/>
  <c r="AG960" i="3"/>
  <c r="AG1116" i="3"/>
  <c r="AG740" i="3"/>
  <c r="AG166" i="3"/>
  <c r="AG1153" i="3"/>
  <c r="AG1373" i="3"/>
  <c r="AG1137" i="3"/>
  <c r="AG338" i="3"/>
  <c r="AG542" i="3"/>
  <c r="AG686" i="3"/>
  <c r="AG842" i="3"/>
  <c r="AG986" i="3"/>
  <c r="AG1130" i="3"/>
  <c r="AG872" i="3"/>
  <c r="AG251" i="3"/>
  <c r="AG1192" i="3"/>
  <c r="AG452" i="3"/>
  <c r="AG21" i="3"/>
  <c r="AG380" i="3"/>
  <c r="AG532" i="3"/>
  <c r="AG676" i="3"/>
  <c r="AG820" i="3"/>
  <c r="AG964" i="3"/>
  <c r="AG1120" i="3"/>
  <c r="AG1076" i="3"/>
  <c r="AG265" i="3"/>
  <c r="AG1274" i="3"/>
  <c r="AG278" i="3"/>
  <c r="AG498" i="3"/>
  <c r="AG642" i="3"/>
  <c r="AG786" i="3"/>
  <c r="AG942" i="3"/>
  <c r="AG1098" i="3"/>
  <c r="AG692" i="3"/>
  <c r="AG132" i="3"/>
  <c r="AG1208" i="3"/>
  <c r="AG824" i="3"/>
  <c r="L1059" i="3"/>
  <c r="L1297" i="3"/>
  <c r="L1003" i="3"/>
  <c r="L1087" i="3"/>
  <c r="L1039" i="3"/>
  <c r="L811" i="3"/>
  <c r="L24" i="3"/>
  <c r="L581" i="3"/>
  <c r="L869" i="3"/>
  <c r="L1262" i="3"/>
  <c r="L1253" i="3"/>
  <c r="L103" i="3"/>
  <c r="L1362" i="3"/>
  <c r="L1175" i="3"/>
  <c r="L1077" i="3"/>
  <c r="L481" i="3"/>
  <c r="L625" i="3"/>
  <c r="L1345" i="3"/>
  <c r="L453" i="3"/>
  <c r="L597" i="3"/>
  <c r="L741" i="3"/>
  <c r="L885" i="3"/>
  <c r="L740" i="3"/>
  <c r="L812" i="3"/>
  <c r="L884" i="3"/>
  <c r="L956" i="3"/>
  <c r="L1028" i="3"/>
  <c r="L580" i="3"/>
  <c r="L1206" i="3"/>
  <c r="L1240" i="3"/>
  <c r="L387" i="3"/>
  <c r="L1278" i="3"/>
  <c r="L1159" i="3"/>
  <c r="L442" i="3"/>
  <c r="L514" i="3"/>
  <c r="L1163" i="3"/>
  <c r="L978" i="3"/>
  <c r="L28" i="3"/>
  <c r="L1151" i="3"/>
  <c r="L1232" i="3"/>
  <c r="L398" i="3"/>
  <c r="L298" i="3"/>
  <c r="L376" i="3"/>
  <c r="L468" i="3"/>
  <c r="L684" i="3"/>
  <c r="L756" i="3"/>
  <c r="L407" i="3"/>
  <c r="L1330" i="3"/>
  <c r="L930" i="3"/>
  <c r="L530" i="3"/>
  <c r="L674" i="3"/>
  <c r="L104" i="3"/>
  <c r="L367" i="3"/>
  <c r="L1168" i="3"/>
  <c r="L1236" i="3"/>
  <c r="L1375" i="3"/>
  <c r="L460" i="3"/>
  <c r="L856" i="3"/>
  <c r="L1226" i="3"/>
  <c r="L870" i="3"/>
  <c r="L563" i="3"/>
  <c r="L671" i="3"/>
  <c r="L405" i="3"/>
  <c r="L659" i="3"/>
  <c r="N252" i="3"/>
  <c r="N1205" i="3"/>
  <c r="N777" i="3"/>
  <c r="N1095" i="3"/>
  <c r="N449" i="3"/>
  <c r="N593" i="3"/>
  <c r="N737" i="3"/>
  <c r="N881" i="3"/>
  <c r="N1025" i="3"/>
  <c r="N1183" i="3"/>
  <c r="N945" i="3"/>
  <c r="N356" i="3"/>
  <c r="N801" i="3"/>
  <c r="N255" i="3"/>
  <c r="N499" i="3"/>
  <c r="N643" i="3"/>
  <c r="N787" i="3"/>
  <c r="N943" i="3"/>
  <c r="N1099" i="3"/>
  <c r="N933" i="3"/>
  <c r="N232" i="3"/>
  <c r="N1326" i="3"/>
  <c r="N453" i="3"/>
  <c r="N597" i="3"/>
  <c r="N191" i="3"/>
  <c r="N1211" i="3"/>
  <c r="N1059" i="3"/>
  <c r="N431" i="3"/>
  <c r="N575" i="3"/>
  <c r="N719" i="3"/>
  <c r="N887" i="3"/>
  <c r="N1031" i="3"/>
  <c r="N1233" i="3"/>
  <c r="N349" i="3"/>
  <c r="N553" i="3"/>
  <c r="N697" i="3"/>
  <c r="N841" i="3"/>
  <c r="N985" i="3"/>
  <c r="N286" i="3"/>
  <c r="N1247" i="3"/>
  <c r="N353" i="3"/>
  <c r="N555" i="3"/>
  <c r="N699" i="3"/>
  <c r="N855" i="3"/>
  <c r="N999" i="3"/>
  <c r="AG362" i="3"/>
  <c r="AG164" i="3"/>
  <c r="AG804" i="3"/>
  <c r="AG152" i="3"/>
  <c r="AG674" i="3"/>
  <c r="AG294" i="3"/>
  <c r="AG664" i="3"/>
  <c r="AG253" i="3"/>
  <c r="AG630" i="3"/>
  <c r="AG120" i="3"/>
  <c r="L1047" i="3"/>
  <c r="L907" i="3"/>
  <c r="L739" i="3"/>
  <c r="L1239" i="3"/>
  <c r="L1339" i="3"/>
  <c r="N277" i="3"/>
  <c r="N437" i="3"/>
  <c r="N171" i="3"/>
  <c r="N1087" i="3"/>
  <c r="N419" i="3"/>
  <c r="N274" i="3"/>
  <c r="AG862" i="3"/>
  <c r="AG944" i="3"/>
  <c r="AG828" i="3"/>
  <c r="AG180" i="3"/>
  <c r="AG464" i="3"/>
  <c r="AG351" i="3"/>
  <c r="AG554" i="3"/>
  <c r="AG698" i="3"/>
  <c r="AG998" i="3"/>
  <c r="AG1154" i="3"/>
  <c r="AG992" i="3"/>
  <c r="AG263" i="3"/>
  <c r="AG1204" i="3"/>
  <c r="AG560" i="3"/>
  <c r="AG57" i="3"/>
  <c r="AG398" i="3"/>
  <c r="AG544" i="3"/>
  <c r="AG688" i="3"/>
  <c r="AG832" i="3"/>
  <c r="AG976" i="3"/>
  <c r="AG1156" i="3"/>
  <c r="AG315" i="3"/>
  <c r="AG1310" i="3"/>
  <c r="AG316" i="3"/>
  <c r="AG510" i="3"/>
  <c r="AG654" i="3"/>
  <c r="AG798" i="3"/>
  <c r="AG954" i="3"/>
  <c r="AG1110" i="3"/>
  <c r="AG800" i="3"/>
  <c r="AG145" i="3"/>
  <c r="AG1228" i="3"/>
  <c r="AG932" i="3"/>
  <c r="L783" i="3"/>
  <c r="L340" i="3"/>
  <c r="L1075" i="3"/>
  <c r="L737" i="3"/>
  <c r="L1025" i="3"/>
  <c r="L1223" i="3"/>
  <c r="N264" i="3"/>
  <c r="N1225" i="3"/>
  <c r="N825" i="3"/>
  <c r="N1348" i="3"/>
  <c r="N461" i="3"/>
  <c r="N605" i="3"/>
  <c r="N749" i="3"/>
  <c r="N893" i="3"/>
  <c r="N1037" i="3"/>
  <c r="N1195" i="3"/>
  <c r="N993" i="3"/>
  <c r="N1239" i="3"/>
  <c r="N885" i="3"/>
  <c r="N267" i="3"/>
  <c r="N511" i="3"/>
  <c r="N655" i="3"/>
  <c r="N799" i="3"/>
  <c r="N955" i="3"/>
  <c r="N1111" i="3"/>
  <c r="N1017" i="3"/>
  <c r="N280" i="3"/>
  <c r="N1245" i="3"/>
  <c r="N465" i="3"/>
  <c r="N645" i="3"/>
  <c r="N222" i="3"/>
  <c r="N1219" i="3"/>
  <c r="N88" i="3"/>
  <c r="N443" i="3"/>
  <c r="N587" i="3"/>
  <c r="N731" i="3"/>
  <c r="N899" i="3"/>
  <c r="N1043" i="3"/>
  <c r="N29" i="3"/>
  <c r="N1045" i="3"/>
  <c r="N421" i="3"/>
  <c r="N565" i="3"/>
  <c r="N709" i="3"/>
  <c r="N853" i="3"/>
  <c r="N997" i="3"/>
  <c r="N366" i="3"/>
  <c r="N1271" i="3"/>
  <c r="N423" i="3"/>
  <c r="N567" i="3"/>
  <c r="N711" i="3"/>
  <c r="N867" i="3"/>
  <c r="N1011" i="3"/>
  <c r="AG1303" i="3"/>
  <c r="AG948" i="3"/>
  <c r="AG319" i="3"/>
  <c r="AG239" i="3"/>
  <c r="AG1108" i="3"/>
  <c r="AG1086" i="3"/>
  <c r="L119" i="3"/>
  <c r="L757" i="3"/>
  <c r="L441" i="3"/>
  <c r="L587" i="3"/>
  <c r="N581" i="3"/>
  <c r="N487" i="3"/>
  <c r="N585" i="3"/>
  <c r="N829" i="3"/>
  <c r="AG684" i="3"/>
  <c r="L1063" i="3"/>
  <c r="L883" i="3"/>
  <c r="L449" i="3"/>
  <c r="L881" i="3"/>
  <c r="L1301" i="3"/>
  <c r="L423" i="3"/>
  <c r="L567" i="3"/>
  <c r="L1231" i="3"/>
  <c r="L344" i="3"/>
  <c r="L1089" i="3"/>
  <c r="L609" i="3"/>
  <c r="L345" i="3"/>
  <c r="N97" i="3"/>
  <c r="AG123" i="3"/>
  <c r="AG418" i="3"/>
  <c r="AG562" i="3"/>
  <c r="AG706" i="3"/>
  <c r="AG874" i="3"/>
  <c r="AG1018" i="3"/>
  <c r="AG1356" i="3"/>
  <c r="AG1314" i="3"/>
  <c r="AG297" i="3"/>
  <c r="AG1232" i="3"/>
  <c r="AG1052" i="3"/>
  <c r="AG236" i="3"/>
  <c r="AG406" i="3"/>
  <c r="AG552" i="3"/>
  <c r="AG696" i="3"/>
  <c r="AG840" i="3"/>
  <c r="AG984" i="3"/>
  <c r="AG1165" i="3"/>
  <c r="AG956" i="3"/>
  <c r="AG196" i="3"/>
  <c r="AG1190" i="3"/>
  <c r="AG572" i="3"/>
  <c r="AG43" i="3"/>
  <c r="AG422" i="3"/>
  <c r="AG566" i="3"/>
  <c r="AG710" i="3"/>
  <c r="AG866" i="3"/>
  <c r="AG1010" i="3"/>
  <c r="AG1167" i="3"/>
  <c r="AG1112" i="3"/>
  <c r="AG275" i="3"/>
  <c r="AG1216" i="3"/>
  <c r="AG668" i="3"/>
  <c r="AG69" i="3"/>
  <c r="AG411" i="3"/>
  <c r="AG556" i="3"/>
  <c r="AG700" i="3"/>
  <c r="AG844" i="3"/>
  <c r="AG988" i="3"/>
  <c r="AG1321" i="3"/>
  <c r="AG387" i="3"/>
  <c r="AG327" i="3"/>
  <c r="AG1334" i="3"/>
  <c r="AG328" i="3"/>
  <c r="AG522" i="3"/>
  <c r="AG666" i="3"/>
  <c r="AG822" i="3"/>
  <c r="AG966" i="3"/>
  <c r="AG1122" i="3"/>
  <c r="AG908" i="3"/>
  <c r="AG173" i="3"/>
  <c r="AG1240" i="3"/>
  <c r="AG1040" i="3"/>
  <c r="L1366" i="3"/>
  <c r="L631" i="3"/>
  <c r="L1147" i="3"/>
  <c r="L461" i="3"/>
  <c r="L1298" i="3"/>
  <c r="L106" i="3"/>
  <c r="L1265" i="3"/>
  <c r="L1263" i="3"/>
  <c r="L1221" i="3"/>
  <c r="L1307" i="3"/>
  <c r="L579" i="3"/>
  <c r="L1315" i="3"/>
  <c r="L360" i="3"/>
  <c r="L1150" i="3"/>
  <c r="L505" i="3"/>
  <c r="L649" i="3"/>
  <c r="L621" i="3"/>
  <c r="L26" i="3"/>
  <c r="L52" i="3"/>
  <c r="L363" i="3"/>
  <c r="L121" i="3"/>
  <c r="L536" i="3"/>
  <c r="L1040" i="3"/>
  <c r="L1338" i="3"/>
  <c r="L688" i="3"/>
  <c r="L570" i="3"/>
  <c r="L1367" i="3"/>
  <c r="L640" i="3"/>
  <c r="L362" i="3"/>
  <c r="L454" i="3"/>
  <c r="L598" i="3"/>
  <c r="L742" i="3"/>
  <c r="L1303" i="3"/>
  <c r="L1156" i="3"/>
  <c r="L1110" i="3"/>
  <c r="L136" i="3"/>
  <c r="L1176" i="3"/>
  <c r="L1244" i="3"/>
  <c r="L508" i="3"/>
  <c r="L406" i="3"/>
  <c r="L696" i="3"/>
  <c r="L1068" i="3"/>
  <c r="L1141" i="3"/>
  <c r="L1222" i="3"/>
  <c r="L676" i="3"/>
  <c r="L1194" i="3"/>
  <c r="L470" i="3"/>
  <c r="L758" i="3"/>
  <c r="L1346" i="3"/>
  <c r="L1096" i="3"/>
  <c r="L182" i="3"/>
  <c r="L379" i="3"/>
  <c r="L1180" i="3"/>
  <c r="L1248" i="3"/>
  <c r="L1172" i="3"/>
  <c r="L105" i="3"/>
  <c r="L544" i="3"/>
  <c r="L1026" i="3"/>
  <c r="L803" i="3"/>
  <c r="L1019" i="3"/>
  <c r="N290" i="3"/>
  <c r="N1237" i="3"/>
  <c r="N849" i="3"/>
  <c r="N70" i="3"/>
  <c r="N473" i="3"/>
  <c r="N617" i="3"/>
  <c r="N761" i="3"/>
  <c r="N905" i="3"/>
  <c r="N1049" i="3"/>
  <c r="N1207" i="3"/>
  <c r="N1113" i="3"/>
  <c r="N1275" i="3"/>
  <c r="N957" i="3"/>
  <c r="N317" i="3"/>
  <c r="N523" i="3"/>
  <c r="N667" i="3"/>
  <c r="N823" i="3"/>
  <c r="N967" i="3"/>
  <c r="N1123" i="3"/>
  <c r="N1077" i="3"/>
  <c r="N360" i="3"/>
  <c r="N1069" i="3"/>
  <c r="N477" i="3"/>
  <c r="N669" i="3"/>
  <c r="N258" i="3"/>
  <c r="N1231" i="3"/>
  <c r="N150" i="3"/>
  <c r="N455" i="3"/>
  <c r="N599" i="3"/>
  <c r="N743" i="3"/>
  <c r="N911" i="3"/>
  <c r="N1067" i="3"/>
  <c r="N77" i="3"/>
  <c r="N1071" i="3"/>
  <c r="N433" i="3"/>
  <c r="N577" i="3"/>
  <c r="N721" i="3"/>
  <c r="N865" i="3"/>
  <c r="N1009" i="3"/>
  <c r="N378" i="3"/>
  <c r="N1307" i="3"/>
  <c r="N435" i="3"/>
  <c r="N579" i="3"/>
  <c r="N723" i="3"/>
  <c r="N879" i="3"/>
  <c r="N1047" i="3"/>
  <c r="AG670" i="3"/>
  <c r="AG1338" i="3"/>
  <c r="AG151" i="3"/>
  <c r="AG1104" i="3"/>
  <c r="AG530" i="3"/>
  <c r="AG1180" i="3"/>
  <c r="AG808" i="3"/>
  <c r="AG266" i="3"/>
  <c r="AG1196" i="3"/>
  <c r="L955" i="3"/>
  <c r="L569" i="3"/>
  <c r="L1235" i="3"/>
  <c r="L543" i="3"/>
  <c r="L469" i="3"/>
  <c r="L1017" i="3"/>
  <c r="L1091" i="3"/>
  <c r="N1193" i="3"/>
  <c r="N1013" i="3"/>
  <c r="N631" i="3"/>
  <c r="N187" i="3"/>
  <c r="N1318" i="3"/>
  <c r="N875" i="3"/>
  <c r="N392" i="3"/>
  <c r="N685" i="3"/>
  <c r="N1235" i="3"/>
  <c r="N687" i="3"/>
  <c r="N987" i="3"/>
  <c r="AG111" i="3"/>
  <c r="AG404" i="3"/>
  <c r="AG550" i="3"/>
  <c r="AG694" i="3"/>
  <c r="AG1006" i="3"/>
  <c r="AG1340" i="3"/>
  <c r="AG1210" i="3"/>
  <c r="AG259" i="3"/>
  <c r="AG1220" i="3"/>
  <c r="AG210" i="3"/>
  <c r="AG376" i="3"/>
  <c r="AG540" i="3"/>
  <c r="AG972" i="3"/>
  <c r="AG848" i="3"/>
  <c r="AG1178" i="3"/>
  <c r="AG1290" i="3"/>
  <c r="AG854" i="3"/>
  <c r="AG257" i="3"/>
  <c r="N1294" i="3"/>
  <c r="AG430" i="3"/>
  <c r="AG718" i="3"/>
  <c r="AG886" i="3"/>
  <c r="AG318" i="3"/>
  <c r="AG334" i="3"/>
  <c r="AG1161" i="3"/>
  <c r="AG248" i="3"/>
  <c r="AG564" i="3"/>
  <c r="AG708" i="3"/>
  <c r="AG996" i="3"/>
  <c r="AG1064" i="3"/>
  <c r="AG1202" i="3"/>
  <c r="AG55" i="3"/>
  <c r="AG578" i="3"/>
  <c r="AG722" i="3"/>
  <c r="AG1022" i="3"/>
  <c r="AG50" i="3"/>
  <c r="AG1224" i="3"/>
  <c r="AG105" i="3"/>
  <c r="AG568" i="3"/>
  <c r="AG1000" i="3"/>
  <c r="AG355" i="3"/>
  <c r="AG678" i="3"/>
  <c r="AG233" i="3"/>
  <c r="L1095" i="3"/>
  <c r="L1363" i="3"/>
  <c r="L655" i="3"/>
  <c r="L1051" i="3"/>
  <c r="L617" i="3"/>
  <c r="L905" i="3"/>
  <c r="L1049" i="3"/>
  <c r="L118" i="3"/>
  <c r="L1336" i="3"/>
  <c r="L1233" i="3"/>
  <c r="L1331" i="3"/>
  <c r="L181" i="3"/>
  <c r="L447" i="3"/>
  <c r="L372" i="3"/>
  <c r="L517" i="3"/>
  <c r="L805" i="3"/>
  <c r="L1093" i="3"/>
  <c r="L1256" i="3"/>
  <c r="L489" i="3"/>
  <c r="L88" i="3"/>
  <c r="L375" i="3"/>
  <c r="L731" i="3"/>
  <c r="N302" i="3"/>
  <c r="N1249" i="3"/>
  <c r="N897" i="3"/>
  <c r="N106" i="3"/>
  <c r="N485" i="3"/>
  <c r="N629" i="3"/>
  <c r="N773" i="3"/>
  <c r="N917" i="3"/>
  <c r="N1073" i="3"/>
  <c r="N1227" i="3"/>
  <c r="N1213" i="3"/>
  <c r="N1366" i="3"/>
  <c r="N1053" i="3"/>
  <c r="N329" i="3"/>
  <c r="N535" i="3"/>
  <c r="N679" i="3"/>
  <c r="N835" i="3"/>
  <c r="N979" i="3"/>
  <c r="N1147" i="3"/>
  <c r="N1152" i="3"/>
  <c r="N372" i="3"/>
  <c r="N1345" i="3"/>
  <c r="N489" i="3"/>
  <c r="N729" i="3"/>
  <c r="N296" i="3"/>
  <c r="N1243" i="3"/>
  <c r="N178" i="3"/>
  <c r="N467" i="3"/>
  <c r="N611" i="3"/>
  <c r="N755" i="3"/>
  <c r="N923" i="3"/>
  <c r="N1079" i="3"/>
  <c r="N113" i="3"/>
  <c r="N1260" i="3"/>
  <c r="N445" i="3"/>
  <c r="N589" i="3"/>
  <c r="N733" i="3"/>
  <c r="N877" i="3"/>
  <c r="N1081" i="3"/>
  <c r="N396" i="3"/>
  <c r="N1331" i="3"/>
  <c r="N447" i="3"/>
  <c r="N591" i="3"/>
  <c r="N735" i="3"/>
  <c r="N891" i="3"/>
  <c r="N1107" i="3"/>
  <c r="L51" i="3"/>
  <c r="AI1722" i="3"/>
  <c r="AH1364" i="3"/>
  <c r="AG1200" i="3"/>
  <c r="AG974" i="3"/>
  <c r="AG486" i="3"/>
  <c r="N725" i="3"/>
  <c r="N765" i="3"/>
  <c r="N861" i="3"/>
  <c r="N1199" i="3"/>
  <c r="N707" i="3"/>
  <c r="N337" i="3"/>
  <c r="N973" i="3"/>
  <c r="N843" i="3"/>
  <c r="AG1128" i="3"/>
  <c r="L1199" i="3"/>
  <c r="AG135" i="3"/>
  <c r="AG574" i="3"/>
  <c r="AG1030" i="3"/>
  <c r="AG4" i="3"/>
  <c r="AG1244" i="3"/>
  <c r="AG420" i="3"/>
  <c r="AG852" i="3"/>
  <c r="AG1305" i="3"/>
  <c r="AG211" i="3"/>
  <c r="AG680" i="3"/>
  <c r="AG434" i="3"/>
  <c r="AG878" i="3"/>
  <c r="AG1259" i="3"/>
  <c r="AG288" i="3"/>
  <c r="AG788" i="3"/>
  <c r="AG424" i="3"/>
  <c r="AG712" i="3"/>
  <c r="AG856" i="3"/>
  <c r="AG1349" i="3"/>
  <c r="AG1125" i="3"/>
  <c r="AG1377" i="3"/>
  <c r="AG370" i="3"/>
  <c r="AG534" i="3"/>
  <c r="AG834" i="3"/>
  <c r="AG978" i="3"/>
  <c r="AG1146" i="3"/>
  <c r="AG1016" i="3"/>
  <c r="AG186" i="3"/>
  <c r="AG1252" i="3"/>
  <c r="L807" i="3"/>
  <c r="L1193" i="3"/>
  <c r="L1264" i="3"/>
  <c r="L427" i="3"/>
  <c r="L108" i="3"/>
  <c r="L1277" i="3"/>
  <c r="L366" i="3"/>
  <c r="AG149" i="3"/>
  <c r="AG442" i="3"/>
  <c r="AG586" i="3"/>
  <c r="AG730" i="3"/>
  <c r="AG898" i="3"/>
  <c r="AG1042" i="3"/>
  <c r="AG488" i="3"/>
  <c r="AG28" i="3"/>
  <c r="AG347" i="3"/>
  <c r="AG1268" i="3"/>
  <c r="AG1313" i="3"/>
  <c r="AG260" i="3"/>
  <c r="AG432" i="3"/>
  <c r="AG576" i="3"/>
  <c r="AG720" i="3"/>
  <c r="AG864" i="3"/>
  <c r="AG1008" i="3"/>
  <c r="AG1317" i="3"/>
  <c r="AG281" i="3"/>
  <c r="AG237" i="3"/>
  <c r="AG1214" i="3"/>
  <c r="AG776" i="3"/>
  <c r="AG115" i="3"/>
  <c r="AG446" i="3"/>
  <c r="AG590" i="3"/>
  <c r="AG734" i="3"/>
  <c r="AG890" i="3"/>
  <c r="AG1034" i="3"/>
  <c r="AG1295" i="3"/>
  <c r="AG221" i="3"/>
  <c r="AG301" i="3"/>
  <c r="AG1236" i="3"/>
  <c r="AG884" i="3"/>
  <c r="AG129" i="3"/>
  <c r="AG436" i="3"/>
  <c r="AG580" i="3"/>
  <c r="AG724" i="3"/>
  <c r="AG868" i="3"/>
  <c r="AG1012" i="3"/>
  <c r="AG61" i="3"/>
  <c r="AG1230" i="3"/>
  <c r="AG1145" i="3"/>
  <c r="AG71" i="3"/>
  <c r="AG383" i="3"/>
  <c r="AG546" i="3"/>
  <c r="AG690" i="3"/>
  <c r="AG846" i="3"/>
  <c r="AG990" i="3"/>
  <c r="AG1159" i="3"/>
  <c r="AG1124" i="3"/>
  <c r="AG231" i="3"/>
  <c r="AG361" i="3"/>
  <c r="L675" i="3"/>
  <c r="L819" i="3"/>
  <c r="L1376" i="3"/>
  <c r="L415" i="3"/>
  <c r="L1160" i="3"/>
  <c r="L917" i="3"/>
  <c r="L1061" i="3"/>
  <c r="L1241" i="3"/>
  <c r="L1245" i="3"/>
  <c r="L1361" i="3"/>
  <c r="L378" i="3"/>
  <c r="L459" i="3"/>
  <c r="L1219" i="3"/>
  <c r="L25" i="3"/>
  <c r="L53" i="3"/>
  <c r="L1149" i="3"/>
  <c r="L529" i="3"/>
  <c r="L673" i="3"/>
  <c r="L817" i="3"/>
  <c r="L961" i="3"/>
  <c r="L1105" i="3"/>
  <c r="L645" i="3"/>
  <c r="L802" i="3"/>
  <c r="L386" i="3"/>
  <c r="L476" i="3"/>
  <c r="L692" i="3"/>
  <c r="L908" i="3"/>
  <c r="L1052" i="3"/>
  <c r="L784" i="3"/>
  <c r="L690" i="3"/>
  <c r="L1218" i="3"/>
  <c r="L1302" i="3"/>
  <c r="L736" i="3"/>
  <c r="L374" i="3"/>
  <c r="L610" i="3"/>
  <c r="L682" i="3"/>
  <c r="L850" i="3"/>
  <c r="L1078" i="3"/>
  <c r="L568" i="3"/>
  <c r="L1250" i="3"/>
  <c r="L347" i="3"/>
  <c r="L616" i="3"/>
  <c r="L89" i="3"/>
  <c r="L420" i="3"/>
  <c r="L492" i="3"/>
  <c r="L564" i="3"/>
  <c r="L1305" i="3"/>
  <c r="L1234" i="3"/>
  <c r="L1373" i="3"/>
  <c r="L1377" i="3"/>
  <c r="L482" i="3"/>
  <c r="L626" i="3"/>
  <c r="L854" i="3"/>
  <c r="L998" i="3"/>
  <c r="L1208" i="3"/>
  <c r="L397" i="3"/>
  <c r="L1337" i="3"/>
  <c r="L1228" i="3"/>
  <c r="L467" i="3"/>
  <c r="L863" i="3"/>
  <c r="N314" i="3"/>
  <c r="N1273" i="3"/>
  <c r="N969" i="3"/>
  <c r="N184" i="3"/>
  <c r="N497" i="3"/>
  <c r="N641" i="3"/>
  <c r="N785" i="3"/>
  <c r="N929" i="3"/>
  <c r="N1085" i="3"/>
  <c r="N1251" i="3"/>
  <c r="N1105" i="3"/>
  <c r="N1173" i="3"/>
  <c r="N1089" i="3"/>
  <c r="N385" i="3"/>
  <c r="N547" i="3"/>
  <c r="N691" i="3"/>
  <c r="N847" i="3"/>
  <c r="N991" i="3"/>
  <c r="N1160" i="3"/>
  <c r="N1177" i="3"/>
  <c r="N402" i="3"/>
  <c r="N1083" i="3"/>
  <c r="N501" i="3"/>
  <c r="N837" i="3"/>
  <c r="N320" i="3"/>
  <c r="N1267" i="3"/>
  <c r="N209" i="3"/>
  <c r="N479" i="3"/>
  <c r="N623" i="3"/>
  <c r="N767" i="3"/>
  <c r="N935" i="3"/>
  <c r="N1091" i="3"/>
  <c r="N125" i="3"/>
  <c r="N42" i="3"/>
  <c r="N457" i="3"/>
  <c r="N601" i="3"/>
  <c r="N745" i="3"/>
  <c r="N889" i="3"/>
  <c r="N19" i="3"/>
  <c r="N408" i="3"/>
  <c r="N1361" i="3"/>
  <c r="N459" i="3"/>
  <c r="N603" i="3"/>
  <c r="N747" i="3"/>
  <c r="N903" i="3"/>
  <c r="AG75" i="3"/>
  <c r="AG9" i="3"/>
  <c r="N717" i="3"/>
  <c r="N1171" i="3"/>
  <c r="N775" i="3"/>
  <c r="N1101" i="3"/>
  <c r="N563" i="3"/>
  <c r="N1357" i="3"/>
  <c r="N543" i="3"/>
  <c r="AG454" i="3"/>
  <c r="AG742" i="3"/>
  <c r="AG1066" i="3"/>
  <c r="AG64" i="3"/>
  <c r="AG1316" i="3"/>
  <c r="AG272" i="3"/>
  <c r="AG588" i="3"/>
  <c r="AG876" i="3"/>
  <c r="AG1329" i="3"/>
  <c r="AG273" i="3"/>
  <c r="AG896" i="3"/>
  <c r="AG458" i="3"/>
  <c r="AG746" i="3"/>
  <c r="AG1046" i="3"/>
  <c r="AG332" i="3"/>
  <c r="AG1248" i="3"/>
  <c r="AG155" i="3"/>
  <c r="AG592" i="3"/>
  <c r="AG880" i="3"/>
  <c r="AG1024" i="3"/>
  <c r="AG10" i="3"/>
  <c r="AG1170" i="3"/>
  <c r="AG400" i="3"/>
  <c r="AG558" i="3"/>
  <c r="AG858" i="3"/>
  <c r="AG1002" i="3"/>
  <c r="AG86" i="3"/>
  <c r="AG279" i="3"/>
  <c r="AG1242" i="3"/>
  <c r="L975" i="3"/>
  <c r="L1060" i="3"/>
  <c r="L1261" i="3"/>
  <c r="L715" i="3"/>
  <c r="L929" i="3"/>
  <c r="L1247" i="3"/>
  <c r="L1162" i="3"/>
  <c r="L814" i="3"/>
  <c r="N1353" i="3"/>
  <c r="L419" i="3"/>
  <c r="L503" i="3"/>
  <c r="L959" i="3"/>
  <c r="L695" i="3"/>
  <c r="N326" i="3"/>
  <c r="N1285" i="3"/>
  <c r="N981" i="3"/>
  <c r="N215" i="3"/>
  <c r="N509" i="3"/>
  <c r="N653" i="3"/>
  <c r="N797" i="3"/>
  <c r="N941" i="3"/>
  <c r="N1097" i="3"/>
  <c r="N1336" i="3"/>
  <c r="N1320" i="3"/>
  <c r="N1185" i="3"/>
  <c r="N1162" i="3"/>
  <c r="N415" i="3"/>
  <c r="N559" i="3"/>
  <c r="N703" i="3"/>
  <c r="N859" i="3"/>
  <c r="N1003" i="3"/>
  <c r="N1312" i="3"/>
  <c r="N1117" i="3"/>
  <c r="N1209" i="3"/>
  <c r="N38" i="3"/>
  <c r="N513" i="3"/>
  <c r="N921" i="3"/>
  <c r="N333" i="3"/>
  <c r="N1279" i="3"/>
  <c r="N235" i="3"/>
  <c r="N491" i="3"/>
  <c r="N635" i="3"/>
  <c r="N779" i="3"/>
  <c r="N947" i="3"/>
  <c r="N1103" i="3"/>
  <c r="N194" i="3"/>
  <c r="N102" i="3"/>
  <c r="N469" i="3"/>
  <c r="N613" i="3"/>
  <c r="N757" i="3"/>
  <c r="N901" i="3"/>
  <c r="N91" i="3"/>
  <c r="N1142" i="3"/>
  <c r="N1374" i="3"/>
  <c r="N471" i="3"/>
  <c r="N615" i="3"/>
  <c r="N759" i="3"/>
  <c r="N915" i="3"/>
  <c r="I669" i="4"/>
  <c r="AG838" i="3"/>
  <c r="AG728" i="3"/>
  <c r="AG632" i="3"/>
  <c r="AG830" i="3"/>
  <c r="AG368" i="3"/>
  <c r="AG968" i="3"/>
  <c r="AG774" i="3"/>
  <c r="AG716" i="3"/>
  <c r="L991" i="3"/>
  <c r="L527" i="3"/>
  <c r="N1021" i="3"/>
  <c r="N873" i="3"/>
  <c r="N931" i="3"/>
  <c r="N51" i="3"/>
  <c r="N1019" i="3"/>
  <c r="N168" i="3"/>
  <c r="N99" i="3"/>
  <c r="AG161" i="3"/>
  <c r="AG598" i="3"/>
  <c r="AG910" i="3"/>
  <c r="AG596" i="3"/>
  <c r="AG390" i="3"/>
  <c r="AG189" i="3"/>
  <c r="AG444" i="3"/>
  <c r="AG732" i="3"/>
  <c r="AG1020" i="3"/>
  <c r="AG403" i="3"/>
  <c r="AG1222" i="3"/>
  <c r="AG127" i="3"/>
  <c r="AG602" i="3"/>
  <c r="AG902" i="3"/>
  <c r="AG1319" i="3"/>
  <c r="AG313" i="3"/>
  <c r="AG980" i="3"/>
  <c r="AG448" i="3"/>
  <c r="AG736" i="3"/>
  <c r="AG256" i="3"/>
  <c r="AG83" i="3"/>
  <c r="AG702" i="3"/>
  <c r="AG1311" i="3"/>
  <c r="L687" i="3"/>
  <c r="L439" i="3"/>
  <c r="L1229" i="3"/>
  <c r="L1227" i="3"/>
  <c r="L1257" i="3"/>
  <c r="L396" i="3"/>
  <c r="L615" i="3"/>
  <c r="L116" i="3"/>
  <c r="L1243" i="3"/>
  <c r="L1342" i="3"/>
  <c r="L1292" i="3"/>
  <c r="L513" i="3"/>
  <c r="L801" i="3"/>
  <c r="N244" i="3"/>
  <c r="AG177" i="3"/>
  <c r="AG466" i="3"/>
  <c r="AG610" i="3"/>
  <c r="AG754" i="3"/>
  <c r="AG922" i="3"/>
  <c r="AG1078" i="3"/>
  <c r="AG704" i="3"/>
  <c r="AG76" i="3"/>
  <c r="AG1127" i="3"/>
  <c r="AG1371" i="3"/>
  <c r="AG295" i="3"/>
  <c r="AG284" i="3"/>
  <c r="AG456" i="3"/>
  <c r="AG600" i="3"/>
  <c r="AG744" i="3"/>
  <c r="AG888" i="3"/>
  <c r="AG1032" i="3"/>
  <c r="AG1343" i="3"/>
  <c r="AG1218" i="3"/>
  <c r="AG285" i="3"/>
  <c r="AG1234" i="3"/>
  <c r="AG1004" i="3"/>
  <c r="AG167" i="3"/>
  <c r="AG470" i="3"/>
  <c r="AG614" i="3"/>
  <c r="AG758" i="3"/>
  <c r="AG914" i="3"/>
  <c r="AG1058" i="3"/>
  <c r="AG1346" i="3"/>
  <c r="AG1186" i="3"/>
  <c r="AG325" i="3"/>
  <c r="AG1272" i="3"/>
  <c r="AG1088" i="3"/>
  <c r="AG169" i="3"/>
  <c r="AG604" i="3"/>
  <c r="AG892" i="3"/>
  <c r="AG1036" i="3"/>
  <c r="AG428" i="3"/>
  <c r="AG22" i="3"/>
  <c r="AG1182" i="3"/>
  <c r="AG95" i="3"/>
  <c r="AG426" i="3"/>
  <c r="AG714" i="3"/>
  <c r="AG1014" i="3"/>
  <c r="AG1323" i="3"/>
  <c r="AG358" i="3"/>
  <c r="AG1337" i="3"/>
  <c r="AG1369" i="3"/>
  <c r="L699" i="3"/>
  <c r="L987" i="3"/>
  <c r="L1155" i="3"/>
  <c r="L799" i="3"/>
  <c r="L535" i="3"/>
  <c r="L810" i="3"/>
  <c r="L1299" i="3"/>
  <c r="L23" i="3"/>
  <c r="L1370" i="3"/>
  <c r="L1148" i="3"/>
  <c r="L627" i="3"/>
  <c r="L1291" i="3"/>
  <c r="L1304" i="3"/>
  <c r="L813" i="3"/>
  <c r="L296" i="3"/>
  <c r="L416" i="3"/>
  <c r="L488" i="3"/>
  <c r="L632" i="3"/>
  <c r="L992" i="3"/>
  <c r="L1064" i="3"/>
  <c r="L1230" i="3"/>
  <c r="L1300" i="3"/>
  <c r="L111" i="3"/>
  <c r="L622" i="3"/>
  <c r="L694" i="3"/>
  <c r="L862" i="3"/>
  <c r="L1090" i="3"/>
  <c r="L1340" i="3"/>
  <c r="L582" i="3"/>
  <c r="L1200" i="3"/>
  <c r="L1316" i="3"/>
  <c r="L120" i="3"/>
  <c r="L504" i="3"/>
  <c r="L648" i="3"/>
  <c r="L864" i="3"/>
  <c r="L936" i="3"/>
  <c r="L1092" i="3"/>
  <c r="L1317" i="3"/>
  <c r="L628" i="3"/>
  <c r="L54" i="3"/>
  <c r="L365" i="3"/>
  <c r="L1178" i="3"/>
  <c r="L1246" i="3"/>
  <c r="L892" i="3"/>
  <c r="L422" i="3"/>
  <c r="L566" i="3"/>
  <c r="L866" i="3"/>
  <c r="L1167" i="3"/>
  <c r="L1048" i="3"/>
  <c r="L618" i="3"/>
  <c r="L515" i="3"/>
  <c r="L443" i="3"/>
  <c r="N340" i="3"/>
  <c r="N1309" i="3"/>
  <c r="N1005" i="3"/>
  <c r="N241" i="3"/>
  <c r="N521" i="3"/>
  <c r="N665" i="3"/>
  <c r="N809" i="3"/>
  <c r="N953" i="3"/>
  <c r="N1109" i="3"/>
  <c r="N1217" i="3"/>
  <c r="N11" i="3"/>
  <c r="N1197" i="3"/>
  <c r="N1221" i="3"/>
  <c r="N427" i="3"/>
  <c r="N571" i="3"/>
  <c r="N715" i="3"/>
  <c r="N871" i="3"/>
  <c r="N1015" i="3"/>
  <c r="N1324" i="3"/>
  <c r="N1119" i="3"/>
  <c r="N1301" i="3"/>
  <c r="N62" i="3"/>
  <c r="N525" i="3"/>
  <c r="N1041" i="3"/>
  <c r="N388" i="3"/>
  <c r="N1291" i="3"/>
  <c r="N271" i="3"/>
  <c r="N503" i="3"/>
  <c r="N647" i="3"/>
  <c r="N791" i="3"/>
  <c r="N959" i="3"/>
  <c r="N1115" i="3"/>
  <c r="N1129" i="3"/>
  <c r="N249" i="3"/>
  <c r="N481" i="3"/>
  <c r="N625" i="3"/>
  <c r="N769" i="3"/>
  <c r="N913" i="3"/>
  <c r="N153" i="3"/>
  <c r="N1179" i="3"/>
  <c r="N1023" i="3"/>
  <c r="N483" i="3"/>
  <c r="N627" i="3"/>
  <c r="N771" i="3"/>
  <c r="N927" i="3"/>
  <c r="AG324" i="3"/>
  <c r="AG207" i="3"/>
  <c r="AG478" i="3"/>
  <c r="AG622" i="3"/>
  <c r="AG766" i="3"/>
  <c r="AG934" i="3"/>
  <c r="AG1090" i="3"/>
  <c r="AG100" i="3"/>
  <c r="AG1139" i="3"/>
  <c r="AG220" i="3"/>
  <c r="AG1198" i="3"/>
  <c r="AG298" i="3"/>
  <c r="AG468" i="3"/>
  <c r="AG612" i="3"/>
  <c r="AG756" i="3"/>
  <c r="AG900" i="3"/>
  <c r="AG1044" i="3"/>
  <c r="AG13" i="3"/>
  <c r="AG18" i="3"/>
  <c r="AG365" i="3"/>
  <c r="AG1246" i="3"/>
  <c r="AG1100" i="3"/>
  <c r="AG250" i="3"/>
  <c r="AG482" i="3"/>
  <c r="AG626" i="3"/>
  <c r="AG770" i="3"/>
  <c r="AG926" i="3"/>
  <c r="AG1070" i="3"/>
  <c r="AG49" i="3"/>
  <c r="AG1302" i="3"/>
  <c r="AG339" i="3"/>
  <c r="AG1284" i="3"/>
  <c r="AG1354" i="3"/>
  <c r="AG183" i="3"/>
  <c r="AG472" i="3"/>
  <c r="AG616" i="3"/>
  <c r="AG760" i="3"/>
  <c r="AG904" i="3"/>
  <c r="AG1048" i="3"/>
  <c r="AG536" i="3"/>
  <c r="AG58" i="3"/>
  <c r="AG1194" i="3"/>
  <c r="AG185" i="3"/>
  <c r="AG438" i="3"/>
  <c r="AG582" i="3"/>
  <c r="AG726" i="3"/>
  <c r="AG1026" i="3"/>
  <c r="AG1352" i="3"/>
  <c r="AG36" i="3"/>
  <c r="AG371" i="3"/>
  <c r="AG1367" i="3"/>
  <c r="L855" i="3"/>
  <c r="L1260" i="3"/>
  <c r="L117" i="3"/>
  <c r="L475" i="3"/>
  <c r="L809" i="3"/>
  <c r="L341" i="3"/>
  <c r="L1171" i="3"/>
  <c r="L1062" i="3"/>
  <c r="L1372" i="3"/>
  <c r="L639" i="3"/>
  <c r="L421" i="3"/>
  <c r="L565" i="3"/>
  <c r="L853" i="3"/>
  <c r="L997" i="3"/>
  <c r="L1166" i="3"/>
  <c r="L1328" i="3"/>
  <c r="L681" i="3"/>
  <c r="L110" i="3"/>
  <c r="N399" i="3"/>
  <c r="L491" i="3"/>
  <c r="L683" i="3"/>
  <c r="L1103" i="3"/>
  <c r="N1132" i="3"/>
  <c r="N1333" i="3"/>
  <c r="N1065" i="3"/>
  <c r="N369" i="3"/>
  <c r="N533" i="3"/>
  <c r="N677" i="3"/>
  <c r="N821" i="3"/>
  <c r="N965" i="3"/>
  <c r="N1121" i="3"/>
  <c r="N609" i="3"/>
  <c r="N23" i="3"/>
  <c r="N1229" i="3"/>
  <c r="N1269" i="3"/>
  <c r="N439" i="3"/>
  <c r="N583" i="3"/>
  <c r="N727" i="3"/>
  <c r="N883" i="3"/>
  <c r="N1027" i="3"/>
  <c r="N1253" i="3"/>
  <c r="N73" i="3"/>
  <c r="N1368" i="3"/>
  <c r="N122" i="3"/>
  <c r="N537" i="3"/>
  <c r="N1189" i="3"/>
  <c r="N1126" i="3"/>
  <c r="N1315" i="3"/>
  <c r="N283" i="3"/>
  <c r="N515" i="3"/>
  <c r="N659" i="3"/>
  <c r="N827" i="3"/>
  <c r="N971" i="3"/>
  <c r="N1164" i="3"/>
  <c r="N1035" i="3"/>
  <c r="N261" i="3"/>
  <c r="N493" i="3"/>
  <c r="N637" i="3"/>
  <c r="N781" i="3"/>
  <c r="N925" i="3"/>
  <c r="N181" i="3"/>
  <c r="N1191" i="3"/>
  <c r="N1155" i="3"/>
  <c r="N495" i="3"/>
  <c r="N639" i="3"/>
  <c r="N783" i="3"/>
  <c r="N939" i="3"/>
  <c r="AI1686" i="3"/>
  <c r="AG526" i="3"/>
  <c r="AG348" i="3"/>
  <c r="AG1360" i="3"/>
  <c r="AG764" i="3"/>
  <c r="AG952" i="3"/>
  <c r="AG930" i="3"/>
  <c r="L571" i="3"/>
  <c r="L342" i="3"/>
  <c r="L102" i="3"/>
  <c r="AG812" i="3"/>
  <c r="AG234" i="3"/>
  <c r="AG490" i="3"/>
  <c r="AG634" i="3"/>
  <c r="AG778" i="3"/>
  <c r="AG946" i="3"/>
  <c r="AG1102" i="3"/>
  <c r="AG920" i="3"/>
  <c r="AG112" i="3"/>
  <c r="AG1151" i="3"/>
  <c r="AG386" i="3"/>
  <c r="AG17" i="3"/>
  <c r="AG310" i="3"/>
  <c r="AG480" i="3"/>
  <c r="AG624" i="3"/>
  <c r="AG768" i="3"/>
  <c r="AG912" i="3"/>
  <c r="AG1068" i="3"/>
  <c r="AG133" i="3"/>
  <c r="AG90" i="3"/>
  <c r="AG377" i="3"/>
  <c r="AG1270" i="3"/>
  <c r="AG1325" i="3"/>
  <c r="AG262" i="3"/>
  <c r="AG494" i="3"/>
  <c r="AG638" i="3"/>
  <c r="AG782" i="3"/>
  <c r="AG938" i="3"/>
  <c r="AG1082" i="3"/>
  <c r="AG440" i="3"/>
  <c r="AG44" i="3"/>
  <c r="AG379" i="3"/>
  <c r="AG1308" i="3"/>
  <c r="AG148" i="3"/>
  <c r="AG214" i="3"/>
  <c r="AG484" i="3"/>
  <c r="AG628" i="3"/>
  <c r="AG772" i="3"/>
  <c r="AG916" i="3"/>
  <c r="AG1072" i="3"/>
  <c r="AG644" i="3"/>
  <c r="AG130" i="3"/>
  <c r="AG1206" i="3"/>
  <c r="AG217" i="3"/>
  <c r="AG450" i="3"/>
  <c r="AG594" i="3"/>
  <c r="AG738" i="3"/>
  <c r="AG894" i="3"/>
  <c r="AG1038" i="3"/>
  <c r="AG121" i="3"/>
  <c r="AG60" i="3"/>
  <c r="AG401" i="3"/>
  <c r="AG37" i="3"/>
  <c r="L867" i="3"/>
  <c r="L1296" i="3"/>
  <c r="L1205" i="3"/>
  <c r="L487" i="3"/>
  <c r="L1109" i="3"/>
  <c r="L1275" i="3"/>
  <c r="L1140" i="3"/>
  <c r="L1293" i="3"/>
  <c r="L806" i="3"/>
  <c r="L507" i="3"/>
  <c r="L1255" i="3"/>
  <c r="L109" i="3"/>
  <c r="L1211" i="3"/>
  <c r="L433" i="3"/>
  <c r="L577" i="3"/>
  <c r="L865" i="3"/>
  <c r="L1258" i="3"/>
  <c r="L693" i="3"/>
  <c r="L428" i="3"/>
  <c r="L572" i="3"/>
  <c r="L716" i="3"/>
  <c r="L1004" i="3"/>
  <c r="L1076" i="3"/>
  <c r="L1161" i="3"/>
  <c r="L368" i="3"/>
  <c r="L976" i="3"/>
  <c r="L918" i="3"/>
  <c r="L361" i="3"/>
  <c r="L1242" i="3"/>
  <c r="L1369" i="3"/>
  <c r="L906" i="3"/>
  <c r="L490" i="3"/>
  <c r="L706" i="3"/>
  <c r="L1018" i="3"/>
  <c r="L760" i="3"/>
  <c r="L1212" i="3"/>
  <c r="L1371" i="3"/>
  <c r="L808" i="3"/>
  <c r="L348" i="3"/>
  <c r="L444" i="3"/>
  <c r="L516" i="3"/>
  <c r="L588" i="3"/>
  <c r="L660" i="3"/>
  <c r="L732" i="3"/>
  <c r="L804" i="3"/>
  <c r="L1020" i="3"/>
  <c r="L1104" i="3"/>
  <c r="L1329" i="3"/>
  <c r="L90" i="3"/>
  <c r="L377" i="3"/>
  <c r="L380" i="3"/>
  <c r="L988" i="3"/>
  <c r="L55" i="3"/>
  <c r="L434" i="3"/>
  <c r="L506" i="3"/>
  <c r="L578" i="3"/>
  <c r="L650" i="3"/>
  <c r="L1022" i="3"/>
  <c r="L1094" i="3"/>
  <c r="L1259" i="3"/>
  <c r="L700" i="3"/>
  <c r="L738" i="3"/>
  <c r="L1216" i="3"/>
  <c r="L1308" i="3"/>
  <c r="L748" i="3"/>
  <c r="L450" i="3"/>
  <c r="L392" i="3"/>
  <c r="L815" i="3"/>
  <c r="L455" i="3"/>
  <c r="N1144" i="3"/>
  <c r="N1376" i="3"/>
  <c r="N1339" i="3"/>
  <c r="N381" i="3"/>
  <c r="N545" i="3"/>
  <c r="N689" i="3"/>
  <c r="N833" i="3"/>
  <c r="N977" i="3"/>
  <c r="N1158" i="3"/>
  <c r="N753" i="3"/>
  <c r="N59" i="3"/>
  <c r="N1241" i="3"/>
  <c r="N1093" i="3"/>
  <c r="N451" i="3"/>
  <c r="N595" i="3"/>
  <c r="N739" i="3"/>
  <c r="N895" i="3"/>
  <c r="N1039" i="3"/>
  <c r="N1277" i="3"/>
  <c r="N85" i="3"/>
  <c r="N693" i="3"/>
  <c r="N134" i="3"/>
  <c r="N549" i="3"/>
  <c r="N1033" i="3"/>
  <c r="N1138" i="3"/>
  <c r="N1370" i="3"/>
  <c r="N363" i="3"/>
  <c r="N527" i="3"/>
  <c r="N671" i="3"/>
  <c r="N839" i="3"/>
  <c r="N983" i="3"/>
  <c r="N1304" i="3"/>
  <c r="N65" i="3"/>
  <c r="N299" i="3"/>
  <c r="N505" i="3"/>
  <c r="N649" i="3"/>
  <c r="N793" i="3"/>
  <c r="N937" i="3"/>
  <c r="N198" i="3"/>
  <c r="N1203" i="3"/>
  <c r="N56" i="3"/>
  <c r="N507" i="3"/>
  <c r="N651" i="3"/>
  <c r="N795" i="3"/>
  <c r="N951" i="3"/>
  <c r="AG516" i="3"/>
  <c r="N802" i="3"/>
  <c r="AG3" i="3"/>
  <c r="AG27" i="3"/>
  <c r="AG270" i="3"/>
  <c r="AG502" i="3"/>
  <c r="AG646" i="3"/>
  <c r="AG790" i="3"/>
  <c r="AG958" i="3"/>
  <c r="AG1114" i="3"/>
  <c r="AG1028" i="3"/>
  <c r="AG124" i="3"/>
  <c r="AG1176" i="3"/>
  <c r="AG512" i="3"/>
  <c r="AG41" i="3"/>
  <c r="AG322" i="3"/>
  <c r="AG492" i="3"/>
  <c r="AG636" i="3"/>
  <c r="AG780" i="3"/>
  <c r="AG924" i="3"/>
  <c r="AG1080" i="3"/>
  <c r="AG416" i="3"/>
  <c r="AG114" i="3"/>
  <c r="AG394" i="3"/>
  <c r="AG1306" i="3"/>
  <c r="AG14" i="3"/>
  <c r="AG300" i="3"/>
  <c r="AG506" i="3"/>
  <c r="AG650" i="3"/>
  <c r="AG794" i="3"/>
  <c r="AG950" i="3"/>
  <c r="AG1094" i="3"/>
  <c r="AG548" i="3"/>
  <c r="AG1131" i="3"/>
  <c r="AG1332" i="3"/>
  <c r="AG1174" i="3"/>
  <c r="AG240" i="3"/>
  <c r="AG496" i="3"/>
  <c r="AG640" i="3"/>
  <c r="AG784" i="3"/>
  <c r="AG928" i="3"/>
  <c r="AG1084" i="3"/>
  <c r="AG752" i="3"/>
  <c r="AG156" i="3"/>
  <c r="AG1226" i="3"/>
  <c r="AG230" i="3"/>
  <c r="AG462" i="3"/>
  <c r="AG606" i="3"/>
  <c r="AG750" i="3"/>
  <c r="AG906" i="3"/>
  <c r="AG1050" i="3"/>
  <c r="AG330" i="3"/>
  <c r="AG72" i="3"/>
  <c r="AG1172" i="3"/>
  <c r="AG500" i="3"/>
  <c r="L735" i="3"/>
  <c r="L1225" i="3"/>
  <c r="L1368" i="3"/>
  <c r="L511" i="3"/>
  <c r="L343" i="3"/>
  <c r="L689" i="3"/>
  <c r="L977" i="3"/>
  <c r="L1374" i="3"/>
  <c r="L1142" i="3"/>
  <c r="L1254" i="3"/>
  <c r="L445" i="3"/>
  <c r="L1021" i="3"/>
  <c r="L705" i="3"/>
  <c r="L849" i="3"/>
  <c r="L134" i="3"/>
  <c r="L755" i="3"/>
  <c r="L647" i="3"/>
  <c r="N1169" i="3"/>
  <c r="N633" i="3"/>
  <c r="N1355" i="3"/>
  <c r="N412" i="3"/>
  <c r="N557" i="3"/>
  <c r="N701" i="3"/>
  <c r="N845" i="3"/>
  <c r="N989" i="3"/>
  <c r="N1322" i="3"/>
  <c r="N789" i="3"/>
  <c r="N131" i="3"/>
  <c r="N621" i="3"/>
  <c r="N1296" i="3"/>
  <c r="N463" i="3"/>
  <c r="N607" i="3"/>
  <c r="N751" i="3"/>
  <c r="N907" i="3"/>
  <c r="N1051" i="3"/>
  <c r="N657" i="3"/>
  <c r="N147" i="3"/>
  <c r="N909" i="3"/>
  <c r="N417" i="3"/>
  <c r="N561" i="3"/>
  <c r="N1166" i="3"/>
  <c r="N1175" i="3"/>
  <c r="N1140" i="3"/>
  <c r="N375" i="3"/>
  <c r="N539" i="3"/>
  <c r="N683" i="3"/>
  <c r="N851" i="3"/>
  <c r="N995" i="3"/>
  <c r="N1328" i="3"/>
  <c r="N311" i="3"/>
  <c r="N517" i="3"/>
  <c r="N661" i="3"/>
  <c r="N805" i="3"/>
  <c r="N949" i="3"/>
  <c r="N212" i="3"/>
  <c r="N1215" i="3"/>
  <c r="N116" i="3"/>
  <c r="N519" i="3"/>
  <c r="N663" i="3"/>
  <c r="N819" i="3"/>
  <c r="N963" i="3"/>
  <c r="AG63" i="3"/>
  <c r="AG282" i="3"/>
  <c r="AG514" i="3"/>
  <c r="AG658" i="3"/>
  <c r="AG826" i="3"/>
  <c r="AG970" i="3"/>
  <c r="AG1163" i="3"/>
  <c r="AG1136" i="3"/>
  <c r="AG136" i="3"/>
  <c r="AG1188" i="3"/>
  <c r="AG620" i="3"/>
  <c r="AG101" i="3"/>
  <c r="AG336" i="3"/>
  <c r="AG504" i="3"/>
  <c r="AG648" i="3"/>
  <c r="AG792" i="3"/>
  <c r="AG936" i="3"/>
  <c r="AG1092" i="3"/>
  <c r="AG524" i="3"/>
  <c r="AG126" i="3"/>
  <c r="AG407" i="3"/>
  <c r="AG1330" i="3"/>
  <c r="AG176" i="3"/>
  <c r="AG312" i="3"/>
  <c r="AG518" i="3"/>
  <c r="AG662" i="3"/>
  <c r="AG818" i="3"/>
  <c r="AG962" i="3"/>
  <c r="AG1106" i="3"/>
  <c r="AG656" i="3"/>
  <c r="AG213" i="3"/>
  <c r="AG1168" i="3"/>
  <c r="AG1375" i="3"/>
  <c r="AG1278" i="3"/>
  <c r="AG276" i="3"/>
  <c r="AG508" i="3"/>
  <c r="AG652" i="3"/>
  <c r="AG796" i="3"/>
  <c r="AG940" i="3"/>
  <c r="AG1096" i="3"/>
  <c r="AG860" i="3"/>
  <c r="AG170" i="3"/>
  <c r="AG1238" i="3"/>
  <c r="AG254" i="3"/>
  <c r="AG474" i="3"/>
  <c r="AG618" i="3"/>
  <c r="AG762" i="3"/>
  <c r="AG918" i="3"/>
  <c r="AG1074" i="3"/>
  <c r="AG476" i="3"/>
  <c r="AG84" i="3"/>
  <c r="AG1184" i="3"/>
  <c r="AG608" i="3"/>
  <c r="L747" i="3"/>
  <c r="L891" i="3"/>
  <c r="L1249" i="3"/>
  <c r="L691" i="3"/>
  <c r="L385" i="3"/>
  <c r="L1217" i="3"/>
  <c r="L1207" i="3"/>
  <c r="L107" i="3"/>
  <c r="L1177" i="3"/>
  <c r="L1215" i="3"/>
  <c r="L1179" i="3"/>
  <c r="L889" i="3"/>
  <c r="L1294" i="3"/>
  <c r="L429" i="3"/>
  <c r="L861" i="3"/>
  <c r="L346" i="3"/>
  <c r="L440" i="3"/>
  <c r="L512" i="3"/>
  <c r="L656" i="3"/>
  <c r="L800" i="3"/>
  <c r="L1088" i="3"/>
  <c r="L1050" i="3"/>
  <c r="L373" i="3"/>
  <c r="L1266" i="3"/>
  <c r="L448" i="3"/>
  <c r="L27" i="3"/>
  <c r="L135" i="3"/>
  <c r="L430" i="3"/>
  <c r="L646" i="3"/>
  <c r="L886" i="3"/>
  <c r="L868" i="3"/>
  <c r="L112" i="3"/>
  <c r="L297" i="3"/>
  <c r="L1220" i="3"/>
  <c r="L183" i="3"/>
  <c r="L1276" i="3"/>
  <c r="L364" i="3"/>
  <c r="L456" i="3"/>
  <c r="L528" i="3"/>
  <c r="L672" i="3"/>
  <c r="L816" i="3"/>
  <c r="L960" i="3"/>
  <c r="L1343" i="3"/>
  <c r="L820" i="3"/>
  <c r="L394" i="3"/>
  <c r="L1306" i="3"/>
  <c r="L446" i="3"/>
  <c r="L518" i="3"/>
  <c r="L818" i="3"/>
  <c r="L890" i="3"/>
  <c r="L962" i="3"/>
  <c r="L1106" i="3"/>
  <c r="L1295" i="3"/>
  <c r="L882" i="3"/>
  <c r="L1143" i="3"/>
  <c r="L1224" i="3"/>
  <c r="L1332" i="3"/>
  <c r="L424" i="3"/>
  <c r="L462" i="3"/>
  <c r="L935" i="3"/>
  <c r="L1067" i="3"/>
  <c r="N1181" i="3"/>
  <c r="N681" i="3"/>
  <c r="N1372" i="3"/>
  <c r="N425" i="3"/>
  <c r="N569" i="3"/>
  <c r="N713" i="3"/>
  <c r="N857" i="3"/>
  <c r="N1001" i="3"/>
  <c r="N1351" i="3"/>
  <c r="N813" i="3"/>
  <c r="N157" i="3"/>
  <c r="N705" i="3"/>
  <c r="N96" i="3"/>
  <c r="N475" i="3"/>
  <c r="N619" i="3"/>
  <c r="N763" i="3"/>
  <c r="N919" i="3"/>
  <c r="N1075" i="3"/>
  <c r="N741" i="3"/>
  <c r="N175" i="3"/>
  <c r="N1029" i="3"/>
  <c r="N429" i="3"/>
  <c r="N573" i="3"/>
  <c r="N15" i="3"/>
  <c r="N1187" i="3"/>
  <c r="N1201" i="3"/>
  <c r="N405" i="3"/>
  <c r="N551" i="3"/>
  <c r="N695" i="3"/>
  <c r="N863" i="3"/>
  <c r="N1007" i="3"/>
  <c r="N1342" i="3"/>
  <c r="N165" i="3"/>
  <c r="N323" i="3"/>
  <c r="N529" i="3"/>
  <c r="N673" i="3"/>
  <c r="N817" i="3"/>
  <c r="N961" i="3"/>
  <c r="N238" i="3"/>
  <c r="N1223" i="3"/>
  <c r="N128" i="3"/>
  <c r="N531" i="3"/>
  <c r="N675" i="3"/>
  <c r="N831" i="3"/>
  <c r="N975" i="3"/>
  <c r="AA1276" i="3"/>
  <c r="AG1276" i="3"/>
  <c r="AA1300" i="3"/>
  <c r="AG1300" i="3"/>
  <c r="AA460" i="3"/>
  <c r="AG460" i="3"/>
  <c r="AA748" i="3"/>
  <c r="AG748" i="3"/>
  <c r="AA570" i="3"/>
  <c r="AG570" i="3"/>
  <c r="AA870" i="3"/>
  <c r="AG870" i="3"/>
  <c r="AA1266" i="3"/>
  <c r="AG1266" i="3"/>
  <c r="AA882" i="3"/>
  <c r="AG882" i="3"/>
  <c r="AA104" i="3"/>
  <c r="AG104" i="3"/>
  <c r="L710" i="4"/>
  <c r="L709" i="4"/>
  <c r="T1350" i="3"/>
  <c r="W1350" i="3"/>
  <c r="AD1350" i="3"/>
  <c r="Y1350" i="3"/>
  <c r="L1350" i="3"/>
  <c r="AA1350" i="3"/>
  <c r="T1335" i="3"/>
  <c r="W1335" i="3"/>
  <c r="AD1335" i="3"/>
  <c r="Y1335" i="3"/>
  <c r="L1335" i="3"/>
  <c r="AA1335" i="3"/>
  <c r="Y557" i="4"/>
  <c r="Y553" i="4"/>
  <c r="W144" i="3"/>
  <c r="T144" i="3"/>
  <c r="AD144" i="3"/>
  <c r="AA144" i="3"/>
  <c r="L144" i="3"/>
  <c r="AK144" i="3"/>
  <c r="Y144" i="3"/>
  <c r="W206" i="3"/>
  <c r="T206" i="3"/>
  <c r="AD206" i="3"/>
  <c r="L206" i="3"/>
  <c r="AA206" i="3"/>
  <c r="AK206" i="3"/>
  <c r="Y206" i="3"/>
  <c r="W287" i="3"/>
  <c r="AD287" i="3"/>
  <c r="T287" i="3"/>
  <c r="L287" i="3"/>
  <c r="AA287" i="3"/>
  <c r="AK287" i="3"/>
  <c r="Y287" i="3"/>
  <c r="W188" i="3"/>
  <c r="AD188" i="3"/>
  <c r="T188" i="3"/>
  <c r="L188" i="3"/>
  <c r="AA188" i="3"/>
  <c r="AK188" i="3"/>
  <c r="Y188" i="3"/>
  <c r="AD172" i="3"/>
  <c r="W172" i="3"/>
  <c r="T172" i="3"/>
  <c r="L172" i="3"/>
  <c r="AA172" i="3"/>
  <c r="AK172" i="3"/>
  <c r="Y172" i="3"/>
  <c r="W389" i="3"/>
  <c r="T389" i="3"/>
  <c r="AD389" i="3"/>
  <c r="L389" i="3"/>
  <c r="AA389" i="3"/>
  <c r="AK389" i="3"/>
  <c r="Y389" i="3"/>
  <c r="AD195" i="3"/>
  <c r="W195" i="3"/>
  <c r="T195" i="3"/>
  <c r="L195" i="3"/>
  <c r="AA195" i="3"/>
  <c r="AK195" i="3"/>
  <c r="Y195" i="3"/>
  <c r="T350" i="3"/>
  <c r="AD350" i="3"/>
  <c r="W350" i="3"/>
  <c r="L350" i="3"/>
  <c r="AA350" i="3"/>
  <c r="AK350" i="3"/>
  <c r="Y350" i="3"/>
  <c r="W216" i="3"/>
  <c r="AD216" i="3"/>
  <c r="T216" i="3"/>
  <c r="AA216" i="3"/>
  <c r="L216" i="3"/>
  <c r="AK216" i="3"/>
  <c r="Y216" i="3"/>
  <c r="T557" i="4"/>
  <c r="T553" i="4"/>
  <c r="L1314" i="3"/>
  <c r="L1312" i="3"/>
  <c r="L1313" i="3"/>
  <c r="L480" i="3"/>
  <c r="L479" i="3"/>
  <c r="L679" i="3"/>
  <c r="L680" i="3"/>
  <c r="L299" i="3"/>
  <c r="L300" i="3"/>
  <c r="L301" i="3"/>
  <c r="L1146" i="3"/>
  <c r="L1144" i="3"/>
  <c r="L1145" i="3"/>
  <c r="L1189" i="3"/>
  <c r="L1190" i="3"/>
  <c r="L493" i="3"/>
  <c r="L494" i="3"/>
  <c r="L1197" i="3"/>
  <c r="L1198" i="3"/>
  <c r="L1203" i="3"/>
  <c r="L437" i="3"/>
  <c r="L1214" i="3"/>
  <c r="L1213" i="3"/>
  <c r="L686" i="3"/>
  <c r="L685" i="3"/>
  <c r="L283" i="3"/>
  <c r="L284" i="3"/>
  <c r="L285" i="3"/>
  <c r="L751" i="3"/>
  <c r="L752" i="3"/>
  <c r="L831" i="3"/>
  <c r="L832" i="3"/>
  <c r="L887" i="3"/>
  <c r="L888" i="3"/>
  <c r="L925" i="3"/>
  <c r="L926" i="3"/>
  <c r="L131" i="3"/>
  <c r="L132" i="3"/>
  <c r="L133" i="3"/>
  <c r="L281" i="3"/>
  <c r="L239" i="3"/>
  <c r="L240" i="3"/>
  <c r="L238" i="3"/>
  <c r="L1173" i="3"/>
  <c r="L1174" i="3"/>
  <c r="L999" i="3"/>
  <c r="L1000" i="3"/>
  <c r="L1069" i="3"/>
  <c r="L1070" i="3"/>
  <c r="L642" i="3"/>
  <c r="L641" i="3"/>
  <c r="L924" i="3"/>
  <c r="L1122" i="3"/>
  <c r="L1121" i="3"/>
  <c r="L710" i="3"/>
  <c r="L709" i="3"/>
  <c r="L1209" i="3"/>
  <c r="L1210" i="3"/>
  <c r="L540" i="3"/>
  <c r="L539" i="3"/>
  <c r="L822" i="3"/>
  <c r="L1005" i="3"/>
  <c r="L1006" i="3"/>
  <c r="L409" i="3"/>
  <c r="L408" i="3"/>
  <c r="L411" i="3"/>
  <c r="L669" i="3"/>
  <c r="L670" i="3"/>
  <c r="L949" i="3"/>
  <c r="L950" i="3"/>
  <c r="L1098" i="3"/>
  <c r="L1097" i="3"/>
  <c r="L532" i="3"/>
  <c r="L561" i="3"/>
  <c r="L562" i="3"/>
  <c r="L15" i="3"/>
  <c r="L16" i="3"/>
  <c r="L17" i="3"/>
  <c r="L18" i="3"/>
  <c r="L158" i="3"/>
  <c r="L160" i="3"/>
  <c r="L157" i="3"/>
  <c r="L161" i="3"/>
  <c r="L191" i="3"/>
  <c r="L192" i="3"/>
  <c r="L369" i="3"/>
  <c r="L370" i="3"/>
  <c r="L371" i="3"/>
  <c r="L744" i="3"/>
  <c r="L743" i="3"/>
  <c r="L781" i="3"/>
  <c r="L782" i="3"/>
  <c r="L834" i="3"/>
  <c r="L833" i="3"/>
  <c r="L896" i="3"/>
  <c r="L943" i="3"/>
  <c r="L944" i="3"/>
  <c r="L338" i="3"/>
  <c r="L339" i="3"/>
  <c r="L337" i="3"/>
  <c r="L210" i="3"/>
  <c r="L209" i="3"/>
  <c r="L211" i="3"/>
  <c r="L258" i="3"/>
  <c r="L259" i="3"/>
  <c r="L260" i="3"/>
  <c r="L970" i="3"/>
  <c r="L168" i="3"/>
  <c r="L169" i="3"/>
  <c r="L170" i="3"/>
  <c r="L1024" i="3"/>
  <c r="L1023" i="3"/>
  <c r="L1348" i="3"/>
  <c r="L1349" i="3"/>
  <c r="L601" i="3"/>
  <c r="L602" i="3"/>
  <c r="L778" i="3"/>
  <c r="L42" i="3"/>
  <c r="L43" i="3"/>
  <c r="L44" i="3"/>
  <c r="L1287" i="3"/>
  <c r="L1289" i="3"/>
  <c r="L1290" i="3"/>
  <c r="L1285" i="3"/>
  <c r="L1286" i="3"/>
  <c r="L1288" i="3"/>
  <c r="L750" i="3"/>
  <c r="L727" i="3"/>
  <c r="L728" i="3"/>
  <c r="L1355" i="3"/>
  <c r="L1356" i="3"/>
  <c r="L541" i="3"/>
  <c r="L542" i="3"/>
  <c r="L835" i="3"/>
  <c r="L836" i="3"/>
  <c r="L1038" i="3"/>
  <c r="L1037" i="3"/>
  <c r="L1086" i="3"/>
  <c r="L1085" i="3"/>
  <c r="L723" i="3"/>
  <c r="L957" i="3"/>
  <c r="L958" i="3"/>
  <c r="L215" i="3"/>
  <c r="L217" i="3"/>
  <c r="L498" i="3"/>
  <c r="L497" i="3"/>
  <c r="L534" i="3"/>
  <c r="L533" i="3"/>
  <c r="L573" i="3"/>
  <c r="L13" i="3"/>
  <c r="L14" i="3"/>
  <c r="L11" i="3"/>
  <c r="L12" i="3"/>
  <c r="L1117" i="3"/>
  <c r="L1118" i="3"/>
  <c r="L698" i="3"/>
  <c r="L697" i="3"/>
  <c r="L61" i="3"/>
  <c r="L59" i="3"/>
  <c r="L60" i="3"/>
  <c r="L753" i="3"/>
  <c r="L754" i="3"/>
  <c r="L417" i="3"/>
  <c r="L418" i="3"/>
  <c r="L840" i="3"/>
  <c r="L839" i="3"/>
  <c r="L898" i="3"/>
  <c r="L897" i="3"/>
  <c r="L945" i="3"/>
  <c r="L946" i="3"/>
  <c r="L19" i="3"/>
  <c r="L20" i="3"/>
  <c r="L21" i="3"/>
  <c r="L22" i="3"/>
  <c r="L184" i="3"/>
  <c r="L185" i="3"/>
  <c r="L186" i="3"/>
  <c r="L65" i="3"/>
  <c r="L66" i="3"/>
  <c r="L67" i="3"/>
  <c r="L68" i="3"/>
  <c r="L69" i="3"/>
  <c r="L971" i="3"/>
  <c r="L972" i="3"/>
  <c r="L1334" i="3"/>
  <c r="L1333" i="3"/>
  <c r="L1271" i="3"/>
  <c r="L1272" i="3"/>
  <c r="L237" i="3"/>
  <c r="L235" i="3"/>
  <c r="L236" i="3"/>
  <c r="L113" i="3"/>
  <c r="L114" i="3"/>
  <c r="L115" i="3"/>
  <c r="L762" i="3"/>
  <c r="L761" i="3"/>
  <c r="L678" i="3"/>
  <c r="L546" i="3"/>
  <c r="L545" i="3"/>
  <c r="L837" i="3"/>
  <c r="L838" i="3"/>
  <c r="L1042" i="3"/>
  <c r="L1041" i="3"/>
  <c r="L1119" i="3"/>
  <c r="L1120" i="3"/>
  <c r="L786" i="3"/>
  <c r="L785" i="3"/>
  <c r="L1002" i="3"/>
  <c r="L1001" i="3"/>
  <c r="L194" i="3"/>
  <c r="L196" i="3"/>
  <c r="L502" i="3"/>
  <c r="L501" i="3"/>
  <c r="L1074" i="3"/>
  <c r="L1073" i="3"/>
  <c r="L575" i="3"/>
  <c r="L576" i="3"/>
  <c r="L613" i="3"/>
  <c r="L614" i="3"/>
  <c r="L1113" i="3"/>
  <c r="L1114" i="3"/>
  <c r="L702" i="3"/>
  <c r="L701" i="3"/>
  <c r="L73" i="3"/>
  <c r="L74" i="3"/>
  <c r="L75" i="3"/>
  <c r="L76" i="3"/>
  <c r="L746" i="3"/>
  <c r="L745" i="3"/>
  <c r="L1066" i="3"/>
  <c r="L1065" i="3"/>
  <c r="L858" i="3"/>
  <c r="L857" i="3"/>
  <c r="L899" i="3"/>
  <c r="L900" i="3"/>
  <c r="L948" i="3"/>
  <c r="L947" i="3"/>
  <c r="L138" i="3"/>
  <c r="L139" i="3"/>
  <c r="L140" i="3"/>
  <c r="L145" i="3"/>
  <c r="L143" i="3"/>
  <c r="L141" i="3"/>
  <c r="L142" i="3"/>
  <c r="L173" i="3"/>
  <c r="L171" i="3"/>
  <c r="L952" i="3"/>
  <c r="L951" i="3"/>
  <c r="L979" i="3"/>
  <c r="L980" i="3"/>
  <c r="L1139" i="3"/>
  <c r="L1138" i="3"/>
  <c r="L1274" i="3"/>
  <c r="L1273" i="3"/>
  <c r="L77" i="3"/>
  <c r="L78" i="3"/>
  <c r="L79" i="3"/>
  <c r="L83" i="3"/>
  <c r="L82" i="3"/>
  <c r="L84" i="3"/>
  <c r="L81" i="3"/>
  <c r="L80" i="3"/>
  <c r="L311" i="3"/>
  <c r="L312" i="3"/>
  <c r="L313" i="3"/>
  <c r="L829" i="3"/>
  <c r="L830" i="3"/>
  <c r="L726" i="3"/>
  <c r="L725" i="3"/>
  <c r="L592" i="3"/>
  <c r="L591" i="3"/>
  <c r="L841" i="3"/>
  <c r="L842" i="3"/>
  <c r="L271" i="3"/>
  <c r="L272" i="3"/>
  <c r="L273" i="3"/>
  <c r="L483" i="3"/>
  <c r="L484" i="3"/>
  <c r="L859" i="3"/>
  <c r="L860" i="3"/>
  <c r="L1130" i="3"/>
  <c r="L1131" i="3"/>
  <c r="L1129" i="3"/>
  <c r="L1126" i="3"/>
  <c r="L1128" i="3"/>
  <c r="L1127" i="3"/>
  <c r="L510" i="3"/>
  <c r="L509" i="3"/>
  <c r="L537" i="3"/>
  <c r="L538" i="3"/>
  <c r="L583" i="3"/>
  <c r="L623" i="3"/>
  <c r="L624" i="3"/>
  <c r="L1112" i="3"/>
  <c r="L1111" i="3"/>
  <c r="L703" i="3"/>
  <c r="L704" i="3"/>
  <c r="L263" i="3"/>
  <c r="L261" i="3"/>
  <c r="L262" i="3"/>
  <c r="L763" i="3"/>
  <c r="L764" i="3"/>
  <c r="L787" i="3"/>
  <c r="L788" i="3"/>
  <c r="L848" i="3"/>
  <c r="L847" i="3"/>
  <c r="L902" i="3"/>
  <c r="L901" i="3"/>
  <c r="L1107" i="3"/>
  <c r="L1108" i="3"/>
  <c r="L200" i="3"/>
  <c r="L198" i="3"/>
  <c r="L199" i="3"/>
  <c r="L203" i="3"/>
  <c r="L204" i="3"/>
  <c r="L201" i="3"/>
  <c r="L205" i="3"/>
  <c r="L207" i="3"/>
  <c r="L286" i="3"/>
  <c r="L288" i="3"/>
  <c r="L954" i="3"/>
  <c r="L953" i="3"/>
  <c r="L1327" i="3"/>
  <c r="L1326" i="3"/>
  <c r="L1007" i="3"/>
  <c r="L1008" i="3"/>
  <c r="L1029" i="3"/>
  <c r="L1030" i="3"/>
  <c r="L326" i="3"/>
  <c r="L327" i="3"/>
  <c r="L328" i="3"/>
  <c r="L1115" i="3"/>
  <c r="L1116" i="3"/>
  <c r="L643" i="3"/>
  <c r="L644" i="3"/>
  <c r="L827" i="3"/>
  <c r="L828" i="3"/>
  <c r="L165" i="3"/>
  <c r="L166" i="3"/>
  <c r="L167" i="3"/>
  <c r="L1324" i="3"/>
  <c r="L1325" i="3"/>
  <c r="L843" i="3"/>
  <c r="L844" i="3"/>
  <c r="L791" i="3"/>
  <c r="L792" i="3"/>
  <c r="L606" i="3"/>
  <c r="L605" i="3"/>
  <c r="L846" i="3"/>
  <c r="L845" i="3"/>
  <c r="L265" i="3"/>
  <c r="L264" i="3"/>
  <c r="L266" i="3"/>
  <c r="L495" i="3"/>
  <c r="L496" i="3"/>
  <c r="L1183" i="3"/>
  <c r="L1184" i="3"/>
  <c r="L1187" i="3"/>
  <c r="L1188" i="3"/>
  <c r="L463" i="3"/>
  <c r="L464" i="3"/>
  <c r="L1081" i="3"/>
  <c r="L1082" i="3"/>
  <c r="L431" i="3"/>
  <c r="L432" i="3"/>
  <c r="L585" i="3"/>
  <c r="L586" i="3"/>
  <c r="L630" i="3"/>
  <c r="L629" i="3"/>
  <c r="L651" i="3"/>
  <c r="L652" i="3"/>
  <c r="L711" i="3"/>
  <c r="L712" i="3"/>
  <c r="L62" i="3"/>
  <c r="L63" i="3"/>
  <c r="L64" i="3"/>
  <c r="L765" i="3"/>
  <c r="L766" i="3"/>
  <c r="L789" i="3"/>
  <c r="L790" i="3"/>
  <c r="L1181" i="3"/>
  <c r="L1182" i="3"/>
  <c r="L903" i="3"/>
  <c r="L904" i="3"/>
  <c r="L232" i="3"/>
  <c r="L233" i="3"/>
  <c r="L234" i="3"/>
  <c r="L189" i="3"/>
  <c r="L187" i="3"/>
  <c r="L278" i="3"/>
  <c r="L277" i="3"/>
  <c r="L279" i="3"/>
  <c r="L963" i="3"/>
  <c r="L964" i="3"/>
  <c r="L1318" i="3"/>
  <c r="L1319" i="3"/>
  <c r="L1012" i="3"/>
  <c r="L1011" i="3"/>
  <c r="L1033" i="3"/>
  <c r="L1034" i="3"/>
  <c r="L451" i="3"/>
  <c r="L452" i="3"/>
  <c r="L1169" i="3"/>
  <c r="L1170" i="3"/>
  <c r="L733" i="3"/>
  <c r="L734" i="3"/>
  <c r="L1134" i="3"/>
  <c r="L1132" i="3"/>
  <c r="L1133" i="3"/>
  <c r="L1135" i="3"/>
  <c r="L1136" i="3"/>
  <c r="L1137" i="3"/>
  <c r="L1357" i="3"/>
  <c r="L1359" i="3"/>
  <c r="L1360" i="3"/>
  <c r="L871" i="3"/>
  <c r="L872" i="3"/>
  <c r="L922" i="3"/>
  <c r="L921" i="3"/>
  <c r="L596" i="3"/>
  <c r="L595" i="3"/>
  <c r="L1237" i="3"/>
  <c r="L1238" i="3"/>
  <c r="L852" i="3"/>
  <c r="L851" i="3"/>
  <c r="L499" i="3"/>
  <c r="L500" i="3"/>
  <c r="L153" i="3"/>
  <c r="L154" i="3"/>
  <c r="L155" i="3"/>
  <c r="L156" i="3"/>
  <c r="L457" i="3"/>
  <c r="L458" i="3"/>
  <c r="L465" i="3"/>
  <c r="L466" i="3"/>
  <c r="L519" i="3"/>
  <c r="L520" i="3"/>
  <c r="L435" i="3"/>
  <c r="L436" i="3"/>
  <c r="L590" i="3"/>
  <c r="L589" i="3"/>
  <c r="L634" i="3"/>
  <c r="L633" i="3"/>
  <c r="L654" i="3"/>
  <c r="L653" i="3"/>
  <c r="L714" i="3"/>
  <c r="L713" i="3"/>
  <c r="L213" i="3"/>
  <c r="L214" i="3"/>
  <c r="L212" i="3"/>
  <c r="L767" i="3"/>
  <c r="L768" i="3"/>
  <c r="L793" i="3"/>
  <c r="L794" i="3"/>
  <c r="L1185" i="3"/>
  <c r="L1186" i="3"/>
  <c r="L910" i="3"/>
  <c r="L909" i="3"/>
  <c r="L219" i="3"/>
  <c r="L220" i="3"/>
  <c r="L221" i="3"/>
  <c r="L388" i="3"/>
  <c r="L390" i="3"/>
  <c r="L1311" i="3"/>
  <c r="L1309" i="3"/>
  <c r="L1310" i="3"/>
  <c r="L1353" i="3"/>
  <c r="L1354" i="3"/>
  <c r="L981" i="3"/>
  <c r="L982" i="3"/>
  <c r="L1014" i="3"/>
  <c r="L1013" i="3"/>
  <c r="L1036" i="3"/>
  <c r="L1035" i="3"/>
  <c r="L604" i="3"/>
  <c r="L603" i="3"/>
  <c r="L927" i="3"/>
  <c r="L928" i="3"/>
  <c r="L934" i="3"/>
  <c r="L933" i="3"/>
  <c r="L611" i="3"/>
  <c r="L612" i="3"/>
  <c r="L874" i="3"/>
  <c r="L873" i="3"/>
  <c r="L317" i="3"/>
  <c r="L318" i="3"/>
  <c r="L319" i="3"/>
  <c r="L1079" i="3"/>
  <c r="L1080" i="3"/>
  <c r="L91" i="3"/>
  <c r="L95" i="3"/>
  <c r="L92" i="3"/>
  <c r="L93" i="3"/>
  <c r="L94" i="3"/>
  <c r="L1101" i="3"/>
  <c r="L1102" i="3"/>
  <c r="L471" i="3"/>
  <c r="L472" i="3"/>
  <c r="L522" i="3"/>
  <c r="L521" i="3"/>
  <c r="L547" i="3"/>
  <c r="L548" i="3"/>
  <c r="L594" i="3"/>
  <c r="L593" i="3"/>
  <c r="L413" i="3"/>
  <c r="L412" i="3"/>
  <c r="L402" i="3"/>
  <c r="L403" i="3"/>
  <c r="L404" i="3"/>
  <c r="L717" i="3"/>
  <c r="L718" i="3"/>
  <c r="L71" i="3"/>
  <c r="L72" i="3"/>
  <c r="L70" i="3"/>
  <c r="L769" i="3"/>
  <c r="L770" i="3"/>
  <c r="L796" i="3"/>
  <c r="L268" i="3"/>
  <c r="L269" i="3"/>
  <c r="L270" i="3"/>
  <c r="L267" i="3"/>
  <c r="L912" i="3"/>
  <c r="L911" i="3"/>
  <c r="L176" i="3"/>
  <c r="L175" i="3"/>
  <c r="L177" i="3"/>
  <c r="L1323" i="3"/>
  <c r="L1322" i="3"/>
  <c r="L242" i="3"/>
  <c r="L243" i="3"/>
  <c r="L244" i="3"/>
  <c r="L245" i="3"/>
  <c r="L246" i="3"/>
  <c r="L247" i="3"/>
  <c r="L248" i="3"/>
  <c r="L241" i="3"/>
  <c r="L38" i="3"/>
  <c r="L39" i="3"/>
  <c r="L40" i="3"/>
  <c r="L41" i="3"/>
  <c r="L983" i="3"/>
  <c r="L984" i="3"/>
  <c r="L1016" i="3"/>
  <c r="L1015" i="3"/>
  <c r="L1043" i="3"/>
  <c r="L1044" i="3"/>
  <c r="L1191" i="3"/>
  <c r="L1192" i="3"/>
  <c r="L486" i="3"/>
  <c r="L485" i="3"/>
  <c r="L1352" i="3"/>
  <c r="L1351" i="3"/>
  <c r="L1165" i="3"/>
  <c r="L1164" i="3"/>
  <c r="L149" i="3"/>
  <c r="L147" i="3"/>
  <c r="L148" i="3"/>
  <c r="L995" i="3"/>
  <c r="L996" i="3"/>
  <c r="L931" i="3"/>
  <c r="L932" i="3"/>
  <c r="L1269" i="3"/>
  <c r="L1270" i="3"/>
  <c r="L1283" i="3"/>
  <c r="L1279" i="3"/>
  <c r="L1280" i="3"/>
  <c r="L1281" i="3"/>
  <c r="L1282" i="3"/>
  <c r="L1284" i="3"/>
  <c r="L619" i="3"/>
  <c r="L620" i="3"/>
  <c r="L894" i="3"/>
  <c r="L893" i="3"/>
  <c r="L400" i="3"/>
  <c r="L399" i="3"/>
  <c r="L401" i="3"/>
  <c r="L554" i="3"/>
  <c r="L553" i="3"/>
  <c r="L937" i="3"/>
  <c r="L938" i="3"/>
  <c r="L1100" i="3"/>
  <c r="L1099" i="3"/>
  <c r="L474" i="3"/>
  <c r="L473" i="3"/>
  <c r="L523" i="3"/>
  <c r="L524" i="3"/>
  <c r="L549" i="3"/>
  <c r="L550" i="3"/>
  <c r="L334" i="3"/>
  <c r="L333" i="3"/>
  <c r="L336" i="3"/>
  <c r="L637" i="3"/>
  <c r="L638" i="3"/>
  <c r="L661" i="3"/>
  <c r="L662" i="3"/>
  <c r="L720" i="3"/>
  <c r="L719" i="3"/>
  <c r="L255" i="3"/>
  <c r="L256" i="3"/>
  <c r="L257" i="3"/>
  <c r="L771" i="3"/>
  <c r="L772" i="3"/>
  <c r="L798" i="3"/>
  <c r="L797" i="3"/>
  <c r="L875" i="3"/>
  <c r="L876" i="3"/>
  <c r="L913" i="3"/>
  <c r="L914" i="3"/>
  <c r="L252" i="3"/>
  <c r="L253" i="3"/>
  <c r="L254" i="3"/>
  <c r="L1320" i="3"/>
  <c r="L1321" i="3"/>
  <c r="L5" i="3"/>
  <c r="L6" i="3"/>
  <c r="L7" i="3"/>
  <c r="L8" i="3"/>
  <c r="L9" i="3"/>
  <c r="L10" i="3"/>
  <c r="L320" i="3"/>
  <c r="L321" i="3"/>
  <c r="L322" i="3"/>
  <c r="L986" i="3"/>
  <c r="L985" i="3"/>
  <c r="L1267" i="3"/>
  <c r="L1268" i="3"/>
  <c r="L1071" i="3"/>
  <c r="L1072" i="3"/>
  <c r="L668" i="3"/>
  <c r="L667" i="3"/>
  <c r="L559" i="3"/>
  <c r="L560" i="3"/>
  <c r="L85" i="3"/>
  <c r="L86" i="3"/>
  <c r="L87" i="3"/>
  <c r="L323" i="3"/>
  <c r="L324" i="3"/>
  <c r="L325" i="3"/>
  <c r="L302" i="3"/>
  <c r="L310" i="3"/>
  <c r="L307" i="3"/>
  <c r="L303" i="3"/>
  <c r="L304" i="3"/>
  <c r="L305" i="3"/>
  <c r="L306" i="3"/>
  <c r="L309" i="3"/>
  <c r="L308" i="3"/>
  <c r="L1031" i="3"/>
  <c r="L1032" i="3"/>
  <c r="L314" i="3"/>
  <c r="L315" i="3"/>
  <c r="L316" i="3"/>
  <c r="L635" i="3"/>
  <c r="L636" i="3"/>
  <c r="L1251" i="3"/>
  <c r="L1252" i="3"/>
  <c r="L97" i="3"/>
  <c r="L98" i="3"/>
  <c r="L99" i="3"/>
  <c r="L100" i="3"/>
  <c r="L101" i="3"/>
  <c r="L96" i="3"/>
  <c r="L555" i="3"/>
  <c r="L556" i="3"/>
  <c r="L939" i="3"/>
  <c r="L940" i="3"/>
  <c r="L329" i="3"/>
  <c r="L330" i="3"/>
  <c r="L332" i="3"/>
  <c r="L477" i="3"/>
  <c r="L478" i="3"/>
  <c r="L525" i="3"/>
  <c r="L526" i="3"/>
  <c r="L551" i="3"/>
  <c r="L552" i="3"/>
  <c r="L607" i="3"/>
  <c r="L608" i="3"/>
  <c r="L179" i="3"/>
  <c r="L180" i="3"/>
  <c r="L178" i="3"/>
  <c r="L663" i="3"/>
  <c r="L664" i="3"/>
  <c r="L721" i="3"/>
  <c r="L722" i="3"/>
  <c r="L56" i="3"/>
  <c r="L57" i="3"/>
  <c r="L58" i="3"/>
  <c r="L774" i="3"/>
  <c r="L773" i="3"/>
  <c r="L823" i="3"/>
  <c r="L824" i="3"/>
  <c r="L878" i="3"/>
  <c r="L877" i="3"/>
  <c r="L915" i="3"/>
  <c r="L916" i="3"/>
  <c r="L122" i="3"/>
  <c r="L123" i="3"/>
  <c r="L124" i="3"/>
  <c r="L351" i="3"/>
  <c r="L349" i="3"/>
  <c r="L290" i="3"/>
  <c r="L294" i="3"/>
  <c r="L291" i="3"/>
  <c r="L292" i="3"/>
  <c r="L293" i="3"/>
  <c r="L295" i="3"/>
  <c r="L966" i="3"/>
  <c r="L965" i="3"/>
  <c r="L990" i="3"/>
  <c r="L989" i="3"/>
  <c r="L354" i="3"/>
  <c r="L353" i="3"/>
  <c r="L355" i="3"/>
  <c r="L1045" i="3"/>
  <c r="L1046" i="3"/>
  <c r="L426" i="3"/>
  <c r="L425" i="3"/>
  <c r="L1152" i="3"/>
  <c r="L1153" i="3"/>
  <c r="L1154" i="3"/>
  <c r="L275" i="3"/>
  <c r="L274" i="3"/>
  <c r="L276" i="3"/>
  <c r="L657" i="3"/>
  <c r="L658" i="3"/>
  <c r="L128" i="3"/>
  <c r="L129" i="3"/>
  <c r="L130" i="3"/>
  <c r="L974" i="3"/>
  <c r="L973" i="3"/>
  <c r="L1202" i="3"/>
  <c r="L1201" i="3"/>
  <c r="L942" i="3"/>
  <c r="L941" i="3"/>
  <c r="L1083" i="3"/>
  <c r="L1084" i="3"/>
  <c r="L1123" i="3"/>
  <c r="L1125" i="3"/>
  <c r="L1124" i="3"/>
  <c r="L1195" i="3"/>
  <c r="L1196" i="3"/>
  <c r="L558" i="3"/>
  <c r="L557" i="3"/>
  <c r="L599" i="3"/>
  <c r="L600" i="3"/>
  <c r="L151" i="3"/>
  <c r="L152" i="3"/>
  <c r="L666" i="3"/>
  <c r="L665" i="3"/>
  <c r="L729" i="3"/>
  <c r="L730" i="3"/>
  <c r="L49" i="3"/>
  <c r="L50" i="3"/>
  <c r="L47" i="3"/>
  <c r="L45" i="3"/>
  <c r="L46" i="3"/>
  <c r="L48" i="3"/>
  <c r="L776" i="3"/>
  <c r="L775" i="3"/>
  <c r="L825" i="3"/>
  <c r="L826" i="3"/>
  <c r="L879" i="3"/>
  <c r="L880" i="3"/>
  <c r="L919" i="3"/>
  <c r="L920" i="3"/>
  <c r="L125" i="3"/>
  <c r="L126" i="3"/>
  <c r="L127" i="3"/>
  <c r="L251" i="3"/>
  <c r="L249" i="3"/>
  <c r="L250" i="3"/>
  <c r="L227" i="3"/>
  <c r="L228" i="3"/>
  <c r="L226" i="3"/>
  <c r="L229" i="3"/>
  <c r="L230" i="3"/>
  <c r="L231" i="3"/>
  <c r="L223" i="3"/>
  <c r="L222" i="3"/>
  <c r="L225" i="3"/>
  <c r="L224" i="3"/>
  <c r="L967" i="3"/>
  <c r="L968" i="3"/>
  <c r="L993" i="3"/>
  <c r="L994" i="3"/>
  <c r="L37" i="3"/>
  <c r="L29" i="3"/>
  <c r="L30" i="3"/>
  <c r="L31" i="3"/>
  <c r="L35" i="3"/>
  <c r="L32" i="3"/>
  <c r="L33" i="3"/>
  <c r="L34" i="3"/>
  <c r="L36" i="3"/>
  <c r="L1054" i="3"/>
  <c r="L1055" i="3"/>
  <c r="L1056" i="3"/>
  <c r="L1057" i="3"/>
  <c r="L1058" i="3"/>
  <c r="L1053" i="3"/>
  <c r="K2" i="3"/>
  <c r="AA428" i="3"/>
  <c r="AA650" i="3"/>
  <c r="AA582" i="3"/>
  <c r="AA622" i="3"/>
  <c r="AA298" i="3"/>
  <c r="AA756" i="3"/>
  <c r="AA365" i="3"/>
  <c r="AA1246" i="3"/>
  <c r="AA482" i="3"/>
  <c r="AA361" i="3"/>
  <c r="AA1094" i="3"/>
  <c r="AA490" i="3"/>
  <c r="AA1068" i="3"/>
  <c r="AA183" i="3"/>
  <c r="AA616" i="3"/>
  <c r="AA1048" i="3"/>
  <c r="AA1242" i="3"/>
  <c r="AA646" i="3"/>
  <c r="AA1026" i="3"/>
  <c r="AA450" i="3"/>
  <c r="AA379" i="3"/>
  <c r="AA1200" i="3"/>
  <c r="AA1278" i="3"/>
  <c r="AA1308" i="3"/>
  <c r="AA682" i="3"/>
  <c r="AA816" i="3"/>
  <c r="AA1373" i="3"/>
  <c r="AA918" i="3"/>
  <c r="AA1337" i="3"/>
  <c r="AA111" i="3"/>
  <c r="AA694" i="3"/>
  <c r="AA1340" i="3"/>
  <c r="AA1220" i="3"/>
  <c r="AA930" i="3"/>
  <c r="AA1176" i="3"/>
  <c r="AA1369" i="3"/>
  <c r="AA1018" i="3"/>
  <c r="AA1232" i="3"/>
  <c r="AA696" i="3"/>
  <c r="AA572" i="3"/>
  <c r="AA398" i="3"/>
  <c r="AA688" i="3"/>
  <c r="AA1156" i="3"/>
  <c r="AA492" i="3"/>
  <c r="AA628" i="3"/>
  <c r="AA416" i="3"/>
  <c r="AA1244" i="3"/>
  <c r="AA420" i="3"/>
  <c r="AA1305" i="3"/>
  <c r="AA434" i="3"/>
  <c r="AA1259" i="3"/>
  <c r="AA1216" i="3"/>
  <c r="AA394" i="3"/>
  <c r="AA28" i="3"/>
  <c r="AA1295" i="3"/>
  <c r="AA1224" i="3"/>
  <c r="AA856" i="3"/>
  <c r="AA1306" i="3"/>
  <c r="AA1206" i="3"/>
  <c r="AA512" i="3"/>
  <c r="AA598" i="3"/>
  <c r="AA742" i="3"/>
  <c r="AA1020" i="3"/>
  <c r="AA1329" i="3"/>
  <c r="AA884" i="3"/>
  <c r="AA580" i="3"/>
  <c r="AA868" i="3"/>
  <c r="AA1230" i="3"/>
  <c r="AA506" i="3"/>
  <c r="AA610" i="3"/>
  <c r="AA1371" i="3"/>
  <c r="AA1218" i="3"/>
  <c r="AA470" i="3"/>
  <c r="AA1346" i="3"/>
  <c r="AA448" i="3"/>
  <c r="AA1159" i="3"/>
  <c r="AA1194" i="3"/>
  <c r="AA892" i="3"/>
  <c r="AA736" i="3"/>
  <c r="AA1078" i="3"/>
  <c r="AA456" i="3"/>
  <c r="AA1343" i="3"/>
  <c r="AA1302" i="3"/>
  <c r="AA758" i="3"/>
  <c r="AA1234" i="3"/>
  <c r="AA1248" i="3"/>
  <c r="AA690" i="3"/>
  <c r="AA1004" i="3"/>
  <c r="AA1088" i="3"/>
  <c r="AA536" i="3"/>
  <c r="AA27" i="3"/>
  <c r="AA1028" i="3"/>
  <c r="AA1040" i="3"/>
  <c r="AA1240" i="3"/>
  <c r="AA906" i="3"/>
  <c r="AA760" i="3"/>
  <c r="AA1050" i="3"/>
  <c r="AA1096" i="3"/>
  <c r="AA1316" i="3"/>
  <c r="AA444" i="3"/>
  <c r="AA674" i="3"/>
  <c r="AA1236" i="3"/>
  <c r="AA1375" i="3"/>
  <c r="AA700" i="3"/>
  <c r="AA442" i="3"/>
  <c r="AA588" i="3"/>
  <c r="AA454" i="3"/>
  <c r="AA732" i="3"/>
  <c r="AA864" i="3"/>
  <c r="AA1377" i="3"/>
  <c r="AA978" i="3"/>
  <c r="AA440" i="3"/>
  <c r="AA1110" i="3"/>
  <c r="AA568" i="3"/>
  <c r="AA1222" i="3"/>
  <c r="AA1172" i="3"/>
  <c r="AA90" i="3"/>
  <c r="AA348" i="3"/>
  <c r="AA362" i="3"/>
  <c r="AA120" i="3"/>
  <c r="AA112" i="3"/>
  <c r="AA1151" i="3"/>
  <c r="AA386" i="3"/>
  <c r="AA377" i="3"/>
  <c r="AA468" i="3"/>
  <c r="AA632" i="3"/>
  <c r="AA1090" i="3"/>
  <c r="AA566" i="3"/>
  <c r="AA886" i="3"/>
  <c r="AA1064" i="3"/>
  <c r="AA135" i="3"/>
  <c r="AA890" i="3"/>
  <c r="AA430" i="3"/>
  <c r="AA1022" i="3"/>
  <c r="AA1208" i="3"/>
  <c r="AA988" i="3"/>
  <c r="AA387" i="3"/>
  <c r="AA800" i="3"/>
  <c r="AA105" i="3"/>
  <c r="AA424" i="3"/>
  <c r="AA908" i="3"/>
  <c r="AA1228" i="3"/>
  <c r="AA564" i="3"/>
  <c r="AA446" i="3"/>
  <c r="AA55" i="3"/>
  <c r="AA488" i="3"/>
  <c r="AA1317" i="3"/>
  <c r="AA1161" i="3"/>
  <c r="AA578" i="3"/>
  <c r="AA706" i="3"/>
  <c r="AA347" i="3"/>
  <c r="AA626" i="3"/>
  <c r="AA804" i="3"/>
  <c r="AA544" i="3"/>
  <c r="AA976" i="3"/>
  <c r="AA692" i="3"/>
  <c r="AA716" i="3"/>
  <c r="AA1167" i="3"/>
  <c r="AA812" i="3"/>
  <c r="AA850" i="3"/>
  <c r="AA862" i="3"/>
  <c r="AA376" i="3"/>
  <c r="AA406" i="3"/>
  <c r="AA1052" i="3"/>
  <c r="AA297" i="3"/>
  <c r="AA1076" i="3"/>
  <c r="AA422" i="3"/>
  <c r="AA374" i="3"/>
  <c r="AA504" i="3"/>
  <c r="AA960" i="3"/>
  <c r="AA1141" i="3"/>
  <c r="AA656" i="3"/>
  <c r="AA818" i="3"/>
  <c r="AA516" i="3"/>
  <c r="AA962" i="3"/>
  <c r="AA1367" i="3"/>
  <c r="AA373" i="3"/>
  <c r="AA528" i="3"/>
  <c r="AA508" i="3"/>
  <c r="AA784" i="3"/>
  <c r="AA462" i="3"/>
  <c r="AA1303" i="3"/>
  <c r="AA364" i="3"/>
  <c r="AA530" i="3"/>
  <c r="AA1106" i="3"/>
  <c r="AA1332" i="3"/>
  <c r="AA1338" i="3"/>
  <c r="AA648" i="3"/>
  <c r="AA1330" i="3"/>
  <c r="AA618" i="3"/>
  <c r="AA1092" i="3"/>
  <c r="AA660" i="3"/>
  <c r="AA936" i="3"/>
  <c r="AA740" i="3"/>
  <c r="AA136" i="3"/>
  <c r="AA738" i="3"/>
  <c r="AA407" i="3"/>
  <c r="AA518" i="3"/>
  <c r="AA121" i="3"/>
  <c r="AA640" i="3"/>
  <c r="AA672" i="3"/>
  <c r="AA1178" i="3"/>
  <c r="AA808" i="3"/>
  <c r="AA476" i="3"/>
  <c r="AA514" i="3"/>
  <c r="AA684" i="3"/>
  <c r="AA1104" i="3"/>
  <c r="AA854" i="3"/>
  <c r="AA820" i="3"/>
  <c r="AA1226" i="3"/>
  <c r="AA1212" i="3"/>
  <c r="AA866" i="3"/>
  <c r="AA1250" i="3"/>
  <c r="AA956" i="3"/>
  <c r="AA1163" i="3"/>
  <c r="AA1168" i="3"/>
  <c r="AA992" i="3"/>
  <c r="AA1180" i="3"/>
  <c r="AA368" i="3"/>
  <c r="AA998" i="3"/>
  <c r="AA380" i="3"/>
  <c r="AA676" i="3"/>
  <c r="L56" i="4"/>
  <c r="N56" i="4" s="1"/>
  <c r="L120" i="4"/>
  <c r="L240" i="4"/>
  <c r="L416" i="4"/>
  <c r="L140" i="4"/>
  <c r="L518" i="4"/>
  <c r="L200" i="4"/>
  <c r="L321" i="4"/>
  <c r="N321" i="4" s="1"/>
  <c r="L65" i="4"/>
  <c r="N65" i="4" s="1"/>
  <c r="L388" i="4"/>
  <c r="L286" i="4"/>
  <c r="L104" i="4"/>
  <c r="N104" i="4" s="1"/>
  <c r="L431" i="4"/>
  <c r="N431" i="4" s="1"/>
  <c r="L434" i="4"/>
  <c r="L168" i="4"/>
  <c r="N168" i="4" s="1"/>
  <c r="L472" i="4"/>
  <c r="L92" i="4"/>
  <c r="N92" i="4" s="1"/>
  <c r="L461" i="4"/>
  <c r="N461" i="4" s="1"/>
  <c r="L252" i="4"/>
  <c r="N252" i="4" s="1"/>
  <c r="L206" i="4"/>
  <c r="N206" i="4" s="1"/>
  <c r="L430" i="4"/>
  <c r="N430" i="4" s="1"/>
  <c r="L99" i="4"/>
  <c r="N99" i="4" s="1"/>
  <c r="L348" i="4"/>
  <c r="L372" i="4"/>
  <c r="L247" i="4"/>
  <c r="L138" i="4"/>
  <c r="N138" i="4" s="1"/>
  <c r="L436" i="4"/>
  <c r="L182" i="4"/>
  <c r="L335" i="4"/>
  <c r="N335" i="4" s="1"/>
  <c r="L318" i="4"/>
  <c r="L339" i="4"/>
  <c r="N339" i="4" s="1"/>
  <c r="L213" i="4"/>
  <c r="L299" i="4"/>
  <c r="N299" i="4" s="1"/>
  <c r="L362" i="4"/>
  <c r="L55" i="4"/>
  <c r="N55" i="4" s="1"/>
  <c r="L366" i="4"/>
  <c r="L33" i="4"/>
  <c r="N33" i="4" s="1"/>
  <c r="L550" i="4"/>
  <c r="L468" i="4"/>
  <c r="L346" i="4"/>
  <c r="L317" i="4"/>
  <c r="N317" i="4" s="1"/>
  <c r="L32" i="4"/>
  <c r="N32" i="4" s="1"/>
  <c r="L144" i="4"/>
  <c r="N144" i="4" s="1"/>
  <c r="L276" i="4"/>
  <c r="N276" i="4" s="1"/>
  <c r="L445" i="4"/>
  <c r="L478" i="4"/>
  <c r="L371" i="4"/>
  <c r="N371" i="4" s="1"/>
  <c r="L360" i="4"/>
  <c r="L47" i="4"/>
  <c r="N47" i="4" s="1"/>
  <c r="L211" i="4"/>
  <c r="L473" i="4"/>
  <c r="L440" i="4"/>
  <c r="L152" i="4"/>
  <c r="N152" i="4" s="1"/>
  <c r="L219" i="4"/>
  <c r="L76" i="4"/>
  <c r="N76" i="4" s="1"/>
  <c r="L161" i="4"/>
  <c r="N161" i="4" s="1"/>
  <c r="L313" i="4"/>
  <c r="L538" i="4"/>
  <c r="N538" i="4" s="1"/>
  <c r="L143" i="4"/>
  <c r="L80" i="4"/>
  <c r="N80" i="4" s="1"/>
  <c r="L327" i="4"/>
  <c r="L162" i="4"/>
  <c r="N162" i="4" s="1"/>
  <c r="L282" i="4"/>
  <c r="N282" i="4" s="1"/>
  <c r="L451" i="4"/>
  <c r="N451" i="4" s="1"/>
  <c r="L486" i="4"/>
  <c r="N486" i="4" s="1"/>
  <c r="L395" i="4"/>
  <c r="N395" i="4" s="1"/>
  <c r="L402" i="4"/>
  <c r="L357" i="4"/>
  <c r="L464" i="4"/>
  <c r="L196" i="4"/>
  <c r="L490" i="4"/>
  <c r="L167" i="4"/>
  <c r="L319" i="4"/>
  <c r="N319" i="4" s="1"/>
  <c r="L119" i="4"/>
  <c r="N119" i="4" s="1"/>
  <c r="L374" i="4"/>
  <c r="L278" i="4"/>
  <c r="N278" i="4" s="1"/>
  <c r="L137" i="4"/>
  <c r="L110" i="4"/>
  <c r="L352" i="4"/>
  <c r="L285" i="4"/>
  <c r="N285" i="4" s="1"/>
  <c r="L331" i="4"/>
  <c r="N331" i="4" s="1"/>
  <c r="L467" i="4"/>
  <c r="L72" i="4"/>
  <c r="N72" i="4" s="1"/>
  <c r="L148" i="4"/>
  <c r="N148" i="4" s="1"/>
  <c r="L487" i="4"/>
  <c r="L38" i="4"/>
  <c r="N38" i="4" s="1"/>
  <c r="L39" i="4"/>
  <c r="N39" i="4" s="1"/>
  <c r="L288" i="4"/>
  <c r="L429" i="4"/>
  <c r="N429" i="4" s="1"/>
  <c r="L364" i="4"/>
  <c r="L419" i="4"/>
  <c r="N419" i="4" s="1"/>
  <c r="L235" i="4"/>
  <c r="L551" i="4"/>
  <c r="N551" i="4" s="1"/>
  <c r="L236" i="4"/>
  <c r="N236" i="4" s="1"/>
  <c r="L389" i="4"/>
  <c r="N389" i="4" s="1"/>
  <c r="L203" i="4"/>
  <c r="N203" i="4" s="1"/>
  <c r="L179" i="4"/>
  <c r="L337" i="4"/>
  <c r="N337" i="4" s="1"/>
  <c r="L28" i="4"/>
  <c r="N28" i="4" s="1"/>
  <c r="L52" i="4"/>
  <c r="N52" i="4" s="1"/>
  <c r="L514" i="4"/>
  <c r="L439" i="4"/>
  <c r="L133" i="4"/>
  <c r="L241" i="4"/>
  <c r="L369" i="4"/>
  <c r="L107" i="4"/>
  <c r="N107" i="4" s="1"/>
  <c r="L134" i="4"/>
  <c r="L532" i="4"/>
  <c r="L197" i="4"/>
  <c r="N197" i="4" s="1"/>
  <c r="L349" i="4"/>
  <c r="L287" i="4"/>
  <c r="N287" i="4" s="1"/>
  <c r="L250" i="4"/>
  <c r="L27" i="4"/>
  <c r="N27" i="4" s="1"/>
  <c r="L164" i="4"/>
  <c r="N164" i="4" s="1"/>
  <c r="L251" i="4"/>
  <c r="L195" i="4"/>
  <c r="N195" i="4" s="1"/>
  <c r="L198" i="4"/>
  <c r="N198" i="4" s="1"/>
  <c r="L314" i="4"/>
  <c r="N314" i="4" s="1"/>
  <c r="L400" i="4"/>
  <c r="L469" i="4"/>
  <c r="L381" i="4"/>
  <c r="N381" i="4" s="1"/>
  <c r="L534" i="4"/>
  <c r="L170" i="4"/>
  <c r="L291" i="4"/>
  <c r="N291" i="4" s="1"/>
  <c r="L358" i="4"/>
  <c r="L117" i="4"/>
  <c r="L204" i="4"/>
  <c r="N204" i="4" s="1"/>
  <c r="L367" i="4"/>
  <c r="N367" i="4" s="1"/>
  <c r="L266" i="4"/>
  <c r="N266" i="4" s="1"/>
  <c r="L477" i="4"/>
  <c r="L130" i="4"/>
  <c r="L108" i="4"/>
  <c r="N108" i="4" s="1"/>
  <c r="L373" i="4"/>
  <c r="N373" i="4" s="1"/>
  <c r="L62" i="4"/>
  <c r="N62" i="4" s="1"/>
  <c r="L205" i="4"/>
  <c r="L320" i="4"/>
  <c r="L533" i="4"/>
  <c r="L14" i="4"/>
  <c r="N14" i="4" s="1"/>
  <c r="L418" i="4"/>
  <c r="L519" i="4"/>
  <c r="L151" i="4"/>
  <c r="L283" i="4"/>
  <c r="L387" i="4"/>
  <c r="N387" i="4" s="1"/>
  <c r="L230" i="4"/>
  <c r="L341" i="4"/>
  <c r="L105" i="4"/>
  <c r="N105" i="4" s="1"/>
  <c r="L394" i="4"/>
  <c r="L50" i="4"/>
  <c r="N50" i="4" s="1"/>
  <c r="L31" i="4"/>
  <c r="N31" i="4" s="1"/>
  <c r="L220" i="4"/>
  <c r="N220" i="4" s="1"/>
  <c r="L96" i="4"/>
  <c r="N96" i="4" s="1"/>
  <c r="L227" i="4"/>
  <c r="L379" i="4"/>
  <c r="N379" i="4" s="1"/>
  <c r="L507" i="4"/>
  <c r="L354" i="4"/>
  <c r="L15" i="4"/>
  <c r="N15" i="4" s="1"/>
  <c r="L260" i="4"/>
  <c r="N260" i="4" s="1"/>
  <c r="L78" i="4"/>
  <c r="N78" i="4" s="1"/>
  <c r="L150" i="4"/>
  <c r="N150" i="4" s="1"/>
  <c r="L176" i="4"/>
  <c r="L453" i="4"/>
  <c r="L239" i="4"/>
  <c r="L103" i="4"/>
  <c r="N103" i="4" s="1"/>
  <c r="L199" i="4"/>
  <c r="N199" i="4" s="1"/>
  <c r="L223" i="4"/>
  <c r="L277" i="4"/>
  <c r="L537" i="4"/>
  <c r="L479" i="4"/>
  <c r="L244" i="4"/>
  <c r="L450" i="4"/>
  <c r="N450" i="4" s="1"/>
  <c r="L188" i="4"/>
  <c r="L499" i="4"/>
  <c r="L323" i="4"/>
  <c r="L457" i="4"/>
  <c r="N457" i="4" s="1"/>
  <c r="L274" i="4"/>
  <c r="N274" i="4" s="1"/>
  <c r="L70" i="4"/>
  <c r="N70" i="4" s="1"/>
  <c r="L216" i="4"/>
  <c r="N216" i="4" s="1"/>
  <c r="L326" i="4"/>
  <c r="N326" i="4" s="1"/>
  <c r="L548" i="4"/>
  <c r="L462" i="4"/>
  <c r="N462" i="4" s="1"/>
  <c r="L163" i="4"/>
  <c r="L289" i="4"/>
  <c r="N289" i="4" s="1"/>
  <c r="L405" i="4"/>
  <c r="N405" i="4" s="1"/>
  <c r="L64" i="4"/>
  <c r="N64" i="4" s="1"/>
  <c r="L284" i="4"/>
  <c r="N284" i="4" s="1"/>
  <c r="L359" i="4"/>
  <c r="N359" i="4" s="1"/>
  <c r="L412" i="4"/>
  <c r="N412" i="4" s="1"/>
  <c r="L483" i="4"/>
  <c r="L141" i="4"/>
  <c r="L256" i="4"/>
  <c r="N256" i="4" s="1"/>
  <c r="L102" i="4"/>
  <c r="N102" i="4" s="1"/>
  <c r="L397" i="4"/>
  <c r="N397" i="4" s="1"/>
  <c r="L297" i="4"/>
  <c r="L442" i="4"/>
  <c r="L222" i="4"/>
  <c r="L435" i="4"/>
  <c r="N435" i="4" s="1"/>
  <c r="L101" i="4"/>
  <c r="N101" i="4" s="1"/>
  <c r="L295" i="4"/>
  <c r="L316" i="4"/>
  <c r="L401" i="4"/>
  <c r="L547" i="4"/>
  <c r="N547" i="4" s="1"/>
  <c r="L426" i="4"/>
  <c r="L495" i="4"/>
  <c r="L51" i="4"/>
  <c r="N51" i="4" s="1"/>
  <c r="L171" i="4"/>
  <c r="L262" i="4"/>
  <c r="L257" i="4"/>
  <c r="L403" i="4"/>
  <c r="N403" i="4" s="1"/>
  <c r="L264" i="4"/>
  <c r="N264" i="4" s="1"/>
  <c r="L312" i="4"/>
  <c r="L149" i="4"/>
  <c r="L232" i="4"/>
  <c r="L210" i="4"/>
  <c r="N210" i="4" s="1"/>
  <c r="L380" i="4"/>
  <c r="N380" i="4" s="1"/>
  <c r="L202" i="4"/>
  <c r="N202" i="4" s="1"/>
  <c r="L414" i="4"/>
  <c r="L496" i="4"/>
  <c r="L325" i="4"/>
  <c r="N325" i="4" s="1"/>
  <c r="L156" i="4"/>
  <c r="N156" i="4" s="1"/>
  <c r="L258" i="4"/>
  <c r="L392" i="4"/>
  <c r="L88" i="4"/>
  <c r="N88" i="4" s="1"/>
  <c r="L306" i="4"/>
  <c r="L476" i="4"/>
  <c r="L127" i="4"/>
  <c r="L131" i="4"/>
  <c r="N131" i="4" s="1"/>
  <c r="L26" i="4"/>
  <c r="N26" i="4" s="1"/>
  <c r="L355" i="4"/>
  <c r="L74" i="4"/>
  <c r="N74" i="4" s="1"/>
  <c r="L106" i="4"/>
  <c r="N106" i="4" s="1"/>
  <c r="L228" i="4"/>
  <c r="N228" i="4" s="1"/>
  <c r="L482" i="4"/>
  <c r="L181" i="4"/>
  <c r="N181" i="4" s="1"/>
  <c r="L309" i="4"/>
  <c r="L22" i="4"/>
  <c r="N22" i="4" s="1"/>
  <c r="L334" i="4"/>
  <c r="L413" i="4"/>
  <c r="N413" i="4" s="1"/>
  <c r="L177" i="4"/>
  <c r="L268" i="4"/>
  <c r="L13" i="4"/>
  <c r="N13" i="4" s="1"/>
  <c r="L263" i="4"/>
  <c r="N263" i="4" s="1"/>
  <c r="L409" i="4"/>
  <c r="N409" i="4" s="1"/>
  <c r="L114" i="4"/>
  <c r="L234" i="4"/>
  <c r="N234" i="4" s="1"/>
  <c r="L404" i="4"/>
  <c r="L520" i="4"/>
  <c r="L517" i="4"/>
  <c r="L193" i="4"/>
  <c r="L315" i="4"/>
  <c r="N315" i="4" s="1"/>
  <c r="L370" i="4"/>
  <c r="L535" i="4"/>
  <c r="L428" i="4"/>
  <c r="L43" i="4"/>
  <c r="N43" i="4" s="1"/>
  <c r="L336" i="4"/>
  <c r="N336" i="4" s="1"/>
  <c r="L415" i="4"/>
  <c r="N415" i="4" s="1"/>
  <c r="L471" i="4"/>
  <c r="L377" i="4"/>
  <c r="L172" i="4"/>
  <c r="N172" i="4" s="1"/>
  <c r="L484" i="4"/>
  <c r="L390" i="4"/>
  <c r="L207" i="4"/>
  <c r="N207" i="4" s="1"/>
  <c r="L275" i="4"/>
  <c r="L444" i="4"/>
  <c r="N444" i="4" s="1"/>
  <c r="L189" i="4"/>
  <c r="N189" i="4" s="1"/>
  <c r="L292" i="4"/>
  <c r="L68" i="4"/>
  <c r="N68" i="4" s="1"/>
  <c r="L265" i="4"/>
  <c r="L233" i="4"/>
  <c r="N233" i="4" s="1"/>
  <c r="Y1143" i="3"/>
  <c r="Y89" i="3"/>
  <c r="Y54" i="3"/>
  <c r="Y182" i="3"/>
  <c r="Y367" i="3"/>
  <c r="Y397" i="3"/>
  <c r="L34" i="4"/>
  <c r="N34" i="4" s="1"/>
  <c r="L19" i="4"/>
  <c r="N19" i="4" s="1"/>
  <c r="L54" i="4"/>
  <c r="N54" i="4" s="1"/>
  <c r="L139" i="4"/>
  <c r="L175" i="4"/>
  <c r="L79" i="4"/>
  <c r="N79" i="4" s="1"/>
  <c r="L183" i="4"/>
  <c r="N183" i="4" s="1"/>
  <c r="L540" i="4"/>
  <c r="N540" i="4" s="1"/>
  <c r="L427" i="4"/>
  <c r="L23" i="4"/>
  <c r="N23" i="4" s="1"/>
  <c r="L272" i="4"/>
  <c r="L363" i="4"/>
  <c r="L546" i="4"/>
  <c r="N546" i="4" s="1"/>
  <c r="L375" i="4"/>
  <c r="L218" i="4"/>
  <c r="N218" i="4" s="1"/>
  <c r="L347" i="4"/>
  <c r="N347" i="4" s="1"/>
  <c r="L493" i="4"/>
  <c r="L522" i="4"/>
  <c r="L201" i="4"/>
  <c r="N201" i="4" s="1"/>
  <c r="L432" i="4"/>
  <c r="N432" i="4" s="1"/>
  <c r="L351" i="4"/>
  <c r="N351" i="4" s="1"/>
  <c r="L398" i="4"/>
  <c r="L4" i="4"/>
  <c r="L41" i="4"/>
  <c r="N41" i="4" s="1"/>
  <c r="L382" i="4"/>
  <c r="L261" i="4"/>
  <c r="L11" i="4"/>
  <c r="N11" i="4" s="1"/>
  <c r="L9" i="4"/>
  <c r="N9" i="4" s="1"/>
  <c r="L290" i="4"/>
  <c r="L308" i="4"/>
  <c r="L441" i="4"/>
  <c r="N441" i="4" s="1"/>
  <c r="L217" i="4"/>
  <c r="L123" i="4"/>
  <c r="N123" i="4" s="1"/>
  <c r="L8" i="4"/>
  <c r="N8" i="4" s="1"/>
  <c r="L539" i="4"/>
  <c r="N539" i="4" s="1"/>
  <c r="L45" i="4"/>
  <c r="N45" i="4" s="1"/>
  <c r="L89" i="4"/>
  <c r="N89" i="4" s="1"/>
  <c r="L174" i="4"/>
  <c r="L452" i="4"/>
  <c r="L529" i="4"/>
  <c r="L180" i="4"/>
  <c r="N180" i="4" s="1"/>
  <c r="L214" i="4"/>
  <c r="AB182" i="3"/>
  <c r="L84" i="4"/>
  <c r="N84" i="4" s="1"/>
  <c r="L489" i="4"/>
  <c r="L296" i="4"/>
  <c r="L433" i="4"/>
  <c r="N433" i="4" s="1"/>
  <c r="L417" i="4"/>
  <c r="N417" i="4" s="1"/>
  <c r="L42" i="4"/>
  <c r="N42" i="4" s="1"/>
  <c r="L29" i="4"/>
  <c r="N29" i="4" s="1"/>
  <c r="L21" i="4"/>
  <c r="N21" i="4" s="1"/>
  <c r="L383" i="4"/>
  <c r="N383" i="4" s="1"/>
  <c r="L542" i="4"/>
  <c r="N542" i="4" s="1"/>
  <c r="L541" i="4"/>
  <c r="N541" i="4" s="1"/>
  <c r="L66" i="4"/>
  <c r="N66" i="4" s="1"/>
  <c r="L498" i="4"/>
  <c r="L273" i="4"/>
  <c r="L17" i="4"/>
  <c r="N17" i="4" s="1"/>
  <c r="L368" i="4"/>
  <c r="L67" i="4"/>
  <c r="N67" i="4" s="1"/>
  <c r="L37" i="4"/>
  <c r="N37" i="4" s="1"/>
  <c r="L48" i="4"/>
  <c r="N48" i="4" s="1"/>
  <c r="L194" i="4"/>
  <c r="N194" i="4" s="1"/>
  <c r="L71" i="4"/>
  <c r="N71" i="4" s="1"/>
  <c r="L59" i="4"/>
  <c r="N59" i="4" s="1"/>
  <c r="L208" i="4"/>
  <c r="N208" i="4" s="1"/>
  <c r="L44" i="4"/>
  <c r="N44" i="4" s="1"/>
  <c r="L73" i="4"/>
  <c r="N73" i="4" s="1"/>
  <c r="L49" i="4"/>
  <c r="N49" i="4" s="1"/>
  <c r="L115" i="4"/>
  <c r="L443" i="4"/>
  <c r="N443" i="4" s="1"/>
  <c r="L109" i="4"/>
  <c r="L126" i="4"/>
  <c r="L356" i="4"/>
  <c r="L438" i="4"/>
  <c r="L121" i="4"/>
  <c r="N121" i="4" s="1"/>
  <c r="L142" i="4"/>
  <c r="L25" i="4"/>
  <c r="N25" i="4" s="1"/>
  <c r="L543" i="4"/>
  <c r="N543" i="4" s="1"/>
  <c r="L125" i="4"/>
  <c r="L528" i="4"/>
  <c r="N528" i="4" s="1"/>
  <c r="L112" i="4"/>
  <c r="L279" i="4"/>
  <c r="N279" i="4" s="1"/>
  <c r="L411" i="4"/>
  <c r="L474" i="4"/>
  <c r="L165" i="4"/>
  <c r="L456" i="4"/>
  <c r="N456" i="4" s="1"/>
  <c r="L384" i="4"/>
  <c r="L224" i="4"/>
  <c r="N224" i="4" s="1"/>
  <c r="L391" i="4"/>
  <c r="L448" i="4"/>
  <c r="L513" i="4"/>
  <c r="L186" i="4"/>
  <c r="L505" i="4"/>
  <c r="L135" i="4"/>
  <c r="L399" i="4"/>
  <c r="L147" i="4"/>
  <c r="L552" i="4"/>
  <c r="N552" i="4" s="1"/>
  <c r="L185" i="4"/>
  <c r="L192" i="4"/>
  <c r="L294" i="4"/>
  <c r="L422" i="4"/>
  <c r="L242" i="4"/>
  <c r="L494" i="4"/>
  <c r="N494" i="4" s="1"/>
  <c r="L35" i="4"/>
  <c r="N35" i="4" s="1"/>
  <c r="L254" i="4"/>
  <c r="L153" i="4"/>
  <c r="L521" i="4"/>
  <c r="L531" i="4"/>
  <c r="N531" i="4" s="1"/>
  <c r="L124" i="4"/>
  <c r="L485" i="4"/>
  <c r="L90" i="4"/>
  <c r="N90" i="4" s="1"/>
  <c r="L386" i="4"/>
  <c r="N386" i="4" s="1"/>
  <c r="L508" i="4"/>
  <c r="L178" i="4"/>
  <c r="L169" i="4"/>
  <c r="L36" i="4"/>
  <c r="N36" i="4" s="1"/>
  <c r="L77" i="4"/>
  <c r="N77" i="4" s="1"/>
  <c r="L475" i="4"/>
  <c r="L449" i="4"/>
  <c r="L376" i="4"/>
  <c r="L111" i="4"/>
  <c r="L393" i="4"/>
  <c r="L322" i="4"/>
  <c r="L20" i="4"/>
  <c r="N20" i="4" s="1"/>
  <c r="L270" i="4"/>
  <c r="L410" i="4"/>
  <c r="L249" i="4"/>
  <c r="L128" i="4"/>
  <c r="N128" i="4" s="1"/>
  <c r="L57" i="4"/>
  <c r="N57" i="4" s="1"/>
  <c r="L212" i="4"/>
  <c r="N212" i="4" s="1"/>
  <c r="L190" i="4"/>
  <c r="N190" i="4" s="1"/>
  <c r="L470" i="4"/>
  <c r="N470" i="4" s="1"/>
  <c r="L129" i="4"/>
  <c r="L229" i="4"/>
  <c r="N229" i="4" s="1"/>
  <c r="L243" i="4"/>
  <c r="L173" i="4"/>
  <c r="N173" i="4" s="1"/>
  <c r="L527" i="4"/>
  <c r="N527" i="4" s="1"/>
  <c r="L544" i="4"/>
  <c r="N544" i="4" s="1"/>
  <c r="L267" i="4"/>
  <c r="L545" i="4"/>
  <c r="N545" i="4" s="1"/>
  <c r="L378" i="4"/>
  <c r="L512" i="4"/>
  <c r="L408" i="4"/>
  <c r="L83" i="4"/>
  <c r="N83" i="4" s="1"/>
  <c r="L226" i="4"/>
  <c r="N226" i="4" s="1"/>
  <c r="L506" i="4"/>
  <c r="L307" i="4"/>
  <c r="N307" i="4" s="1"/>
  <c r="L481" i="4"/>
  <c r="L160" i="4"/>
  <c r="L245" i="4"/>
  <c r="L166" i="4"/>
  <c r="N166" i="4" s="1"/>
  <c r="L63" i="4"/>
  <c r="N63" i="4" s="1"/>
  <c r="L221" i="4"/>
  <c r="L302" i="4"/>
  <c r="N302" i="4" s="1"/>
  <c r="L246" i="4"/>
  <c r="N246" i="4" s="1"/>
  <c r="L157" i="4"/>
  <c r="L58" i="4"/>
  <c r="N58" i="4" s="1"/>
  <c r="L24" i="4"/>
  <c r="N24" i="4" s="1"/>
  <c r="L269" i="4"/>
  <c r="L280" i="4"/>
  <c r="N280" i="4" s="1"/>
  <c r="L340" i="4"/>
  <c r="L7" i="4"/>
  <c r="N7" i="4" s="1"/>
  <c r="L237" i="4"/>
  <c r="N237" i="4" s="1"/>
  <c r="L215" i="4"/>
  <c r="N215" i="4" s="1"/>
  <c r="L459" i="4"/>
  <c r="L342" i="4"/>
  <c r="L492" i="4"/>
  <c r="L248" i="4"/>
  <c r="L304" i="4"/>
  <c r="L16" i="4"/>
  <c r="N16" i="4" s="1"/>
  <c r="L491" i="4"/>
  <c r="L293" i="4"/>
  <c r="L460" i="4"/>
  <c r="L502" i="4"/>
  <c r="L86" i="4"/>
  <c r="N86" i="4" s="1"/>
  <c r="L328" i="4"/>
  <c r="L255" i="4"/>
  <c r="L530" i="4"/>
  <c r="L253" i="4"/>
  <c r="N253" i="4" s="1"/>
  <c r="L437" i="4"/>
  <c r="L91" i="4"/>
  <c r="N91" i="4" s="1"/>
  <c r="L365" i="4"/>
  <c r="N365" i="4" s="1"/>
  <c r="L343" i="4"/>
  <c r="N343" i="4" s="1"/>
  <c r="L122" i="4"/>
  <c r="L447" i="4"/>
  <c r="L488" i="4"/>
  <c r="L455" i="4"/>
  <c r="L238" i="4"/>
  <c r="N238" i="4" s="1"/>
  <c r="L361" i="4"/>
  <c r="N361" i="4" s="1"/>
  <c r="L536" i="4"/>
  <c r="L113" i="4"/>
  <c r="N113" i="4" s="1"/>
  <c r="L510" i="4"/>
  <c r="L145" i="4"/>
  <c r="L5" i="4"/>
  <c r="N5" i="4" s="1"/>
  <c r="L60" i="4"/>
  <c r="N60" i="4" s="1"/>
  <c r="L81" i="4"/>
  <c r="N81" i="4" s="1"/>
  <c r="L504" i="4"/>
  <c r="L329" i="4"/>
  <c r="L324" i="4"/>
  <c r="L136" i="4"/>
  <c r="L159" i="4"/>
  <c r="L281" i="4"/>
  <c r="L338" i="4"/>
  <c r="N338" i="4" s="1"/>
  <c r="L466" i="4"/>
  <c r="L406" i="4"/>
  <c r="L209" i="4"/>
  <c r="L526" i="4"/>
  <c r="L396" i="4"/>
  <c r="L259" i="4"/>
  <c r="L446" i="4"/>
  <c r="L85" i="4"/>
  <c r="N85" i="4" s="1"/>
  <c r="L305" i="4"/>
  <c r="N305" i="4" s="1"/>
  <c r="L18" i="4"/>
  <c r="N18" i="4" s="1"/>
  <c r="L454" i="4"/>
  <c r="L82" i="4"/>
  <c r="N82" i="4" s="1"/>
  <c r="L184" i="4"/>
  <c r="L497" i="4"/>
  <c r="L118" i="4"/>
  <c r="N118" i="4" s="1"/>
  <c r="L155" i="4"/>
  <c r="L385" i="4"/>
  <c r="N385" i="4" s="1"/>
  <c r="L480" i="4"/>
  <c r="L458" i="4"/>
  <c r="N458" i="4" s="1"/>
  <c r="L298" i="4"/>
  <c r="L330" i="4"/>
  <c r="N330" i="4" s="1"/>
  <c r="L500" i="4"/>
  <c r="L158" i="4"/>
  <c r="N158" i="4" s="1"/>
  <c r="L525" i="4"/>
  <c r="L353" i="4"/>
  <c r="L61" i="4"/>
  <c r="N61" i="4" s="1"/>
  <c r="L94" i="4"/>
  <c r="N94" i="4" s="1"/>
  <c r="L501" i="4"/>
  <c r="L350" i="4"/>
  <c r="L225" i="4"/>
  <c r="L93" i="4"/>
  <c r="N93" i="4" s="1"/>
  <c r="L187" i="4"/>
  <c r="L95" i="4"/>
  <c r="N95" i="4" s="1"/>
  <c r="L503" i="4"/>
  <c r="L116" i="4"/>
  <c r="L87" i="4"/>
  <c r="N87" i="4" s="1"/>
  <c r="L509" i="4"/>
  <c r="L12" i="4"/>
  <c r="N12" i="4" s="1"/>
  <c r="L100" i="4"/>
  <c r="N100" i="4" s="1"/>
  <c r="L407" i="4"/>
  <c r="L154" i="4"/>
  <c r="L191" i="4"/>
  <c r="L511" i="4"/>
  <c r="L303" i="4"/>
  <c r="N303" i="4" s="1"/>
  <c r="L132" i="4"/>
  <c r="N132" i="4" s="1"/>
  <c r="L231" i="4"/>
  <c r="L423" i="4"/>
  <c r="L46" i="4"/>
  <c r="N46" i="4" s="1"/>
  <c r="L146" i="4"/>
  <c r="L271" i="4"/>
  <c r="L749" i="3"/>
  <c r="L724" i="3"/>
  <c r="L677" i="3"/>
  <c r="L574" i="3"/>
  <c r="L969" i="3"/>
  <c r="L584" i="3"/>
  <c r="L202" i="3"/>
  <c r="L795" i="3"/>
  <c r="L777" i="3"/>
  <c r="L923" i="3"/>
  <c r="L708" i="3"/>
  <c r="L707" i="3"/>
  <c r="L1010" i="3"/>
  <c r="L1009" i="3"/>
  <c r="L358" i="3"/>
  <c r="L356" i="3"/>
  <c r="L1204" i="3"/>
  <c r="L438" i="3"/>
  <c r="L780" i="3"/>
  <c r="L779" i="3"/>
  <c r="L3" i="3"/>
  <c r="L4" i="3"/>
  <c r="L821" i="3"/>
  <c r="L383" i="3"/>
  <c r="L381" i="3"/>
  <c r="L531" i="3"/>
  <c r="L159" i="3"/>
  <c r="L164" i="3"/>
  <c r="L895" i="3"/>
  <c r="L282" i="3"/>
  <c r="L280" i="3"/>
  <c r="P2" i="3"/>
  <c r="R752" i="4" l="1"/>
  <c r="Q723" i="4"/>
  <c r="R751" i="4"/>
  <c r="R746" i="4"/>
  <c r="Q716" i="4"/>
  <c r="R716" i="4"/>
  <c r="R725" i="4"/>
  <c r="R719" i="4"/>
  <c r="R731" i="4"/>
  <c r="R728" i="4"/>
  <c r="AA728" i="4"/>
  <c r="Q728" i="4"/>
  <c r="Q719" i="4"/>
  <c r="Q725" i="4"/>
  <c r="P612" i="4"/>
  <c r="R612" i="4" s="1"/>
  <c r="R583" i="4"/>
  <c r="AA635" i="4"/>
  <c r="R729" i="4"/>
  <c r="K612" i="4"/>
  <c r="N171" i="4"/>
  <c r="Q975" i="3"/>
  <c r="Q831" i="3"/>
  <c r="Q675" i="3"/>
  <c r="Q531" i="3"/>
  <c r="Q128" i="3"/>
  <c r="Q1223" i="3"/>
  <c r="Q238" i="3"/>
  <c r="Q961" i="3"/>
  <c r="Q817" i="3"/>
  <c r="Q673" i="3"/>
  <c r="Q529" i="3"/>
  <c r="Q323" i="3"/>
  <c r="Q165" i="3"/>
  <c r="Q1342" i="3"/>
  <c r="Q1007" i="3"/>
  <c r="Q863" i="3"/>
  <c r="Q695" i="3"/>
  <c r="Q551" i="3"/>
  <c r="Q405" i="3"/>
  <c r="Q1201" i="3"/>
  <c r="Q1187" i="3"/>
  <c r="Q15" i="3"/>
  <c r="Q573" i="3"/>
  <c r="Q429" i="3"/>
  <c r="Q1029" i="3"/>
  <c r="Q175" i="3"/>
  <c r="Q741" i="3"/>
  <c r="Q1075" i="3"/>
  <c r="Q919" i="3"/>
  <c r="Q763" i="3"/>
  <c r="Q619" i="3"/>
  <c r="Q96" i="3"/>
  <c r="Q705" i="3"/>
  <c r="Q157" i="3"/>
  <c r="Q813" i="3"/>
  <c r="Q1351" i="3"/>
  <c r="Q1001" i="3"/>
  <c r="Q857" i="3"/>
  <c r="Q713" i="3"/>
  <c r="Q569" i="3"/>
  <c r="Q425" i="3"/>
  <c r="Q1372" i="3"/>
  <c r="Q681" i="3"/>
  <c r="Q1181" i="3"/>
  <c r="Q963" i="3"/>
  <c r="Q819" i="3"/>
  <c r="Q663" i="3"/>
  <c r="Q519" i="3"/>
  <c r="Q116" i="3"/>
  <c r="Q1215" i="3"/>
  <c r="Q212" i="3"/>
  <c r="Q949" i="3"/>
  <c r="Q805" i="3"/>
  <c r="Q661" i="3"/>
  <c r="Q517" i="3"/>
  <c r="Q311" i="3"/>
  <c r="Q1328" i="3"/>
  <c r="Q995" i="3"/>
  <c r="Q851" i="3"/>
  <c r="Q683" i="3"/>
  <c r="Q539" i="3"/>
  <c r="Q375" i="3"/>
  <c r="Q1140" i="3"/>
  <c r="Q1175" i="3"/>
  <c r="Q1166" i="3"/>
  <c r="Q561" i="3"/>
  <c r="Q417" i="3"/>
  <c r="Q909" i="3"/>
  <c r="Q147" i="3"/>
  <c r="Q657" i="3"/>
  <c r="Q1051" i="3"/>
  <c r="Q907" i="3"/>
  <c r="Q751" i="3"/>
  <c r="Q607" i="3"/>
  <c r="Q463" i="3"/>
  <c r="Q1296" i="3"/>
  <c r="Q621" i="3"/>
  <c r="Q131" i="3"/>
  <c r="Q789" i="3"/>
  <c r="Q1322" i="3"/>
  <c r="Q989" i="3"/>
  <c r="Q845" i="3"/>
  <c r="Q701" i="3"/>
  <c r="Q557" i="3"/>
  <c r="Q412" i="3"/>
  <c r="Q1355" i="3"/>
  <c r="Q633" i="3"/>
  <c r="Q1169" i="3"/>
  <c r="Q802" i="3"/>
  <c r="Q951" i="3"/>
  <c r="Q795" i="3"/>
  <c r="Q651" i="3"/>
  <c r="Q507" i="3"/>
  <c r="Q56" i="3"/>
  <c r="Q1203" i="3"/>
  <c r="Q198" i="3"/>
  <c r="Q937" i="3"/>
  <c r="Q793" i="3"/>
  <c r="Q649" i="3"/>
  <c r="Q505" i="3"/>
  <c r="Q299" i="3"/>
  <c r="Q65" i="3"/>
  <c r="Q1304" i="3"/>
  <c r="Q983" i="3"/>
  <c r="Q839" i="3"/>
  <c r="Q671" i="3"/>
  <c r="Q527" i="3"/>
  <c r="Q363" i="3"/>
  <c r="Q1370" i="3"/>
  <c r="Q1138" i="3"/>
  <c r="Q1033" i="3"/>
  <c r="Q549" i="3"/>
  <c r="Q134" i="3"/>
  <c r="Q693" i="3"/>
  <c r="Q85" i="3"/>
  <c r="Q1277" i="3"/>
  <c r="Q1039" i="3"/>
  <c r="Q895" i="3"/>
  <c r="Q739" i="3"/>
  <c r="Q595" i="3"/>
  <c r="Q451" i="3"/>
  <c r="Q1093" i="3"/>
  <c r="Q1241" i="3"/>
  <c r="Q59" i="3"/>
  <c r="Q753" i="3"/>
  <c r="Q1158" i="3"/>
  <c r="Q977" i="3"/>
  <c r="Q833" i="3"/>
  <c r="Q689" i="3"/>
  <c r="Q545" i="3"/>
  <c r="Q381" i="3"/>
  <c r="Q1339" i="3"/>
  <c r="Q1376" i="3"/>
  <c r="Q1144" i="3"/>
  <c r="Q939" i="3"/>
  <c r="Q783" i="3"/>
  <c r="Q639" i="3"/>
  <c r="Q495" i="3"/>
  <c r="Q1155" i="3"/>
  <c r="Q1191" i="3"/>
  <c r="Q181" i="3"/>
  <c r="Q925" i="3"/>
  <c r="Q781" i="3"/>
  <c r="Q637" i="3"/>
  <c r="Q493" i="3"/>
  <c r="Q1035" i="3"/>
  <c r="Q1164" i="3"/>
  <c r="Q971" i="3"/>
  <c r="Q827" i="3"/>
  <c r="Q659" i="3"/>
  <c r="Q515" i="3"/>
  <c r="Q283" i="3"/>
  <c r="Q1315" i="3"/>
  <c r="Q1126" i="3"/>
  <c r="Q1189" i="3"/>
  <c r="Q537" i="3"/>
  <c r="Q122" i="3"/>
  <c r="Q1368" i="3"/>
  <c r="Q73" i="3"/>
  <c r="Q1253" i="3"/>
  <c r="Q1027" i="3"/>
  <c r="Q727" i="3"/>
  <c r="Q583" i="3"/>
  <c r="Q439" i="3"/>
  <c r="Q1269" i="3"/>
  <c r="Q1229" i="3"/>
  <c r="Q23" i="3"/>
  <c r="Q609" i="3"/>
  <c r="Q1121" i="3"/>
  <c r="Q965" i="3"/>
  <c r="Q821" i="3"/>
  <c r="Q677" i="3"/>
  <c r="Q533" i="3"/>
  <c r="Q369" i="3"/>
  <c r="Q1065" i="3"/>
  <c r="Q1333" i="3"/>
  <c r="Q1132" i="3"/>
  <c r="Q399" i="3"/>
  <c r="Q927" i="3"/>
  <c r="Q771" i="3"/>
  <c r="Q627" i="3"/>
  <c r="Q483" i="3"/>
  <c r="Q1023" i="3"/>
  <c r="Q1179" i="3"/>
  <c r="Q153" i="3"/>
  <c r="Q913" i="3"/>
  <c r="Q769" i="3"/>
  <c r="Q625" i="3"/>
  <c r="Q249" i="3"/>
  <c r="Q1129" i="3"/>
  <c r="Q1115" i="3"/>
  <c r="Q959" i="3"/>
  <c r="Q791" i="3"/>
  <c r="Q647" i="3"/>
  <c r="Q503" i="3"/>
  <c r="Q271" i="3"/>
  <c r="Q1291" i="3"/>
  <c r="Q388" i="3"/>
  <c r="Q1041" i="3"/>
  <c r="Q525" i="3"/>
  <c r="Q62" i="3"/>
  <c r="Q1301" i="3"/>
  <c r="Q1119" i="3"/>
  <c r="Q1324" i="3"/>
  <c r="Q1015" i="3"/>
  <c r="Q871" i="3"/>
  <c r="Q715" i="3"/>
  <c r="Q571" i="3"/>
  <c r="Q427" i="3"/>
  <c r="Q1221" i="3"/>
  <c r="Q1197" i="3"/>
  <c r="Q11" i="3"/>
  <c r="Q1217" i="3"/>
  <c r="Q1109" i="3"/>
  <c r="Q953" i="3"/>
  <c r="Q809" i="3"/>
  <c r="Q665" i="3"/>
  <c r="Q521" i="3"/>
  <c r="Q241" i="3"/>
  <c r="Q1005" i="3"/>
  <c r="Q1309" i="3"/>
  <c r="Q340" i="3"/>
  <c r="Q244" i="3"/>
  <c r="Q99" i="3"/>
  <c r="Q168" i="3"/>
  <c r="Q51" i="3"/>
  <c r="Q931" i="3"/>
  <c r="Q873" i="3"/>
  <c r="Q1021" i="3"/>
  <c r="Q915" i="3"/>
  <c r="Q759" i="3"/>
  <c r="Q615" i="3"/>
  <c r="Q1374" i="3"/>
  <c r="Q1142" i="3"/>
  <c r="Q91" i="3"/>
  <c r="Q901" i="3"/>
  <c r="Q757" i="3"/>
  <c r="Q613" i="3"/>
  <c r="Q469" i="3"/>
  <c r="Q102" i="3"/>
  <c r="Q194" i="3"/>
  <c r="Q1103" i="3"/>
  <c r="Q947" i="3"/>
  <c r="Q779" i="3"/>
  <c r="Q635" i="3"/>
  <c r="Q491" i="3"/>
  <c r="Q1279" i="3"/>
  <c r="Q333" i="3"/>
  <c r="Q921" i="3"/>
  <c r="Q513" i="3"/>
  <c r="Q38" i="3"/>
  <c r="Q1209" i="3"/>
  <c r="Q1117" i="3"/>
  <c r="Q1312" i="3"/>
  <c r="Q1003" i="3"/>
  <c r="Q859" i="3"/>
  <c r="Q703" i="3"/>
  <c r="Q559" i="3"/>
  <c r="Q415" i="3"/>
  <c r="Q1162" i="3"/>
  <c r="Q1185" i="3"/>
  <c r="Q1320" i="3"/>
  <c r="Q1336" i="3"/>
  <c r="Q1097" i="3"/>
  <c r="Q941" i="3"/>
  <c r="Q797" i="3"/>
  <c r="Q653" i="3"/>
  <c r="Q509" i="3"/>
  <c r="Q215" i="3"/>
  <c r="Q981" i="3"/>
  <c r="Q1285" i="3"/>
  <c r="Q326" i="3"/>
  <c r="Q1353" i="3"/>
  <c r="Q543" i="3"/>
  <c r="Q1357" i="3"/>
  <c r="Q563" i="3"/>
  <c r="Q1101" i="3"/>
  <c r="Q775" i="3"/>
  <c r="Q1171" i="3"/>
  <c r="Q717" i="3"/>
  <c r="Q903" i="3"/>
  <c r="Q747" i="3"/>
  <c r="Q603" i="3"/>
  <c r="Q459" i="3"/>
  <c r="Q1361" i="3"/>
  <c r="Q408" i="3"/>
  <c r="Q19" i="3"/>
  <c r="Q745" i="3"/>
  <c r="Q601" i="3"/>
  <c r="Q457" i="3"/>
  <c r="Q42" i="3"/>
  <c r="Q125" i="3"/>
  <c r="Q1091" i="3"/>
  <c r="Q935" i="3"/>
  <c r="Q767" i="3"/>
  <c r="Q623" i="3"/>
  <c r="Q209" i="3"/>
  <c r="Q1267" i="3"/>
  <c r="Q320" i="3"/>
  <c r="Q837" i="3"/>
  <c r="Q501" i="3"/>
  <c r="Q1083" i="3"/>
  <c r="Q402" i="3"/>
  <c r="Q1177" i="3"/>
  <c r="Q1160" i="3"/>
  <c r="Q991" i="3"/>
  <c r="Q847" i="3"/>
  <c r="Q691" i="3"/>
  <c r="Q547" i="3"/>
  <c r="Q385" i="3"/>
  <c r="Q1089" i="3"/>
  <c r="Q1173" i="3"/>
  <c r="Q1105" i="3"/>
  <c r="Q1251" i="3"/>
  <c r="Q1085" i="3"/>
  <c r="Q929" i="3"/>
  <c r="Q785" i="3"/>
  <c r="Q641" i="3"/>
  <c r="Q497" i="3"/>
  <c r="Q184" i="3"/>
  <c r="Q969" i="3"/>
  <c r="Q1273" i="3"/>
  <c r="Q314" i="3"/>
  <c r="Q843" i="3"/>
  <c r="Q973" i="3"/>
  <c r="Q337" i="3"/>
  <c r="Q707" i="3"/>
  <c r="Q1199" i="3"/>
  <c r="Q861" i="3"/>
  <c r="Q765" i="3"/>
  <c r="Q725" i="3"/>
  <c r="Q1107" i="3"/>
  <c r="Q735" i="3"/>
  <c r="Q591" i="3"/>
  <c r="Q447" i="3"/>
  <c r="Q1331" i="3"/>
  <c r="Q396" i="3"/>
  <c r="Q1081" i="3"/>
  <c r="Q877" i="3"/>
  <c r="Q733" i="3"/>
  <c r="Q589" i="3"/>
  <c r="Q445" i="3"/>
  <c r="Q1260" i="3"/>
  <c r="Q113" i="3"/>
  <c r="Q1079" i="3"/>
  <c r="Q923" i="3"/>
  <c r="Q755" i="3"/>
  <c r="Q611" i="3"/>
  <c r="Q467" i="3"/>
  <c r="Q1243" i="3"/>
  <c r="Q296" i="3"/>
  <c r="Q729" i="3"/>
  <c r="Q489" i="3"/>
  <c r="Q1345" i="3"/>
  <c r="Q372" i="3"/>
  <c r="Q1152" i="3"/>
  <c r="Q1147" i="3"/>
  <c r="Q979" i="3"/>
  <c r="Q835" i="3"/>
  <c r="Q679" i="3"/>
  <c r="Q535" i="3"/>
  <c r="Q329" i="3"/>
  <c r="Q1053" i="3"/>
  <c r="Q1366" i="3"/>
  <c r="Q1213" i="3"/>
  <c r="Q1227" i="3"/>
  <c r="Q1073" i="3"/>
  <c r="Q917" i="3"/>
  <c r="Q773" i="3"/>
  <c r="Q629" i="3"/>
  <c r="Q485" i="3"/>
  <c r="Q106" i="3"/>
  <c r="Q897" i="3"/>
  <c r="Q1249" i="3"/>
  <c r="Q302" i="3"/>
  <c r="Q1294" i="3"/>
  <c r="Q987" i="3"/>
  <c r="Q687" i="3"/>
  <c r="Q1235" i="3"/>
  <c r="Q685" i="3"/>
  <c r="Q392" i="3"/>
  <c r="Q875" i="3"/>
  <c r="Q1318" i="3"/>
  <c r="Q187" i="3"/>
  <c r="Q631" i="3"/>
  <c r="Q1013" i="3"/>
  <c r="Q1193" i="3"/>
  <c r="Q1047" i="3"/>
  <c r="Q879" i="3"/>
  <c r="Q723" i="3"/>
  <c r="Q579" i="3"/>
  <c r="Q435" i="3"/>
  <c r="Q1307" i="3"/>
  <c r="Q378" i="3"/>
  <c r="Q1009" i="3"/>
  <c r="Q865" i="3"/>
  <c r="Q721" i="3"/>
  <c r="Q577" i="3"/>
  <c r="Q433" i="3"/>
  <c r="Q1071" i="3"/>
  <c r="Q77" i="3"/>
  <c r="Q1067" i="3"/>
  <c r="Q911" i="3"/>
  <c r="Q743" i="3"/>
  <c r="Q599" i="3"/>
  <c r="Q455" i="3"/>
  <c r="Q150" i="3"/>
  <c r="Q1231" i="3"/>
  <c r="Q258" i="3"/>
  <c r="Q669" i="3"/>
  <c r="Q1069" i="3"/>
  <c r="Q360" i="3"/>
  <c r="Q1077" i="3"/>
  <c r="Q967" i="3"/>
  <c r="Q823" i="3"/>
  <c r="Q667" i="3"/>
  <c r="Q523" i="3"/>
  <c r="Q317" i="3"/>
  <c r="Q957" i="3"/>
  <c r="Q1275" i="3"/>
  <c r="Q1113" i="3"/>
  <c r="Q1207" i="3"/>
  <c r="Q1049" i="3"/>
  <c r="Q905" i="3"/>
  <c r="Q761" i="3"/>
  <c r="Q617" i="3"/>
  <c r="Q70" i="3"/>
  <c r="Q849" i="3"/>
  <c r="Q1237" i="3"/>
  <c r="Q290" i="3"/>
  <c r="Q97" i="3"/>
  <c r="Q829" i="3"/>
  <c r="Q585" i="3"/>
  <c r="Q487" i="3"/>
  <c r="Q581" i="3"/>
  <c r="Q1011" i="3"/>
  <c r="Q867" i="3"/>
  <c r="Q711" i="3"/>
  <c r="Q567" i="3"/>
  <c r="Q423" i="3"/>
  <c r="Q1271" i="3"/>
  <c r="Q366" i="3"/>
  <c r="Q997" i="3"/>
  <c r="Q853" i="3"/>
  <c r="Q709" i="3"/>
  <c r="Q565" i="3"/>
  <c r="Q421" i="3"/>
  <c r="Q1045" i="3"/>
  <c r="Q29" i="3"/>
  <c r="Q1043" i="3"/>
  <c r="Q899" i="3"/>
  <c r="Q731" i="3"/>
  <c r="Q587" i="3"/>
  <c r="Q443" i="3"/>
  <c r="Q88" i="3"/>
  <c r="Q1219" i="3"/>
  <c r="Q222" i="3"/>
  <c r="Q645" i="3"/>
  <c r="Q465" i="3"/>
  <c r="Q1245" i="3"/>
  <c r="Q280" i="3"/>
  <c r="Q1111" i="3"/>
  <c r="Q955" i="3"/>
  <c r="Q799" i="3"/>
  <c r="Q655" i="3"/>
  <c r="Q511" i="3"/>
  <c r="Q267" i="3"/>
  <c r="Q885" i="3"/>
  <c r="Q1239" i="3"/>
  <c r="Q993" i="3"/>
  <c r="Q1195" i="3"/>
  <c r="Q1037" i="3"/>
  <c r="Q893" i="3"/>
  <c r="Q749" i="3"/>
  <c r="Q605" i="3"/>
  <c r="Q461" i="3"/>
  <c r="Q1348" i="3"/>
  <c r="Q825" i="3"/>
  <c r="Q1225" i="3"/>
  <c r="Q264" i="3"/>
  <c r="Q274" i="3"/>
  <c r="Q419" i="3"/>
  <c r="Q1087" i="3"/>
  <c r="Q171" i="3"/>
  <c r="Q437" i="3"/>
  <c r="Q277" i="3"/>
  <c r="Q999" i="3"/>
  <c r="Q855" i="3"/>
  <c r="Q699" i="3"/>
  <c r="Q555" i="3"/>
  <c r="Q353" i="3"/>
  <c r="Q1247" i="3"/>
  <c r="Q286" i="3"/>
  <c r="Q985" i="3"/>
  <c r="Q841" i="3"/>
  <c r="Q697" i="3"/>
  <c r="Q553" i="3"/>
  <c r="Q349" i="3"/>
  <c r="Q1233" i="3"/>
  <c r="Q1031" i="3"/>
  <c r="Q887" i="3"/>
  <c r="Q719" i="3"/>
  <c r="Q575" i="3"/>
  <c r="Q431" i="3"/>
  <c r="Q1059" i="3"/>
  <c r="Q1211" i="3"/>
  <c r="Q191" i="3"/>
  <c r="Q597" i="3"/>
  <c r="Q453" i="3"/>
  <c r="Q1326" i="3"/>
  <c r="Q232" i="3"/>
  <c r="Q933" i="3"/>
  <c r="Q1099" i="3"/>
  <c r="Q943" i="3"/>
  <c r="Q787" i="3"/>
  <c r="Q643" i="3"/>
  <c r="Q499" i="3"/>
  <c r="Q255" i="3"/>
  <c r="Q801" i="3"/>
  <c r="Q356" i="3"/>
  <c r="Q945" i="3"/>
  <c r="Q1183" i="3"/>
  <c r="Q1025" i="3"/>
  <c r="Q737" i="3"/>
  <c r="Q593" i="3"/>
  <c r="Q449" i="3"/>
  <c r="Q1095" i="3"/>
  <c r="Q777" i="3"/>
  <c r="Q1205" i="3"/>
  <c r="Q252" i="3"/>
  <c r="Q1362" i="3"/>
  <c r="Q541" i="3"/>
  <c r="Q441" i="3"/>
  <c r="Q219" i="3"/>
  <c r="Q869" i="3"/>
  <c r="Q45" i="3"/>
  <c r="Q1149" i="3"/>
  <c r="Q306" i="3"/>
  <c r="Q160" i="3"/>
  <c r="Q815" i="3"/>
  <c r="Q246" i="3"/>
  <c r="Q140" i="3"/>
  <c r="Q303" i="3"/>
  <c r="Q243" i="3"/>
  <c r="Q143" i="3"/>
  <c r="Q117" i="3"/>
  <c r="Q32" i="3"/>
  <c r="Q1255" i="3"/>
  <c r="Q142" i="3"/>
  <c r="Q48" i="3"/>
  <c r="Q47" i="3"/>
  <c r="Q33" i="3"/>
  <c r="Q1057" i="3"/>
  <c r="Q1280" i="3"/>
  <c r="Q52" i="3"/>
  <c r="Q5" i="3"/>
  <c r="Q1150" i="3"/>
  <c r="Q223" i="3"/>
  <c r="Q345" i="3"/>
  <c r="Q810" i="3"/>
  <c r="Q1055" i="3"/>
  <c r="Q304" i="3"/>
  <c r="Q292" i="3"/>
  <c r="Q141" i="3"/>
  <c r="Q109" i="3"/>
  <c r="Q1063" i="3"/>
  <c r="Q226" i="3"/>
  <c r="Q811" i="3"/>
  <c r="Q807" i="3"/>
  <c r="Q79" i="3"/>
  <c r="Q1254" i="3"/>
  <c r="Q293" i="3"/>
  <c r="Q67" i="3"/>
  <c r="Q308" i="3"/>
  <c r="Q1262" i="3"/>
  <c r="Q154" i="3"/>
  <c r="Q39" i="3"/>
  <c r="Q110" i="3"/>
  <c r="Q1299" i="3"/>
  <c r="Q1133" i="3"/>
  <c r="Q158" i="3"/>
  <c r="Q53" i="3"/>
  <c r="Q1061" i="3"/>
  <c r="Q1148" i="3"/>
  <c r="Q1292" i="3"/>
  <c r="Q245" i="3"/>
  <c r="Q1261" i="3"/>
  <c r="Q225" i="3"/>
  <c r="Q6" i="3"/>
  <c r="Q1264" i="3"/>
  <c r="Q31" i="3"/>
  <c r="Q1298" i="3"/>
  <c r="Q242" i="3"/>
  <c r="Q138" i="3"/>
  <c r="Q247" i="3"/>
  <c r="Q107" i="3"/>
  <c r="Q203" i="3"/>
  <c r="Q108" i="3"/>
  <c r="Q201" i="3"/>
  <c r="Q227" i="3"/>
  <c r="Q24" i="3"/>
  <c r="Q1297" i="3"/>
  <c r="Q118" i="3"/>
  <c r="Q1293" i="3"/>
  <c r="Q1060" i="3"/>
  <c r="Q82" i="3"/>
  <c r="Q92" i="3"/>
  <c r="Q814" i="3"/>
  <c r="Q202" i="3"/>
  <c r="Q205" i="3"/>
  <c r="Q98" i="3"/>
  <c r="Q16" i="3"/>
  <c r="Q224" i="3"/>
  <c r="Q93" i="3"/>
  <c r="Q803" i="3"/>
  <c r="Q1286" i="3"/>
  <c r="Q103" i="3"/>
  <c r="Q1134" i="3"/>
  <c r="Q7" i="3"/>
  <c r="Q342" i="3"/>
  <c r="Q1288" i="3"/>
  <c r="Q1135" i="3"/>
  <c r="Q30" i="3"/>
  <c r="Q1289" i="3"/>
  <c r="Q1363" i="3"/>
  <c r="Q305" i="3"/>
  <c r="Q1281" i="3"/>
  <c r="Q12" i="3"/>
  <c r="Q1054" i="3"/>
  <c r="Q307" i="3"/>
  <c r="Q74" i="3"/>
  <c r="Q139" i="3"/>
  <c r="Q1258" i="3"/>
  <c r="Q806" i="3"/>
  <c r="Q78" i="3"/>
  <c r="Q1282" i="3"/>
  <c r="Q344" i="3"/>
  <c r="Q204" i="3"/>
  <c r="Q229" i="3"/>
  <c r="Q81" i="3"/>
  <c r="Q1265" i="3"/>
  <c r="Q199" i="3"/>
  <c r="Q341" i="3"/>
  <c r="Q200" i="3"/>
  <c r="Q80" i="3"/>
  <c r="Q159" i="3"/>
  <c r="Q309" i="3"/>
  <c r="Q26" i="3"/>
  <c r="Q268" i="3"/>
  <c r="Q25" i="3"/>
  <c r="Q1287" i="3"/>
  <c r="Q1283" i="3"/>
  <c r="Q1257" i="3"/>
  <c r="Q20" i="3"/>
  <c r="Q1263" i="3"/>
  <c r="Q8" i="3"/>
  <c r="Q343" i="3"/>
  <c r="Q1062" i="3"/>
  <c r="Q1056" i="3"/>
  <c r="Q291" i="3"/>
  <c r="Q346" i="3"/>
  <c r="Q66" i="3"/>
  <c r="Q119" i="3"/>
  <c r="Q228" i="3"/>
  <c r="Q1256" i="3"/>
  <c r="Q35" i="3"/>
  <c r="Q46" i="3"/>
  <c r="Q34" i="3"/>
  <c r="N529" i="4"/>
  <c r="N114" i="4"/>
  <c r="N222" i="4"/>
  <c r="N170" i="4"/>
  <c r="N374" i="4"/>
  <c r="N473" i="4"/>
  <c r="N468" i="4"/>
  <c r="N436" i="4"/>
  <c r="N240" i="4"/>
  <c r="N185" i="4"/>
  <c r="N496" i="4"/>
  <c r="N487" i="4"/>
  <c r="N248" i="4"/>
  <c r="N474" i="4"/>
  <c r="N126" i="4"/>
  <c r="N428" i="4"/>
  <c r="N355" i="4"/>
  <c r="N479" i="4"/>
  <c r="N230" i="4"/>
  <c r="N469" i="4"/>
  <c r="N532" i="4"/>
  <c r="N407" i="4"/>
  <c r="N534" i="4"/>
  <c r="N434" i="4"/>
  <c r="N179" i="4"/>
  <c r="N710" i="4"/>
  <c r="N353" i="4"/>
  <c r="N510" i="4"/>
  <c r="N492" i="4"/>
  <c r="N449" i="4"/>
  <c r="N399" i="4"/>
  <c r="N411" i="4"/>
  <c r="N363" i="4"/>
  <c r="N268" i="4"/>
  <c r="N548" i="4"/>
  <c r="N537" i="4"/>
  <c r="N130" i="4"/>
  <c r="N134" i="4"/>
  <c r="N490" i="4"/>
  <c r="N297" i="4"/>
  <c r="N423" i="4"/>
  <c r="N116" i="4"/>
  <c r="N536" i="4"/>
  <c r="N530" i="4"/>
  <c r="N512" i="4"/>
  <c r="N475" i="4"/>
  <c r="N153" i="4"/>
  <c r="N272" i="4"/>
  <c r="N177" i="4"/>
  <c r="N426" i="4"/>
  <c r="N477" i="4"/>
  <c r="N467" i="4"/>
  <c r="N146" i="4"/>
  <c r="N500" i="4"/>
  <c r="N459" i="4"/>
  <c r="N369" i="4"/>
  <c r="N313" i="4"/>
  <c r="N445" i="4"/>
  <c r="N393" i="4"/>
  <c r="N442" i="4"/>
  <c r="N503" i="4"/>
  <c r="N186" i="4"/>
  <c r="N427" i="4"/>
  <c r="N484" i="4"/>
  <c r="N401" i="4"/>
  <c r="N357" i="4"/>
  <c r="N526" i="4"/>
  <c r="N506" i="4"/>
  <c r="N452" i="4"/>
  <c r="N262" i="4"/>
  <c r="N709" i="4"/>
  <c r="N341" i="4"/>
  <c r="N231" i="4"/>
  <c r="N136" i="4"/>
  <c r="N187" i="4"/>
  <c r="N513" i="4"/>
  <c r="N125" i="4"/>
  <c r="N498" i="4"/>
  <c r="N192" i="4"/>
  <c r="N124" i="4"/>
  <c r="N446" i="4"/>
  <c r="N329" i="4"/>
  <c r="N488" i="4"/>
  <c r="N502" i="4"/>
  <c r="N242" i="4"/>
  <c r="N520" i="4"/>
  <c r="N309" i="4"/>
  <c r="N295" i="4"/>
  <c r="N110" i="4"/>
  <c r="N518" i="4"/>
  <c r="N243" i="4"/>
  <c r="N349" i="4"/>
  <c r="N550" i="4"/>
  <c r="N244" i="4"/>
  <c r="N504" i="4"/>
  <c r="N160" i="4"/>
  <c r="N270" i="4"/>
  <c r="N508" i="4"/>
  <c r="N422" i="4"/>
  <c r="N391" i="4"/>
  <c r="N214" i="4"/>
  <c r="N308" i="4"/>
  <c r="N522" i="4"/>
  <c r="N377" i="4"/>
  <c r="N323" i="4"/>
  <c r="N140" i="4"/>
  <c r="N438" i="4"/>
  <c r="N406" i="4"/>
  <c r="N154" i="4"/>
  <c r="N293" i="4"/>
  <c r="N481" i="4"/>
  <c r="N142" i="4"/>
  <c r="N175" i="4"/>
  <c r="N482" i="4"/>
  <c r="N258" i="4"/>
  <c r="N250" i="4"/>
  <c r="N440" i="4"/>
  <c r="R682" i="4"/>
  <c r="Q682" i="4"/>
  <c r="R557" i="4"/>
  <c r="Q557" i="4"/>
  <c r="U557" i="4" s="1"/>
  <c r="R717" i="4"/>
  <c r="Q717" i="4"/>
  <c r="R622" i="4"/>
  <c r="Q622" i="4"/>
  <c r="R720" i="4"/>
  <c r="Q720" i="4"/>
  <c r="R667" i="4"/>
  <c r="Q667" i="4"/>
  <c r="R704" i="4"/>
  <c r="Q704" i="4"/>
  <c r="R599" i="4"/>
  <c r="Q599" i="4"/>
  <c r="R606" i="4"/>
  <c r="Q606" i="4"/>
  <c r="R627" i="4"/>
  <c r="Q627" i="4"/>
  <c r="R684" i="4"/>
  <c r="Q684" i="4"/>
  <c r="R590" i="4"/>
  <c r="Q590" i="4"/>
  <c r="R594" i="4"/>
  <c r="Q594" i="4"/>
  <c r="R586" i="4"/>
  <c r="Q586" i="4"/>
  <c r="R702" i="4"/>
  <c r="Q702" i="4"/>
  <c r="R605" i="4"/>
  <c r="Q605" i="4"/>
  <c r="R645" i="4"/>
  <c r="Q645" i="4"/>
  <c r="R687" i="4"/>
  <c r="Q687" i="4"/>
  <c r="R595" i="4"/>
  <c r="Q595" i="4"/>
  <c r="R615" i="4"/>
  <c r="Q615" i="4"/>
  <c r="R553" i="4"/>
  <c r="Q553" i="4"/>
  <c r="U553" i="4" s="1"/>
  <c r="R613" i="4"/>
  <c r="Q613" i="4"/>
  <c r="R703" i="4"/>
  <c r="Q703" i="4"/>
  <c r="R681" i="4"/>
  <c r="Q681" i="4"/>
  <c r="R639" i="4"/>
  <c r="Q639" i="4"/>
  <c r="R623" i="4"/>
  <c r="Q623" i="4"/>
  <c r="R680" i="4"/>
  <c r="Q680" i="4"/>
  <c r="R598" i="4"/>
  <c r="Q598" i="4"/>
  <c r="R629" i="4"/>
  <c r="Q629" i="4"/>
  <c r="R631" i="4"/>
  <c r="Q631" i="4"/>
  <c r="R616" i="4"/>
  <c r="Q616" i="4"/>
  <c r="R620" i="4"/>
  <c r="Q620" i="4"/>
  <c r="R570" i="4"/>
  <c r="Q570" i="4"/>
  <c r="U570" i="4" s="1"/>
  <c r="R603" i="4"/>
  <c r="Q603" i="4"/>
  <c r="R610" i="4"/>
  <c r="Q610" i="4"/>
  <c r="R694" i="4"/>
  <c r="Q694" i="4"/>
  <c r="R635" i="4"/>
  <c r="Q635" i="4"/>
  <c r="R604" i="4"/>
  <c r="Q604" i="4"/>
  <c r="R617" i="4"/>
  <c r="Q617" i="4"/>
  <c r="R614" i="4"/>
  <c r="Q614" i="4"/>
  <c r="R607" i="4"/>
  <c r="Q607" i="4"/>
  <c r="R619" i="4"/>
  <c r="Q619" i="4"/>
  <c r="R701" i="4"/>
  <c r="Q701" i="4"/>
  <c r="R685" i="4"/>
  <c r="Q685" i="4"/>
  <c r="R693" i="4"/>
  <c r="Q693" i="4"/>
  <c r="R690" i="4"/>
  <c r="Q690" i="4"/>
  <c r="R609" i="4"/>
  <c r="Q609" i="4"/>
  <c r="R715" i="4"/>
  <c r="Q715" i="4"/>
  <c r="R625" i="4"/>
  <c r="Q625" i="4"/>
  <c r="R664" i="4"/>
  <c r="Q664" i="4"/>
  <c r="N255" i="4"/>
  <c r="AG346" i="3"/>
  <c r="AG1263" i="3"/>
  <c r="AG34" i="3"/>
  <c r="N366" i="4"/>
  <c r="N249" i="4"/>
  <c r="N211" i="4"/>
  <c r="N122" i="4"/>
  <c r="N491" i="4"/>
  <c r="N437" i="4"/>
  <c r="N517" i="4"/>
  <c r="N159" i="4"/>
  <c r="N139" i="4"/>
  <c r="N348" i="4"/>
  <c r="N133" i="4"/>
  <c r="N364" i="4"/>
  <c r="N358" i="4"/>
  <c r="N259" i="4"/>
  <c r="N292" i="4"/>
  <c r="N269" i="4"/>
  <c r="N322" i="4"/>
  <c r="N277" i="4"/>
  <c r="N147" i="4"/>
  <c r="N316" i="4"/>
  <c r="N505" i="4"/>
  <c r="N511" i="4"/>
  <c r="N271" i="4"/>
  <c r="N454" i="4"/>
  <c r="N298" i="4"/>
  <c r="N354" i="4"/>
  <c r="N286" i="4"/>
  <c r="N507" i="4"/>
  <c r="N478" i="4"/>
  <c r="N135" i="4"/>
  <c r="N416" i="4"/>
  <c r="N205" i="4"/>
  <c r="N245" i="4"/>
  <c r="N448" i="4"/>
  <c r="N392" i="4"/>
  <c r="N408" i="4"/>
  <c r="N342" i="4"/>
  <c r="N495" i="4"/>
  <c r="N388" i="4"/>
  <c r="N476" i="4"/>
  <c r="N221" i="4"/>
  <c r="N378" i="4"/>
  <c r="N188" i="4"/>
  <c r="N294" i="4"/>
  <c r="N497" i="4"/>
  <c r="N184" i="4"/>
  <c r="N127" i="4"/>
  <c r="N223" i="4"/>
  <c r="N217" i="4"/>
  <c r="N439" i="4"/>
  <c r="N290" i="4"/>
  <c r="N346" i="4"/>
  <c r="N257" i="4"/>
  <c r="N460" i="4"/>
  <c r="N350" i="4"/>
  <c r="N501" i="4"/>
  <c r="N382" i="4"/>
  <c r="N414" i="4"/>
  <c r="N145" i="4"/>
  <c r="N509" i="4"/>
  <c r="N296" i="4"/>
  <c r="N328" i="4"/>
  <c r="N404" i="4"/>
  <c r="N471" i="4"/>
  <c r="V557" i="4"/>
  <c r="N394" i="4"/>
  <c r="N247" i="4"/>
  <c r="N167" i="4"/>
  <c r="N372" i="4"/>
  <c r="N370" i="4"/>
  <c r="N362" i="4"/>
  <c r="N485" i="4"/>
  <c r="N390" i="4"/>
  <c r="N111" i="4"/>
  <c r="N235" i="4"/>
  <c r="N376" i="4"/>
  <c r="N149" i="4"/>
  <c r="N312" i="4"/>
  <c r="N169" i="4"/>
  <c r="N402" i="4"/>
  <c r="N209" i="4"/>
  <c r="N275" i="4"/>
  <c r="N535" i="4"/>
  <c r="N281" i="4"/>
  <c r="N521" i="4"/>
  <c r="N137" i="4"/>
  <c r="N493" i="4"/>
  <c r="N265" i="4"/>
  <c r="N320" i="4"/>
  <c r="N472" i="4"/>
  <c r="N115" i="4"/>
  <c r="N400" i="4"/>
  <c r="N453" i="4"/>
  <c r="N396" i="4"/>
  <c r="N178" i="4"/>
  <c r="N109" i="4"/>
  <c r="N327" i="4"/>
  <c r="N368" i="4"/>
  <c r="N141" i="4"/>
  <c r="N129" i="4"/>
  <c r="N165" i="4"/>
  <c r="N273" i="4"/>
  <c r="N157" i="4"/>
  <c r="N219" i="4"/>
  <c r="N533" i="4"/>
  <c r="N499" i="4"/>
  <c r="N356" i="4"/>
  <c r="N514" i="4"/>
  <c r="N112" i="4"/>
  <c r="N288" i="4"/>
  <c r="N480" i="4"/>
  <c r="N410" i="4"/>
  <c r="N143" i="4"/>
  <c r="N304" i="4"/>
  <c r="N196" i="4"/>
  <c r="N464" i="4"/>
  <c r="N151" i="4"/>
  <c r="V553" i="4"/>
  <c r="N340" i="4"/>
  <c r="N283" i="4"/>
  <c r="N466" i="4"/>
  <c r="N398" i="4"/>
  <c r="N334" i="4"/>
  <c r="N232" i="4"/>
  <c r="N483" i="4"/>
  <c r="N227" i="4"/>
  <c r="N519" i="4"/>
  <c r="N241" i="4"/>
  <c r="N213" i="4"/>
  <c r="N418" i="4"/>
  <c r="N251" i="4"/>
  <c r="N352" i="4"/>
  <c r="N200" i="4"/>
  <c r="N239" i="4"/>
  <c r="N324" i="4"/>
  <c r="N455" i="4"/>
  <c r="N254" i="4"/>
  <c r="N182" i="4"/>
  <c r="N225" i="4"/>
  <c r="N267" i="4"/>
  <c r="N120" i="4"/>
  <c r="N174" i="4"/>
  <c r="N261" i="4"/>
  <c r="N117" i="4"/>
  <c r="N318" i="4"/>
  <c r="N176" i="4"/>
  <c r="N191" i="4"/>
  <c r="N447" i="4"/>
  <c r="N375" i="4"/>
  <c r="N163" i="4"/>
  <c r="N155" i="4"/>
  <c r="N360" i="4"/>
  <c r="N384" i="4"/>
  <c r="N525" i="4"/>
  <c r="N489" i="4"/>
  <c r="N193" i="4"/>
  <c r="N306" i="4"/>
  <c r="P634" i="4"/>
  <c r="K634" i="4"/>
  <c r="P669" i="4"/>
  <c r="K669" i="4"/>
  <c r="AG343" i="3"/>
  <c r="AA977" i="3"/>
  <c r="AA1148" i="3"/>
  <c r="AA1258" i="3"/>
  <c r="AA1257" i="3"/>
  <c r="AG1062" i="3"/>
  <c r="AG46" i="3"/>
  <c r="AG1288" i="3"/>
  <c r="AI1515" i="3"/>
  <c r="AA396" i="3"/>
  <c r="AA423" i="3"/>
  <c r="AA955" i="3"/>
  <c r="AA1362" i="3"/>
  <c r="AI1559" i="3"/>
  <c r="AA987" i="3"/>
  <c r="AA108" i="3"/>
  <c r="AA587" i="3"/>
  <c r="AG1056" i="3"/>
  <c r="AA759" i="3"/>
  <c r="AA1103" i="3"/>
  <c r="AA1049" i="3"/>
  <c r="AG228" i="3"/>
  <c r="AA119" i="3"/>
  <c r="AA1093" i="3"/>
  <c r="AA1294" i="3"/>
  <c r="AA811" i="3"/>
  <c r="AG98" i="3"/>
  <c r="AA609" i="3"/>
  <c r="AA1263" i="3"/>
  <c r="AA346" i="3"/>
  <c r="AG1256" i="3"/>
  <c r="AA563" i="3"/>
  <c r="AA691" i="3"/>
  <c r="AA53" i="3"/>
  <c r="AG35" i="3"/>
  <c r="AA1256" i="3"/>
  <c r="AG1257" i="3"/>
  <c r="AA360" i="3"/>
  <c r="V570" i="4"/>
  <c r="AA1062" i="3"/>
  <c r="AA343" i="3"/>
  <c r="AA1304" i="3"/>
  <c r="AA1215" i="3"/>
  <c r="AA527" i="3"/>
  <c r="AA739" i="3"/>
  <c r="AA469" i="3"/>
  <c r="AA1105" i="3"/>
  <c r="AA372" i="3"/>
  <c r="AA565" i="3"/>
  <c r="AA645" i="3"/>
  <c r="AA1239" i="3"/>
  <c r="AA1233" i="3"/>
  <c r="AA1025" i="3"/>
  <c r="AA869" i="3"/>
  <c r="AA1150" i="3"/>
  <c r="AG1299" i="3"/>
  <c r="AG118" i="3"/>
  <c r="AG1281" i="3"/>
  <c r="AG344" i="3"/>
  <c r="AG268" i="3"/>
  <c r="AA429" i="3"/>
  <c r="AA625" i="3"/>
  <c r="AA1199" i="3"/>
  <c r="AA735" i="3"/>
  <c r="AA1193" i="3"/>
  <c r="AA849" i="3"/>
  <c r="AA855" i="3"/>
  <c r="AA881" i="3"/>
  <c r="AA117" i="3"/>
  <c r="AG1286" i="3"/>
  <c r="AG341" i="3"/>
  <c r="AA1175" i="3"/>
  <c r="AA1296" i="3"/>
  <c r="AA1370" i="3"/>
  <c r="AA1376" i="3"/>
  <c r="AA481" i="3"/>
  <c r="AA1021" i="3"/>
  <c r="AA861" i="3"/>
  <c r="AA1147" i="3"/>
  <c r="AA1231" i="3"/>
  <c r="AA487" i="3"/>
  <c r="AA737" i="3"/>
  <c r="AI1656" i="3"/>
  <c r="AG345" i="3"/>
  <c r="AG242" i="3"/>
  <c r="AA1060" i="3"/>
  <c r="AA103" i="3"/>
  <c r="AG307" i="3"/>
  <c r="AA25" i="3"/>
  <c r="AA1342" i="3"/>
  <c r="AA621" i="3"/>
  <c r="AA1229" i="3"/>
  <c r="AA1217" i="3"/>
  <c r="AA1091" i="3"/>
  <c r="AA1177" i="3"/>
  <c r="AA447" i="3"/>
  <c r="AA581" i="3"/>
  <c r="AG1255" i="3"/>
  <c r="AG79" i="3"/>
  <c r="AG82" i="3"/>
  <c r="AG1287" i="3"/>
  <c r="AA675" i="3"/>
  <c r="AA741" i="3"/>
  <c r="AA1301" i="3"/>
  <c r="AA615" i="3"/>
  <c r="AA935" i="3"/>
  <c r="AA1160" i="3"/>
  <c r="AA687" i="3"/>
  <c r="AA577" i="3"/>
  <c r="AA1275" i="3"/>
  <c r="AA1017" i="3"/>
  <c r="AA449" i="3"/>
  <c r="AG306" i="3"/>
  <c r="AG1055" i="3"/>
  <c r="AG1254" i="3"/>
  <c r="AG1061" i="3"/>
  <c r="AG7" i="3"/>
  <c r="AG1283" i="3"/>
  <c r="AA863" i="3"/>
  <c r="AA1075" i="3"/>
  <c r="AA505" i="3"/>
  <c r="AA1003" i="3"/>
  <c r="AA991" i="3"/>
  <c r="AA467" i="3"/>
  <c r="AA106" i="3"/>
  <c r="AA1235" i="3"/>
  <c r="AA567" i="3"/>
  <c r="AG304" i="3"/>
  <c r="AG107" i="3"/>
  <c r="AA342" i="3"/>
  <c r="AA569" i="3"/>
  <c r="AA1368" i="3"/>
  <c r="AA627" i="3"/>
  <c r="AA959" i="3"/>
  <c r="AA1361" i="3"/>
  <c r="AA535" i="3"/>
  <c r="AA1047" i="3"/>
  <c r="AA1207" i="3"/>
  <c r="AA731" i="3"/>
  <c r="AA1059" i="3"/>
  <c r="AG1292" i="3"/>
  <c r="AA1158" i="3"/>
  <c r="AA783" i="3"/>
  <c r="AA799" i="3"/>
  <c r="AA1205" i="3"/>
  <c r="AG33" i="3"/>
  <c r="AG308" i="3"/>
  <c r="AG245" i="3"/>
  <c r="AA1253" i="3"/>
  <c r="AA647" i="3"/>
  <c r="AA1077" i="3"/>
  <c r="AA905" i="3"/>
  <c r="AA443" i="3"/>
  <c r="AG1057" i="3"/>
  <c r="AG1262" i="3"/>
  <c r="AA1261" i="3"/>
  <c r="AG1054" i="3"/>
  <c r="AG81" i="3"/>
  <c r="AA961" i="3"/>
  <c r="AA475" i="3"/>
  <c r="AA681" i="3"/>
  <c r="AA1051" i="3"/>
  <c r="AA1277" i="3"/>
  <c r="AA1027" i="3"/>
  <c r="AA1179" i="3"/>
  <c r="AA503" i="3"/>
  <c r="AA715" i="3"/>
  <c r="AA415" i="3"/>
  <c r="AA1366" i="3"/>
  <c r="AA579" i="3"/>
  <c r="AA997" i="3"/>
  <c r="AG1280" i="3"/>
  <c r="AG154" i="3"/>
  <c r="AG227" i="3"/>
  <c r="AG224" i="3"/>
  <c r="AG1289" i="3"/>
  <c r="AA1265" i="3"/>
  <c r="AA683" i="3"/>
  <c r="AA907" i="3"/>
  <c r="AA689" i="3"/>
  <c r="AA659" i="3"/>
  <c r="AA883" i="3"/>
  <c r="AA571" i="3"/>
  <c r="AA1019" i="3"/>
  <c r="AA1171" i="3"/>
  <c r="AA489" i="3"/>
  <c r="AA617" i="3"/>
  <c r="AA1219" i="3"/>
  <c r="AA1225" i="3"/>
  <c r="AA441" i="3"/>
  <c r="AG1063" i="3"/>
  <c r="AA24" i="3"/>
  <c r="AA705" i="3"/>
  <c r="AA515" i="3"/>
  <c r="AA1291" i="3"/>
  <c r="AA427" i="3"/>
  <c r="AA1260" i="3"/>
  <c r="AA1227" i="3"/>
  <c r="AA631" i="3"/>
  <c r="AG243" i="3"/>
  <c r="AG5" i="3"/>
  <c r="AG226" i="3"/>
  <c r="AA1264" i="3"/>
  <c r="AG1297" i="3"/>
  <c r="AG1282" i="3"/>
  <c r="AA26" i="3"/>
  <c r="AA118" i="3"/>
  <c r="AA345" i="3"/>
  <c r="AA344" i="3"/>
  <c r="AA1299" i="3"/>
  <c r="AA1345" i="3"/>
  <c r="AA341" i="3"/>
  <c r="AA109" i="3"/>
  <c r="AA1255" i="3"/>
  <c r="AG80" i="3"/>
  <c r="AA1254" i="3"/>
  <c r="AA1063" i="3"/>
  <c r="AA891" i="3"/>
  <c r="AA405" i="3"/>
  <c r="AG1060" i="3"/>
  <c r="AG47" i="3"/>
  <c r="AA1109" i="3"/>
  <c r="AA51" i="3"/>
  <c r="AA639" i="3"/>
  <c r="AA1061" i="3"/>
  <c r="AA421" i="3"/>
  <c r="AA461" i="3"/>
  <c r="AA107" i="3"/>
  <c r="AG6" i="3"/>
  <c r="AA699" i="3"/>
  <c r="AA445" i="3"/>
  <c r="AA1247" i="3"/>
  <c r="AA1315" i="3"/>
  <c r="AA813" i="3"/>
  <c r="AA439" i="3"/>
  <c r="AA453" i="3"/>
  <c r="AA755" i="3"/>
  <c r="AA110" i="3"/>
  <c r="AG1264" i="3"/>
  <c r="AG117" i="3"/>
  <c r="AA815" i="3"/>
  <c r="AG1261" i="3"/>
  <c r="AA459" i="3"/>
  <c r="AA693" i="3"/>
  <c r="AA806" i="3"/>
  <c r="AA1297" i="3"/>
  <c r="AA803" i="3"/>
  <c r="AA865" i="3"/>
  <c r="AA1087" i="3"/>
  <c r="AA814" i="3"/>
  <c r="AA1363" i="3"/>
  <c r="AA807" i="3"/>
  <c r="AA52" i="3"/>
  <c r="AA885" i="3"/>
  <c r="AA1067" i="3"/>
  <c r="AA1211" i="3"/>
  <c r="AA363" i="3"/>
  <c r="AA1328" i="3"/>
  <c r="AG246" i="3"/>
  <c r="AA1293" i="3"/>
  <c r="AA1331" i="3"/>
  <c r="AG342" i="3"/>
  <c r="AA1140" i="3"/>
  <c r="AA819" i="3"/>
  <c r="AA1262" i="3"/>
  <c r="AA296" i="3"/>
  <c r="AA1298" i="3"/>
  <c r="AA102" i="3"/>
  <c r="AA134" i="3"/>
  <c r="AA1292" i="3"/>
  <c r="AA1223" i="3"/>
  <c r="AA1339" i="3"/>
  <c r="AI182" i="3"/>
  <c r="AA1221" i="3"/>
  <c r="AA181" i="3"/>
  <c r="AA378" i="3"/>
  <c r="AA1095" i="3"/>
  <c r="AA455" i="3"/>
  <c r="AA1155" i="3"/>
  <c r="AA23" i="3"/>
  <c r="AA757" i="3"/>
  <c r="AA1245" i="3"/>
  <c r="AA1162" i="3"/>
  <c r="AA975" i="3"/>
  <c r="AA655" i="3"/>
  <c r="AA1372" i="3"/>
  <c r="AA375" i="3"/>
  <c r="AA366" i="3"/>
  <c r="AA1089" i="3"/>
  <c r="AA88" i="3"/>
  <c r="AA802" i="3"/>
  <c r="AA867" i="3"/>
  <c r="AA511" i="3"/>
  <c r="AA810" i="3"/>
  <c r="AA853" i="3"/>
  <c r="AA1243" i="3"/>
  <c r="AA340" i="3"/>
  <c r="AA917" i="3"/>
  <c r="AA1149" i="3"/>
  <c r="AA1249" i="3"/>
  <c r="AA419" i="3"/>
  <c r="AA809" i="3"/>
  <c r="AA805" i="3"/>
  <c r="AA817" i="3"/>
  <c r="AA1039" i="3"/>
  <c r="AA649" i="3"/>
  <c r="AA513" i="3"/>
  <c r="AA801" i="3"/>
  <c r="AA392" i="3"/>
  <c r="AA1166" i="3"/>
  <c r="AA543" i="3"/>
  <c r="AA673" i="3"/>
  <c r="AA507" i="3"/>
  <c r="AA1374" i="3"/>
  <c r="AA1241" i="3"/>
  <c r="AH1052" i="3"/>
  <c r="AH1240" i="3"/>
  <c r="AH930" i="3"/>
  <c r="AG131" i="3"/>
  <c r="AG477" i="3"/>
  <c r="AG823" i="3"/>
  <c r="AG473" i="3"/>
  <c r="AG553" i="3"/>
  <c r="AG719" i="3"/>
  <c r="AA929" i="3"/>
  <c r="AH380" i="3"/>
  <c r="AH820" i="3"/>
  <c r="AH121" i="3"/>
  <c r="AH1338" i="3"/>
  <c r="AH962" i="3"/>
  <c r="AH406" i="3"/>
  <c r="AH347" i="3"/>
  <c r="AH105" i="3"/>
  <c r="AH1090" i="3"/>
  <c r="AH1172" i="3"/>
  <c r="AH442" i="3"/>
  <c r="AH1040" i="3"/>
  <c r="AH456" i="3"/>
  <c r="AH506" i="3"/>
  <c r="AH856" i="3"/>
  <c r="AH628" i="3"/>
  <c r="AH1220" i="3"/>
  <c r="AH379" i="3"/>
  <c r="AH482" i="3"/>
  <c r="AH748" i="3"/>
  <c r="AG1155" i="3"/>
  <c r="AG659" i="3"/>
  <c r="AG537" i="3"/>
  <c r="AG883" i="3"/>
  <c r="AG1291" i="3"/>
  <c r="AG427" i="3"/>
  <c r="AG953" i="3"/>
  <c r="AG1107" i="3"/>
  <c r="AG1260" i="3"/>
  <c r="AG467" i="3"/>
  <c r="AG1345" i="3"/>
  <c r="AG679" i="3"/>
  <c r="AG1227" i="3"/>
  <c r="AG97" i="3"/>
  <c r="AG581" i="3"/>
  <c r="AG465" i="3"/>
  <c r="AG799" i="3"/>
  <c r="AG993" i="3"/>
  <c r="AG541" i="3"/>
  <c r="AH1226" i="3"/>
  <c r="AH566" i="3"/>
  <c r="AH610" i="3"/>
  <c r="AH361" i="3"/>
  <c r="AB1143" i="3"/>
  <c r="AH998" i="3"/>
  <c r="AH518" i="3"/>
  <c r="AH1332" i="3"/>
  <c r="AH516" i="3"/>
  <c r="AH376" i="3"/>
  <c r="AH706" i="3"/>
  <c r="AH800" i="3"/>
  <c r="AH632" i="3"/>
  <c r="AH1222" i="3"/>
  <c r="AH700" i="3"/>
  <c r="AH1028" i="3"/>
  <c r="AH1078" i="3"/>
  <c r="AH1230" i="3"/>
  <c r="AH1224" i="3"/>
  <c r="AH492" i="3"/>
  <c r="AH1340" i="3"/>
  <c r="AH450" i="3"/>
  <c r="AH1246" i="3"/>
  <c r="AH287" i="3"/>
  <c r="AG323" i="3"/>
  <c r="AG551" i="3"/>
  <c r="AG429" i="3"/>
  <c r="AG425" i="3"/>
  <c r="AG1215" i="3"/>
  <c r="AG311" i="3"/>
  <c r="AG539" i="3"/>
  <c r="AG417" i="3"/>
  <c r="AG739" i="3"/>
  <c r="AG235" i="3"/>
  <c r="AG981" i="3"/>
  <c r="AG935" i="3"/>
  <c r="AG1160" i="3"/>
  <c r="AG987" i="3"/>
  <c r="AG1318" i="3"/>
  <c r="AG1047" i="3"/>
  <c r="AG378" i="3"/>
  <c r="AG1071" i="3"/>
  <c r="AG1207" i="3"/>
  <c r="AG575" i="3"/>
  <c r="AG449" i="3"/>
  <c r="AH1367" i="3"/>
  <c r="AH1306" i="3"/>
  <c r="AG517" i="3"/>
  <c r="AG1336" i="3"/>
  <c r="AG1091" i="3"/>
  <c r="AA747" i="3"/>
  <c r="AH368" i="3"/>
  <c r="AH854" i="3"/>
  <c r="AH407" i="3"/>
  <c r="AH1106" i="3"/>
  <c r="AH818" i="3"/>
  <c r="AH862" i="3"/>
  <c r="AH578" i="3"/>
  <c r="AH387" i="3"/>
  <c r="AH468" i="3"/>
  <c r="AH568" i="3"/>
  <c r="AH1375" i="3"/>
  <c r="AH27" i="3"/>
  <c r="AH736" i="3"/>
  <c r="AH868" i="3"/>
  <c r="AH1295" i="3"/>
  <c r="AH694" i="3"/>
  <c r="AH1026" i="3"/>
  <c r="AH365" i="3"/>
  <c r="AH350" i="3"/>
  <c r="AH104" i="3"/>
  <c r="AH460" i="3"/>
  <c r="AG1191" i="3"/>
  <c r="AG261" i="3"/>
  <c r="AG515" i="3"/>
  <c r="AG727" i="3"/>
  <c r="AG627" i="3"/>
  <c r="AG959" i="3"/>
  <c r="AG1324" i="3"/>
  <c r="AG891" i="3"/>
  <c r="AG1081" i="3"/>
  <c r="AG178" i="3"/>
  <c r="AG372" i="3"/>
  <c r="AG535" i="3"/>
  <c r="AG1073" i="3"/>
  <c r="AG1045" i="3"/>
  <c r="AG443" i="3"/>
  <c r="AG1195" i="3"/>
  <c r="AG1348" i="3"/>
  <c r="AG441" i="3"/>
  <c r="AB1276" i="3"/>
  <c r="AG889" i="3"/>
  <c r="AA671" i="3"/>
  <c r="AH1180" i="3"/>
  <c r="AH1104" i="3"/>
  <c r="AH738" i="3"/>
  <c r="AH530" i="3"/>
  <c r="AH656" i="3"/>
  <c r="AH850" i="3"/>
  <c r="AH1161" i="3"/>
  <c r="AH988" i="3"/>
  <c r="AH1110" i="3"/>
  <c r="AH1236" i="3"/>
  <c r="AH536" i="3"/>
  <c r="AH892" i="3"/>
  <c r="AH580" i="3"/>
  <c r="AH28" i="3"/>
  <c r="AH688" i="3"/>
  <c r="AH111" i="3"/>
  <c r="AH646" i="3"/>
  <c r="AH756" i="3"/>
  <c r="AG238" i="3"/>
  <c r="AG619" i="3"/>
  <c r="AG1351" i="3"/>
  <c r="AG1322" i="3"/>
  <c r="AG1355" i="3"/>
  <c r="AG951" i="3"/>
  <c r="AG1158" i="3"/>
  <c r="AG1339" i="3"/>
  <c r="AG1101" i="3"/>
  <c r="AG991" i="3"/>
  <c r="AG1173" i="3"/>
  <c r="AG725" i="3"/>
  <c r="AG687" i="3"/>
  <c r="AG77" i="3"/>
  <c r="AG360" i="3"/>
  <c r="AG523" i="3"/>
  <c r="AG1049" i="3"/>
  <c r="AG849" i="3"/>
  <c r="AG999" i="3"/>
  <c r="AG1233" i="3"/>
  <c r="AG1326" i="3"/>
  <c r="AG1183" i="3"/>
  <c r="AH676" i="3"/>
  <c r="AH626" i="3"/>
  <c r="AH1343" i="3"/>
  <c r="AH1200" i="3"/>
  <c r="AG549" i="3"/>
  <c r="AH992" i="3"/>
  <c r="AH684" i="3"/>
  <c r="AH136" i="3"/>
  <c r="AH364" i="3"/>
  <c r="AH1141" i="3"/>
  <c r="AH812" i="3"/>
  <c r="AH1317" i="3"/>
  <c r="AH1208" i="3"/>
  <c r="AH377" i="3"/>
  <c r="AH440" i="3"/>
  <c r="AH674" i="3"/>
  <c r="AH1088" i="3"/>
  <c r="AH1194" i="3"/>
  <c r="AH884" i="3"/>
  <c r="AH394" i="3"/>
  <c r="AH398" i="3"/>
  <c r="AH1337" i="3"/>
  <c r="AH1242" i="3"/>
  <c r="AH298" i="3"/>
  <c r="AH389" i="3"/>
  <c r="AH144" i="3"/>
  <c r="AH882" i="3"/>
  <c r="AH1300" i="3"/>
  <c r="AG1368" i="3"/>
  <c r="AG1065" i="3"/>
  <c r="AG625" i="3"/>
  <c r="AG1197" i="3"/>
  <c r="AG735" i="3"/>
  <c r="AG1079" i="3"/>
  <c r="AG1152" i="3"/>
  <c r="AG997" i="3"/>
  <c r="AG274" i="3"/>
  <c r="AG695" i="3"/>
  <c r="AG1357" i="3"/>
  <c r="AA529" i="3"/>
  <c r="AA889" i="3"/>
  <c r="AA491" i="3"/>
  <c r="AA1336" i="3"/>
  <c r="AB54" i="3"/>
  <c r="AH1168" i="3"/>
  <c r="AH514" i="3"/>
  <c r="AH740" i="3"/>
  <c r="AH1303" i="3"/>
  <c r="AH960" i="3"/>
  <c r="AH1167" i="3"/>
  <c r="AH488" i="3"/>
  <c r="AH1022" i="3"/>
  <c r="AH386" i="3"/>
  <c r="AH978" i="3"/>
  <c r="AH444" i="3"/>
  <c r="AH1004" i="3"/>
  <c r="AH1159" i="3"/>
  <c r="AH1329" i="3"/>
  <c r="AH1216" i="3"/>
  <c r="AH572" i="3"/>
  <c r="AH918" i="3"/>
  <c r="AH1048" i="3"/>
  <c r="AH622" i="3"/>
  <c r="AH1350" i="3"/>
  <c r="AG831" i="3"/>
  <c r="AG1342" i="3"/>
  <c r="AG475" i="3"/>
  <c r="AG1001" i="3"/>
  <c r="AG681" i="3"/>
  <c r="AG949" i="3"/>
  <c r="AG1328" i="3"/>
  <c r="AG1140" i="3"/>
  <c r="AG463" i="3"/>
  <c r="AG989" i="3"/>
  <c r="AG633" i="3"/>
  <c r="AG1304" i="3"/>
  <c r="AG85" i="3"/>
  <c r="AG615" i="3"/>
  <c r="AG797" i="3"/>
  <c r="AG623" i="3"/>
  <c r="AG1105" i="3"/>
  <c r="AG497" i="3"/>
  <c r="AG337" i="3"/>
  <c r="AG1235" i="3"/>
  <c r="AG631" i="3"/>
  <c r="AG723" i="3"/>
  <c r="AG1231" i="3"/>
  <c r="AG1077" i="3"/>
  <c r="AG905" i="3"/>
  <c r="AG1237" i="3"/>
  <c r="AG985" i="3"/>
  <c r="AG1059" i="3"/>
  <c r="AG1025" i="3"/>
  <c r="AH424" i="3"/>
  <c r="AG116" i="3"/>
  <c r="AA433" i="3"/>
  <c r="AA597" i="3"/>
  <c r="AB367" i="3"/>
  <c r="AH1163" i="3"/>
  <c r="J458" i="4"/>
  <c r="AH936" i="3"/>
  <c r="AH462" i="3"/>
  <c r="AH504" i="3"/>
  <c r="AH716" i="3"/>
  <c r="AH55" i="3"/>
  <c r="AH430" i="3"/>
  <c r="AH1151" i="3"/>
  <c r="AH1377" i="3"/>
  <c r="AH1316" i="3"/>
  <c r="AH690" i="3"/>
  <c r="AH448" i="3"/>
  <c r="AH1020" i="3"/>
  <c r="AH1259" i="3"/>
  <c r="AH696" i="3"/>
  <c r="AH1373" i="3"/>
  <c r="AH616" i="3"/>
  <c r="AH582" i="3"/>
  <c r="AH188" i="3"/>
  <c r="AH1266" i="3"/>
  <c r="AH1276" i="3"/>
  <c r="AG783" i="3"/>
  <c r="AG1023" i="3"/>
  <c r="AG481" i="3"/>
  <c r="AG525" i="3"/>
  <c r="AG521" i="3"/>
  <c r="AG1021" i="3"/>
  <c r="AG733" i="3"/>
  <c r="AG1053" i="3"/>
  <c r="AG829" i="3"/>
  <c r="AG711" i="3"/>
  <c r="AG1219" i="3"/>
  <c r="AG1017" i="3"/>
  <c r="AG1225" i="3"/>
  <c r="AH90" i="3"/>
  <c r="AG683" i="3"/>
  <c r="AG505" i="3"/>
  <c r="AG545" i="3"/>
  <c r="AG1142" i="3"/>
  <c r="AH956" i="3"/>
  <c r="AH476" i="3"/>
  <c r="AH660" i="3"/>
  <c r="AH784" i="3"/>
  <c r="AH374" i="3"/>
  <c r="AH692" i="3"/>
  <c r="AH446" i="3"/>
  <c r="AH890" i="3"/>
  <c r="AH112" i="3"/>
  <c r="AH864" i="3"/>
  <c r="AH1096" i="3"/>
  <c r="AH1248" i="3"/>
  <c r="AH1346" i="3"/>
  <c r="AH742" i="3"/>
  <c r="AH434" i="3"/>
  <c r="AH1232" i="3"/>
  <c r="AH816" i="3"/>
  <c r="AH183" i="3"/>
  <c r="AH650" i="3"/>
  <c r="AG675" i="3"/>
  <c r="AG741" i="3"/>
  <c r="AG96" i="3"/>
  <c r="AG1181" i="3"/>
  <c r="AG995" i="3"/>
  <c r="AG1175" i="3"/>
  <c r="AG657" i="3"/>
  <c r="AG1296" i="3"/>
  <c r="AG1169" i="3"/>
  <c r="AG983" i="3"/>
  <c r="AG1277" i="3"/>
  <c r="AG1093" i="3"/>
  <c r="AG1144" i="3"/>
  <c r="AG471" i="3"/>
  <c r="AG613" i="3"/>
  <c r="AG1003" i="3"/>
  <c r="AG1185" i="3"/>
  <c r="AG1171" i="3"/>
  <c r="AG479" i="3"/>
  <c r="AG1251" i="3"/>
  <c r="AG707" i="3"/>
  <c r="AG1294" i="3"/>
  <c r="AG685" i="3"/>
  <c r="AG579" i="3"/>
  <c r="AG721" i="3"/>
  <c r="AG258" i="3"/>
  <c r="AG1123" i="3"/>
  <c r="AG957" i="3"/>
  <c r="AG933" i="3"/>
  <c r="AG881" i="3"/>
  <c r="AG1205" i="3"/>
  <c r="AH1335" i="3"/>
  <c r="AG569" i="3"/>
  <c r="AG861" i="3"/>
  <c r="AA1307" i="3"/>
  <c r="AA116" i="3"/>
  <c r="AH1250" i="3"/>
  <c r="AH808" i="3"/>
  <c r="AH1092" i="3"/>
  <c r="AH508" i="3"/>
  <c r="AH422" i="3"/>
  <c r="AH976" i="3"/>
  <c r="AH564" i="3"/>
  <c r="AH135" i="3"/>
  <c r="AH120" i="3"/>
  <c r="AH732" i="3"/>
  <c r="AH1050" i="3"/>
  <c r="AH1234" i="3"/>
  <c r="AH470" i="3"/>
  <c r="AH598" i="3"/>
  <c r="AH1305" i="3"/>
  <c r="AH1018" i="3"/>
  <c r="AH682" i="3"/>
  <c r="AH1068" i="3"/>
  <c r="AH428" i="3"/>
  <c r="AH216" i="3"/>
  <c r="AH206" i="3"/>
  <c r="AH870" i="3"/>
  <c r="AG781" i="3"/>
  <c r="AG1253" i="3"/>
  <c r="AG821" i="3"/>
  <c r="AG1179" i="3"/>
  <c r="AG503" i="3"/>
  <c r="AG62" i="3"/>
  <c r="AG715" i="3"/>
  <c r="AG1217" i="3"/>
  <c r="AG241" i="3"/>
  <c r="AG447" i="3"/>
  <c r="AG729" i="3"/>
  <c r="AG1366" i="3"/>
  <c r="AG629" i="3"/>
  <c r="AG567" i="3"/>
  <c r="AG709" i="3"/>
  <c r="AG45" i="3"/>
  <c r="AH640" i="3"/>
  <c r="AH588" i="3"/>
  <c r="AH416" i="3"/>
  <c r="AH172" i="3"/>
  <c r="AG703" i="3"/>
  <c r="AG1177" i="3"/>
  <c r="AA695" i="3"/>
  <c r="AB89" i="3"/>
  <c r="AH866" i="3"/>
  <c r="AH1178" i="3"/>
  <c r="AH618" i="3"/>
  <c r="AH528" i="3"/>
  <c r="AH1076" i="3"/>
  <c r="AH544" i="3"/>
  <c r="AH1228" i="3"/>
  <c r="AH1064" i="3"/>
  <c r="AH362" i="3"/>
  <c r="AH454" i="3"/>
  <c r="AH760" i="3"/>
  <c r="AH758" i="3"/>
  <c r="AH1218" i="3"/>
  <c r="AH512" i="3"/>
  <c r="AH420" i="3"/>
  <c r="AH1369" i="3"/>
  <c r="AH1308" i="3"/>
  <c r="AH490" i="3"/>
  <c r="AH195" i="3"/>
  <c r="AG863" i="3"/>
  <c r="AG1075" i="3"/>
  <c r="AG705" i="3"/>
  <c r="AG713" i="3"/>
  <c r="AG519" i="3"/>
  <c r="AG851" i="3"/>
  <c r="AG1166" i="3"/>
  <c r="AG1051" i="3"/>
  <c r="AG621" i="3"/>
  <c r="AG689" i="3"/>
  <c r="AG469" i="3"/>
  <c r="AG1320" i="3"/>
  <c r="AG717" i="3"/>
  <c r="AG547" i="3"/>
  <c r="AG1199" i="3"/>
  <c r="AG1193" i="3"/>
  <c r="AG577" i="3"/>
  <c r="AG1275" i="3"/>
  <c r="AG617" i="3"/>
  <c r="AG555" i="3"/>
  <c r="AG697" i="3"/>
  <c r="AG1099" i="3"/>
  <c r="AG737" i="3"/>
  <c r="AH648" i="3"/>
  <c r="AG573" i="3"/>
  <c r="AG907" i="3"/>
  <c r="AA517" i="3"/>
  <c r="AA1142" i="3"/>
  <c r="AA385" i="3"/>
  <c r="AH1212" i="3"/>
  <c r="AH672" i="3"/>
  <c r="AH1330" i="3"/>
  <c r="AH373" i="3"/>
  <c r="AH297" i="3"/>
  <c r="AH804" i="3"/>
  <c r="AH908" i="3"/>
  <c r="AH886" i="3"/>
  <c r="AH348" i="3"/>
  <c r="AH906" i="3"/>
  <c r="AH1302" i="3"/>
  <c r="AH1371" i="3"/>
  <c r="AH1206" i="3"/>
  <c r="AH1244" i="3"/>
  <c r="AH1176" i="3"/>
  <c r="AH1278" i="3"/>
  <c r="AH1094" i="3"/>
  <c r="L2" i="3"/>
  <c r="N2" i="3"/>
  <c r="AH570" i="3"/>
  <c r="AG495" i="3"/>
  <c r="AG1189" i="3"/>
  <c r="AG1027" i="3"/>
  <c r="AG1229" i="3"/>
  <c r="AG677" i="3"/>
  <c r="AG1301" i="3"/>
  <c r="AG571" i="3"/>
  <c r="AG1019" i="3"/>
  <c r="AG1331" i="3"/>
  <c r="AG611" i="3"/>
  <c r="AG489" i="3"/>
  <c r="AG1213" i="3"/>
  <c r="AG487" i="3"/>
  <c r="AG565" i="3"/>
  <c r="AG731" i="3"/>
  <c r="AG955" i="3"/>
  <c r="AG1239" i="3"/>
  <c r="AB1156" i="3"/>
  <c r="AH1156" i="3"/>
  <c r="I709" i="4"/>
  <c r="I710" i="4"/>
  <c r="AB1350" i="3"/>
  <c r="AB1335" i="3"/>
  <c r="AI397" i="3"/>
  <c r="AB389" i="3"/>
  <c r="AB287" i="3"/>
  <c r="AB216" i="3"/>
  <c r="AB195" i="3"/>
  <c r="AB188" i="3"/>
  <c r="AB144" i="3"/>
  <c r="AB350" i="3"/>
  <c r="AB172" i="3"/>
  <c r="AB206" i="3"/>
  <c r="AK1358" i="3"/>
  <c r="W1358" i="3"/>
  <c r="L1358" i="3"/>
  <c r="AD1358" i="3"/>
  <c r="T1358" i="3"/>
  <c r="AA1358" i="3"/>
  <c r="Y1358" i="3"/>
  <c r="W150" i="3"/>
  <c r="L150" i="3"/>
  <c r="AB582" i="3"/>
  <c r="W1283" i="3"/>
  <c r="W1119" i="3"/>
  <c r="W47" i="3"/>
  <c r="W871" i="3"/>
  <c r="W82" i="3"/>
  <c r="W797" i="3"/>
  <c r="W895" i="3"/>
  <c r="W1115" i="3"/>
  <c r="W1045" i="3"/>
  <c r="W825" i="3"/>
  <c r="W827" i="3"/>
  <c r="W1055" i="3"/>
  <c r="W893" i="3"/>
  <c r="W1289" i="3"/>
  <c r="W241" i="3"/>
  <c r="AB742" i="3"/>
  <c r="AB1026" i="3"/>
  <c r="AB450" i="3"/>
  <c r="AB298" i="3"/>
  <c r="AB696" i="3"/>
  <c r="AB1078" i="3"/>
  <c r="AB1206" i="3"/>
  <c r="AB1278" i="3"/>
  <c r="AB1306" i="3"/>
  <c r="AB918" i="3"/>
  <c r="AB1216" i="3"/>
  <c r="AB572" i="3"/>
  <c r="AB1172" i="3"/>
  <c r="AB1106" i="3"/>
  <c r="AB962" i="3"/>
  <c r="AB906" i="3"/>
  <c r="AB27" i="3"/>
  <c r="AB377" i="3"/>
  <c r="AB808" i="3"/>
  <c r="AB1332" i="3"/>
  <c r="AB468" i="3"/>
  <c r="AB1022" i="3"/>
  <c r="AB1151" i="3"/>
  <c r="AB1163" i="3"/>
  <c r="AB864" i="3"/>
  <c r="AB566" i="3"/>
  <c r="AB1250" i="3"/>
  <c r="AB380" i="3"/>
  <c r="AB440" i="3"/>
  <c r="AB886" i="3"/>
  <c r="AB504" i="3"/>
  <c r="AB854" i="3"/>
  <c r="AB1367" i="3"/>
  <c r="AB544" i="3"/>
  <c r="AB1090" i="3"/>
  <c r="AB518" i="3"/>
  <c r="AB716" i="3"/>
  <c r="AB528" i="3"/>
  <c r="AB866" i="3"/>
  <c r="Y539" i="3"/>
  <c r="W539" i="3"/>
  <c r="Y641" i="3"/>
  <c r="W641" i="3"/>
  <c r="Y310" i="3"/>
  <c r="W310" i="3"/>
  <c r="Y786" i="3"/>
  <c r="W786" i="3"/>
  <c r="Y1069" i="3"/>
  <c r="W1069" i="3"/>
  <c r="Y132" i="3"/>
  <c r="W132" i="3"/>
  <c r="Y744" i="3"/>
  <c r="W744" i="3"/>
  <c r="Y18" i="3"/>
  <c r="W18" i="3"/>
  <c r="Y949" i="3"/>
  <c r="W949" i="3"/>
  <c r="Y540" i="3"/>
  <c r="W540" i="3"/>
  <c r="Y1290" i="3"/>
  <c r="W1290" i="3"/>
  <c r="Y324" i="3"/>
  <c r="W324" i="3"/>
  <c r="Y831" i="3"/>
  <c r="W831" i="3"/>
  <c r="Y1214" i="3"/>
  <c r="W1214" i="3"/>
  <c r="Y358" i="3"/>
  <c r="W358" i="3"/>
  <c r="Y480" i="3"/>
  <c r="W480" i="3"/>
  <c r="Y33" i="3"/>
  <c r="W33" i="3"/>
  <c r="Y968" i="3"/>
  <c r="W968" i="3"/>
  <c r="Y250" i="3"/>
  <c r="W250" i="3"/>
  <c r="Y778" i="3"/>
  <c r="W778" i="3"/>
  <c r="Y559" i="3"/>
  <c r="W559" i="3"/>
  <c r="Y642" i="3"/>
  <c r="W642" i="3"/>
  <c r="Y667" i="3"/>
  <c r="W667" i="3"/>
  <c r="Y355" i="3"/>
  <c r="W355" i="3"/>
  <c r="Y351" i="3"/>
  <c r="W351" i="3"/>
  <c r="Y46" i="3"/>
  <c r="W46" i="3"/>
  <c r="Y151" i="3"/>
  <c r="W151" i="3"/>
  <c r="Y941" i="3"/>
  <c r="W941" i="3"/>
  <c r="Y275" i="3"/>
  <c r="W275" i="3"/>
  <c r="Y986" i="3"/>
  <c r="W986" i="3"/>
  <c r="Y122" i="3"/>
  <c r="W122" i="3"/>
  <c r="Y58" i="3"/>
  <c r="W58" i="3"/>
  <c r="Y552" i="3"/>
  <c r="W552" i="3"/>
  <c r="Y96" i="3"/>
  <c r="W96" i="3"/>
  <c r="Y316" i="3"/>
  <c r="W316" i="3"/>
  <c r="Y1043" i="3"/>
  <c r="W1043" i="3"/>
  <c r="Y244" i="3"/>
  <c r="W244" i="3"/>
  <c r="Y914" i="3"/>
  <c r="W914" i="3"/>
  <c r="Y661" i="3"/>
  <c r="W661" i="3"/>
  <c r="Y474" i="3"/>
  <c r="W474" i="3"/>
  <c r="Y620" i="3"/>
  <c r="W620" i="3"/>
  <c r="Y1035" i="3"/>
  <c r="W1035" i="3"/>
  <c r="Y390" i="3"/>
  <c r="W390" i="3"/>
  <c r="Y769" i="3"/>
  <c r="W769" i="3"/>
  <c r="Y594" i="3"/>
  <c r="W594" i="3"/>
  <c r="Y95" i="3"/>
  <c r="W95" i="3"/>
  <c r="Y933" i="3"/>
  <c r="W933" i="3"/>
  <c r="Y963" i="3"/>
  <c r="W963" i="3"/>
  <c r="Y1185" i="3"/>
  <c r="W1185" i="3"/>
  <c r="Y654" i="3"/>
  <c r="W654" i="3"/>
  <c r="Y457" i="3"/>
  <c r="W457" i="3"/>
  <c r="Y595" i="3"/>
  <c r="W595" i="3"/>
  <c r="Y1326" i="3"/>
  <c r="W1326" i="3"/>
  <c r="Y204" i="3"/>
  <c r="W204" i="3"/>
  <c r="Y766" i="3"/>
  <c r="W766" i="3"/>
  <c r="Y586" i="3"/>
  <c r="W586" i="3"/>
  <c r="Y496" i="3"/>
  <c r="W496" i="3"/>
  <c r="Y1324" i="3"/>
  <c r="W1324" i="3"/>
  <c r="Y848" i="3"/>
  <c r="W848" i="3"/>
  <c r="Y114" i="3"/>
  <c r="W114" i="3"/>
  <c r="Y173" i="3"/>
  <c r="W173" i="3"/>
  <c r="Y1073" i="3"/>
  <c r="W1073" i="3"/>
  <c r="Y483" i="3"/>
  <c r="W483" i="3"/>
  <c r="Y835" i="3"/>
  <c r="W835" i="3"/>
  <c r="Y211" i="3"/>
  <c r="W211" i="3"/>
  <c r="Y418" i="3"/>
  <c r="W418" i="3"/>
  <c r="Y860" i="3"/>
  <c r="W860" i="3"/>
  <c r="Y1333" i="3"/>
  <c r="W1333" i="3"/>
  <c r="Y1085" i="3"/>
  <c r="W1085" i="3"/>
  <c r="Y67" i="3"/>
  <c r="W67" i="3"/>
  <c r="Y727" i="3"/>
  <c r="W727" i="3"/>
  <c r="Y185" i="3"/>
  <c r="W185" i="3"/>
  <c r="Y749" i="3"/>
  <c r="W749" i="3"/>
  <c r="Y501" i="3"/>
  <c r="W501" i="3"/>
  <c r="Y282" i="3"/>
  <c r="W282" i="3"/>
  <c r="Y249" i="3"/>
  <c r="W249" i="3"/>
  <c r="Y776" i="3"/>
  <c r="W776" i="3"/>
  <c r="Y315" i="3"/>
  <c r="W315" i="3"/>
  <c r="Y388" i="3"/>
  <c r="W388" i="3"/>
  <c r="Y612" i="3"/>
  <c r="W612" i="3"/>
  <c r="Y203" i="3"/>
  <c r="W203" i="3"/>
  <c r="Y859" i="3"/>
  <c r="W859" i="3"/>
  <c r="Y1070" i="3"/>
  <c r="W1070" i="3"/>
  <c r="Y133" i="3"/>
  <c r="W133" i="3"/>
  <c r="Y369" i="3"/>
  <c r="W369" i="3"/>
  <c r="Y16" i="3"/>
  <c r="W16" i="3"/>
  <c r="Y950" i="3"/>
  <c r="W950" i="3"/>
  <c r="Y1209" i="3"/>
  <c r="W1209" i="3"/>
  <c r="Y1133" i="3"/>
  <c r="W1133" i="3"/>
  <c r="Y323" i="3"/>
  <c r="W323" i="3"/>
  <c r="Y832" i="3"/>
  <c r="W832" i="3"/>
  <c r="Y437" i="3"/>
  <c r="W437" i="3"/>
  <c r="Y1144" i="3"/>
  <c r="W1144" i="3"/>
  <c r="Y1312" i="3"/>
  <c r="W1312" i="3"/>
  <c r="Y31" i="3"/>
  <c r="W31" i="3"/>
  <c r="Y226" i="3"/>
  <c r="W226" i="3"/>
  <c r="Y251" i="3"/>
  <c r="W251" i="3"/>
  <c r="Y86" i="3"/>
  <c r="W86" i="3"/>
  <c r="Y560" i="3"/>
  <c r="W560" i="3"/>
  <c r="Y1349" i="3"/>
  <c r="W1349" i="3"/>
  <c r="Y451" i="3"/>
  <c r="W451" i="3"/>
  <c r="Y989" i="3"/>
  <c r="W989" i="3"/>
  <c r="Y127" i="3"/>
  <c r="W127" i="3"/>
  <c r="Y45" i="3"/>
  <c r="W45" i="3"/>
  <c r="Y599" i="3"/>
  <c r="W599" i="3"/>
  <c r="Y942" i="3"/>
  <c r="W942" i="3"/>
  <c r="Y276" i="3"/>
  <c r="W276" i="3"/>
  <c r="Y321" i="3"/>
  <c r="W321" i="3"/>
  <c r="Y123" i="3"/>
  <c r="W123" i="3"/>
  <c r="Y57" i="3"/>
  <c r="W57" i="3"/>
  <c r="Y525" i="3"/>
  <c r="W525" i="3"/>
  <c r="Y97" i="3"/>
  <c r="W97" i="3"/>
  <c r="Y1031" i="3"/>
  <c r="W1031" i="3"/>
  <c r="Y1044" i="3"/>
  <c r="W1044" i="3"/>
  <c r="Y243" i="3"/>
  <c r="W243" i="3"/>
  <c r="Y875" i="3"/>
  <c r="W875" i="3"/>
  <c r="Y662" i="3"/>
  <c r="W662" i="3"/>
  <c r="Y1099" i="3"/>
  <c r="W1099" i="3"/>
  <c r="Y619" i="3"/>
  <c r="W619" i="3"/>
  <c r="Y1036" i="3"/>
  <c r="W1036" i="3"/>
  <c r="Y177" i="3"/>
  <c r="W177" i="3"/>
  <c r="Y770" i="3"/>
  <c r="W770" i="3"/>
  <c r="Y593" i="3"/>
  <c r="W593" i="3"/>
  <c r="Y91" i="3"/>
  <c r="W91" i="3"/>
  <c r="Y934" i="3"/>
  <c r="W934" i="3"/>
  <c r="Y964" i="3"/>
  <c r="W964" i="3"/>
  <c r="Y1186" i="3"/>
  <c r="W1186" i="3"/>
  <c r="Y634" i="3"/>
  <c r="W634" i="3"/>
  <c r="Y153" i="3"/>
  <c r="W153" i="3"/>
  <c r="Y921" i="3"/>
  <c r="W921" i="3"/>
  <c r="Y1327" i="3"/>
  <c r="W1327" i="3"/>
  <c r="Y205" i="3"/>
  <c r="W205" i="3"/>
  <c r="Y765" i="3"/>
  <c r="W765" i="3"/>
  <c r="Y431" i="3"/>
  <c r="W431" i="3"/>
  <c r="Y265" i="3"/>
  <c r="W265" i="3"/>
  <c r="Y1325" i="3"/>
  <c r="W1325" i="3"/>
  <c r="Y847" i="3"/>
  <c r="W847" i="3"/>
  <c r="Y115" i="3"/>
  <c r="W115" i="3"/>
  <c r="Y901" i="3"/>
  <c r="W901" i="3"/>
  <c r="Y1074" i="3"/>
  <c r="W1074" i="3"/>
  <c r="Y484" i="3"/>
  <c r="W484" i="3"/>
  <c r="Y836" i="3"/>
  <c r="W836" i="3"/>
  <c r="Y209" i="3"/>
  <c r="W209" i="3"/>
  <c r="Y417" i="3"/>
  <c r="W417" i="3"/>
  <c r="Y1334" i="3"/>
  <c r="W1334" i="3"/>
  <c r="Y1086" i="3"/>
  <c r="W1086" i="3"/>
  <c r="Y65" i="3"/>
  <c r="W65" i="3"/>
  <c r="Y728" i="3"/>
  <c r="W728" i="3"/>
  <c r="Y1065" i="3"/>
  <c r="W1065" i="3"/>
  <c r="Y750" i="3"/>
  <c r="W750" i="3"/>
  <c r="Y502" i="3"/>
  <c r="W502" i="3"/>
  <c r="Y967" i="3"/>
  <c r="W967" i="3"/>
  <c r="Y1084" i="3"/>
  <c r="W1084" i="3"/>
  <c r="Y932" i="3"/>
  <c r="W932" i="3"/>
  <c r="Y596" i="3"/>
  <c r="W596" i="3"/>
  <c r="Y171" i="3"/>
  <c r="W171" i="3"/>
  <c r="Y184" i="3"/>
  <c r="W184" i="3"/>
  <c r="Y999" i="3"/>
  <c r="W999" i="3"/>
  <c r="Y131" i="3"/>
  <c r="W131" i="3"/>
  <c r="Y370" i="3"/>
  <c r="W370" i="3"/>
  <c r="Y15" i="3"/>
  <c r="W15" i="3"/>
  <c r="Y669" i="3"/>
  <c r="W669" i="3"/>
  <c r="Y1210" i="3"/>
  <c r="W1210" i="3"/>
  <c r="Y1134" i="3"/>
  <c r="W1134" i="3"/>
  <c r="Y325" i="3"/>
  <c r="W325" i="3"/>
  <c r="Y779" i="3"/>
  <c r="W779" i="3"/>
  <c r="Y438" i="3"/>
  <c r="W438" i="3"/>
  <c r="Y1146" i="3"/>
  <c r="W1146" i="3"/>
  <c r="Y1313" i="3"/>
  <c r="W1313" i="3"/>
  <c r="Y30" i="3"/>
  <c r="W30" i="3"/>
  <c r="Y227" i="3"/>
  <c r="W227" i="3"/>
  <c r="Y44" i="3"/>
  <c r="W44" i="3"/>
  <c r="Y87" i="3"/>
  <c r="W87" i="3"/>
  <c r="Y1170" i="3"/>
  <c r="W1170" i="3"/>
  <c r="Y1348" i="3"/>
  <c r="W1348" i="3"/>
  <c r="Y452" i="3"/>
  <c r="W452" i="3"/>
  <c r="Y990" i="3"/>
  <c r="W990" i="3"/>
  <c r="Y126" i="3"/>
  <c r="W126" i="3"/>
  <c r="Y48" i="3"/>
  <c r="W48" i="3"/>
  <c r="Y600" i="3"/>
  <c r="W600" i="3"/>
  <c r="Y1201" i="3"/>
  <c r="W1201" i="3"/>
  <c r="Y1153" i="3"/>
  <c r="W1153" i="3"/>
  <c r="Y320" i="3"/>
  <c r="W320" i="3"/>
  <c r="Y124" i="3"/>
  <c r="W124" i="3"/>
  <c r="Y722" i="3"/>
  <c r="W722" i="3"/>
  <c r="Y526" i="3"/>
  <c r="W526" i="3"/>
  <c r="Y98" i="3"/>
  <c r="W98" i="3"/>
  <c r="Y1032" i="3"/>
  <c r="W1032" i="3"/>
  <c r="Y1015" i="3"/>
  <c r="W1015" i="3"/>
  <c r="Y245" i="3"/>
  <c r="W245" i="3"/>
  <c r="Y876" i="3"/>
  <c r="W876" i="3"/>
  <c r="Y637" i="3"/>
  <c r="W637" i="3"/>
  <c r="Y1100" i="3"/>
  <c r="W1100" i="3"/>
  <c r="Y1013" i="3"/>
  <c r="W1013" i="3"/>
  <c r="Y175" i="3"/>
  <c r="W175" i="3"/>
  <c r="Y71" i="3"/>
  <c r="W71" i="3"/>
  <c r="Y547" i="3"/>
  <c r="W547" i="3"/>
  <c r="Y92" i="3"/>
  <c r="W92" i="3"/>
  <c r="Y927" i="3"/>
  <c r="W927" i="3"/>
  <c r="Y278" i="3"/>
  <c r="W278" i="3"/>
  <c r="Y794" i="3"/>
  <c r="W794" i="3"/>
  <c r="Y633" i="3"/>
  <c r="W633" i="3"/>
  <c r="Y154" i="3"/>
  <c r="W154" i="3"/>
  <c r="Y922" i="3"/>
  <c r="W922" i="3"/>
  <c r="Y953" i="3"/>
  <c r="W953" i="3"/>
  <c r="Y207" i="3"/>
  <c r="W207" i="3"/>
  <c r="Y62" i="3"/>
  <c r="W62" i="3"/>
  <c r="Y432" i="3"/>
  <c r="W432" i="3"/>
  <c r="Y266" i="3"/>
  <c r="W266" i="3"/>
  <c r="Y979" i="3"/>
  <c r="W979" i="3"/>
  <c r="Y537" i="3"/>
  <c r="W537" i="3"/>
  <c r="Y113" i="3"/>
  <c r="W113" i="3"/>
  <c r="Y902" i="3"/>
  <c r="W902" i="3"/>
  <c r="Y546" i="3"/>
  <c r="W546" i="3"/>
  <c r="Y1271" i="3"/>
  <c r="W1271" i="3"/>
  <c r="Y1023" i="3"/>
  <c r="W1023" i="3"/>
  <c r="Y210" i="3"/>
  <c r="W210" i="3"/>
  <c r="Y754" i="3"/>
  <c r="W754" i="3"/>
  <c r="Y73" i="3"/>
  <c r="W73" i="3"/>
  <c r="Y745" i="3"/>
  <c r="W745" i="3"/>
  <c r="Y1066" i="3"/>
  <c r="W1066" i="3"/>
  <c r="Y1111" i="3"/>
  <c r="W1111" i="3"/>
  <c r="Y888" i="3"/>
  <c r="W888" i="3"/>
  <c r="Y556" i="3"/>
  <c r="W556" i="3"/>
  <c r="Y709" i="3"/>
  <c r="W709" i="3"/>
  <c r="Y229" i="3"/>
  <c r="W229" i="3"/>
  <c r="Y125" i="3"/>
  <c r="W125" i="3"/>
  <c r="Y246" i="3"/>
  <c r="W246" i="3"/>
  <c r="Y11" i="3"/>
  <c r="W11" i="3"/>
  <c r="Y584" i="3"/>
  <c r="W584" i="3"/>
  <c r="Y545" i="3"/>
  <c r="W545" i="3"/>
  <c r="Y1272" i="3"/>
  <c r="W1272" i="3"/>
  <c r="Y1024" i="3"/>
  <c r="W1024" i="3"/>
  <c r="Y337" i="3"/>
  <c r="W337" i="3"/>
  <c r="Y753" i="3"/>
  <c r="W753" i="3"/>
  <c r="Y261" i="3"/>
  <c r="W261" i="3"/>
  <c r="Y74" i="3"/>
  <c r="W74" i="3"/>
  <c r="Y787" i="3"/>
  <c r="W787" i="3"/>
  <c r="Y746" i="3"/>
  <c r="W746" i="3"/>
  <c r="Y763" i="3"/>
  <c r="W763" i="3"/>
  <c r="Y613" i="3"/>
  <c r="W613" i="3"/>
  <c r="Y1112" i="3"/>
  <c r="W1112" i="3"/>
  <c r="Y1120" i="3"/>
  <c r="W1120" i="3"/>
  <c r="Y383" i="3"/>
  <c r="W383" i="3"/>
  <c r="Y479" i="3"/>
  <c r="W479" i="3"/>
  <c r="Y349" i="3"/>
  <c r="W349" i="3"/>
  <c r="Y1320" i="3"/>
  <c r="W1320" i="3"/>
  <c r="Y894" i="3"/>
  <c r="W894" i="3"/>
  <c r="Y458" i="3"/>
  <c r="W458" i="3"/>
  <c r="Y843" i="3"/>
  <c r="W843" i="3"/>
  <c r="Y1118" i="3"/>
  <c r="W1118" i="3"/>
  <c r="Y574" i="3"/>
  <c r="W574" i="3"/>
  <c r="Y17" i="3"/>
  <c r="W17" i="3"/>
  <c r="Y1203" i="3"/>
  <c r="W1203" i="3"/>
  <c r="Y965" i="3"/>
  <c r="W965" i="3"/>
  <c r="Y798" i="3"/>
  <c r="W798" i="3"/>
  <c r="Y12" i="3"/>
  <c r="W12" i="3"/>
  <c r="Y583" i="3"/>
  <c r="W583" i="3"/>
  <c r="Y1273" i="3"/>
  <c r="W1273" i="3"/>
  <c r="Y899" i="3"/>
  <c r="W899" i="3"/>
  <c r="Y168" i="3"/>
  <c r="W168" i="3"/>
  <c r="Y339" i="3"/>
  <c r="W339" i="3"/>
  <c r="Y497" i="3"/>
  <c r="W497" i="3"/>
  <c r="Y262" i="3"/>
  <c r="W262" i="3"/>
  <c r="Y75" i="3"/>
  <c r="W75" i="3"/>
  <c r="Y788" i="3"/>
  <c r="W788" i="3"/>
  <c r="Y196" i="3"/>
  <c r="W196" i="3"/>
  <c r="Y764" i="3"/>
  <c r="W764" i="3"/>
  <c r="Y614" i="3"/>
  <c r="W614" i="3"/>
  <c r="Y841" i="3"/>
  <c r="W841" i="3"/>
  <c r="Y533" i="3"/>
  <c r="W533" i="3"/>
  <c r="Y602" i="3"/>
  <c r="W602" i="3"/>
  <c r="Y56" i="3"/>
  <c r="W56" i="3"/>
  <c r="Y910" i="3"/>
  <c r="W910" i="3"/>
  <c r="Y260" i="3"/>
  <c r="W260" i="3"/>
  <c r="Y371" i="3"/>
  <c r="W371" i="3"/>
  <c r="Y1145" i="3"/>
  <c r="W1145" i="3"/>
  <c r="Y81" i="3"/>
  <c r="W81" i="3"/>
  <c r="Y915" i="3"/>
  <c r="W915" i="3"/>
  <c r="Y638" i="3"/>
  <c r="W638" i="3"/>
  <c r="Y70" i="3"/>
  <c r="W70" i="3"/>
  <c r="Y279" i="3"/>
  <c r="W279" i="3"/>
  <c r="Y155" i="3"/>
  <c r="W155" i="3"/>
  <c r="Y954" i="3"/>
  <c r="W954" i="3"/>
  <c r="Y538" i="3"/>
  <c r="W538" i="3"/>
  <c r="Y944" i="3"/>
  <c r="W944" i="3"/>
  <c r="Y409" i="3"/>
  <c r="W409" i="3"/>
  <c r="Y1136" i="3"/>
  <c r="W1136" i="3"/>
  <c r="Y751" i="3"/>
  <c r="W751" i="3"/>
  <c r="Y1009" i="3"/>
  <c r="W1009" i="3"/>
  <c r="Y35" i="3"/>
  <c r="W35" i="3"/>
  <c r="Y42" i="3"/>
  <c r="W42" i="3"/>
  <c r="Y966" i="3"/>
  <c r="W966" i="3"/>
  <c r="Y49" i="3"/>
  <c r="W49" i="3"/>
  <c r="Y973" i="3"/>
  <c r="W973" i="3"/>
  <c r="Y7" i="3"/>
  <c r="W7" i="3"/>
  <c r="Y663" i="3"/>
  <c r="W663" i="3"/>
  <c r="Y100" i="3"/>
  <c r="W100" i="3"/>
  <c r="Y247" i="3"/>
  <c r="W247" i="3"/>
  <c r="Y333" i="3"/>
  <c r="W333" i="3"/>
  <c r="Y1279" i="3"/>
  <c r="W1279" i="3"/>
  <c r="Y911" i="3"/>
  <c r="W911" i="3"/>
  <c r="Y521" i="3"/>
  <c r="W521" i="3"/>
  <c r="Y604" i="3"/>
  <c r="W604" i="3"/>
  <c r="Y277" i="3"/>
  <c r="W277" i="3"/>
  <c r="Y590" i="3"/>
  <c r="W590" i="3"/>
  <c r="Y872" i="3"/>
  <c r="W872" i="3"/>
  <c r="Y288" i="3"/>
  <c r="W288" i="3"/>
  <c r="Y64" i="3"/>
  <c r="W64" i="3"/>
  <c r="Y1082" i="3"/>
  <c r="W1082" i="3"/>
  <c r="Y845" i="3"/>
  <c r="W845" i="3"/>
  <c r="Y138" i="3"/>
  <c r="W138" i="3"/>
  <c r="Y1174" i="3"/>
  <c r="W1174" i="3"/>
  <c r="Y191" i="3"/>
  <c r="W191" i="3"/>
  <c r="Y562" i="3"/>
  <c r="W562" i="3"/>
  <c r="Y411" i="3"/>
  <c r="W411" i="3"/>
  <c r="Y1121" i="3"/>
  <c r="W1121" i="3"/>
  <c r="Y1137" i="3"/>
  <c r="W1137" i="3"/>
  <c r="Y149" i="3"/>
  <c r="W149" i="3"/>
  <c r="Y752" i="3"/>
  <c r="W752" i="3"/>
  <c r="Y1197" i="3"/>
  <c r="W1197" i="3"/>
  <c r="Y1010" i="3"/>
  <c r="W1010" i="3"/>
  <c r="Y708" i="3"/>
  <c r="W708" i="3"/>
  <c r="Y36" i="3"/>
  <c r="W36" i="3"/>
  <c r="Y231" i="3"/>
  <c r="W231" i="3"/>
  <c r="Y923" i="3"/>
  <c r="W923" i="3"/>
  <c r="Y733" i="3"/>
  <c r="W733" i="3"/>
  <c r="Y486" i="3"/>
  <c r="W486" i="3"/>
  <c r="Y84" i="3"/>
  <c r="W84" i="3"/>
  <c r="Y328" i="3"/>
  <c r="W328" i="3"/>
  <c r="Y293" i="3"/>
  <c r="W293" i="3"/>
  <c r="Y920" i="3"/>
  <c r="W920" i="3"/>
  <c r="Y50" i="3"/>
  <c r="W50" i="3"/>
  <c r="Y1195" i="3"/>
  <c r="W1195" i="3"/>
  <c r="Y974" i="3"/>
  <c r="W974" i="3"/>
  <c r="Y425" i="3"/>
  <c r="W425" i="3"/>
  <c r="Y6" i="3"/>
  <c r="W6" i="3"/>
  <c r="Y877" i="3"/>
  <c r="W877" i="3"/>
  <c r="Y664" i="3"/>
  <c r="W664" i="3"/>
  <c r="Y332" i="3"/>
  <c r="W332" i="3"/>
  <c r="Y101" i="3"/>
  <c r="W101" i="3"/>
  <c r="Y308" i="3"/>
  <c r="W308" i="3"/>
  <c r="Y984" i="3"/>
  <c r="W984" i="3"/>
  <c r="Y248" i="3"/>
  <c r="W248" i="3"/>
  <c r="Y772" i="3"/>
  <c r="W772" i="3"/>
  <c r="Y334" i="3"/>
  <c r="W334" i="3"/>
  <c r="Y554" i="3"/>
  <c r="W554" i="3"/>
  <c r="Y1280" i="3"/>
  <c r="W1280" i="3"/>
  <c r="Y982" i="3"/>
  <c r="W982" i="3"/>
  <c r="Y912" i="3"/>
  <c r="W912" i="3"/>
  <c r="Y717" i="3"/>
  <c r="W717" i="3"/>
  <c r="Y522" i="3"/>
  <c r="W522" i="3"/>
  <c r="Y318" i="3"/>
  <c r="W318" i="3"/>
  <c r="Y603" i="3"/>
  <c r="W603" i="3"/>
  <c r="Y187" i="3"/>
  <c r="W187" i="3"/>
  <c r="Y768" i="3"/>
  <c r="W768" i="3"/>
  <c r="Y435" i="3"/>
  <c r="W435" i="3"/>
  <c r="Y499" i="3"/>
  <c r="W499" i="3"/>
  <c r="Y1357" i="3"/>
  <c r="W1357" i="3"/>
  <c r="Y286" i="3"/>
  <c r="W286" i="3"/>
  <c r="Y233" i="3"/>
  <c r="W233" i="3"/>
  <c r="Y711" i="3"/>
  <c r="W711" i="3"/>
  <c r="Y463" i="3"/>
  <c r="W463" i="3"/>
  <c r="Y846" i="3"/>
  <c r="W846" i="3"/>
  <c r="Y139" i="3"/>
  <c r="W139" i="3"/>
  <c r="Y592" i="3"/>
  <c r="W592" i="3"/>
  <c r="Y13" i="3"/>
  <c r="W13" i="3"/>
  <c r="Y271" i="3"/>
  <c r="W271" i="3"/>
  <c r="Y1274" i="3"/>
  <c r="W1274" i="3"/>
  <c r="Y900" i="3"/>
  <c r="W900" i="3"/>
  <c r="Y170" i="3"/>
  <c r="W170" i="3"/>
  <c r="Y338" i="3"/>
  <c r="W338" i="3"/>
  <c r="Y498" i="3"/>
  <c r="W498" i="3"/>
  <c r="Y263" i="3"/>
  <c r="W263" i="3"/>
  <c r="Y76" i="3"/>
  <c r="W76" i="3"/>
  <c r="Y509" i="3"/>
  <c r="W509" i="3"/>
  <c r="Y194" i="3"/>
  <c r="W194" i="3"/>
  <c r="Y1126" i="3"/>
  <c r="W1126" i="3"/>
  <c r="Y1041" i="3"/>
  <c r="W1041" i="3"/>
  <c r="Y842" i="3"/>
  <c r="W842" i="3"/>
  <c r="Y534" i="3"/>
  <c r="W534" i="3"/>
  <c r="Y356" i="3"/>
  <c r="W356" i="3"/>
  <c r="Y354" i="3"/>
  <c r="W354" i="3"/>
  <c r="Y985" i="3"/>
  <c r="W985" i="3"/>
  <c r="Y720" i="3"/>
  <c r="W720" i="3"/>
  <c r="Y1318" i="3"/>
  <c r="W1318" i="3"/>
  <c r="Y495" i="3"/>
  <c r="W495" i="3"/>
  <c r="Y313" i="3"/>
  <c r="W313" i="3"/>
  <c r="Y702" i="3"/>
  <c r="W702" i="3"/>
  <c r="Y148" i="3"/>
  <c r="W148" i="3"/>
  <c r="Y85" i="3"/>
  <c r="W85" i="3"/>
  <c r="Y1154" i="3"/>
  <c r="W1154" i="3"/>
  <c r="Y1016" i="3"/>
  <c r="W1016" i="3"/>
  <c r="Y548" i="3"/>
  <c r="W548" i="3"/>
  <c r="Y793" i="3"/>
  <c r="W793" i="3"/>
  <c r="Y589" i="3"/>
  <c r="W589" i="3"/>
  <c r="Y63" i="3"/>
  <c r="W63" i="3"/>
  <c r="Y192" i="3"/>
  <c r="W192" i="3"/>
  <c r="Y561" i="3"/>
  <c r="W561" i="3"/>
  <c r="Y710" i="3"/>
  <c r="W710" i="3"/>
  <c r="Y147" i="3"/>
  <c r="W147" i="3"/>
  <c r="Y1204" i="3"/>
  <c r="W1204" i="3"/>
  <c r="Y707" i="3"/>
  <c r="W707" i="3"/>
  <c r="Y228" i="3"/>
  <c r="W228" i="3"/>
  <c r="Y734" i="3"/>
  <c r="W734" i="3"/>
  <c r="Y485" i="3"/>
  <c r="W485" i="3"/>
  <c r="Y327" i="3"/>
  <c r="W327" i="3"/>
  <c r="Y919" i="3"/>
  <c r="W919" i="3"/>
  <c r="Y558" i="3"/>
  <c r="W558" i="3"/>
  <c r="Y1152" i="3"/>
  <c r="W1152" i="3"/>
  <c r="Y916" i="3"/>
  <c r="W916" i="3"/>
  <c r="Y478" i="3"/>
  <c r="W478" i="3"/>
  <c r="Y306" i="3"/>
  <c r="W306" i="3"/>
  <c r="Y983" i="3"/>
  <c r="W983" i="3"/>
  <c r="Y938" i="3"/>
  <c r="W938" i="3"/>
  <c r="Y981" i="3"/>
  <c r="W981" i="3"/>
  <c r="Y72" i="3"/>
  <c r="W72" i="3"/>
  <c r="Y1080" i="3"/>
  <c r="W1080" i="3"/>
  <c r="Y767" i="3"/>
  <c r="W767" i="3"/>
  <c r="Y156" i="3"/>
  <c r="W156" i="3"/>
  <c r="Y234" i="3"/>
  <c r="W234" i="3"/>
  <c r="Y591" i="3"/>
  <c r="W591" i="3"/>
  <c r="Y239" i="3"/>
  <c r="W239" i="3"/>
  <c r="Y896" i="3"/>
  <c r="W896" i="3"/>
  <c r="Y161" i="3"/>
  <c r="W161" i="3"/>
  <c r="Y531" i="3"/>
  <c r="W531" i="3"/>
  <c r="Y408" i="3"/>
  <c r="W408" i="3"/>
  <c r="Y1122" i="3"/>
  <c r="W1122" i="3"/>
  <c r="Y1132" i="3"/>
  <c r="W1132" i="3"/>
  <c r="Y4" i="3"/>
  <c r="W4" i="3"/>
  <c r="Y283" i="3"/>
  <c r="W283" i="3"/>
  <c r="Y1198" i="3"/>
  <c r="W1198" i="3"/>
  <c r="Y299" i="3"/>
  <c r="W299" i="3"/>
  <c r="Y1053" i="3"/>
  <c r="W1053" i="3"/>
  <c r="Y34" i="3"/>
  <c r="W34" i="3"/>
  <c r="Y230" i="3"/>
  <c r="W230" i="3"/>
  <c r="Y924" i="3"/>
  <c r="W924" i="3"/>
  <c r="Y1351" i="3"/>
  <c r="W1351" i="3"/>
  <c r="Y83" i="3"/>
  <c r="W83" i="3"/>
  <c r="Y1191" i="3"/>
  <c r="W1191" i="3"/>
  <c r="Y294" i="3"/>
  <c r="W294" i="3"/>
  <c r="Y879" i="3"/>
  <c r="W879" i="3"/>
  <c r="Y729" i="3"/>
  <c r="W729" i="3"/>
  <c r="Y1196" i="3"/>
  <c r="W1196" i="3"/>
  <c r="Y128" i="3"/>
  <c r="W128" i="3"/>
  <c r="Y426" i="3"/>
  <c r="W426" i="3"/>
  <c r="Y8" i="3"/>
  <c r="W8" i="3"/>
  <c r="Y878" i="3"/>
  <c r="W878" i="3"/>
  <c r="Y178" i="3"/>
  <c r="W178" i="3"/>
  <c r="Y329" i="3"/>
  <c r="W329" i="3"/>
  <c r="Y1251" i="3"/>
  <c r="W1251" i="3"/>
  <c r="Y307" i="3"/>
  <c r="W307" i="3"/>
  <c r="Y38" i="3"/>
  <c r="W38" i="3"/>
  <c r="Y1322" i="3"/>
  <c r="W1322" i="3"/>
  <c r="Y771" i="3"/>
  <c r="W771" i="3"/>
  <c r="Y336" i="3"/>
  <c r="W336" i="3"/>
  <c r="Y553" i="3"/>
  <c r="W553" i="3"/>
  <c r="Y1281" i="3"/>
  <c r="W1281" i="3"/>
  <c r="Y1353" i="3"/>
  <c r="W1353" i="3"/>
  <c r="Y268" i="3"/>
  <c r="W268" i="3"/>
  <c r="Y718" i="3"/>
  <c r="W718" i="3"/>
  <c r="Y472" i="3"/>
  <c r="W472" i="3"/>
  <c r="Y319" i="3"/>
  <c r="W319" i="3"/>
  <c r="Y1033" i="3"/>
  <c r="W1033" i="3"/>
  <c r="Y189" i="3"/>
  <c r="W189" i="3"/>
  <c r="Y214" i="3"/>
  <c r="W214" i="3"/>
  <c r="Y436" i="3"/>
  <c r="W436" i="3"/>
  <c r="Y500" i="3"/>
  <c r="W500" i="3"/>
  <c r="Y1359" i="3"/>
  <c r="W1359" i="3"/>
  <c r="Y199" i="3"/>
  <c r="W199" i="3"/>
  <c r="Y903" i="3"/>
  <c r="W903" i="3"/>
  <c r="Y712" i="3"/>
  <c r="W712" i="3"/>
  <c r="Y464" i="3"/>
  <c r="W464" i="3"/>
  <c r="Y605" i="3"/>
  <c r="W605" i="3"/>
  <c r="Y140" i="3"/>
  <c r="W140" i="3"/>
  <c r="Y947" i="3"/>
  <c r="W947" i="3"/>
  <c r="Y14" i="3"/>
  <c r="W14" i="3"/>
  <c r="Y273" i="3"/>
  <c r="W273" i="3"/>
  <c r="Y951" i="3"/>
  <c r="W951" i="3"/>
  <c r="Y575" i="3"/>
  <c r="W575" i="3"/>
  <c r="Y169" i="3"/>
  <c r="W169" i="3"/>
  <c r="Y945" i="3"/>
  <c r="W945" i="3"/>
  <c r="Y541" i="3"/>
  <c r="W541" i="3"/>
  <c r="Y1129" i="3"/>
  <c r="W1129" i="3"/>
  <c r="Y1001" i="3"/>
  <c r="W1001" i="3"/>
  <c r="Y510" i="3"/>
  <c r="W510" i="3"/>
  <c r="Y677" i="3"/>
  <c r="W677" i="3"/>
  <c r="Y1127" i="3"/>
  <c r="W1127" i="3"/>
  <c r="Y1042" i="3"/>
  <c r="W1042" i="3"/>
  <c r="Y20" i="3"/>
  <c r="W20" i="3"/>
  <c r="Y217" i="3"/>
  <c r="W217" i="3"/>
  <c r="Y165" i="3"/>
  <c r="W165" i="3"/>
  <c r="Y668" i="3"/>
  <c r="W668" i="3"/>
  <c r="Y551" i="3"/>
  <c r="W551" i="3"/>
  <c r="Y413" i="3"/>
  <c r="W413" i="3"/>
  <c r="Y858" i="3"/>
  <c r="W858" i="3"/>
  <c r="Y670" i="3"/>
  <c r="W670" i="3"/>
  <c r="Y32" i="3"/>
  <c r="W32" i="3"/>
  <c r="Y326" i="3"/>
  <c r="W326" i="3"/>
  <c r="Y322" i="3"/>
  <c r="W322" i="3"/>
  <c r="Y305" i="3"/>
  <c r="W305" i="3"/>
  <c r="Y176" i="3"/>
  <c r="W176" i="3"/>
  <c r="Y1081" i="3"/>
  <c r="W1081" i="3"/>
  <c r="Y1173" i="3"/>
  <c r="W1173" i="3"/>
  <c r="Y240" i="3"/>
  <c r="W240" i="3"/>
  <c r="Y834" i="3"/>
  <c r="W834" i="3"/>
  <c r="Y160" i="3"/>
  <c r="W160" i="3"/>
  <c r="Y532" i="3"/>
  <c r="W532" i="3"/>
  <c r="Y1005" i="3"/>
  <c r="W1005" i="3"/>
  <c r="Y1285" i="3"/>
  <c r="W1285" i="3"/>
  <c r="Y995" i="3"/>
  <c r="W995" i="3"/>
  <c r="Y3" i="3"/>
  <c r="W3" i="3"/>
  <c r="Y285" i="3"/>
  <c r="W285" i="3"/>
  <c r="Y493" i="3"/>
  <c r="W493" i="3"/>
  <c r="Y300" i="3"/>
  <c r="W300" i="3"/>
  <c r="Y1054" i="3"/>
  <c r="W1054" i="3"/>
  <c r="Y37" i="3"/>
  <c r="W37" i="3"/>
  <c r="Y222" i="3"/>
  <c r="W222" i="3"/>
  <c r="Y1164" i="3"/>
  <c r="W1164" i="3"/>
  <c r="Y1352" i="3"/>
  <c r="W1352" i="3"/>
  <c r="Y1116" i="3"/>
  <c r="W1116" i="3"/>
  <c r="Y78" i="3"/>
  <c r="W78" i="3"/>
  <c r="Y1192" i="3"/>
  <c r="W1192" i="3"/>
  <c r="Y295" i="3"/>
  <c r="W295" i="3"/>
  <c r="Y880" i="3"/>
  <c r="W880" i="3"/>
  <c r="Y730" i="3"/>
  <c r="W730" i="3"/>
  <c r="Y1123" i="3"/>
  <c r="W1123" i="3"/>
  <c r="Y129" i="3"/>
  <c r="W129" i="3"/>
  <c r="Y1071" i="3"/>
  <c r="W1071" i="3"/>
  <c r="Y9" i="3"/>
  <c r="W9" i="3"/>
  <c r="Y823" i="3"/>
  <c r="W823" i="3"/>
  <c r="Y180" i="3"/>
  <c r="W180" i="3"/>
  <c r="Y330" i="3"/>
  <c r="W330" i="3"/>
  <c r="Y1252" i="3"/>
  <c r="W1252" i="3"/>
  <c r="Y309" i="3"/>
  <c r="W309" i="3"/>
  <c r="Y39" i="3"/>
  <c r="W39" i="3"/>
  <c r="Y1323" i="3"/>
  <c r="W1323" i="3"/>
  <c r="Y255" i="3"/>
  <c r="W255" i="3"/>
  <c r="Y549" i="3"/>
  <c r="W549" i="3"/>
  <c r="Y399" i="3"/>
  <c r="W399" i="3"/>
  <c r="Y1282" i="3"/>
  <c r="W1282" i="3"/>
  <c r="Y1354" i="3"/>
  <c r="W1354" i="3"/>
  <c r="Y267" i="3"/>
  <c r="W267" i="3"/>
  <c r="Y404" i="3"/>
  <c r="W404" i="3"/>
  <c r="Y471" i="3"/>
  <c r="W471" i="3"/>
  <c r="Y317" i="3"/>
  <c r="W317" i="3"/>
  <c r="Y1034" i="3"/>
  <c r="W1034" i="3"/>
  <c r="Y219" i="3"/>
  <c r="W219" i="3"/>
  <c r="Y212" i="3"/>
  <c r="W212" i="3"/>
  <c r="Y519" i="3"/>
  <c r="W519" i="3"/>
  <c r="Y851" i="3"/>
  <c r="W851" i="3"/>
  <c r="Y1360" i="3"/>
  <c r="W1360" i="3"/>
  <c r="Y198" i="3"/>
  <c r="W198" i="3"/>
  <c r="Y904" i="3"/>
  <c r="W904" i="3"/>
  <c r="Y651" i="3"/>
  <c r="W651" i="3"/>
  <c r="Y1187" i="3"/>
  <c r="W1187" i="3"/>
  <c r="Y606" i="3"/>
  <c r="W606" i="3"/>
  <c r="Y141" i="3"/>
  <c r="W141" i="3"/>
  <c r="Y948" i="3"/>
  <c r="W948" i="3"/>
  <c r="Y1037" i="3"/>
  <c r="W1037" i="3"/>
  <c r="Y272" i="3"/>
  <c r="W272" i="3"/>
  <c r="Y952" i="3"/>
  <c r="W952" i="3"/>
  <c r="Y576" i="3"/>
  <c r="W576" i="3"/>
  <c r="Y969" i="3"/>
  <c r="W969" i="3"/>
  <c r="Y946" i="3"/>
  <c r="W946" i="3"/>
  <c r="Y542" i="3"/>
  <c r="W542" i="3"/>
  <c r="Y1130" i="3"/>
  <c r="W1130" i="3"/>
  <c r="Y1002" i="3"/>
  <c r="W1002" i="3"/>
  <c r="Y830" i="3"/>
  <c r="W830" i="3"/>
  <c r="Y678" i="3"/>
  <c r="W678" i="3"/>
  <c r="Y1128" i="3"/>
  <c r="W1128" i="3"/>
  <c r="Y60" i="3"/>
  <c r="W60" i="3"/>
  <c r="Y19" i="3"/>
  <c r="W19" i="3"/>
  <c r="Y215" i="3"/>
  <c r="W215" i="3"/>
  <c r="Y743" i="3"/>
  <c r="W743" i="3"/>
  <c r="Y1056" i="3"/>
  <c r="W1056" i="3"/>
  <c r="Y274" i="3"/>
  <c r="W274" i="3"/>
  <c r="Y473" i="3"/>
  <c r="W473" i="3"/>
  <c r="Y653" i="3"/>
  <c r="W653" i="3"/>
  <c r="Y585" i="3"/>
  <c r="W585" i="3"/>
  <c r="Y840" i="3"/>
  <c r="W840" i="3"/>
  <c r="Y958" i="3"/>
  <c r="W958" i="3"/>
  <c r="Y1135" i="3"/>
  <c r="W1135" i="3"/>
  <c r="Y43" i="3"/>
  <c r="W43" i="3"/>
  <c r="Y557" i="3"/>
  <c r="W557" i="3"/>
  <c r="Y477" i="3"/>
  <c r="W477" i="3"/>
  <c r="Y1284" i="3"/>
  <c r="W1284" i="3"/>
  <c r="Y1079" i="3"/>
  <c r="W1079" i="3"/>
  <c r="Y980" i="3"/>
  <c r="W980" i="3"/>
  <c r="Y238" i="3"/>
  <c r="W238" i="3"/>
  <c r="Y833" i="3"/>
  <c r="W833" i="3"/>
  <c r="Y164" i="3"/>
  <c r="W164" i="3"/>
  <c r="Y1097" i="3"/>
  <c r="W1097" i="3"/>
  <c r="Y1006" i="3"/>
  <c r="W1006" i="3"/>
  <c r="Y1286" i="3"/>
  <c r="W1286" i="3"/>
  <c r="Y996" i="3"/>
  <c r="W996" i="3"/>
  <c r="Y925" i="3"/>
  <c r="W925" i="3"/>
  <c r="Y284" i="3"/>
  <c r="W284" i="3"/>
  <c r="Y494" i="3"/>
  <c r="W494" i="3"/>
  <c r="Y301" i="3"/>
  <c r="W301" i="3"/>
  <c r="Y1057" i="3"/>
  <c r="W1057" i="3"/>
  <c r="Y29" i="3"/>
  <c r="W29" i="3"/>
  <c r="Y223" i="3"/>
  <c r="W223" i="3"/>
  <c r="Y1165" i="3"/>
  <c r="W1165" i="3"/>
  <c r="Y644" i="3"/>
  <c r="W644" i="3"/>
  <c r="Y235" i="3"/>
  <c r="W235" i="3"/>
  <c r="Y79" i="3"/>
  <c r="W79" i="3"/>
  <c r="Y290" i="3"/>
  <c r="W290" i="3"/>
  <c r="Y665" i="3"/>
  <c r="W665" i="3"/>
  <c r="Y1124" i="3"/>
  <c r="W1124" i="3"/>
  <c r="Y130" i="3"/>
  <c r="W130" i="3"/>
  <c r="Y1072" i="3"/>
  <c r="W1072" i="3"/>
  <c r="Y10" i="3"/>
  <c r="W10" i="3"/>
  <c r="Y824" i="3"/>
  <c r="W824" i="3"/>
  <c r="Y179" i="3"/>
  <c r="W179" i="3"/>
  <c r="Y939" i="3"/>
  <c r="W939" i="3"/>
  <c r="Y635" i="3"/>
  <c r="W635" i="3"/>
  <c r="Y302" i="3"/>
  <c r="W302" i="3"/>
  <c r="Y40" i="3"/>
  <c r="W40" i="3"/>
  <c r="Y252" i="3"/>
  <c r="W252" i="3"/>
  <c r="Y257" i="3"/>
  <c r="W257" i="3"/>
  <c r="Y550" i="3"/>
  <c r="W550" i="3"/>
  <c r="Y400" i="3"/>
  <c r="W400" i="3"/>
  <c r="Y1269" i="3"/>
  <c r="W1269" i="3"/>
  <c r="Y1310" i="3"/>
  <c r="W1310" i="3"/>
  <c r="Y270" i="3"/>
  <c r="W270" i="3"/>
  <c r="Y402" i="3"/>
  <c r="W402" i="3"/>
  <c r="Y1101" i="3"/>
  <c r="W1101" i="3"/>
  <c r="Y873" i="3"/>
  <c r="W873" i="3"/>
  <c r="Y1011" i="3"/>
  <c r="W1011" i="3"/>
  <c r="Y220" i="3"/>
  <c r="W220" i="3"/>
  <c r="Y213" i="3"/>
  <c r="W213" i="3"/>
  <c r="Y520" i="3"/>
  <c r="W520" i="3"/>
  <c r="Y852" i="3"/>
  <c r="W852" i="3"/>
  <c r="Y1029" i="3"/>
  <c r="W1029" i="3"/>
  <c r="Y200" i="3"/>
  <c r="W200" i="3"/>
  <c r="Y1182" i="3"/>
  <c r="W1182" i="3"/>
  <c r="Y652" i="3"/>
  <c r="W652" i="3"/>
  <c r="Y1188" i="3"/>
  <c r="W1188" i="3"/>
  <c r="Y791" i="3"/>
  <c r="W791" i="3"/>
  <c r="Y142" i="3"/>
  <c r="W142" i="3"/>
  <c r="Y1113" i="3"/>
  <c r="W1113" i="3"/>
  <c r="Y1038" i="3"/>
  <c r="W1038" i="3"/>
  <c r="Y971" i="3"/>
  <c r="W971" i="3"/>
  <c r="Y1107" i="3"/>
  <c r="W1107" i="3"/>
  <c r="Y837" i="3"/>
  <c r="W837" i="3"/>
  <c r="Y970" i="3"/>
  <c r="W970" i="3"/>
  <c r="Y897" i="3"/>
  <c r="W897" i="3"/>
  <c r="Y1131" i="3"/>
  <c r="W1131" i="3"/>
  <c r="Y761" i="3"/>
  <c r="W761" i="3"/>
  <c r="Y829" i="3"/>
  <c r="W829" i="3"/>
  <c r="Y697" i="3"/>
  <c r="W697" i="3"/>
  <c r="Y725" i="3"/>
  <c r="W725" i="3"/>
  <c r="Y61" i="3"/>
  <c r="W61" i="3"/>
  <c r="Y22" i="3"/>
  <c r="W22" i="3"/>
  <c r="Y1355" i="3"/>
  <c r="W1355" i="3"/>
  <c r="Y777" i="3"/>
  <c r="W777" i="3"/>
  <c r="Y796" i="3"/>
  <c r="W796" i="3"/>
  <c r="Y790" i="3"/>
  <c r="W790" i="3"/>
  <c r="Y624" i="3"/>
  <c r="W624" i="3"/>
  <c r="Y724" i="3"/>
  <c r="W724" i="3"/>
  <c r="Y943" i="3"/>
  <c r="W943" i="3"/>
  <c r="Y1314" i="3"/>
  <c r="W1314" i="3"/>
  <c r="Y721" i="3"/>
  <c r="W721" i="3"/>
  <c r="Y937" i="3"/>
  <c r="W937" i="3"/>
  <c r="Y928" i="3"/>
  <c r="W928" i="3"/>
  <c r="Y232" i="3"/>
  <c r="W232" i="3"/>
  <c r="Y281" i="3"/>
  <c r="W281" i="3"/>
  <c r="Y781" i="3"/>
  <c r="W781" i="3"/>
  <c r="Y157" i="3"/>
  <c r="W157" i="3"/>
  <c r="Y1098" i="3"/>
  <c r="W1098" i="3"/>
  <c r="Y821" i="3"/>
  <c r="W821" i="3"/>
  <c r="Y1287" i="3"/>
  <c r="W1287" i="3"/>
  <c r="Y166" i="3"/>
  <c r="W166" i="3"/>
  <c r="Y926" i="3"/>
  <c r="W926" i="3"/>
  <c r="Y685" i="3"/>
  <c r="W685" i="3"/>
  <c r="Y1189" i="3"/>
  <c r="W1189" i="3"/>
  <c r="Y679" i="3"/>
  <c r="W679" i="3"/>
  <c r="Y1058" i="3"/>
  <c r="W1058" i="3"/>
  <c r="Y993" i="3"/>
  <c r="W993" i="3"/>
  <c r="Y225" i="3"/>
  <c r="W225" i="3"/>
  <c r="Y643" i="3"/>
  <c r="W643" i="3"/>
  <c r="Y237" i="3"/>
  <c r="W237" i="3"/>
  <c r="Y80" i="3"/>
  <c r="W80" i="3"/>
  <c r="Y1046" i="3"/>
  <c r="W1046" i="3"/>
  <c r="Y291" i="3"/>
  <c r="W291" i="3"/>
  <c r="Y826" i="3"/>
  <c r="W826" i="3"/>
  <c r="Y666" i="3"/>
  <c r="W666" i="3"/>
  <c r="Y1125" i="3"/>
  <c r="W1125" i="3"/>
  <c r="Y657" i="3"/>
  <c r="W657" i="3"/>
  <c r="Y1267" i="3"/>
  <c r="W1267" i="3"/>
  <c r="Y5" i="3"/>
  <c r="W5" i="3"/>
  <c r="Y773" i="3"/>
  <c r="W773" i="3"/>
  <c r="Y607" i="3"/>
  <c r="W607" i="3"/>
  <c r="Y940" i="3"/>
  <c r="W940" i="3"/>
  <c r="Y636" i="3"/>
  <c r="W636" i="3"/>
  <c r="Y303" i="3"/>
  <c r="W303" i="3"/>
  <c r="Y41" i="3"/>
  <c r="W41" i="3"/>
  <c r="Y253" i="3"/>
  <c r="W253" i="3"/>
  <c r="Y256" i="3"/>
  <c r="W256" i="3"/>
  <c r="Y523" i="3"/>
  <c r="W523" i="3"/>
  <c r="Y401" i="3"/>
  <c r="W401" i="3"/>
  <c r="Y1270" i="3"/>
  <c r="W1270" i="3"/>
  <c r="Y1309" i="3"/>
  <c r="W1309" i="3"/>
  <c r="Y269" i="3"/>
  <c r="W269" i="3"/>
  <c r="Y403" i="3"/>
  <c r="W403" i="3"/>
  <c r="Y1102" i="3"/>
  <c r="W1102" i="3"/>
  <c r="Y874" i="3"/>
  <c r="W874" i="3"/>
  <c r="Y1012" i="3"/>
  <c r="W1012" i="3"/>
  <c r="Y221" i="3"/>
  <c r="W221" i="3"/>
  <c r="Y713" i="3"/>
  <c r="W713" i="3"/>
  <c r="Y465" i="3"/>
  <c r="W465" i="3"/>
  <c r="Y1237" i="3"/>
  <c r="W1237" i="3"/>
  <c r="Y1030" i="3"/>
  <c r="W1030" i="3"/>
  <c r="Y201" i="3"/>
  <c r="W201" i="3"/>
  <c r="Y1181" i="3"/>
  <c r="W1181" i="3"/>
  <c r="Y630" i="3"/>
  <c r="W630" i="3"/>
  <c r="Y1183" i="3"/>
  <c r="W1183" i="3"/>
  <c r="Y792" i="3"/>
  <c r="W792" i="3"/>
  <c r="Y143" i="3"/>
  <c r="W143" i="3"/>
  <c r="Y1114" i="3"/>
  <c r="W1114" i="3"/>
  <c r="Y1138" i="3"/>
  <c r="W1138" i="3"/>
  <c r="Y972" i="3"/>
  <c r="W972" i="3"/>
  <c r="Y1108" i="3"/>
  <c r="W1108" i="3"/>
  <c r="Y838" i="3"/>
  <c r="W838" i="3"/>
  <c r="Y258" i="3"/>
  <c r="W258" i="3"/>
  <c r="Y898" i="3"/>
  <c r="W898" i="3"/>
  <c r="Y704" i="3"/>
  <c r="W704" i="3"/>
  <c r="Y311" i="3"/>
  <c r="W311" i="3"/>
  <c r="Y762" i="3"/>
  <c r="W762" i="3"/>
  <c r="Y68" i="3"/>
  <c r="W68" i="3"/>
  <c r="Y698" i="3"/>
  <c r="W698" i="3"/>
  <c r="Y726" i="3"/>
  <c r="W726" i="3"/>
  <c r="Y59" i="3"/>
  <c r="W59" i="3"/>
  <c r="Y21" i="3"/>
  <c r="W21" i="3"/>
  <c r="Y1356" i="3"/>
  <c r="W1356" i="3"/>
  <c r="Y159" i="3"/>
  <c r="W159" i="3"/>
  <c r="Y1213" i="3"/>
  <c r="W1213" i="3"/>
  <c r="Y152" i="3"/>
  <c r="W152" i="3"/>
  <c r="Y913" i="3"/>
  <c r="W913" i="3"/>
  <c r="Y94" i="3"/>
  <c r="W94" i="3"/>
  <c r="Y1008" i="3"/>
  <c r="W1008" i="3"/>
  <c r="W137" i="3"/>
  <c r="Y66" i="3"/>
  <c r="W66" i="3"/>
  <c r="Y1000" i="3"/>
  <c r="W1000" i="3"/>
  <c r="Y780" i="3"/>
  <c r="W780" i="3"/>
  <c r="Y1169" i="3"/>
  <c r="W1169" i="3"/>
  <c r="Y1202" i="3"/>
  <c r="W1202" i="3"/>
  <c r="Y99" i="3"/>
  <c r="W99" i="3"/>
  <c r="Y1014" i="3"/>
  <c r="W1014" i="3"/>
  <c r="Y264" i="3"/>
  <c r="W264" i="3"/>
  <c r="Y280" i="3"/>
  <c r="W280" i="3"/>
  <c r="Y782" i="3"/>
  <c r="W782" i="3"/>
  <c r="Y158" i="3"/>
  <c r="W158" i="3"/>
  <c r="Y381" i="3"/>
  <c r="W381" i="3"/>
  <c r="Y822" i="3"/>
  <c r="W822" i="3"/>
  <c r="Y1288" i="3"/>
  <c r="W1288" i="3"/>
  <c r="Y167" i="3"/>
  <c r="W167" i="3"/>
  <c r="Y887" i="3"/>
  <c r="W887" i="3"/>
  <c r="Y686" i="3"/>
  <c r="W686" i="3"/>
  <c r="Y1190" i="3"/>
  <c r="W1190" i="3"/>
  <c r="Y680" i="3"/>
  <c r="W680" i="3"/>
  <c r="Y994" i="3"/>
  <c r="W994" i="3"/>
  <c r="Y224" i="3"/>
  <c r="W224" i="3"/>
  <c r="Y828" i="3"/>
  <c r="W828" i="3"/>
  <c r="Y601" i="3"/>
  <c r="W601" i="3"/>
  <c r="Y236" i="3"/>
  <c r="W236" i="3"/>
  <c r="Y77" i="3"/>
  <c r="W77" i="3"/>
  <c r="Y353" i="3"/>
  <c r="W353" i="3"/>
  <c r="Y292" i="3"/>
  <c r="W292" i="3"/>
  <c r="Y775" i="3"/>
  <c r="W775" i="3"/>
  <c r="Y1083" i="3"/>
  <c r="W1083" i="3"/>
  <c r="Y658" i="3"/>
  <c r="W658" i="3"/>
  <c r="Y1268" i="3"/>
  <c r="W1268" i="3"/>
  <c r="Y1321" i="3"/>
  <c r="W1321" i="3"/>
  <c r="Y774" i="3"/>
  <c r="W774" i="3"/>
  <c r="Y608" i="3"/>
  <c r="W608" i="3"/>
  <c r="Y555" i="3"/>
  <c r="W555" i="3"/>
  <c r="Y314" i="3"/>
  <c r="W314" i="3"/>
  <c r="Y304" i="3"/>
  <c r="W304" i="3"/>
  <c r="Y242" i="3"/>
  <c r="W242" i="3"/>
  <c r="Y254" i="3"/>
  <c r="W254" i="3"/>
  <c r="Y719" i="3"/>
  <c r="W719" i="3"/>
  <c r="Y524" i="3"/>
  <c r="W524" i="3"/>
  <c r="Y931" i="3"/>
  <c r="W931" i="3"/>
  <c r="Y1311" i="3"/>
  <c r="W1311" i="3"/>
  <c r="Y795" i="3"/>
  <c r="W795" i="3"/>
  <c r="Y412" i="3"/>
  <c r="W412" i="3"/>
  <c r="Y93" i="3"/>
  <c r="W93" i="3"/>
  <c r="Y611" i="3"/>
  <c r="W611" i="3"/>
  <c r="Y1319" i="3"/>
  <c r="W1319" i="3"/>
  <c r="Y909" i="3"/>
  <c r="W909" i="3"/>
  <c r="Y714" i="3"/>
  <c r="W714" i="3"/>
  <c r="Y466" i="3"/>
  <c r="W466" i="3"/>
  <c r="Y1238" i="3"/>
  <c r="W1238" i="3"/>
  <c r="Y1007" i="3"/>
  <c r="W1007" i="3"/>
  <c r="Y202" i="3"/>
  <c r="W202" i="3"/>
  <c r="Y789" i="3"/>
  <c r="W789" i="3"/>
  <c r="Y629" i="3"/>
  <c r="W629" i="3"/>
  <c r="Y1184" i="3"/>
  <c r="W1184" i="3"/>
  <c r="Y844" i="3"/>
  <c r="W844" i="3"/>
  <c r="Y145" i="3"/>
  <c r="W145" i="3"/>
  <c r="Y785" i="3"/>
  <c r="W785" i="3"/>
  <c r="Y1139" i="3"/>
  <c r="W1139" i="3"/>
  <c r="Y857" i="3"/>
  <c r="W857" i="3"/>
  <c r="Y623" i="3"/>
  <c r="W623" i="3"/>
  <c r="Y1117" i="3"/>
  <c r="W1117" i="3"/>
  <c r="Y259" i="3"/>
  <c r="W259" i="3"/>
  <c r="Y839" i="3"/>
  <c r="W839" i="3"/>
  <c r="Y703" i="3"/>
  <c r="W703" i="3"/>
  <c r="Y312" i="3"/>
  <c r="W312" i="3"/>
  <c r="Y573" i="3"/>
  <c r="W573" i="3"/>
  <c r="Y69" i="3"/>
  <c r="W69" i="3"/>
  <c r="Y957" i="3"/>
  <c r="W957" i="3"/>
  <c r="Y186" i="3"/>
  <c r="W186" i="3"/>
  <c r="Y723" i="3"/>
  <c r="W723" i="3"/>
  <c r="Y701" i="3"/>
  <c r="W701" i="3"/>
  <c r="AB884" i="3"/>
  <c r="AB1228" i="3"/>
  <c r="AB784" i="3"/>
  <c r="AB490" i="3"/>
  <c r="AB674" i="3"/>
  <c r="AB364" i="3"/>
  <c r="AB387" i="3"/>
  <c r="AB530" i="3"/>
  <c r="AB640" i="3"/>
  <c r="AB622" i="3"/>
  <c r="AB416" i="3"/>
  <c r="AB448" i="3"/>
  <c r="AB1236" i="3"/>
  <c r="AB656" i="3"/>
  <c r="AB1369" i="3"/>
  <c r="AB1178" i="3"/>
  <c r="AB1180" i="3"/>
  <c r="AB868" i="3"/>
  <c r="AB470" i="3"/>
  <c r="AB1242" i="3"/>
  <c r="AB422" i="3"/>
  <c r="AB297" i="3"/>
  <c r="AB1248" i="3"/>
  <c r="AB1094" i="3"/>
  <c r="AB1110" i="3"/>
  <c r="AB1018" i="3"/>
  <c r="AB1330" i="3"/>
  <c r="AB628" i="3"/>
  <c r="AB104" i="3"/>
  <c r="AB1266" i="3"/>
  <c r="AB1222" i="3"/>
  <c r="AB1375" i="3"/>
  <c r="AB1088" i="3"/>
  <c r="AB407" i="3"/>
  <c r="AB738" i="3"/>
  <c r="AB850" i="3"/>
  <c r="AB446" i="3"/>
  <c r="AB578" i="3"/>
  <c r="AB688" i="3"/>
  <c r="AB988" i="3"/>
  <c r="AB1028" i="3"/>
  <c r="AB1343" i="3"/>
  <c r="AB1329" i="3"/>
  <c r="AB183" i="3"/>
  <c r="AB956" i="3"/>
  <c r="AB420" i="3"/>
  <c r="AB908" i="3"/>
  <c r="AB1104" i="3"/>
  <c r="AB1295" i="3"/>
  <c r="AB800" i="3"/>
  <c r="AB1020" i="3"/>
  <c r="AB748" i="3"/>
  <c r="AB442" i="3"/>
  <c r="AB626" i="3"/>
  <c r="AB1176" i="3"/>
  <c r="AB1346" i="3"/>
  <c r="AB1224" i="3"/>
  <c r="AB398" i="3"/>
  <c r="AB632" i="3"/>
  <c r="AB804" i="3"/>
  <c r="AB756" i="3"/>
  <c r="AB492" i="3"/>
  <c r="AB1168" i="3"/>
  <c r="AB512" i="3"/>
  <c r="AB488" i="3"/>
  <c r="AB684" i="3"/>
  <c r="AB758" i="3"/>
  <c r="AB428" i="3"/>
  <c r="AB648" i="3"/>
  <c r="AB460" i="3"/>
  <c r="AB1218" i="3"/>
  <c r="AB1371" i="3"/>
  <c r="AB1052" i="3"/>
  <c r="AB365" i="3"/>
  <c r="AB1373" i="3"/>
  <c r="AB1232" i="3"/>
  <c r="AB1303" i="3"/>
  <c r="AB890" i="3"/>
  <c r="AB930" i="3"/>
  <c r="AB1240" i="3"/>
  <c r="AB444" i="3"/>
  <c r="AB434" i="3"/>
  <c r="AB1208" i="3"/>
  <c r="AB376" i="3"/>
  <c r="AB1308" i="3"/>
  <c r="AB1064" i="3"/>
  <c r="AB692" i="3"/>
  <c r="AB816" i="3"/>
  <c r="AB1050" i="3"/>
  <c r="AB1244" i="3"/>
  <c r="AB646" i="3"/>
  <c r="AB111" i="3"/>
  <c r="AB506" i="3"/>
  <c r="AB616" i="3"/>
  <c r="AB856" i="3"/>
  <c r="AB1200" i="3"/>
  <c r="AB1161" i="3"/>
  <c r="AB1141" i="3"/>
  <c r="AB870" i="3"/>
  <c r="AB347" i="3"/>
  <c r="AB1167" i="3"/>
  <c r="AB936" i="3"/>
  <c r="AB121" i="3"/>
  <c r="AB28" i="3"/>
  <c r="AB90" i="3"/>
  <c r="AB570" i="3"/>
  <c r="AB1340" i="3"/>
  <c r="AB568" i="3"/>
  <c r="AB1246" i="3"/>
  <c r="AB379" i="3"/>
  <c r="AB105" i="3"/>
  <c r="AB1226" i="3"/>
  <c r="AB812" i="3"/>
  <c r="AB1068" i="3"/>
  <c r="AB1194" i="3"/>
  <c r="AB862" i="3"/>
  <c r="AB650" i="3"/>
  <c r="AB386" i="3"/>
  <c r="AB564" i="3"/>
  <c r="AB1159" i="3"/>
  <c r="AB361" i="3"/>
  <c r="AB516" i="3"/>
  <c r="AB976" i="3"/>
  <c r="AB682" i="3"/>
  <c r="AB1092" i="3"/>
  <c r="AB992" i="3"/>
  <c r="AB1317" i="3"/>
  <c r="AB482" i="3"/>
  <c r="AB820" i="3"/>
  <c r="AB598" i="3"/>
  <c r="AB660" i="3"/>
  <c r="AB760" i="3"/>
  <c r="AB454" i="3"/>
  <c r="AB55" i="3"/>
  <c r="AB120" i="3"/>
  <c r="AB348" i="3"/>
  <c r="AB618" i="3"/>
  <c r="AB112" i="3"/>
  <c r="AB1338" i="3"/>
  <c r="AB1316" i="3"/>
  <c r="AB676" i="3"/>
  <c r="AB135" i="3"/>
  <c r="AB536" i="3"/>
  <c r="AB732" i="3"/>
  <c r="AB1305" i="3"/>
  <c r="AB1234" i="3"/>
  <c r="AB580" i="3"/>
  <c r="AB406" i="3"/>
  <c r="AB508" i="3"/>
  <c r="AB1230" i="3"/>
  <c r="AB394" i="3"/>
  <c r="AB690" i="3"/>
  <c r="AB136" i="3"/>
  <c r="AB1048" i="3"/>
  <c r="AB706" i="3"/>
  <c r="AB1364" i="3"/>
  <c r="AB694" i="3"/>
  <c r="AB1004" i="3"/>
  <c r="AB1300" i="3"/>
  <c r="AB456" i="3"/>
  <c r="AB1377" i="3"/>
  <c r="AB476" i="3"/>
  <c r="AB882" i="3"/>
  <c r="AB1076" i="3"/>
  <c r="AB960" i="3"/>
  <c r="AB1096" i="3"/>
  <c r="AB700" i="3"/>
  <c r="AB374" i="3"/>
  <c r="AB672" i="3"/>
  <c r="AB362" i="3"/>
  <c r="AB1337" i="3"/>
  <c r="AB892" i="3"/>
  <c r="AB978" i="3"/>
  <c r="AB1220" i="3"/>
  <c r="AB1212" i="3"/>
  <c r="AB818" i="3"/>
  <c r="AB1259" i="3"/>
  <c r="AB740" i="3"/>
  <c r="AB588" i="3"/>
  <c r="AB736" i="3"/>
  <c r="AB430" i="3"/>
  <c r="AB424" i="3"/>
  <c r="AB373" i="3"/>
  <c r="AB1040" i="3"/>
  <c r="AB998" i="3"/>
  <c r="AB462" i="3"/>
  <c r="AB368" i="3"/>
  <c r="AB1302" i="3"/>
  <c r="AB610" i="3"/>
  <c r="AB514" i="3"/>
  <c r="AK249" i="3"/>
  <c r="AK388" i="3"/>
  <c r="AK203" i="3"/>
  <c r="AK369" i="3"/>
  <c r="AK16" i="3"/>
  <c r="AK1209" i="3"/>
  <c r="AK1133" i="3"/>
  <c r="AK323" i="3"/>
  <c r="AK831" i="3"/>
  <c r="AK33" i="3"/>
  <c r="AK559" i="3"/>
  <c r="AK667" i="3"/>
  <c r="AK46" i="3"/>
  <c r="AK941" i="3"/>
  <c r="AK122" i="3"/>
  <c r="AK96" i="3"/>
  <c r="AK1043" i="3"/>
  <c r="AK244" i="3"/>
  <c r="AK661" i="3"/>
  <c r="AK1035" i="3"/>
  <c r="AK769" i="3"/>
  <c r="AK933" i="3"/>
  <c r="AK963" i="3"/>
  <c r="AK1185" i="3"/>
  <c r="AK457" i="3"/>
  <c r="AK595" i="3"/>
  <c r="AK1326" i="3"/>
  <c r="AK204" i="3"/>
  <c r="AK1324" i="3"/>
  <c r="AK1073" i="3"/>
  <c r="AK483" i="3"/>
  <c r="AK835" i="3"/>
  <c r="AK1333" i="3"/>
  <c r="AK1085" i="3"/>
  <c r="AK67" i="3"/>
  <c r="AK727" i="3"/>
  <c r="AK749" i="3"/>
  <c r="AK501" i="3"/>
  <c r="AK967" i="3"/>
  <c r="AK56" i="3"/>
  <c r="AK913" i="3"/>
  <c r="AK495" i="3"/>
  <c r="AK66" i="3"/>
  <c r="AK226" i="3"/>
  <c r="AK599" i="3"/>
  <c r="AK243" i="3"/>
  <c r="AK619" i="3"/>
  <c r="AK943" i="3"/>
  <c r="AK709" i="3"/>
  <c r="AK1135" i="3"/>
  <c r="AK779" i="3"/>
  <c r="AK30" i="3"/>
  <c r="AK227" i="3"/>
  <c r="AK1348" i="3"/>
  <c r="AK48" i="3"/>
  <c r="AK1201" i="3"/>
  <c r="AK320" i="3"/>
  <c r="AK98" i="3"/>
  <c r="AK1015" i="3"/>
  <c r="AK245" i="3"/>
  <c r="AK637" i="3"/>
  <c r="AK1283" i="3"/>
  <c r="AK1013" i="3"/>
  <c r="AK175" i="3"/>
  <c r="AK547" i="3"/>
  <c r="AK92" i="3"/>
  <c r="AK927" i="3"/>
  <c r="AK633" i="3"/>
  <c r="AK154" i="3"/>
  <c r="AK953" i="3"/>
  <c r="AK62" i="3"/>
  <c r="AK979" i="3"/>
  <c r="AK537" i="3"/>
  <c r="AK113" i="3"/>
  <c r="AK1271" i="3"/>
  <c r="AK1023" i="3"/>
  <c r="AK73" i="3"/>
  <c r="AK745" i="3"/>
  <c r="AK1111" i="3"/>
  <c r="AK1119" i="3"/>
  <c r="AK479" i="3"/>
  <c r="AK551" i="3"/>
  <c r="AK15" i="3"/>
  <c r="AK31" i="3"/>
  <c r="AK45" i="3"/>
  <c r="AK1031" i="3"/>
  <c r="AK153" i="3"/>
  <c r="AK65" i="3"/>
  <c r="AK1173" i="3"/>
  <c r="AK561" i="3"/>
  <c r="AK147" i="3"/>
  <c r="AK1203" i="3"/>
  <c r="AK32" i="3"/>
  <c r="AK229" i="3"/>
  <c r="AK85" i="3"/>
  <c r="AK1169" i="3"/>
  <c r="AK81" i="3"/>
  <c r="AK326" i="3"/>
  <c r="AK965" i="3"/>
  <c r="AK125" i="3"/>
  <c r="AK47" i="3"/>
  <c r="AK557" i="3"/>
  <c r="AK915" i="3"/>
  <c r="AK721" i="3"/>
  <c r="AK477" i="3"/>
  <c r="AK99" i="3"/>
  <c r="AK305" i="3"/>
  <c r="AK246" i="3"/>
  <c r="AK937" i="3"/>
  <c r="AK70" i="3"/>
  <c r="AK1079" i="3"/>
  <c r="AK793" i="3"/>
  <c r="AK589" i="3"/>
  <c r="AK871" i="3"/>
  <c r="AK232" i="3"/>
  <c r="AK1081" i="3"/>
  <c r="AK264" i="3"/>
  <c r="AK11" i="3"/>
  <c r="AK545" i="3"/>
  <c r="AK337" i="3"/>
  <c r="AK753" i="3"/>
  <c r="AK261" i="3"/>
  <c r="AK74" i="3"/>
  <c r="AK787" i="3"/>
  <c r="AK763" i="3"/>
  <c r="AK613" i="3"/>
  <c r="AK131" i="3"/>
  <c r="AK1312" i="3"/>
  <c r="AK97" i="3"/>
  <c r="AK765" i="3"/>
  <c r="AK847" i="3"/>
  <c r="AK895" i="3"/>
  <c r="AK191" i="3"/>
  <c r="AK1121" i="3"/>
  <c r="AK751" i="3"/>
  <c r="AK1009" i="3"/>
  <c r="AK707" i="3"/>
  <c r="AK35" i="3"/>
  <c r="AK228" i="3"/>
  <c r="AK42" i="3"/>
  <c r="AK485" i="3"/>
  <c r="AK82" i="3"/>
  <c r="AK919" i="3"/>
  <c r="AK973" i="3"/>
  <c r="AK1152" i="3"/>
  <c r="AK7" i="3"/>
  <c r="AK663" i="3"/>
  <c r="AK306" i="3"/>
  <c r="AK983" i="3"/>
  <c r="AK247" i="3"/>
  <c r="AK797" i="3"/>
  <c r="AK333" i="3"/>
  <c r="AK1279" i="3"/>
  <c r="AK981" i="3"/>
  <c r="AK911" i="3"/>
  <c r="AK521" i="3"/>
  <c r="AK277" i="3"/>
  <c r="AK767" i="3"/>
  <c r="AK845" i="3"/>
  <c r="AK138" i="3"/>
  <c r="AK591" i="3"/>
  <c r="AK12" i="3"/>
  <c r="AK583" i="3"/>
  <c r="AK1273" i="3"/>
  <c r="AK899" i="3"/>
  <c r="AK168" i="3"/>
  <c r="AK497" i="3"/>
  <c r="AK841" i="3"/>
  <c r="AK533" i="3"/>
  <c r="AK1069" i="3"/>
  <c r="AK641" i="3"/>
  <c r="AK985" i="3"/>
  <c r="AK241" i="3"/>
  <c r="AK1318" i="3"/>
  <c r="AK184" i="3"/>
  <c r="AK669" i="3"/>
  <c r="AK437" i="3"/>
  <c r="AK525" i="3"/>
  <c r="AK593" i="3"/>
  <c r="AK921" i="3"/>
  <c r="AK431" i="3"/>
  <c r="AK901" i="3"/>
  <c r="AK417" i="3"/>
  <c r="AK1065" i="3"/>
  <c r="AK531" i="3"/>
  <c r="AK408" i="3"/>
  <c r="AK1132" i="3"/>
  <c r="AK1197" i="3"/>
  <c r="AK923" i="3"/>
  <c r="AK733" i="3"/>
  <c r="AK293" i="3"/>
  <c r="AK1195" i="3"/>
  <c r="AK425" i="3"/>
  <c r="AK6" i="3"/>
  <c r="AK877" i="3"/>
  <c r="AK308" i="3"/>
  <c r="AK1280" i="3"/>
  <c r="AK717" i="3"/>
  <c r="AK603" i="3"/>
  <c r="AK187" i="3"/>
  <c r="AK435" i="3"/>
  <c r="AK499" i="3"/>
  <c r="AK1357" i="3"/>
  <c r="AK286" i="3"/>
  <c r="AK711" i="3"/>
  <c r="AK463" i="3"/>
  <c r="AK139" i="3"/>
  <c r="AK271" i="3"/>
  <c r="AK509" i="3"/>
  <c r="AK194" i="3"/>
  <c r="AK1126" i="3"/>
  <c r="AK1041" i="3"/>
  <c r="AK949" i="3"/>
  <c r="AK1056" i="3"/>
  <c r="AK349" i="3"/>
  <c r="AK473" i="3"/>
  <c r="AK843" i="3"/>
  <c r="AK859" i="3"/>
  <c r="AK999" i="3"/>
  <c r="AK1134" i="3"/>
  <c r="AK1144" i="3"/>
  <c r="AK989" i="3"/>
  <c r="AK875" i="3"/>
  <c r="AK91" i="3"/>
  <c r="AK160" i="3"/>
  <c r="AK1005" i="3"/>
  <c r="AK1285" i="3"/>
  <c r="AK995" i="3"/>
  <c r="AK283" i="3"/>
  <c r="AK299" i="3"/>
  <c r="AK1053" i="3"/>
  <c r="AK34" i="3"/>
  <c r="AK1351" i="3"/>
  <c r="AK1115" i="3"/>
  <c r="AK1191" i="3"/>
  <c r="AK879" i="3"/>
  <c r="AK729" i="3"/>
  <c r="AK128" i="3"/>
  <c r="AK8" i="3"/>
  <c r="AK178" i="3"/>
  <c r="AK329" i="3"/>
  <c r="AK1251" i="3"/>
  <c r="AK307" i="3"/>
  <c r="AK38" i="3"/>
  <c r="AK1322" i="3"/>
  <c r="AK771" i="3"/>
  <c r="AK553" i="3"/>
  <c r="AK1281" i="3"/>
  <c r="AK1353" i="3"/>
  <c r="AK268" i="3"/>
  <c r="AK1033" i="3"/>
  <c r="AK199" i="3"/>
  <c r="AK903" i="3"/>
  <c r="AK605" i="3"/>
  <c r="AK140" i="3"/>
  <c r="AK947" i="3"/>
  <c r="AK951" i="3"/>
  <c r="AK575" i="3"/>
  <c r="AK945" i="3"/>
  <c r="AK541" i="3"/>
  <c r="AK1129" i="3"/>
  <c r="AK1001" i="3"/>
  <c r="AK677" i="3"/>
  <c r="AK20" i="3"/>
  <c r="AK1213" i="3"/>
  <c r="AK777" i="3"/>
  <c r="AK274" i="3"/>
  <c r="AK653" i="3"/>
  <c r="AK585" i="3"/>
  <c r="AK171" i="3"/>
  <c r="AK451" i="3"/>
  <c r="AK1099" i="3"/>
  <c r="AK205" i="3"/>
  <c r="AK209" i="3"/>
  <c r="AK238" i="3"/>
  <c r="AK833" i="3"/>
  <c r="AK1097" i="3"/>
  <c r="AK1286" i="3"/>
  <c r="AK493" i="3"/>
  <c r="AK1054" i="3"/>
  <c r="AK222" i="3"/>
  <c r="AK1164" i="3"/>
  <c r="AK78" i="3"/>
  <c r="AK1123" i="3"/>
  <c r="AK1071" i="3"/>
  <c r="AK823" i="3"/>
  <c r="AK309" i="3"/>
  <c r="AK39" i="3"/>
  <c r="AK255" i="3"/>
  <c r="AK549" i="3"/>
  <c r="AK399" i="3"/>
  <c r="AK1282" i="3"/>
  <c r="AK267" i="3"/>
  <c r="AK471" i="3"/>
  <c r="AK317" i="3"/>
  <c r="AK219" i="3"/>
  <c r="AK212" i="3"/>
  <c r="AK519" i="3"/>
  <c r="AK851" i="3"/>
  <c r="AK198" i="3"/>
  <c r="AK651" i="3"/>
  <c r="AK1187" i="3"/>
  <c r="AK141" i="3"/>
  <c r="AK1037" i="3"/>
  <c r="AK969" i="3"/>
  <c r="AK19" i="3"/>
  <c r="AK215" i="3"/>
  <c r="AK781" i="3"/>
  <c r="AK157" i="3"/>
  <c r="AK821" i="3"/>
  <c r="AK1287" i="3"/>
  <c r="AK925" i="3"/>
  <c r="AK1057" i="3"/>
  <c r="AK29" i="3"/>
  <c r="AK223" i="3"/>
  <c r="AK235" i="3"/>
  <c r="AK79" i="3"/>
  <c r="AK1045" i="3"/>
  <c r="AK290" i="3"/>
  <c r="AK825" i="3"/>
  <c r="AK665" i="3"/>
  <c r="AK939" i="3"/>
  <c r="AK635" i="3"/>
  <c r="AK302" i="3"/>
  <c r="AK252" i="3"/>
  <c r="AK1269" i="3"/>
  <c r="AK402" i="3"/>
  <c r="AK1101" i="3"/>
  <c r="AK873" i="3"/>
  <c r="AK1011" i="3"/>
  <c r="AK1029" i="3"/>
  <c r="AK200" i="3"/>
  <c r="AK791" i="3"/>
  <c r="AK142" i="3"/>
  <c r="AK1113" i="3"/>
  <c r="AK971" i="3"/>
  <c r="AK1107" i="3"/>
  <c r="AK837" i="3"/>
  <c r="AK897" i="3"/>
  <c r="AK761" i="3"/>
  <c r="AK829" i="3"/>
  <c r="AK697" i="3"/>
  <c r="AK725" i="3"/>
  <c r="AK1355" i="3"/>
  <c r="AK280" i="3"/>
  <c r="AK158" i="3"/>
  <c r="AK381" i="3"/>
  <c r="AK1288" i="3"/>
  <c r="AK685" i="3"/>
  <c r="AK1189" i="3"/>
  <c r="AK679" i="3"/>
  <c r="AK993" i="3"/>
  <c r="AK225" i="3"/>
  <c r="AK827" i="3"/>
  <c r="AK643" i="3"/>
  <c r="AK80" i="3"/>
  <c r="AK291" i="3"/>
  <c r="AK657" i="3"/>
  <c r="AK1267" i="3"/>
  <c r="AK5" i="3"/>
  <c r="AK773" i="3"/>
  <c r="AK607" i="3"/>
  <c r="AK303" i="3"/>
  <c r="AK523" i="3"/>
  <c r="AK1309" i="3"/>
  <c r="AK713" i="3"/>
  <c r="AK465" i="3"/>
  <c r="AK1237" i="3"/>
  <c r="AK201" i="3"/>
  <c r="AK1181" i="3"/>
  <c r="AK1183" i="3"/>
  <c r="AK143" i="3"/>
  <c r="AK1138" i="3"/>
  <c r="AK258" i="3"/>
  <c r="AK311" i="3"/>
  <c r="AK59" i="3"/>
  <c r="AK356" i="3"/>
  <c r="AK1320" i="3"/>
  <c r="AK743" i="3"/>
  <c r="AK159" i="3"/>
  <c r="AK539" i="3"/>
  <c r="AK1289" i="3"/>
  <c r="AK165" i="3"/>
  <c r="AK887" i="3"/>
  <c r="AK1055" i="3"/>
  <c r="AK224" i="3"/>
  <c r="AK601" i="3"/>
  <c r="AK77" i="3"/>
  <c r="AK353" i="3"/>
  <c r="AK292" i="3"/>
  <c r="AK775" i="3"/>
  <c r="AK150" i="3"/>
  <c r="AK1083" i="3"/>
  <c r="AK555" i="3"/>
  <c r="AK314" i="3"/>
  <c r="AK304" i="3"/>
  <c r="AK242" i="3"/>
  <c r="AK719" i="3"/>
  <c r="AK893" i="3"/>
  <c r="AK931" i="3"/>
  <c r="AK795" i="3"/>
  <c r="AK412" i="3"/>
  <c r="AK93" i="3"/>
  <c r="AK611" i="3"/>
  <c r="AK909" i="3"/>
  <c r="AK1007" i="3"/>
  <c r="AK202" i="3"/>
  <c r="AK789" i="3"/>
  <c r="AK629" i="3"/>
  <c r="AK785" i="3"/>
  <c r="AK857" i="3"/>
  <c r="AK623" i="3"/>
  <c r="AK1117" i="3"/>
  <c r="AK839" i="3"/>
  <c r="AK703" i="3"/>
  <c r="AK573" i="3"/>
  <c r="AK957" i="3"/>
  <c r="AK723" i="3"/>
  <c r="AK701" i="3"/>
  <c r="AA209" i="3"/>
  <c r="AA901" i="3"/>
  <c r="AA599" i="3"/>
  <c r="AA205" i="3"/>
  <c r="AA629" i="3"/>
  <c r="AA388" i="3"/>
  <c r="AA613" i="3"/>
  <c r="AA485" i="3"/>
  <c r="AA7" i="3"/>
  <c r="AA306" i="3"/>
  <c r="AA911" i="3"/>
  <c r="AA521" i="3"/>
  <c r="AD777" i="3"/>
  <c r="T777" i="3"/>
  <c r="AD413" i="3"/>
  <c r="T413" i="3"/>
  <c r="AD840" i="3"/>
  <c r="T840" i="3"/>
  <c r="AD1070" i="3"/>
  <c r="T1070" i="3"/>
  <c r="AD133" i="3"/>
  <c r="T133" i="3"/>
  <c r="AD369" i="3"/>
  <c r="T369" i="3"/>
  <c r="AD16" i="3"/>
  <c r="T16" i="3"/>
  <c r="AD950" i="3"/>
  <c r="T950" i="3"/>
  <c r="AD1209" i="3"/>
  <c r="T1209" i="3"/>
  <c r="AD1133" i="3"/>
  <c r="T1133" i="3"/>
  <c r="AD323" i="3"/>
  <c r="T323" i="3"/>
  <c r="AD831" i="3"/>
  <c r="T831" i="3"/>
  <c r="AD1214" i="3"/>
  <c r="T1214" i="3"/>
  <c r="AD358" i="3"/>
  <c r="T358" i="3"/>
  <c r="AD480" i="3"/>
  <c r="T480" i="3"/>
  <c r="AD33" i="3"/>
  <c r="T33" i="3"/>
  <c r="AD968" i="3"/>
  <c r="T968" i="3"/>
  <c r="AD250" i="3"/>
  <c r="T250" i="3"/>
  <c r="AD778" i="3"/>
  <c r="T778" i="3"/>
  <c r="AD559" i="3"/>
  <c r="T559" i="3"/>
  <c r="AD642" i="3"/>
  <c r="T642" i="3"/>
  <c r="AD667" i="3"/>
  <c r="T667" i="3"/>
  <c r="AD355" i="3"/>
  <c r="T355" i="3"/>
  <c r="AD351" i="3"/>
  <c r="T351" i="3"/>
  <c r="AD46" i="3"/>
  <c r="T46" i="3"/>
  <c r="AD151" i="3"/>
  <c r="T151" i="3"/>
  <c r="AD941" i="3"/>
  <c r="T941" i="3"/>
  <c r="AD275" i="3"/>
  <c r="T275" i="3"/>
  <c r="AD986" i="3"/>
  <c r="T986" i="3"/>
  <c r="AD122" i="3"/>
  <c r="T122" i="3"/>
  <c r="AD58" i="3"/>
  <c r="T58" i="3"/>
  <c r="AD552" i="3"/>
  <c r="T552" i="3"/>
  <c r="AD96" i="3"/>
  <c r="T96" i="3"/>
  <c r="AD316" i="3"/>
  <c r="T316" i="3"/>
  <c r="AD1043" i="3"/>
  <c r="T1043" i="3"/>
  <c r="AD244" i="3"/>
  <c r="T244" i="3"/>
  <c r="AD914" i="3"/>
  <c r="T914" i="3"/>
  <c r="AD661" i="3"/>
  <c r="T661" i="3"/>
  <c r="AD474" i="3"/>
  <c r="T474" i="3"/>
  <c r="AD620" i="3"/>
  <c r="T620" i="3"/>
  <c r="AD1035" i="3"/>
  <c r="T1035" i="3"/>
  <c r="AD390" i="3"/>
  <c r="T390" i="3"/>
  <c r="AD769" i="3"/>
  <c r="T769" i="3"/>
  <c r="AD594" i="3"/>
  <c r="T594" i="3"/>
  <c r="AD95" i="3"/>
  <c r="T95" i="3"/>
  <c r="AD933" i="3"/>
  <c r="T933" i="3"/>
  <c r="AD963" i="3"/>
  <c r="T963" i="3"/>
  <c r="AD1185" i="3"/>
  <c r="T1185" i="3"/>
  <c r="AD654" i="3"/>
  <c r="T654" i="3"/>
  <c r="AD457" i="3"/>
  <c r="T457" i="3"/>
  <c r="AD595" i="3"/>
  <c r="T595" i="3"/>
  <c r="AD1326" i="3"/>
  <c r="T1326" i="3"/>
  <c r="AD204" i="3"/>
  <c r="T204" i="3"/>
  <c r="AD766" i="3"/>
  <c r="T766" i="3"/>
  <c r="AD586" i="3"/>
  <c r="T586" i="3"/>
  <c r="AD496" i="3"/>
  <c r="T496" i="3"/>
  <c r="AD1324" i="3"/>
  <c r="T1324" i="3"/>
  <c r="AD848" i="3"/>
  <c r="T848" i="3"/>
  <c r="AD114" i="3"/>
  <c r="T114" i="3"/>
  <c r="AD173" i="3"/>
  <c r="T173" i="3"/>
  <c r="AD1073" i="3"/>
  <c r="T1073" i="3"/>
  <c r="AD483" i="3"/>
  <c r="T483" i="3"/>
  <c r="AD835" i="3"/>
  <c r="T835" i="3"/>
  <c r="AD211" i="3"/>
  <c r="T211" i="3"/>
  <c r="AD418" i="3"/>
  <c r="T418" i="3"/>
  <c r="AD860" i="3"/>
  <c r="T860" i="3"/>
  <c r="AD1333" i="3"/>
  <c r="T1333" i="3"/>
  <c r="AD1085" i="3"/>
  <c r="T1085" i="3"/>
  <c r="AD67" i="3"/>
  <c r="T67" i="3"/>
  <c r="AD727" i="3"/>
  <c r="T727" i="3"/>
  <c r="AD185" i="3"/>
  <c r="T185" i="3"/>
  <c r="AD749" i="3"/>
  <c r="T749" i="3"/>
  <c r="AD501" i="3"/>
  <c r="T501" i="3"/>
  <c r="AD551" i="3"/>
  <c r="T551" i="3"/>
  <c r="AD999" i="3"/>
  <c r="T999" i="3"/>
  <c r="AD131" i="3"/>
  <c r="T131" i="3"/>
  <c r="AD370" i="3"/>
  <c r="T370" i="3"/>
  <c r="AD15" i="3"/>
  <c r="T15" i="3"/>
  <c r="AD669" i="3"/>
  <c r="T669" i="3"/>
  <c r="AD1210" i="3"/>
  <c r="T1210" i="3"/>
  <c r="AD1134" i="3"/>
  <c r="T1134" i="3"/>
  <c r="AD325" i="3"/>
  <c r="T325" i="3"/>
  <c r="AD832" i="3"/>
  <c r="T832" i="3"/>
  <c r="AD437" i="3"/>
  <c r="T437" i="3"/>
  <c r="AD1144" i="3"/>
  <c r="T1144" i="3"/>
  <c r="AD1312" i="3"/>
  <c r="T1312" i="3"/>
  <c r="AD31" i="3"/>
  <c r="T31" i="3"/>
  <c r="AD226" i="3"/>
  <c r="T226" i="3"/>
  <c r="AD251" i="3"/>
  <c r="T251" i="3"/>
  <c r="AD86" i="3"/>
  <c r="T86" i="3"/>
  <c r="AD560" i="3"/>
  <c r="T560" i="3"/>
  <c r="AD1349" i="3"/>
  <c r="T1349" i="3"/>
  <c r="AD451" i="3"/>
  <c r="T451" i="3"/>
  <c r="AD989" i="3"/>
  <c r="T989" i="3"/>
  <c r="AD127" i="3"/>
  <c r="T127" i="3"/>
  <c r="AD45" i="3"/>
  <c r="T45" i="3"/>
  <c r="AD599" i="3"/>
  <c r="T599" i="3"/>
  <c r="AD942" i="3"/>
  <c r="T942" i="3"/>
  <c r="AD276" i="3"/>
  <c r="T276" i="3"/>
  <c r="AD321" i="3"/>
  <c r="T321" i="3"/>
  <c r="AD123" i="3"/>
  <c r="T123" i="3"/>
  <c r="AD57" i="3"/>
  <c r="T57" i="3"/>
  <c r="AD525" i="3"/>
  <c r="T525" i="3"/>
  <c r="AD97" i="3"/>
  <c r="T97" i="3"/>
  <c r="AD1031" i="3"/>
  <c r="T1031" i="3"/>
  <c r="AD1044" i="3"/>
  <c r="T1044" i="3"/>
  <c r="AD243" i="3"/>
  <c r="T243" i="3"/>
  <c r="AD875" i="3"/>
  <c r="T875" i="3"/>
  <c r="AD662" i="3"/>
  <c r="T662" i="3"/>
  <c r="AD1099" i="3"/>
  <c r="T1099" i="3"/>
  <c r="AD619" i="3"/>
  <c r="T619" i="3"/>
  <c r="AD1036" i="3"/>
  <c r="T1036" i="3"/>
  <c r="AD177" i="3"/>
  <c r="T177" i="3"/>
  <c r="AD770" i="3"/>
  <c r="T770" i="3"/>
  <c r="AD593" i="3"/>
  <c r="T593" i="3"/>
  <c r="AD91" i="3"/>
  <c r="T91" i="3"/>
  <c r="AD934" i="3"/>
  <c r="T934" i="3"/>
  <c r="AD964" i="3"/>
  <c r="T964" i="3"/>
  <c r="AD1186" i="3"/>
  <c r="T1186" i="3"/>
  <c r="AD634" i="3"/>
  <c r="T634" i="3"/>
  <c r="AD153" i="3"/>
  <c r="T153" i="3"/>
  <c r="AD921" i="3"/>
  <c r="T921" i="3"/>
  <c r="AD1327" i="3"/>
  <c r="T1327" i="3"/>
  <c r="AD205" i="3"/>
  <c r="T205" i="3"/>
  <c r="AD765" i="3"/>
  <c r="T765" i="3"/>
  <c r="AD431" i="3"/>
  <c r="T431" i="3"/>
  <c r="AD265" i="3"/>
  <c r="T265" i="3"/>
  <c r="AD1325" i="3"/>
  <c r="T1325" i="3"/>
  <c r="AD847" i="3"/>
  <c r="T847" i="3"/>
  <c r="AD115" i="3"/>
  <c r="T115" i="3"/>
  <c r="AD901" i="3"/>
  <c r="T901" i="3"/>
  <c r="AD1074" i="3"/>
  <c r="T1074" i="3"/>
  <c r="AD484" i="3"/>
  <c r="T484" i="3"/>
  <c r="AD836" i="3"/>
  <c r="T836" i="3"/>
  <c r="AD209" i="3"/>
  <c r="T209" i="3"/>
  <c r="AD417" i="3"/>
  <c r="T417" i="3"/>
  <c r="AD1334" i="3"/>
  <c r="T1334" i="3"/>
  <c r="AD1086" i="3"/>
  <c r="T1086" i="3"/>
  <c r="AD65" i="3"/>
  <c r="T65" i="3"/>
  <c r="AD728" i="3"/>
  <c r="T728" i="3"/>
  <c r="AD1065" i="3"/>
  <c r="T1065" i="3"/>
  <c r="AD750" i="3"/>
  <c r="T750" i="3"/>
  <c r="AD502" i="3"/>
  <c r="T502" i="3"/>
  <c r="AD1069" i="3"/>
  <c r="T1069" i="3"/>
  <c r="AD349" i="3"/>
  <c r="T349" i="3"/>
  <c r="AD313" i="3"/>
  <c r="T313" i="3"/>
  <c r="AD1000" i="3"/>
  <c r="T1000" i="3"/>
  <c r="AD943" i="3"/>
  <c r="T943" i="3"/>
  <c r="AD371" i="3"/>
  <c r="T371" i="3"/>
  <c r="AD17" i="3"/>
  <c r="T17" i="3"/>
  <c r="AD670" i="3"/>
  <c r="T670" i="3"/>
  <c r="AD709" i="3"/>
  <c r="T709" i="3"/>
  <c r="AD1135" i="3"/>
  <c r="T1135" i="3"/>
  <c r="AD148" i="3"/>
  <c r="T148" i="3"/>
  <c r="AD779" i="3"/>
  <c r="T779" i="3"/>
  <c r="AD438" i="3"/>
  <c r="T438" i="3"/>
  <c r="AD1146" i="3"/>
  <c r="T1146" i="3"/>
  <c r="AD1313" i="3"/>
  <c r="T1313" i="3"/>
  <c r="AD30" i="3"/>
  <c r="T30" i="3"/>
  <c r="AD227" i="3"/>
  <c r="T227" i="3"/>
  <c r="AD44" i="3"/>
  <c r="T44" i="3"/>
  <c r="AD87" i="3"/>
  <c r="T87" i="3"/>
  <c r="AD1170" i="3"/>
  <c r="T1170" i="3"/>
  <c r="AD1348" i="3"/>
  <c r="T1348" i="3"/>
  <c r="AD452" i="3"/>
  <c r="T452" i="3"/>
  <c r="AD990" i="3"/>
  <c r="T990" i="3"/>
  <c r="AD126" i="3"/>
  <c r="T126" i="3"/>
  <c r="AD48" i="3"/>
  <c r="T48" i="3"/>
  <c r="AD600" i="3"/>
  <c r="T600" i="3"/>
  <c r="AD1201" i="3"/>
  <c r="T1201" i="3"/>
  <c r="AD1153" i="3"/>
  <c r="T1153" i="3"/>
  <c r="AD320" i="3"/>
  <c r="T320" i="3"/>
  <c r="AD124" i="3"/>
  <c r="T124" i="3"/>
  <c r="AD722" i="3"/>
  <c r="T722" i="3"/>
  <c r="AD526" i="3"/>
  <c r="T526" i="3"/>
  <c r="AD98" i="3"/>
  <c r="T98" i="3"/>
  <c r="AD1032" i="3"/>
  <c r="T1032" i="3"/>
  <c r="AD1015" i="3"/>
  <c r="T1015" i="3"/>
  <c r="AD245" i="3"/>
  <c r="T245" i="3"/>
  <c r="AD876" i="3"/>
  <c r="T876" i="3"/>
  <c r="AD637" i="3"/>
  <c r="T637" i="3"/>
  <c r="AD1100" i="3"/>
  <c r="T1100" i="3"/>
  <c r="AD1013" i="3"/>
  <c r="T1013" i="3"/>
  <c r="AD175" i="3"/>
  <c r="T175" i="3"/>
  <c r="AD71" i="3"/>
  <c r="T71" i="3"/>
  <c r="AD547" i="3"/>
  <c r="T547" i="3"/>
  <c r="AD92" i="3"/>
  <c r="T92" i="3"/>
  <c r="AD927" i="3"/>
  <c r="T927" i="3"/>
  <c r="AD278" i="3"/>
  <c r="T278" i="3"/>
  <c r="AD794" i="3"/>
  <c r="T794" i="3"/>
  <c r="AD633" i="3"/>
  <c r="T633" i="3"/>
  <c r="AD154" i="3"/>
  <c r="T154" i="3"/>
  <c r="AD922" i="3"/>
  <c r="T922" i="3"/>
  <c r="AD953" i="3"/>
  <c r="T953" i="3"/>
  <c r="AD207" i="3"/>
  <c r="T207" i="3"/>
  <c r="AD62" i="3"/>
  <c r="T62" i="3"/>
  <c r="AD432" i="3"/>
  <c r="T432" i="3"/>
  <c r="AD266" i="3"/>
  <c r="T266" i="3"/>
  <c r="AD979" i="3"/>
  <c r="T979" i="3"/>
  <c r="AD537" i="3"/>
  <c r="T537" i="3"/>
  <c r="AD113" i="3"/>
  <c r="T113" i="3"/>
  <c r="AD902" i="3"/>
  <c r="T902" i="3"/>
  <c r="AD546" i="3"/>
  <c r="T546" i="3"/>
  <c r="AD1271" i="3"/>
  <c r="T1271" i="3"/>
  <c r="AD1023" i="3"/>
  <c r="T1023" i="3"/>
  <c r="AD210" i="3"/>
  <c r="T210" i="3"/>
  <c r="AD754" i="3"/>
  <c r="T754" i="3"/>
  <c r="AD73" i="3"/>
  <c r="T73" i="3"/>
  <c r="AD745" i="3"/>
  <c r="T745" i="3"/>
  <c r="AD1066" i="3"/>
  <c r="T1066" i="3"/>
  <c r="AD1111" i="3"/>
  <c r="T1111" i="3"/>
  <c r="AD274" i="3"/>
  <c r="T274" i="3"/>
  <c r="AD910" i="3"/>
  <c r="T910" i="3"/>
  <c r="AD724" i="3"/>
  <c r="T724" i="3"/>
  <c r="AD1173" i="3"/>
  <c r="T1173" i="3"/>
  <c r="AD944" i="3"/>
  <c r="T944" i="3"/>
  <c r="AD192" i="3"/>
  <c r="T192" i="3"/>
  <c r="AD561" i="3"/>
  <c r="T561" i="3"/>
  <c r="AD409" i="3"/>
  <c r="T409" i="3"/>
  <c r="AD710" i="3"/>
  <c r="T710" i="3"/>
  <c r="AD1136" i="3"/>
  <c r="T1136" i="3"/>
  <c r="AD147" i="3"/>
  <c r="T147" i="3"/>
  <c r="AD780" i="3"/>
  <c r="T780" i="3"/>
  <c r="AD1203" i="3"/>
  <c r="T1203" i="3"/>
  <c r="AD1145" i="3"/>
  <c r="T1145" i="3"/>
  <c r="AD1314" i="3"/>
  <c r="T1314" i="3"/>
  <c r="AD32" i="3"/>
  <c r="T32" i="3"/>
  <c r="AD229" i="3"/>
  <c r="T229" i="3"/>
  <c r="AD43" i="3"/>
  <c r="T43" i="3"/>
  <c r="AD85" i="3"/>
  <c r="T85" i="3"/>
  <c r="AD1169" i="3"/>
  <c r="T1169" i="3"/>
  <c r="AD81" i="3"/>
  <c r="T81" i="3"/>
  <c r="AD326" i="3"/>
  <c r="T326" i="3"/>
  <c r="AD965" i="3"/>
  <c r="T965" i="3"/>
  <c r="AD125" i="3"/>
  <c r="T125" i="3"/>
  <c r="AD557" i="3"/>
  <c r="T557" i="3"/>
  <c r="AD1202" i="3"/>
  <c r="T1202" i="3"/>
  <c r="AD1154" i="3"/>
  <c r="T1154" i="3"/>
  <c r="AD322" i="3"/>
  <c r="T322" i="3"/>
  <c r="AD915" i="3"/>
  <c r="T915" i="3"/>
  <c r="AD721" i="3"/>
  <c r="T721" i="3"/>
  <c r="AD477" i="3"/>
  <c r="T477" i="3"/>
  <c r="AD99" i="3"/>
  <c r="T99" i="3"/>
  <c r="AD305" i="3"/>
  <c r="T305" i="3"/>
  <c r="AD1016" i="3"/>
  <c r="T1016" i="3"/>
  <c r="AD246" i="3"/>
  <c r="T246" i="3"/>
  <c r="AD798" i="3"/>
  <c r="T798" i="3"/>
  <c r="AD638" i="3"/>
  <c r="T638" i="3"/>
  <c r="AD937" i="3"/>
  <c r="T937" i="3"/>
  <c r="AD1284" i="3"/>
  <c r="T1284" i="3"/>
  <c r="AD1014" i="3"/>
  <c r="T1014" i="3"/>
  <c r="AD176" i="3"/>
  <c r="T176" i="3"/>
  <c r="AD70" i="3"/>
  <c r="T70" i="3"/>
  <c r="AD548" i="3"/>
  <c r="T548" i="3"/>
  <c r="AD1079" i="3"/>
  <c r="T1079" i="3"/>
  <c r="AD928" i="3"/>
  <c r="T928" i="3"/>
  <c r="AD279" i="3"/>
  <c r="T279" i="3"/>
  <c r="AD793" i="3"/>
  <c r="T793" i="3"/>
  <c r="AD589" i="3"/>
  <c r="T589" i="3"/>
  <c r="AD155" i="3"/>
  <c r="T155" i="3"/>
  <c r="AD954" i="3"/>
  <c r="T954" i="3"/>
  <c r="AD232" i="3"/>
  <c r="T232" i="3"/>
  <c r="AD63" i="3"/>
  <c r="T63" i="3"/>
  <c r="AD1081" i="3"/>
  <c r="T1081" i="3"/>
  <c r="AD264" i="3"/>
  <c r="T264" i="3"/>
  <c r="AD980" i="3"/>
  <c r="T980" i="3"/>
  <c r="AD538" i="3"/>
  <c r="T538" i="3"/>
  <c r="AD11" i="3"/>
  <c r="T11" i="3"/>
  <c r="AD584" i="3"/>
  <c r="T584" i="3"/>
  <c r="AD545" i="3"/>
  <c r="T545" i="3"/>
  <c r="AD1272" i="3"/>
  <c r="T1272" i="3"/>
  <c r="AD1024" i="3"/>
  <c r="T1024" i="3"/>
  <c r="AD337" i="3"/>
  <c r="T337" i="3"/>
  <c r="AD753" i="3"/>
  <c r="T753" i="3"/>
  <c r="AD261" i="3"/>
  <c r="T261" i="3"/>
  <c r="AD74" i="3"/>
  <c r="T74" i="3"/>
  <c r="AD787" i="3"/>
  <c r="T787" i="3"/>
  <c r="AD746" i="3"/>
  <c r="T746" i="3"/>
  <c r="AD763" i="3"/>
  <c r="T763" i="3"/>
  <c r="AD613" i="3"/>
  <c r="T613" i="3"/>
  <c r="AD1112" i="3"/>
  <c r="T1112" i="3"/>
  <c r="AD1120" i="3"/>
  <c r="T1120" i="3"/>
  <c r="AD602" i="3"/>
  <c r="T602" i="3"/>
  <c r="AD458" i="3"/>
  <c r="T458" i="3"/>
  <c r="AD184" i="3"/>
  <c r="T184" i="3"/>
  <c r="AD1174" i="3"/>
  <c r="T1174" i="3"/>
  <c r="AD191" i="3"/>
  <c r="T191" i="3"/>
  <c r="AD562" i="3"/>
  <c r="T562" i="3"/>
  <c r="AD411" i="3"/>
  <c r="T411" i="3"/>
  <c r="AD1121" i="3"/>
  <c r="T1121" i="3"/>
  <c r="AD1137" i="3"/>
  <c r="T1137" i="3"/>
  <c r="AD149" i="3"/>
  <c r="T149" i="3"/>
  <c r="AD751" i="3"/>
  <c r="T751" i="3"/>
  <c r="AD1204" i="3"/>
  <c r="T1204" i="3"/>
  <c r="AD1009" i="3"/>
  <c r="T1009" i="3"/>
  <c r="AD707" i="3"/>
  <c r="T707" i="3"/>
  <c r="AD35" i="3"/>
  <c r="T35" i="3"/>
  <c r="AD228" i="3"/>
  <c r="T228" i="3"/>
  <c r="AD42" i="3"/>
  <c r="T42" i="3"/>
  <c r="AD734" i="3"/>
  <c r="T734" i="3"/>
  <c r="AD485" i="3"/>
  <c r="T485" i="3"/>
  <c r="AD327" i="3"/>
  <c r="T327" i="3"/>
  <c r="AD966" i="3"/>
  <c r="T966" i="3"/>
  <c r="AD919" i="3"/>
  <c r="T919" i="3"/>
  <c r="AD49" i="3"/>
  <c r="T49" i="3"/>
  <c r="AD558" i="3"/>
  <c r="T558" i="3"/>
  <c r="AD973" i="3"/>
  <c r="T973" i="3"/>
  <c r="AD1152" i="3"/>
  <c r="T1152" i="3"/>
  <c r="AD7" i="3"/>
  <c r="T7" i="3"/>
  <c r="AD916" i="3"/>
  <c r="T916" i="3"/>
  <c r="AD663" i="3"/>
  <c r="T663" i="3"/>
  <c r="AD478" i="3"/>
  <c r="T478" i="3"/>
  <c r="AD100" i="3"/>
  <c r="T100" i="3"/>
  <c r="AD306" i="3"/>
  <c r="T306" i="3"/>
  <c r="AD983" i="3"/>
  <c r="T983" i="3"/>
  <c r="AD247" i="3"/>
  <c r="T247" i="3"/>
  <c r="AD333" i="3"/>
  <c r="T333" i="3"/>
  <c r="AD938" i="3"/>
  <c r="T938" i="3"/>
  <c r="AD1279" i="3"/>
  <c r="T1279" i="3"/>
  <c r="AD981" i="3"/>
  <c r="T981" i="3"/>
  <c r="AD911" i="3"/>
  <c r="T911" i="3"/>
  <c r="AD72" i="3"/>
  <c r="T72" i="3"/>
  <c r="AD521" i="3"/>
  <c r="T521" i="3"/>
  <c r="AD1080" i="3"/>
  <c r="T1080" i="3"/>
  <c r="AD604" i="3"/>
  <c r="T604" i="3"/>
  <c r="AD277" i="3"/>
  <c r="T277" i="3"/>
  <c r="AD767" i="3"/>
  <c r="T767" i="3"/>
  <c r="AD590" i="3"/>
  <c r="T590" i="3"/>
  <c r="AD156" i="3"/>
  <c r="T156" i="3"/>
  <c r="AD872" i="3"/>
  <c r="T872" i="3"/>
  <c r="AD288" i="3"/>
  <c r="T288" i="3"/>
  <c r="AD234" i="3"/>
  <c r="T234" i="3"/>
  <c r="AD64" i="3"/>
  <c r="T64" i="3"/>
  <c r="AD1082" i="3"/>
  <c r="T1082" i="3"/>
  <c r="AD845" i="3"/>
  <c r="T845" i="3"/>
  <c r="AD138" i="3"/>
  <c r="T138" i="3"/>
  <c r="AD591" i="3"/>
  <c r="T591" i="3"/>
  <c r="AD12" i="3"/>
  <c r="T12" i="3"/>
  <c r="AD583" i="3"/>
  <c r="T583" i="3"/>
  <c r="AD1273" i="3"/>
  <c r="T1273" i="3"/>
  <c r="AD899" i="3"/>
  <c r="T899" i="3"/>
  <c r="AD168" i="3"/>
  <c r="T168" i="3"/>
  <c r="AD339" i="3"/>
  <c r="T339" i="3"/>
  <c r="AD497" i="3"/>
  <c r="T497" i="3"/>
  <c r="AD262" i="3"/>
  <c r="T262" i="3"/>
  <c r="AD75" i="3"/>
  <c r="T75" i="3"/>
  <c r="AD788" i="3"/>
  <c r="T788" i="3"/>
  <c r="AD196" i="3"/>
  <c r="T196" i="3"/>
  <c r="AD764" i="3"/>
  <c r="T764" i="3"/>
  <c r="AD614" i="3"/>
  <c r="T614" i="3"/>
  <c r="AD841" i="3"/>
  <c r="T841" i="3"/>
  <c r="AD533" i="3"/>
  <c r="T533" i="3"/>
  <c r="AD744" i="3"/>
  <c r="T744" i="3"/>
  <c r="AD888" i="3"/>
  <c r="T888" i="3"/>
  <c r="AD249" i="3"/>
  <c r="T249" i="3"/>
  <c r="AD354" i="3"/>
  <c r="T354" i="3"/>
  <c r="AD1320" i="3"/>
  <c r="T1320" i="3"/>
  <c r="AD720" i="3"/>
  <c r="T720" i="3"/>
  <c r="AD612" i="3"/>
  <c r="T612" i="3"/>
  <c r="AD858" i="3"/>
  <c r="T858" i="3"/>
  <c r="AD239" i="3"/>
  <c r="T239" i="3"/>
  <c r="AD896" i="3"/>
  <c r="T896" i="3"/>
  <c r="AD161" i="3"/>
  <c r="T161" i="3"/>
  <c r="AD531" i="3"/>
  <c r="T531" i="3"/>
  <c r="AD408" i="3"/>
  <c r="T408" i="3"/>
  <c r="AD1122" i="3"/>
  <c r="T1122" i="3"/>
  <c r="AD1132" i="3"/>
  <c r="T1132" i="3"/>
  <c r="AD4" i="3"/>
  <c r="T4" i="3"/>
  <c r="AD752" i="3"/>
  <c r="T752" i="3"/>
  <c r="AD1197" i="3"/>
  <c r="T1197" i="3"/>
  <c r="AD1010" i="3"/>
  <c r="T1010" i="3"/>
  <c r="AD708" i="3"/>
  <c r="T708" i="3"/>
  <c r="AD36" i="3"/>
  <c r="T36" i="3"/>
  <c r="AD231" i="3"/>
  <c r="T231" i="3"/>
  <c r="AD923" i="3"/>
  <c r="T923" i="3"/>
  <c r="AD733" i="3"/>
  <c r="T733" i="3"/>
  <c r="AD486" i="3"/>
  <c r="T486" i="3"/>
  <c r="AD84" i="3"/>
  <c r="T84" i="3"/>
  <c r="AD328" i="3"/>
  <c r="T328" i="3"/>
  <c r="AD293" i="3"/>
  <c r="T293" i="3"/>
  <c r="AD920" i="3"/>
  <c r="T920" i="3"/>
  <c r="AD50" i="3"/>
  <c r="T50" i="3"/>
  <c r="AD1195" i="3"/>
  <c r="T1195" i="3"/>
  <c r="AD974" i="3"/>
  <c r="T974" i="3"/>
  <c r="AD425" i="3"/>
  <c r="T425" i="3"/>
  <c r="AD6" i="3"/>
  <c r="T6" i="3"/>
  <c r="AD877" i="3"/>
  <c r="T877" i="3"/>
  <c r="AD664" i="3"/>
  <c r="T664" i="3"/>
  <c r="AD332" i="3"/>
  <c r="T332" i="3"/>
  <c r="AD101" i="3"/>
  <c r="T101" i="3"/>
  <c r="AD308" i="3"/>
  <c r="T308" i="3"/>
  <c r="AD984" i="3"/>
  <c r="T984" i="3"/>
  <c r="AD248" i="3"/>
  <c r="T248" i="3"/>
  <c r="AD772" i="3"/>
  <c r="T772" i="3"/>
  <c r="AD334" i="3"/>
  <c r="T334" i="3"/>
  <c r="AD554" i="3"/>
  <c r="T554" i="3"/>
  <c r="AD1280" i="3"/>
  <c r="T1280" i="3"/>
  <c r="AD982" i="3"/>
  <c r="T982" i="3"/>
  <c r="AD912" i="3"/>
  <c r="T912" i="3"/>
  <c r="AD717" i="3"/>
  <c r="T717" i="3"/>
  <c r="AD522" i="3"/>
  <c r="T522" i="3"/>
  <c r="AD318" i="3"/>
  <c r="T318" i="3"/>
  <c r="AD603" i="3"/>
  <c r="T603" i="3"/>
  <c r="AD187" i="3"/>
  <c r="T187" i="3"/>
  <c r="AD768" i="3"/>
  <c r="T768" i="3"/>
  <c r="AD435" i="3"/>
  <c r="T435" i="3"/>
  <c r="AD499" i="3"/>
  <c r="T499" i="3"/>
  <c r="AD1357" i="3"/>
  <c r="T1357" i="3"/>
  <c r="AD286" i="3"/>
  <c r="T286" i="3"/>
  <c r="AD233" i="3"/>
  <c r="T233" i="3"/>
  <c r="AD711" i="3"/>
  <c r="T711" i="3"/>
  <c r="AD463" i="3"/>
  <c r="T463" i="3"/>
  <c r="AD846" i="3"/>
  <c r="T846" i="3"/>
  <c r="AD139" i="3"/>
  <c r="T139" i="3"/>
  <c r="AD592" i="3"/>
  <c r="T592" i="3"/>
  <c r="T13" i="3"/>
  <c r="AD271" i="3"/>
  <c r="T271" i="3"/>
  <c r="AD1274" i="3"/>
  <c r="T1274" i="3"/>
  <c r="AD900" i="3"/>
  <c r="T900" i="3"/>
  <c r="AD170" i="3"/>
  <c r="T170" i="3"/>
  <c r="AD338" i="3"/>
  <c r="T338" i="3"/>
  <c r="AD498" i="3"/>
  <c r="T498" i="3"/>
  <c r="AD263" i="3"/>
  <c r="T263" i="3"/>
  <c r="AD76" i="3"/>
  <c r="T76" i="3"/>
  <c r="AD509" i="3"/>
  <c r="T509" i="3"/>
  <c r="AD194" i="3"/>
  <c r="T194" i="3"/>
  <c r="AD1126" i="3"/>
  <c r="T1126" i="3"/>
  <c r="AD1041" i="3"/>
  <c r="T1041" i="3"/>
  <c r="AD842" i="3"/>
  <c r="T842" i="3"/>
  <c r="AD534" i="3"/>
  <c r="T534" i="3"/>
  <c r="AD949" i="3"/>
  <c r="T949" i="3"/>
  <c r="AD1213" i="3"/>
  <c r="T1213" i="3"/>
  <c r="AD641" i="3"/>
  <c r="T641" i="3"/>
  <c r="AD985" i="3"/>
  <c r="T985" i="3"/>
  <c r="AD796" i="3"/>
  <c r="T796" i="3"/>
  <c r="AD203" i="3"/>
  <c r="T203" i="3"/>
  <c r="AD1118" i="3"/>
  <c r="T1118" i="3"/>
  <c r="AD240" i="3"/>
  <c r="T240" i="3"/>
  <c r="AD834" i="3"/>
  <c r="T834" i="3"/>
  <c r="AD160" i="3"/>
  <c r="T160" i="3"/>
  <c r="AD532" i="3"/>
  <c r="T532" i="3"/>
  <c r="AD1005" i="3"/>
  <c r="T1005" i="3"/>
  <c r="AD1285" i="3"/>
  <c r="T1285" i="3"/>
  <c r="AD995" i="3"/>
  <c r="T995" i="3"/>
  <c r="AD3" i="3"/>
  <c r="T3" i="3"/>
  <c r="AD283" i="3"/>
  <c r="T283" i="3"/>
  <c r="AD1198" i="3"/>
  <c r="T1198" i="3"/>
  <c r="AD299" i="3"/>
  <c r="T299" i="3"/>
  <c r="AD1053" i="3"/>
  <c r="T1053" i="3"/>
  <c r="AD34" i="3"/>
  <c r="T34" i="3"/>
  <c r="AD230" i="3"/>
  <c r="T230" i="3"/>
  <c r="AD924" i="3"/>
  <c r="T924" i="3"/>
  <c r="AD1351" i="3"/>
  <c r="T1351" i="3"/>
  <c r="AD83" i="3"/>
  <c r="T83" i="3"/>
  <c r="AD1191" i="3"/>
  <c r="T1191" i="3"/>
  <c r="AD294" i="3"/>
  <c r="T294" i="3"/>
  <c r="AD879" i="3"/>
  <c r="T879" i="3"/>
  <c r="AD729" i="3"/>
  <c r="T729" i="3"/>
  <c r="AD1196" i="3"/>
  <c r="T1196" i="3"/>
  <c r="AD128" i="3"/>
  <c r="T128" i="3"/>
  <c r="AD426" i="3"/>
  <c r="T426" i="3"/>
  <c r="AD8" i="3"/>
  <c r="T8" i="3"/>
  <c r="AD878" i="3"/>
  <c r="T878" i="3"/>
  <c r="AD178" i="3"/>
  <c r="T178" i="3"/>
  <c r="AD329" i="3"/>
  <c r="T329" i="3"/>
  <c r="AD1251" i="3"/>
  <c r="T1251" i="3"/>
  <c r="AD307" i="3"/>
  <c r="T307" i="3"/>
  <c r="AD38" i="3"/>
  <c r="T38" i="3"/>
  <c r="AD1322" i="3"/>
  <c r="T1322" i="3"/>
  <c r="AD771" i="3"/>
  <c r="T771" i="3"/>
  <c r="AD336" i="3"/>
  <c r="T336" i="3"/>
  <c r="AD553" i="3"/>
  <c r="T553" i="3"/>
  <c r="AD1281" i="3"/>
  <c r="T1281" i="3"/>
  <c r="AD1353" i="3"/>
  <c r="T1353" i="3"/>
  <c r="AD268" i="3"/>
  <c r="T268" i="3"/>
  <c r="AD718" i="3"/>
  <c r="T718" i="3"/>
  <c r="AD472" i="3"/>
  <c r="T472" i="3"/>
  <c r="AD319" i="3"/>
  <c r="T319" i="3"/>
  <c r="AD1033" i="3"/>
  <c r="T1033" i="3"/>
  <c r="AD189" i="3"/>
  <c r="T189" i="3"/>
  <c r="AD214" i="3"/>
  <c r="T214" i="3"/>
  <c r="AD436" i="3"/>
  <c r="T436" i="3"/>
  <c r="AD500" i="3"/>
  <c r="T500" i="3"/>
  <c r="AD1359" i="3"/>
  <c r="T1359" i="3"/>
  <c r="AD199" i="3"/>
  <c r="T199" i="3"/>
  <c r="AD903" i="3"/>
  <c r="T903" i="3"/>
  <c r="AD712" i="3"/>
  <c r="T712" i="3"/>
  <c r="AD464" i="3"/>
  <c r="T464" i="3"/>
  <c r="AD605" i="3"/>
  <c r="T605" i="3"/>
  <c r="AD140" i="3"/>
  <c r="T140" i="3"/>
  <c r="AD947" i="3"/>
  <c r="T947" i="3"/>
  <c r="AD14" i="3"/>
  <c r="T14" i="3"/>
  <c r="AD273" i="3"/>
  <c r="T273" i="3"/>
  <c r="AD951" i="3"/>
  <c r="T951" i="3"/>
  <c r="AD575" i="3"/>
  <c r="T575" i="3"/>
  <c r="AD169" i="3"/>
  <c r="T169" i="3"/>
  <c r="AD945" i="3"/>
  <c r="T945" i="3"/>
  <c r="AD541" i="3"/>
  <c r="T541" i="3"/>
  <c r="AD1129" i="3"/>
  <c r="T1129" i="3"/>
  <c r="AD1001" i="3"/>
  <c r="T1001" i="3"/>
  <c r="AD510" i="3"/>
  <c r="T510" i="3"/>
  <c r="AD677" i="3"/>
  <c r="T677" i="3"/>
  <c r="AD1127" i="3"/>
  <c r="T1127" i="3"/>
  <c r="AD1042" i="3"/>
  <c r="T1042" i="3"/>
  <c r="AD20" i="3"/>
  <c r="T20" i="3"/>
  <c r="AD217" i="3"/>
  <c r="T217" i="3"/>
  <c r="AD132" i="3"/>
  <c r="T132" i="3"/>
  <c r="AD324" i="3"/>
  <c r="T324" i="3"/>
  <c r="AD1056" i="3"/>
  <c r="T1056" i="3"/>
  <c r="AD152" i="3"/>
  <c r="T152" i="3"/>
  <c r="AD315" i="3"/>
  <c r="T315" i="3"/>
  <c r="AD932" i="3"/>
  <c r="T932" i="3"/>
  <c r="AD596" i="3"/>
  <c r="T596" i="3"/>
  <c r="AD495" i="3"/>
  <c r="T495" i="3"/>
  <c r="AD66" i="3"/>
  <c r="T66" i="3"/>
  <c r="AD238" i="3"/>
  <c r="T238" i="3"/>
  <c r="AD833" i="3"/>
  <c r="T833" i="3"/>
  <c r="AD164" i="3"/>
  <c r="T164" i="3"/>
  <c r="AD1097" i="3"/>
  <c r="T1097" i="3"/>
  <c r="AD1006" i="3"/>
  <c r="T1006" i="3"/>
  <c r="AD1286" i="3"/>
  <c r="T1286" i="3"/>
  <c r="AD996" i="3"/>
  <c r="T996" i="3"/>
  <c r="T2" i="3"/>
  <c r="AD285" i="3"/>
  <c r="T285" i="3"/>
  <c r="AD493" i="3"/>
  <c r="T493" i="3"/>
  <c r="AD300" i="3"/>
  <c r="T300" i="3"/>
  <c r="AD1054" i="3"/>
  <c r="T1054" i="3"/>
  <c r="AD37" i="3"/>
  <c r="T37" i="3"/>
  <c r="AD222" i="3"/>
  <c r="T222" i="3"/>
  <c r="AD1164" i="3"/>
  <c r="T1164" i="3"/>
  <c r="AD1352" i="3"/>
  <c r="T1352" i="3"/>
  <c r="AD1116" i="3"/>
  <c r="T1116" i="3"/>
  <c r="AD78" i="3"/>
  <c r="T78" i="3"/>
  <c r="AD1192" i="3"/>
  <c r="T1192" i="3"/>
  <c r="AD295" i="3"/>
  <c r="T295" i="3"/>
  <c r="AD880" i="3"/>
  <c r="T880" i="3"/>
  <c r="AD730" i="3"/>
  <c r="T730" i="3"/>
  <c r="AD1123" i="3"/>
  <c r="T1123" i="3"/>
  <c r="AD129" i="3"/>
  <c r="T129" i="3"/>
  <c r="AD1071" i="3"/>
  <c r="T1071" i="3"/>
  <c r="AD9" i="3"/>
  <c r="T9" i="3"/>
  <c r="AD823" i="3"/>
  <c r="T823" i="3"/>
  <c r="AD180" i="3"/>
  <c r="T180" i="3"/>
  <c r="AD330" i="3"/>
  <c r="T330" i="3"/>
  <c r="AD1252" i="3"/>
  <c r="T1252" i="3"/>
  <c r="AD309" i="3"/>
  <c r="T309" i="3"/>
  <c r="AD39" i="3"/>
  <c r="T39" i="3"/>
  <c r="AD1323" i="3"/>
  <c r="T1323" i="3"/>
  <c r="AD255" i="3"/>
  <c r="T255" i="3"/>
  <c r="AD549" i="3"/>
  <c r="T549" i="3"/>
  <c r="AD399" i="3"/>
  <c r="T399" i="3"/>
  <c r="AD1282" i="3"/>
  <c r="T1282" i="3"/>
  <c r="AD1354" i="3"/>
  <c r="T1354" i="3"/>
  <c r="AD267" i="3"/>
  <c r="T267" i="3"/>
  <c r="AD404" i="3"/>
  <c r="T404" i="3"/>
  <c r="AD471" i="3"/>
  <c r="T471" i="3"/>
  <c r="AD317" i="3"/>
  <c r="T317" i="3"/>
  <c r="AD1034" i="3"/>
  <c r="T1034" i="3"/>
  <c r="AD219" i="3"/>
  <c r="T219" i="3"/>
  <c r="AD212" i="3"/>
  <c r="T212" i="3"/>
  <c r="AD519" i="3"/>
  <c r="T519" i="3"/>
  <c r="AD851" i="3"/>
  <c r="T851" i="3"/>
  <c r="AD1360" i="3"/>
  <c r="T1360" i="3"/>
  <c r="AD198" i="3"/>
  <c r="T198" i="3"/>
  <c r="AD904" i="3"/>
  <c r="T904" i="3"/>
  <c r="AD651" i="3"/>
  <c r="T651" i="3"/>
  <c r="AD1187" i="3"/>
  <c r="T1187" i="3"/>
  <c r="AD606" i="3"/>
  <c r="T606" i="3"/>
  <c r="AD141" i="3"/>
  <c r="T141" i="3"/>
  <c r="AD948" i="3"/>
  <c r="T948" i="3"/>
  <c r="AD1037" i="3"/>
  <c r="T1037" i="3"/>
  <c r="AD272" i="3"/>
  <c r="T272" i="3"/>
  <c r="AD952" i="3"/>
  <c r="T952" i="3"/>
  <c r="AD576" i="3"/>
  <c r="T576" i="3"/>
  <c r="AD969" i="3"/>
  <c r="T969" i="3"/>
  <c r="AD946" i="3"/>
  <c r="T946" i="3"/>
  <c r="AD542" i="3"/>
  <c r="T542" i="3"/>
  <c r="AD1130" i="3"/>
  <c r="T1130" i="3"/>
  <c r="AD1002" i="3"/>
  <c r="T1002" i="3"/>
  <c r="AD830" i="3"/>
  <c r="T830" i="3"/>
  <c r="AD678" i="3"/>
  <c r="T678" i="3"/>
  <c r="AD1128" i="3"/>
  <c r="T1128" i="3"/>
  <c r="AD60" i="3"/>
  <c r="T60" i="3"/>
  <c r="AD19" i="3"/>
  <c r="T19" i="3"/>
  <c r="AD215" i="3"/>
  <c r="T215" i="3"/>
  <c r="AD540" i="3"/>
  <c r="T540" i="3"/>
  <c r="AD967" i="3"/>
  <c r="T967" i="3"/>
  <c r="AD1084" i="3"/>
  <c r="T1084" i="3"/>
  <c r="AD310" i="3"/>
  <c r="T310" i="3"/>
  <c r="AD894" i="3"/>
  <c r="T894" i="3"/>
  <c r="AD1318" i="3"/>
  <c r="T1318" i="3"/>
  <c r="AD1008" i="3"/>
  <c r="T1008" i="3"/>
  <c r="AD843" i="3"/>
  <c r="T843" i="3"/>
  <c r="AD171" i="3"/>
  <c r="T171" i="3"/>
  <c r="AD624" i="3"/>
  <c r="T624" i="3"/>
  <c r="AD859" i="3"/>
  <c r="T859" i="3"/>
  <c r="AD958" i="3"/>
  <c r="T958" i="3"/>
  <c r="AD702" i="3"/>
  <c r="T702" i="3"/>
  <c r="AD281" i="3"/>
  <c r="T281" i="3"/>
  <c r="AD781" i="3"/>
  <c r="T781" i="3"/>
  <c r="AD157" i="3"/>
  <c r="T157" i="3"/>
  <c r="AD1098" i="3"/>
  <c r="T1098" i="3"/>
  <c r="AD821" i="3"/>
  <c r="T821" i="3"/>
  <c r="AD1287" i="3"/>
  <c r="T1287" i="3"/>
  <c r="AD166" i="3"/>
  <c r="T166" i="3"/>
  <c r="AD925" i="3"/>
  <c r="T925" i="3"/>
  <c r="AD284" i="3"/>
  <c r="T284" i="3"/>
  <c r="AD494" i="3"/>
  <c r="T494" i="3"/>
  <c r="AD301" i="3"/>
  <c r="T301" i="3"/>
  <c r="AD1057" i="3"/>
  <c r="T1057" i="3"/>
  <c r="AD29" i="3"/>
  <c r="T29" i="3"/>
  <c r="AD223" i="3"/>
  <c r="T223" i="3"/>
  <c r="AD1165" i="3"/>
  <c r="T1165" i="3"/>
  <c r="AD644" i="3"/>
  <c r="T644" i="3"/>
  <c r="AD235" i="3"/>
  <c r="T235" i="3"/>
  <c r="AD79" i="3"/>
  <c r="T79" i="3"/>
  <c r="AD290" i="3"/>
  <c r="T290" i="3"/>
  <c r="AD665" i="3"/>
  <c r="T665" i="3"/>
  <c r="AD1124" i="3"/>
  <c r="T1124" i="3"/>
  <c r="AD130" i="3"/>
  <c r="T130" i="3"/>
  <c r="AD1072" i="3"/>
  <c r="T1072" i="3"/>
  <c r="AD10" i="3"/>
  <c r="T10" i="3"/>
  <c r="AD824" i="3"/>
  <c r="T824" i="3"/>
  <c r="AD179" i="3"/>
  <c r="T179" i="3"/>
  <c r="AD939" i="3"/>
  <c r="T939" i="3"/>
  <c r="AD635" i="3"/>
  <c r="T635" i="3"/>
  <c r="AD302" i="3"/>
  <c r="T302" i="3"/>
  <c r="AD40" i="3"/>
  <c r="T40" i="3"/>
  <c r="AD252" i="3"/>
  <c r="T252" i="3"/>
  <c r="AD257" i="3"/>
  <c r="T257" i="3"/>
  <c r="AD550" i="3"/>
  <c r="T550" i="3"/>
  <c r="AD400" i="3"/>
  <c r="T400" i="3"/>
  <c r="AD1269" i="3"/>
  <c r="T1269" i="3"/>
  <c r="AD1310" i="3"/>
  <c r="T1310" i="3"/>
  <c r="AD270" i="3"/>
  <c r="T270" i="3"/>
  <c r="AD402" i="3"/>
  <c r="T402" i="3"/>
  <c r="AD1101" i="3"/>
  <c r="T1101" i="3"/>
  <c r="AD873" i="3"/>
  <c r="T873" i="3"/>
  <c r="AD1011" i="3"/>
  <c r="T1011" i="3"/>
  <c r="AD220" i="3"/>
  <c r="T220" i="3"/>
  <c r="AD213" i="3"/>
  <c r="T213" i="3"/>
  <c r="AD520" i="3"/>
  <c r="T520" i="3"/>
  <c r="AD852" i="3"/>
  <c r="T852" i="3"/>
  <c r="AD1029" i="3"/>
  <c r="T1029" i="3"/>
  <c r="AD200" i="3"/>
  <c r="T200" i="3"/>
  <c r="AD1182" i="3"/>
  <c r="T1182" i="3"/>
  <c r="AD652" i="3"/>
  <c r="T652" i="3"/>
  <c r="AD1188" i="3"/>
  <c r="T1188" i="3"/>
  <c r="AD791" i="3"/>
  <c r="T791" i="3"/>
  <c r="AD142" i="3"/>
  <c r="T142" i="3"/>
  <c r="AD1113" i="3"/>
  <c r="T1113" i="3"/>
  <c r="AD1038" i="3"/>
  <c r="T1038" i="3"/>
  <c r="AD971" i="3"/>
  <c r="T971" i="3"/>
  <c r="AD1107" i="3"/>
  <c r="T1107" i="3"/>
  <c r="AD837" i="3"/>
  <c r="T837" i="3"/>
  <c r="AD970" i="3"/>
  <c r="T970" i="3"/>
  <c r="AD897" i="3"/>
  <c r="T897" i="3"/>
  <c r="AD1131" i="3"/>
  <c r="T1131" i="3"/>
  <c r="AD761" i="3"/>
  <c r="T761" i="3"/>
  <c r="AD829" i="3"/>
  <c r="T829" i="3"/>
  <c r="AD697" i="3"/>
  <c r="T697" i="3"/>
  <c r="AD725" i="3"/>
  <c r="T725" i="3"/>
  <c r="AD61" i="3"/>
  <c r="T61" i="3"/>
  <c r="AD22" i="3"/>
  <c r="T22" i="3"/>
  <c r="AD1355" i="3"/>
  <c r="T1355" i="3"/>
  <c r="AD1290" i="3"/>
  <c r="T1290" i="3"/>
  <c r="AD479" i="3"/>
  <c r="T479" i="3"/>
  <c r="AD776" i="3"/>
  <c r="T776" i="3"/>
  <c r="AD556" i="3"/>
  <c r="T556" i="3"/>
  <c r="AD473" i="3"/>
  <c r="T473" i="3"/>
  <c r="AD94" i="3"/>
  <c r="T94" i="3"/>
  <c r="AD585" i="3"/>
  <c r="T585" i="3"/>
  <c r="AD260" i="3"/>
  <c r="T260" i="3"/>
  <c r="AD280" i="3"/>
  <c r="T280" i="3"/>
  <c r="AD782" i="3"/>
  <c r="T782" i="3"/>
  <c r="AD158" i="3"/>
  <c r="T158" i="3"/>
  <c r="AD381" i="3"/>
  <c r="T381" i="3"/>
  <c r="AD822" i="3"/>
  <c r="T822" i="3"/>
  <c r="AD1288" i="3"/>
  <c r="T1288" i="3"/>
  <c r="AD167" i="3"/>
  <c r="T167" i="3"/>
  <c r="AD926" i="3"/>
  <c r="T926" i="3"/>
  <c r="AD685" i="3"/>
  <c r="T685" i="3"/>
  <c r="AD1189" i="3"/>
  <c r="T1189" i="3"/>
  <c r="AD679" i="3"/>
  <c r="T679" i="3"/>
  <c r="AD1058" i="3"/>
  <c r="T1058" i="3"/>
  <c r="AD993" i="3"/>
  <c r="T993" i="3"/>
  <c r="AD225" i="3"/>
  <c r="T225" i="3"/>
  <c r="AD643" i="3"/>
  <c r="T643" i="3"/>
  <c r="AD237" i="3"/>
  <c r="T237" i="3"/>
  <c r="AD80" i="3"/>
  <c r="T80" i="3"/>
  <c r="AD1046" i="3"/>
  <c r="T1046" i="3"/>
  <c r="AD291" i="3"/>
  <c r="T291" i="3"/>
  <c r="AD826" i="3"/>
  <c r="T826" i="3"/>
  <c r="AD666" i="3"/>
  <c r="T666" i="3"/>
  <c r="AD1125" i="3"/>
  <c r="T1125" i="3"/>
  <c r="AD657" i="3"/>
  <c r="T657" i="3"/>
  <c r="AD1267" i="3"/>
  <c r="T1267" i="3"/>
  <c r="AD5" i="3"/>
  <c r="T5" i="3"/>
  <c r="AD773" i="3"/>
  <c r="T773" i="3"/>
  <c r="AD607" i="3"/>
  <c r="T607" i="3"/>
  <c r="AD940" i="3"/>
  <c r="T940" i="3"/>
  <c r="AD636" i="3"/>
  <c r="T636" i="3"/>
  <c r="AD303" i="3"/>
  <c r="T303" i="3"/>
  <c r="AD41" i="3"/>
  <c r="T41" i="3"/>
  <c r="AD253" i="3"/>
  <c r="T253" i="3"/>
  <c r="AD256" i="3"/>
  <c r="T256" i="3"/>
  <c r="AD523" i="3"/>
  <c r="T523" i="3"/>
  <c r="AD401" i="3"/>
  <c r="T401" i="3"/>
  <c r="AD1270" i="3"/>
  <c r="T1270" i="3"/>
  <c r="AD1309" i="3"/>
  <c r="T1309" i="3"/>
  <c r="AD269" i="3"/>
  <c r="T269" i="3"/>
  <c r="AD403" i="3"/>
  <c r="T403" i="3"/>
  <c r="AD1102" i="3"/>
  <c r="T1102" i="3"/>
  <c r="AD874" i="3"/>
  <c r="T874" i="3"/>
  <c r="AD1012" i="3"/>
  <c r="T1012" i="3"/>
  <c r="AD221" i="3"/>
  <c r="T221" i="3"/>
  <c r="AD713" i="3"/>
  <c r="T713" i="3"/>
  <c r="AD465" i="3"/>
  <c r="T465" i="3"/>
  <c r="AD1237" i="3"/>
  <c r="T1237" i="3"/>
  <c r="AD1030" i="3"/>
  <c r="T1030" i="3"/>
  <c r="AD201" i="3"/>
  <c r="T201" i="3"/>
  <c r="AD1181" i="3"/>
  <c r="T1181" i="3"/>
  <c r="AD630" i="3"/>
  <c r="T630" i="3"/>
  <c r="AD1183" i="3"/>
  <c r="T1183" i="3"/>
  <c r="AD792" i="3"/>
  <c r="T792" i="3"/>
  <c r="AD143" i="3"/>
  <c r="T143" i="3"/>
  <c r="AD1114" i="3"/>
  <c r="T1114" i="3"/>
  <c r="AD1138" i="3"/>
  <c r="T1138" i="3"/>
  <c r="AD972" i="3"/>
  <c r="T972" i="3"/>
  <c r="AD1108" i="3"/>
  <c r="T1108" i="3"/>
  <c r="AD838" i="3"/>
  <c r="T838" i="3"/>
  <c r="AD258" i="3"/>
  <c r="T258" i="3"/>
  <c r="AD898" i="3"/>
  <c r="T898" i="3"/>
  <c r="AD704" i="3"/>
  <c r="T704" i="3"/>
  <c r="AD311" i="3"/>
  <c r="T311" i="3"/>
  <c r="AD762" i="3"/>
  <c r="T762" i="3"/>
  <c r="AD68" i="3"/>
  <c r="T68" i="3"/>
  <c r="AD698" i="3"/>
  <c r="T698" i="3"/>
  <c r="AD726" i="3"/>
  <c r="T726" i="3"/>
  <c r="AD59" i="3"/>
  <c r="T59" i="3"/>
  <c r="AD21" i="3"/>
  <c r="T21" i="3"/>
  <c r="AD1356" i="3"/>
  <c r="T1356" i="3"/>
  <c r="AD18" i="3"/>
  <c r="T18" i="3"/>
  <c r="AD356" i="3"/>
  <c r="T356" i="3"/>
  <c r="AD668" i="3"/>
  <c r="T668" i="3"/>
  <c r="AD56" i="3"/>
  <c r="T56" i="3"/>
  <c r="AD913" i="3"/>
  <c r="T913" i="3"/>
  <c r="AD388" i="3"/>
  <c r="T388" i="3"/>
  <c r="AD653" i="3"/>
  <c r="T653" i="3"/>
  <c r="AD790" i="3"/>
  <c r="T790" i="3"/>
  <c r="AD786" i="3"/>
  <c r="T786" i="3"/>
  <c r="AD574" i="3"/>
  <c r="T574" i="3"/>
  <c r="AD282" i="3"/>
  <c r="T282" i="3"/>
  <c r="AD743" i="3"/>
  <c r="T743" i="3"/>
  <c r="AD159" i="3"/>
  <c r="T159" i="3"/>
  <c r="AD383" i="3"/>
  <c r="T383" i="3"/>
  <c r="AD539" i="3"/>
  <c r="T539" i="3"/>
  <c r="AD165" i="3"/>
  <c r="T165" i="3"/>
  <c r="AD887" i="3"/>
  <c r="T887" i="3"/>
  <c r="AD686" i="3"/>
  <c r="T686" i="3"/>
  <c r="AD1190" i="3"/>
  <c r="T1190" i="3"/>
  <c r="AD680" i="3"/>
  <c r="T680" i="3"/>
  <c r="AD994" i="3"/>
  <c r="T994" i="3"/>
  <c r="AD224" i="3"/>
  <c r="T224" i="3"/>
  <c r="AD828" i="3"/>
  <c r="T828" i="3"/>
  <c r="AD601" i="3"/>
  <c r="T601" i="3"/>
  <c r="AD236" i="3"/>
  <c r="T236" i="3"/>
  <c r="AD77" i="3"/>
  <c r="T77" i="3"/>
  <c r="AD353" i="3"/>
  <c r="T353" i="3"/>
  <c r="AD292" i="3"/>
  <c r="T292" i="3"/>
  <c r="AD775" i="3"/>
  <c r="T775" i="3"/>
  <c r="AD1083" i="3"/>
  <c r="T1083" i="3"/>
  <c r="AD658" i="3"/>
  <c r="T658" i="3"/>
  <c r="AD1268" i="3"/>
  <c r="T1268" i="3"/>
  <c r="AD1321" i="3"/>
  <c r="T1321" i="3"/>
  <c r="AD774" i="3"/>
  <c r="T774" i="3"/>
  <c r="AD608" i="3"/>
  <c r="T608" i="3"/>
  <c r="AD555" i="3"/>
  <c r="T555" i="3"/>
  <c r="AD314" i="3"/>
  <c r="T314" i="3"/>
  <c r="AD304" i="3"/>
  <c r="T304" i="3"/>
  <c r="AD242" i="3"/>
  <c r="T242" i="3"/>
  <c r="AD254" i="3"/>
  <c r="T254" i="3"/>
  <c r="AD719" i="3"/>
  <c r="T719" i="3"/>
  <c r="AD524" i="3"/>
  <c r="T524" i="3"/>
  <c r="AD931" i="3"/>
  <c r="T931" i="3"/>
  <c r="AD1311" i="3"/>
  <c r="T1311" i="3"/>
  <c r="AD795" i="3"/>
  <c r="T795" i="3"/>
  <c r="AD412" i="3"/>
  <c r="T412" i="3"/>
  <c r="AD93" i="3"/>
  <c r="T93" i="3"/>
  <c r="AD611" i="3"/>
  <c r="T611" i="3"/>
  <c r="AD1319" i="3"/>
  <c r="T1319" i="3"/>
  <c r="AD909" i="3"/>
  <c r="T909" i="3"/>
  <c r="AD714" i="3"/>
  <c r="T714" i="3"/>
  <c r="AD466" i="3"/>
  <c r="T466" i="3"/>
  <c r="AD1238" i="3"/>
  <c r="T1238" i="3"/>
  <c r="AD1007" i="3"/>
  <c r="T1007" i="3"/>
  <c r="AD202" i="3"/>
  <c r="T202" i="3"/>
  <c r="AD789" i="3"/>
  <c r="T789" i="3"/>
  <c r="AD629" i="3"/>
  <c r="T629" i="3"/>
  <c r="AD1184" i="3"/>
  <c r="T1184" i="3"/>
  <c r="AD844" i="3"/>
  <c r="T844" i="3"/>
  <c r="AD145" i="3"/>
  <c r="T145" i="3"/>
  <c r="AD785" i="3"/>
  <c r="T785" i="3"/>
  <c r="AD1139" i="3"/>
  <c r="T1139" i="3"/>
  <c r="AD857" i="3"/>
  <c r="T857" i="3"/>
  <c r="AD623" i="3"/>
  <c r="T623" i="3"/>
  <c r="AD1117" i="3"/>
  <c r="T1117" i="3"/>
  <c r="AD259" i="3"/>
  <c r="T259" i="3"/>
  <c r="AD839" i="3"/>
  <c r="T839" i="3"/>
  <c r="AD703" i="3"/>
  <c r="T703" i="3"/>
  <c r="AD312" i="3"/>
  <c r="T312" i="3"/>
  <c r="AD573" i="3"/>
  <c r="T573" i="3"/>
  <c r="AD69" i="3"/>
  <c r="T69" i="3"/>
  <c r="AD957" i="3"/>
  <c r="T957" i="3"/>
  <c r="AD186" i="3"/>
  <c r="T186" i="3"/>
  <c r="AD723" i="3"/>
  <c r="T723" i="3"/>
  <c r="AD701" i="3"/>
  <c r="T701" i="3"/>
  <c r="AA1073" i="3"/>
  <c r="AA559" i="3"/>
  <c r="AA1333" i="3"/>
  <c r="AA1326" i="3"/>
  <c r="AA483" i="3"/>
  <c r="AA795" i="3"/>
  <c r="AD13" i="3"/>
  <c r="AA1081" i="3"/>
  <c r="AA337" i="3"/>
  <c r="AA232" i="3"/>
  <c r="AA1169" i="3"/>
  <c r="AA787" i="3"/>
  <c r="AA11" i="3"/>
  <c r="AA793" i="3"/>
  <c r="AA264" i="3"/>
  <c r="AA763" i="3"/>
  <c r="AA74" i="3"/>
  <c r="AA229" i="3"/>
  <c r="AA721" i="3"/>
  <c r="AA589" i="3"/>
  <c r="AA545" i="3"/>
  <c r="AA753" i="3"/>
  <c r="AA871" i="3"/>
  <c r="AA261" i="3"/>
  <c r="AA1111" i="3"/>
  <c r="AA1119" i="3"/>
  <c r="AA1201" i="3"/>
  <c r="AA953" i="3"/>
  <c r="AA73" i="3"/>
  <c r="AA537" i="3"/>
  <c r="AA1117" i="3"/>
  <c r="AA525" i="3"/>
  <c r="AA1144" i="3"/>
  <c r="AA641" i="3"/>
  <c r="AA473" i="3"/>
  <c r="AA1213" i="3"/>
  <c r="AA113" i="3"/>
  <c r="AA745" i="3"/>
  <c r="AA1271" i="3"/>
  <c r="AA1023" i="3"/>
  <c r="AA165" i="3"/>
  <c r="AA1138" i="3"/>
  <c r="AA201" i="3"/>
  <c r="AA143" i="3"/>
  <c r="AA311" i="3"/>
  <c r="AA465" i="3"/>
  <c r="AA611" i="3"/>
  <c r="AA59" i="3"/>
  <c r="AA1183" i="3"/>
  <c r="AA1009" i="3"/>
  <c r="AA663" i="3"/>
  <c r="AA751" i="3"/>
  <c r="AA797" i="3"/>
  <c r="AA707" i="3"/>
  <c r="AA35" i="3"/>
  <c r="AA333" i="3"/>
  <c r="AA1181" i="3"/>
  <c r="AA82" i="3"/>
  <c r="AA1237" i="3"/>
  <c r="AA191" i="3"/>
  <c r="AA228" i="3"/>
  <c r="AA981" i="3"/>
  <c r="AA42" i="3"/>
  <c r="AA1279" i="3"/>
  <c r="AA973" i="3"/>
  <c r="AA919" i="3"/>
  <c r="AA895" i="3"/>
  <c r="AA1152" i="3"/>
  <c r="AA247" i="3"/>
  <c r="AA983" i="3"/>
  <c r="AA531" i="3"/>
  <c r="AA1267" i="3"/>
  <c r="AA1197" i="3"/>
  <c r="AA6" i="3"/>
  <c r="AA533" i="3"/>
  <c r="AA293" i="3"/>
  <c r="AA591" i="3"/>
  <c r="AA277" i="3"/>
  <c r="AA603" i="3"/>
  <c r="AA12" i="3"/>
  <c r="AA719" i="3"/>
  <c r="AA733" i="3"/>
  <c r="AA200" i="3"/>
  <c r="AA258" i="3"/>
  <c r="AA1280" i="3"/>
  <c r="AA308" i="3"/>
  <c r="AA138" i="3"/>
  <c r="AA1195" i="3"/>
  <c r="AA877" i="3"/>
  <c r="AA713" i="3"/>
  <c r="AA583" i="3"/>
  <c r="AA717" i="3"/>
  <c r="AA841" i="3"/>
  <c r="AA408" i="3"/>
  <c r="AA168" i="3"/>
  <c r="AA497" i="3"/>
  <c r="AA767" i="3"/>
  <c r="AA150" i="3"/>
  <c r="AA845" i="3"/>
  <c r="AA1132" i="3"/>
  <c r="AA425" i="3"/>
  <c r="AA1273" i="3"/>
  <c r="AA923" i="3"/>
  <c r="AA899" i="3"/>
  <c r="AA97" i="3"/>
  <c r="AA909" i="3"/>
  <c r="AA202" i="3"/>
  <c r="AA1320" i="3"/>
  <c r="AA785" i="3"/>
  <c r="AA1069" i="3"/>
  <c r="AA777" i="3"/>
  <c r="AA80" i="3"/>
  <c r="AA1289" i="3"/>
  <c r="AA1121" i="3"/>
  <c r="AA1173" i="3"/>
  <c r="AA245" i="3"/>
  <c r="AA159" i="3"/>
  <c r="AA224" i="3"/>
  <c r="AA304" i="3"/>
  <c r="AA242" i="3"/>
  <c r="AA153" i="3"/>
  <c r="AA175" i="3"/>
  <c r="AA931" i="3"/>
  <c r="AA547" i="3"/>
  <c r="AA993" i="3"/>
  <c r="AA1107" i="3"/>
  <c r="AA897" i="3"/>
  <c r="AA605" i="3"/>
  <c r="AA969" i="3"/>
  <c r="AA212" i="3"/>
  <c r="AA223" i="3"/>
  <c r="AA665" i="3"/>
  <c r="AA857" i="3"/>
  <c r="AA56" i="3"/>
  <c r="AA967" i="3"/>
  <c r="AA985" i="3"/>
  <c r="AA235" i="3"/>
  <c r="AA249" i="3"/>
  <c r="AA1037" i="3"/>
  <c r="AA241" i="3"/>
  <c r="AA349" i="3"/>
  <c r="AA1007" i="3"/>
  <c r="AA851" i="3"/>
  <c r="AA789" i="3"/>
  <c r="AA252" i="3"/>
  <c r="AA1101" i="3"/>
  <c r="AA1045" i="3"/>
  <c r="AA825" i="3"/>
  <c r="AA1287" i="3"/>
  <c r="AA939" i="3"/>
  <c r="AA519" i="3"/>
  <c r="AA1269" i="3"/>
  <c r="AA651" i="3"/>
  <c r="AA402" i="3"/>
  <c r="AA219" i="3"/>
  <c r="AA19" i="3"/>
  <c r="AA29" i="3"/>
  <c r="AA215" i="3"/>
  <c r="AA198" i="3"/>
  <c r="AA925" i="3"/>
  <c r="AA1187" i="3"/>
  <c r="AA653" i="3"/>
  <c r="AA661" i="3"/>
  <c r="AA222" i="3"/>
  <c r="AA549" i="3"/>
  <c r="AA157" i="3"/>
  <c r="AA141" i="3"/>
  <c r="AA399" i="3"/>
  <c r="AA20" i="3"/>
  <c r="AA791" i="3"/>
  <c r="AA773" i="3"/>
  <c r="AA142" i="3"/>
  <c r="AA607" i="3"/>
  <c r="AA697" i="3"/>
  <c r="AA5" i="3"/>
  <c r="AA291" i="3"/>
  <c r="AA1029" i="3"/>
  <c r="AA1113" i="3"/>
  <c r="AA685" i="3"/>
  <c r="AA158" i="3"/>
  <c r="AA761" i="3"/>
  <c r="AA225" i="3"/>
  <c r="AA1309" i="3"/>
  <c r="AA140" i="3"/>
  <c r="AA725" i="3"/>
  <c r="AA971" i="3"/>
  <c r="AA829" i="3"/>
  <c r="AA677" i="3"/>
  <c r="AA837" i="3"/>
  <c r="AA657" i="3"/>
  <c r="AA381" i="3"/>
  <c r="AA303" i="3"/>
  <c r="AA523" i="3"/>
  <c r="AA283" i="3"/>
  <c r="AA1053" i="3"/>
  <c r="AA1115" i="3"/>
  <c r="AA1191" i="3"/>
  <c r="AA879" i="3"/>
  <c r="AA729" i="3"/>
  <c r="AA128" i="3"/>
  <c r="AA178" i="3"/>
  <c r="AA553" i="3"/>
  <c r="AA1281" i="3"/>
  <c r="AA1353" i="3"/>
  <c r="AA187" i="3"/>
  <c r="AA499" i="3"/>
  <c r="AA1357" i="3"/>
  <c r="AA286" i="3"/>
  <c r="AA711" i="3"/>
  <c r="AA463" i="3"/>
  <c r="AA139" i="3"/>
  <c r="AA271" i="3"/>
  <c r="AA509" i="3"/>
  <c r="AA194" i="3"/>
  <c r="AA1126" i="3"/>
  <c r="AA995" i="3"/>
  <c r="AA1285" i="3"/>
  <c r="AA8" i="3"/>
  <c r="AA3" i="3"/>
  <c r="AA329" i="3"/>
  <c r="AA435" i="3"/>
  <c r="AA38" i="3"/>
  <c r="AA268" i="3"/>
  <c r="AA160" i="3"/>
  <c r="AA299" i="3"/>
  <c r="AA1251" i="3"/>
  <c r="AA1005" i="3"/>
  <c r="AA771" i="3"/>
  <c r="AA34" i="3"/>
  <c r="AA1041" i="3"/>
  <c r="AA307" i="3"/>
  <c r="AA1322" i="3"/>
  <c r="AA945" i="3"/>
  <c r="AA309" i="3"/>
  <c r="AA951" i="3"/>
  <c r="AA1033" i="3"/>
  <c r="AA575" i="3"/>
  <c r="AA199" i="3"/>
  <c r="AA267" i="3"/>
  <c r="AA1282" i="3"/>
  <c r="AA1001" i="3"/>
  <c r="AA903" i="3"/>
  <c r="AA1164" i="3"/>
  <c r="AA827" i="3"/>
  <c r="AA1189" i="3"/>
  <c r="AA1083" i="3"/>
  <c r="AA1055" i="3"/>
  <c r="AA781" i="3"/>
  <c r="AA1054" i="3"/>
  <c r="AA292" i="3"/>
  <c r="AA290" i="3"/>
  <c r="AA314" i="3"/>
  <c r="AA1057" i="3"/>
  <c r="AA743" i="3"/>
  <c r="AA255" i="3"/>
  <c r="AA238" i="3"/>
  <c r="AA280" i="3"/>
  <c r="AA601" i="3"/>
  <c r="AA833" i="3"/>
  <c r="AA77" i="3"/>
  <c r="AA493" i="3"/>
  <c r="AA887" i="3"/>
  <c r="AA39" i="3"/>
  <c r="AA93" i="3"/>
  <c r="AA555" i="3"/>
  <c r="AA1071" i="3"/>
  <c r="AA171" i="3"/>
  <c r="AA471" i="3"/>
  <c r="AA412" i="3"/>
  <c r="AA92" i="3"/>
  <c r="AA1011" i="3"/>
  <c r="AA947" i="3"/>
  <c r="AA1097" i="3"/>
  <c r="AA353" i="3"/>
  <c r="AA33" i="3"/>
  <c r="AA823" i="3"/>
  <c r="AA873" i="3"/>
  <c r="AA302" i="3"/>
  <c r="AA913" i="3"/>
  <c r="AA541" i="3"/>
  <c r="AA78" i="3"/>
  <c r="AA643" i="3"/>
  <c r="AA539" i="3"/>
  <c r="AA274" i="3"/>
  <c r="AA1286" i="3"/>
  <c r="AA775" i="3"/>
  <c r="AA551" i="3"/>
  <c r="AA317" i="3"/>
  <c r="AA1288" i="3"/>
  <c r="AA893" i="3"/>
  <c r="AA1129" i="3"/>
  <c r="AA821" i="3"/>
  <c r="AA79" i="3"/>
  <c r="AA356" i="3"/>
  <c r="AA949" i="3"/>
  <c r="AA635" i="3"/>
  <c r="AA1123" i="3"/>
  <c r="AA479" i="3"/>
  <c r="AA679" i="3"/>
  <c r="AA1056" i="3"/>
  <c r="AA769" i="3"/>
  <c r="AA750" i="3"/>
  <c r="AA502" i="3"/>
  <c r="AA250" i="3"/>
  <c r="AA351" i="3"/>
  <c r="AA58" i="3"/>
  <c r="AA95" i="3"/>
  <c r="AA1008" i="3"/>
  <c r="AA786" i="3"/>
  <c r="AA192" i="3"/>
  <c r="AA710" i="3"/>
  <c r="AA780" i="3"/>
  <c r="AA1314" i="3"/>
  <c r="AA43" i="3"/>
  <c r="AA322" i="3"/>
  <c r="AA1016" i="3"/>
  <c r="AA638" i="3"/>
  <c r="AA1014" i="3"/>
  <c r="AA548" i="3"/>
  <c r="AA278" i="3"/>
  <c r="AA207" i="3"/>
  <c r="AA266" i="3"/>
  <c r="AA546" i="3"/>
  <c r="AA836" i="3"/>
  <c r="AA1334" i="3"/>
  <c r="AA1086" i="3"/>
  <c r="AA619" i="3"/>
  <c r="AA749" i="3"/>
  <c r="AA1133" i="3"/>
  <c r="AA1348" i="3"/>
  <c r="AA1185" i="3"/>
  <c r="AA501" i="3"/>
  <c r="AA65" i="3"/>
  <c r="AA246" i="3"/>
  <c r="AA963" i="3"/>
  <c r="AA1174" i="3"/>
  <c r="AA562" i="3"/>
  <c r="AA411" i="3"/>
  <c r="AA1137" i="3"/>
  <c r="AA149" i="3"/>
  <c r="AA1204" i="3"/>
  <c r="AA734" i="3"/>
  <c r="AA327" i="3"/>
  <c r="AA966" i="3"/>
  <c r="AA49" i="3"/>
  <c r="AA558" i="3"/>
  <c r="AA916" i="3"/>
  <c r="AA478" i="3"/>
  <c r="AA100" i="3"/>
  <c r="AA938" i="3"/>
  <c r="AA72" i="3"/>
  <c r="AA1080" i="3"/>
  <c r="AA604" i="3"/>
  <c r="AA279" i="3"/>
  <c r="AA155" i="3"/>
  <c r="AA954" i="3"/>
  <c r="AA63" i="3"/>
  <c r="AA980" i="3"/>
  <c r="AA538" i="3"/>
  <c r="AA584" i="3"/>
  <c r="AA210" i="3"/>
  <c r="AA754" i="3"/>
  <c r="AA1066" i="3"/>
  <c r="AA968" i="3"/>
  <c r="AA355" i="3"/>
  <c r="AA986" i="3"/>
  <c r="AA390" i="3"/>
  <c r="AA910" i="3"/>
  <c r="AA790" i="3"/>
  <c r="AA858" i="3"/>
  <c r="AA560" i="3"/>
  <c r="AA57" i="3"/>
  <c r="AA1044" i="3"/>
  <c r="AA177" i="3"/>
  <c r="AA574" i="3"/>
  <c r="AA1015" i="3"/>
  <c r="AA203" i="3"/>
  <c r="AA943" i="3"/>
  <c r="AA944" i="3"/>
  <c r="AA409" i="3"/>
  <c r="AA1145" i="3"/>
  <c r="AA1154" i="3"/>
  <c r="AA176" i="3"/>
  <c r="AA432" i="3"/>
  <c r="AA728" i="3"/>
  <c r="AA204" i="3"/>
  <c r="AA727" i="3"/>
  <c r="AA1079" i="3"/>
  <c r="AA765" i="3"/>
  <c r="AA99" i="3"/>
  <c r="AA239" i="3"/>
  <c r="AA896" i="3"/>
  <c r="AA161" i="3"/>
  <c r="AA1122" i="3"/>
  <c r="AA4" i="3"/>
  <c r="AA752" i="3"/>
  <c r="AA1010" i="3"/>
  <c r="AA708" i="3"/>
  <c r="AA36" i="3"/>
  <c r="AA231" i="3"/>
  <c r="AA486" i="3"/>
  <c r="AA84" i="3"/>
  <c r="AA328" i="3"/>
  <c r="AA920" i="3"/>
  <c r="AA50" i="3"/>
  <c r="AA974" i="3"/>
  <c r="AA664" i="3"/>
  <c r="AA332" i="3"/>
  <c r="AA101" i="3"/>
  <c r="AA984" i="3"/>
  <c r="AA248" i="3"/>
  <c r="AA772" i="3"/>
  <c r="AA334" i="3"/>
  <c r="AA554" i="3"/>
  <c r="AA982" i="3"/>
  <c r="AA912" i="3"/>
  <c r="AA522" i="3"/>
  <c r="AA318" i="3"/>
  <c r="AA590" i="3"/>
  <c r="AA156" i="3"/>
  <c r="AA872" i="3"/>
  <c r="AA288" i="3"/>
  <c r="AA234" i="3"/>
  <c r="AA64" i="3"/>
  <c r="AA1082" i="3"/>
  <c r="AA1272" i="3"/>
  <c r="AA1024" i="3"/>
  <c r="AA746" i="3"/>
  <c r="AA1112" i="3"/>
  <c r="AA1120" i="3"/>
  <c r="AA133" i="3"/>
  <c r="AA1214" i="3"/>
  <c r="AA275" i="3"/>
  <c r="AA596" i="3"/>
  <c r="AA312" i="3"/>
  <c r="AA933" i="3"/>
  <c r="AA1349" i="3"/>
  <c r="AA942" i="3"/>
  <c r="AA662" i="3"/>
  <c r="AA654" i="3"/>
  <c r="AA586" i="3"/>
  <c r="AA848" i="3"/>
  <c r="AA624" i="3"/>
  <c r="AA840" i="3"/>
  <c r="AA958" i="3"/>
  <c r="AA667" i="3"/>
  <c r="AA670" i="3"/>
  <c r="AA148" i="3"/>
  <c r="AA1146" i="3"/>
  <c r="AA1170" i="3"/>
  <c r="AA990" i="3"/>
  <c r="AA600" i="3"/>
  <c r="AA722" i="3"/>
  <c r="AA1032" i="3"/>
  <c r="AA1186" i="3"/>
  <c r="AA265" i="3"/>
  <c r="AA211" i="3"/>
  <c r="AA860" i="3"/>
  <c r="AA637" i="3"/>
  <c r="AA227" i="3"/>
  <c r="AA154" i="3"/>
  <c r="AA240" i="3"/>
  <c r="AA834" i="3"/>
  <c r="AA532" i="3"/>
  <c r="AA1198" i="3"/>
  <c r="AA230" i="3"/>
  <c r="AA924" i="3"/>
  <c r="AA1351" i="3"/>
  <c r="AA83" i="3"/>
  <c r="AA294" i="3"/>
  <c r="AA1196" i="3"/>
  <c r="AA426" i="3"/>
  <c r="AA878" i="3"/>
  <c r="AA336" i="3"/>
  <c r="AA718" i="3"/>
  <c r="AA472" i="3"/>
  <c r="AA319" i="3"/>
  <c r="AA768" i="3"/>
  <c r="AA233" i="3"/>
  <c r="AA846" i="3"/>
  <c r="AA592" i="3"/>
  <c r="AA13" i="3"/>
  <c r="AA339" i="3"/>
  <c r="AA262" i="3"/>
  <c r="AA75" i="3"/>
  <c r="AA788" i="3"/>
  <c r="AA196" i="3"/>
  <c r="AA764" i="3"/>
  <c r="AA614" i="3"/>
  <c r="AA778" i="3"/>
  <c r="AA151" i="3"/>
  <c r="AA552" i="3"/>
  <c r="AA620" i="3"/>
  <c r="AA186" i="3"/>
  <c r="AA1210" i="3"/>
  <c r="AA832" i="3"/>
  <c r="AA251" i="3"/>
  <c r="AA276" i="3"/>
  <c r="AA934" i="3"/>
  <c r="AA1118" i="3"/>
  <c r="AA313" i="3"/>
  <c r="AA724" i="3"/>
  <c r="AA1324" i="3"/>
  <c r="AA244" i="3"/>
  <c r="AA91" i="3"/>
  <c r="AA1000" i="3"/>
  <c r="AA17" i="3"/>
  <c r="AA438" i="3"/>
  <c r="AA1313" i="3"/>
  <c r="AA44" i="3"/>
  <c r="AA126" i="3"/>
  <c r="AA124" i="3"/>
  <c r="AA876" i="3"/>
  <c r="AA1100" i="3"/>
  <c r="AA71" i="3"/>
  <c r="AA964" i="3"/>
  <c r="AA634" i="3"/>
  <c r="AA1325" i="3"/>
  <c r="AA115" i="3"/>
  <c r="AA1074" i="3"/>
  <c r="AA418" i="3"/>
  <c r="AA185" i="3"/>
  <c r="AA98" i="3"/>
  <c r="AA1136" i="3"/>
  <c r="AA1202" i="3"/>
  <c r="AA798" i="3"/>
  <c r="AA1284" i="3"/>
  <c r="AA928" i="3"/>
  <c r="AA794" i="3"/>
  <c r="AA922" i="3"/>
  <c r="AA902" i="3"/>
  <c r="AA484" i="3"/>
  <c r="AA431" i="3"/>
  <c r="AA989" i="3"/>
  <c r="AA709" i="3"/>
  <c r="AA417" i="3"/>
  <c r="AA701" i="3"/>
  <c r="AA965" i="3"/>
  <c r="AA30" i="3"/>
  <c r="AA369" i="3"/>
  <c r="AA32" i="3"/>
  <c r="AA67" i="3"/>
  <c r="AA477" i="3"/>
  <c r="AA81" i="3"/>
  <c r="AA47" i="3"/>
  <c r="AA70" i="3"/>
  <c r="AA96" i="3"/>
  <c r="AA164" i="3"/>
  <c r="AA1006" i="3"/>
  <c r="AA996" i="3"/>
  <c r="AA285" i="3"/>
  <c r="AA300" i="3"/>
  <c r="AA37" i="3"/>
  <c r="AA1352" i="3"/>
  <c r="AA1116" i="3"/>
  <c r="AA1192" i="3"/>
  <c r="AA295" i="3"/>
  <c r="AA880" i="3"/>
  <c r="AA730" i="3"/>
  <c r="AA129" i="3"/>
  <c r="AA9" i="3"/>
  <c r="AA180" i="3"/>
  <c r="AA330" i="3"/>
  <c r="AA1252" i="3"/>
  <c r="AA1323" i="3"/>
  <c r="AA1354" i="3"/>
  <c r="AA404" i="3"/>
  <c r="AA189" i="3"/>
  <c r="AA214" i="3"/>
  <c r="AA436" i="3"/>
  <c r="AA500" i="3"/>
  <c r="AA1359" i="3"/>
  <c r="AA712" i="3"/>
  <c r="AA464" i="3"/>
  <c r="AA14" i="3"/>
  <c r="AA273" i="3"/>
  <c r="AA1274" i="3"/>
  <c r="AA900" i="3"/>
  <c r="AA170" i="3"/>
  <c r="AA338" i="3"/>
  <c r="AA498" i="3"/>
  <c r="AA263" i="3"/>
  <c r="AA76" i="3"/>
  <c r="AA842" i="3"/>
  <c r="AA534" i="3"/>
  <c r="AA557" i="3"/>
  <c r="AA66" i="3"/>
  <c r="AA320" i="3"/>
  <c r="AA595" i="3"/>
  <c r="AA122" i="3"/>
  <c r="AA1135" i="3"/>
  <c r="AA31" i="3"/>
  <c r="AA1065" i="3"/>
  <c r="AA46" i="3"/>
  <c r="AA1203" i="3"/>
  <c r="AA573" i="3"/>
  <c r="AA281" i="3"/>
  <c r="AA1098" i="3"/>
  <c r="AA166" i="3"/>
  <c r="AA284" i="3"/>
  <c r="AA494" i="3"/>
  <c r="AA301" i="3"/>
  <c r="AA1165" i="3"/>
  <c r="AA644" i="3"/>
  <c r="AA1124" i="3"/>
  <c r="AA130" i="3"/>
  <c r="AA1072" i="3"/>
  <c r="AA10" i="3"/>
  <c r="AA824" i="3"/>
  <c r="AA179" i="3"/>
  <c r="AA40" i="3"/>
  <c r="AA257" i="3"/>
  <c r="AA550" i="3"/>
  <c r="AA400" i="3"/>
  <c r="AA1310" i="3"/>
  <c r="AA270" i="3"/>
  <c r="AA1034" i="3"/>
  <c r="AA1360" i="3"/>
  <c r="AA904" i="3"/>
  <c r="AA606" i="3"/>
  <c r="AA948" i="3"/>
  <c r="AA272" i="3"/>
  <c r="AA169" i="3"/>
  <c r="AA510" i="3"/>
  <c r="AA1127" i="3"/>
  <c r="AA1042" i="3"/>
  <c r="AA217" i="3"/>
  <c r="AA358" i="3"/>
  <c r="AA914" i="3"/>
  <c r="AA323" i="3"/>
  <c r="AA86" i="3"/>
  <c r="AA123" i="3"/>
  <c r="AA1036" i="3"/>
  <c r="AA496" i="3"/>
  <c r="AA114" i="3"/>
  <c r="AA260" i="3"/>
  <c r="AA702" i="3"/>
  <c r="AA999" i="3"/>
  <c r="AA831" i="3"/>
  <c r="AA371" i="3"/>
  <c r="AA87" i="3"/>
  <c r="AA452" i="3"/>
  <c r="AA1153" i="3"/>
  <c r="AA526" i="3"/>
  <c r="AA1327" i="3"/>
  <c r="AA48" i="3"/>
  <c r="AA1035" i="3"/>
  <c r="AA927" i="3"/>
  <c r="AA1318" i="3"/>
  <c r="AA1013" i="3"/>
  <c r="AA875" i="3"/>
  <c r="AA457" i="3"/>
  <c r="AA305" i="3"/>
  <c r="AA915" i="3"/>
  <c r="AA15" i="3"/>
  <c r="AA957" i="3"/>
  <c r="AA1134" i="3"/>
  <c r="AA451" i="3"/>
  <c r="AA723" i="3"/>
  <c r="AA921" i="3"/>
  <c r="AA1085" i="3"/>
  <c r="AA937" i="3"/>
  <c r="AA226" i="3"/>
  <c r="AA1043" i="3"/>
  <c r="AA585" i="3"/>
  <c r="AA1031" i="3"/>
  <c r="AA782" i="3"/>
  <c r="AA822" i="3"/>
  <c r="AA167" i="3"/>
  <c r="AA926" i="3"/>
  <c r="AA1058" i="3"/>
  <c r="AA237" i="3"/>
  <c r="AA1046" i="3"/>
  <c r="AA826" i="3"/>
  <c r="AA666" i="3"/>
  <c r="AA1125" i="3"/>
  <c r="AA940" i="3"/>
  <c r="AA636" i="3"/>
  <c r="AA41" i="3"/>
  <c r="AA253" i="3"/>
  <c r="AA256" i="3"/>
  <c r="AA401" i="3"/>
  <c r="AA1270" i="3"/>
  <c r="AA269" i="3"/>
  <c r="AA403" i="3"/>
  <c r="AA1102" i="3"/>
  <c r="AA874" i="3"/>
  <c r="AA220" i="3"/>
  <c r="AA213" i="3"/>
  <c r="AA520" i="3"/>
  <c r="AA852" i="3"/>
  <c r="AA1182" i="3"/>
  <c r="AA652" i="3"/>
  <c r="AA1188" i="3"/>
  <c r="AA1038" i="3"/>
  <c r="AA952" i="3"/>
  <c r="AA576" i="3"/>
  <c r="AA946" i="3"/>
  <c r="AA542" i="3"/>
  <c r="AA1130" i="3"/>
  <c r="AA1002" i="3"/>
  <c r="AA830" i="3"/>
  <c r="AA678" i="3"/>
  <c r="AA1128" i="3"/>
  <c r="AA60" i="3"/>
  <c r="AA950" i="3"/>
  <c r="AA474" i="3"/>
  <c r="AA594" i="3"/>
  <c r="AA458" i="3"/>
  <c r="AA370" i="3"/>
  <c r="AA766" i="3"/>
  <c r="AA173" i="3"/>
  <c r="AA843" i="3"/>
  <c r="AA593" i="3"/>
  <c r="AA495" i="3"/>
  <c r="AA184" i="3"/>
  <c r="AA1283" i="3"/>
  <c r="AA125" i="3"/>
  <c r="AA85" i="3"/>
  <c r="AA131" i="3"/>
  <c r="AA243" i="3"/>
  <c r="AA16" i="3"/>
  <c r="AA326" i="3"/>
  <c r="AA979" i="3"/>
  <c r="AA62" i="3"/>
  <c r="AA282" i="3"/>
  <c r="AA383" i="3"/>
  <c r="AA686" i="3"/>
  <c r="AA1190" i="3"/>
  <c r="AA680" i="3"/>
  <c r="AA994" i="3"/>
  <c r="AA828" i="3"/>
  <c r="AA236" i="3"/>
  <c r="AA658" i="3"/>
  <c r="AA1268" i="3"/>
  <c r="AA1321" i="3"/>
  <c r="AA774" i="3"/>
  <c r="AA608" i="3"/>
  <c r="AA254" i="3"/>
  <c r="AA524" i="3"/>
  <c r="AA1311" i="3"/>
  <c r="AA1012" i="3"/>
  <c r="AA221" i="3"/>
  <c r="AA1030" i="3"/>
  <c r="AA630" i="3"/>
  <c r="AA792" i="3"/>
  <c r="AA1114" i="3"/>
  <c r="AA972" i="3"/>
  <c r="AA970" i="3"/>
  <c r="AA1131" i="3"/>
  <c r="AA61" i="3"/>
  <c r="AA22" i="3"/>
  <c r="AA1355" i="3"/>
  <c r="AA1070" i="3"/>
  <c r="AA480" i="3"/>
  <c r="AA642" i="3"/>
  <c r="AA316" i="3"/>
  <c r="AA259" i="3"/>
  <c r="AA69" i="3"/>
  <c r="AA1209" i="3"/>
  <c r="AA325" i="3"/>
  <c r="AA127" i="3"/>
  <c r="AA321" i="3"/>
  <c r="AA770" i="3"/>
  <c r="AA941" i="3"/>
  <c r="AA847" i="3"/>
  <c r="AA779" i="3"/>
  <c r="AA437" i="3"/>
  <c r="AA1312" i="3"/>
  <c r="AA839" i="3"/>
  <c r="AA669" i="3"/>
  <c r="AA561" i="3"/>
  <c r="AA633" i="3"/>
  <c r="AA859" i="3"/>
  <c r="AA703" i="3"/>
  <c r="AA45" i="3"/>
  <c r="AA147" i="3"/>
  <c r="AA835" i="3"/>
  <c r="AA623" i="3"/>
  <c r="AA1099" i="3"/>
  <c r="AA132" i="3"/>
  <c r="AA744" i="3"/>
  <c r="AA18" i="3"/>
  <c r="AA540" i="3"/>
  <c r="AA1290" i="3"/>
  <c r="AA324" i="3"/>
  <c r="AA888" i="3"/>
  <c r="AA602" i="3"/>
  <c r="AA668" i="3"/>
  <c r="AA354" i="3"/>
  <c r="AA776" i="3"/>
  <c r="AA152" i="3"/>
  <c r="AA1084" i="3"/>
  <c r="AA556" i="3"/>
  <c r="AA315" i="3"/>
  <c r="AA310" i="3"/>
  <c r="AA720" i="3"/>
  <c r="AA894" i="3"/>
  <c r="AA932" i="3"/>
  <c r="AA796" i="3"/>
  <c r="AA413" i="3"/>
  <c r="AA94" i="3"/>
  <c r="AA612" i="3"/>
  <c r="AA1319" i="3"/>
  <c r="AA714" i="3"/>
  <c r="AA466" i="3"/>
  <c r="AA1238" i="3"/>
  <c r="AA1184" i="3"/>
  <c r="AA844" i="3"/>
  <c r="AA145" i="3"/>
  <c r="AA1139" i="3"/>
  <c r="AA1108" i="3"/>
  <c r="AA838" i="3"/>
  <c r="AA898" i="3"/>
  <c r="AA704" i="3"/>
  <c r="AA762" i="3"/>
  <c r="AA68" i="3"/>
  <c r="AA698" i="3"/>
  <c r="AA726" i="3"/>
  <c r="AA21" i="3"/>
  <c r="AA1356" i="3"/>
  <c r="J710" i="4"/>
  <c r="J709" i="4"/>
  <c r="Q612" i="4" l="1"/>
  <c r="I81" i="4"/>
  <c r="Y81" i="4" s="1"/>
  <c r="AB53" i="3"/>
  <c r="AB691" i="3"/>
  <c r="AB563" i="3"/>
  <c r="AB346" i="3"/>
  <c r="AB1263" i="3"/>
  <c r="AB609" i="3"/>
  <c r="AB811" i="3"/>
  <c r="AH1294" i="3"/>
  <c r="AH1093" i="3"/>
  <c r="AB119" i="3"/>
  <c r="AH1049" i="3"/>
  <c r="AB1103" i="3"/>
  <c r="AB759" i="3"/>
  <c r="AB587" i="3"/>
  <c r="AB108" i="3"/>
  <c r="AB987" i="3"/>
  <c r="AB1362" i="3"/>
  <c r="AB955" i="3"/>
  <c r="AB423" i="3"/>
  <c r="AB396" i="3"/>
  <c r="AH1257" i="3"/>
  <c r="AB1258" i="3"/>
  <c r="AB1148" i="3"/>
  <c r="AB977" i="3"/>
  <c r="W557" i="4"/>
  <c r="W553" i="4"/>
  <c r="R669" i="4"/>
  <c r="Q669" i="4"/>
  <c r="R634" i="4"/>
  <c r="Q634" i="4"/>
  <c r="W570" i="4"/>
  <c r="AB1257" i="3"/>
  <c r="AH955" i="3"/>
  <c r="AB1093" i="3"/>
  <c r="AH987" i="3"/>
  <c r="AB1294" i="3"/>
  <c r="K710" i="4"/>
  <c r="P709" i="4"/>
  <c r="K709" i="4"/>
  <c r="AB1049" i="3"/>
  <c r="AH346" i="3"/>
  <c r="AH1263" i="3"/>
  <c r="AH118" i="3"/>
  <c r="AH617" i="3"/>
  <c r="AB715" i="3"/>
  <c r="AH1047" i="3"/>
  <c r="AH567" i="3"/>
  <c r="AH935" i="3"/>
  <c r="AH447" i="3"/>
  <c r="AB1376" i="3"/>
  <c r="AB735" i="3"/>
  <c r="AB869" i="3"/>
  <c r="AB527" i="3"/>
  <c r="AB26" i="3"/>
  <c r="AH489" i="3"/>
  <c r="AB503" i="3"/>
  <c r="AH1205" i="3"/>
  <c r="AH535" i="3"/>
  <c r="AH615" i="3"/>
  <c r="AH1177" i="3"/>
  <c r="AB1370" i="3"/>
  <c r="AH1199" i="3"/>
  <c r="AB1025" i="3"/>
  <c r="AH1215" i="3"/>
  <c r="AB427" i="3"/>
  <c r="AB1171" i="3"/>
  <c r="AB1179" i="3"/>
  <c r="AH799" i="3"/>
  <c r="AB1361" i="3"/>
  <c r="AB106" i="3"/>
  <c r="AH1301" i="3"/>
  <c r="AH1091" i="3"/>
  <c r="AB1296" i="3"/>
  <c r="AB625" i="3"/>
  <c r="AB1233" i="3"/>
  <c r="AB1304" i="3"/>
  <c r="AB1291" i="3"/>
  <c r="AB1027" i="3"/>
  <c r="AH467" i="3"/>
  <c r="AH741" i="3"/>
  <c r="AB1217" i="3"/>
  <c r="AB737" i="3"/>
  <c r="AB1175" i="3"/>
  <c r="AH1239" i="3"/>
  <c r="AB1256" i="3"/>
  <c r="I22" i="4"/>
  <c r="AH1264" i="3"/>
  <c r="AB515" i="3"/>
  <c r="AH571" i="3"/>
  <c r="AH1277" i="3"/>
  <c r="AH443" i="3"/>
  <c r="AH783" i="3"/>
  <c r="AH959" i="3"/>
  <c r="AH991" i="3"/>
  <c r="AH675" i="3"/>
  <c r="AH1229" i="3"/>
  <c r="AB487" i="3"/>
  <c r="AB645" i="3"/>
  <c r="AB705" i="3"/>
  <c r="AH883" i="3"/>
  <c r="AB1051" i="3"/>
  <c r="AH905" i="3"/>
  <c r="AH1158" i="3"/>
  <c r="AH627" i="3"/>
  <c r="AH1003" i="3"/>
  <c r="AH449" i="3"/>
  <c r="AB621" i="3"/>
  <c r="AH1231" i="3"/>
  <c r="AH429" i="3"/>
  <c r="AH565" i="3"/>
  <c r="AB343" i="3"/>
  <c r="AH891" i="3"/>
  <c r="AB341" i="3"/>
  <c r="AB24" i="3"/>
  <c r="AB659" i="3"/>
  <c r="AH997" i="3"/>
  <c r="AH681" i="3"/>
  <c r="AB1077" i="3"/>
  <c r="AH1368" i="3"/>
  <c r="AB1147" i="3"/>
  <c r="AH117" i="3"/>
  <c r="AB1345" i="3"/>
  <c r="I458" i="4"/>
  <c r="AB647" i="3"/>
  <c r="AH505" i="3"/>
  <c r="AH1275" i="3"/>
  <c r="AB1342" i="3"/>
  <c r="AB861" i="3"/>
  <c r="AH881" i="3"/>
  <c r="AH372" i="3"/>
  <c r="AB631" i="3"/>
  <c r="AB689" i="3"/>
  <c r="AH579" i="3"/>
  <c r="AB961" i="3"/>
  <c r="AH1253" i="3"/>
  <c r="AH569" i="3"/>
  <c r="AB1075" i="3"/>
  <c r="AH577" i="3"/>
  <c r="AB25" i="3"/>
  <c r="AH1021" i="3"/>
  <c r="AB855" i="3"/>
  <c r="AB1062" i="3"/>
  <c r="AH1299" i="3"/>
  <c r="AB1227" i="3"/>
  <c r="AB441" i="3"/>
  <c r="AB907" i="3"/>
  <c r="I529" i="4"/>
  <c r="AH1059" i="3"/>
  <c r="AH342" i="3"/>
  <c r="AH863" i="3"/>
  <c r="AH687" i="3"/>
  <c r="AB849" i="3"/>
  <c r="AB1105" i="3"/>
  <c r="AH344" i="3"/>
  <c r="AB1225" i="3"/>
  <c r="AH683" i="3"/>
  <c r="AB1366" i="3"/>
  <c r="AH731" i="3"/>
  <c r="AH581" i="3"/>
  <c r="AB103" i="3"/>
  <c r="AH481" i="3"/>
  <c r="AH1193" i="3"/>
  <c r="AB469" i="3"/>
  <c r="AB360" i="3"/>
  <c r="AB345" i="3"/>
  <c r="AH1260" i="3"/>
  <c r="AH1219" i="3"/>
  <c r="AB1265" i="3"/>
  <c r="AB415" i="3"/>
  <c r="AB1261" i="3"/>
  <c r="AB1207" i="3"/>
  <c r="AH1160" i="3"/>
  <c r="AB1060" i="3"/>
  <c r="AB1150" i="3"/>
  <c r="AH739" i="3"/>
  <c r="AH360" i="3"/>
  <c r="AH735" i="3"/>
  <c r="AH1256" i="3"/>
  <c r="AB687" i="3"/>
  <c r="AB1253" i="3"/>
  <c r="AH1225" i="3"/>
  <c r="AH441" i="3"/>
  <c r="AB731" i="3"/>
  <c r="AB581" i="3"/>
  <c r="AH469" i="3"/>
  <c r="AB344" i="3"/>
  <c r="AH1366" i="3"/>
  <c r="AB683" i="3"/>
  <c r="AB1193" i="3"/>
  <c r="I39" i="4"/>
  <c r="AB863" i="3"/>
  <c r="AH1105" i="3"/>
  <c r="AH849" i="3"/>
  <c r="AH1062" i="3"/>
  <c r="AH907" i="3"/>
  <c r="AB577" i="3"/>
  <c r="AB342" i="3"/>
  <c r="AH1075" i="3"/>
  <c r="AH1227" i="3"/>
  <c r="AB1299" i="3"/>
  <c r="AB579" i="3"/>
  <c r="AB1059" i="3"/>
  <c r="AB569" i="3"/>
  <c r="AH1017" i="3"/>
  <c r="AB1158" i="3"/>
  <c r="AB1368" i="3"/>
  <c r="AH341" i="3"/>
  <c r="AB997" i="3"/>
  <c r="AB117" i="3"/>
  <c r="AB681" i="3"/>
  <c r="AH1077" i="3"/>
  <c r="AB1231" i="3"/>
  <c r="AH705" i="3"/>
  <c r="AH621" i="3"/>
  <c r="AB905" i="3"/>
  <c r="AB565" i="3"/>
  <c r="AB627" i="3"/>
  <c r="AB1047" i="3"/>
  <c r="I547" i="4"/>
  <c r="I87" i="4"/>
  <c r="I58" i="4"/>
  <c r="I528" i="4"/>
  <c r="I443" i="4"/>
  <c r="I551" i="4"/>
  <c r="I544" i="4"/>
  <c r="I441" i="4"/>
  <c r="I540" i="4"/>
  <c r="I374" i="4"/>
  <c r="I470" i="4"/>
  <c r="I114" i="4"/>
  <c r="I61" i="4"/>
  <c r="I546" i="4"/>
  <c r="I541" i="4"/>
  <c r="I44" i="4"/>
  <c r="I431" i="4"/>
  <c r="I457" i="4"/>
  <c r="I74" i="4"/>
  <c r="I108" i="4"/>
  <c r="AB1264" i="3"/>
  <c r="AB675" i="3"/>
  <c r="AB1277" i="3"/>
  <c r="AB429" i="3"/>
  <c r="AB959" i="3"/>
  <c r="AB449" i="3"/>
  <c r="AB1003" i="3"/>
  <c r="AB783" i="3"/>
  <c r="AH487" i="3"/>
  <c r="AB571" i="3"/>
  <c r="AB991" i="3"/>
  <c r="AH343" i="3"/>
  <c r="AH515" i="3"/>
  <c r="AB1229" i="3"/>
  <c r="AH1051" i="3"/>
  <c r="AB443" i="3"/>
  <c r="AB799" i="3"/>
  <c r="AH1296" i="3"/>
  <c r="AH427" i="3"/>
  <c r="AH715" i="3"/>
  <c r="AB447" i="3"/>
  <c r="AB118" i="3"/>
  <c r="AB935" i="3"/>
  <c r="AB617" i="3"/>
  <c r="AB567" i="3"/>
  <c r="AB1301" i="3"/>
  <c r="AH1171" i="3"/>
  <c r="AB1160" i="3"/>
  <c r="AH1179" i="3"/>
  <c r="AH625" i="3"/>
  <c r="AB1260" i="3"/>
  <c r="AH1233" i="3"/>
  <c r="AB1091" i="3"/>
  <c r="AH1304" i="3"/>
  <c r="AH1025" i="3"/>
  <c r="AH1207" i="3"/>
  <c r="AH1261" i="3"/>
  <c r="AB739" i="3"/>
  <c r="AB1219" i="3"/>
  <c r="AH345" i="3"/>
  <c r="AH1060" i="3"/>
  <c r="AB489" i="3"/>
  <c r="AB1275" i="3"/>
  <c r="AB372" i="3"/>
  <c r="AH503" i="3"/>
  <c r="AB1205" i="3"/>
  <c r="AB615" i="3"/>
  <c r="AH1345" i="3"/>
  <c r="AB1235" i="3"/>
  <c r="AB505" i="3"/>
  <c r="AH1235" i="3"/>
  <c r="AB1177" i="3"/>
  <c r="AB1199" i="3"/>
  <c r="AH631" i="3"/>
  <c r="AH475" i="3"/>
  <c r="AB535" i="3"/>
  <c r="AH1342" i="3"/>
  <c r="AH689" i="3"/>
  <c r="AH861" i="3"/>
  <c r="AB1215" i="3"/>
  <c r="AB1021" i="3"/>
  <c r="AH1027" i="3"/>
  <c r="AB467" i="3"/>
  <c r="AB1239" i="3"/>
  <c r="AB741" i="3"/>
  <c r="AH1217" i="3"/>
  <c r="AH1175" i="3"/>
  <c r="AH1291" i="3"/>
  <c r="AH1019" i="3"/>
  <c r="AH737" i="3"/>
  <c r="AI1364" i="3"/>
  <c r="AB1241" i="3"/>
  <c r="AB853" i="3"/>
  <c r="AB655" i="3"/>
  <c r="AB52" i="3"/>
  <c r="I124" i="4"/>
  <c r="AB421" i="3"/>
  <c r="AB695" i="3"/>
  <c r="AB116" i="3"/>
  <c r="AI287" i="3"/>
  <c r="AB1374" i="3"/>
  <c r="I429" i="4"/>
  <c r="I549" i="4"/>
  <c r="AB807" i="3"/>
  <c r="AB459" i="3"/>
  <c r="AB1315" i="3"/>
  <c r="I432" i="4"/>
  <c r="AH1063" i="3"/>
  <c r="AB810" i="3"/>
  <c r="AB975" i="3"/>
  <c r="AB455" i="3"/>
  <c r="AB1339" i="3"/>
  <c r="AB1247" i="3"/>
  <c r="AB1061" i="3"/>
  <c r="I545" i="4"/>
  <c r="I173" i="4"/>
  <c r="AB805" i="3"/>
  <c r="AB511" i="3"/>
  <c r="I14" i="4"/>
  <c r="AH1331" i="3"/>
  <c r="AB815" i="3"/>
  <c r="AB445" i="3"/>
  <c r="AB639" i="3"/>
  <c r="AB673" i="3"/>
  <c r="AB809" i="3"/>
  <c r="I107" i="4"/>
  <c r="AH1292" i="3"/>
  <c r="AB1363" i="3"/>
  <c r="I97" i="4"/>
  <c r="I93" i="4"/>
  <c r="AB802" i="3"/>
  <c r="AB1095" i="3"/>
  <c r="AB134" i="3"/>
  <c r="AB814" i="3"/>
  <c r="AB699" i="3"/>
  <c r="AB51" i="3"/>
  <c r="AH1254" i="3"/>
  <c r="AB543" i="3"/>
  <c r="I25" i="4"/>
  <c r="I73" i="4"/>
  <c r="AB1328" i="3"/>
  <c r="I43" i="4"/>
  <c r="AB1109" i="3"/>
  <c r="AB1249" i="3"/>
  <c r="AB88" i="3"/>
  <c r="AB1162" i="3"/>
  <c r="AB1298" i="3"/>
  <c r="AB865" i="3"/>
  <c r="AB755" i="3"/>
  <c r="AA2" i="3"/>
  <c r="AB517" i="3"/>
  <c r="AB1149" i="3"/>
  <c r="AB1245" i="3"/>
  <c r="AB296" i="3"/>
  <c r="AB363" i="3"/>
  <c r="AB453" i="3"/>
  <c r="AH659" i="3"/>
  <c r="AB801" i="3"/>
  <c r="AB366" i="3"/>
  <c r="AB757" i="3"/>
  <c r="I109" i="4"/>
  <c r="AH1262" i="3"/>
  <c r="AB803" i="3"/>
  <c r="AB439" i="3"/>
  <c r="AB405" i="3"/>
  <c r="I31" i="4"/>
  <c r="I26" i="4"/>
  <c r="I100" i="4"/>
  <c r="AB1221" i="3"/>
  <c r="AB1067" i="3"/>
  <c r="AH1297" i="3"/>
  <c r="I76" i="4"/>
  <c r="AB107" i="3"/>
  <c r="I59" i="4"/>
  <c r="AH1255" i="3"/>
  <c r="AI530" i="3"/>
  <c r="AB513" i="3"/>
  <c r="I92" i="4"/>
  <c r="AB1140" i="3"/>
  <c r="AB885" i="3"/>
  <c r="AB461" i="3"/>
  <c r="AB109" i="3"/>
  <c r="AI800" i="3"/>
  <c r="AB1297" i="3"/>
  <c r="AH107" i="3"/>
  <c r="AB1255" i="3"/>
  <c r="AI1028" i="3"/>
  <c r="AI856" i="3"/>
  <c r="AH1140" i="3"/>
  <c r="AB110" i="3"/>
  <c r="AB1331" i="3"/>
  <c r="AB1254" i="3"/>
  <c r="AH1328" i="3"/>
  <c r="AI1246" i="3"/>
  <c r="AB1063" i="3"/>
  <c r="AI1236" i="3"/>
  <c r="AI998" i="3"/>
  <c r="AI1180" i="3"/>
  <c r="AI1230" i="3"/>
  <c r="AH1061" i="3"/>
  <c r="AH1339" i="3"/>
  <c r="AI706" i="3"/>
  <c r="AI506" i="3"/>
  <c r="AI442" i="3"/>
  <c r="AI1232" i="3"/>
  <c r="Q2" i="3"/>
  <c r="J94" i="4"/>
  <c r="I90" i="4"/>
  <c r="AI694" i="3"/>
  <c r="AI978" i="3"/>
  <c r="AB1292" i="3"/>
  <c r="AI488" i="3"/>
  <c r="AI622" i="3"/>
  <c r="AB819" i="3"/>
  <c r="AI347" i="3"/>
  <c r="AI1168" i="3"/>
  <c r="AB1243" i="3"/>
  <c r="AI598" i="3"/>
  <c r="AI908" i="3"/>
  <c r="AI1373" i="3"/>
  <c r="AB23" i="3"/>
  <c r="AB813" i="3"/>
  <c r="I24" i="4"/>
  <c r="AB1087" i="3"/>
  <c r="AH378" i="3"/>
  <c r="AB378" i="3"/>
  <c r="AI818" i="3"/>
  <c r="AI398" i="3"/>
  <c r="AB1211" i="3"/>
  <c r="AB1089" i="3"/>
  <c r="AI1295" i="3"/>
  <c r="I23" i="4"/>
  <c r="J69" i="4"/>
  <c r="AI628" i="3"/>
  <c r="AI684" i="3"/>
  <c r="AI407" i="3"/>
  <c r="AI882" i="3"/>
  <c r="AI1161" i="3"/>
  <c r="AI1200" i="3"/>
  <c r="AI580" i="3"/>
  <c r="AI379" i="3"/>
  <c r="AI406" i="3"/>
  <c r="AI1375" i="3"/>
  <c r="AI389" i="3"/>
  <c r="AI648" i="3"/>
  <c r="AB529" i="3"/>
  <c r="AI1208" i="3"/>
  <c r="AI364" i="3"/>
  <c r="AI930" i="3"/>
  <c r="AI1240" i="3"/>
  <c r="AI1050" i="3"/>
  <c r="J18" i="4"/>
  <c r="AI1040" i="3"/>
  <c r="AB433" i="3"/>
  <c r="AB917" i="3"/>
  <c r="AB491" i="3"/>
  <c r="AB1262" i="3"/>
  <c r="AB181" i="3"/>
  <c r="AI448" i="3"/>
  <c r="J72" i="4"/>
  <c r="AI676" i="3"/>
  <c r="AB340" i="3"/>
  <c r="AB1223" i="3"/>
  <c r="J54" i="4"/>
  <c r="I53" i="4"/>
  <c r="AB1293" i="3"/>
  <c r="AB747" i="3"/>
  <c r="AI820" i="3"/>
  <c r="AI422" i="3"/>
  <c r="AI55" i="3"/>
  <c r="AI386" i="3"/>
  <c r="AI682" i="3"/>
  <c r="AI1308" i="3"/>
  <c r="AH1166" i="3"/>
  <c r="AI862" i="3"/>
  <c r="AB806" i="3"/>
  <c r="J89" i="4"/>
  <c r="AB1166" i="3"/>
  <c r="AI674" i="3"/>
  <c r="AB693" i="3"/>
  <c r="AI1224" i="3"/>
  <c r="AB507" i="3"/>
  <c r="J433" i="4"/>
  <c r="J21" i="4"/>
  <c r="AI1064" i="3"/>
  <c r="AI784" i="3"/>
  <c r="AB817" i="3"/>
  <c r="AI216" i="3"/>
  <c r="AI1178" i="3"/>
  <c r="AB375" i="3"/>
  <c r="AI1377" i="3"/>
  <c r="J55" i="4"/>
  <c r="AH1155" i="3"/>
  <c r="AB1155" i="3"/>
  <c r="AI1104" i="3"/>
  <c r="I96" i="4"/>
  <c r="AB929" i="3"/>
  <c r="AI376" i="3"/>
  <c r="AB102" i="3"/>
  <c r="AI365" i="3"/>
  <c r="AI816" i="3"/>
  <c r="AB1372" i="3"/>
  <c r="I12" i="4"/>
  <c r="AI1076" i="3"/>
  <c r="AI650" i="3"/>
  <c r="J51" i="4"/>
  <c r="J30" i="4"/>
  <c r="J7" i="4"/>
  <c r="AI105" i="3"/>
  <c r="AI1226" i="3"/>
  <c r="AI884" i="3"/>
  <c r="AI1212" i="3"/>
  <c r="AI956" i="3"/>
  <c r="AI748" i="3"/>
  <c r="AI760" i="3"/>
  <c r="AI1346" i="3"/>
  <c r="AI688" i="3"/>
  <c r="AI632" i="3"/>
  <c r="AI1092" i="3"/>
  <c r="J52" i="4"/>
  <c r="AI738" i="3"/>
  <c r="AI1110" i="3"/>
  <c r="J82" i="4"/>
  <c r="I304" i="4"/>
  <c r="AI1159" i="3"/>
  <c r="AI444" i="3"/>
  <c r="AI1068" i="3"/>
  <c r="I456" i="4"/>
  <c r="J543" i="4"/>
  <c r="AI976" i="3"/>
  <c r="AI492" i="3"/>
  <c r="AI90" i="3"/>
  <c r="AI416" i="3"/>
  <c r="AI1337" i="3"/>
  <c r="AI1305" i="3"/>
  <c r="AI1222" i="3"/>
  <c r="AI120" i="3"/>
  <c r="AH68" i="3"/>
  <c r="AH94" i="3"/>
  <c r="AH413" i="3"/>
  <c r="AH354" i="3"/>
  <c r="AH321" i="3"/>
  <c r="AH269" i="3"/>
  <c r="AH40" i="3"/>
  <c r="AH1359" i="3"/>
  <c r="AH409" i="3"/>
  <c r="AI992" i="3"/>
  <c r="AI1018" i="3"/>
  <c r="AB597" i="3"/>
  <c r="AI135" i="3"/>
  <c r="J46" i="4"/>
  <c r="AI1343" i="3"/>
  <c r="AI1096" i="3"/>
  <c r="AI936" i="3"/>
  <c r="AI610" i="3"/>
  <c r="J457" i="4"/>
  <c r="AI1350" i="3"/>
  <c r="AI514" i="3"/>
  <c r="AI1220" i="3"/>
  <c r="AI732" i="3"/>
  <c r="AI1317" i="3"/>
  <c r="AI1303" i="3"/>
  <c r="AH889" i="3"/>
  <c r="AI490" i="3"/>
  <c r="AI570" i="3"/>
  <c r="AI183" i="3"/>
  <c r="AI1194" i="3"/>
  <c r="AI988" i="3"/>
  <c r="AI508" i="3"/>
  <c r="I552" i="4"/>
  <c r="AI206" i="3"/>
  <c r="J37" i="4"/>
  <c r="AI1244" i="3"/>
  <c r="AI700" i="3"/>
  <c r="I35" i="4"/>
  <c r="AI172" i="3"/>
  <c r="J432" i="4"/>
  <c r="AI1248" i="3"/>
  <c r="AI476" i="3"/>
  <c r="AI1020" i="3"/>
  <c r="AI692" i="3"/>
  <c r="J12" i="4"/>
  <c r="J49" i="4"/>
  <c r="J4" i="4"/>
  <c r="AI460" i="3"/>
  <c r="AI430" i="3"/>
  <c r="J430" i="4"/>
  <c r="AB671" i="3"/>
  <c r="J45" i="4"/>
  <c r="J95" i="4"/>
  <c r="AI960" i="3"/>
  <c r="AB649" i="3"/>
  <c r="AI111" i="3"/>
  <c r="AI868" i="3"/>
  <c r="I515" i="4"/>
  <c r="AI188" i="3"/>
  <c r="J22" i="4"/>
  <c r="J104" i="4"/>
  <c r="AI28" i="3"/>
  <c r="AI482" i="3"/>
  <c r="J17" i="4"/>
  <c r="I21" i="4"/>
  <c r="J19" i="4"/>
  <c r="I57" i="4"/>
  <c r="AI195" i="3"/>
  <c r="AI456" i="3"/>
  <c r="AI568" i="3"/>
  <c r="J39" i="4"/>
  <c r="AB867" i="3"/>
  <c r="J74" i="4"/>
  <c r="AI740" i="3"/>
  <c r="AB392" i="3"/>
  <c r="AI394" i="3"/>
  <c r="AI588" i="3"/>
  <c r="AI1266" i="3"/>
  <c r="AI446" i="3"/>
  <c r="AI1218" i="3"/>
  <c r="AI1052" i="3"/>
  <c r="AI144" i="3"/>
  <c r="AI646" i="3"/>
  <c r="AI373" i="3"/>
  <c r="J96" i="4"/>
  <c r="J470" i="4"/>
  <c r="J53" i="4"/>
  <c r="AI1338" i="3"/>
  <c r="I29" i="4"/>
  <c r="J71" i="4"/>
  <c r="AI672" i="3"/>
  <c r="I424" i="4"/>
  <c r="AI536" i="3"/>
  <c r="I303" i="4"/>
  <c r="J108" i="4"/>
  <c r="J62" i="4"/>
  <c r="I95" i="4"/>
  <c r="J444" i="4"/>
  <c r="I48" i="4"/>
  <c r="J24" i="4"/>
  <c r="AI1141" i="3"/>
  <c r="AI656" i="3"/>
  <c r="AI1371" i="3"/>
  <c r="AI870" i="3"/>
  <c r="J84" i="4"/>
  <c r="AI616" i="3"/>
  <c r="AI1088" i="3"/>
  <c r="J10" i="4"/>
  <c r="AI1340" i="3"/>
  <c r="AI516" i="3"/>
  <c r="AB1039" i="3"/>
  <c r="AI1048" i="3"/>
  <c r="AI626" i="3"/>
  <c r="AI1316" i="3"/>
  <c r="I526" i="4"/>
  <c r="AI804" i="3"/>
  <c r="I60" i="4"/>
  <c r="I17" i="4"/>
  <c r="J14" i="4"/>
  <c r="AB419" i="3"/>
  <c r="J43" i="4"/>
  <c r="AI618" i="3"/>
  <c r="AI1176" i="3"/>
  <c r="AI1242" i="3"/>
  <c r="AI1167" i="3"/>
  <c r="I79" i="4"/>
  <c r="J102" i="4"/>
  <c r="AI420" i="3"/>
  <c r="AI297" i="3"/>
  <c r="I40" i="4"/>
  <c r="J531" i="4"/>
  <c r="AI1259" i="3"/>
  <c r="AI1330" i="3"/>
  <c r="I9" i="4"/>
  <c r="AI690" i="3"/>
  <c r="AI374" i="3"/>
  <c r="AI812" i="3"/>
  <c r="I425" i="4"/>
  <c r="J91" i="4"/>
  <c r="J90" i="4"/>
  <c r="J50" i="4"/>
  <c r="AI121" i="3"/>
  <c r="J41" i="4"/>
  <c r="J431" i="4"/>
  <c r="I302" i="4"/>
  <c r="J32" i="4"/>
  <c r="AI1369" i="3"/>
  <c r="AI1228" i="3"/>
  <c r="AI1329" i="3"/>
  <c r="AI1302" i="3"/>
  <c r="AI104" i="3"/>
  <c r="I523" i="4"/>
  <c r="J42" i="4"/>
  <c r="J540" i="4"/>
  <c r="AI387" i="3"/>
  <c r="AI362" i="3"/>
  <c r="AI454" i="3"/>
  <c r="AI512" i="3"/>
  <c r="AI424" i="3"/>
  <c r="AI1300" i="3"/>
  <c r="J107" i="4"/>
  <c r="J98" i="4"/>
  <c r="I75" i="4"/>
  <c r="J70" i="4"/>
  <c r="AI1094" i="3"/>
  <c r="AB1307" i="3"/>
  <c r="AI578" i="3"/>
  <c r="J57" i="4"/>
  <c r="J28" i="4"/>
  <c r="AI462" i="3"/>
  <c r="AI361" i="3"/>
  <c r="J5" i="4"/>
  <c r="AH1142" i="3"/>
  <c r="I525" i="4"/>
  <c r="J34" i="4"/>
  <c r="AB1142" i="3"/>
  <c r="AI434" i="3"/>
  <c r="AI660" i="3"/>
  <c r="AI1335" i="3"/>
  <c r="AH1336" i="3"/>
  <c r="AI368" i="3"/>
  <c r="I98" i="4"/>
  <c r="I433" i="4"/>
  <c r="AI564" i="3"/>
  <c r="AI470" i="3"/>
  <c r="J64" i="4"/>
  <c r="J68" i="4"/>
  <c r="AI756" i="3"/>
  <c r="I7" i="4"/>
  <c r="J59" i="4"/>
  <c r="J9" i="4"/>
  <c r="AI640" i="3"/>
  <c r="I16" i="4"/>
  <c r="J31" i="4"/>
  <c r="AB385" i="3"/>
  <c r="AI428" i="3"/>
  <c r="AI136" i="3"/>
  <c r="AI736" i="3"/>
  <c r="AI850" i="3"/>
  <c r="I63" i="4"/>
  <c r="AI350" i="3"/>
  <c r="J81" i="4"/>
  <c r="J47" i="4"/>
  <c r="J528" i="4"/>
  <c r="J455" i="4"/>
  <c r="AH132" i="3"/>
  <c r="AH236" i="3"/>
  <c r="AH403" i="3"/>
  <c r="AH1127" i="3"/>
  <c r="AH37" i="3"/>
  <c r="AH620" i="3"/>
  <c r="AH958" i="3"/>
  <c r="AH101" i="3"/>
  <c r="AH100" i="3"/>
  <c r="AB873" i="3"/>
  <c r="AB225" i="3"/>
  <c r="AB793" i="3"/>
  <c r="J121" i="4"/>
  <c r="J318" i="4"/>
  <c r="AH894" i="3"/>
  <c r="AH608" i="3"/>
  <c r="AH520" i="3"/>
  <c r="AB915" i="3"/>
  <c r="AH1360" i="3"/>
  <c r="AH263" i="3"/>
  <c r="AH436" i="3"/>
  <c r="AH880" i="3"/>
  <c r="AB70" i="3"/>
  <c r="AH185" i="3"/>
  <c r="AH276" i="3"/>
  <c r="AH788" i="3"/>
  <c r="AH336" i="3"/>
  <c r="AH240" i="3"/>
  <c r="AH942" i="3"/>
  <c r="AH1272" i="3"/>
  <c r="AH554" i="3"/>
  <c r="AH84" i="3"/>
  <c r="AB99" i="3"/>
  <c r="AB943" i="3"/>
  <c r="AH986" i="3"/>
  <c r="AH279" i="3"/>
  <c r="AH734" i="3"/>
  <c r="AH1014" i="3"/>
  <c r="AH58" i="3"/>
  <c r="AB356" i="3"/>
  <c r="AB643" i="3"/>
  <c r="AB92" i="3"/>
  <c r="AB139" i="3"/>
  <c r="AB661" i="3"/>
  <c r="AB1037" i="3"/>
  <c r="AB897" i="3"/>
  <c r="AB923" i="3"/>
  <c r="AB583" i="3"/>
  <c r="AB603" i="3"/>
  <c r="AB895" i="3"/>
  <c r="AB201" i="3"/>
  <c r="AB1117" i="3"/>
  <c r="J358" i="4"/>
  <c r="I33" i="4"/>
  <c r="J399" i="4"/>
  <c r="I84" i="4"/>
  <c r="J40" i="4"/>
  <c r="I279" i="4"/>
  <c r="I247" i="4"/>
  <c r="I452" i="4"/>
  <c r="J293" i="4"/>
  <c r="J426" i="4"/>
  <c r="J235" i="4"/>
  <c r="J183" i="4"/>
  <c r="AH116" i="3"/>
  <c r="J500" i="4"/>
  <c r="J295" i="4"/>
  <c r="I167" i="4"/>
  <c r="I377" i="4"/>
  <c r="I362" i="4"/>
  <c r="I245" i="4"/>
  <c r="I192" i="4"/>
  <c r="J316" i="4"/>
  <c r="J403" i="4"/>
  <c r="J377" i="4"/>
  <c r="J372" i="4"/>
  <c r="I396" i="4"/>
  <c r="I176" i="4"/>
  <c r="I474" i="4"/>
  <c r="I159" i="4"/>
  <c r="I276" i="4"/>
  <c r="I181" i="4"/>
  <c r="J144" i="4"/>
  <c r="J212" i="4"/>
  <c r="J503" i="4"/>
  <c r="J478" i="4"/>
  <c r="I144" i="4"/>
  <c r="I278" i="4"/>
  <c r="I151" i="4"/>
  <c r="J174" i="4"/>
  <c r="I548" i="4"/>
  <c r="I165" i="4"/>
  <c r="I239" i="4"/>
  <c r="J198" i="4"/>
  <c r="I358" i="4"/>
  <c r="J257" i="4"/>
  <c r="J334" i="4"/>
  <c r="J141" i="4"/>
  <c r="J172" i="4"/>
  <c r="J414" i="4"/>
  <c r="J157" i="4"/>
  <c r="I517" i="4"/>
  <c r="I284" i="4"/>
  <c r="I399" i="4"/>
  <c r="I322" i="4"/>
  <c r="I254" i="4"/>
  <c r="I413" i="4"/>
  <c r="J314" i="4"/>
  <c r="J262" i="4"/>
  <c r="J217" i="4"/>
  <c r="J466" i="4"/>
  <c r="J123" i="4"/>
  <c r="I368" i="4"/>
  <c r="I352" i="4"/>
  <c r="I268" i="4"/>
  <c r="I436" i="4"/>
  <c r="I37" i="4"/>
  <c r="I211" i="4"/>
  <c r="I385" i="4"/>
  <c r="J246" i="4"/>
  <c r="J504" i="4"/>
  <c r="J305" i="4"/>
  <c r="J476" i="4"/>
  <c r="J382" i="4"/>
  <c r="I295" i="4"/>
  <c r="J93" i="4"/>
  <c r="J452" i="4"/>
  <c r="I476" i="4"/>
  <c r="J547" i="4"/>
  <c r="I462" i="4"/>
  <c r="J202" i="4"/>
  <c r="I132" i="4"/>
  <c r="I183" i="4"/>
  <c r="J131" i="4"/>
  <c r="J326" i="4"/>
  <c r="J284" i="4"/>
  <c r="J446" i="4"/>
  <c r="J487" i="4"/>
  <c r="J509" i="4"/>
  <c r="I427" i="4"/>
  <c r="J29" i="4"/>
  <c r="J374" i="4"/>
  <c r="AB1312" i="3"/>
  <c r="AH458" i="3"/>
  <c r="AB1085" i="3"/>
  <c r="AH494" i="3"/>
  <c r="AB32" i="3"/>
  <c r="AH592" i="3"/>
  <c r="AH872" i="3"/>
  <c r="AH210" i="3"/>
  <c r="AH1314" i="3"/>
  <c r="AB743" i="3"/>
  <c r="AB791" i="3"/>
  <c r="J265" i="4"/>
  <c r="AH1311" i="3"/>
  <c r="AH712" i="3"/>
  <c r="AH790" i="3"/>
  <c r="AB212" i="3"/>
  <c r="AH61" i="3"/>
  <c r="AH254" i="3"/>
  <c r="AH383" i="3"/>
  <c r="AH678" i="3"/>
  <c r="AH852" i="3"/>
  <c r="AH41" i="3"/>
  <c r="AH782" i="3"/>
  <c r="AB15" i="3"/>
  <c r="AH1153" i="3"/>
  <c r="AH86" i="3"/>
  <c r="AH1072" i="3"/>
  <c r="AB1203" i="3"/>
  <c r="AH76" i="3"/>
  <c r="AH500" i="3"/>
  <c r="AH126" i="3"/>
  <c r="AH934" i="3"/>
  <c r="AH196" i="3"/>
  <c r="AH662" i="3"/>
  <c r="AH944" i="3"/>
  <c r="AH95" i="3"/>
  <c r="AB833" i="3"/>
  <c r="AB160" i="3"/>
  <c r="AB128" i="3"/>
  <c r="AB291" i="3"/>
  <c r="AB1269" i="3"/>
  <c r="AB605" i="3"/>
  <c r="AB589" i="3"/>
  <c r="AB485" i="3"/>
  <c r="J303" i="4"/>
  <c r="AH1131" i="3"/>
  <c r="AH44" i="3"/>
  <c r="J249" i="4"/>
  <c r="J282" i="4"/>
  <c r="AH844" i="3"/>
  <c r="AH1290" i="3"/>
  <c r="AH325" i="3"/>
  <c r="AH970" i="3"/>
  <c r="AH774" i="3"/>
  <c r="AH1002" i="3"/>
  <c r="AH940" i="3"/>
  <c r="AB305" i="3"/>
  <c r="AH914" i="3"/>
  <c r="AH1124" i="3"/>
  <c r="AH214" i="3"/>
  <c r="AH418" i="3"/>
  <c r="AH1313" i="3"/>
  <c r="AH75" i="3"/>
  <c r="AH878" i="3"/>
  <c r="AH1146" i="3"/>
  <c r="AH1082" i="3"/>
  <c r="AH334" i="3"/>
  <c r="AB765" i="3"/>
  <c r="AH1204" i="3"/>
  <c r="AB412" i="3"/>
  <c r="AB1083" i="3"/>
  <c r="AB38" i="3"/>
  <c r="AB249" i="3"/>
  <c r="AB919" i="3"/>
  <c r="I30" i="4"/>
  <c r="I36" i="4"/>
  <c r="I89" i="4"/>
  <c r="J100" i="4"/>
  <c r="I71" i="4"/>
  <c r="I394" i="4"/>
  <c r="I235" i="4"/>
  <c r="I414" i="4"/>
  <c r="I288" i="4"/>
  <c r="J215" i="4"/>
  <c r="J250" i="4"/>
  <c r="J454" i="4"/>
  <c r="J409" i="4"/>
  <c r="J145" i="4"/>
  <c r="I201" i="4"/>
  <c r="I539" i="4"/>
  <c r="J225" i="4"/>
  <c r="I496" i="4"/>
  <c r="I292" i="4"/>
  <c r="I504" i="4"/>
  <c r="I509" i="4"/>
  <c r="J317" i="4"/>
  <c r="J237" i="4"/>
  <c r="J445" i="4"/>
  <c r="I205" i="4"/>
  <c r="I507" i="4"/>
  <c r="I80" i="4"/>
  <c r="I261" i="4"/>
  <c r="I190" i="4"/>
  <c r="I221" i="4"/>
  <c r="I410" i="4"/>
  <c r="J129" i="4"/>
  <c r="J505" i="4"/>
  <c r="J158" i="4"/>
  <c r="I314" i="4"/>
  <c r="J281" i="4"/>
  <c r="I459" i="4"/>
  <c r="I270" i="4"/>
  <c r="I191" i="4"/>
  <c r="J288" i="4"/>
  <c r="J140" i="4"/>
  <c r="J367" i="4"/>
  <c r="J348" i="4"/>
  <c r="J232" i="4"/>
  <c r="I472" i="4"/>
  <c r="I536" i="4"/>
  <c r="I179" i="4"/>
  <c r="I487" i="4"/>
  <c r="J63" i="4"/>
  <c r="J330" i="4"/>
  <c r="J371" i="4"/>
  <c r="J58" i="4"/>
  <c r="J379" i="4"/>
  <c r="J496" i="4"/>
  <c r="J13" i="4"/>
  <c r="J350" i="4"/>
  <c r="J283" i="4"/>
  <c r="AH21" i="3"/>
  <c r="AH1184" i="3"/>
  <c r="AH310" i="3"/>
  <c r="AH540" i="3"/>
  <c r="B6" i="15"/>
  <c r="AB1209" i="3"/>
  <c r="AH972" i="3"/>
  <c r="AH1321" i="3"/>
  <c r="AB979" i="3"/>
  <c r="AH173" i="3"/>
  <c r="AH1130" i="3"/>
  <c r="AH220" i="3"/>
  <c r="AH1125" i="3"/>
  <c r="AB1043" i="3"/>
  <c r="AB457" i="3"/>
  <c r="AH371" i="3"/>
  <c r="AH358" i="3"/>
  <c r="AH270" i="3"/>
  <c r="AH644" i="3"/>
  <c r="AB31" i="3"/>
  <c r="AH338" i="3"/>
  <c r="AH189" i="3"/>
  <c r="AH1192" i="3"/>
  <c r="AH484" i="3"/>
  <c r="AH1074" i="3"/>
  <c r="AH438" i="3"/>
  <c r="AH832" i="3"/>
  <c r="AH262" i="3"/>
  <c r="AH426" i="3"/>
  <c r="AH148" i="3"/>
  <c r="AH64" i="3"/>
  <c r="AH772" i="3"/>
  <c r="AH231" i="3"/>
  <c r="AB1015" i="3"/>
  <c r="AH968" i="3"/>
  <c r="AH1080" i="3"/>
  <c r="AH149" i="3"/>
  <c r="AB749" i="3"/>
  <c r="AH1016" i="3"/>
  <c r="AH250" i="3"/>
  <c r="AB280" i="3"/>
  <c r="AB945" i="3"/>
  <c r="AB435" i="3"/>
  <c r="AB607" i="3"/>
  <c r="B7" i="15"/>
  <c r="AB877" i="3"/>
  <c r="AB591" i="3"/>
  <c r="AB973" i="3"/>
  <c r="AB165" i="3"/>
  <c r="AB73" i="3"/>
  <c r="AB74" i="3"/>
  <c r="AB483" i="3"/>
  <c r="J516" i="4"/>
  <c r="I479" i="4"/>
  <c r="J502" i="4"/>
  <c r="I445" i="4"/>
  <c r="I395" i="4"/>
  <c r="I130" i="4"/>
  <c r="I45" i="4"/>
  <c r="I243" i="4"/>
  <c r="J114" i="4"/>
  <c r="J181" i="4"/>
  <c r="J428" i="4"/>
  <c r="J434" i="4"/>
  <c r="I465" i="4"/>
  <c r="J169" i="4"/>
  <c r="I51" i="4"/>
  <c r="J450" i="4"/>
  <c r="I512" i="4"/>
  <c r="I54" i="4"/>
  <c r="J245" i="4"/>
  <c r="J462" i="4"/>
  <c r="J164" i="4"/>
  <c r="J365" i="4"/>
  <c r="J279" i="4"/>
  <c r="I464" i="4"/>
  <c r="I228" i="4"/>
  <c r="I520" i="4"/>
  <c r="I208" i="4"/>
  <c r="I423" i="4"/>
  <c r="I454" i="4"/>
  <c r="J222" i="4"/>
  <c r="J353" i="4"/>
  <c r="J339" i="4"/>
  <c r="J214" i="4"/>
  <c r="I204" i="4"/>
  <c r="J6" i="4"/>
  <c r="I530" i="4"/>
  <c r="J413" i="4"/>
  <c r="I438" i="4"/>
  <c r="I531" i="4"/>
  <c r="I522" i="4"/>
  <c r="I238" i="4"/>
  <c r="I187" i="4"/>
  <c r="I355" i="4"/>
  <c r="J325" i="4"/>
  <c r="J535" i="4"/>
  <c r="J336" i="4"/>
  <c r="J347" i="4"/>
  <c r="J497" i="4"/>
  <c r="J298" i="4"/>
  <c r="J349" i="4"/>
  <c r="I172" i="4"/>
  <c r="J544" i="4"/>
  <c r="I166" i="4"/>
  <c r="I240" i="4"/>
  <c r="I282" i="4"/>
  <c r="I219" i="4"/>
  <c r="J113" i="4"/>
  <c r="J178" i="4"/>
  <c r="J152" i="4"/>
  <c r="J278" i="4"/>
  <c r="J526" i="4"/>
  <c r="J419" i="4"/>
  <c r="I116" i="4"/>
  <c r="I152" i="4"/>
  <c r="J159" i="4"/>
  <c r="I345" i="4"/>
  <c r="I533" i="4"/>
  <c r="I461" i="4"/>
  <c r="I146" i="4"/>
  <c r="J190" i="4"/>
  <c r="I131" i="4"/>
  <c r="I182" i="4"/>
  <c r="J125" i="4"/>
  <c r="J320" i="4"/>
  <c r="J273" i="4"/>
  <c r="J437" i="4"/>
  <c r="J489" i="4"/>
  <c r="J484" i="4"/>
  <c r="I170" i="4"/>
  <c r="J481" i="4"/>
  <c r="I117" i="4"/>
  <c r="I373" i="4"/>
  <c r="I231" i="4"/>
  <c r="I488" i="4"/>
  <c r="J204" i="4"/>
  <c r="J201" i="4"/>
  <c r="J439" i="4"/>
  <c r="J373" i="4"/>
  <c r="J507" i="4"/>
  <c r="J280" i="4"/>
  <c r="I200" i="4"/>
  <c r="I478" i="4"/>
  <c r="J105" i="4"/>
  <c r="AH1139" i="3"/>
  <c r="AH904" i="3"/>
  <c r="AH730" i="3"/>
  <c r="AH718" i="3"/>
  <c r="AB899" i="3"/>
  <c r="J184" i="4"/>
  <c r="J324" i="4"/>
  <c r="J490" i="4"/>
  <c r="J103" i="4"/>
  <c r="AH324" i="3"/>
  <c r="AH127" i="3"/>
  <c r="AH282" i="3"/>
  <c r="AH830" i="3"/>
  <c r="AH636" i="3"/>
  <c r="AH452" i="3"/>
  <c r="AH130" i="3"/>
  <c r="AH1170" i="3"/>
  <c r="J551" i="4"/>
  <c r="J366" i="4"/>
  <c r="J260" i="4"/>
  <c r="J219" i="4"/>
  <c r="J370" i="4"/>
  <c r="AH1356" i="3"/>
  <c r="AH720" i="3"/>
  <c r="AB843" i="3"/>
  <c r="AI758" i="3"/>
  <c r="AI1004" i="3"/>
  <c r="I69" i="4"/>
  <c r="AI1234" i="3"/>
  <c r="I249" i="4"/>
  <c r="I257" i="4"/>
  <c r="I272" i="4"/>
  <c r="I484" i="4"/>
  <c r="J287" i="4"/>
  <c r="J411" i="4"/>
  <c r="J224" i="4"/>
  <c r="J146" i="4"/>
  <c r="J511" i="4"/>
  <c r="I266" i="4"/>
  <c r="I202" i="4"/>
  <c r="I393" i="4"/>
  <c r="I77" i="4"/>
  <c r="I492" i="4"/>
  <c r="I333" i="4"/>
  <c r="I308" i="4"/>
  <c r="J188" i="4"/>
  <c r="J256" i="4"/>
  <c r="J357" i="4"/>
  <c r="J27" i="4"/>
  <c r="I149" i="4"/>
  <c r="I213" i="4"/>
  <c r="I364" i="4"/>
  <c r="I310" i="4"/>
  <c r="I318" i="4"/>
  <c r="I217" i="4"/>
  <c r="J218" i="4"/>
  <c r="J512" i="4"/>
  <c r="I99" i="4"/>
  <c r="J448" i="4"/>
  <c r="I263" i="4"/>
  <c r="I66" i="4"/>
  <c r="J206" i="4"/>
  <c r="I511" i="4"/>
  <c r="I382" i="4"/>
  <c r="J167" i="4"/>
  <c r="J362" i="4"/>
  <c r="J335" i="4"/>
  <c r="J111" i="4"/>
  <c r="J321" i="4"/>
  <c r="J226" i="4"/>
  <c r="I5" i="4"/>
  <c r="I298" i="4"/>
  <c r="J258" i="4"/>
  <c r="J236" i="4"/>
  <c r="AH630" i="3"/>
  <c r="AB595" i="3"/>
  <c r="AB91" i="3"/>
  <c r="AH275" i="3"/>
  <c r="AH1044" i="3"/>
  <c r="AB769" i="3"/>
  <c r="AB56" i="3"/>
  <c r="AB150" i="3"/>
  <c r="AB559" i="3"/>
  <c r="AB205" i="3"/>
  <c r="J340" i="4"/>
  <c r="J220" i="4"/>
  <c r="J117" i="4"/>
  <c r="J548" i="4"/>
  <c r="J429" i="4"/>
  <c r="AH838" i="3"/>
  <c r="AH652" i="3"/>
  <c r="AH256" i="3"/>
  <c r="AB1134" i="3"/>
  <c r="AH948" i="3"/>
  <c r="AH824" i="3"/>
  <c r="AH534" i="3"/>
  <c r="AH1006" i="3"/>
  <c r="AH1202" i="3"/>
  <c r="AH313" i="3"/>
  <c r="AH319" i="3"/>
  <c r="AH722" i="3"/>
  <c r="AH522" i="3"/>
  <c r="AH1145" i="3"/>
  <c r="AH207" i="3"/>
  <c r="AB1097" i="3"/>
  <c r="AB1113" i="3"/>
  <c r="AB1007" i="3"/>
  <c r="AB753" i="3"/>
  <c r="J48" i="4"/>
  <c r="J408" i="4"/>
  <c r="J456" i="4"/>
  <c r="J482" i="4"/>
  <c r="J36" i="4"/>
  <c r="J299" i="4"/>
  <c r="J161" i="4"/>
  <c r="J67" i="4"/>
  <c r="AH932" i="3"/>
  <c r="AH834" i="3"/>
  <c r="AH990" i="3"/>
  <c r="AH1024" i="3"/>
  <c r="AH328" i="3"/>
  <c r="AH239" i="3"/>
  <c r="AH390" i="3"/>
  <c r="AH155" i="3"/>
  <c r="AH327" i="3"/>
  <c r="AH548" i="3"/>
  <c r="AB1011" i="3"/>
  <c r="AB1033" i="3"/>
  <c r="AB271" i="3"/>
  <c r="AH677" i="3"/>
  <c r="AB222" i="3"/>
  <c r="AB12" i="3"/>
  <c r="AB143" i="3"/>
  <c r="J192" i="4"/>
  <c r="AH145" i="3"/>
  <c r="AB859" i="3"/>
  <c r="AB593" i="3"/>
  <c r="AB1031" i="3"/>
  <c r="J329" i="4"/>
  <c r="J276" i="4"/>
  <c r="AH213" i="3"/>
  <c r="AB585" i="3"/>
  <c r="AH87" i="3"/>
  <c r="AH1034" i="3"/>
  <c r="AH498" i="3"/>
  <c r="AH295" i="3"/>
  <c r="AB431" i="3"/>
  <c r="AH251" i="3"/>
  <c r="AH1349" i="3"/>
  <c r="AH486" i="3"/>
  <c r="AH355" i="3"/>
  <c r="AH604" i="3"/>
  <c r="AB1133" i="3"/>
  <c r="AH638" i="3"/>
  <c r="AH351" i="3"/>
  <c r="AB78" i="3"/>
  <c r="AB601" i="3"/>
  <c r="AB309" i="3"/>
  <c r="AB879" i="3"/>
  <c r="AB971" i="3"/>
  <c r="AB653" i="3"/>
  <c r="AB939" i="3"/>
  <c r="AB1273" i="3"/>
  <c r="AB277" i="3"/>
  <c r="AB1138" i="3"/>
  <c r="AB229" i="3"/>
  <c r="AB795" i="3"/>
  <c r="J384" i="4"/>
  <c r="J378" i="4"/>
  <c r="J412" i="4"/>
  <c r="J234" i="4"/>
  <c r="J175" i="4"/>
  <c r="J536" i="4"/>
  <c r="J207" i="4"/>
  <c r="J272" i="4"/>
  <c r="J447" i="4"/>
  <c r="AH726" i="3"/>
  <c r="AH1238" i="3"/>
  <c r="AH315" i="3"/>
  <c r="AH18" i="3"/>
  <c r="AB669" i="3"/>
  <c r="AH69" i="3"/>
  <c r="AH1114" i="3"/>
  <c r="AH1268" i="3"/>
  <c r="AB326" i="3"/>
  <c r="AH766" i="3"/>
  <c r="AH542" i="3"/>
  <c r="AH874" i="3"/>
  <c r="AH666" i="3"/>
  <c r="AB875" i="3"/>
  <c r="AH217" i="3"/>
  <c r="AH1310" i="3"/>
  <c r="AH1165" i="3"/>
  <c r="AH170" i="3"/>
  <c r="AH404" i="3"/>
  <c r="AH1116" i="3"/>
  <c r="AH902" i="3"/>
  <c r="AH115" i="3"/>
  <c r="AH17" i="3"/>
  <c r="AH1210" i="3"/>
  <c r="AH339" i="3"/>
  <c r="AH1196" i="3"/>
  <c r="AB637" i="3"/>
  <c r="AH670" i="3"/>
  <c r="AH312" i="3"/>
  <c r="AH234" i="3"/>
  <c r="AH248" i="3"/>
  <c r="AH36" i="3"/>
  <c r="AH574" i="3"/>
  <c r="AH1066" i="3"/>
  <c r="AH72" i="3"/>
  <c r="AH1137" i="3"/>
  <c r="AH322" i="3"/>
  <c r="AH502" i="3"/>
  <c r="AB913" i="3"/>
  <c r="AB171" i="3"/>
  <c r="AB827" i="3"/>
  <c r="AB329" i="3"/>
  <c r="AB286" i="3"/>
  <c r="AB1115" i="3"/>
  <c r="AB142" i="3"/>
  <c r="AB925" i="3"/>
  <c r="AB825" i="3"/>
  <c r="AH985" i="3"/>
  <c r="AB1132" i="3"/>
  <c r="AB293" i="3"/>
  <c r="AB1279" i="3"/>
  <c r="AB751" i="3"/>
  <c r="AB763" i="3"/>
  <c r="J513" i="4"/>
  <c r="J410" i="4"/>
  <c r="J363" i="4"/>
  <c r="J495" i="4"/>
  <c r="J479" i="4"/>
  <c r="J534" i="4"/>
  <c r="J438" i="4"/>
  <c r="J327" i="4"/>
  <c r="AH698" i="3"/>
  <c r="AH466" i="3"/>
  <c r="AH556" i="3"/>
  <c r="AH744" i="3"/>
  <c r="AB839" i="3"/>
  <c r="AH259" i="3"/>
  <c r="AH792" i="3"/>
  <c r="AH658" i="3"/>
  <c r="AB16" i="3"/>
  <c r="AH370" i="3"/>
  <c r="AH946" i="3"/>
  <c r="AH1102" i="3"/>
  <c r="AH826" i="3"/>
  <c r="AB937" i="3"/>
  <c r="AB1013" i="3"/>
  <c r="AH1042" i="3"/>
  <c r="AH400" i="3"/>
  <c r="AH301" i="3"/>
  <c r="AB122" i="3"/>
  <c r="AH900" i="3"/>
  <c r="AH1354" i="3"/>
  <c r="AH1352" i="3"/>
  <c r="AB67" i="3"/>
  <c r="AH922" i="3"/>
  <c r="AH1325" i="3"/>
  <c r="AH1000" i="3"/>
  <c r="AH186" i="3"/>
  <c r="AH13" i="3"/>
  <c r="AH294" i="3"/>
  <c r="AH860" i="3"/>
  <c r="AB667" i="3"/>
  <c r="AH596" i="3"/>
  <c r="AH288" i="3"/>
  <c r="AH984" i="3"/>
  <c r="AH708" i="3"/>
  <c r="AB204" i="3"/>
  <c r="AH177" i="3"/>
  <c r="AH754" i="3"/>
  <c r="AH938" i="3"/>
  <c r="AH411" i="3"/>
  <c r="AH1086" i="3"/>
  <c r="AH43" i="3"/>
  <c r="AH750" i="3"/>
  <c r="AB893" i="3"/>
  <c r="AB302" i="3"/>
  <c r="AB255" i="3"/>
  <c r="AH3" i="3"/>
  <c r="AB1309" i="3"/>
  <c r="AB773" i="3"/>
  <c r="AB198" i="3"/>
  <c r="AB967" i="3"/>
  <c r="AB931" i="3"/>
  <c r="AB777" i="3"/>
  <c r="AB845" i="3"/>
  <c r="AB138" i="3"/>
  <c r="AB533" i="3"/>
  <c r="AB42" i="3"/>
  <c r="AB663" i="3"/>
  <c r="AB1271" i="3"/>
  <c r="AB1201" i="3"/>
  <c r="AB264" i="3"/>
  <c r="AB1333" i="3"/>
  <c r="I34" i="4"/>
  <c r="I346" i="4"/>
  <c r="I65" i="4"/>
  <c r="I495" i="4"/>
  <c r="J85" i="4"/>
  <c r="I236" i="4"/>
  <c r="I510" i="4"/>
  <c r="J186" i="4"/>
  <c r="J405" i="4"/>
  <c r="J177" i="4"/>
  <c r="J147" i="4"/>
  <c r="J15" i="4"/>
  <c r="I320" i="4"/>
  <c r="I104" i="4"/>
  <c r="J248" i="4"/>
  <c r="I264" i="4"/>
  <c r="I13" i="4"/>
  <c r="I361" i="4"/>
  <c r="J313" i="4"/>
  <c r="J151" i="4"/>
  <c r="J289" i="4"/>
  <c r="J154" i="4"/>
  <c r="I455" i="4"/>
  <c r="I341" i="4"/>
  <c r="I497" i="4"/>
  <c r="I375" i="4"/>
  <c r="I363" i="4"/>
  <c r="I246" i="4"/>
  <c r="J300" i="4"/>
  <c r="J130" i="4"/>
  <c r="J364" i="4"/>
  <c r="J247" i="4"/>
  <c r="I463" i="4"/>
  <c r="I534" i="4"/>
  <c r="I88" i="4"/>
  <c r="I111" i="4"/>
  <c r="I177" i="4"/>
  <c r="J88" i="4"/>
  <c r="I153" i="4"/>
  <c r="J150" i="4"/>
  <c r="J361" i="4"/>
  <c r="J525" i="4"/>
  <c r="J393" i="4"/>
  <c r="J501" i="4"/>
  <c r="I203" i="4"/>
  <c r="I234" i="4"/>
  <c r="J213" i="4"/>
  <c r="I439" i="4"/>
  <c r="I521" i="4"/>
  <c r="I145" i="4"/>
  <c r="J195" i="4"/>
  <c r="I527" i="4"/>
  <c r="J191" i="4"/>
  <c r="J342" i="4"/>
  <c r="J346" i="4"/>
  <c r="J539" i="4"/>
  <c r="J519" i="4"/>
  <c r="I136" i="4"/>
  <c r="J136" i="4"/>
  <c r="I72" i="4"/>
  <c r="I118" i="4"/>
  <c r="J441" i="4"/>
  <c r="I500" i="4"/>
  <c r="J229" i="4"/>
  <c r="I444" i="4"/>
  <c r="I324" i="4"/>
  <c r="J197" i="4"/>
  <c r="J189" i="4"/>
  <c r="J427" i="4"/>
  <c r="J286" i="4"/>
  <c r="J171" i="4"/>
  <c r="J176" i="4"/>
  <c r="I369" i="4"/>
  <c r="I418" i="4"/>
  <c r="I299" i="4"/>
  <c r="I460" i="4"/>
  <c r="I403" i="4"/>
  <c r="I334" i="4"/>
  <c r="J275" i="4"/>
  <c r="J360" i="4"/>
  <c r="J203" i="4"/>
  <c r="J508" i="4"/>
  <c r="J199" i="4"/>
  <c r="J142" i="4"/>
  <c r="I42" i="4"/>
  <c r="I321" i="4"/>
  <c r="J75" i="4"/>
  <c r="I232" i="4"/>
  <c r="I442" i="4"/>
  <c r="I307" i="4"/>
  <c r="I102" i="4"/>
  <c r="I128" i="4"/>
  <c r="I267" i="4"/>
  <c r="J355" i="4"/>
  <c r="J170" i="4"/>
  <c r="J424" i="4"/>
  <c r="J422" i="4"/>
  <c r="I336" i="4"/>
  <c r="AH517" i="3"/>
  <c r="I193" i="4"/>
  <c r="I287" i="4"/>
  <c r="J461" i="4"/>
  <c r="I538" i="4"/>
  <c r="I126" i="4"/>
  <c r="J155" i="4"/>
  <c r="J351" i="4"/>
  <c r="J322" i="4"/>
  <c r="J417" i="4"/>
  <c r="I426" i="4"/>
  <c r="I446" i="4"/>
  <c r="I271" i="4"/>
  <c r="I469" i="4"/>
  <c r="I194" i="4"/>
  <c r="I255" i="4"/>
  <c r="I503" i="4"/>
  <c r="I466" i="4"/>
  <c r="I486" i="4"/>
  <c r="J296" i="4"/>
  <c r="J290" i="4"/>
  <c r="J492" i="4"/>
  <c r="J115" i="4"/>
  <c r="I214" i="4"/>
  <c r="I502" i="4"/>
  <c r="I416" i="4"/>
  <c r="J20" i="4"/>
  <c r="I450" i="4"/>
  <c r="I15" i="4"/>
  <c r="J239" i="4"/>
  <c r="J306" i="4"/>
  <c r="J485" i="4"/>
  <c r="J523" i="4"/>
  <c r="J194" i="4"/>
  <c r="I216" i="4"/>
  <c r="I349" i="4"/>
  <c r="I505" i="4"/>
  <c r="I477" i="4"/>
  <c r="J127" i="4"/>
  <c r="J285" i="4"/>
  <c r="J533" i="4"/>
  <c r="J11" i="4"/>
  <c r="J44" i="4"/>
  <c r="J416" i="4"/>
  <c r="J8" i="4"/>
  <c r="J165" i="4"/>
  <c r="J440" i="4"/>
  <c r="J200" i="4"/>
  <c r="AH762" i="3"/>
  <c r="AH1319" i="3"/>
  <c r="AH152" i="3"/>
  <c r="AH1099" i="3"/>
  <c r="AB437" i="3"/>
  <c r="AH642" i="3"/>
  <c r="AH1030" i="3"/>
  <c r="AH828" i="3"/>
  <c r="AH594" i="3"/>
  <c r="AH952" i="3"/>
  <c r="AH237" i="3"/>
  <c r="AB921" i="3"/>
  <c r="AB927" i="3"/>
  <c r="AH260" i="3"/>
  <c r="AH510" i="3"/>
  <c r="AH257" i="3"/>
  <c r="AH284" i="3"/>
  <c r="AB320" i="3"/>
  <c r="AH273" i="3"/>
  <c r="AH1252" i="3"/>
  <c r="AH300" i="3"/>
  <c r="AB369" i="3"/>
  <c r="AH928" i="3"/>
  <c r="AH964" i="3"/>
  <c r="AB244" i="3"/>
  <c r="AH552" i="3"/>
  <c r="AH846" i="3"/>
  <c r="AH265" i="3"/>
  <c r="AH840" i="3"/>
  <c r="AH1214" i="3"/>
  <c r="AH156" i="3"/>
  <c r="AH332" i="3"/>
  <c r="AH752" i="3"/>
  <c r="AH432" i="3"/>
  <c r="AH57" i="3"/>
  <c r="AH584" i="3"/>
  <c r="AH478" i="3"/>
  <c r="AH1174" i="3"/>
  <c r="AH836" i="3"/>
  <c r="AH780" i="3"/>
  <c r="AB317" i="3"/>
  <c r="AB93" i="3"/>
  <c r="AB1285" i="3"/>
  <c r="AB761" i="3"/>
  <c r="AB20" i="3"/>
  <c r="AB29" i="3"/>
  <c r="AB252" i="3"/>
  <c r="AB857" i="3"/>
  <c r="AB153" i="3"/>
  <c r="AB785" i="3"/>
  <c r="AB767" i="3"/>
  <c r="AB113" i="3"/>
  <c r="AB1111" i="3"/>
  <c r="AB11" i="3"/>
  <c r="AB599" i="3"/>
  <c r="AI890" i="3"/>
  <c r="I68" i="4"/>
  <c r="J99" i="4"/>
  <c r="AI1156" i="3"/>
  <c r="I260" i="4"/>
  <c r="J26" i="4"/>
  <c r="I101" i="4"/>
  <c r="I392" i="4"/>
  <c r="I306" i="4"/>
  <c r="I223" i="4"/>
  <c r="I258" i="4"/>
  <c r="I491" i="4"/>
  <c r="I332" i="4"/>
  <c r="I405" i="4"/>
  <c r="J270" i="4"/>
  <c r="J538" i="4"/>
  <c r="J341" i="4"/>
  <c r="I481" i="4"/>
  <c r="I537" i="4"/>
  <c r="I250" i="4"/>
  <c r="I519" i="4"/>
  <c r="I501" i="4"/>
  <c r="I417" i="4"/>
  <c r="I185" i="4"/>
  <c r="I380" i="4"/>
  <c r="J138" i="4"/>
  <c r="J345" i="4"/>
  <c r="J520" i="4"/>
  <c r="J477" i="4"/>
  <c r="I388" i="4"/>
  <c r="J33" i="4"/>
  <c r="J137" i="4"/>
  <c r="I162" i="4"/>
  <c r="I168" i="4"/>
  <c r="I237" i="4"/>
  <c r="J119" i="4"/>
  <c r="I489" i="4"/>
  <c r="I325" i="4"/>
  <c r="J179" i="4"/>
  <c r="J128" i="4"/>
  <c r="J328" i="4"/>
  <c r="J388" i="4"/>
  <c r="J471" i="4"/>
  <c r="I115" i="4"/>
  <c r="I378" i="4"/>
  <c r="I451" i="4"/>
  <c r="I230" i="4"/>
  <c r="I337" i="4"/>
  <c r="I229" i="4"/>
  <c r="I494" i="4"/>
  <c r="I475" i="4"/>
  <c r="I390" i="4"/>
  <c r="I82" i="4"/>
  <c r="I253" i="4"/>
  <c r="I412" i="4"/>
  <c r="I106" i="4"/>
  <c r="J228" i="4"/>
  <c r="J494" i="4"/>
  <c r="J271" i="4"/>
  <c r="J375" i="4"/>
  <c r="J267" i="4"/>
  <c r="I344" i="4"/>
  <c r="I532" i="4"/>
  <c r="J60" i="4"/>
  <c r="J80" i="4"/>
  <c r="I499" i="4"/>
  <c r="I359" i="4"/>
  <c r="J263" i="4"/>
  <c r="J550" i="4"/>
  <c r="J529" i="4"/>
  <c r="J475" i="4"/>
  <c r="J312" i="4"/>
  <c r="I471" i="4"/>
  <c r="I402" i="4"/>
  <c r="J480" i="4"/>
  <c r="I164" i="4"/>
  <c r="I513" i="4"/>
  <c r="I440" i="4"/>
  <c r="I335" i="4"/>
  <c r="I52" i="4"/>
  <c r="J269" i="4"/>
  <c r="J352" i="4"/>
  <c r="J163" i="4"/>
  <c r="J415" i="4"/>
  <c r="J537" i="4"/>
  <c r="J493" i="4"/>
  <c r="J25" i="4"/>
  <c r="I233" i="4"/>
  <c r="I251" i="4"/>
  <c r="I347" i="4"/>
  <c r="I64" i="4"/>
  <c r="I41" i="4"/>
  <c r="I158" i="4"/>
  <c r="I330" i="4"/>
  <c r="J343" i="4"/>
  <c r="J148" i="4"/>
  <c r="J385" i="4"/>
  <c r="J387" i="4"/>
  <c r="J208" i="4"/>
  <c r="I329" i="4"/>
  <c r="I62" i="4"/>
  <c r="I121" i="4"/>
  <c r="J106" i="4"/>
  <c r="J97" i="4"/>
  <c r="AH1084" i="3"/>
  <c r="AH1046" i="3"/>
  <c r="AH550" i="3"/>
  <c r="AH794" i="3"/>
  <c r="AH83" i="3"/>
  <c r="AH728" i="3"/>
  <c r="AH1334" i="3"/>
  <c r="AB1041" i="3"/>
  <c r="AB499" i="3"/>
  <c r="AB215" i="3"/>
  <c r="AB175" i="3"/>
  <c r="AB745" i="3"/>
  <c r="J73" i="4"/>
  <c r="J101" i="4"/>
  <c r="J16" i="4"/>
  <c r="J78" i="4"/>
  <c r="J451" i="4"/>
  <c r="J135" i="4"/>
  <c r="J134" i="4"/>
  <c r="J472" i="4"/>
  <c r="AH704" i="3"/>
  <c r="AH612" i="3"/>
  <c r="AH776" i="3"/>
  <c r="AB779" i="3"/>
  <c r="AH480" i="3"/>
  <c r="AH221" i="3"/>
  <c r="AH994" i="3"/>
  <c r="AH474" i="3"/>
  <c r="AH1038" i="3"/>
  <c r="AH1270" i="3"/>
  <c r="AH1058" i="3"/>
  <c r="AB1035" i="3"/>
  <c r="AH114" i="3"/>
  <c r="AH169" i="3"/>
  <c r="AH166" i="3"/>
  <c r="AB66" i="3"/>
  <c r="AH14" i="3"/>
  <c r="AH330" i="3"/>
  <c r="AH285" i="3"/>
  <c r="AB30" i="3"/>
  <c r="AH1284" i="3"/>
  <c r="AH71" i="3"/>
  <c r="AH151" i="3"/>
  <c r="AH233" i="3"/>
  <c r="AH924" i="3"/>
  <c r="AH1186" i="3"/>
  <c r="AH624" i="3"/>
  <c r="AH133" i="3"/>
  <c r="AH590" i="3"/>
  <c r="AH664" i="3"/>
  <c r="AH4" i="3"/>
  <c r="AH176" i="3"/>
  <c r="AH560" i="3"/>
  <c r="AH538" i="3"/>
  <c r="AH916" i="3"/>
  <c r="AH546" i="3"/>
  <c r="AH710" i="3"/>
  <c r="AB39" i="3"/>
  <c r="AB314" i="3"/>
  <c r="AB771" i="3"/>
  <c r="AB1353" i="3"/>
  <c r="AB303" i="3"/>
  <c r="AB158" i="3"/>
  <c r="AB399" i="3"/>
  <c r="AB19" i="3"/>
  <c r="AB789" i="3"/>
  <c r="AB665" i="3"/>
  <c r="AB1267" i="3"/>
  <c r="AB59" i="3"/>
  <c r="AB787" i="3"/>
  <c r="AB901" i="3"/>
  <c r="AI348" i="3"/>
  <c r="AI112" i="3"/>
  <c r="AI892" i="3"/>
  <c r="I516" i="4"/>
  <c r="I305" i="4"/>
  <c r="J38" i="4"/>
  <c r="I113" i="4"/>
  <c r="J180" i="4"/>
  <c r="J398" i="4"/>
  <c r="J166" i="4"/>
  <c r="J133" i="4"/>
  <c r="I448" i="4"/>
  <c r="I155" i="4"/>
  <c r="I300" i="4"/>
  <c r="I386" i="4"/>
  <c r="J227" i="4"/>
  <c r="J460" i="4"/>
  <c r="J392" i="4"/>
  <c r="J524" i="4"/>
  <c r="I242" i="4"/>
  <c r="I483" i="4"/>
  <c r="I367" i="4"/>
  <c r="I123" i="4"/>
  <c r="I514" i="4"/>
  <c r="I269" i="4"/>
  <c r="I309" i="4"/>
  <c r="J359" i="4"/>
  <c r="J291" i="4"/>
  <c r="J124" i="4"/>
  <c r="I328" i="4"/>
  <c r="I468" i="4"/>
  <c r="I365" i="4"/>
  <c r="I209" i="4"/>
  <c r="I189" i="4"/>
  <c r="I275" i="4"/>
  <c r="I222" i="4"/>
  <c r="I411" i="4"/>
  <c r="J307" i="4"/>
  <c r="J453" i="4"/>
  <c r="J310" i="4"/>
  <c r="J268" i="4"/>
  <c r="J465" i="4"/>
  <c r="I55" i="4"/>
  <c r="I371" i="4"/>
  <c r="J241" i="4"/>
  <c r="J297" i="4"/>
  <c r="J230" i="4"/>
  <c r="J521" i="4"/>
  <c r="J120" i="4"/>
  <c r="J126" i="4"/>
  <c r="J173" i="4"/>
  <c r="J468" i="4"/>
  <c r="J160" i="4"/>
  <c r="J259" i="4"/>
  <c r="J187" i="4"/>
  <c r="AH898" i="3"/>
  <c r="AB835" i="3"/>
  <c r="AB847" i="3"/>
  <c r="AH1070" i="3"/>
  <c r="AH1012" i="3"/>
  <c r="AH680" i="3"/>
  <c r="AB125" i="3"/>
  <c r="AH950" i="3"/>
  <c r="AH1188" i="3"/>
  <c r="AH401" i="3"/>
  <c r="AH926" i="3"/>
  <c r="AB451" i="3"/>
  <c r="AB48" i="3"/>
  <c r="AH496" i="3"/>
  <c r="AH272" i="3"/>
  <c r="AH179" i="3"/>
  <c r="AH1098" i="3"/>
  <c r="AB557" i="3"/>
  <c r="AH464" i="3"/>
  <c r="AH180" i="3"/>
  <c r="AH996" i="3"/>
  <c r="AB965" i="3"/>
  <c r="AH798" i="3"/>
  <c r="AH1100" i="3"/>
  <c r="AH724" i="3"/>
  <c r="AH778" i="3"/>
  <c r="AH768" i="3"/>
  <c r="AH230" i="3"/>
  <c r="AH1032" i="3"/>
  <c r="AH848" i="3"/>
  <c r="AH1120" i="3"/>
  <c r="AH318" i="3"/>
  <c r="AH974" i="3"/>
  <c r="AH1122" i="3"/>
  <c r="AH1154" i="3"/>
  <c r="AH858" i="3"/>
  <c r="AH980" i="3"/>
  <c r="AH558" i="3"/>
  <c r="AH266" i="3"/>
  <c r="AH192" i="3"/>
  <c r="AB775" i="3"/>
  <c r="AB353" i="3"/>
  <c r="AB887" i="3"/>
  <c r="AB290" i="3"/>
  <c r="AB267" i="3"/>
  <c r="AB1005" i="3"/>
  <c r="AB1126" i="3"/>
  <c r="AB381" i="3"/>
  <c r="AB141" i="3"/>
  <c r="AB219" i="3"/>
  <c r="AB223" i="3"/>
  <c r="AB202" i="3"/>
  <c r="AB168" i="3"/>
  <c r="AB200" i="3"/>
  <c r="AB531" i="3"/>
  <c r="AB871" i="3"/>
  <c r="AB911" i="3"/>
  <c r="AB209" i="3"/>
  <c r="I473" i="4"/>
  <c r="I241" i="4"/>
  <c r="I225" i="4"/>
  <c r="I112" i="4"/>
  <c r="I319" i="4"/>
  <c r="I125" i="4"/>
  <c r="J149" i="4"/>
  <c r="J344" i="4"/>
  <c r="J309" i="4"/>
  <c r="I447" i="4"/>
  <c r="I215" i="4"/>
  <c r="I397" i="4"/>
  <c r="I340" i="4"/>
  <c r="I210" i="4"/>
  <c r="I188" i="4"/>
  <c r="I70" i="4"/>
  <c r="I316" i="4"/>
  <c r="I180" i="4"/>
  <c r="J216" i="4"/>
  <c r="J304" i="4"/>
  <c r="J311" i="4"/>
  <c r="I143" i="4"/>
  <c r="I379" i="4"/>
  <c r="J517" i="4"/>
  <c r="I550" i="4"/>
  <c r="J545" i="4"/>
  <c r="I360" i="4"/>
  <c r="J251" i="4"/>
  <c r="J292" i="4"/>
  <c r="J515" i="4"/>
  <c r="J389" i="4"/>
  <c r="I348" i="4"/>
  <c r="I198" i="4"/>
  <c r="I178" i="4"/>
  <c r="I196" i="4"/>
  <c r="I283" i="4"/>
  <c r="I207" i="4"/>
  <c r="I160" i="4"/>
  <c r="I323" i="4"/>
  <c r="I281" i="4"/>
  <c r="I220" i="4"/>
  <c r="J308" i="4"/>
  <c r="J223" i="4"/>
  <c r="J423" i="4"/>
  <c r="J122" i="4"/>
  <c r="J381" i="4"/>
  <c r="I259" i="4"/>
  <c r="I119" i="4"/>
  <c r="I437" i="4"/>
  <c r="I449" i="4"/>
  <c r="I184" i="4"/>
  <c r="I354" i="4"/>
  <c r="J331" i="4"/>
  <c r="J369" i="4"/>
  <c r="J301" i="4"/>
  <c r="J193" i="4"/>
  <c r="J530" i="4"/>
  <c r="I294" i="4"/>
  <c r="J92" i="4"/>
  <c r="I372" i="4"/>
  <c r="I265" i="4"/>
  <c r="I285" i="4"/>
  <c r="I175" i="4"/>
  <c r="I56" i="4"/>
  <c r="I49" i="4"/>
  <c r="I157" i="4"/>
  <c r="I331" i="4"/>
  <c r="J337" i="4"/>
  <c r="J109" i="4"/>
  <c r="J354" i="4"/>
  <c r="J486" i="4"/>
  <c r="I135" i="4"/>
  <c r="I356" i="4"/>
  <c r="I105" i="4"/>
  <c r="I134" i="4"/>
  <c r="I296" i="4"/>
  <c r="I421" i="4"/>
  <c r="I290" i="4"/>
  <c r="I327" i="4"/>
  <c r="J168" i="4"/>
  <c r="J383" i="4"/>
  <c r="J116" i="4"/>
  <c r="J506" i="4"/>
  <c r="J483" i="4"/>
  <c r="I401" i="4"/>
  <c r="I147" i="4"/>
  <c r="AH1323" i="3"/>
  <c r="AB1009" i="3"/>
  <c r="J522" i="4"/>
  <c r="AH668" i="3"/>
  <c r="AH1327" i="3"/>
  <c r="AH1112" i="3"/>
  <c r="AB402" i="3"/>
  <c r="I419" i="4"/>
  <c r="I428" i="4"/>
  <c r="I150" i="4"/>
  <c r="I28" i="4"/>
  <c r="I518" i="4"/>
  <c r="I357" i="4"/>
  <c r="I404" i="4"/>
  <c r="J264" i="4"/>
  <c r="J333" i="4"/>
  <c r="J277" i="4"/>
  <c r="I480" i="4"/>
  <c r="AH695" i="3"/>
  <c r="J332" i="4"/>
  <c r="I262" i="4"/>
  <c r="I224" i="4"/>
  <c r="I248" i="4"/>
  <c r="I453" i="4"/>
  <c r="J418" i="4"/>
  <c r="J473" i="4"/>
  <c r="J368" i="4"/>
  <c r="J386" i="4"/>
  <c r="I94" i="4"/>
  <c r="J390" i="4"/>
  <c r="J552" i="4"/>
  <c r="I286" i="4"/>
  <c r="I542" i="4"/>
  <c r="I383" i="4"/>
  <c r="J233" i="4"/>
  <c r="J549" i="4"/>
  <c r="J404" i="4"/>
  <c r="I389" i="4"/>
  <c r="I508" i="4"/>
  <c r="I129" i="4"/>
  <c r="I18" i="4"/>
  <c r="I366" i="4"/>
  <c r="I195" i="4"/>
  <c r="I311" i="4"/>
  <c r="I317" i="4"/>
  <c r="I218" i="4"/>
  <c r="J132" i="4"/>
  <c r="J242" i="4"/>
  <c r="J464" i="4"/>
  <c r="J514" i="4"/>
  <c r="J266" i="4"/>
  <c r="I199" i="4"/>
  <c r="I543" i="4"/>
  <c r="I197" i="4"/>
  <c r="I313" i="4"/>
  <c r="J153" i="4"/>
  <c r="J87" i="4"/>
  <c r="J274" i="4"/>
  <c r="J356" i="4"/>
  <c r="J253" i="4"/>
  <c r="J86" i="4"/>
  <c r="J420" i="4"/>
  <c r="J61" i="4"/>
  <c r="AH1108" i="3"/>
  <c r="AH796" i="3"/>
  <c r="AH602" i="3"/>
  <c r="AH770" i="3"/>
  <c r="AH22" i="3"/>
  <c r="AH524" i="3"/>
  <c r="AH686" i="3"/>
  <c r="AB184" i="3"/>
  <c r="AH1128" i="3"/>
  <c r="AH1182" i="3"/>
  <c r="AH253" i="3"/>
  <c r="AH822" i="3"/>
  <c r="AH526" i="3"/>
  <c r="AH123" i="3"/>
  <c r="AH606" i="3"/>
  <c r="AH10" i="3"/>
  <c r="AH842" i="3"/>
  <c r="AH129" i="3"/>
  <c r="AH164" i="3"/>
  <c r="AH1136" i="3"/>
  <c r="AH124" i="3"/>
  <c r="AH1118" i="3"/>
  <c r="AH764" i="3"/>
  <c r="AH472" i="3"/>
  <c r="AH532" i="3"/>
  <c r="AH600" i="3"/>
  <c r="AH654" i="3"/>
  <c r="AH746" i="3"/>
  <c r="AH912" i="3"/>
  <c r="AH920" i="3"/>
  <c r="AH896" i="3"/>
  <c r="AH910" i="3"/>
  <c r="AH954" i="3"/>
  <c r="AH966" i="3"/>
  <c r="AB501" i="3"/>
  <c r="AH278" i="3"/>
  <c r="AH1008" i="3"/>
  <c r="AB635" i="3"/>
  <c r="AB947" i="3"/>
  <c r="AB299" i="3"/>
  <c r="AB509" i="3"/>
  <c r="AB837" i="3"/>
  <c r="AB1029" i="3"/>
  <c r="AB651" i="3"/>
  <c r="AB349" i="3"/>
  <c r="AB969" i="3"/>
  <c r="AB159" i="3"/>
  <c r="AB841" i="3"/>
  <c r="AB247" i="3"/>
  <c r="J243" i="4"/>
  <c r="I110" i="4"/>
  <c r="J397" i="4"/>
  <c r="I122" i="4"/>
  <c r="I293" i="4"/>
  <c r="I50" i="4"/>
  <c r="I415" i="4"/>
  <c r="I289" i="4"/>
  <c r="J221" i="4"/>
  <c r="J261" i="4"/>
  <c r="J463" i="4"/>
  <c r="J421" i="4"/>
  <c r="I20" i="4"/>
  <c r="J518" i="4"/>
  <c r="I273" i="4"/>
  <c r="J209" i="4"/>
  <c r="I227" i="4"/>
  <c r="I161" i="4"/>
  <c r="I498" i="4"/>
  <c r="I422" i="4"/>
  <c r="I482" i="4"/>
  <c r="I409" i="4"/>
  <c r="J294" i="4"/>
  <c r="J499" i="4"/>
  <c r="J110" i="4"/>
  <c r="I274" i="4"/>
  <c r="J112" i="4"/>
  <c r="I434" i="4"/>
  <c r="I47" i="4"/>
  <c r="J542" i="4"/>
  <c r="I391" i="4"/>
  <c r="I301" i="4"/>
  <c r="I186" i="4"/>
  <c r="I381" i="4"/>
  <c r="J319" i="4"/>
  <c r="J488" i="4"/>
  <c r="J182" i="4"/>
  <c r="J244" i="4"/>
  <c r="I315" i="4"/>
  <c r="I353" i="4"/>
  <c r="I86" i="4"/>
  <c r="I171" i="4"/>
  <c r="I398" i="4"/>
  <c r="I490" i="4"/>
  <c r="J185" i="4"/>
  <c r="J139" i="4"/>
  <c r="J391" i="4"/>
  <c r="J196" i="4"/>
  <c r="J401" i="4"/>
  <c r="J407" i="4"/>
  <c r="I32" i="4"/>
  <c r="I163" i="4"/>
  <c r="I493" i="4"/>
  <c r="I174" i="4"/>
  <c r="I27" i="4"/>
  <c r="I8" i="4"/>
  <c r="I154" i="4"/>
  <c r="J240" i="4"/>
  <c r="J498" i="4"/>
  <c r="J425" i="4"/>
  <c r="J436" i="4"/>
  <c r="J442" i="4"/>
  <c r="I169" i="4"/>
  <c r="I506" i="4"/>
  <c r="I78" i="4"/>
  <c r="I127" i="4"/>
  <c r="I133" i="4"/>
  <c r="I297" i="4"/>
  <c r="I420" i="4"/>
  <c r="I291" i="4"/>
  <c r="I326" i="4"/>
  <c r="J162" i="4"/>
  <c r="J376" i="4"/>
  <c r="J406" i="4"/>
  <c r="J396" i="4"/>
  <c r="I400" i="4"/>
  <c r="I148" i="4"/>
  <c r="J211" i="4"/>
  <c r="I83" i="4"/>
  <c r="I212" i="4"/>
  <c r="I384" i="4"/>
  <c r="I85" i="4"/>
  <c r="J252" i="4"/>
  <c r="J510" i="4"/>
  <c r="J315" i="4"/>
  <c r="J459" i="4"/>
  <c r="J65" i="4"/>
  <c r="J469" i="4"/>
  <c r="AH714" i="3"/>
  <c r="AH316" i="3"/>
  <c r="AH576" i="3"/>
  <c r="AH702" i="3"/>
  <c r="AH1274" i="3"/>
  <c r="AH634" i="3"/>
  <c r="AH211" i="3"/>
  <c r="AH1010" i="3"/>
  <c r="AH562" i="3"/>
  <c r="AB903" i="3"/>
  <c r="AB283" i="3"/>
  <c r="AB1119" i="3"/>
  <c r="J205" i="4"/>
  <c r="J541" i="4"/>
  <c r="AB147" i="3"/>
  <c r="AB941" i="3"/>
  <c r="AH1190" i="3"/>
  <c r="AH60" i="3"/>
  <c r="AH167" i="3"/>
  <c r="AH1036" i="3"/>
  <c r="AH281" i="3"/>
  <c r="AH9" i="3"/>
  <c r="AB701" i="3"/>
  <c r="AH876" i="3"/>
  <c r="AH614" i="3"/>
  <c r="AH1198" i="3"/>
  <c r="AH586" i="3"/>
  <c r="AH50" i="3"/>
  <c r="AH161" i="3"/>
  <c r="AH63" i="3"/>
  <c r="AH49" i="3"/>
  <c r="AB65" i="3"/>
  <c r="AH786" i="3"/>
  <c r="AB493" i="3"/>
  <c r="AB292" i="3"/>
  <c r="AB199" i="3"/>
  <c r="AB194" i="3"/>
  <c r="AB157" i="3"/>
  <c r="AB909" i="3"/>
  <c r="AB408" i="3"/>
  <c r="AB641" i="3"/>
  <c r="AB232" i="3"/>
  <c r="J156" i="4"/>
  <c r="AH888" i="3"/>
  <c r="AH982" i="3"/>
  <c r="I11" i="4"/>
  <c r="I524" i="4"/>
  <c r="J527" i="4"/>
  <c r="AB1336" i="3"/>
  <c r="I226" i="4"/>
  <c r="J546" i="4"/>
  <c r="I280" i="4"/>
  <c r="J449" i="4"/>
  <c r="I156" i="4"/>
  <c r="J143" i="4"/>
  <c r="J338" i="4"/>
  <c r="J302" i="4"/>
  <c r="J467" i="4"/>
  <c r="J380" i="4"/>
  <c r="J76" i="4"/>
  <c r="I120" i="4"/>
  <c r="J323" i="4"/>
  <c r="I350" i="4"/>
  <c r="I10" i="4"/>
  <c r="I312" i="4"/>
  <c r="I103" i="4"/>
  <c r="I244" i="4"/>
  <c r="J118" i="4"/>
  <c r="J532" i="4"/>
  <c r="J395" i="4"/>
  <c r="I91" i="4"/>
  <c r="I67" i="4"/>
  <c r="I277" i="4"/>
  <c r="I252" i="4"/>
  <c r="J400" i="4"/>
  <c r="I351" i="4"/>
  <c r="I387" i="4"/>
  <c r="J231" i="4"/>
  <c r="J254" i="4"/>
  <c r="J402" i="4"/>
  <c r="I206" i="4"/>
  <c r="I435" i="4"/>
  <c r="J435" i="4"/>
  <c r="I256" i="4"/>
  <c r="I376" i="4"/>
  <c r="I467" i="4"/>
  <c r="I485" i="4"/>
  <c r="I408" i="4"/>
  <c r="J210" i="4"/>
  <c r="J474" i="4"/>
  <c r="J238" i="4"/>
  <c r="J255" i="4"/>
  <c r="J394" i="4"/>
  <c r="I370" i="4"/>
  <c r="J56" i="4"/>
  <c r="I535" i="4"/>
  <c r="AB323" i="3"/>
  <c r="AH323" i="3"/>
  <c r="AB46" i="3"/>
  <c r="AH46" i="3"/>
  <c r="AB989" i="3"/>
  <c r="AH989" i="3"/>
  <c r="AB1348" i="3"/>
  <c r="AH1348" i="3"/>
  <c r="AB1055" i="3"/>
  <c r="AH1055" i="3"/>
  <c r="AB951" i="3"/>
  <c r="AH951" i="3"/>
  <c r="AB268" i="3"/>
  <c r="AH268" i="3"/>
  <c r="AB729" i="3"/>
  <c r="AH729" i="3"/>
  <c r="AB829" i="3"/>
  <c r="AH829" i="3"/>
  <c r="AB5" i="3"/>
  <c r="AH5" i="3"/>
  <c r="AB519" i="3"/>
  <c r="AH519" i="3"/>
  <c r="AB1173" i="3"/>
  <c r="AH1173" i="3"/>
  <c r="AB35" i="3"/>
  <c r="AH35" i="3"/>
  <c r="AB721" i="3"/>
  <c r="AH721" i="3"/>
  <c r="AB613" i="3"/>
  <c r="AH613" i="3"/>
  <c r="AB62" i="3"/>
  <c r="AH62" i="3"/>
  <c r="AB81" i="3"/>
  <c r="AH81" i="3"/>
  <c r="AB227" i="3"/>
  <c r="AH227" i="3"/>
  <c r="AB933" i="3"/>
  <c r="AH933" i="3"/>
  <c r="AB1079" i="3"/>
  <c r="AH1079" i="3"/>
  <c r="AB821" i="3"/>
  <c r="AH821" i="3"/>
  <c r="AB541" i="3"/>
  <c r="AH541" i="3"/>
  <c r="AH471" i="3"/>
  <c r="AB1189" i="3"/>
  <c r="AH1189" i="3"/>
  <c r="AB711" i="3"/>
  <c r="AH711" i="3"/>
  <c r="AB1191" i="3"/>
  <c r="AH1191" i="3"/>
  <c r="AB725" i="3"/>
  <c r="AH725" i="3"/>
  <c r="AB1287" i="3"/>
  <c r="AH1287" i="3"/>
  <c r="AH235" i="3"/>
  <c r="AB993" i="3"/>
  <c r="AH993" i="3"/>
  <c r="AB1289" i="3"/>
  <c r="AH1289" i="3"/>
  <c r="AB425" i="3"/>
  <c r="AH425" i="3"/>
  <c r="AB797" i="3"/>
  <c r="AH797" i="3"/>
  <c r="AB629" i="3"/>
  <c r="AH629" i="3"/>
  <c r="AB98" i="3"/>
  <c r="AH98" i="3"/>
  <c r="AB525" i="3"/>
  <c r="AH525" i="3"/>
  <c r="AB999" i="3"/>
  <c r="AH999" i="3"/>
  <c r="AB1071" i="3"/>
  <c r="AH1071" i="3"/>
  <c r="AB307" i="3"/>
  <c r="AH307" i="3"/>
  <c r="AB1357" i="3"/>
  <c r="AH1357" i="3"/>
  <c r="AB1053" i="3"/>
  <c r="AH1053" i="3"/>
  <c r="AB1045" i="3"/>
  <c r="AH1045" i="3"/>
  <c r="AB709" i="3"/>
  <c r="AH709" i="3"/>
  <c r="AB949" i="3"/>
  <c r="AH949" i="3"/>
  <c r="AB781" i="3"/>
  <c r="AH781" i="3"/>
  <c r="AB633" i="3"/>
  <c r="AH633" i="3"/>
  <c r="AB226" i="3"/>
  <c r="AH226" i="3"/>
  <c r="AB831" i="3"/>
  <c r="AH831" i="3"/>
  <c r="AH477" i="3"/>
  <c r="AB238" i="3"/>
  <c r="AH238" i="3"/>
  <c r="AB1322" i="3"/>
  <c r="AH1322" i="3"/>
  <c r="AB547" i="3"/>
  <c r="AH547" i="3"/>
  <c r="AB80" i="3"/>
  <c r="AH80" i="3"/>
  <c r="AB1195" i="3"/>
  <c r="AH1195" i="3"/>
  <c r="AB1023" i="3"/>
  <c r="AH1023" i="3"/>
  <c r="AB953" i="3"/>
  <c r="AH953" i="3"/>
  <c r="AB1326" i="3"/>
  <c r="AH1326" i="3"/>
  <c r="AB243" i="3"/>
  <c r="AH243" i="3"/>
  <c r="AB1318" i="3"/>
  <c r="AH1318" i="3"/>
  <c r="AB555" i="3"/>
  <c r="AH555" i="3"/>
  <c r="AB1101" i="3"/>
  <c r="AH1101" i="3"/>
  <c r="AB6" i="3"/>
  <c r="AH6" i="3"/>
  <c r="AB495" i="3"/>
  <c r="AH495" i="3"/>
  <c r="AB241" i="3"/>
  <c r="AH241" i="3"/>
  <c r="AB727" i="3"/>
  <c r="AH727" i="3"/>
  <c r="AB1288" i="3"/>
  <c r="AH1288" i="3"/>
  <c r="AB308" i="3"/>
  <c r="AH308" i="3"/>
  <c r="AB981" i="3"/>
  <c r="AH981" i="3"/>
  <c r="AB131" i="3"/>
  <c r="AH131" i="3"/>
  <c r="AB1351" i="3"/>
  <c r="AH1351" i="3"/>
  <c r="AB1056" i="3"/>
  <c r="AH1056" i="3"/>
  <c r="AB823" i="3"/>
  <c r="AH823" i="3"/>
  <c r="AB1057" i="3"/>
  <c r="AH1057" i="3"/>
  <c r="AB1001" i="3"/>
  <c r="AH1001" i="3"/>
  <c r="AB34" i="3"/>
  <c r="AH34" i="3"/>
  <c r="AB523" i="3"/>
  <c r="AH523" i="3"/>
  <c r="AB1280" i="3"/>
  <c r="AH1280" i="3"/>
  <c r="AB1197" i="3"/>
  <c r="AH1197" i="3"/>
  <c r="AB228" i="3"/>
  <c r="AH228" i="3"/>
  <c r="AB1183" i="3"/>
  <c r="AH1183" i="3"/>
  <c r="AB1073" i="3"/>
  <c r="AH1073" i="3"/>
  <c r="AB717" i="3"/>
  <c r="AH717" i="3"/>
  <c r="AB47" i="3"/>
  <c r="AH47" i="3"/>
  <c r="AB463" i="3"/>
  <c r="AH463" i="3"/>
  <c r="AB697" i="3"/>
  <c r="AH697" i="3"/>
  <c r="AB1107" i="3"/>
  <c r="AH1107" i="3"/>
  <c r="AB537" i="3"/>
  <c r="AH537" i="3"/>
  <c r="AB623" i="3"/>
  <c r="AH623" i="3"/>
  <c r="AB723" i="3"/>
  <c r="AH723" i="3"/>
  <c r="AB703" i="3"/>
  <c r="AH703" i="3"/>
  <c r="AB96" i="3"/>
  <c r="AH96" i="3"/>
  <c r="AB1065" i="3"/>
  <c r="AH1065" i="3"/>
  <c r="AB154" i="3"/>
  <c r="AH154" i="3"/>
  <c r="AB79" i="3"/>
  <c r="AH79" i="3"/>
  <c r="AB713" i="3"/>
  <c r="AH713" i="3"/>
  <c r="AB707" i="3"/>
  <c r="AH707" i="3"/>
  <c r="AB619" i="3"/>
  <c r="AH619" i="3"/>
  <c r="AB85" i="3"/>
  <c r="AH85" i="3"/>
  <c r="AB1324" i="3"/>
  <c r="AH1324" i="3"/>
  <c r="AB679" i="3"/>
  <c r="AH679" i="3"/>
  <c r="AB551" i="3"/>
  <c r="AH551" i="3"/>
  <c r="AB33" i="3"/>
  <c r="AH33" i="3"/>
  <c r="AB1282" i="3"/>
  <c r="AH1282" i="3"/>
  <c r="AB995" i="3"/>
  <c r="AH995" i="3"/>
  <c r="AB242" i="3"/>
  <c r="AH242" i="3"/>
  <c r="AB1320" i="3"/>
  <c r="AH1320" i="3"/>
  <c r="AB497" i="3"/>
  <c r="AH497" i="3"/>
  <c r="AB258" i="3"/>
  <c r="AH258" i="3"/>
  <c r="AB1213" i="3"/>
  <c r="AH1213" i="3"/>
  <c r="AH261" i="3"/>
  <c r="AB521" i="3"/>
  <c r="AH521" i="3"/>
  <c r="AB246" i="3"/>
  <c r="AH246" i="3"/>
  <c r="AH479" i="3"/>
  <c r="AB1281" i="3"/>
  <c r="AH1281" i="3"/>
  <c r="AB685" i="3"/>
  <c r="AH685" i="3"/>
  <c r="AB851" i="3"/>
  <c r="AH851" i="3"/>
  <c r="AB304" i="3"/>
  <c r="AH304" i="3"/>
  <c r="AB1237" i="3"/>
  <c r="AH1237" i="3"/>
  <c r="AB611" i="3"/>
  <c r="AH611" i="3"/>
  <c r="AH473" i="3"/>
  <c r="AB1169" i="3"/>
  <c r="AH1169" i="3"/>
  <c r="AB1358" i="3"/>
  <c r="AH1358" i="3"/>
  <c r="AB1185" i="3"/>
  <c r="AH1185" i="3"/>
  <c r="AB539" i="3"/>
  <c r="AH539" i="3"/>
  <c r="AB245" i="3"/>
  <c r="AH245" i="3"/>
  <c r="AB1152" i="3"/>
  <c r="AH1152" i="3"/>
  <c r="AB1081" i="3"/>
  <c r="AH1081" i="3"/>
  <c r="AB1355" i="3"/>
  <c r="AH1355" i="3"/>
  <c r="AB1283" i="3"/>
  <c r="AH1283" i="3"/>
  <c r="AH1123" i="3"/>
  <c r="AB1286" i="3"/>
  <c r="AH1286" i="3"/>
  <c r="AB1251" i="3"/>
  <c r="AH1251" i="3"/>
  <c r="AB553" i="3"/>
  <c r="AH553" i="3"/>
  <c r="AB657" i="3"/>
  <c r="AH657" i="3"/>
  <c r="AB224" i="3"/>
  <c r="AH224" i="3"/>
  <c r="AB733" i="3"/>
  <c r="AH733" i="3"/>
  <c r="AB983" i="3"/>
  <c r="AH983" i="3"/>
  <c r="AB82" i="3"/>
  <c r="AH82" i="3"/>
  <c r="AB465" i="3"/>
  <c r="AH465" i="3"/>
  <c r="AB306" i="3"/>
  <c r="AH306" i="3"/>
  <c r="AB45" i="3"/>
  <c r="AH45" i="3"/>
  <c r="AB957" i="3"/>
  <c r="AH957" i="3"/>
  <c r="AB573" i="3"/>
  <c r="AH573" i="3"/>
  <c r="AB417" i="3"/>
  <c r="AH417" i="3"/>
  <c r="AB274" i="3"/>
  <c r="AH274" i="3"/>
  <c r="AB77" i="3"/>
  <c r="AH77" i="3"/>
  <c r="AB1054" i="3"/>
  <c r="AH1054" i="3"/>
  <c r="AB575" i="3"/>
  <c r="AH575" i="3"/>
  <c r="AH178" i="3"/>
  <c r="AB549" i="3"/>
  <c r="AH549" i="3"/>
  <c r="AB97" i="3"/>
  <c r="AH97" i="3"/>
  <c r="AB719" i="3"/>
  <c r="AH719" i="3"/>
  <c r="AB1181" i="3"/>
  <c r="AH1181" i="3"/>
  <c r="AB311" i="3"/>
  <c r="AH311" i="3"/>
  <c r="AB1144" i="3"/>
  <c r="AH1144" i="3"/>
  <c r="AB545" i="3"/>
  <c r="AH545" i="3"/>
  <c r="AB337" i="3"/>
  <c r="AH337" i="3"/>
  <c r="AB7" i="3"/>
  <c r="AH7" i="3"/>
  <c r="J66" i="4"/>
  <c r="P710" i="4"/>
  <c r="Q710" i="4" s="1"/>
  <c r="J23" i="4"/>
  <c r="J79" i="4"/>
  <c r="AI89" i="3"/>
  <c r="J77" i="4"/>
  <c r="AI367" i="3"/>
  <c r="J83" i="4"/>
  <c r="AI54" i="3"/>
  <c r="J35" i="4"/>
  <c r="AI1206" i="3"/>
  <c r="J491" i="4"/>
  <c r="AI1143" i="3"/>
  <c r="J443" i="4"/>
  <c r="AI1276" i="3"/>
  <c r="AI1151" i="3"/>
  <c r="AI1163" i="3"/>
  <c r="AI528" i="3"/>
  <c r="AI854" i="3"/>
  <c r="AI468" i="3"/>
  <c r="AI1090" i="3"/>
  <c r="AI1022" i="3"/>
  <c r="AI27" i="3"/>
  <c r="AI906" i="3"/>
  <c r="AI1078" i="3"/>
  <c r="AI518" i="3"/>
  <c r="AI962" i="3"/>
  <c r="AI380" i="3"/>
  <c r="AI582" i="3"/>
  <c r="AI1367" i="3"/>
  <c r="AI1250" i="3"/>
  <c r="AI1026" i="3"/>
  <c r="AI504" i="3"/>
  <c r="AI1172" i="3"/>
  <c r="AI544" i="3"/>
  <c r="AI440" i="3"/>
  <c r="AI377" i="3"/>
  <c r="AI1106" i="3"/>
  <c r="AI1306" i="3"/>
  <c r="AI808" i="3"/>
  <c r="AI866" i="3"/>
  <c r="AI886" i="3"/>
  <c r="AI716" i="3"/>
  <c r="AI864" i="3"/>
  <c r="AI696" i="3"/>
  <c r="AI572" i="3"/>
  <c r="AI566" i="3"/>
  <c r="AI298" i="3"/>
  <c r="AI742" i="3"/>
  <c r="AI1278" i="3"/>
  <c r="AI918" i="3"/>
  <c r="AI1216" i="3"/>
  <c r="AI450" i="3"/>
  <c r="AB115" i="3"/>
  <c r="AB574" i="3"/>
  <c r="AB68" i="3"/>
  <c r="AB714" i="3"/>
  <c r="AB1084" i="3"/>
  <c r="AB132" i="3"/>
  <c r="AB316" i="3"/>
  <c r="AB630" i="3"/>
  <c r="AB236" i="3"/>
  <c r="AB458" i="3"/>
  <c r="AB576" i="3"/>
  <c r="AB403" i="3"/>
  <c r="AB1046" i="3"/>
  <c r="AB702" i="3"/>
  <c r="AB1127" i="3"/>
  <c r="AB550" i="3"/>
  <c r="AB494" i="3"/>
  <c r="AB900" i="3"/>
  <c r="AB1354" i="3"/>
  <c r="AB1352" i="3"/>
  <c r="AB922" i="3"/>
  <c r="AB1325" i="3"/>
  <c r="AB1000" i="3"/>
  <c r="AB186" i="3"/>
  <c r="AB13" i="3"/>
  <c r="AB294" i="3"/>
  <c r="AB860" i="3"/>
  <c r="AB596" i="3"/>
  <c r="AB288" i="3"/>
  <c r="AB984" i="3"/>
  <c r="AB708" i="3"/>
  <c r="AB177" i="3"/>
  <c r="AB754" i="3"/>
  <c r="AB938" i="3"/>
  <c r="AB411" i="3"/>
  <c r="AB1086" i="3"/>
  <c r="AB43" i="3"/>
  <c r="AB750" i="3"/>
  <c r="AB3" i="3"/>
  <c r="AB466" i="3"/>
  <c r="AB234" i="3"/>
  <c r="AB1102" i="3"/>
  <c r="AB1116" i="3"/>
  <c r="AB670" i="3"/>
  <c r="AB322" i="3"/>
  <c r="AB1030" i="3"/>
  <c r="AB872" i="3"/>
  <c r="AB562" i="3"/>
  <c r="AB704" i="3"/>
  <c r="AB612" i="3"/>
  <c r="AB776" i="3"/>
  <c r="AB480" i="3"/>
  <c r="AB221" i="3"/>
  <c r="AB994" i="3"/>
  <c r="AB474" i="3"/>
  <c r="AB1038" i="3"/>
  <c r="AB1270" i="3"/>
  <c r="AB1058" i="3"/>
  <c r="AB114" i="3"/>
  <c r="AB169" i="3"/>
  <c r="AB40" i="3"/>
  <c r="AB166" i="3"/>
  <c r="AB273" i="3"/>
  <c r="AB1252" i="3"/>
  <c r="AB300" i="3"/>
  <c r="AB928" i="3"/>
  <c r="AB964" i="3"/>
  <c r="AB552" i="3"/>
  <c r="AB846" i="3"/>
  <c r="AB265" i="3"/>
  <c r="AB840" i="3"/>
  <c r="AB1214" i="3"/>
  <c r="AB156" i="3"/>
  <c r="AB332" i="3"/>
  <c r="AB752" i="3"/>
  <c r="AB432" i="3"/>
  <c r="AB57" i="3"/>
  <c r="AB584" i="3"/>
  <c r="AB478" i="3"/>
  <c r="AB1174" i="3"/>
  <c r="AB836" i="3"/>
  <c r="AB780" i="3"/>
  <c r="AB370" i="3"/>
  <c r="AB1196" i="3"/>
  <c r="AB1066" i="3"/>
  <c r="AB642" i="3"/>
  <c r="AB237" i="3"/>
  <c r="AB284" i="3"/>
  <c r="AB794" i="3"/>
  <c r="AB211" i="3"/>
  <c r="AB1010" i="3"/>
  <c r="AB1334" i="3"/>
  <c r="AB898" i="3"/>
  <c r="AB354" i="3"/>
  <c r="AB1012" i="3"/>
  <c r="AB1188" i="3"/>
  <c r="AB926" i="3"/>
  <c r="AB272" i="3"/>
  <c r="AB1098" i="3"/>
  <c r="AB14" i="3"/>
  <c r="AB285" i="3"/>
  <c r="AB1284" i="3"/>
  <c r="AB233" i="3"/>
  <c r="AB1186" i="3"/>
  <c r="AB133" i="3"/>
  <c r="AB664" i="3"/>
  <c r="AB176" i="3"/>
  <c r="AB710" i="3"/>
  <c r="AB744" i="3"/>
  <c r="AB902" i="3"/>
  <c r="AB36" i="3"/>
  <c r="AB152" i="3"/>
  <c r="AB594" i="3"/>
  <c r="AB510" i="3"/>
  <c r="AB83" i="3"/>
  <c r="AB101" i="3"/>
  <c r="AB100" i="3"/>
  <c r="AB94" i="3"/>
  <c r="AB1070" i="3"/>
  <c r="AB680" i="3"/>
  <c r="AB950" i="3"/>
  <c r="AB401" i="3"/>
  <c r="AB496" i="3"/>
  <c r="AB179" i="3"/>
  <c r="AB330" i="3"/>
  <c r="AB71" i="3"/>
  <c r="AB151" i="3"/>
  <c r="AB924" i="3"/>
  <c r="AB624" i="3"/>
  <c r="AB590" i="3"/>
  <c r="AB4" i="3"/>
  <c r="AB560" i="3"/>
  <c r="AB538" i="3"/>
  <c r="AB916" i="3"/>
  <c r="AB546" i="3"/>
  <c r="AB838" i="3"/>
  <c r="AB413" i="3"/>
  <c r="AB668" i="3"/>
  <c r="AB1311" i="3"/>
  <c r="AB1190" i="3"/>
  <c r="AB60" i="3"/>
  <c r="AB652" i="3"/>
  <c r="AB256" i="3"/>
  <c r="AB167" i="3"/>
  <c r="AB1327" i="3"/>
  <c r="AB1036" i="3"/>
  <c r="AB948" i="3"/>
  <c r="AB824" i="3"/>
  <c r="AB281" i="3"/>
  <c r="AB464" i="3"/>
  <c r="AB180" i="3"/>
  <c r="AB996" i="3"/>
  <c r="AB798" i="3"/>
  <c r="AB1100" i="3"/>
  <c r="AB724" i="3"/>
  <c r="AB778" i="3"/>
  <c r="AB768" i="3"/>
  <c r="AB230" i="3"/>
  <c r="AB1032" i="3"/>
  <c r="AB848" i="3"/>
  <c r="AB1120" i="3"/>
  <c r="AB318" i="3"/>
  <c r="AB974" i="3"/>
  <c r="AB1122" i="3"/>
  <c r="AB1154" i="3"/>
  <c r="AB858" i="3"/>
  <c r="AB980" i="3"/>
  <c r="AB558" i="3"/>
  <c r="AB266" i="3"/>
  <c r="AB192" i="3"/>
  <c r="AB792" i="3"/>
  <c r="AB400" i="3"/>
  <c r="AB1210" i="3"/>
  <c r="AB1137" i="3"/>
  <c r="AB828" i="3"/>
  <c r="AB37" i="3"/>
  <c r="AB728" i="3"/>
  <c r="AB1108" i="3"/>
  <c r="AB796" i="3"/>
  <c r="AB602" i="3"/>
  <c r="AB770" i="3"/>
  <c r="AB22" i="3"/>
  <c r="AB524" i="3"/>
  <c r="AB686" i="3"/>
  <c r="AB1128" i="3"/>
  <c r="AB1182" i="3"/>
  <c r="AB253" i="3"/>
  <c r="AB822" i="3"/>
  <c r="AB526" i="3"/>
  <c r="AB123" i="3"/>
  <c r="AB10" i="3"/>
  <c r="AB534" i="3"/>
  <c r="AB712" i="3"/>
  <c r="AB9" i="3"/>
  <c r="AB1006" i="3"/>
  <c r="AB1202" i="3"/>
  <c r="AB876" i="3"/>
  <c r="AB313" i="3"/>
  <c r="AB614" i="3"/>
  <c r="AB319" i="3"/>
  <c r="AB1198" i="3"/>
  <c r="AB722" i="3"/>
  <c r="AB586" i="3"/>
  <c r="AB1112" i="3"/>
  <c r="AB522" i="3"/>
  <c r="AB50" i="3"/>
  <c r="AB161" i="3"/>
  <c r="AB1145" i="3"/>
  <c r="AB790" i="3"/>
  <c r="AB63" i="3"/>
  <c r="AB49" i="3"/>
  <c r="AB207" i="3"/>
  <c r="AB786" i="3"/>
  <c r="AB658" i="3"/>
  <c r="AB248" i="3"/>
  <c r="AB762" i="3"/>
  <c r="AB1319" i="3"/>
  <c r="AB269" i="3"/>
  <c r="AB257" i="3"/>
  <c r="AB1274" i="3"/>
  <c r="AB634" i="3"/>
  <c r="AB592" i="3"/>
  <c r="AB958" i="3"/>
  <c r="AB1044" i="3"/>
  <c r="AB1314" i="3"/>
  <c r="AB606" i="3"/>
  <c r="AB1139" i="3"/>
  <c r="AB932" i="3"/>
  <c r="AB888" i="3"/>
  <c r="AB321" i="3"/>
  <c r="AB61" i="3"/>
  <c r="AB254" i="3"/>
  <c r="AB383" i="3"/>
  <c r="AB678" i="3"/>
  <c r="AB852" i="3"/>
  <c r="AB41" i="3"/>
  <c r="AB782" i="3"/>
  <c r="AB1153" i="3"/>
  <c r="AB86" i="3"/>
  <c r="AB904" i="3"/>
  <c r="AB1072" i="3"/>
  <c r="AB842" i="3"/>
  <c r="AB1359" i="3"/>
  <c r="AB129" i="3"/>
  <c r="AB164" i="3"/>
  <c r="AB1136" i="3"/>
  <c r="AB124" i="3"/>
  <c r="AB1118" i="3"/>
  <c r="AB764" i="3"/>
  <c r="AB472" i="3"/>
  <c r="AB532" i="3"/>
  <c r="AB600" i="3"/>
  <c r="AB654" i="3"/>
  <c r="AB746" i="3"/>
  <c r="AB912" i="3"/>
  <c r="AB920" i="3"/>
  <c r="AB896" i="3"/>
  <c r="AB409" i="3"/>
  <c r="AB910" i="3"/>
  <c r="AB954" i="3"/>
  <c r="AB966" i="3"/>
  <c r="AB278" i="3"/>
  <c r="AB1008" i="3"/>
  <c r="AB556" i="3"/>
  <c r="AB259" i="3"/>
  <c r="AB1042" i="3"/>
  <c r="AB17" i="3"/>
  <c r="AB72" i="3"/>
  <c r="AB952" i="3"/>
  <c r="AB260" i="3"/>
  <c r="AB1323" i="3"/>
  <c r="AB620" i="3"/>
  <c r="AB275" i="3"/>
  <c r="AB210" i="3"/>
  <c r="AB324" i="3"/>
  <c r="AB282" i="3"/>
  <c r="AB130" i="3"/>
  <c r="AB718" i="3"/>
  <c r="AB982" i="3"/>
  <c r="AB155" i="3"/>
  <c r="AB95" i="3"/>
  <c r="AB301" i="3"/>
  <c r="AB339" i="3"/>
  <c r="AB145" i="3"/>
  <c r="AB894" i="3"/>
  <c r="AB127" i="3"/>
  <c r="AB1131" i="3"/>
  <c r="AB608" i="3"/>
  <c r="AB830" i="3"/>
  <c r="AB520" i="3"/>
  <c r="AB636" i="3"/>
  <c r="AB452" i="3"/>
  <c r="AB1360" i="3"/>
  <c r="AB76" i="3"/>
  <c r="AB500" i="3"/>
  <c r="AB730" i="3"/>
  <c r="AB126" i="3"/>
  <c r="AB934" i="3"/>
  <c r="AB196" i="3"/>
  <c r="AB834" i="3"/>
  <c r="AB990" i="3"/>
  <c r="AB662" i="3"/>
  <c r="AB1024" i="3"/>
  <c r="AB328" i="3"/>
  <c r="AB239" i="3"/>
  <c r="AB944" i="3"/>
  <c r="AB390" i="3"/>
  <c r="AB327" i="3"/>
  <c r="AB548" i="3"/>
  <c r="AB1356" i="3"/>
  <c r="AB844" i="3"/>
  <c r="AB720" i="3"/>
  <c r="AB1290" i="3"/>
  <c r="AB325" i="3"/>
  <c r="AB970" i="3"/>
  <c r="AB774" i="3"/>
  <c r="AB1002" i="3"/>
  <c r="AB213" i="3"/>
  <c r="AB940" i="3"/>
  <c r="AB87" i="3"/>
  <c r="AB914" i="3"/>
  <c r="AB1034" i="3"/>
  <c r="AB1124" i="3"/>
  <c r="AB263" i="3"/>
  <c r="AB436" i="3"/>
  <c r="AB880" i="3"/>
  <c r="AB185" i="3"/>
  <c r="AB44" i="3"/>
  <c r="AB276" i="3"/>
  <c r="AB788" i="3"/>
  <c r="AB336" i="3"/>
  <c r="AB240" i="3"/>
  <c r="AB1170" i="3"/>
  <c r="AB942" i="3"/>
  <c r="AB1272" i="3"/>
  <c r="AB554" i="3"/>
  <c r="AB84" i="3"/>
  <c r="AB986" i="3"/>
  <c r="AB279" i="3"/>
  <c r="AB734" i="3"/>
  <c r="AB1014" i="3"/>
  <c r="AB58" i="3"/>
  <c r="AB946" i="3"/>
  <c r="AB170" i="3"/>
  <c r="AB502" i="3"/>
  <c r="AB21" i="3"/>
  <c r="AB1184" i="3"/>
  <c r="AB310" i="3"/>
  <c r="AB540" i="3"/>
  <c r="AB972" i="3"/>
  <c r="AB1130" i="3"/>
  <c r="AB75" i="3"/>
  <c r="AB1349" i="3"/>
  <c r="AB1204" i="3"/>
  <c r="AB698" i="3"/>
  <c r="AB826" i="3"/>
  <c r="AB404" i="3"/>
  <c r="AB312" i="3"/>
  <c r="AB1321" i="3"/>
  <c r="AB173" i="3"/>
  <c r="AB220" i="3"/>
  <c r="AB1125" i="3"/>
  <c r="AB371" i="3"/>
  <c r="AB358" i="3"/>
  <c r="AB270" i="3"/>
  <c r="AB644" i="3"/>
  <c r="AB498" i="3"/>
  <c r="AB214" i="3"/>
  <c r="AB295" i="3"/>
  <c r="AB418" i="3"/>
  <c r="AB1313" i="3"/>
  <c r="AB251" i="3"/>
  <c r="AB878" i="3"/>
  <c r="AB1146" i="3"/>
  <c r="AB1082" i="3"/>
  <c r="AB334" i="3"/>
  <c r="AB486" i="3"/>
  <c r="AB355" i="3"/>
  <c r="AB604" i="3"/>
  <c r="AB638" i="3"/>
  <c r="AB351" i="3"/>
  <c r="AB726" i="3"/>
  <c r="AB1238" i="3"/>
  <c r="AB315" i="3"/>
  <c r="AB18" i="3"/>
  <c r="AB69" i="3"/>
  <c r="AB1114" i="3"/>
  <c r="AB1268" i="3"/>
  <c r="AB766" i="3"/>
  <c r="AB542" i="3"/>
  <c r="AB874" i="3"/>
  <c r="AB666" i="3"/>
  <c r="AB217" i="3"/>
  <c r="AB1310" i="3"/>
  <c r="AB1165" i="3"/>
  <c r="AB338" i="3"/>
  <c r="AB189" i="3"/>
  <c r="AB1192" i="3"/>
  <c r="AB484" i="3"/>
  <c r="AB1074" i="3"/>
  <c r="AB438" i="3"/>
  <c r="AB832" i="3"/>
  <c r="AB262" i="3"/>
  <c r="AB426" i="3"/>
  <c r="AB148" i="3"/>
  <c r="AB64" i="3"/>
  <c r="AB772" i="3"/>
  <c r="AB231" i="3"/>
  <c r="AB968" i="3"/>
  <c r="AB1080" i="3"/>
  <c r="AB149" i="3"/>
  <c r="AB1016" i="3"/>
  <c r="AB250" i="3"/>
  <c r="AI1332" i="3"/>
  <c r="AB140" i="3"/>
  <c r="B5" i="15"/>
  <c r="AB8" i="3"/>
  <c r="B4" i="15"/>
  <c r="D4" i="15" s="1"/>
  <c r="AB677" i="3"/>
  <c r="AB333" i="3"/>
  <c r="AB561" i="3"/>
  <c r="AB203" i="3"/>
  <c r="AB1121" i="3"/>
  <c r="AB1135" i="3"/>
  <c r="AB1187" i="3"/>
  <c r="AB1129" i="3"/>
  <c r="AB985" i="3"/>
  <c r="AB388" i="3"/>
  <c r="AB1099" i="3"/>
  <c r="AB187" i="3"/>
  <c r="AB1069" i="3"/>
  <c r="AB963" i="3"/>
  <c r="AB191" i="3"/>
  <c r="AB1164" i="3"/>
  <c r="AF1913" i="3" l="1"/>
  <c r="AF1956" i="3"/>
  <c r="AI1093" i="3"/>
  <c r="AI1294" i="3"/>
  <c r="K81" i="4"/>
  <c r="AI1049" i="3"/>
  <c r="AI1256" i="3"/>
  <c r="AI735" i="3"/>
  <c r="AI360" i="3"/>
  <c r="AI739" i="3"/>
  <c r="AI1160" i="3"/>
  <c r="AI1260" i="3"/>
  <c r="AI1193" i="3"/>
  <c r="AI581" i="3"/>
  <c r="AI731" i="3"/>
  <c r="AI683" i="3"/>
  <c r="AI344" i="3"/>
  <c r="AI687" i="3"/>
  <c r="AI863" i="3"/>
  <c r="AI342" i="3"/>
  <c r="AI1059" i="3"/>
  <c r="AI1299" i="3"/>
  <c r="AI1021" i="3"/>
  <c r="AI577" i="3"/>
  <c r="AI569" i="3"/>
  <c r="AI579" i="3"/>
  <c r="AI372" i="3"/>
  <c r="AI1275" i="3"/>
  <c r="AI505" i="3"/>
  <c r="AI117" i="3"/>
  <c r="AI681" i="3"/>
  <c r="AI997" i="3"/>
  <c r="AI565" i="3"/>
  <c r="AI429" i="3"/>
  <c r="AI449" i="3"/>
  <c r="AI1003" i="3"/>
  <c r="AI627" i="3"/>
  <c r="AI1158" i="3"/>
  <c r="AI1229" i="3"/>
  <c r="AI675" i="3"/>
  <c r="AI991" i="3"/>
  <c r="AI959" i="3"/>
  <c r="AI783" i="3"/>
  <c r="AI1277" i="3"/>
  <c r="AI571" i="3"/>
  <c r="AI1239" i="3"/>
  <c r="AI741" i="3"/>
  <c r="AI467" i="3"/>
  <c r="AI1091" i="3"/>
  <c r="AI1199" i="3"/>
  <c r="AI1177" i="3"/>
  <c r="AI615" i="3"/>
  <c r="AI1205" i="3"/>
  <c r="AI489" i="3"/>
  <c r="AI447" i="3"/>
  <c r="AI935" i="3"/>
  <c r="AI567" i="3"/>
  <c r="AI617" i="3"/>
  <c r="AI1263" i="3"/>
  <c r="AI346" i="3"/>
  <c r="AI987" i="3"/>
  <c r="AI955" i="3"/>
  <c r="R709" i="4"/>
  <c r="Q709" i="4"/>
  <c r="K326" i="4"/>
  <c r="P269" i="4"/>
  <c r="K269" i="4"/>
  <c r="K153" i="4"/>
  <c r="P153" i="4"/>
  <c r="P470" i="4"/>
  <c r="R470" i="4" s="1"/>
  <c r="K470" i="4"/>
  <c r="K226" i="4"/>
  <c r="K471" i="4"/>
  <c r="P471" i="4"/>
  <c r="P426" i="4"/>
  <c r="K426" i="4"/>
  <c r="K539" i="4"/>
  <c r="K16" i="4"/>
  <c r="P467" i="4"/>
  <c r="K467" i="4"/>
  <c r="P350" i="4"/>
  <c r="K350" i="4"/>
  <c r="K280" i="4"/>
  <c r="K199" i="4"/>
  <c r="K129" i="4"/>
  <c r="K327" i="4"/>
  <c r="K198" i="4"/>
  <c r="P309" i="4"/>
  <c r="K309" i="4"/>
  <c r="K516" i="4"/>
  <c r="P532" i="4"/>
  <c r="K532" i="4"/>
  <c r="P475" i="4"/>
  <c r="K475" i="4"/>
  <c r="K349" i="4"/>
  <c r="P214" i="4"/>
  <c r="K214" i="4"/>
  <c r="K271" i="4"/>
  <c r="P271" i="4"/>
  <c r="K460" i="4"/>
  <c r="P527" i="4"/>
  <c r="Q527" i="4" s="1"/>
  <c r="U527" i="4" s="1"/>
  <c r="K527" i="4"/>
  <c r="K13" i="4"/>
  <c r="K310" i="4"/>
  <c r="K249" i="4"/>
  <c r="P249" i="4"/>
  <c r="K116" i="4"/>
  <c r="P116" i="4"/>
  <c r="Q116" i="4" s="1"/>
  <c r="U116" i="4" s="1"/>
  <c r="K172" i="4"/>
  <c r="P172" i="4"/>
  <c r="K531" i="4"/>
  <c r="K208" i="4"/>
  <c r="P208" i="4"/>
  <c r="K51" i="4"/>
  <c r="P51" i="4"/>
  <c r="P496" i="4"/>
  <c r="K496" i="4"/>
  <c r="P394" i="4"/>
  <c r="K394" i="4"/>
  <c r="K268" i="4"/>
  <c r="P268" i="4"/>
  <c r="K284" i="4"/>
  <c r="P548" i="4"/>
  <c r="K548" i="4"/>
  <c r="P474" i="4"/>
  <c r="K474" i="4"/>
  <c r="K84" i="4"/>
  <c r="K98" i="4"/>
  <c r="Y90" i="4"/>
  <c r="K90" i="4"/>
  <c r="Y109" i="4"/>
  <c r="K109" i="4"/>
  <c r="P529" i="4"/>
  <c r="K529" i="4"/>
  <c r="K411" i="4"/>
  <c r="P411" i="4"/>
  <c r="K325" i="4"/>
  <c r="K336" i="4"/>
  <c r="K71" i="4"/>
  <c r="P71" i="4"/>
  <c r="K176" i="4"/>
  <c r="P176" i="4"/>
  <c r="P535" i="4"/>
  <c r="K535" i="4"/>
  <c r="K381" i="4"/>
  <c r="K421" i="4"/>
  <c r="K300" i="4"/>
  <c r="K405" i="4"/>
  <c r="K418" i="4"/>
  <c r="K295" i="4"/>
  <c r="K67" i="4"/>
  <c r="P67" i="4"/>
  <c r="K120" i="4"/>
  <c r="K384" i="4"/>
  <c r="K420" i="4"/>
  <c r="P154" i="4"/>
  <c r="K154" i="4"/>
  <c r="P186" i="4"/>
  <c r="K186" i="4"/>
  <c r="K482" i="4"/>
  <c r="K404" i="4"/>
  <c r="K296" i="4"/>
  <c r="K49" i="4"/>
  <c r="K180" i="4"/>
  <c r="P125" i="4"/>
  <c r="K125" i="4"/>
  <c r="K275" i="4"/>
  <c r="K155" i="4"/>
  <c r="K337" i="4"/>
  <c r="K380" i="4"/>
  <c r="K332" i="4"/>
  <c r="K369" i="4"/>
  <c r="K118" i="4"/>
  <c r="P521" i="4"/>
  <c r="K521" i="4"/>
  <c r="K177" i="4"/>
  <c r="P177" i="4"/>
  <c r="P375" i="4"/>
  <c r="Q375" i="4" s="1"/>
  <c r="U375" i="4" s="1"/>
  <c r="K375" i="4"/>
  <c r="K104" i="4"/>
  <c r="P104" i="4"/>
  <c r="K346" i="4"/>
  <c r="P149" i="4"/>
  <c r="K149" i="4"/>
  <c r="K266" i="4"/>
  <c r="P266" i="4"/>
  <c r="P488" i="4"/>
  <c r="K488" i="4"/>
  <c r="K182" i="4"/>
  <c r="K530" i="4"/>
  <c r="K464" i="4"/>
  <c r="P270" i="4"/>
  <c r="K270" i="4"/>
  <c r="K80" i="4"/>
  <c r="K201" i="4"/>
  <c r="K89" i="4"/>
  <c r="K278" i="4"/>
  <c r="Y17" i="4"/>
  <c r="K17" i="4"/>
  <c r="K12" i="4"/>
  <c r="Y26" i="4"/>
  <c r="K26" i="4"/>
  <c r="Y14" i="4"/>
  <c r="K14" i="4"/>
  <c r="Y74" i="4"/>
  <c r="K74" i="4"/>
  <c r="P74" i="4"/>
  <c r="Q74" i="4" s="1"/>
  <c r="U74" i="4" s="1"/>
  <c r="P540" i="4"/>
  <c r="R540" i="4" s="1"/>
  <c r="K540" i="4"/>
  <c r="Y22" i="4"/>
  <c r="K22" i="4"/>
  <c r="K494" i="4"/>
  <c r="K321" i="4"/>
  <c r="K382" i="4"/>
  <c r="P458" i="4"/>
  <c r="R458" i="4" s="1"/>
  <c r="K458" i="4"/>
  <c r="K277" i="4"/>
  <c r="P389" i="4"/>
  <c r="K389" i="4"/>
  <c r="K222" i="4"/>
  <c r="K489" i="4"/>
  <c r="K202" i="4"/>
  <c r="K525" i="4"/>
  <c r="Y108" i="4"/>
  <c r="K108" i="4"/>
  <c r="K370" i="4"/>
  <c r="K435" i="4"/>
  <c r="K91" i="4"/>
  <c r="K212" i="4"/>
  <c r="P212" i="4"/>
  <c r="K297" i="4"/>
  <c r="K8" i="4"/>
  <c r="K490" i="4"/>
  <c r="K301" i="4"/>
  <c r="P422" i="4"/>
  <c r="K422" i="4"/>
  <c r="K289" i="4"/>
  <c r="P453" i="4"/>
  <c r="K453" i="4"/>
  <c r="K357" i="4"/>
  <c r="K134" i="4"/>
  <c r="P134" i="4"/>
  <c r="K56" i="4"/>
  <c r="K354" i="4"/>
  <c r="K220" i="4"/>
  <c r="K316" i="4"/>
  <c r="K319" i="4"/>
  <c r="K189" i="4"/>
  <c r="P189" i="4"/>
  <c r="K123" i="4"/>
  <c r="P123" i="4"/>
  <c r="P448" i="4"/>
  <c r="K448" i="4"/>
  <c r="K330" i="4"/>
  <c r="K230" i="4"/>
  <c r="P230" i="4"/>
  <c r="K237" i="4"/>
  <c r="P185" i="4"/>
  <c r="K185" i="4"/>
  <c r="P491" i="4"/>
  <c r="K491" i="4"/>
  <c r="K72" i="4"/>
  <c r="P439" i="4"/>
  <c r="K439" i="4"/>
  <c r="P497" i="4"/>
  <c r="K497" i="4"/>
  <c r="K320" i="4"/>
  <c r="K34" i="4"/>
  <c r="K298" i="4"/>
  <c r="K66" i="4"/>
  <c r="P231" i="4"/>
  <c r="K231" i="4"/>
  <c r="K131" i="4"/>
  <c r="K459" i="4"/>
  <c r="P459" i="4"/>
  <c r="K507" i="4"/>
  <c r="P507" i="4"/>
  <c r="Y36" i="4"/>
  <c r="K36" i="4"/>
  <c r="K144" i="4"/>
  <c r="K523" i="4"/>
  <c r="K79" i="4"/>
  <c r="K60" i="4"/>
  <c r="K48" i="4"/>
  <c r="K23" i="4"/>
  <c r="Y31" i="4"/>
  <c r="K31" i="4"/>
  <c r="Y432" i="4"/>
  <c r="K432" i="4"/>
  <c r="P457" i="4"/>
  <c r="Q457" i="4" s="1"/>
  <c r="U457" i="4" s="1"/>
  <c r="K457" i="4"/>
  <c r="Y441" i="4"/>
  <c r="P441" i="4"/>
  <c r="K441" i="4"/>
  <c r="Y39" i="4"/>
  <c r="P39" i="4"/>
  <c r="K39" i="4"/>
  <c r="K331" i="4"/>
  <c r="K145" i="4"/>
  <c r="P145" i="4"/>
  <c r="Y100" i="4"/>
  <c r="K100" i="4"/>
  <c r="Y97" i="4"/>
  <c r="K97" i="4"/>
  <c r="Y374" i="4"/>
  <c r="P374" i="4"/>
  <c r="K374" i="4"/>
  <c r="K524" i="4"/>
  <c r="K83" i="4"/>
  <c r="K133" i="4"/>
  <c r="P133" i="4"/>
  <c r="K27" i="4"/>
  <c r="P398" i="4"/>
  <c r="K398" i="4"/>
  <c r="P391" i="4"/>
  <c r="K391" i="4"/>
  <c r="P498" i="4"/>
  <c r="K498" i="4"/>
  <c r="K415" i="4"/>
  <c r="K248" i="4"/>
  <c r="K518" i="4"/>
  <c r="K147" i="4"/>
  <c r="K105" i="4"/>
  <c r="K175" i="4"/>
  <c r="P175" i="4"/>
  <c r="K184" i="4"/>
  <c r="P184" i="4"/>
  <c r="K281" i="4"/>
  <c r="K70" i="4"/>
  <c r="K112" i="4"/>
  <c r="P209" i="4"/>
  <c r="K209" i="4"/>
  <c r="K367" i="4"/>
  <c r="K158" i="4"/>
  <c r="K451" i="4"/>
  <c r="K168" i="4"/>
  <c r="K417" i="4"/>
  <c r="P258" i="4"/>
  <c r="K258" i="4"/>
  <c r="K111" i="4"/>
  <c r="K341" i="4"/>
  <c r="K263" i="4"/>
  <c r="P263" i="4"/>
  <c r="P373" i="4"/>
  <c r="K373" i="4"/>
  <c r="K204" i="4"/>
  <c r="P487" i="4"/>
  <c r="K487" i="4"/>
  <c r="K205" i="4"/>
  <c r="K30" i="4"/>
  <c r="K9" i="4"/>
  <c r="K552" i="4"/>
  <c r="Y73" i="4"/>
  <c r="K73" i="4"/>
  <c r="Y107" i="4"/>
  <c r="K107" i="4"/>
  <c r="Y431" i="4"/>
  <c r="K431" i="4"/>
  <c r="P544" i="4"/>
  <c r="K544" i="4"/>
  <c r="K348" i="4"/>
  <c r="K344" i="4"/>
  <c r="K446" i="4"/>
  <c r="K157" i="4"/>
  <c r="K68" i="4"/>
  <c r="K69" i="4"/>
  <c r="K191" i="4"/>
  <c r="P191" i="4"/>
  <c r="K151" i="4"/>
  <c r="K206" i="4"/>
  <c r="K11" i="4"/>
  <c r="K127" i="4"/>
  <c r="P174" i="4"/>
  <c r="K174" i="4"/>
  <c r="P171" i="4"/>
  <c r="K171" i="4"/>
  <c r="P161" i="4"/>
  <c r="K161" i="4"/>
  <c r="K50" i="4"/>
  <c r="K218" i="4"/>
  <c r="P218" i="4"/>
  <c r="K383" i="4"/>
  <c r="K28" i="4"/>
  <c r="K401" i="4"/>
  <c r="K285" i="4"/>
  <c r="P449" i="4"/>
  <c r="Q449" i="4" s="1"/>
  <c r="U449" i="4" s="1"/>
  <c r="K449" i="4"/>
  <c r="P323" i="4"/>
  <c r="K323" i="4"/>
  <c r="K360" i="4"/>
  <c r="K188" i="4"/>
  <c r="P188" i="4"/>
  <c r="K225" i="4"/>
  <c r="K371" i="4"/>
  <c r="P365" i="4"/>
  <c r="K365" i="4"/>
  <c r="K41" i="4"/>
  <c r="K52" i="4"/>
  <c r="P52" i="4"/>
  <c r="K378" i="4"/>
  <c r="P162" i="4"/>
  <c r="K162" i="4"/>
  <c r="P501" i="4"/>
  <c r="K501" i="4"/>
  <c r="K223" i="4"/>
  <c r="P486" i="4"/>
  <c r="K486" i="4"/>
  <c r="K267" i="4"/>
  <c r="P267" i="4"/>
  <c r="K136" i="4"/>
  <c r="P136" i="4"/>
  <c r="K234" i="4"/>
  <c r="K88" i="4"/>
  <c r="P455" i="4"/>
  <c r="K455" i="4"/>
  <c r="K5" i="4"/>
  <c r="K117" i="4"/>
  <c r="K146" i="4"/>
  <c r="P146" i="4"/>
  <c r="K179" i="4"/>
  <c r="P179" i="4"/>
  <c r="K314" i="4"/>
  <c r="K183" i="4"/>
  <c r="K424" i="4"/>
  <c r="K57" i="4"/>
  <c r="Y304" i="4"/>
  <c r="K304" i="4"/>
  <c r="Y25" i="4"/>
  <c r="K25" i="4"/>
  <c r="Y173" i="4"/>
  <c r="K173" i="4"/>
  <c r="Y124" i="4"/>
  <c r="K124" i="4"/>
  <c r="Y44" i="4"/>
  <c r="K44" i="4"/>
  <c r="P44" i="4"/>
  <c r="P551" i="4"/>
  <c r="K551" i="4"/>
  <c r="P376" i="4"/>
  <c r="K376" i="4"/>
  <c r="P508" i="4"/>
  <c r="K508" i="4"/>
  <c r="K299" i="4"/>
  <c r="K520" i="4"/>
  <c r="K29" i="4"/>
  <c r="K85" i="4"/>
  <c r="P85" i="4"/>
  <c r="K65" i="4"/>
  <c r="K465" i="4"/>
  <c r="K368" i="4"/>
  <c r="Y43" i="4"/>
  <c r="K43" i="4"/>
  <c r="K148" i="4"/>
  <c r="K78" i="4"/>
  <c r="K493" i="4"/>
  <c r="K86" i="4"/>
  <c r="K47" i="4"/>
  <c r="K227" i="4"/>
  <c r="P293" i="4"/>
  <c r="K293" i="4"/>
  <c r="K317" i="4"/>
  <c r="K542" i="4"/>
  <c r="K224" i="4"/>
  <c r="P150" i="4"/>
  <c r="K150" i="4"/>
  <c r="K356" i="4"/>
  <c r="K265" i="4"/>
  <c r="P265" i="4"/>
  <c r="P437" i="4"/>
  <c r="K437" i="4"/>
  <c r="K160" i="4"/>
  <c r="P160" i="4"/>
  <c r="P210" i="4"/>
  <c r="K210" i="4"/>
  <c r="P241" i="4"/>
  <c r="K241" i="4"/>
  <c r="K55" i="4"/>
  <c r="K468" i="4"/>
  <c r="K483" i="4"/>
  <c r="P483" i="4"/>
  <c r="K64" i="4"/>
  <c r="K335" i="4"/>
  <c r="K106" i="4"/>
  <c r="K115" i="4"/>
  <c r="P115" i="4"/>
  <c r="K519" i="4"/>
  <c r="K306" i="4"/>
  <c r="K15" i="4"/>
  <c r="P466" i="4"/>
  <c r="K466" i="4"/>
  <c r="P126" i="4"/>
  <c r="K126" i="4"/>
  <c r="K128" i="4"/>
  <c r="K203" i="4"/>
  <c r="P534" i="4"/>
  <c r="K534" i="4"/>
  <c r="K99" i="4"/>
  <c r="P478" i="4"/>
  <c r="K478" i="4"/>
  <c r="K461" i="4"/>
  <c r="K219" i="4"/>
  <c r="P243" i="4"/>
  <c r="K243" i="4"/>
  <c r="P536" i="4"/>
  <c r="K536" i="4"/>
  <c r="K132" i="4"/>
  <c r="K192" i="4"/>
  <c r="P192" i="4"/>
  <c r="P452" i="4"/>
  <c r="K452" i="4"/>
  <c r="K75" i="4"/>
  <c r="K526" i="4"/>
  <c r="K95" i="4"/>
  <c r="K515" i="4"/>
  <c r="K35" i="4"/>
  <c r="K456" i="4"/>
  <c r="K53" i="4"/>
  <c r="P545" i="4"/>
  <c r="R545" i="4" s="1"/>
  <c r="K545" i="4"/>
  <c r="P541" i="4"/>
  <c r="R541" i="4" s="1"/>
  <c r="K541" i="4"/>
  <c r="Y443" i="4"/>
  <c r="P443" i="4"/>
  <c r="K443" i="4"/>
  <c r="K216" i="4"/>
  <c r="P216" i="4"/>
  <c r="K495" i="4"/>
  <c r="P495" i="4"/>
  <c r="P364" i="4"/>
  <c r="K364" i="4"/>
  <c r="K517" i="4"/>
  <c r="K256" i="4"/>
  <c r="P256" i="4"/>
  <c r="P409" i="4"/>
  <c r="K409" i="4"/>
  <c r="K213" i="4"/>
  <c r="P213" i="4"/>
  <c r="P396" i="4"/>
  <c r="K396" i="4"/>
  <c r="K244" i="4"/>
  <c r="P244" i="4"/>
  <c r="K400" i="4"/>
  <c r="P506" i="4"/>
  <c r="K506" i="4"/>
  <c r="K163" i="4"/>
  <c r="P163" i="4"/>
  <c r="K353" i="4"/>
  <c r="P434" i="4"/>
  <c r="K434" i="4"/>
  <c r="K122" i="4"/>
  <c r="P122" i="4"/>
  <c r="K311" i="4"/>
  <c r="K286" i="4"/>
  <c r="P262" i="4"/>
  <c r="K262" i="4"/>
  <c r="K428" i="4"/>
  <c r="P135" i="4"/>
  <c r="K135" i="4"/>
  <c r="P372" i="4"/>
  <c r="K372" i="4"/>
  <c r="K119" i="4"/>
  <c r="P207" i="4"/>
  <c r="K207" i="4"/>
  <c r="P550" i="4"/>
  <c r="K550" i="4"/>
  <c r="K340" i="4"/>
  <c r="P473" i="4"/>
  <c r="K473" i="4"/>
  <c r="P328" i="4"/>
  <c r="K328" i="4"/>
  <c r="K242" i="4"/>
  <c r="P242" i="4"/>
  <c r="K121" i="4"/>
  <c r="K347" i="4"/>
  <c r="K359" i="4"/>
  <c r="K412" i="4"/>
  <c r="P250" i="4"/>
  <c r="K250" i="4"/>
  <c r="P392" i="4"/>
  <c r="K392" i="4"/>
  <c r="K450" i="4"/>
  <c r="P503" i="4"/>
  <c r="K503" i="4"/>
  <c r="K538" i="4"/>
  <c r="K102" i="4"/>
  <c r="K463" i="4"/>
  <c r="P308" i="4"/>
  <c r="K308" i="4"/>
  <c r="K200" i="4"/>
  <c r="K170" i="4"/>
  <c r="P170" i="4"/>
  <c r="P533" i="4"/>
  <c r="K533" i="4"/>
  <c r="K282" i="4"/>
  <c r="K355" i="4"/>
  <c r="K45" i="4"/>
  <c r="P472" i="4"/>
  <c r="K472" i="4"/>
  <c r="K385" i="4"/>
  <c r="K413" i="4"/>
  <c r="K358" i="4"/>
  <c r="P245" i="4"/>
  <c r="K245" i="4"/>
  <c r="K247" i="4"/>
  <c r="K21" i="4"/>
  <c r="Y59" i="4"/>
  <c r="K59" i="4"/>
  <c r="K549" i="4"/>
  <c r="P546" i="4"/>
  <c r="K546" i="4"/>
  <c r="P528" i="4"/>
  <c r="K528" i="4"/>
  <c r="P81" i="4"/>
  <c r="Q81" i="4" s="1"/>
  <c r="U81" i="4" s="1"/>
  <c r="K290" i="4"/>
  <c r="K386" i="4"/>
  <c r="K500" i="4"/>
  <c r="P438" i="4"/>
  <c r="K438" i="4"/>
  <c r="P190" i="4"/>
  <c r="Q190" i="4" s="1"/>
  <c r="U190" i="4" s="1"/>
  <c r="K190" i="4"/>
  <c r="K363" i="4"/>
  <c r="K511" i="4"/>
  <c r="K228" i="4"/>
  <c r="K33" i="4"/>
  <c r="K103" i="4"/>
  <c r="K169" i="4"/>
  <c r="P169" i="4"/>
  <c r="K32" i="4"/>
  <c r="K315" i="4"/>
  <c r="K273" i="4"/>
  <c r="K313" i="4"/>
  <c r="P313" i="4"/>
  <c r="K195" i="4"/>
  <c r="K419" i="4"/>
  <c r="K283" i="4"/>
  <c r="P397" i="4"/>
  <c r="K397" i="4"/>
  <c r="K113" i="4"/>
  <c r="K62" i="4"/>
  <c r="K251" i="4"/>
  <c r="P440" i="4"/>
  <c r="K440" i="4"/>
  <c r="K499" i="4"/>
  <c r="K253" i="4"/>
  <c r="P253" i="4"/>
  <c r="P537" i="4"/>
  <c r="K537" i="4"/>
  <c r="K101" i="4"/>
  <c r="P477" i="4"/>
  <c r="K477" i="4"/>
  <c r="P255" i="4"/>
  <c r="K255" i="4"/>
  <c r="K307" i="4"/>
  <c r="K334" i="4"/>
  <c r="K333" i="4"/>
  <c r="P484" i="4"/>
  <c r="K484" i="4"/>
  <c r="K345" i="4"/>
  <c r="K240" i="4"/>
  <c r="P240" i="4"/>
  <c r="Q240" i="4" s="1"/>
  <c r="U240" i="4" s="1"/>
  <c r="K187" i="4"/>
  <c r="P187" i="4"/>
  <c r="K54" i="4"/>
  <c r="K130" i="4"/>
  <c r="K509" i="4"/>
  <c r="K288" i="4"/>
  <c r="K462" i="4"/>
  <c r="K211" i="4"/>
  <c r="P211" i="4"/>
  <c r="K254" i="4"/>
  <c r="P254" i="4"/>
  <c r="K181" i="4"/>
  <c r="K362" i="4"/>
  <c r="Y7" i="4"/>
  <c r="K7" i="4"/>
  <c r="K425" i="4"/>
  <c r="Y429" i="4"/>
  <c r="K429" i="4"/>
  <c r="Y58" i="4"/>
  <c r="K58" i="4"/>
  <c r="P246" i="4"/>
  <c r="K246" i="4"/>
  <c r="P393" i="4"/>
  <c r="K393" i="4"/>
  <c r="P514" i="4"/>
  <c r="K514" i="4"/>
  <c r="K229" i="4"/>
  <c r="K42" i="4"/>
  <c r="P479" i="4"/>
  <c r="K479" i="4"/>
  <c r="P408" i="4"/>
  <c r="K408" i="4"/>
  <c r="K387" i="4"/>
  <c r="P312" i="4"/>
  <c r="K312" i="4"/>
  <c r="K156" i="4"/>
  <c r="K274" i="4"/>
  <c r="K110" i="4"/>
  <c r="P110" i="4"/>
  <c r="K197" i="4"/>
  <c r="K366" i="4"/>
  <c r="K294" i="4"/>
  <c r="K259" i="4"/>
  <c r="P259" i="4"/>
  <c r="K196" i="4"/>
  <c r="K379" i="4"/>
  <c r="K215" i="4"/>
  <c r="P215" i="4"/>
  <c r="Q215" i="4" s="1"/>
  <c r="U215" i="4" s="1"/>
  <c r="P329" i="4"/>
  <c r="K329" i="4"/>
  <c r="K233" i="4"/>
  <c r="K513" i="4"/>
  <c r="K82" i="4"/>
  <c r="P388" i="4"/>
  <c r="K388" i="4"/>
  <c r="K481" i="4"/>
  <c r="K416" i="4"/>
  <c r="K194" i="4"/>
  <c r="K287" i="4"/>
  <c r="K442" i="4"/>
  <c r="K324" i="4"/>
  <c r="K510" i="4"/>
  <c r="P217" i="4"/>
  <c r="K217" i="4"/>
  <c r="P492" i="4"/>
  <c r="Q492" i="4" s="1"/>
  <c r="U492" i="4" s="1"/>
  <c r="K492" i="4"/>
  <c r="K272" i="4"/>
  <c r="P272" i="4"/>
  <c r="K166" i="4"/>
  <c r="K238" i="4"/>
  <c r="K454" i="4"/>
  <c r="K512" i="4"/>
  <c r="P395" i="4"/>
  <c r="K395" i="4"/>
  <c r="P410" i="4"/>
  <c r="K410" i="4"/>
  <c r="P504" i="4"/>
  <c r="Q504" i="4" s="1"/>
  <c r="U504" i="4" s="1"/>
  <c r="K504" i="4"/>
  <c r="K414" i="4"/>
  <c r="K37" i="4"/>
  <c r="P322" i="4"/>
  <c r="K322" i="4"/>
  <c r="K239" i="4"/>
  <c r="P239" i="4"/>
  <c r="K276" i="4"/>
  <c r="P377" i="4"/>
  <c r="K377" i="4"/>
  <c r="K279" i="4"/>
  <c r="K40" i="4"/>
  <c r="K303" i="4"/>
  <c r="K24" i="4"/>
  <c r="Y76" i="4"/>
  <c r="K76" i="4"/>
  <c r="Y93" i="4"/>
  <c r="K93" i="4"/>
  <c r="Y61" i="4"/>
  <c r="K61" i="4"/>
  <c r="P61" i="4"/>
  <c r="Y87" i="4"/>
  <c r="P87" i="4"/>
  <c r="K87" i="4"/>
  <c r="K252" i="4"/>
  <c r="K402" i="4"/>
  <c r="K264" i="4"/>
  <c r="P264" i="4"/>
  <c r="K352" i="4"/>
  <c r="K291" i="4"/>
  <c r="K261" i="4"/>
  <c r="P261" i="4"/>
  <c r="K63" i="4"/>
  <c r="P485" i="4"/>
  <c r="K485" i="4"/>
  <c r="K351" i="4"/>
  <c r="P351" i="4"/>
  <c r="Q351" i="4" s="1"/>
  <c r="U351" i="4" s="1"/>
  <c r="K10" i="4"/>
  <c r="K20" i="4"/>
  <c r="K543" i="4"/>
  <c r="P543" i="4"/>
  <c r="K18" i="4"/>
  <c r="K94" i="4"/>
  <c r="K480" i="4"/>
  <c r="P178" i="4"/>
  <c r="K178" i="4"/>
  <c r="K143" i="4"/>
  <c r="K447" i="4"/>
  <c r="K305" i="4"/>
  <c r="K164" i="4"/>
  <c r="P164" i="4"/>
  <c r="P390" i="4"/>
  <c r="K390" i="4"/>
  <c r="K260" i="4"/>
  <c r="P260" i="4"/>
  <c r="P505" i="4"/>
  <c r="K505" i="4"/>
  <c r="P502" i="4"/>
  <c r="K502" i="4"/>
  <c r="K469" i="4"/>
  <c r="K193" i="4"/>
  <c r="K232" i="4"/>
  <c r="K403" i="4"/>
  <c r="P444" i="4"/>
  <c r="K444" i="4"/>
  <c r="K361" i="4"/>
  <c r="K236" i="4"/>
  <c r="K318" i="4"/>
  <c r="K77" i="4"/>
  <c r="P257" i="4"/>
  <c r="K257" i="4"/>
  <c r="K152" i="4"/>
  <c r="P522" i="4"/>
  <c r="K522" i="4"/>
  <c r="K423" i="4"/>
  <c r="P423" i="4"/>
  <c r="K445" i="4"/>
  <c r="K221" i="4"/>
  <c r="K292" i="4"/>
  <c r="P292" i="4"/>
  <c r="K235" i="4"/>
  <c r="K427" i="4"/>
  <c r="P476" i="4"/>
  <c r="K476" i="4"/>
  <c r="P436" i="4"/>
  <c r="K436" i="4"/>
  <c r="K399" i="4"/>
  <c r="P399" i="4"/>
  <c r="K165" i="4"/>
  <c r="P159" i="4"/>
  <c r="K159" i="4"/>
  <c r="K167" i="4"/>
  <c r="K433" i="4"/>
  <c r="K302" i="4"/>
  <c r="K96" i="4"/>
  <c r="Y92" i="4"/>
  <c r="K92" i="4"/>
  <c r="Y114" i="4"/>
  <c r="P114" i="4"/>
  <c r="K114" i="4"/>
  <c r="P547" i="4"/>
  <c r="Q547" i="4" s="1"/>
  <c r="U547" i="4" s="1"/>
  <c r="K547" i="4"/>
  <c r="AI1301" i="3"/>
  <c r="AI1368" i="3"/>
  <c r="AI443" i="3"/>
  <c r="AI1215" i="3"/>
  <c r="AI905" i="3"/>
  <c r="AI1219" i="3"/>
  <c r="AI1253" i="3"/>
  <c r="AI535" i="3"/>
  <c r="AI1231" i="3"/>
  <c r="AI1171" i="3"/>
  <c r="AI1297" i="3"/>
  <c r="AI1262" i="3"/>
  <c r="AI469" i="3"/>
  <c r="AI1261" i="3"/>
  <c r="AI1051" i="3"/>
  <c r="AI341" i="3"/>
  <c r="AI907" i="3"/>
  <c r="AI737" i="3"/>
  <c r="AI861" i="3"/>
  <c r="AI1345" i="3"/>
  <c r="AI1207" i="3"/>
  <c r="AI1062" i="3"/>
  <c r="AI1331" i="3"/>
  <c r="AI689" i="3"/>
  <c r="AI1025" i="3"/>
  <c r="AI515" i="3"/>
  <c r="AI849" i="3"/>
  <c r="AI441" i="3"/>
  <c r="AI107" i="3"/>
  <c r="AI1254" i="3"/>
  <c r="AI1291" i="3"/>
  <c r="AI1342" i="3"/>
  <c r="AI1304" i="3"/>
  <c r="AI343" i="3"/>
  <c r="AI1105" i="3"/>
  <c r="AI1225" i="3"/>
  <c r="AB2" i="3"/>
  <c r="AI1292" i="3"/>
  <c r="AI1063" i="3"/>
  <c r="AI1175" i="3"/>
  <c r="AI503" i="3"/>
  <c r="AI659" i="3"/>
  <c r="AI1217" i="3"/>
  <c r="AI1233" i="3"/>
  <c r="AI715" i="3"/>
  <c r="AI621" i="3"/>
  <c r="AI631" i="3"/>
  <c r="AI427" i="3"/>
  <c r="AI487" i="3"/>
  <c r="AI705" i="3"/>
  <c r="AI1255" i="3"/>
  <c r="AI625" i="3"/>
  <c r="AI1296" i="3"/>
  <c r="AI1060" i="3"/>
  <c r="AI1179" i="3"/>
  <c r="AI1077" i="3"/>
  <c r="AI1227" i="3"/>
  <c r="AI1366" i="3"/>
  <c r="AI1027" i="3"/>
  <c r="AI1235" i="3"/>
  <c r="AI1075" i="3"/>
  <c r="AI1140" i="3"/>
  <c r="AI100" i="3"/>
  <c r="AI1328" i="3"/>
  <c r="AI64" i="3"/>
  <c r="AI644" i="3"/>
  <c r="AI972" i="3"/>
  <c r="AI678" i="3"/>
  <c r="AI40" i="3"/>
  <c r="AI1310" i="3"/>
  <c r="AI1155" i="3"/>
  <c r="AI265" i="3"/>
  <c r="AI830" i="3"/>
  <c r="AI1139" i="3"/>
  <c r="AI358" i="3"/>
  <c r="AI500" i="3"/>
  <c r="AI592" i="3"/>
  <c r="AI321" i="3"/>
  <c r="AI354" i="3"/>
  <c r="AI1016" i="3"/>
  <c r="AI378" i="3"/>
  <c r="AI149" i="3"/>
  <c r="AI21" i="3"/>
  <c r="AI68" i="3"/>
  <c r="AI766" i="3"/>
  <c r="AI486" i="3"/>
  <c r="AI548" i="3"/>
  <c r="AI522" i="3"/>
  <c r="AI838" i="3"/>
  <c r="AI1153" i="3"/>
  <c r="AI658" i="3"/>
  <c r="AI1192" i="3"/>
  <c r="AI1130" i="3"/>
  <c r="AI214" i="3"/>
  <c r="AI279" i="3"/>
  <c r="AI1142" i="3"/>
  <c r="AI1166" i="3"/>
  <c r="AI1339" i="3"/>
  <c r="I4" i="4"/>
  <c r="Y187" i="4"/>
  <c r="Y57" i="4"/>
  <c r="Y184" i="4"/>
  <c r="Y123" i="4"/>
  <c r="Y185" i="4"/>
  <c r="Y68" i="4"/>
  <c r="Y132" i="4"/>
  <c r="Y29" i="4"/>
  <c r="Y35" i="4"/>
  <c r="Y111" i="4"/>
  <c r="Y60" i="4"/>
  <c r="Y21" i="4"/>
  <c r="Y96" i="4"/>
  <c r="Y302" i="4"/>
  <c r="Y425" i="4"/>
  <c r="Y48" i="4"/>
  <c r="Y12" i="4"/>
  <c r="Y24" i="4"/>
  <c r="Y69" i="4"/>
  <c r="Y427" i="4"/>
  <c r="Y424" i="4"/>
  <c r="Y53" i="4"/>
  <c r="Y410" i="4"/>
  <c r="Y95" i="4"/>
  <c r="Y23" i="4"/>
  <c r="Y131" i="4"/>
  <c r="Y63" i="4"/>
  <c r="Y433" i="4"/>
  <c r="Y303" i="4"/>
  <c r="Y456" i="4"/>
  <c r="Y411" i="4"/>
  <c r="Y98" i="4"/>
  <c r="Y122" i="4"/>
  <c r="Y94" i="4"/>
  <c r="Y186" i="4"/>
  <c r="Y30" i="4"/>
  <c r="Y9" i="4"/>
  <c r="Y79" i="4"/>
  <c r="Y40" i="4"/>
  <c r="Y89" i="4"/>
  <c r="AI273" i="3"/>
  <c r="AI762" i="3"/>
  <c r="AI436" i="3"/>
  <c r="AI156" i="3"/>
  <c r="AI185" i="3"/>
  <c r="AI894" i="3"/>
  <c r="AI220" i="3"/>
  <c r="AI970" i="3"/>
  <c r="AI620" i="3"/>
  <c r="AI403" i="3"/>
  <c r="AI986" i="3"/>
  <c r="AI1336" i="3"/>
  <c r="AI336" i="3"/>
  <c r="AI832" i="3"/>
  <c r="AI1313" i="3"/>
  <c r="AI952" i="3"/>
  <c r="AI432" i="3"/>
  <c r="AI257" i="3"/>
  <c r="AI84" i="3"/>
  <c r="Y75" i="4"/>
  <c r="AI788" i="3"/>
  <c r="AI413" i="3"/>
  <c r="AI409" i="3"/>
  <c r="AI940" i="3"/>
  <c r="AI58" i="3"/>
  <c r="AI1272" i="3"/>
  <c r="AI478" i="3"/>
  <c r="AI1014" i="3"/>
  <c r="AI584" i="3"/>
  <c r="AI169" i="3"/>
  <c r="AI86" i="3"/>
  <c r="AI263" i="3"/>
  <c r="AI458" i="3"/>
  <c r="AI269" i="3"/>
  <c r="AI101" i="3"/>
  <c r="AI780" i="3"/>
  <c r="AI236" i="3"/>
  <c r="AI115" i="3"/>
  <c r="AI1002" i="3"/>
  <c r="AI1170" i="3"/>
  <c r="AI878" i="3"/>
  <c r="AI642" i="3"/>
  <c r="AI251" i="3"/>
  <c r="AI834" i="3"/>
  <c r="AI968" i="3"/>
  <c r="AI310" i="3"/>
  <c r="AI275" i="3"/>
  <c r="AI1066" i="3"/>
  <c r="AI596" i="3"/>
  <c r="AI900" i="3"/>
  <c r="AI231" i="3"/>
  <c r="AI1074" i="3"/>
  <c r="AI774" i="3"/>
  <c r="AI95" i="3"/>
  <c r="AI254" i="3"/>
  <c r="AI712" i="3"/>
  <c r="AI1196" i="3"/>
  <c r="AI494" i="3"/>
  <c r="AI1034" i="3"/>
  <c r="AI934" i="3"/>
  <c r="AI534" i="3"/>
  <c r="AI670" i="3"/>
  <c r="AI1125" i="3"/>
  <c r="AI914" i="3"/>
  <c r="AI325" i="3"/>
  <c r="AI1131" i="3"/>
  <c r="AI724" i="3"/>
  <c r="AI1116" i="3"/>
  <c r="AI754" i="3"/>
  <c r="AI1000" i="3"/>
  <c r="AI426" i="3"/>
  <c r="AI338" i="3"/>
  <c r="AI1024" i="3"/>
  <c r="AI41" i="3"/>
  <c r="AI18" i="3"/>
  <c r="AI1082" i="3"/>
  <c r="AI844" i="3"/>
  <c r="AI662" i="3"/>
  <c r="AI210" i="3"/>
  <c r="AI1359" i="3"/>
  <c r="AI94" i="3"/>
  <c r="AI466" i="3"/>
  <c r="AI1128" i="3"/>
  <c r="AI57" i="3"/>
  <c r="AI554" i="3"/>
  <c r="AI276" i="3"/>
  <c r="AI964" i="3"/>
  <c r="AI980" i="3"/>
  <c r="AI1214" i="3"/>
  <c r="AI132" i="3"/>
  <c r="AI166" i="3"/>
  <c r="AI1080" i="3"/>
  <c r="AI44" i="3"/>
  <c r="AI958" i="3"/>
  <c r="AI776" i="3"/>
  <c r="AI61" i="3"/>
  <c r="AI734" i="3"/>
  <c r="AI524" i="3"/>
  <c r="AI36" i="3"/>
  <c r="AI782" i="3"/>
  <c r="AI624" i="3"/>
  <c r="AI284" i="3"/>
  <c r="AI928" i="3"/>
  <c r="AI1100" i="3"/>
  <c r="AI1360" i="3"/>
  <c r="AI237" i="3"/>
  <c r="AI860" i="3"/>
  <c r="Y16" i="4"/>
  <c r="AI301" i="3"/>
  <c r="AI840" i="3"/>
  <c r="AI858" i="3"/>
  <c r="AI83" i="3"/>
  <c r="AI233" i="3"/>
  <c r="AI196" i="3"/>
  <c r="AI996" i="3"/>
  <c r="AI221" i="3"/>
  <c r="AI272" i="3"/>
  <c r="AI1127" i="3"/>
  <c r="AI730" i="3"/>
  <c r="AI608" i="3"/>
  <c r="AI1319" i="3"/>
  <c r="AI1145" i="3"/>
  <c r="AI552" i="3"/>
  <c r="AI240" i="3"/>
  <c r="AI880" i="3"/>
  <c r="AI954" i="3"/>
  <c r="AI332" i="3"/>
  <c r="AI1202" i="3"/>
  <c r="AI1188" i="3"/>
  <c r="AI1174" i="3"/>
  <c r="AI114" i="3"/>
  <c r="AI300" i="3"/>
  <c r="AI37" i="3"/>
  <c r="AI836" i="3"/>
  <c r="AI752" i="3"/>
  <c r="AI846" i="3"/>
  <c r="AI510" i="3"/>
  <c r="AI942" i="3"/>
  <c r="AI520" i="3"/>
  <c r="AI4" i="3"/>
  <c r="AI594" i="3"/>
  <c r="AI152" i="3"/>
  <c r="AI502" i="3"/>
  <c r="AI1210" i="3"/>
  <c r="AI167" i="3"/>
  <c r="AI295" i="3"/>
  <c r="AI170" i="3"/>
  <c r="AI256" i="3"/>
  <c r="AI1356" i="3"/>
  <c r="AI982" i="3"/>
  <c r="AI652" i="3"/>
  <c r="AI43" i="3"/>
  <c r="AI281" i="3"/>
  <c r="AI1042" i="3"/>
  <c r="AI896" i="3"/>
  <c r="AI234" i="3"/>
  <c r="AI355" i="3"/>
  <c r="AI312" i="3"/>
  <c r="AI1030" i="3"/>
  <c r="AI556" i="3"/>
  <c r="AI129" i="3"/>
  <c r="AI288" i="3"/>
  <c r="AI1165" i="3"/>
  <c r="AI418" i="3"/>
  <c r="AI1184" i="3"/>
  <c r="AI1006" i="3"/>
  <c r="AI1311" i="3"/>
  <c r="AI438" i="3"/>
  <c r="AI334" i="3"/>
  <c r="AI1354" i="3"/>
  <c r="AI772" i="3"/>
  <c r="AI636" i="3"/>
  <c r="AI72" i="3"/>
  <c r="AI938" i="3"/>
  <c r="AI328" i="3"/>
  <c r="AI904" i="3"/>
  <c r="AI126" i="3"/>
  <c r="AI17" i="3"/>
  <c r="AI383" i="3"/>
  <c r="AI63" i="3"/>
  <c r="AI542" i="3"/>
  <c r="AI498" i="3"/>
  <c r="AI186" i="3"/>
  <c r="AI1321" i="3"/>
  <c r="AI1044" i="3"/>
  <c r="AI872" i="3"/>
  <c r="AI1290" i="3"/>
  <c r="AI164" i="3"/>
  <c r="AI786" i="3"/>
  <c r="AI50" i="3"/>
  <c r="AI876" i="3"/>
  <c r="AI400" i="3"/>
  <c r="AI1086" i="3"/>
  <c r="AI666" i="3"/>
  <c r="AI371" i="3"/>
  <c r="AI404" i="3"/>
  <c r="AI718" i="3"/>
  <c r="AI1314" i="3"/>
  <c r="AI540" i="3"/>
  <c r="AI946" i="3"/>
  <c r="AI213" i="3"/>
  <c r="AI145" i="3"/>
  <c r="AI526" i="3"/>
  <c r="AI211" i="3"/>
  <c r="AI130" i="3"/>
  <c r="AI189" i="3"/>
  <c r="AI726" i="3"/>
  <c r="AI339" i="3"/>
  <c r="AI576" i="3"/>
  <c r="AI714" i="3"/>
  <c r="AI262" i="3"/>
  <c r="AI1204" i="3"/>
  <c r="AI294" i="3"/>
  <c r="AI324" i="3"/>
  <c r="AI790" i="3"/>
  <c r="AI9" i="3"/>
  <c r="AI1190" i="3"/>
  <c r="AI173" i="3"/>
  <c r="AI1072" i="3"/>
  <c r="AI852" i="3"/>
  <c r="AI3" i="3"/>
  <c r="AI75" i="3"/>
  <c r="AI932" i="3"/>
  <c r="AI248" i="3"/>
  <c r="AI322" i="3"/>
  <c r="AI708" i="3"/>
  <c r="AI1114" i="3"/>
  <c r="AI250" i="3"/>
  <c r="AI390" i="3"/>
  <c r="AI1274" i="3"/>
  <c r="AI161" i="3"/>
  <c r="AI313" i="3"/>
  <c r="AI630" i="3"/>
  <c r="Y11" i="4"/>
  <c r="AI239" i="3"/>
  <c r="AI452" i="3"/>
  <c r="AI127" i="3"/>
  <c r="AI155" i="3"/>
  <c r="AI586" i="3"/>
  <c r="AI822" i="3"/>
  <c r="AI1284" i="3"/>
  <c r="AI848" i="3"/>
  <c r="AI634" i="3"/>
  <c r="AI920" i="3"/>
  <c r="AI606" i="3"/>
  <c r="AI60" i="3"/>
  <c r="AI1268" i="3"/>
  <c r="AI260" i="3"/>
  <c r="AI686" i="3"/>
  <c r="AI828" i="3"/>
  <c r="AI1252" i="3"/>
  <c r="AI562" i="3"/>
  <c r="AI1102" i="3"/>
  <c r="AI922" i="3"/>
  <c r="AI702" i="3"/>
  <c r="AI966" i="3"/>
  <c r="AI746" i="3"/>
  <c r="AI179" i="3"/>
  <c r="AI1186" i="3"/>
  <c r="AI1325" i="3"/>
  <c r="AI550" i="3"/>
  <c r="Y305" i="4"/>
  <c r="AI722" i="3"/>
  <c r="AI22" i="3"/>
  <c r="AI902" i="3"/>
  <c r="AI926" i="3"/>
  <c r="AI351" i="3"/>
  <c r="AI794" i="3"/>
  <c r="AI148" i="3"/>
  <c r="AI484" i="3"/>
  <c r="AI217" i="3"/>
  <c r="AI1146" i="3"/>
  <c r="AI826" i="3"/>
  <c r="AI87" i="3"/>
  <c r="AI327" i="3"/>
  <c r="AI230" i="3"/>
  <c r="AI401" i="3"/>
  <c r="AI574" i="3"/>
  <c r="AI69" i="3"/>
  <c r="AI638" i="3"/>
  <c r="AI259" i="3"/>
  <c r="AI532" i="3"/>
  <c r="AI319" i="3"/>
  <c r="AI710" i="3"/>
  <c r="AI1270" i="3"/>
  <c r="AI177" i="3"/>
  <c r="AI1352" i="3"/>
  <c r="AI698" i="3"/>
  <c r="AI990" i="3"/>
  <c r="AI472" i="3"/>
  <c r="AI207" i="3"/>
  <c r="AI614" i="3"/>
  <c r="AI1108" i="3"/>
  <c r="AI1122" i="3"/>
  <c r="AI824" i="3"/>
  <c r="AI546" i="3"/>
  <c r="AI924" i="3"/>
  <c r="AI176" i="3"/>
  <c r="AI285" i="3"/>
  <c r="AI1038" i="3"/>
  <c r="AI13" i="3"/>
  <c r="AI1046" i="3"/>
  <c r="AI316" i="3"/>
  <c r="AI612" i="3"/>
  <c r="AI720" i="3"/>
  <c r="AI944" i="3"/>
  <c r="AI76" i="3"/>
  <c r="AI282" i="3"/>
  <c r="AI842" i="3"/>
  <c r="AI792" i="3"/>
  <c r="AI1070" i="3"/>
  <c r="AI704" i="3"/>
  <c r="AI315" i="3"/>
  <c r="AI1008" i="3"/>
  <c r="AI49" i="3"/>
  <c r="AI728" i="3"/>
  <c r="AI948" i="3"/>
  <c r="AI916" i="3"/>
  <c r="AI664" i="3"/>
  <c r="AI898" i="3"/>
  <c r="AI474" i="3"/>
  <c r="AI984" i="3"/>
  <c r="AI270" i="3"/>
  <c r="AI1349" i="3"/>
  <c r="AI1124" i="3"/>
  <c r="AI1118" i="3"/>
  <c r="AI192" i="3"/>
  <c r="AI1098" i="3"/>
  <c r="AI750" i="3"/>
  <c r="AI1238" i="3"/>
  <c r="AI278" i="3"/>
  <c r="AI10" i="3"/>
  <c r="AI1120" i="3"/>
  <c r="AI1036" i="3"/>
  <c r="AI538" i="3"/>
  <c r="AI330" i="3"/>
  <c r="AI133" i="3"/>
  <c r="AI994" i="3"/>
  <c r="Y18" i="4"/>
  <c r="Y357" i="4"/>
  <c r="Y49" i="4"/>
  <c r="Y283" i="4"/>
  <c r="Y210" i="4"/>
  <c r="Y241" i="4"/>
  <c r="Y189" i="4"/>
  <c r="Y328" i="4"/>
  <c r="Y386" i="4"/>
  <c r="Y158" i="4"/>
  <c r="Y426" i="4"/>
  <c r="Y336" i="4"/>
  <c r="Y128" i="4"/>
  <c r="Y136" i="4"/>
  <c r="Y375" i="4"/>
  <c r="AI985" i="3"/>
  <c r="Y382" i="4"/>
  <c r="Y310" i="4"/>
  <c r="Y77" i="4"/>
  <c r="Y202" i="4"/>
  <c r="Y170" i="4"/>
  <c r="Y116" i="4"/>
  <c r="Y172" i="4"/>
  <c r="Y454" i="4"/>
  <c r="Y54" i="4"/>
  <c r="Y45" i="4"/>
  <c r="Y352" i="4"/>
  <c r="Y151" i="4"/>
  <c r="Y396" i="4"/>
  <c r="Y167" i="4"/>
  <c r="Y453" i="4"/>
  <c r="AI695" i="3"/>
  <c r="AI796" i="3"/>
  <c r="AI337" i="3"/>
  <c r="AI97" i="3"/>
  <c r="AI274" i="3"/>
  <c r="AI465" i="3"/>
  <c r="AI553" i="3"/>
  <c r="AI1081" i="3"/>
  <c r="AI1169" i="3"/>
  <c r="AI685" i="3"/>
  <c r="AI1213" i="3"/>
  <c r="AI1282" i="3"/>
  <c r="AI619" i="3"/>
  <c r="AI96" i="3"/>
  <c r="AI697" i="3"/>
  <c r="AI228" i="3"/>
  <c r="AI1057" i="3"/>
  <c r="AI308" i="3"/>
  <c r="AI1101" i="3"/>
  <c r="AI1023" i="3"/>
  <c r="AI709" i="3"/>
  <c r="AI999" i="3"/>
  <c r="AI711" i="3"/>
  <c r="AI933" i="3"/>
  <c r="AI35" i="3"/>
  <c r="AI268" i="3"/>
  <c r="AI323" i="3"/>
  <c r="Y206" i="4"/>
  <c r="Y350" i="4"/>
  <c r="Y120" i="4"/>
  <c r="Y384" i="4"/>
  <c r="Y148" i="4"/>
  <c r="Y326" i="4"/>
  <c r="Y78" i="4"/>
  <c r="Y86" i="4"/>
  <c r="Y47" i="4"/>
  <c r="Y161" i="4"/>
  <c r="Y50" i="4"/>
  <c r="Y412" i="4"/>
  <c r="Y229" i="4"/>
  <c r="Y223" i="4"/>
  <c r="Y260" i="4"/>
  <c r="Y42" i="4"/>
  <c r="Y270" i="4"/>
  <c r="Y261" i="4"/>
  <c r="Y394" i="4"/>
  <c r="Y279" i="4"/>
  <c r="Y33" i="4"/>
  <c r="AI1012" i="3"/>
  <c r="AI370" i="3"/>
  <c r="AI411" i="3"/>
  <c r="AI1084" i="3"/>
  <c r="Y199" i="4"/>
  <c r="Y218" i="4"/>
  <c r="Y129" i="4"/>
  <c r="Y383" i="4"/>
  <c r="Y248" i="4"/>
  <c r="Y134" i="4"/>
  <c r="Y56" i="4"/>
  <c r="Y449" i="4"/>
  <c r="Y259" i="4"/>
  <c r="Y220" i="4"/>
  <c r="Y340" i="4"/>
  <c r="Y209" i="4"/>
  <c r="Y242" i="4"/>
  <c r="Y300" i="4"/>
  <c r="Y41" i="4"/>
  <c r="Y164" i="4"/>
  <c r="Y416" i="4"/>
  <c r="Y102" i="4"/>
  <c r="Y104" i="4"/>
  <c r="Y99" i="4"/>
  <c r="Y364" i="4"/>
  <c r="Y266" i="4"/>
  <c r="Y231" i="4"/>
  <c r="Y182" i="4"/>
  <c r="Y345" i="4"/>
  <c r="Y219" i="4"/>
  <c r="Y204" i="4"/>
  <c r="Y423" i="4"/>
  <c r="Y130" i="4"/>
  <c r="Y295" i="4"/>
  <c r="Y385" i="4"/>
  <c r="Y368" i="4"/>
  <c r="Y413" i="4"/>
  <c r="Y239" i="4"/>
  <c r="Y278" i="4"/>
  <c r="Y181" i="4"/>
  <c r="AI123" i="3"/>
  <c r="AI590" i="3"/>
  <c r="AI545" i="3"/>
  <c r="AI549" i="3"/>
  <c r="AI417" i="3"/>
  <c r="AI1251" i="3"/>
  <c r="AI1152" i="3"/>
  <c r="AI1281" i="3"/>
  <c r="AI258" i="3"/>
  <c r="AI33" i="3"/>
  <c r="AI707" i="3"/>
  <c r="AI703" i="3"/>
  <c r="AI463" i="3"/>
  <c r="AI1197" i="3"/>
  <c r="AI823" i="3"/>
  <c r="AI1288" i="3"/>
  <c r="AI555" i="3"/>
  <c r="AI1195" i="3"/>
  <c r="AI831" i="3"/>
  <c r="AI525" i="3"/>
  <c r="AI993" i="3"/>
  <c r="AI1189" i="3"/>
  <c r="AI227" i="3"/>
  <c r="AI1173" i="3"/>
  <c r="AI951" i="3"/>
  <c r="Y376" i="4"/>
  <c r="Y252" i="4"/>
  <c r="Y156" i="4"/>
  <c r="Y212" i="4"/>
  <c r="Y400" i="4"/>
  <c r="Y291" i="4"/>
  <c r="Y163" i="4"/>
  <c r="Y353" i="4"/>
  <c r="Y381" i="4"/>
  <c r="Y434" i="4"/>
  <c r="Y227" i="4"/>
  <c r="Y293" i="4"/>
  <c r="Y253" i="4"/>
  <c r="Y337" i="4"/>
  <c r="Y306" i="4"/>
  <c r="Y334" i="4"/>
  <c r="Y418" i="4"/>
  <c r="Y65" i="4"/>
  <c r="Y71" i="4"/>
  <c r="AI14" i="3"/>
  <c r="AI1058" i="3"/>
  <c r="AI480" i="3"/>
  <c r="Y317" i="4"/>
  <c r="Y28" i="4"/>
  <c r="Y147" i="4"/>
  <c r="Y105" i="4"/>
  <c r="Y175" i="4"/>
  <c r="Y265" i="4"/>
  <c r="Y437" i="4"/>
  <c r="Y281" i="4"/>
  <c r="Y196" i="4"/>
  <c r="Y180" i="4"/>
  <c r="Y397" i="4"/>
  <c r="Y125" i="4"/>
  <c r="Y371" i="4"/>
  <c r="Y365" i="4"/>
  <c r="Y155" i="4"/>
  <c r="Y113" i="4"/>
  <c r="Y64" i="4"/>
  <c r="Y52" i="4"/>
  <c r="Y287" i="4"/>
  <c r="Y307" i="4"/>
  <c r="Y145" i="4"/>
  <c r="Y234" i="4"/>
  <c r="Y341" i="4"/>
  <c r="Y320" i="4"/>
  <c r="Y298" i="4"/>
  <c r="Y213" i="4"/>
  <c r="Y393" i="4"/>
  <c r="Y272" i="4"/>
  <c r="Y373" i="4"/>
  <c r="Y282" i="4"/>
  <c r="Y438" i="4"/>
  <c r="Y208" i="4"/>
  <c r="Y395" i="4"/>
  <c r="Y211" i="4"/>
  <c r="Y254" i="4"/>
  <c r="Y165" i="4"/>
  <c r="Y144" i="4"/>
  <c r="Y276" i="4"/>
  <c r="Y192" i="4"/>
  <c r="Y296" i="4"/>
  <c r="AI912" i="3"/>
  <c r="AI764" i="3"/>
  <c r="AI1198" i="3"/>
  <c r="AI1154" i="3"/>
  <c r="AI1032" i="3"/>
  <c r="AI798" i="3"/>
  <c r="AI496" i="3"/>
  <c r="AI1144" i="3"/>
  <c r="AI573" i="3"/>
  <c r="AI983" i="3"/>
  <c r="AI1286" i="3"/>
  <c r="AI245" i="3"/>
  <c r="AI611" i="3"/>
  <c r="AI497" i="3"/>
  <c r="AI551" i="3"/>
  <c r="AI713" i="3"/>
  <c r="AI723" i="3"/>
  <c r="AI1280" i="3"/>
  <c r="AI1056" i="3"/>
  <c r="AI727" i="3"/>
  <c r="AI1318" i="3"/>
  <c r="AI80" i="3"/>
  <c r="AI226" i="3"/>
  <c r="AI1053" i="3"/>
  <c r="AI98" i="3"/>
  <c r="AI81" i="3"/>
  <c r="AI519" i="3"/>
  <c r="Y256" i="4"/>
  <c r="Y277" i="4"/>
  <c r="Y244" i="4"/>
  <c r="Y83" i="4"/>
  <c r="Y420" i="4"/>
  <c r="Y169" i="4"/>
  <c r="Y154" i="4"/>
  <c r="Y32" i="4"/>
  <c r="Y315" i="4"/>
  <c r="Y409" i="4"/>
  <c r="Y82" i="4"/>
  <c r="Y230" i="4"/>
  <c r="Y237" i="4"/>
  <c r="Y250" i="4"/>
  <c r="Y405" i="4"/>
  <c r="Y392" i="4"/>
  <c r="Y369" i="4"/>
  <c r="Y118" i="4"/>
  <c r="Y346" i="4"/>
  <c r="Y80" i="4"/>
  <c r="Y84" i="4"/>
  <c r="Y311" i="4"/>
  <c r="Y389" i="4"/>
  <c r="Y286" i="4"/>
  <c r="Y224" i="4"/>
  <c r="Y150" i="4"/>
  <c r="Y401" i="4"/>
  <c r="Y327" i="4"/>
  <c r="Y285" i="4"/>
  <c r="Y372" i="4"/>
  <c r="Y119" i="4"/>
  <c r="Y323" i="4"/>
  <c r="Y178" i="4"/>
  <c r="Y379" i="4"/>
  <c r="Y316" i="4"/>
  <c r="Y215" i="4"/>
  <c r="Y319" i="4"/>
  <c r="Y55" i="4"/>
  <c r="Y367" i="4"/>
  <c r="Y448" i="4"/>
  <c r="Y121" i="4"/>
  <c r="Y347" i="4"/>
  <c r="Y335" i="4"/>
  <c r="Y349" i="4"/>
  <c r="Y214" i="4"/>
  <c r="Y255" i="4"/>
  <c r="Y193" i="4"/>
  <c r="Y442" i="4"/>
  <c r="Y203" i="4"/>
  <c r="Y153" i="4"/>
  <c r="Y88" i="4"/>
  <c r="Y361" i="4"/>
  <c r="Y236" i="4"/>
  <c r="Y66" i="4"/>
  <c r="Y308" i="4"/>
  <c r="Y257" i="4"/>
  <c r="Y117" i="4"/>
  <c r="Y240" i="4"/>
  <c r="Y355" i="4"/>
  <c r="Y51" i="4"/>
  <c r="Y445" i="4"/>
  <c r="Y37" i="4"/>
  <c r="Y322" i="4"/>
  <c r="Y159" i="4"/>
  <c r="Y245" i="4"/>
  <c r="Y297" i="4"/>
  <c r="Y8" i="4"/>
  <c r="Y301" i="4"/>
  <c r="Y273" i="4"/>
  <c r="Y390" i="4"/>
  <c r="Y451" i="4"/>
  <c r="Y168" i="4"/>
  <c r="Y380" i="4"/>
  <c r="Y332" i="4"/>
  <c r="AI1099" i="3"/>
  <c r="Y403" i="4"/>
  <c r="Y324" i="4"/>
  <c r="Y72" i="4"/>
  <c r="Y34" i="4"/>
  <c r="Y179" i="4"/>
  <c r="Y221" i="4"/>
  <c r="Y201" i="4"/>
  <c r="Y288" i="4"/>
  <c r="Y452" i="4"/>
  <c r="AI575" i="3"/>
  <c r="AI733" i="3"/>
  <c r="AI1237" i="3"/>
  <c r="AI679" i="3"/>
  <c r="AI717" i="3"/>
  <c r="AI243" i="3"/>
  <c r="AI633" i="3"/>
  <c r="AI1357" i="3"/>
  <c r="AI629" i="3"/>
  <c r="AI541" i="3"/>
  <c r="AI62" i="3"/>
  <c r="AI5" i="3"/>
  <c r="AI1348" i="3"/>
  <c r="Y67" i="4"/>
  <c r="AI1334" i="3"/>
  <c r="Y313" i="4"/>
  <c r="Y195" i="4"/>
  <c r="Y262" i="4"/>
  <c r="Y428" i="4"/>
  <c r="Y290" i="4"/>
  <c r="Y356" i="4"/>
  <c r="Y331" i="4"/>
  <c r="Y160" i="4"/>
  <c r="Y198" i="4"/>
  <c r="Y360" i="4"/>
  <c r="Y143" i="4"/>
  <c r="Y70" i="4"/>
  <c r="Y447" i="4"/>
  <c r="Y112" i="4"/>
  <c r="Y222" i="4"/>
  <c r="Y309" i="4"/>
  <c r="Y62" i="4"/>
  <c r="Y251" i="4"/>
  <c r="Y216" i="4"/>
  <c r="Y15" i="4"/>
  <c r="Y194" i="4"/>
  <c r="Y271" i="4"/>
  <c r="Y232" i="4"/>
  <c r="Y439" i="4"/>
  <c r="Y246" i="4"/>
  <c r="Y455" i="4"/>
  <c r="Y13" i="4"/>
  <c r="AI677" i="3"/>
  <c r="Y263" i="4"/>
  <c r="Y217" i="4"/>
  <c r="Y149" i="4"/>
  <c r="Y333" i="4"/>
  <c r="Y249" i="4"/>
  <c r="Y146" i="4"/>
  <c r="Y166" i="4"/>
  <c r="Y228" i="4"/>
  <c r="Y436" i="4"/>
  <c r="Y399" i="4"/>
  <c r="Y362" i="4"/>
  <c r="AI311" i="3"/>
  <c r="AI523" i="3"/>
  <c r="AI874" i="3"/>
  <c r="AI604" i="3"/>
  <c r="AI1323" i="3"/>
  <c r="AI910" i="3"/>
  <c r="AI654" i="3"/>
  <c r="AI124" i="3"/>
  <c r="AI888" i="3"/>
  <c r="AI253" i="3"/>
  <c r="AI770" i="3"/>
  <c r="AI266" i="3"/>
  <c r="AI974" i="3"/>
  <c r="AI768" i="3"/>
  <c r="AI180" i="3"/>
  <c r="AI1327" i="3"/>
  <c r="AI151" i="3"/>
  <c r="AI950" i="3"/>
  <c r="AI744" i="3"/>
  <c r="AI1181" i="3"/>
  <c r="AI1054" i="3"/>
  <c r="AI45" i="3"/>
  <c r="AI224" i="3"/>
  <c r="AI1185" i="3"/>
  <c r="AI304" i="3"/>
  <c r="AI521" i="3"/>
  <c r="AI242" i="3"/>
  <c r="AI1324" i="3"/>
  <c r="AI154" i="3"/>
  <c r="AI537" i="3"/>
  <c r="AI1073" i="3"/>
  <c r="AI34" i="3"/>
  <c r="AI131" i="3"/>
  <c r="AI495" i="3"/>
  <c r="AI1326" i="3"/>
  <c r="AI1322" i="3"/>
  <c r="AI781" i="3"/>
  <c r="AI307" i="3"/>
  <c r="AI725" i="3"/>
  <c r="AI821" i="3"/>
  <c r="AI613" i="3"/>
  <c r="AI829" i="3"/>
  <c r="AI989" i="3"/>
  <c r="Y370" i="4"/>
  <c r="Y408" i="4"/>
  <c r="Y435" i="4"/>
  <c r="Y387" i="4"/>
  <c r="Y91" i="4"/>
  <c r="Y312" i="4"/>
  <c r="Y133" i="4"/>
  <c r="Y27" i="4"/>
  <c r="Y398" i="4"/>
  <c r="Y391" i="4"/>
  <c r="Y274" i="4"/>
  <c r="Y422" i="4"/>
  <c r="Y289" i="4"/>
  <c r="Y402" i="4"/>
  <c r="Y344" i="4"/>
  <c r="Y378" i="4"/>
  <c r="Y162" i="4"/>
  <c r="Y388" i="4"/>
  <c r="Y101" i="4"/>
  <c r="Y444" i="4"/>
  <c r="Y314" i="4"/>
  <c r="Y205" i="4"/>
  <c r="Y292" i="4"/>
  <c r="Y414" i="4"/>
  <c r="AI116" i="3"/>
  <c r="Y247" i="4"/>
  <c r="AI246" i="3"/>
  <c r="AI547" i="3"/>
  <c r="Y280" i="4"/>
  <c r="AI1010" i="3"/>
  <c r="Y110" i="4"/>
  <c r="Y197" i="4"/>
  <c r="Y366" i="4"/>
  <c r="Y404" i="4"/>
  <c r="Y419" i="4"/>
  <c r="Y421" i="4"/>
  <c r="Y135" i="4"/>
  <c r="Y157" i="4"/>
  <c r="Y294" i="4"/>
  <c r="Y354" i="4"/>
  <c r="Y207" i="4"/>
  <c r="Y348" i="4"/>
  <c r="Y188" i="4"/>
  <c r="Y225" i="4"/>
  <c r="Y275" i="4"/>
  <c r="Y269" i="4"/>
  <c r="Y329" i="4"/>
  <c r="Y330" i="4"/>
  <c r="Y233" i="4"/>
  <c r="Y440" i="4"/>
  <c r="Y450" i="4"/>
  <c r="Y446" i="4"/>
  <c r="Y126" i="4"/>
  <c r="AI517" i="3"/>
  <c r="Y267" i="4"/>
  <c r="Y177" i="4"/>
  <c r="Y363" i="4"/>
  <c r="Y264" i="4"/>
  <c r="Y5" i="4"/>
  <c r="Y318" i="4"/>
  <c r="Y200" i="4"/>
  <c r="Y152" i="4"/>
  <c r="Y238" i="4"/>
  <c r="Y243" i="4"/>
  <c r="Y183" i="4"/>
  <c r="Y268" i="4"/>
  <c r="Y284" i="4"/>
  <c r="Y358" i="4"/>
  <c r="Y176" i="4"/>
  <c r="Y377" i="4"/>
  <c r="AI957" i="3"/>
  <c r="AI539" i="3"/>
  <c r="AI1320" i="3"/>
  <c r="AI79" i="3"/>
  <c r="AI623" i="3"/>
  <c r="AI1351" i="3"/>
  <c r="AI1287" i="3"/>
  <c r="Y103" i="4"/>
  <c r="AI600" i="3"/>
  <c r="AI1136" i="3"/>
  <c r="AI1112" i="3"/>
  <c r="AI1182" i="3"/>
  <c r="AI602" i="3"/>
  <c r="AI1137" i="3"/>
  <c r="AI558" i="3"/>
  <c r="AI318" i="3"/>
  <c r="AI778" i="3"/>
  <c r="AI464" i="3"/>
  <c r="AI668" i="3"/>
  <c r="AI560" i="3"/>
  <c r="AI71" i="3"/>
  <c r="AI680" i="3"/>
  <c r="AI7" i="3"/>
  <c r="AI719" i="3"/>
  <c r="AI77" i="3"/>
  <c r="AI306" i="3"/>
  <c r="AI657" i="3"/>
  <c r="AI1355" i="3"/>
  <c r="AI1358" i="3"/>
  <c r="AI851" i="3"/>
  <c r="AI995" i="3"/>
  <c r="AI85" i="3"/>
  <c r="AI1065" i="3"/>
  <c r="AI1107" i="3"/>
  <c r="AI1183" i="3"/>
  <c r="AI1001" i="3"/>
  <c r="AI981" i="3"/>
  <c r="AI6" i="3"/>
  <c r="AI953" i="3"/>
  <c r="AI238" i="3"/>
  <c r="AI949" i="3"/>
  <c r="AI1071" i="3"/>
  <c r="AI425" i="3"/>
  <c r="AI1191" i="3"/>
  <c r="AI1079" i="3"/>
  <c r="AI721" i="3"/>
  <c r="AI729" i="3"/>
  <c r="AI46" i="3"/>
  <c r="Y351" i="4"/>
  <c r="Y10" i="4"/>
  <c r="Y226" i="4"/>
  <c r="Y85" i="4"/>
  <c r="Y127" i="4"/>
  <c r="Y174" i="4"/>
  <c r="Y171" i="4"/>
  <c r="Y20" i="4"/>
  <c r="Y415" i="4"/>
  <c r="Y359" i="4"/>
  <c r="Y106" i="4"/>
  <c r="Y115" i="4"/>
  <c r="Y325" i="4"/>
  <c r="Y417" i="4"/>
  <c r="Y258" i="4"/>
  <c r="Y321" i="4"/>
  <c r="Y299" i="4"/>
  <c r="Y191" i="4"/>
  <c r="Y190" i="4"/>
  <c r="Y235" i="4"/>
  <c r="AF8" i="3"/>
  <c r="AF296" i="3"/>
  <c r="AF399" i="3"/>
  <c r="AF461" i="3"/>
  <c r="AF557" i="3"/>
  <c r="AF785" i="3"/>
  <c r="AF869" i="3"/>
  <c r="AF893" i="3"/>
  <c r="AF917" i="3"/>
  <c r="AF929" i="3"/>
  <c r="AF941" i="3"/>
  <c r="AF1085" i="3"/>
  <c r="AF1109" i="3"/>
  <c r="AF1374" i="3"/>
  <c r="AF299" i="3"/>
  <c r="AF119" i="3"/>
  <c r="AF1243" i="3"/>
  <c r="AF1279" i="3"/>
  <c r="AF1315" i="3"/>
  <c r="AF48" i="3"/>
  <c r="AF451" i="3"/>
  <c r="AF559" i="3"/>
  <c r="AF787" i="3"/>
  <c r="AF871" i="3"/>
  <c r="AF895" i="3"/>
  <c r="AF919" i="3"/>
  <c r="AF931" i="3"/>
  <c r="AF943" i="3"/>
  <c r="AF1087" i="3"/>
  <c r="AF1376" i="3"/>
  <c r="AF453" i="3"/>
  <c r="AF789" i="3"/>
  <c r="AF873" i="3"/>
  <c r="AF885" i="3"/>
  <c r="AF897" i="3"/>
  <c r="AF909" i="3"/>
  <c r="AF921" i="3"/>
  <c r="AF945" i="3"/>
  <c r="AF1089" i="3"/>
  <c r="AF1162" i="3"/>
  <c r="AF1258" i="3"/>
  <c r="AF1649" i="3"/>
  <c r="AF264" i="3"/>
  <c r="AF99" i="3"/>
  <c r="AF277" i="3"/>
  <c r="AF423" i="3"/>
  <c r="AF925" i="3"/>
  <c r="AF939" i="3"/>
  <c r="AF1221" i="3"/>
  <c r="AF1285" i="3"/>
  <c r="AF1309" i="3"/>
  <c r="AF1247" i="3"/>
  <c r="AF1298" i="3"/>
  <c r="AF867" i="3"/>
  <c r="AF911" i="3"/>
  <c r="AF899" i="3"/>
  <c r="AF927" i="3"/>
  <c r="AF1223" i="3"/>
  <c r="AF457" i="3"/>
  <c r="AF913" i="3"/>
  <c r="AF1164" i="3"/>
  <c r="AF1249" i="3"/>
  <c r="AF1312" i="3"/>
  <c r="AF1201" i="3"/>
  <c r="AF875" i="3"/>
  <c r="AF1203" i="3"/>
  <c r="AF1265" i="3"/>
  <c r="AF255" i="3"/>
  <c r="AF455" i="3"/>
  <c r="AF901" i="3"/>
  <c r="AF340" i="3"/>
  <c r="AF887" i="3"/>
  <c r="AF915" i="3"/>
  <c r="AF947" i="3"/>
  <c r="AF1067" i="3"/>
  <c r="AF903" i="3"/>
  <c r="AF314" i="3"/>
  <c r="AF877" i="3"/>
  <c r="AF1293" i="3"/>
  <c r="AF1245" i="3"/>
  <c r="AF244" i="3"/>
  <c r="AF419" i="3"/>
  <c r="AF459" i="3"/>
  <c r="AF1126" i="3"/>
  <c r="AF1241" i="3"/>
  <c r="AF1333" i="3"/>
  <c r="AF1083" i="3"/>
  <c r="AF317" i="3"/>
  <c r="AF405" i="3"/>
  <c r="AF421" i="3"/>
  <c r="AF791" i="3"/>
  <c r="AF879" i="3"/>
  <c r="AF923" i="3"/>
  <c r="AF937" i="3"/>
  <c r="AF1370" i="3"/>
  <c r="AF865" i="3"/>
  <c r="R710" i="4"/>
  <c r="Y501" i="4"/>
  <c r="Y545" i="4"/>
  <c r="Y477" i="4"/>
  <c r="Y506" i="4"/>
  <c r="Y485" i="4"/>
  <c r="Y471" i="4"/>
  <c r="Y537" i="4"/>
  <c r="Y502" i="4"/>
  <c r="Y476" i="4"/>
  <c r="Y473" i="4"/>
  <c r="Y483" i="4"/>
  <c r="Y532" i="4"/>
  <c r="Y487" i="4"/>
  <c r="Y535" i="4"/>
  <c r="Y514" i="4"/>
  <c r="Y541" i="4"/>
  <c r="Y505" i="4"/>
  <c r="Y478" i="4"/>
  <c r="Y550" i="4"/>
  <c r="Y488" i="4"/>
  <c r="Y527" i="4"/>
  <c r="Y474" i="4"/>
  <c r="Y546" i="4"/>
  <c r="Y522" i="4"/>
  <c r="Y540" i="4"/>
  <c r="Y507" i="4"/>
  <c r="Y521" i="4"/>
  <c r="Y486" i="4"/>
  <c r="Y503" i="4"/>
  <c r="Y475" i="4"/>
  <c r="Y492" i="4"/>
  <c r="Y458" i="4"/>
  <c r="Y457" i="4"/>
  <c r="Y544" i="4"/>
  <c r="Y498" i="4"/>
  <c r="Y470" i="4"/>
  <c r="Y497" i="4"/>
  <c r="Y504" i="4"/>
  <c r="Y543" i="4"/>
  <c r="Y529" i="4"/>
  <c r="Y466" i="4"/>
  <c r="Y484" i="4"/>
  <c r="Y467" i="4"/>
  <c r="Y459" i="4"/>
  <c r="Y508" i="4"/>
  <c r="Y547" i="4"/>
  <c r="T313" i="4"/>
  <c r="T430" i="4"/>
  <c r="T441" i="4"/>
  <c r="T323" i="4"/>
  <c r="T501" i="4"/>
  <c r="T339" i="4"/>
  <c r="T218" i="4"/>
  <c r="T133" i="4"/>
  <c r="T189" i="4"/>
  <c r="T444" i="4"/>
  <c r="T271" i="4"/>
  <c r="T343" i="4"/>
  <c r="T365" i="4"/>
  <c r="T377" i="4"/>
  <c r="T453" i="4"/>
  <c r="T434" i="4"/>
  <c r="T150" i="4"/>
  <c r="T240" i="4"/>
  <c r="T312" i="4"/>
  <c r="T141" i="4"/>
  <c r="T398" i="4"/>
  <c r="T545" i="4"/>
  <c r="T179" i="4"/>
  <c r="T388" i="4"/>
  <c r="T477" i="4"/>
  <c r="T373" i="4"/>
  <c r="T485" i="4"/>
  <c r="T243" i="4"/>
  <c r="T170" i="4"/>
  <c r="T263" i="4"/>
  <c r="T257" i="4"/>
  <c r="T449" i="4"/>
  <c r="T409" i="4"/>
  <c r="T372" i="4"/>
  <c r="T364" i="4"/>
  <c r="T191" i="4"/>
  <c r="T448" i="4"/>
  <c r="T439" i="4"/>
  <c r="T104" i="4"/>
  <c r="T399" i="4"/>
  <c r="T261" i="4"/>
  <c r="T537" i="4"/>
  <c r="T502" i="4"/>
  <c r="T178" i="4"/>
  <c r="T392" i="4"/>
  <c r="T476" i="4"/>
  <c r="T473" i="4"/>
  <c r="T81" i="4"/>
  <c r="T239" i="4"/>
  <c r="T159" i="4"/>
  <c r="T256" i="4"/>
  <c r="T483" i="4"/>
  <c r="T395" i="4"/>
  <c r="T254" i="4"/>
  <c r="T262" i="4"/>
  <c r="T215" i="4"/>
  <c r="T471" i="4"/>
  <c r="T532" i="4"/>
  <c r="T71" i="4"/>
  <c r="T214" i="4"/>
  <c r="T487" i="4"/>
  <c r="T535" i="4"/>
  <c r="T177" i="4"/>
  <c r="T322" i="4"/>
  <c r="T142" i="4"/>
  <c r="T139" i="4"/>
  <c r="T292" i="4"/>
  <c r="T514" i="4"/>
  <c r="T145" i="4"/>
  <c r="T115" i="4"/>
  <c r="T212" i="4"/>
  <c r="T74" i="4"/>
  <c r="T328" i="4"/>
  <c r="T154" i="4"/>
  <c r="T250" i="4"/>
  <c r="T426" i="4"/>
  <c r="T436" i="4"/>
  <c r="T231" i="4"/>
  <c r="T478" i="4"/>
  <c r="T396" i="4"/>
  <c r="T550" i="4"/>
  <c r="T169" i="4"/>
  <c r="T488" i="4"/>
  <c r="T241" i="4"/>
  <c r="T406" i="4"/>
  <c r="T51" i="4"/>
  <c r="T216" i="4"/>
  <c r="T391" i="4"/>
  <c r="T138" i="4"/>
  <c r="T527" i="4"/>
  <c r="T209" i="4"/>
  <c r="T351" i="4"/>
  <c r="T245" i="4"/>
  <c r="T474" i="4"/>
  <c r="T114" i="4"/>
  <c r="T546" i="4"/>
  <c r="T268" i="4"/>
  <c r="T176" i="4"/>
  <c r="T163" i="4"/>
  <c r="T52" i="4"/>
  <c r="T255" i="4"/>
  <c r="T188" i="4"/>
  <c r="T376" i="4"/>
  <c r="T269" i="4"/>
  <c r="T116" i="4"/>
  <c r="T507" i="4"/>
  <c r="T110" i="4"/>
  <c r="T149" i="4"/>
  <c r="T85" i="4"/>
  <c r="T308" i="4"/>
  <c r="T164" i="4"/>
  <c r="T39" i="4"/>
  <c r="T38" i="4"/>
  <c r="T258" i="4"/>
  <c r="T486" i="4"/>
  <c r="T503" i="4"/>
  <c r="T452" i="4"/>
  <c r="T475" i="4"/>
  <c r="T394" i="4"/>
  <c r="T492" i="4"/>
  <c r="T407" i="4"/>
  <c r="T208" i="4"/>
  <c r="T458" i="4"/>
  <c r="T457" i="4"/>
  <c r="T46" i="4"/>
  <c r="T390" i="4"/>
  <c r="T293" i="4"/>
  <c r="T422" i="4"/>
  <c r="T172" i="4"/>
  <c r="T137" i="4"/>
  <c r="T171" i="4"/>
  <c r="T544" i="4"/>
  <c r="T264" i="4"/>
  <c r="T309" i="4"/>
  <c r="T397" i="4"/>
  <c r="T270" i="4"/>
  <c r="T244" i="4"/>
  <c r="T213" i="4"/>
  <c r="T190" i="4"/>
  <c r="T266" i="4"/>
  <c r="T389" i="4"/>
  <c r="T437" i="4"/>
  <c r="T504" i="4"/>
  <c r="T543" i="4"/>
  <c r="T246" i="4"/>
  <c r="T210" i="4"/>
  <c r="T211" i="4"/>
  <c r="T242" i="4"/>
  <c r="T529" i="4"/>
  <c r="T162" i="4"/>
  <c r="T146" i="4"/>
  <c r="T267" i="4"/>
  <c r="T484" i="4"/>
  <c r="T375" i="4"/>
  <c r="T338" i="4"/>
  <c r="T217" i="4"/>
  <c r="T459" i="4"/>
  <c r="T508" i="4"/>
  <c r="T140" i="4"/>
  <c r="T547" i="4"/>
  <c r="T423" i="4"/>
  <c r="T174" i="4"/>
  <c r="C7" i="15"/>
  <c r="D7" i="15" s="1"/>
  <c r="C5" i="15"/>
  <c r="C6" i="15"/>
  <c r="D6" i="15" s="1"/>
  <c r="AH1913" i="3" l="1"/>
  <c r="AG1913" i="3"/>
  <c r="AH1956" i="3"/>
  <c r="AG1956" i="3"/>
  <c r="Q178" i="4"/>
  <c r="U178" i="4" s="1"/>
  <c r="Q473" i="4"/>
  <c r="U473" i="4" s="1"/>
  <c r="Q293" i="4"/>
  <c r="U293" i="4" s="1"/>
  <c r="Q292" i="4"/>
  <c r="U292" i="4" s="1"/>
  <c r="Q537" i="4"/>
  <c r="U537" i="4" s="1"/>
  <c r="Q239" i="4"/>
  <c r="U239" i="4" s="1"/>
  <c r="Q308" i="4"/>
  <c r="U308" i="4" s="1"/>
  <c r="Q437" i="4"/>
  <c r="U437" i="4" s="1"/>
  <c r="Q439" i="4"/>
  <c r="U439" i="4" s="1"/>
  <c r="Q159" i="4"/>
  <c r="U159" i="4" s="1"/>
  <c r="Q484" i="4"/>
  <c r="U484" i="4" s="1"/>
  <c r="Q550" i="4"/>
  <c r="U550" i="4" s="1"/>
  <c r="Q483" i="4"/>
  <c r="U483" i="4" s="1"/>
  <c r="Q453" i="4"/>
  <c r="U453" i="4" s="1"/>
  <c r="Q154" i="4"/>
  <c r="U154" i="4" s="1"/>
  <c r="Q475" i="4"/>
  <c r="U475" i="4" s="1"/>
  <c r="Q543" i="4"/>
  <c r="U543" i="4" s="1"/>
  <c r="Q146" i="4"/>
  <c r="U146" i="4" s="1"/>
  <c r="Q535" i="4"/>
  <c r="U535" i="4" s="1"/>
  <c r="Q514" i="4"/>
  <c r="U514" i="4" s="1"/>
  <c r="Q313" i="4"/>
  <c r="U313" i="4" s="1"/>
  <c r="Q176" i="4"/>
  <c r="U176" i="4" s="1"/>
  <c r="Q213" i="4"/>
  <c r="U213" i="4" s="1"/>
  <c r="Q508" i="4"/>
  <c r="U508" i="4" s="1"/>
  <c r="Q150" i="4"/>
  <c r="U150" i="4" s="1"/>
  <c r="Q436" i="4"/>
  <c r="U436" i="4" s="1"/>
  <c r="Q241" i="4"/>
  <c r="U241" i="4" s="1"/>
  <c r="Q376" i="4"/>
  <c r="U376" i="4" s="1"/>
  <c r="Q501" i="4"/>
  <c r="U501" i="4" s="1"/>
  <c r="Q309" i="4"/>
  <c r="U309" i="4" s="1"/>
  <c r="Q246" i="4"/>
  <c r="U246" i="4" s="1"/>
  <c r="AA533" i="4"/>
  <c r="Q478" i="4"/>
  <c r="U478" i="4" s="1"/>
  <c r="Q191" i="4"/>
  <c r="U191" i="4" s="1"/>
  <c r="Q476" i="4"/>
  <c r="U476" i="4" s="1"/>
  <c r="Q477" i="4"/>
  <c r="U477" i="4" s="1"/>
  <c r="Q169" i="4"/>
  <c r="U169" i="4" s="1"/>
  <c r="Q170" i="4"/>
  <c r="U170" i="4" s="1"/>
  <c r="Q328" i="4"/>
  <c r="U328" i="4" s="1"/>
  <c r="Q452" i="4"/>
  <c r="U452" i="4" s="1"/>
  <c r="Q115" i="4"/>
  <c r="U115" i="4" s="1"/>
  <c r="Q162" i="4"/>
  <c r="U162" i="4" s="1"/>
  <c r="Q485" i="4"/>
  <c r="U485" i="4" s="1"/>
  <c r="Q373" i="4"/>
  <c r="U373" i="4" s="1"/>
  <c r="Q389" i="4"/>
  <c r="U389" i="4" s="1"/>
  <c r="Q388" i="4"/>
  <c r="U388" i="4" s="1"/>
  <c r="Q104" i="4"/>
  <c r="U104" i="4" s="1"/>
  <c r="Q395" i="4"/>
  <c r="U395" i="4" s="1"/>
  <c r="Q211" i="4"/>
  <c r="U211" i="4" s="1"/>
  <c r="Q171" i="4"/>
  <c r="U171" i="4" s="1"/>
  <c r="Q209" i="4"/>
  <c r="U209" i="4" s="1"/>
  <c r="Q39" i="4"/>
  <c r="U39" i="4" s="1"/>
  <c r="Q189" i="4"/>
  <c r="U189" i="4" s="1"/>
  <c r="Q444" i="4"/>
  <c r="U444" i="4" s="1"/>
  <c r="Q208" i="4"/>
  <c r="U208" i="4" s="1"/>
  <c r="Q218" i="4"/>
  <c r="U218" i="4" s="1"/>
  <c r="Q394" i="4"/>
  <c r="U394" i="4" s="1"/>
  <c r="Q172" i="4"/>
  <c r="U172" i="4" s="1"/>
  <c r="Q532" i="4"/>
  <c r="U532" i="4" s="1"/>
  <c r="AA532" i="4"/>
  <c r="Q322" i="4"/>
  <c r="U322" i="4" s="1"/>
  <c r="Q145" i="4"/>
  <c r="U145" i="4" s="1"/>
  <c r="Y4" i="4"/>
  <c r="Q257" i="4"/>
  <c r="U257" i="4" s="1"/>
  <c r="Q263" i="4"/>
  <c r="U263" i="4" s="1"/>
  <c r="Q261" i="4"/>
  <c r="U261" i="4" s="1"/>
  <c r="Q262" i="4"/>
  <c r="U262" i="4" s="1"/>
  <c r="Q448" i="4"/>
  <c r="U448" i="4" s="1"/>
  <c r="Q264" i="4"/>
  <c r="U264" i="4" s="1"/>
  <c r="Q268" i="4"/>
  <c r="U268" i="4" s="1"/>
  <c r="Q271" i="4"/>
  <c r="U271" i="4" s="1"/>
  <c r="R87" i="4"/>
  <c r="Q87" i="4"/>
  <c r="U87" i="4" s="1"/>
  <c r="R392" i="4"/>
  <c r="Q392" i="4"/>
  <c r="U392" i="4" s="1"/>
  <c r="R135" i="4"/>
  <c r="Q135" i="4"/>
  <c r="R256" i="4"/>
  <c r="Q256" i="4"/>
  <c r="U256" i="4" s="1"/>
  <c r="R210" i="4"/>
  <c r="Q210" i="4"/>
  <c r="U210" i="4" s="1"/>
  <c r="R133" i="4"/>
  <c r="Q133" i="4"/>
  <c r="U133" i="4" s="1"/>
  <c r="R507" i="4"/>
  <c r="Q507" i="4"/>
  <c r="U507" i="4" s="1"/>
  <c r="R497" i="4"/>
  <c r="Q497" i="4"/>
  <c r="R471" i="4"/>
  <c r="Q471" i="4"/>
  <c r="U471" i="4" s="1"/>
  <c r="R502" i="4"/>
  <c r="Q502" i="4"/>
  <c r="U502" i="4" s="1"/>
  <c r="R410" i="4"/>
  <c r="Q410" i="4"/>
  <c r="R217" i="4"/>
  <c r="Q217" i="4"/>
  <c r="U217" i="4" s="1"/>
  <c r="R408" i="4"/>
  <c r="Q408" i="4"/>
  <c r="U408" i="4" s="1"/>
  <c r="R397" i="4"/>
  <c r="Q397" i="4"/>
  <c r="U397" i="4" s="1"/>
  <c r="R245" i="4"/>
  <c r="Q245" i="4"/>
  <c r="U245" i="4" s="1"/>
  <c r="R192" i="4"/>
  <c r="Q192" i="4"/>
  <c r="U192" i="4" s="1"/>
  <c r="R160" i="4"/>
  <c r="Q160" i="4"/>
  <c r="U160" i="4" s="1"/>
  <c r="R44" i="4"/>
  <c r="Q44" i="4"/>
  <c r="U44" i="4" s="1"/>
  <c r="R323" i="4"/>
  <c r="Q323" i="4"/>
  <c r="U323" i="4" s="1"/>
  <c r="R134" i="4"/>
  <c r="Q134" i="4"/>
  <c r="U134" i="4" s="1"/>
  <c r="R212" i="4"/>
  <c r="Q212" i="4"/>
  <c r="U212" i="4" s="1"/>
  <c r="R411" i="4"/>
  <c r="Q411" i="4"/>
  <c r="R149" i="4"/>
  <c r="Q149" i="4"/>
  <c r="U149" i="4" s="1"/>
  <c r="R61" i="4"/>
  <c r="Q61" i="4"/>
  <c r="U61" i="4" s="1"/>
  <c r="R377" i="4"/>
  <c r="Q377" i="4"/>
  <c r="U377" i="4" s="1"/>
  <c r="R254" i="4"/>
  <c r="Q254" i="4"/>
  <c r="U254" i="4" s="1"/>
  <c r="R250" i="4"/>
  <c r="Q250" i="4"/>
  <c r="U250" i="4" s="1"/>
  <c r="R506" i="4"/>
  <c r="Q506" i="4"/>
  <c r="R534" i="4"/>
  <c r="Q534" i="4"/>
  <c r="U534" i="4" s="1"/>
  <c r="R85" i="4"/>
  <c r="Q85" i="4"/>
  <c r="U85" i="4" s="1"/>
  <c r="R136" i="4"/>
  <c r="Q136" i="4"/>
  <c r="R52" i="4"/>
  <c r="Q52" i="4"/>
  <c r="U52" i="4" s="1"/>
  <c r="R161" i="4"/>
  <c r="Q161" i="4"/>
  <c r="U161" i="4" s="1"/>
  <c r="R459" i="4"/>
  <c r="Q459" i="4"/>
  <c r="U459" i="4" s="1"/>
  <c r="R249" i="4"/>
  <c r="Q249" i="4"/>
  <c r="U249" i="4" s="1"/>
  <c r="R214" i="4"/>
  <c r="Q214" i="4"/>
  <c r="U214" i="4" s="1"/>
  <c r="R505" i="4"/>
  <c r="Q505" i="4"/>
  <c r="R479" i="4"/>
  <c r="Q479" i="4"/>
  <c r="U479" i="4" s="1"/>
  <c r="R270" i="4"/>
  <c r="Q270" i="4"/>
  <c r="U270" i="4" s="1"/>
  <c r="R186" i="4"/>
  <c r="Q186" i="4"/>
  <c r="R474" i="4"/>
  <c r="Q474" i="4"/>
  <c r="U474" i="4" s="1"/>
  <c r="R260" i="4"/>
  <c r="Q260" i="4"/>
  <c r="U260" i="4" s="1"/>
  <c r="R253" i="4"/>
  <c r="Q253" i="4"/>
  <c r="U253" i="4" s="1"/>
  <c r="R528" i="4"/>
  <c r="Q528" i="4"/>
  <c r="U528" i="4" s="1"/>
  <c r="R244" i="4"/>
  <c r="Q244" i="4"/>
  <c r="U244" i="4" s="1"/>
  <c r="R364" i="4"/>
  <c r="Q364" i="4"/>
  <c r="U364" i="4" s="1"/>
  <c r="R179" i="4"/>
  <c r="Q179" i="4"/>
  <c r="U179" i="4" s="1"/>
  <c r="R267" i="4"/>
  <c r="Q267" i="4"/>
  <c r="U267" i="4" s="1"/>
  <c r="R123" i="4"/>
  <c r="Q123" i="4"/>
  <c r="V458" i="4"/>
  <c r="Q458" i="4"/>
  <c r="U458" i="4" s="1"/>
  <c r="R529" i="4"/>
  <c r="Q529" i="4"/>
  <c r="U529" i="4" s="1"/>
  <c r="R110" i="4"/>
  <c r="Q110" i="4"/>
  <c r="U110" i="4" s="1"/>
  <c r="R495" i="4"/>
  <c r="Q495" i="4"/>
  <c r="U495" i="4" s="1"/>
  <c r="R536" i="4"/>
  <c r="Q536" i="4"/>
  <c r="U536" i="4" s="1"/>
  <c r="R265" i="4"/>
  <c r="Q265" i="4"/>
  <c r="U265" i="4" s="1"/>
  <c r="R548" i="4"/>
  <c r="Q548" i="4"/>
  <c r="U548" i="4" s="1"/>
  <c r="R51" i="4"/>
  <c r="Q51" i="4"/>
  <c r="U51" i="4" s="1"/>
  <c r="R350" i="4"/>
  <c r="Q350" i="4"/>
  <c r="U350" i="4" s="1"/>
  <c r="R153" i="4"/>
  <c r="Q153" i="4"/>
  <c r="U153" i="4" s="1"/>
  <c r="R472" i="4"/>
  <c r="Q472" i="4"/>
  <c r="U472" i="4" s="1"/>
  <c r="R122" i="4"/>
  <c r="Q122" i="4"/>
  <c r="R126" i="4"/>
  <c r="Q126" i="4"/>
  <c r="R365" i="4"/>
  <c r="Q365" i="4"/>
  <c r="U365" i="4" s="1"/>
  <c r="R174" i="4"/>
  <c r="Q174" i="4"/>
  <c r="U174" i="4" s="1"/>
  <c r="R498" i="4"/>
  <c r="Q498" i="4"/>
  <c r="R231" i="4"/>
  <c r="Q231" i="4"/>
  <c r="U231" i="4" s="1"/>
  <c r="R177" i="4"/>
  <c r="Q177" i="4"/>
  <c r="U177" i="4" s="1"/>
  <c r="R259" i="4"/>
  <c r="Q259" i="4"/>
  <c r="U259" i="4" s="1"/>
  <c r="R551" i="4"/>
  <c r="Q551" i="4"/>
  <c r="U551" i="4" s="1"/>
  <c r="R399" i="4"/>
  <c r="Q399" i="4"/>
  <c r="U399" i="4" s="1"/>
  <c r="R423" i="4"/>
  <c r="Q423" i="4"/>
  <c r="U423" i="4" s="1"/>
  <c r="R390" i="4"/>
  <c r="Q390" i="4"/>
  <c r="U390" i="4" s="1"/>
  <c r="R329" i="4"/>
  <c r="Q329" i="4"/>
  <c r="U329" i="4" s="1"/>
  <c r="R207" i="4"/>
  <c r="Q207" i="4"/>
  <c r="U207" i="4" s="1"/>
  <c r="R396" i="4"/>
  <c r="Q396" i="4"/>
  <c r="U396" i="4" s="1"/>
  <c r="R216" i="4"/>
  <c r="Q216" i="4"/>
  <c r="U216" i="4" s="1"/>
  <c r="R243" i="4"/>
  <c r="Q243" i="4"/>
  <c r="U243" i="4" s="1"/>
  <c r="R486" i="4"/>
  <c r="Q486" i="4"/>
  <c r="U486" i="4" s="1"/>
  <c r="R374" i="4"/>
  <c r="Q374" i="4"/>
  <c r="U374" i="4" s="1"/>
  <c r="R491" i="4"/>
  <c r="Q491" i="4"/>
  <c r="U491" i="4" s="1"/>
  <c r="R467" i="4"/>
  <c r="Q467" i="4"/>
  <c r="R114" i="4"/>
  <c r="Q114" i="4"/>
  <c r="U114" i="4" s="1"/>
  <c r="R164" i="4"/>
  <c r="Q164" i="4"/>
  <c r="U164" i="4" s="1"/>
  <c r="R272" i="4"/>
  <c r="Q272" i="4"/>
  <c r="U272" i="4" s="1"/>
  <c r="R440" i="4"/>
  <c r="Q440" i="4"/>
  <c r="U440" i="4" s="1"/>
  <c r="R466" i="4"/>
  <c r="Q466" i="4"/>
  <c r="R184" i="4"/>
  <c r="Q184" i="4"/>
  <c r="R391" i="4"/>
  <c r="Q391" i="4"/>
  <c r="U391" i="4" s="1"/>
  <c r="R441" i="4"/>
  <c r="Q441" i="4"/>
  <c r="U441" i="4" s="1"/>
  <c r="R422" i="4"/>
  <c r="Q422" i="4"/>
  <c r="U422" i="4" s="1"/>
  <c r="R488" i="4"/>
  <c r="Q488" i="4"/>
  <c r="U488" i="4" s="1"/>
  <c r="R125" i="4"/>
  <c r="Q125" i="4"/>
  <c r="R269" i="4"/>
  <c r="Q269" i="4"/>
  <c r="U269" i="4" s="1"/>
  <c r="R393" i="4"/>
  <c r="Q393" i="4"/>
  <c r="U393" i="4" s="1"/>
  <c r="R503" i="4"/>
  <c r="Q503" i="4"/>
  <c r="U503" i="4" s="1"/>
  <c r="R242" i="4"/>
  <c r="Q242" i="4"/>
  <c r="U242" i="4" s="1"/>
  <c r="R434" i="4"/>
  <c r="Q434" i="4"/>
  <c r="U434" i="4" s="1"/>
  <c r="R188" i="4"/>
  <c r="Q188" i="4"/>
  <c r="U188" i="4" s="1"/>
  <c r="R258" i="4"/>
  <c r="Q258" i="4"/>
  <c r="U258" i="4" s="1"/>
  <c r="R185" i="4"/>
  <c r="Q185" i="4"/>
  <c r="R266" i="4"/>
  <c r="Q266" i="4"/>
  <c r="U266" i="4" s="1"/>
  <c r="R521" i="4"/>
  <c r="Q521" i="4"/>
  <c r="R67" i="4"/>
  <c r="Q67" i="4"/>
  <c r="U67" i="4" s="1"/>
  <c r="R71" i="4"/>
  <c r="Q71" i="4"/>
  <c r="U71" i="4" s="1"/>
  <c r="R496" i="4"/>
  <c r="Q496" i="4"/>
  <c r="U496" i="4" s="1"/>
  <c r="R522" i="4"/>
  <c r="Q522" i="4"/>
  <c r="R312" i="4"/>
  <c r="Q312" i="4"/>
  <c r="U312" i="4" s="1"/>
  <c r="R255" i="4"/>
  <c r="Q255" i="4"/>
  <c r="U255" i="4" s="1"/>
  <c r="R438" i="4"/>
  <c r="Q438" i="4"/>
  <c r="U438" i="4" s="1"/>
  <c r="R372" i="4"/>
  <c r="Q372" i="4"/>
  <c r="U372" i="4" s="1"/>
  <c r="R443" i="4"/>
  <c r="Q443" i="4"/>
  <c r="U443" i="4" s="1"/>
  <c r="R544" i="4"/>
  <c r="Q544" i="4"/>
  <c r="U544" i="4" s="1"/>
  <c r="R487" i="4"/>
  <c r="Q487" i="4"/>
  <c r="U487" i="4" s="1"/>
  <c r="R175" i="4"/>
  <c r="Q175" i="4"/>
  <c r="U175" i="4" s="1"/>
  <c r="R398" i="4"/>
  <c r="Q398" i="4"/>
  <c r="U398" i="4" s="1"/>
  <c r="R187" i="4"/>
  <c r="Q187" i="4"/>
  <c r="R533" i="4"/>
  <c r="Q533" i="4"/>
  <c r="U533" i="4" s="1"/>
  <c r="R163" i="4"/>
  <c r="Q163" i="4"/>
  <c r="U163" i="4" s="1"/>
  <c r="R409" i="4"/>
  <c r="Q409" i="4"/>
  <c r="U409" i="4" s="1"/>
  <c r="R455" i="4"/>
  <c r="Q455" i="4"/>
  <c r="U455" i="4" s="1"/>
  <c r="R230" i="4"/>
  <c r="Q230" i="4"/>
  <c r="U230" i="4" s="1"/>
  <c r="R426" i="4"/>
  <c r="Q426" i="4"/>
  <c r="U426" i="4" s="1"/>
  <c r="V170" i="4"/>
  <c r="R170" i="4"/>
  <c r="V449" i="4"/>
  <c r="W449" i="4" s="1"/>
  <c r="R449" i="4"/>
  <c r="V550" i="4"/>
  <c r="R550" i="4"/>
  <c r="V308" i="4"/>
  <c r="R308" i="4"/>
  <c r="V473" i="4"/>
  <c r="R473" i="4"/>
  <c r="V351" i="4"/>
  <c r="W351" i="4" s="1"/>
  <c r="R351" i="4"/>
  <c r="V395" i="4"/>
  <c r="R395" i="4"/>
  <c r="V376" i="4"/>
  <c r="R376" i="4"/>
  <c r="V240" i="4"/>
  <c r="W240" i="4" s="1"/>
  <c r="R240" i="4"/>
  <c r="V209" i="4"/>
  <c r="R209" i="4"/>
  <c r="V104" i="4"/>
  <c r="R104" i="4"/>
  <c r="V262" i="4"/>
  <c r="R262" i="4"/>
  <c r="V514" i="4"/>
  <c r="R514" i="4"/>
  <c r="V145" i="4"/>
  <c r="R145" i="4"/>
  <c r="V191" i="4"/>
  <c r="R191" i="4"/>
  <c r="V211" i="4"/>
  <c r="R211" i="4"/>
  <c r="V74" i="4"/>
  <c r="W74" i="4" s="1"/>
  <c r="R74" i="4"/>
  <c r="V457" i="4"/>
  <c r="W457" i="4" s="1"/>
  <c r="R457" i="4"/>
  <c r="V150" i="4"/>
  <c r="R150" i="4"/>
  <c r="V537" i="4"/>
  <c r="R537" i="4"/>
  <c r="V532" i="4"/>
  <c r="R532" i="4"/>
  <c r="V178" i="4"/>
  <c r="R178" i="4"/>
  <c r="V176" i="4"/>
  <c r="R176" i="4"/>
  <c r="V169" i="4"/>
  <c r="R169" i="4"/>
  <c r="V208" i="4"/>
  <c r="R208" i="4"/>
  <c r="V394" i="4"/>
  <c r="R394" i="4"/>
  <c r="V546" i="4"/>
  <c r="W546" i="4" s="1"/>
  <c r="R546" i="4"/>
  <c r="V268" i="4"/>
  <c r="R268" i="4"/>
  <c r="V453" i="4"/>
  <c r="R453" i="4"/>
  <c r="V483" i="4"/>
  <c r="R483" i="4"/>
  <c r="V437" i="4"/>
  <c r="R437" i="4"/>
  <c r="V501" i="4"/>
  <c r="R501" i="4"/>
  <c r="V388" i="4"/>
  <c r="R388" i="4"/>
  <c r="V292" i="4"/>
  <c r="R292" i="4"/>
  <c r="V309" i="4"/>
  <c r="R309" i="4"/>
  <c r="V246" i="4"/>
  <c r="R246" i="4"/>
  <c r="V261" i="4"/>
  <c r="R261" i="4"/>
  <c r="V81" i="4"/>
  <c r="W81" i="4" s="1"/>
  <c r="R81" i="4"/>
  <c r="V508" i="4"/>
  <c r="R508" i="4"/>
  <c r="V257" i="4"/>
  <c r="R257" i="4"/>
  <c r="V39" i="4"/>
  <c r="R39" i="4"/>
  <c r="V215" i="4"/>
  <c r="W215" i="4" s="1"/>
  <c r="R215" i="4"/>
  <c r="V448" i="4"/>
  <c r="R448" i="4"/>
  <c r="V189" i="4"/>
  <c r="R189" i="4"/>
  <c r="V543" i="4"/>
  <c r="R543" i="4"/>
  <c r="V322" i="4"/>
  <c r="R322" i="4"/>
  <c r="V263" i="4"/>
  <c r="R263" i="4"/>
  <c r="V313" i="4"/>
  <c r="R313" i="4"/>
  <c r="V218" i="4"/>
  <c r="R218" i="4"/>
  <c r="V475" i="4"/>
  <c r="R475" i="4"/>
  <c r="V535" i="4"/>
  <c r="R535" i="4"/>
  <c r="V239" i="4"/>
  <c r="R239" i="4"/>
  <c r="V172" i="4"/>
  <c r="R172" i="4"/>
  <c r="V444" i="4"/>
  <c r="R444" i="4"/>
  <c r="V190" i="4"/>
  <c r="W190" i="4" s="1"/>
  <c r="R190" i="4"/>
  <c r="V436" i="4"/>
  <c r="R436" i="4"/>
  <c r="V293" i="4"/>
  <c r="R293" i="4"/>
  <c r="V547" i="4"/>
  <c r="W547" i="4" s="1"/>
  <c r="R547" i="4"/>
  <c r="V328" i="4"/>
  <c r="R328" i="4"/>
  <c r="V476" i="4"/>
  <c r="R476" i="4"/>
  <c r="V439" i="4"/>
  <c r="R439" i="4"/>
  <c r="V375" i="4"/>
  <c r="W375" i="4" s="1"/>
  <c r="R375" i="4"/>
  <c r="V115" i="4"/>
  <c r="R115" i="4"/>
  <c r="V162" i="4"/>
  <c r="R162" i="4"/>
  <c r="V452" i="4"/>
  <c r="R452" i="4"/>
  <c r="V264" i="4"/>
  <c r="R264" i="4"/>
  <c r="V271" i="4"/>
  <c r="R271" i="4"/>
  <c r="V492" i="4"/>
  <c r="W492" i="4" s="1"/>
  <c r="R492" i="4"/>
  <c r="V485" i="4"/>
  <c r="R485" i="4"/>
  <c r="V527" i="4"/>
  <c r="W527" i="4" s="1"/>
  <c r="R527" i="4"/>
  <c r="V154" i="4"/>
  <c r="R154" i="4"/>
  <c r="V484" i="4"/>
  <c r="R484" i="4"/>
  <c r="V389" i="4"/>
  <c r="R389" i="4"/>
  <c r="V213" i="4"/>
  <c r="R213" i="4"/>
  <c r="V241" i="4"/>
  <c r="R241" i="4"/>
  <c r="V478" i="4"/>
  <c r="R478" i="4"/>
  <c r="V146" i="4"/>
  <c r="R146" i="4"/>
  <c r="V116" i="4"/>
  <c r="W116" i="4" s="1"/>
  <c r="R116" i="4"/>
  <c r="V171" i="4"/>
  <c r="R171" i="4"/>
  <c r="V477" i="4"/>
  <c r="R477" i="4"/>
  <c r="V504" i="4"/>
  <c r="W504" i="4" s="1"/>
  <c r="R504" i="4"/>
  <c r="V159" i="4"/>
  <c r="R159" i="4"/>
  <c r="V373" i="4"/>
  <c r="R373" i="4"/>
  <c r="V114" i="4"/>
  <c r="V441" i="4"/>
  <c r="V254" i="4"/>
  <c r="V179" i="4"/>
  <c r="V545" i="4"/>
  <c r="W545" i="4" s="1"/>
  <c r="V188" i="4"/>
  <c r="V459" i="4"/>
  <c r="V250" i="4"/>
  <c r="V396" i="4"/>
  <c r="V51" i="4"/>
  <c r="V544" i="4"/>
  <c r="V177" i="4"/>
  <c r="V71" i="4"/>
  <c r="V399" i="4"/>
  <c r="V529" i="4"/>
  <c r="V507" i="4"/>
  <c r="V214" i="4"/>
  <c r="V110" i="4"/>
  <c r="V423" i="4"/>
  <c r="V52" i="4"/>
  <c r="V255" i="4"/>
  <c r="V242" i="4"/>
  <c r="V85" i="4"/>
  <c r="V256" i="4"/>
  <c r="V244" i="4"/>
  <c r="V149" i="4"/>
  <c r="V474" i="4"/>
  <c r="V270" i="4"/>
  <c r="V269" i="4"/>
  <c r="V216" i="4"/>
  <c r="V217" i="4"/>
  <c r="V163" i="4"/>
  <c r="V364" i="4"/>
  <c r="V397" i="4"/>
  <c r="V486" i="4"/>
  <c r="V174" i="4"/>
  <c r="V245" i="4"/>
  <c r="V133" i="4"/>
  <c r="V398" i="4"/>
  <c r="V422" i="4"/>
  <c r="V392" i="4"/>
  <c r="V164" i="4"/>
  <c r="V488" i="4"/>
  <c r="V243" i="4"/>
  <c r="V409" i="4"/>
  <c r="V267" i="4"/>
  <c r="V434" i="4"/>
  <c r="V503" i="4"/>
  <c r="V312" i="4"/>
  <c r="V502" i="4"/>
  <c r="V266" i="4"/>
  <c r="V212" i="4"/>
  <c r="V426" i="4"/>
  <c r="V487" i="4"/>
  <c r="V258" i="4"/>
  <c r="V231" i="4"/>
  <c r="V210" i="4"/>
  <c r="V471" i="4"/>
  <c r="V377" i="4"/>
  <c r="V391" i="4"/>
  <c r="V365" i="4"/>
  <c r="V390" i="4"/>
  <c r="V323" i="4"/>
  <c r="V372" i="4"/>
  <c r="AG1083" i="3"/>
  <c r="AH1083" i="3"/>
  <c r="AG1067" i="3"/>
  <c r="AH1067" i="3"/>
  <c r="AG1312" i="3"/>
  <c r="AH1312" i="3"/>
  <c r="AG931" i="3"/>
  <c r="AH931" i="3"/>
  <c r="AG865" i="3"/>
  <c r="AH865" i="3"/>
  <c r="AG1126" i="3"/>
  <c r="AH1126" i="3"/>
  <c r="AG887" i="3"/>
  <c r="AH887" i="3"/>
  <c r="AG913" i="3"/>
  <c r="AH913" i="3"/>
  <c r="AG939" i="3"/>
  <c r="AH939" i="3"/>
  <c r="AG909" i="3"/>
  <c r="AH909" i="3"/>
  <c r="AG871" i="3"/>
  <c r="AH871" i="3"/>
  <c r="AG1085" i="3"/>
  <c r="AH1085" i="3"/>
  <c r="AG1089" i="3"/>
  <c r="AH1089" i="3"/>
  <c r="AG1370" i="3"/>
  <c r="AH1370" i="3"/>
  <c r="AG459" i="3"/>
  <c r="AH459" i="3"/>
  <c r="AG340" i="3"/>
  <c r="AH340" i="3"/>
  <c r="AG457" i="3"/>
  <c r="AH457" i="3"/>
  <c r="AG925" i="3"/>
  <c r="AH925" i="3"/>
  <c r="AG897" i="3"/>
  <c r="AH897" i="3"/>
  <c r="AG787" i="3"/>
  <c r="AH787" i="3"/>
  <c r="AG941" i="3"/>
  <c r="AH941" i="3"/>
  <c r="AG1309" i="3"/>
  <c r="AH1309" i="3"/>
  <c r="AG937" i="3"/>
  <c r="AH937" i="3"/>
  <c r="AG419" i="3"/>
  <c r="AH419" i="3"/>
  <c r="AG901" i="3"/>
  <c r="AH901" i="3"/>
  <c r="AG1223" i="3"/>
  <c r="AH1223" i="3"/>
  <c r="AG423" i="3"/>
  <c r="AH423" i="3"/>
  <c r="AG885" i="3"/>
  <c r="AH885" i="3"/>
  <c r="AG559" i="3"/>
  <c r="AH559" i="3"/>
  <c r="AG929" i="3"/>
  <c r="AH929" i="3"/>
  <c r="AG923" i="3"/>
  <c r="AH923" i="3"/>
  <c r="AG244" i="3"/>
  <c r="AH244" i="3"/>
  <c r="AG455" i="3"/>
  <c r="AH455" i="3"/>
  <c r="AG451" i="3"/>
  <c r="AH451" i="3"/>
  <c r="AG879" i="3"/>
  <c r="AH879" i="3"/>
  <c r="AG1245" i="3"/>
  <c r="AH1245" i="3"/>
  <c r="AG255" i="3"/>
  <c r="AH255" i="3"/>
  <c r="AG899" i="3"/>
  <c r="AH899" i="3"/>
  <c r="AG99" i="3"/>
  <c r="AH99" i="3"/>
  <c r="AG789" i="3"/>
  <c r="AH789" i="3"/>
  <c r="AG48" i="3"/>
  <c r="AH48" i="3"/>
  <c r="AG893" i="3"/>
  <c r="AH893" i="3"/>
  <c r="AG873" i="3"/>
  <c r="AH873" i="3"/>
  <c r="AF1387" i="3"/>
  <c r="AF561" i="3"/>
  <c r="AF563" i="3"/>
  <c r="AG791" i="3"/>
  <c r="AH791" i="3"/>
  <c r="AG1293" i="3"/>
  <c r="AH1293" i="3"/>
  <c r="AG1265" i="3"/>
  <c r="AH1265" i="3"/>
  <c r="AG911" i="3"/>
  <c r="AH911" i="3"/>
  <c r="AG264" i="3"/>
  <c r="AH264" i="3"/>
  <c r="AG453" i="3"/>
  <c r="AH453" i="3"/>
  <c r="AG1315" i="3"/>
  <c r="AH1315" i="3"/>
  <c r="AG869" i="3"/>
  <c r="AH869" i="3"/>
  <c r="AG277" i="3"/>
  <c r="AH277" i="3"/>
  <c r="AG421" i="3"/>
  <c r="AH421" i="3"/>
  <c r="AG877" i="3"/>
  <c r="AH877" i="3"/>
  <c r="AG1203" i="3"/>
  <c r="AH1203" i="3"/>
  <c r="AG867" i="3"/>
  <c r="AH867" i="3"/>
  <c r="AH1649" i="3"/>
  <c r="AG1649" i="3"/>
  <c r="AG1376" i="3"/>
  <c r="AH1376" i="3"/>
  <c r="AG1279" i="3"/>
  <c r="AH1279" i="3"/>
  <c r="AG785" i="3"/>
  <c r="AH785" i="3"/>
  <c r="AG927" i="3"/>
  <c r="AH927" i="3"/>
  <c r="AF1712" i="3"/>
  <c r="AF1714" i="3"/>
  <c r="AF1103" i="3"/>
  <c r="AF1187" i="3"/>
  <c r="AG405" i="3"/>
  <c r="AH405" i="3"/>
  <c r="AG314" i="3"/>
  <c r="AH314" i="3"/>
  <c r="AG875" i="3"/>
  <c r="AH875" i="3"/>
  <c r="AG1298" i="3"/>
  <c r="AH1298" i="3"/>
  <c r="AG1258" i="3"/>
  <c r="AH1258" i="3"/>
  <c r="AG1087" i="3"/>
  <c r="AH1087" i="3"/>
  <c r="AG1243" i="3"/>
  <c r="AH1243" i="3"/>
  <c r="AG557" i="3"/>
  <c r="AH557" i="3"/>
  <c r="AG917" i="3"/>
  <c r="AH917" i="3"/>
  <c r="AG317" i="3"/>
  <c r="AH317" i="3"/>
  <c r="AG903" i="3"/>
  <c r="AH903" i="3"/>
  <c r="AG1201" i="3"/>
  <c r="AH1201" i="3"/>
  <c r="AG1247" i="3"/>
  <c r="AH1247" i="3"/>
  <c r="AG1162" i="3"/>
  <c r="AH1162" i="3"/>
  <c r="AG943" i="3"/>
  <c r="AH943" i="3"/>
  <c r="AG119" i="3"/>
  <c r="AH119" i="3"/>
  <c r="AG461" i="3"/>
  <c r="AH461" i="3"/>
  <c r="AG399" i="3"/>
  <c r="AH399" i="3"/>
  <c r="AG1333" i="3"/>
  <c r="AH1333" i="3"/>
  <c r="AG947" i="3"/>
  <c r="AH947" i="3"/>
  <c r="AG1249" i="3"/>
  <c r="AH1249" i="3"/>
  <c r="AG1285" i="3"/>
  <c r="AH1285" i="3"/>
  <c r="AG945" i="3"/>
  <c r="AH945" i="3"/>
  <c r="AG919" i="3"/>
  <c r="AH919" i="3"/>
  <c r="AG1374" i="3"/>
  <c r="AH1374" i="3"/>
  <c r="AG296" i="3"/>
  <c r="AH296" i="3"/>
  <c r="AG299" i="3"/>
  <c r="AH299" i="3"/>
  <c r="AG1241" i="3"/>
  <c r="AH1241" i="3"/>
  <c r="AG915" i="3"/>
  <c r="AH915" i="3"/>
  <c r="AG1164" i="3"/>
  <c r="AH1164" i="3"/>
  <c r="AG1221" i="3"/>
  <c r="AH1221" i="3"/>
  <c r="AG921" i="3"/>
  <c r="AH921" i="3"/>
  <c r="AG895" i="3"/>
  <c r="AH895" i="3"/>
  <c r="AG1109" i="3"/>
  <c r="AH1109" i="3"/>
  <c r="AG8" i="3"/>
  <c r="AH8" i="3"/>
  <c r="Y536" i="4"/>
  <c r="Y526" i="4"/>
  <c r="Y548" i="4"/>
  <c r="Y534" i="4"/>
  <c r="Y491" i="4"/>
  <c r="Y528" i="4"/>
  <c r="Y551" i="4"/>
  <c r="Y533" i="4"/>
  <c r="Y472" i="4"/>
  <c r="Y468" i="4"/>
  <c r="Y495" i="4"/>
  <c r="Y479" i="4"/>
  <c r="T393" i="4"/>
  <c r="V393" i="4"/>
  <c r="T295" i="4"/>
  <c r="T468" i="4"/>
  <c r="V548" i="4"/>
  <c r="T548" i="4"/>
  <c r="V153" i="4"/>
  <c r="T153" i="4"/>
  <c r="V260" i="4"/>
  <c r="T260" i="4"/>
  <c r="T130" i="4"/>
  <c r="V61" i="4"/>
  <c r="T61" i="4"/>
  <c r="V491" i="4"/>
  <c r="T491" i="4"/>
  <c r="V534" i="4"/>
  <c r="T534" i="4"/>
  <c r="T112" i="4"/>
  <c r="V408" i="4"/>
  <c r="T408" i="4"/>
  <c r="V160" i="4"/>
  <c r="T160" i="4"/>
  <c r="V528" i="4"/>
  <c r="T528" i="4"/>
  <c r="V374" i="4"/>
  <c r="T374" i="4"/>
  <c r="T89" i="4"/>
  <c r="V443" i="4"/>
  <c r="T443" i="4"/>
  <c r="V551" i="4"/>
  <c r="T551" i="4"/>
  <c r="T526" i="4"/>
  <c r="T180" i="4"/>
  <c r="V44" i="4"/>
  <c r="T44" i="4"/>
  <c r="V230" i="4"/>
  <c r="T230" i="4"/>
  <c r="V207" i="4"/>
  <c r="T207" i="4"/>
  <c r="V87" i="4"/>
  <c r="T87" i="4"/>
  <c r="V533" i="4"/>
  <c r="T533" i="4"/>
  <c r="T43" i="4"/>
  <c r="V253" i="4"/>
  <c r="T253" i="4"/>
  <c r="V350" i="4"/>
  <c r="T350" i="4"/>
  <c r="V249" i="4"/>
  <c r="T249" i="4"/>
  <c r="V472" i="4"/>
  <c r="T472" i="4"/>
  <c r="V440" i="4"/>
  <c r="T440" i="4"/>
  <c r="V536" i="4"/>
  <c r="T536" i="4"/>
  <c r="V259" i="4"/>
  <c r="T259" i="4"/>
  <c r="V161" i="4"/>
  <c r="T161" i="4"/>
  <c r="V265" i="4"/>
  <c r="T265" i="4"/>
  <c r="V175" i="4"/>
  <c r="T175" i="4"/>
  <c r="T359" i="4"/>
  <c r="V272" i="4"/>
  <c r="T272" i="4"/>
  <c r="V192" i="4"/>
  <c r="T192" i="4"/>
  <c r="V67" i="4"/>
  <c r="T67" i="4"/>
  <c r="V495" i="4"/>
  <c r="T495" i="4"/>
  <c r="T357" i="4"/>
  <c r="V455" i="4"/>
  <c r="T455" i="4"/>
  <c r="V479" i="4"/>
  <c r="T479" i="4"/>
  <c r="V438" i="4"/>
  <c r="T438" i="4"/>
  <c r="D5" i="15"/>
  <c r="AF1969" i="3" s="1"/>
  <c r="C8" i="15"/>
  <c r="AH1969" i="3" l="1"/>
  <c r="AI1969" i="3" s="1"/>
  <c r="AG1969" i="3"/>
  <c r="W473" i="4"/>
  <c r="AI1956" i="3"/>
  <c r="AI1913" i="3"/>
  <c r="W543" i="4"/>
  <c r="W452" i="4"/>
  <c r="W293" i="4"/>
  <c r="W176" i="4"/>
  <c r="W373" i="4"/>
  <c r="W483" i="4"/>
  <c r="W213" i="4"/>
  <c r="W476" i="4"/>
  <c r="W508" i="4"/>
  <c r="W537" i="4"/>
  <c r="W154" i="4"/>
  <c r="W292" i="4"/>
  <c r="W178" i="4"/>
  <c r="W191" i="4"/>
  <c r="W550" i="4"/>
  <c r="W484" i="4"/>
  <c r="W309" i="4"/>
  <c r="W146" i="4"/>
  <c r="W501" i="4"/>
  <c r="W308" i="4"/>
  <c r="W115" i="4"/>
  <c r="W453" i="4"/>
  <c r="W169" i="4"/>
  <c r="W239" i="4"/>
  <c r="W535" i="4"/>
  <c r="W313" i="4"/>
  <c r="W436" i="4"/>
  <c r="W376" i="4"/>
  <c r="W439" i="4"/>
  <c r="W514" i="4"/>
  <c r="W246" i="4"/>
  <c r="W150" i="4"/>
  <c r="W437" i="4"/>
  <c r="W170" i="4"/>
  <c r="W477" i="4"/>
  <c r="W475" i="4"/>
  <c r="W159" i="4"/>
  <c r="W478" i="4"/>
  <c r="W241" i="4"/>
  <c r="W328" i="4"/>
  <c r="W172" i="4"/>
  <c r="W444" i="4"/>
  <c r="W409" i="4"/>
  <c r="W162" i="4"/>
  <c r="W39" i="4"/>
  <c r="W189" i="4"/>
  <c r="W485" i="4"/>
  <c r="W218" i="4"/>
  <c r="W395" i="4"/>
  <c r="W211" i="4"/>
  <c r="W532" i="4"/>
  <c r="W389" i="4"/>
  <c r="W208" i="4"/>
  <c r="W171" i="4"/>
  <c r="W209" i="4"/>
  <c r="W388" i="4"/>
  <c r="W104" i="4"/>
  <c r="W394" i="4"/>
  <c r="W322" i="4"/>
  <c r="W145" i="4"/>
  <c r="W448" i="4"/>
  <c r="W271" i="4"/>
  <c r="W264" i="4"/>
  <c r="W257" i="4"/>
  <c r="W262" i="4"/>
  <c r="W268" i="4"/>
  <c r="W259" i="4"/>
  <c r="W263" i="4"/>
  <c r="W261" i="4"/>
  <c r="W544" i="4"/>
  <c r="W161" i="4"/>
  <c r="W350" i="4"/>
  <c r="W192" i="4"/>
  <c r="W217" i="4"/>
  <c r="W250" i="4"/>
  <c r="W495" i="4"/>
  <c r="W61" i="4"/>
  <c r="W471" i="4"/>
  <c r="W441" i="4"/>
  <c r="W502" i="4"/>
  <c r="W245" i="4"/>
  <c r="W174" i="4"/>
  <c r="W398" i="4"/>
  <c r="W207" i="4"/>
  <c r="W529" i="4"/>
  <c r="W455" i="4"/>
  <c r="W491" i="4"/>
  <c r="W210" i="4"/>
  <c r="W260" i="4"/>
  <c r="W179" i="4"/>
  <c r="W396" i="4"/>
  <c r="W377" i="4"/>
  <c r="W243" i="4"/>
  <c r="W188" i="4"/>
  <c r="W214" i="4"/>
  <c r="W438" i="4"/>
  <c r="W408" i="4"/>
  <c r="W548" i="4"/>
  <c r="W507" i="4"/>
  <c r="W87" i="4"/>
  <c r="W323" i="4"/>
  <c r="W474" i="4"/>
  <c r="W244" i="4"/>
  <c r="W71" i="4"/>
  <c r="W258" i="4"/>
  <c r="W397" i="4"/>
  <c r="W52" i="4"/>
  <c r="W110" i="4"/>
  <c r="W254" i="4"/>
  <c r="W551" i="4"/>
  <c r="W392" i="4"/>
  <c r="W364" i="4"/>
  <c r="W365" i="4"/>
  <c r="W51" i="4"/>
  <c r="W269" i="4"/>
  <c r="W230" i="4"/>
  <c r="W372" i="4"/>
  <c r="W266" i="4"/>
  <c r="W256" i="4"/>
  <c r="W114" i="4"/>
  <c r="W486" i="4"/>
  <c r="W164" i="4"/>
  <c r="W270" i="4"/>
  <c r="W479" i="4"/>
  <c r="W422" i="4"/>
  <c r="W160" i="4"/>
  <c r="W242" i="4"/>
  <c r="W533" i="4"/>
  <c r="W312" i="4"/>
  <c r="W443" i="4"/>
  <c r="W534" i="4"/>
  <c r="W487" i="4"/>
  <c r="W503" i="4"/>
  <c r="W149" i="4"/>
  <c r="W272" i="4"/>
  <c r="W390" i="4"/>
  <c r="W216" i="4"/>
  <c r="W423" i="4"/>
  <c r="W231" i="4"/>
  <c r="W393" i="4"/>
  <c r="W426" i="4"/>
  <c r="W267" i="4"/>
  <c r="W459" i="4"/>
  <c r="W253" i="4"/>
  <c r="W536" i="4"/>
  <c r="W153" i="4"/>
  <c r="W472" i="4"/>
  <c r="W265" i="4"/>
  <c r="W391" i="4"/>
  <c r="W212" i="4"/>
  <c r="W399" i="4"/>
  <c r="W528" i="4"/>
  <c r="W85" i="4"/>
  <c r="W458" i="4"/>
  <c r="W44" i="4"/>
  <c r="W177" i="4"/>
  <c r="W488" i="4"/>
  <c r="W255" i="4"/>
  <c r="W440" i="4"/>
  <c r="W175" i="4"/>
  <c r="W434" i="4"/>
  <c r="W67" i="4"/>
  <c r="W133" i="4"/>
  <c r="W163" i="4"/>
  <c r="W249" i="4"/>
  <c r="W374" i="4"/>
  <c r="P108" i="4"/>
  <c r="AI455" i="3"/>
  <c r="AI939" i="3"/>
  <c r="P335" i="4"/>
  <c r="AI877" i="3"/>
  <c r="P442" i="4"/>
  <c r="AI1083" i="3"/>
  <c r="P361" i="4"/>
  <c r="P294" i="4"/>
  <c r="AI887" i="3"/>
  <c r="AI1223" i="3"/>
  <c r="AI1089" i="3"/>
  <c r="AI873" i="3"/>
  <c r="AI913" i="3"/>
  <c r="P348" i="4"/>
  <c r="AI923" i="3"/>
  <c r="AI899" i="3"/>
  <c r="AI901" i="3"/>
  <c r="AI255" i="3"/>
  <c r="P369" i="4"/>
  <c r="AI787" i="3"/>
  <c r="AI1067" i="3"/>
  <c r="AI1370" i="3"/>
  <c r="P356" i="4"/>
  <c r="AI244" i="3"/>
  <c r="AI897" i="3"/>
  <c r="AI423" i="3"/>
  <c r="P349" i="4"/>
  <c r="P363" i="4"/>
  <c r="AI1312" i="3"/>
  <c r="AI791" i="3"/>
  <c r="P331" i="4"/>
  <c r="Q331" i="4" s="1"/>
  <c r="U331" i="4" s="1"/>
  <c r="AI461" i="3"/>
  <c r="AI915" i="3"/>
  <c r="AI867" i="3"/>
  <c r="AI459" i="3"/>
  <c r="AI945" i="3"/>
  <c r="AI99" i="3"/>
  <c r="AI941" i="3"/>
  <c r="AI1258" i="3"/>
  <c r="P531" i="4"/>
  <c r="Q531" i="4" s="1"/>
  <c r="U531" i="4" s="1"/>
  <c r="P340" i="4"/>
  <c r="AI1315" i="3"/>
  <c r="P127" i="4"/>
  <c r="AI1164" i="3"/>
  <c r="AI919" i="3"/>
  <c r="AI399" i="3"/>
  <c r="AI1201" i="3"/>
  <c r="AI1087" i="3"/>
  <c r="AI1293" i="3"/>
  <c r="P130" i="4"/>
  <c r="P330" i="4"/>
  <c r="AI453" i="3"/>
  <c r="AI903" i="3"/>
  <c r="P357" i="4"/>
  <c r="P489" i="4"/>
  <c r="AI1649" i="3"/>
  <c r="AI789" i="3"/>
  <c r="AI451" i="3"/>
  <c r="AI885" i="3"/>
  <c r="AI1309" i="3"/>
  <c r="AI340" i="3"/>
  <c r="AI909" i="3"/>
  <c r="AI931" i="3"/>
  <c r="AI8" i="3"/>
  <c r="AI119" i="3"/>
  <c r="P129" i="4"/>
  <c r="AI299" i="3"/>
  <c r="AI1249" i="3"/>
  <c r="AI943" i="3"/>
  <c r="AI917" i="3"/>
  <c r="AI875" i="3"/>
  <c r="AI785" i="3"/>
  <c r="AI264" i="3"/>
  <c r="P354" i="4"/>
  <c r="AI1109" i="3"/>
  <c r="AI1285" i="3"/>
  <c r="AI317" i="3"/>
  <c r="P89" i="4"/>
  <c r="AI921" i="3"/>
  <c r="AI296" i="3"/>
  <c r="AI947" i="3"/>
  <c r="AI1162" i="3"/>
  <c r="AI557" i="3"/>
  <c r="AI314" i="3"/>
  <c r="AI1279" i="3"/>
  <c r="AI421" i="3"/>
  <c r="AI911" i="3"/>
  <c r="P43" i="4"/>
  <c r="Q43" i="4" s="1"/>
  <c r="U43" i="4" s="1"/>
  <c r="P447" i="4"/>
  <c r="Q447" i="4" s="1"/>
  <c r="U447" i="4" s="1"/>
  <c r="P59" i="4"/>
  <c r="P358" i="4"/>
  <c r="Q358" i="4" s="1"/>
  <c r="U358" i="4" s="1"/>
  <c r="P58" i="4"/>
  <c r="P371" i="4"/>
  <c r="P468" i="4"/>
  <c r="Q468" i="4" s="1"/>
  <c r="U468" i="4" s="1"/>
  <c r="P62" i="4"/>
  <c r="Q62" i="4" s="1"/>
  <c r="U62" i="4" s="1"/>
  <c r="P112" i="4"/>
  <c r="P353" i="4"/>
  <c r="AI1245" i="3"/>
  <c r="AI929" i="3"/>
  <c r="AI419" i="3"/>
  <c r="AI925" i="3"/>
  <c r="AI1085" i="3"/>
  <c r="AI1126" i="3"/>
  <c r="AI1241" i="3"/>
  <c r="AI1298" i="3"/>
  <c r="AI1221" i="3"/>
  <c r="AI1374" i="3"/>
  <c r="AI1333" i="3"/>
  <c r="AI1247" i="3"/>
  <c r="AI1243" i="3"/>
  <c r="AI405" i="3"/>
  <c r="AI1376" i="3"/>
  <c r="AI277" i="3"/>
  <c r="AI1265" i="3"/>
  <c r="P511" i="4"/>
  <c r="Q511" i="4" s="1"/>
  <c r="U511" i="4" s="1"/>
  <c r="P362" i="4"/>
  <c r="P360" i="4"/>
  <c r="P445" i="4"/>
  <c r="P431" i="4"/>
  <c r="Q431" i="4" s="1"/>
  <c r="U431" i="4" s="1"/>
  <c r="AI1203" i="3"/>
  <c r="AI927" i="3"/>
  <c r="P512" i="4"/>
  <c r="Q512" i="4" s="1"/>
  <c r="U512" i="4" s="1"/>
  <c r="P100" i="4"/>
  <c r="Q100" i="4" s="1"/>
  <c r="U100" i="4" s="1"/>
  <c r="P53" i="4"/>
  <c r="AI48" i="3"/>
  <c r="AI879" i="3"/>
  <c r="AI559" i="3"/>
  <c r="AI937" i="3"/>
  <c r="AI457" i="3"/>
  <c r="AI865" i="3"/>
  <c r="AG1187" i="3"/>
  <c r="AH1187" i="3"/>
  <c r="AG1103" i="3"/>
  <c r="AH1103" i="3"/>
  <c r="AG1714" i="3"/>
  <c r="AH1714" i="3"/>
  <c r="AG1712" i="3"/>
  <c r="AH1712" i="3"/>
  <c r="AG563" i="3"/>
  <c r="AH563" i="3"/>
  <c r="AG561" i="3"/>
  <c r="AH561" i="3"/>
  <c r="AG1387" i="3"/>
  <c r="AH1387" i="3"/>
  <c r="AF160" i="3"/>
  <c r="AF140" i="3"/>
  <c r="AF1129" i="3"/>
  <c r="Y538" i="4"/>
  <c r="Y513" i="4"/>
  <c r="Y469" i="4"/>
  <c r="Y512" i="4"/>
  <c r="Y510" i="4"/>
  <c r="Y511" i="4"/>
  <c r="Y489" i="4"/>
  <c r="Y500" i="4"/>
  <c r="Y460" i="4"/>
  <c r="Y509" i="4"/>
  <c r="Y481" i="4"/>
  <c r="Y525" i="4"/>
  <c r="Y542" i="4"/>
  <c r="Y499" i="4"/>
  <c r="Y490" i="4"/>
  <c r="Y531" i="4"/>
  <c r="Y480" i="4"/>
  <c r="Y496" i="4"/>
  <c r="V134" i="4"/>
  <c r="W134" i="4" s="1"/>
  <c r="T134" i="4"/>
  <c r="V329" i="4"/>
  <c r="W329" i="4" s="1"/>
  <c r="T329" i="4"/>
  <c r="T496" i="4"/>
  <c r="V496" i="4"/>
  <c r="W496" i="4" s="1"/>
  <c r="T181" i="4"/>
  <c r="T349" i="4"/>
  <c r="T59" i="4"/>
  <c r="T490" i="4"/>
  <c r="T371" i="4"/>
  <c r="T369" i="4"/>
  <c r="T330" i="4"/>
  <c r="T336" i="4"/>
  <c r="T65" i="4"/>
  <c r="T353" i="4"/>
  <c r="T62" i="4"/>
  <c r="T335" i="4"/>
  <c r="T367" i="4"/>
  <c r="T358" i="4"/>
  <c r="T356" i="4"/>
  <c r="T355" i="4"/>
  <c r="T531" i="4"/>
  <c r="T53" i="4"/>
  <c r="T340" i="4"/>
  <c r="T113" i="4"/>
  <c r="T108" i="4"/>
  <c r="T442" i="4"/>
  <c r="T346" i="4"/>
  <c r="T360" i="4"/>
  <c r="T446" i="4"/>
  <c r="T97" i="4"/>
  <c r="T538" i="4"/>
  <c r="T513" i="4"/>
  <c r="T334" i="4"/>
  <c r="T100" i="4"/>
  <c r="T469" i="4"/>
  <c r="T129" i="4"/>
  <c r="T512" i="4"/>
  <c r="T294" i="4"/>
  <c r="T47" i="4"/>
  <c r="T511" i="4"/>
  <c r="T447" i="4"/>
  <c r="T297" i="4"/>
  <c r="T128" i="4"/>
  <c r="T489" i="4"/>
  <c r="T58" i="4"/>
  <c r="T127" i="4"/>
  <c r="T500" i="4"/>
  <c r="T460" i="4"/>
  <c r="T341" i="4"/>
  <c r="T352" i="4"/>
  <c r="T362" i="4"/>
  <c r="T348" i="4"/>
  <c r="T107" i="4"/>
  <c r="T354" i="4"/>
  <c r="T363" i="4"/>
  <c r="T21" i="4"/>
  <c r="T431" i="4"/>
  <c r="T525" i="4"/>
  <c r="T296" i="4"/>
  <c r="T445" i="4"/>
  <c r="T542" i="4"/>
  <c r="T361" i="4"/>
  <c r="T370" i="4"/>
  <c r="T368" i="4"/>
  <c r="T331" i="4"/>
  <c r="T366" i="4"/>
  <c r="T347" i="4"/>
  <c r="T337" i="4"/>
  <c r="T499" i="4"/>
  <c r="Q294" i="4" l="1"/>
  <c r="U294" i="4" s="1"/>
  <c r="Q489" i="4"/>
  <c r="U489" i="4" s="1"/>
  <c r="Q127" i="4"/>
  <c r="U127" i="4" s="1"/>
  <c r="Q369" i="4"/>
  <c r="U369" i="4" s="1"/>
  <c r="Q361" i="4"/>
  <c r="U361" i="4" s="1"/>
  <c r="Q129" i="4"/>
  <c r="U129" i="4" s="1"/>
  <c r="Q357" i="4"/>
  <c r="U357" i="4" s="1"/>
  <c r="Q340" i="4"/>
  <c r="U340" i="4" s="1"/>
  <c r="Q442" i="4"/>
  <c r="U442" i="4" s="1"/>
  <c r="Q363" i="4"/>
  <c r="U363" i="4" s="1"/>
  <c r="Q330" i="4"/>
  <c r="U330" i="4" s="1"/>
  <c r="Q354" i="4"/>
  <c r="U354" i="4" s="1"/>
  <c r="Q130" i="4"/>
  <c r="U130" i="4" s="1"/>
  <c r="Q348" i="4"/>
  <c r="U348" i="4" s="1"/>
  <c r="Q353" i="4"/>
  <c r="U353" i="4" s="1"/>
  <c r="Q112" i="4"/>
  <c r="U112" i="4" s="1"/>
  <c r="Q108" i="4"/>
  <c r="U108" i="4" s="1"/>
  <c r="Q362" i="4"/>
  <c r="U362" i="4" s="1"/>
  <c r="Q356" i="4"/>
  <c r="U356" i="4" s="1"/>
  <c r="Q59" i="4"/>
  <c r="U59" i="4" s="1"/>
  <c r="Q349" i="4"/>
  <c r="U349" i="4" s="1"/>
  <c r="Q445" i="4"/>
  <c r="U445" i="4" s="1"/>
  <c r="Q53" i="4"/>
  <c r="U53" i="4" s="1"/>
  <c r="Q335" i="4"/>
  <c r="U335" i="4" s="1"/>
  <c r="Q360" i="4"/>
  <c r="U360" i="4" s="1"/>
  <c r="Q371" i="4"/>
  <c r="U371" i="4" s="1"/>
  <c r="Q58" i="4"/>
  <c r="U58" i="4" s="1"/>
  <c r="Q89" i="4"/>
  <c r="U89" i="4" s="1"/>
  <c r="P97" i="4"/>
  <c r="P490" i="4"/>
  <c r="P427" i="4"/>
  <c r="P352" i="4"/>
  <c r="P180" i="4"/>
  <c r="P469" i="4"/>
  <c r="P666" i="4"/>
  <c r="P336" i="4"/>
  <c r="P510" i="4"/>
  <c r="P526" i="4"/>
  <c r="P355" i="4"/>
  <c r="P128" i="4"/>
  <c r="P65" i="4"/>
  <c r="P107" i="4"/>
  <c r="P334" i="4"/>
  <c r="P542" i="4"/>
  <c r="P295" i="4"/>
  <c r="P538" i="4"/>
  <c r="P132" i="4"/>
  <c r="P347" i="4"/>
  <c r="P296" i="4"/>
  <c r="P509" i="4"/>
  <c r="P525" i="4"/>
  <c r="P341" i="4"/>
  <c r="P481" i="4"/>
  <c r="P480" i="4"/>
  <c r="P113" i="4"/>
  <c r="P460" i="4"/>
  <c r="P21" i="4"/>
  <c r="P111" i="4"/>
  <c r="P499" i="4"/>
  <c r="P366" i="4"/>
  <c r="P370" i="4"/>
  <c r="P297" i="4"/>
  <c r="P346" i="4"/>
  <c r="P359" i="4"/>
  <c r="P367" i="4"/>
  <c r="P446" i="4"/>
  <c r="P181" i="4"/>
  <c r="P513" i="4"/>
  <c r="P500" i="4"/>
  <c r="P131" i="4"/>
  <c r="P368" i="4"/>
  <c r="P337" i="4"/>
  <c r="P47" i="4"/>
  <c r="V331" i="4"/>
  <c r="W331" i="4" s="1"/>
  <c r="R331" i="4"/>
  <c r="V129" i="4"/>
  <c r="R129" i="4"/>
  <c r="V356" i="4"/>
  <c r="R356" i="4"/>
  <c r="V442" i="4"/>
  <c r="R442" i="4"/>
  <c r="V62" i="4"/>
  <c r="W62" i="4" s="1"/>
  <c r="R62" i="4"/>
  <c r="V362" i="4"/>
  <c r="R362" i="4"/>
  <c r="V511" i="4"/>
  <c r="W511" i="4" s="1"/>
  <c r="R511" i="4"/>
  <c r="V468" i="4"/>
  <c r="W468" i="4" s="1"/>
  <c r="R468" i="4"/>
  <c r="V360" i="4"/>
  <c r="R360" i="4"/>
  <c r="V512" i="4"/>
  <c r="W512" i="4" s="1"/>
  <c r="R512" i="4"/>
  <c r="V371" i="4"/>
  <c r="R371" i="4"/>
  <c r="V354" i="4"/>
  <c r="R354" i="4"/>
  <c r="V348" i="4"/>
  <c r="R348" i="4"/>
  <c r="V100" i="4"/>
  <c r="W100" i="4" s="1"/>
  <c r="R100" i="4"/>
  <c r="V58" i="4"/>
  <c r="R58" i="4"/>
  <c r="V363" i="4"/>
  <c r="R363" i="4"/>
  <c r="V358" i="4"/>
  <c r="W358" i="4" s="1"/>
  <c r="R358" i="4"/>
  <c r="V330" i="4"/>
  <c r="R330" i="4"/>
  <c r="V335" i="4"/>
  <c r="R335" i="4"/>
  <c r="V89" i="4"/>
  <c r="R89" i="4"/>
  <c r="V59" i="4"/>
  <c r="R59" i="4"/>
  <c r="V349" i="4"/>
  <c r="R349" i="4"/>
  <c r="V369" i="4"/>
  <c r="R369" i="4"/>
  <c r="V531" i="4"/>
  <c r="W531" i="4" s="1"/>
  <c r="R531" i="4"/>
  <c r="V357" i="4"/>
  <c r="R357" i="4"/>
  <c r="V130" i="4"/>
  <c r="R130" i="4"/>
  <c r="V127" i="4"/>
  <c r="R127" i="4"/>
  <c r="V294" i="4"/>
  <c r="R294" i="4"/>
  <c r="V447" i="4"/>
  <c r="W447" i="4" s="1"/>
  <c r="R447" i="4"/>
  <c r="V108" i="4"/>
  <c r="R108" i="4"/>
  <c r="V53" i="4"/>
  <c r="R53" i="4"/>
  <c r="V431" i="4"/>
  <c r="W431" i="4" s="1"/>
  <c r="R431" i="4"/>
  <c r="V353" i="4"/>
  <c r="R353" i="4"/>
  <c r="V445" i="4"/>
  <c r="R445" i="4"/>
  <c r="V112" i="4"/>
  <c r="R112" i="4"/>
  <c r="V43" i="4"/>
  <c r="W43" i="4" s="1"/>
  <c r="R43" i="4"/>
  <c r="V489" i="4"/>
  <c r="W489" i="4" s="1"/>
  <c r="R489" i="4"/>
  <c r="V340" i="4"/>
  <c r="R340" i="4"/>
  <c r="V361" i="4"/>
  <c r="R361" i="4"/>
  <c r="P183" i="4"/>
  <c r="P182" i="4"/>
  <c r="AI1712" i="3"/>
  <c r="AI563" i="3"/>
  <c r="AI1714" i="3"/>
  <c r="AI1387" i="3"/>
  <c r="AI1187" i="3"/>
  <c r="AI1103" i="3"/>
  <c r="P482" i="4"/>
  <c r="AI561" i="3"/>
  <c r="AG140" i="3"/>
  <c r="AH140" i="3"/>
  <c r="AG160" i="3"/>
  <c r="AH160" i="3"/>
  <c r="AG1129" i="3"/>
  <c r="AH1129" i="3"/>
  <c r="Y556" i="4"/>
  <c r="Y482" i="4"/>
  <c r="T556" i="4"/>
  <c r="T454" i="4"/>
  <c r="T183" i="4"/>
  <c r="T482" i="4"/>
  <c r="T182" i="4"/>
  <c r="W361" i="4" l="1"/>
  <c r="W348" i="4"/>
  <c r="W130" i="4"/>
  <c r="W330" i="4"/>
  <c r="W353" i="4"/>
  <c r="W127" i="4"/>
  <c r="W369" i="4"/>
  <c r="W108" i="4"/>
  <c r="W294" i="4"/>
  <c r="W112" i="4"/>
  <c r="W349" i="4"/>
  <c r="W442" i="4"/>
  <c r="W356" i="4"/>
  <c r="W59" i="4"/>
  <c r="W340" i="4"/>
  <c r="W357" i="4"/>
  <c r="W363" i="4"/>
  <c r="W445" i="4"/>
  <c r="W362" i="4"/>
  <c r="W354" i="4"/>
  <c r="W371" i="4"/>
  <c r="Q482" i="4"/>
  <c r="U482" i="4" s="1"/>
  <c r="W129" i="4"/>
  <c r="W89" i="4"/>
  <c r="W53" i="4"/>
  <c r="W335" i="4"/>
  <c r="Q183" i="4"/>
  <c r="U183" i="4" s="1"/>
  <c r="W58" i="4"/>
  <c r="W360" i="4"/>
  <c r="Q182" i="4"/>
  <c r="U182" i="4" s="1"/>
  <c r="V359" i="4"/>
  <c r="Q359" i="4"/>
  <c r="U359" i="4" s="1"/>
  <c r="V341" i="4"/>
  <c r="Q341" i="4"/>
  <c r="U341" i="4" s="1"/>
  <c r="V128" i="4"/>
  <c r="Q128" i="4"/>
  <c r="U128" i="4" s="1"/>
  <c r="R297" i="4"/>
  <c r="Q297" i="4"/>
  <c r="U297" i="4" s="1"/>
  <c r="R509" i="4"/>
  <c r="Q509" i="4"/>
  <c r="R526" i="4"/>
  <c r="Q526" i="4"/>
  <c r="U526" i="4" s="1"/>
  <c r="V370" i="4"/>
  <c r="Q370" i="4"/>
  <c r="U370" i="4" s="1"/>
  <c r="R510" i="4"/>
  <c r="Q510" i="4"/>
  <c r="R355" i="4"/>
  <c r="Q355" i="4"/>
  <c r="U355" i="4" s="1"/>
  <c r="V47" i="4"/>
  <c r="Q47" i="4"/>
  <c r="U47" i="4" s="1"/>
  <c r="R337" i="4"/>
  <c r="Q337" i="4"/>
  <c r="U337" i="4" s="1"/>
  <c r="R366" i="4"/>
  <c r="Q366" i="4"/>
  <c r="U366" i="4" s="1"/>
  <c r="R347" i="4"/>
  <c r="Q347" i="4"/>
  <c r="U347" i="4" s="1"/>
  <c r="R336" i="4"/>
  <c r="Q336" i="4"/>
  <c r="U336" i="4" s="1"/>
  <c r="V346" i="4"/>
  <c r="Q346" i="4"/>
  <c r="U346" i="4" s="1"/>
  <c r="R525" i="4"/>
  <c r="Q525" i="4"/>
  <c r="U525" i="4" s="1"/>
  <c r="V296" i="4"/>
  <c r="Q296" i="4"/>
  <c r="U296" i="4" s="1"/>
  <c r="R368" i="4"/>
  <c r="Q368" i="4"/>
  <c r="U368" i="4" s="1"/>
  <c r="R499" i="4"/>
  <c r="Q499" i="4"/>
  <c r="U499" i="4" s="1"/>
  <c r="R132" i="4"/>
  <c r="Q132" i="4"/>
  <c r="R666" i="4"/>
  <c r="Q666" i="4"/>
  <c r="R131" i="4"/>
  <c r="Q131" i="4"/>
  <c r="R111" i="4"/>
  <c r="Q111" i="4"/>
  <c r="V538" i="4"/>
  <c r="Q538" i="4"/>
  <c r="U538" i="4" s="1"/>
  <c r="R469" i="4"/>
  <c r="Q469" i="4"/>
  <c r="U469" i="4" s="1"/>
  <c r="R21" i="4"/>
  <c r="Q21" i="4"/>
  <c r="U21" i="4" s="1"/>
  <c r="V295" i="4"/>
  <c r="Q295" i="4"/>
  <c r="U295" i="4" s="1"/>
  <c r="V180" i="4"/>
  <c r="Q180" i="4"/>
  <c r="U180" i="4" s="1"/>
  <c r="R513" i="4"/>
  <c r="Q513" i="4"/>
  <c r="U513" i="4" s="1"/>
  <c r="R460" i="4"/>
  <c r="Q460" i="4"/>
  <c r="U460" i="4" s="1"/>
  <c r="V542" i="4"/>
  <c r="Q542" i="4"/>
  <c r="U542" i="4" s="1"/>
  <c r="V352" i="4"/>
  <c r="Q352" i="4"/>
  <c r="U352" i="4" s="1"/>
  <c r="V181" i="4"/>
  <c r="Q181" i="4"/>
  <c r="U181" i="4" s="1"/>
  <c r="R113" i="4"/>
  <c r="Q113" i="4"/>
  <c r="U113" i="4" s="1"/>
  <c r="V334" i="4"/>
  <c r="Q334" i="4"/>
  <c r="U334" i="4" s="1"/>
  <c r="R427" i="4"/>
  <c r="Q427" i="4"/>
  <c r="R446" i="4"/>
  <c r="Q446" i="4"/>
  <c r="U446" i="4" s="1"/>
  <c r="R480" i="4"/>
  <c r="Q480" i="4"/>
  <c r="R107" i="4"/>
  <c r="Q107" i="4"/>
  <c r="U107" i="4" s="1"/>
  <c r="R490" i="4"/>
  <c r="Q490" i="4"/>
  <c r="U490" i="4" s="1"/>
  <c r="V500" i="4"/>
  <c r="Q500" i="4"/>
  <c r="U500" i="4" s="1"/>
  <c r="R367" i="4"/>
  <c r="Q367" i="4"/>
  <c r="U367" i="4" s="1"/>
  <c r="R481" i="4"/>
  <c r="Q481" i="4"/>
  <c r="R65" i="4"/>
  <c r="Q65" i="4"/>
  <c r="U65" i="4" s="1"/>
  <c r="R97" i="4"/>
  <c r="Q97" i="4"/>
  <c r="U97" i="4" s="1"/>
  <c r="R128" i="4"/>
  <c r="V460" i="4"/>
  <c r="V107" i="4"/>
  <c r="V113" i="4"/>
  <c r="V446" i="4"/>
  <c r="V97" i="4"/>
  <c r="V65" i="4"/>
  <c r="V490" i="4"/>
  <c r="V469" i="4"/>
  <c r="V21" i="4"/>
  <c r="V347" i="4"/>
  <c r="V525" i="4"/>
  <c r="V368" i="4"/>
  <c r="V337" i="4"/>
  <c r="V366" i="4"/>
  <c r="V336" i="4"/>
  <c r="R538" i="4"/>
  <c r="V499" i="4"/>
  <c r="V355" i="4"/>
  <c r="R359" i="4"/>
  <c r="V367" i="4"/>
  <c r="V513" i="4"/>
  <c r="R341" i="4"/>
  <c r="V526" i="4"/>
  <c r="V297" i="4"/>
  <c r="P556" i="4"/>
  <c r="R500" i="4"/>
  <c r="R346" i="4"/>
  <c r="R295" i="4"/>
  <c r="R180" i="4"/>
  <c r="P697" i="4"/>
  <c r="R542" i="4"/>
  <c r="R352" i="4"/>
  <c r="P698" i="4"/>
  <c r="R47" i="4"/>
  <c r="R181" i="4"/>
  <c r="R370" i="4"/>
  <c r="R296" i="4"/>
  <c r="R334" i="4"/>
  <c r="P454" i="4"/>
  <c r="V183" i="4"/>
  <c r="R183" i="4"/>
  <c r="V482" i="4"/>
  <c r="R482" i="4"/>
  <c r="V182" i="4"/>
  <c r="R182" i="4"/>
  <c r="AI160" i="3"/>
  <c r="AI1129" i="3"/>
  <c r="AI140" i="3"/>
  <c r="T432" i="4"/>
  <c r="AA101" i="8"/>
  <c r="W482" i="4" l="1"/>
  <c r="W182" i="4"/>
  <c r="W183" i="4"/>
  <c r="W469" i="4"/>
  <c r="W499" i="4"/>
  <c r="W97" i="4"/>
  <c r="W446" i="4"/>
  <c r="W336" i="4"/>
  <c r="W113" i="4"/>
  <c r="W107" i="4"/>
  <c r="W347" i="4"/>
  <c r="W21" i="4"/>
  <c r="W297" i="4"/>
  <c r="V454" i="4"/>
  <c r="Q454" i="4"/>
  <c r="U454" i="4" s="1"/>
  <c r="R556" i="4"/>
  <c r="Q556" i="4"/>
  <c r="U556" i="4" s="1"/>
  <c r="W334" i="4"/>
  <c r="W47" i="4"/>
  <c r="W337" i="4"/>
  <c r="W368" i="4"/>
  <c r="W346" i="4"/>
  <c r="W128" i="4"/>
  <c r="W538" i="4"/>
  <c r="W500" i="4"/>
  <c r="W525" i="4"/>
  <c r="W296" i="4"/>
  <c r="W526" i="4"/>
  <c r="W367" i="4"/>
  <c r="W352" i="4"/>
  <c r="W341" i="4"/>
  <c r="W460" i="4"/>
  <c r="W180" i="4"/>
  <c r="W295" i="4"/>
  <c r="R698" i="4"/>
  <c r="Q698" i="4"/>
  <c r="W490" i="4"/>
  <c r="W366" i="4"/>
  <c r="W181" i="4"/>
  <c r="W513" i="4"/>
  <c r="R697" i="4"/>
  <c r="Q697" i="4"/>
  <c r="W355" i="4"/>
  <c r="W65" i="4"/>
  <c r="W542" i="4"/>
  <c r="W370" i="4"/>
  <c r="W359" i="4"/>
  <c r="V556" i="4"/>
  <c r="R454" i="4"/>
  <c r="P432" i="4"/>
  <c r="AA116" i="8"/>
  <c r="AA318" i="8"/>
  <c r="W556" i="4" l="1"/>
  <c r="R432" i="4"/>
  <c r="Q432" i="4"/>
  <c r="U432" i="4" s="1"/>
  <c r="W454" i="4"/>
  <c r="V432" i="4"/>
  <c r="AA278" i="8"/>
  <c r="AA186" i="8"/>
  <c r="AA257" i="8"/>
  <c r="AA176" i="8"/>
  <c r="AA122" i="8"/>
  <c r="AA82" i="8"/>
  <c r="AA20" i="8"/>
  <c r="W432" i="4" l="1"/>
  <c r="AA276" i="8"/>
  <c r="AA105" i="8" l="1"/>
  <c r="AA293" i="8"/>
  <c r="AA162" i="8" l="1"/>
  <c r="AA16" i="8"/>
  <c r="AA255" i="8" l="1"/>
  <c r="AA89" i="8" l="1"/>
  <c r="AA88" i="8"/>
  <c r="AA189" i="8" l="1"/>
  <c r="AA215" i="8"/>
  <c r="AA267" i="8"/>
  <c r="AA258" i="8"/>
  <c r="AA262" i="8"/>
  <c r="AA275" i="8"/>
  <c r="AA319" i="8"/>
  <c r="AA196" i="8"/>
  <c r="AA227" i="8"/>
  <c r="AA136" i="8"/>
  <c r="AA164" i="8"/>
  <c r="AA169" i="8"/>
  <c r="AA11" i="8"/>
  <c r="AA95" i="8"/>
  <c r="AA10" i="8"/>
  <c r="AA13" i="8"/>
  <c r="AA313" i="8"/>
  <c r="AA320" i="8"/>
  <c r="AA118" i="8"/>
  <c r="AA117" i="8"/>
  <c r="AA3" i="8"/>
  <c r="AA2" i="8"/>
  <c r="AA214" i="8"/>
  <c r="AA209" i="8"/>
  <c r="AA315" i="8"/>
  <c r="AA103" i="8"/>
  <c r="AA84" i="8"/>
  <c r="AA312" i="8"/>
  <c r="AA310" i="8"/>
  <c r="AA298" i="8"/>
  <c r="AA296" i="8"/>
  <c r="AA127" i="8"/>
  <c r="AA281" i="8"/>
  <c r="AA282" i="8"/>
  <c r="AA205" i="8"/>
  <c r="AA250" i="8"/>
  <c r="AA249" i="8"/>
  <c r="AA248" i="8"/>
  <c r="AA247" i="8"/>
  <c r="AA246" i="8"/>
  <c r="AA244" i="8"/>
  <c r="AA242" i="8"/>
  <c r="AA241" i="8"/>
  <c r="AA240" i="8"/>
  <c r="AA21" i="8"/>
  <c r="AA213" i="8"/>
  <c r="AA212" i="8"/>
  <c r="AA211" i="8"/>
  <c r="AA202" i="8"/>
  <c r="AA206" i="8"/>
  <c r="AA204" i="8"/>
  <c r="AA192" i="8"/>
  <c r="AA187" i="8"/>
  <c r="AA184" i="8"/>
  <c r="AA179" i="8"/>
  <c r="AA177" i="8"/>
  <c r="AA172" i="8"/>
  <c r="AA173" i="8"/>
  <c r="AA171" i="8"/>
  <c r="AA174" i="8"/>
  <c r="AA168" i="8"/>
  <c r="AA167" i="8"/>
  <c r="AA166" i="8"/>
  <c r="AA165" i="8"/>
  <c r="AA161" i="8"/>
  <c r="AA175" i="8"/>
  <c r="AA163" i="8"/>
  <c r="AA160" i="8"/>
  <c r="AA292" i="8"/>
  <c r="AA291" i="8"/>
  <c r="AA285" i="8"/>
  <c r="AA270" i="8"/>
  <c r="AA271" i="8"/>
  <c r="AA268" i="8"/>
  <c r="AA286" i="8"/>
  <c r="AA159" i="8"/>
  <c r="AA158" i="8"/>
  <c r="AA157" i="8"/>
  <c r="AA155" i="8"/>
  <c r="AA154" i="8"/>
  <c r="AA153" i="8"/>
  <c r="AA152" i="8"/>
  <c r="AA151" i="8"/>
  <c r="AA150" i="8"/>
  <c r="AA149" i="8"/>
  <c r="AA145" i="8"/>
  <c r="AA143" i="8"/>
  <c r="AA144" i="8"/>
  <c r="AA142" i="8"/>
  <c r="AA141" i="8"/>
  <c r="AA139" i="8"/>
  <c r="AA138" i="8"/>
  <c r="AA137" i="8"/>
  <c r="AA135" i="8"/>
  <c r="AA133" i="8"/>
  <c r="AA132" i="8"/>
  <c r="AA287" i="8"/>
  <c r="AA128" i="8"/>
  <c r="AA126" i="8"/>
  <c r="AA124" i="8"/>
  <c r="AA115" i="8"/>
  <c r="AA112" i="8"/>
  <c r="AA111" i="8"/>
  <c r="AA109" i="8"/>
  <c r="AA110" i="8"/>
  <c r="AA108" i="8"/>
  <c r="AA107" i="8"/>
  <c r="AA15" i="8"/>
  <c r="AA106" i="8"/>
  <c r="AA104" i="8"/>
  <c r="AA98" i="8"/>
  <c r="AA97" i="8"/>
  <c r="AA96" i="8"/>
  <c r="AA94" i="8"/>
  <c r="AA93" i="8"/>
  <c r="AA90" i="8"/>
  <c r="AA85" i="8"/>
  <c r="AA87" i="8"/>
  <c r="AA83" i="8"/>
  <c r="AA77" i="8"/>
  <c r="AA81" i="8"/>
  <c r="AA80" i="8"/>
  <c r="AA79" i="8"/>
  <c r="AA76" i="8"/>
  <c r="AA74" i="8"/>
  <c r="AA72" i="8"/>
  <c r="AA71" i="8"/>
  <c r="AA70" i="8"/>
  <c r="AA69" i="8"/>
  <c r="AA62" i="8"/>
  <c r="AA63" i="8"/>
  <c r="AA61" i="8"/>
  <c r="AA39" i="8"/>
  <c r="AA37" i="8"/>
  <c r="AA36" i="8"/>
  <c r="AA35" i="8"/>
  <c r="AA280" i="8"/>
  <c r="AA34" i="8"/>
  <c r="AA32" i="8"/>
  <c r="AA27" i="8"/>
  <c r="AA28" i="8"/>
  <c r="AA23" i="8"/>
  <c r="AA22" i="8"/>
  <c r="AA14" i="8"/>
  <c r="AA18" i="8"/>
  <c r="AA188" i="8"/>
  <c r="AA17" i="8"/>
  <c r="AA9" i="8"/>
  <c r="AA6" i="8"/>
  <c r="AA269" i="8"/>
  <c r="AA289" i="8"/>
  <c r="AA288" i="8"/>
  <c r="AA321" i="8"/>
  <c r="AA120" i="8"/>
  <c r="AA29" i="8"/>
  <c r="AA260" i="8"/>
  <c r="AA259" i="8"/>
  <c r="AA256" i="8"/>
  <c r="AA311" i="8"/>
  <c r="AA309" i="8"/>
  <c r="AA308" i="8"/>
  <c r="AA303" i="8"/>
  <c r="AA294" i="8"/>
  <c r="AA295" i="8"/>
  <c r="AA284" i="8"/>
  <c r="AA277" i="8"/>
  <c r="AA266" i="8"/>
  <c r="AA252" i="8"/>
  <c r="AA238" i="8"/>
  <c r="AA235" i="8"/>
  <c r="AA251" i="8"/>
  <c r="AA243" i="8"/>
  <c r="AA230" i="8"/>
  <c r="AA231" i="8"/>
  <c r="AA229" i="8"/>
  <c r="AA220" i="8"/>
  <c r="AA245" i="8"/>
  <c r="AA224" i="8"/>
  <c r="AA223" i="8"/>
  <c r="AA222" i="8"/>
  <c r="AA221" i="8"/>
  <c r="AA217" i="8"/>
  <c r="AA218" i="8"/>
  <c r="AA208" i="8"/>
  <c r="AA207" i="8"/>
  <c r="AA201" i="8"/>
  <c r="AA200" i="8"/>
  <c r="AA210" i="8"/>
  <c r="AA199" i="8"/>
  <c r="AA198" i="8"/>
  <c r="AA197" i="8"/>
  <c r="AA195" i="8"/>
  <c r="AA194" i="8"/>
  <c r="AA193" i="8"/>
  <c r="AA203" i="8"/>
  <c r="AA191" i="8"/>
  <c r="AA190" i="8"/>
  <c r="AA119" i="8"/>
  <c r="AA185" i="8"/>
  <c r="AA183" i="8"/>
  <c r="AA182" i="8"/>
  <c r="AA181" i="8"/>
  <c r="AA180" i="8"/>
  <c r="AA170" i="8"/>
  <c r="AA156" i="8"/>
  <c r="AA148" i="8"/>
  <c r="AA147" i="8"/>
  <c r="AA146" i="8"/>
  <c r="AA140" i="8"/>
  <c r="AA131" i="8"/>
  <c r="AA130" i="8"/>
  <c r="AA125" i="8"/>
  <c r="AA114" i="8"/>
  <c r="AA113" i="8"/>
  <c r="AA92" i="8"/>
  <c r="AA91" i="8"/>
  <c r="AA86" i="8"/>
  <c r="AA75" i="8"/>
  <c r="AA73" i="8"/>
  <c r="AA297" i="8"/>
  <c r="AA30" i="8"/>
  <c r="AA26" i="8"/>
  <c r="AA19" i="8"/>
  <c r="AA8" i="8"/>
  <c r="AA299" i="8"/>
  <c r="AA316" i="8"/>
  <c r="AA314" i="8"/>
  <c r="AA306" i="8"/>
  <c r="AA304" i="8"/>
  <c r="AA301" i="8"/>
  <c r="AA300" i="8"/>
  <c r="AA265" i="8"/>
  <c r="AA264" i="8"/>
  <c r="AA239" i="8"/>
  <c r="AA237" i="8"/>
  <c r="AA68" i="8"/>
  <c r="AA67" i="8"/>
  <c r="AA52" i="8"/>
  <c r="AA50" i="8"/>
  <c r="AA234" i="8" l="1"/>
  <c r="AA233" i="8"/>
  <c r="AB314" i="8" l="1"/>
  <c r="AB316" i="8"/>
  <c r="AA102" i="8"/>
  <c r="AA56" i="8"/>
  <c r="AA317" i="8"/>
  <c r="AA253" i="8"/>
  <c r="AA302" i="8"/>
  <c r="AA263" i="8"/>
  <c r="AA290" i="8"/>
  <c r="AA65" i="8"/>
  <c r="AA66" i="8"/>
  <c r="AA64" i="8"/>
  <c r="AA60" i="8"/>
  <c r="AA59" i="8"/>
  <c r="AA58" i="8"/>
  <c r="AA57" i="8"/>
  <c r="AA54" i="8"/>
  <c r="AA55" i="8"/>
  <c r="AA53" i="8"/>
  <c r="AA51" i="8"/>
  <c r="AA45" i="8"/>
  <c r="AA43" i="8"/>
  <c r="AA42" i="8"/>
  <c r="AA41" i="8"/>
  <c r="AB227" i="8" l="1"/>
  <c r="AB237" i="8"/>
  <c r="U316" i="8"/>
  <c r="L316" i="8"/>
  <c r="U227" i="8"/>
  <c r="L227" i="8"/>
  <c r="U314" i="8"/>
  <c r="L314" i="8"/>
  <c r="U237" i="8"/>
  <c r="L237" i="8"/>
  <c r="R82" i="3" l="1"/>
  <c r="AC82" i="3" s="1"/>
  <c r="R893" i="3"/>
  <c r="R895" i="3"/>
  <c r="R118" i="3"/>
  <c r="R47" i="3"/>
  <c r="R869" i="3"/>
  <c r="R871" i="3"/>
  <c r="AB317" i="8"/>
  <c r="X82" i="3" l="1"/>
  <c r="AI82" i="3" s="1"/>
  <c r="AQ82" i="3"/>
  <c r="AC871" i="3"/>
  <c r="X871" i="3"/>
  <c r="AQ871" i="3"/>
  <c r="AC869" i="3"/>
  <c r="X869" i="3"/>
  <c r="AQ869" i="3"/>
  <c r="X47" i="3"/>
  <c r="AQ47" i="3"/>
  <c r="AC47" i="3"/>
  <c r="AQ118" i="3"/>
  <c r="AC118" i="3"/>
  <c r="X118" i="3"/>
  <c r="X895" i="3"/>
  <c r="AQ895" i="3"/>
  <c r="AC895" i="3"/>
  <c r="X893" i="3"/>
  <c r="AC893" i="3"/>
  <c r="AQ893" i="3"/>
  <c r="AD82" i="3"/>
  <c r="S82" i="3"/>
  <c r="T82" i="3"/>
  <c r="S895" i="3"/>
  <c r="T895" i="3"/>
  <c r="S893" i="3"/>
  <c r="T893" i="3"/>
  <c r="S871" i="3"/>
  <c r="T871" i="3"/>
  <c r="S47" i="3"/>
  <c r="T47" i="3"/>
  <c r="S118" i="3"/>
  <c r="T118" i="3"/>
  <c r="L317" i="8"/>
  <c r="U317" i="8"/>
  <c r="S869" i="3"/>
  <c r="T869" i="3"/>
  <c r="AI871" i="3" l="1"/>
  <c r="AD893" i="3"/>
  <c r="AI893" i="3"/>
  <c r="AD895" i="3"/>
  <c r="AI895" i="3"/>
  <c r="AI118" i="3"/>
  <c r="AD118" i="3"/>
  <c r="AI47" i="3"/>
  <c r="AI869" i="3"/>
  <c r="AD869" i="3"/>
  <c r="AD871" i="3"/>
  <c r="R1045" i="3"/>
  <c r="R1047" i="3"/>
  <c r="L333" i="4"/>
  <c r="L98" i="4"/>
  <c r="L344" i="4"/>
  <c r="L30" i="4"/>
  <c r="L345" i="4"/>
  <c r="L332" i="4"/>
  <c r="L69" i="4"/>
  <c r="N69" i="4" s="1"/>
  <c r="Y82" i="3"/>
  <c r="Y871" i="3"/>
  <c r="Y893" i="3"/>
  <c r="Y118" i="3"/>
  <c r="Y869" i="3"/>
  <c r="AD47" i="3"/>
  <c r="Y47" i="3"/>
  <c r="Y895" i="3"/>
  <c r="N332" i="4" l="1"/>
  <c r="P332" i="4"/>
  <c r="N345" i="4"/>
  <c r="P345" i="4"/>
  <c r="N30" i="4"/>
  <c r="P30" i="4"/>
  <c r="N344" i="4"/>
  <c r="P344" i="4"/>
  <c r="N98" i="4"/>
  <c r="P98" i="4"/>
  <c r="N333" i="4"/>
  <c r="P333" i="4"/>
  <c r="AC1047" i="3"/>
  <c r="AQ1047" i="3"/>
  <c r="X1047" i="3"/>
  <c r="X1045" i="3"/>
  <c r="AC1045" i="3"/>
  <c r="AQ1045" i="3"/>
  <c r="S1045" i="3"/>
  <c r="T1045" i="3"/>
  <c r="S1047" i="3"/>
  <c r="T1047" i="3"/>
  <c r="R333" i="4" l="1"/>
  <c r="Q333" i="4"/>
  <c r="U333" i="4" s="1"/>
  <c r="R98" i="4"/>
  <c r="Q98" i="4"/>
  <c r="U98" i="4" s="1"/>
  <c r="R344" i="4"/>
  <c r="Q344" i="4"/>
  <c r="U344" i="4" s="1"/>
  <c r="R30" i="4"/>
  <c r="Q30" i="4"/>
  <c r="U30" i="4" s="1"/>
  <c r="R345" i="4"/>
  <c r="Q345" i="4"/>
  <c r="U345" i="4" s="1"/>
  <c r="R332" i="4"/>
  <c r="Q332" i="4"/>
  <c r="U332" i="4" s="1"/>
  <c r="AD1045" i="3"/>
  <c r="AI1045" i="3"/>
  <c r="AI1047" i="3"/>
  <c r="AD1047" i="3"/>
  <c r="V344" i="4"/>
  <c r="T344" i="4"/>
  <c r="V332" i="4"/>
  <c r="T332" i="4"/>
  <c r="V98" i="4"/>
  <c r="T98" i="4"/>
  <c r="V345" i="4"/>
  <c r="T345" i="4"/>
  <c r="V30" i="4"/>
  <c r="T30" i="4"/>
  <c r="V333" i="4"/>
  <c r="T333" i="4"/>
  <c r="L421" i="4"/>
  <c r="L420" i="4"/>
  <c r="Y1047" i="3"/>
  <c r="Y1045" i="3"/>
  <c r="W98" i="4" l="1"/>
  <c r="W333" i="4"/>
  <c r="W30" i="4"/>
  <c r="W345" i="4"/>
  <c r="W332" i="4"/>
  <c r="W344" i="4"/>
  <c r="N420" i="4"/>
  <c r="P420" i="4"/>
  <c r="N421" i="4"/>
  <c r="P421" i="4"/>
  <c r="Q420" i="4" l="1"/>
  <c r="U420" i="4" s="1"/>
  <c r="R421" i="4"/>
  <c r="Q421" i="4"/>
  <c r="U421" i="4" s="1"/>
  <c r="R420" i="4"/>
  <c r="V421" i="4"/>
  <c r="T421" i="4"/>
  <c r="V420" i="4"/>
  <c r="T420" i="4"/>
  <c r="AB196" i="8"/>
  <c r="W420" i="4" l="1"/>
  <c r="W421" i="4"/>
  <c r="U196" i="8"/>
  <c r="R1953" i="3" s="1"/>
  <c r="L196" i="8"/>
  <c r="T1953" i="3" l="1"/>
  <c r="AQ1953" i="3"/>
  <c r="AC1953" i="3"/>
  <c r="AD1953" i="3" s="1"/>
  <c r="S1953" i="3"/>
  <c r="L772" i="4" s="1"/>
  <c r="X1953" i="3"/>
  <c r="W196" i="8"/>
  <c r="R1666" i="3" a="1"/>
  <c r="R1666" i="3" s="1"/>
  <c r="R1669" i="3" a="1"/>
  <c r="R1669" i="3" s="1"/>
  <c r="R1551" i="3" a="1"/>
  <c r="R1551" i="3" s="1"/>
  <c r="R241" i="3"/>
  <c r="R1456" i="3" a="1"/>
  <c r="R1456" i="3" s="1"/>
  <c r="R1403" i="3"/>
  <c r="R1283" i="3"/>
  <c r="R1257" i="3"/>
  <c r="R1399" i="3"/>
  <c r="R1264" i="3"/>
  <c r="R1289" i="3"/>
  <c r="Y1953" i="3" l="1"/>
  <c r="AI1953" i="3"/>
  <c r="N772" i="4"/>
  <c r="P772" i="4"/>
  <c r="X1456" i="3"/>
  <c r="AC1456" i="3"/>
  <c r="X1551" i="3"/>
  <c r="AC1551" i="3"/>
  <c r="AC1669" i="3"/>
  <c r="X1669" i="3"/>
  <c r="AC1666" i="3"/>
  <c r="X1666" i="3"/>
  <c r="S1669" i="3"/>
  <c r="T1669" i="3"/>
  <c r="AQ1669" i="3"/>
  <c r="T1666" i="3"/>
  <c r="S1666" i="3"/>
  <c r="AQ1666" i="3"/>
  <c r="AQ1399" i="3"/>
  <c r="AC1399" i="3"/>
  <c r="X1399" i="3"/>
  <c r="S1289" i="3"/>
  <c r="AC1289" i="3"/>
  <c r="AQ1289" i="3"/>
  <c r="X1289" i="3"/>
  <c r="AQ1283" i="3"/>
  <c r="AC1283" i="3"/>
  <c r="X1283" i="3"/>
  <c r="T1403" i="3"/>
  <c r="AQ1403" i="3"/>
  <c r="AC1403" i="3"/>
  <c r="X1403" i="3"/>
  <c r="AQ1456" i="3"/>
  <c r="AC1264" i="3"/>
  <c r="AQ1264" i="3"/>
  <c r="X1264" i="3"/>
  <c r="T1257" i="3"/>
  <c r="AQ1257" i="3"/>
  <c r="AC1257" i="3"/>
  <c r="X1257" i="3"/>
  <c r="T241" i="3"/>
  <c r="AC241" i="3"/>
  <c r="AQ241" i="3"/>
  <c r="X241" i="3"/>
  <c r="AQ1551" i="3"/>
  <c r="S1551" i="3"/>
  <c r="T1551" i="3"/>
  <c r="S241" i="3"/>
  <c r="S1456" i="3"/>
  <c r="T1456" i="3"/>
  <c r="T1283" i="3"/>
  <c r="S1283" i="3"/>
  <c r="S1403" i="3"/>
  <c r="S1257" i="3"/>
  <c r="S1399" i="3"/>
  <c r="T1399" i="3"/>
  <c r="T1264" i="3"/>
  <c r="S1264" i="3"/>
  <c r="T1289" i="3"/>
  <c r="L524" i="4"/>
  <c r="Q772" i="4" l="1"/>
  <c r="R772" i="4"/>
  <c r="Y1666" i="3"/>
  <c r="AD1666" i="3"/>
  <c r="Y1669" i="3"/>
  <c r="AD1669" i="3"/>
  <c r="AD1551" i="3"/>
  <c r="Y1551" i="3"/>
  <c r="AD1456" i="3"/>
  <c r="Y1456" i="3"/>
  <c r="N524" i="4"/>
  <c r="P524" i="4"/>
  <c r="L516" i="4"/>
  <c r="L560" i="4"/>
  <c r="L515" i="4"/>
  <c r="L561" i="4"/>
  <c r="L523" i="4"/>
  <c r="L584" i="4"/>
  <c r="L40" i="4"/>
  <c r="N40" i="4" s="1"/>
  <c r="L630" i="4"/>
  <c r="AI1551" i="3"/>
  <c r="Y241" i="3"/>
  <c r="AD241" i="3"/>
  <c r="AI1257" i="3"/>
  <c r="AD1257" i="3"/>
  <c r="AI1264" i="3"/>
  <c r="AD1264" i="3"/>
  <c r="Y1403" i="3"/>
  <c r="AD1403" i="3"/>
  <c r="Y1283" i="3"/>
  <c r="AD1283" i="3"/>
  <c r="AI1289" i="3"/>
  <c r="AD1289" i="3"/>
  <c r="Y1399" i="3"/>
  <c r="AD1399" i="3"/>
  <c r="L674" i="4"/>
  <c r="L675" i="4"/>
  <c r="AI1399" i="3"/>
  <c r="AI1666" i="3"/>
  <c r="AI1669" i="3"/>
  <c r="AI1283" i="3"/>
  <c r="AI241" i="3"/>
  <c r="AI1456" i="3"/>
  <c r="AI1403" i="3"/>
  <c r="Y1257" i="3"/>
  <c r="Y1264" i="3"/>
  <c r="Y1289" i="3"/>
  <c r="R524" i="4" l="1"/>
  <c r="Q524" i="4"/>
  <c r="U524" i="4" s="1"/>
  <c r="N630" i="4"/>
  <c r="P630" i="4"/>
  <c r="N584" i="4"/>
  <c r="P584" i="4"/>
  <c r="N523" i="4"/>
  <c r="P523" i="4"/>
  <c r="N561" i="4"/>
  <c r="P561" i="4"/>
  <c r="N515" i="4"/>
  <c r="P515" i="4"/>
  <c r="N560" i="4"/>
  <c r="P560" i="4"/>
  <c r="N516" i="4"/>
  <c r="P516" i="4"/>
  <c r="N674" i="4"/>
  <c r="P674" i="4"/>
  <c r="N675" i="4"/>
  <c r="P675" i="4"/>
  <c r="Y561" i="4"/>
  <c r="Y515" i="4"/>
  <c r="Y516" i="4"/>
  <c r="Y524" i="4"/>
  <c r="Y560" i="4"/>
  <c r="Y523" i="4"/>
  <c r="T515" i="4"/>
  <c r="V524" i="4"/>
  <c r="T524" i="4"/>
  <c r="T516" i="4"/>
  <c r="T523" i="4"/>
  <c r="T560" i="4"/>
  <c r="T561" i="4"/>
  <c r="W524" i="4" l="1"/>
  <c r="R561" i="4"/>
  <c r="Q561" i="4"/>
  <c r="U561" i="4" s="1"/>
  <c r="R675" i="4"/>
  <c r="Q675" i="4"/>
  <c r="V516" i="4"/>
  <c r="Q516" i="4"/>
  <c r="U516" i="4" s="1"/>
  <c r="R630" i="4"/>
  <c r="Q630" i="4"/>
  <c r="R515" i="4"/>
  <c r="Q515" i="4"/>
  <c r="U515" i="4" s="1"/>
  <c r="R523" i="4"/>
  <c r="Q523" i="4"/>
  <c r="U523" i="4" s="1"/>
  <c r="R674" i="4"/>
  <c r="Q674" i="4"/>
  <c r="R584" i="4"/>
  <c r="Q584" i="4"/>
  <c r="R560" i="4"/>
  <c r="Q560" i="4"/>
  <c r="U560" i="4" s="1"/>
  <c r="V560" i="4"/>
  <c r="V515" i="4"/>
  <c r="V561" i="4"/>
  <c r="W561" i="4" s="1"/>
  <c r="V523" i="4"/>
  <c r="R516" i="4"/>
  <c r="AA283" i="8"/>
  <c r="W560" i="4" l="1"/>
  <c r="W523" i="4"/>
  <c r="W515" i="4"/>
  <c r="W516" i="4"/>
  <c r="AA273" i="8"/>
  <c r="AA272" i="8"/>
  <c r="AA49" i="8" l="1"/>
  <c r="AA31" i="8" l="1"/>
  <c r="AA33" i="8"/>
  <c r="AA4" i="8"/>
  <c r="AA38" i="8" l="1"/>
  <c r="AB195" i="8" l="1"/>
  <c r="AB191" i="8"/>
  <c r="L191" i="8" l="1"/>
  <c r="U191" i="8"/>
  <c r="U195" i="8"/>
  <c r="L195" i="8"/>
  <c r="R345" i="3" l="1"/>
  <c r="AC345" i="3" s="1"/>
  <c r="R1690" i="3" a="1"/>
  <c r="R1690" i="3" s="1"/>
  <c r="R1450" i="3" a="1"/>
  <c r="R1450" i="3" s="1"/>
  <c r="R1507" i="3" a="1"/>
  <c r="R1507" i="3" s="1"/>
  <c r="R150" i="3"/>
  <c r="R825" i="3"/>
  <c r="R827" i="3"/>
  <c r="R1061" i="3"/>
  <c r="R797" i="3"/>
  <c r="R1055" i="3"/>
  <c r="R799" i="3"/>
  <c r="AA25" i="8"/>
  <c r="AA40" i="8"/>
  <c r="AA48" i="8"/>
  <c r="AA47" i="8"/>
  <c r="X345" i="3" l="1"/>
  <c r="AI345" i="3" s="1"/>
  <c r="AQ345" i="3"/>
  <c r="X1690" i="3"/>
  <c r="AQ1690" i="3"/>
  <c r="T1690" i="3"/>
  <c r="S1690" i="3"/>
  <c r="AC1690" i="3"/>
  <c r="AC1507" i="3"/>
  <c r="X1507" i="3"/>
  <c r="L686" i="4"/>
  <c r="AC827" i="3"/>
  <c r="AQ827" i="3"/>
  <c r="X827" i="3"/>
  <c r="AQ825" i="3"/>
  <c r="AC825" i="3"/>
  <c r="X825" i="3"/>
  <c r="AC1055" i="3"/>
  <c r="AQ1055" i="3"/>
  <c r="X1055" i="3"/>
  <c r="AC797" i="3"/>
  <c r="AQ797" i="3"/>
  <c r="X797" i="3"/>
  <c r="X150" i="3"/>
  <c r="AQ150" i="3"/>
  <c r="AC150" i="3"/>
  <c r="AQ1507" i="3"/>
  <c r="X799" i="3"/>
  <c r="AQ799" i="3"/>
  <c r="AC799" i="3"/>
  <c r="AC1061" i="3"/>
  <c r="AQ1061" i="3"/>
  <c r="X1061" i="3"/>
  <c r="AQ1450" i="3"/>
  <c r="AC1450" i="3"/>
  <c r="X1450" i="3"/>
  <c r="S1507" i="3"/>
  <c r="T1507" i="3"/>
  <c r="S1450" i="3"/>
  <c r="T1450" i="3"/>
  <c r="AD345" i="3"/>
  <c r="S150" i="3"/>
  <c r="L10" i="4"/>
  <c r="N10" i="4" s="1"/>
  <c r="T150" i="3"/>
  <c r="S345" i="3"/>
  <c r="T345" i="3"/>
  <c r="S797" i="3"/>
  <c r="T797" i="3"/>
  <c r="T1061" i="3"/>
  <c r="S1061" i="3"/>
  <c r="T799" i="3"/>
  <c r="S799" i="3"/>
  <c r="S827" i="3"/>
  <c r="T827" i="3"/>
  <c r="S1055" i="3"/>
  <c r="T1055" i="3"/>
  <c r="S825" i="3"/>
  <c r="T825" i="3"/>
  <c r="AA129" i="8"/>
  <c r="AA279" i="8"/>
  <c r="AA100" i="8"/>
  <c r="Y1507" i="3" l="1"/>
  <c r="AD1507" i="3"/>
  <c r="AD1690" i="3"/>
  <c r="Y1690" i="3"/>
  <c r="AI1690" i="3"/>
  <c r="N686" i="4"/>
  <c r="P686" i="4"/>
  <c r="AD1450" i="3"/>
  <c r="L582" i="4"/>
  <c r="L608" i="4"/>
  <c r="AI1061" i="3"/>
  <c r="AD1061" i="3"/>
  <c r="AD799" i="3"/>
  <c r="AI799" i="3"/>
  <c r="AD150" i="3"/>
  <c r="AI797" i="3"/>
  <c r="AD797" i="3"/>
  <c r="AI1055" i="3"/>
  <c r="AD1055" i="3"/>
  <c r="AD825" i="3"/>
  <c r="AD827" i="3"/>
  <c r="AI1507" i="3"/>
  <c r="Y1450" i="3"/>
  <c r="AI1450" i="3"/>
  <c r="L300" i="4"/>
  <c r="L311" i="4"/>
  <c r="N311" i="4" s="1"/>
  <c r="L310" i="4"/>
  <c r="N310" i="4" s="1"/>
  <c r="L301" i="4"/>
  <c r="L75" i="4"/>
  <c r="L425" i="4"/>
  <c r="L424" i="4"/>
  <c r="Y150" i="3"/>
  <c r="Y345" i="3"/>
  <c r="Y825" i="3"/>
  <c r="Y799" i="3"/>
  <c r="Y1061" i="3"/>
  <c r="Y1055" i="3"/>
  <c r="Y827" i="3"/>
  <c r="Y797" i="3"/>
  <c r="R686" i="4" l="1"/>
  <c r="Q686" i="4"/>
  <c r="N300" i="4"/>
  <c r="P300" i="4"/>
  <c r="N608" i="4"/>
  <c r="P608" i="4"/>
  <c r="N582" i="4"/>
  <c r="P582" i="4"/>
  <c r="R582" i="4" s="1"/>
  <c r="N424" i="4"/>
  <c r="P424" i="4"/>
  <c r="N425" i="4"/>
  <c r="P425" i="4"/>
  <c r="N75" i="4"/>
  <c r="P75" i="4"/>
  <c r="N301" i="4"/>
  <c r="P301" i="4"/>
  <c r="AB19" i="8"/>
  <c r="R301" i="4" l="1"/>
  <c r="Q301" i="4"/>
  <c r="U301" i="4" s="1"/>
  <c r="R300" i="4"/>
  <c r="Q300" i="4"/>
  <c r="U300" i="4" s="1"/>
  <c r="R425" i="4"/>
  <c r="Q425" i="4"/>
  <c r="U425" i="4" s="1"/>
  <c r="R608" i="4"/>
  <c r="Q608" i="4"/>
  <c r="R424" i="4"/>
  <c r="Q424" i="4"/>
  <c r="U424" i="4" s="1"/>
  <c r="R75" i="4"/>
  <c r="Q75" i="4"/>
  <c r="U75" i="4" s="1"/>
  <c r="V425" i="4"/>
  <c r="T425" i="4"/>
  <c r="V301" i="4"/>
  <c r="T301" i="4"/>
  <c r="V300" i="4"/>
  <c r="T300" i="4"/>
  <c r="V75" i="4"/>
  <c r="T75" i="4"/>
  <c r="V424" i="4"/>
  <c r="T424" i="4"/>
  <c r="L19" i="8"/>
  <c r="U19" i="8"/>
  <c r="W301" i="4" l="1"/>
  <c r="W300" i="4"/>
  <c r="W424" i="4"/>
  <c r="W75" i="4"/>
  <c r="W425" i="4"/>
  <c r="R1119" i="3"/>
  <c r="R1115" i="3"/>
  <c r="AC1115" i="3" l="1"/>
  <c r="X1115" i="3"/>
  <c r="AQ1115" i="3"/>
  <c r="AC1119" i="3"/>
  <c r="AQ1119" i="3"/>
  <c r="X1119" i="3"/>
  <c r="T1119" i="3"/>
  <c r="T1115" i="3"/>
  <c r="S1119" i="3"/>
  <c r="S1115" i="3"/>
  <c r="L463" i="4"/>
  <c r="L465" i="4"/>
  <c r="N465" i="4" l="1"/>
  <c r="N463" i="4"/>
  <c r="AD1119" i="3"/>
  <c r="Y1115" i="3"/>
  <c r="AD1115" i="3"/>
  <c r="Y1119" i="3"/>
  <c r="N137" i="3" l="1"/>
  <c r="S137" i="3"/>
  <c r="AD137" i="3"/>
  <c r="AK137" i="3"/>
  <c r="T137" i="3"/>
  <c r="K137" i="3"/>
  <c r="Q137" i="3" l="1"/>
  <c r="L6" i="4"/>
  <c r="N6" i="4" s="1"/>
  <c r="L137" i="3"/>
  <c r="AA137" i="3"/>
  <c r="I6" i="4"/>
  <c r="Y137" i="3"/>
  <c r="K6" i="4" l="1"/>
  <c r="Y6" i="4"/>
  <c r="AB137" i="3"/>
  <c r="B3" i="15"/>
  <c r="D3" i="15" s="1"/>
  <c r="AF2009" i="3" l="1"/>
  <c r="AF2008" i="3"/>
  <c r="AF1999" i="3"/>
  <c r="AH1999" i="3" s="1"/>
  <c r="AI1999" i="3" s="1"/>
  <c r="AF2002" i="3"/>
  <c r="AF1976" i="3"/>
  <c r="AH1976" i="3" s="1"/>
  <c r="AI1976" i="3" s="1"/>
  <c r="AF1981" i="3"/>
  <c r="AF1982" i="3"/>
  <c r="AF1980" i="3"/>
  <c r="AF1972" i="3"/>
  <c r="AF1967" i="3"/>
  <c r="AF1968" i="3"/>
  <c r="AF1971" i="3"/>
  <c r="AF1970" i="3"/>
  <c r="AF1966" i="3"/>
  <c r="AF1941" i="3"/>
  <c r="AF1959" i="3"/>
  <c r="AF1935" i="3"/>
  <c r="AF1938" i="3"/>
  <c r="AF1931" i="3"/>
  <c r="AF1932" i="3"/>
  <c r="AF1925" i="3"/>
  <c r="AF1928" i="3"/>
  <c r="AF1919" i="3"/>
  <c r="AF1922" i="3"/>
  <c r="AF1880" i="3"/>
  <c r="AF1875" i="3"/>
  <c r="AF1879" i="3"/>
  <c r="AF1881" i="3"/>
  <c r="AF1850" i="3"/>
  <c r="AF1853" i="3"/>
  <c r="AF1789" i="3"/>
  <c r="AF1790" i="3"/>
  <c r="AF12" i="3"/>
  <c r="AF24" i="3"/>
  <c r="AF20" i="3"/>
  <c r="AF70" i="3"/>
  <c r="AF106" i="3"/>
  <c r="AF142" i="3"/>
  <c r="AF223" i="3"/>
  <c r="AF247" i="3"/>
  <c r="AF271" i="3"/>
  <c r="AF283" i="3"/>
  <c r="AF320" i="3"/>
  <c r="AF333" i="3"/>
  <c r="AF385" i="3"/>
  <c r="AF412" i="3"/>
  <c r="AF437" i="3"/>
  <c r="AF485" i="3"/>
  <c r="AF509" i="3"/>
  <c r="AF533" i="3"/>
  <c r="AF593" i="3"/>
  <c r="AF605" i="3"/>
  <c r="AF641" i="3"/>
  <c r="AF653" i="3"/>
  <c r="AF665" i="3"/>
  <c r="AF701" i="3"/>
  <c r="AF749" i="3"/>
  <c r="AF761" i="3"/>
  <c r="AF773" i="3"/>
  <c r="AF809" i="3"/>
  <c r="AF833" i="3"/>
  <c r="AF845" i="3"/>
  <c r="AF857" i="3"/>
  <c r="AF965" i="3"/>
  <c r="AF977" i="3"/>
  <c r="AF1013" i="3"/>
  <c r="AF1037" i="3"/>
  <c r="AF1097" i="3"/>
  <c r="AF1121" i="3"/>
  <c r="AF1133" i="3"/>
  <c r="AF1362" i="3"/>
  <c r="AF349" i="3"/>
  <c r="AF402" i="3"/>
  <c r="AF59" i="3"/>
  <c r="AF143" i="3"/>
  <c r="AF198" i="3"/>
  <c r="AF309" i="3"/>
  <c r="AF810" i="3"/>
  <c r="AF1134" i="3"/>
  <c r="AF1267" i="3"/>
  <c r="AF1363" i="3"/>
  <c r="AF375" i="3"/>
  <c r="AF23" i="3"/>
  <c r="AF108" i="3"/>
  <c r="AF157" i="3"/>
  <c r="AF171" i="3"/>
  <c r="AF184" i="3"/>
  <c r="AF199" i="3"/>
  <c r="AF212" i="3"/>
  <c r="AF225" i="3"/>
  <c r="AF249" i="3"/>
  <c r="AF415" i="3"/>
  <c r="AF439" i="3"/>
  <c r="AF499" i="3"/>
  <c r="AF511" i="3"/>
  <c r="AF583" i="3"/>
  <c r="AF595" i="3"/>
  <c r="AF607" i="3"/>
  <c r="AF643" i="3"/>
  <c r="AF655" i="3"/>
  <c r="AF667" i="3"/>
  <c r="AF691" i="3"/>
  <c r="AF751" i="3"/>
  <c r="AF763" i="3"/>
  <c r="AF775" i="3"/>
  <c r="AF811" i="3"/>
  <c r="AF835" i="3"/>
  <c r="AF847" i="3"/>
  <c r="AF859" i="3"/>
  <c r="AF967" i="3"/>
  <c r="AF979" i="3"/>
  <c r="AF1015" i="3"/>
  <c r="AF1039" i="3"/>
  <c r="AF1111" i="3"/>
  <c r="AF1135" i="3"/>
  <c r="AF1147" i="3"/>
  <c r="AF1624" i="3"/>
  <c r="AF200" i="3"/>
  <c r="AF286" i="3"/>
  <c r="AF363" i="3"/>
  <c r="AF388" i="3"/>
  <c r="AF25" i="3"/>
  <c r="AF73" i="3"/>
  <c r="AF109" i="3"/>
  <c r="AF158" i="3"/>
  <c r="AF11" i="3"/>
  <c r="AF26" i="3"/>
  <c r="AF38" i="3"/>
  <c r="AF74" i="3"/>
  <c r="AF110" i="3"/>
  <c r="AF122" i="3"/>
  <c r="AF134" i="3"/>
  <c r="AF147" i="3"/>
  <c r="AF159" i="3"/>
  <c r="AF201" i="3"/>
  <c r="AF501" i="3"/>
  <c r="AF513" i="3"/>
  <c r="AF585" i="3"/>
  <c r="AF597" i="3"/>
  <c r="AF609" i="3"/>
  <c r="AF645" i="3"/>
  <c r="AF669" i="3"/>
  <c r="AF693" i="3"/>
  <c r="AF753" i="3"/>
  <c r="AF765" i="3"/>
  <c r="AF777" i="3"/>
  <c r="AF801" i="3"/>
  <c r="AF813" i="3"/>
  <c r="AF825" i="3"/>
  <c r="AF837" i="3"/>
  <c r="AF969" i="3"/>
  <c r="AF1005" i="3"/>
  <c r="AF1029" i="3"/>
  <c r="AF1041" i="3"/>
  <c r="AF1113" i="3"/>
  <c r="AF1149" i="3"/>
  <c r="AF252" i="3"/>
  <c r="AF39" i="3"/>
  <c r="AF51" i="3"/>
  <c r="AF175" i="3"/>
  <c r="AF187" i="3"/>
  <c r="AF202" i="3"/>
  <c r="AF215" i="3"/>
  <c r="AF52" i="3"/>
  <c r="AF88" i="3"/>
  <c r="AF203" i="3"/>
  <c r="AF229" i="3"/>
  <c r="AF15" i="3"/>
  <c r="AF29" i="3"/>
  <c r="AF53" i="3"/>
  <c r="AF65" i="3"/>
  <c r="AF113" i="3"/>
  <c r="AF125" i="3"/>
  <c r="AF137" i="3"/>
  <c r="AF150" i="3"/>
  <c r="AF16" i="3"/>
  <c r="AF30" i="3"/>
  <c r="AF42" i="3"/>
  <c r="AF66" i="3"/>
  <c r="AF78" i="3"/>
  <c r="AF102" i="3"/>
  <c r="AF138" i="3"/>
  <c r="AF165" i="3"/>
  <c r="AF31" i="3"/>
  <c r="AF67" i="3"/>
  <c r="AF91" i="3"/>
  <c r="AF103" i="3"/>
  <c r="AF139" i="3"/>
  <c r="AF32" i="3"/>
  <c r="AF56" i="3"/>
  <c r="AF92" i="3"/>
  <c r="AF128" i="3"/>
  <c r="AF153" i="3"/>
  <c r="AF194" i="3"/>
  <c r="AF19" i="3"/>
  <c r="AF93" i="3"/>
  <c r="AF141" i="3"/>
  <c r="AF168" i="3"/>
  <c r="AF181" i="3"/>
  <c r="AF204" i="3"/>
  <c r="AF205" i="3"/>
  <c r="AF292" i="3"/>
  <c r="AF392" i="3"/>
  <c r="AF435" i="3"/>
  <c r="AF543" i="3"/>
  <c r="AF599" i="3"/>
  <c r="AF745" i="3"/>
  <c r="AF793" i="3"/>
  <c r="AF806" i="3"/>
  <c r="AF1035" i="3"/>
  <c r="AF1117" i="3"/>
  <c r="AF1209" i="3"/>
  <c r="AF1372" i="3"/>
  <c r="AF1273" i="3"/>
  <c r="AF305" i="3"/>
  <c r="AF529" i="3"/>
  <c r="AF637" i="3"/>
  <c r="AF1271" i="3"/>
  <c r="AF222" i="3"/>
  <c r="AF293" i="3"/>
  <c r="AF408" i="3"/>
  <c r="AF531" i="3"/>
  <c r="AF639" i="3"/>
  <c r="AF671" i="3"/>
  <c r="AF779" i="3"/>
  <c r="AF807" i="3"/>
  <c r="AF839" i="3"/>
  <c r="AF853" i="3"/>
  <c r="AF1009" i="3"/>
  <c r="AF491" i="3"/>
  <c r="AF601" i="3"/>
  <c r="AF747" i="3"/>
  <c r="AF795" i="3"/>
  <c r="AF971" i="3"/>
  <c r="AF1119" i="3"/>
  <c r="AF1132" i="3"/>
  <c r="AF1148" i="3"/>
  <c r="AF1211" i="3"/>
  <c r="AF1483" i="3"/>
  <c r="AF1533" i="3"/>
  <c r="AF661" i="3"/>
  <c r="AF769" i="3"/>
  <c r="AF805" i="3"/>
  <c r="AF209" i="3"/>
  <c r="AF267" i="3"/>
  <c r="AF280" i="3"/>
  <c r="AF366" i="3"/>
  <c r="AF396" i="3"/>
  <c r="AF587" i="3"/>
  <c r="AF673" i="3"/>
  <c r="AF699" i="3"/>
  <c r="AF841" i="3"/>
  <c r="AF855" i="3"/>
  <c r="AF1011" i="3"/>
  <c r="AF1150" i="3"/>
  <c r="AF1361" i="3"/>
  <c r="AF326" i="3"/>
  <c r="AF369" i="3"/>
  <c r="AF647" i="3"/>
  <c r="AF975" i="3"/>
  <c r="AF1095" i="3"/>
  <c r="AF353" i="3"/>
  <c r="AF493" i="3"/>
  <c r="AF507" i="3"/>
  <c r="AF603" i="3"/>
  <c r="AF767" i="3"/>
  <c r="AF814" i="3"/>
  <c r="AF827" i="3"/>
  <c r="AF973" i="3"/>
  <c r="AF381" i="3"/>
  <c r="AF589" i="3"/>
  <c r="AF815" i="3"/>
  <c r="AF843" i="3"/>
  <c r="AF1043" i="3"/>
  <c r="AF1138" i="3"/>
  <c r="AF1630" i="3"/>
  <c r="AF191" i="3"/>
  <c r="AF356" i="3"/>
  <c r="AF483" i="3"/>
  <c r="AF591" i="3"/>
  <c r="AF755" i="3"/>
  <c r="AF817" i="3"/>
  <c r="AF961" i="3"/>
  <c r="AF1069" i="3"/>
  <c r="AF1353" i="3"/>
  <c r="AF771" i="3"/>
  <c r="AF1471" i="3"/>
  <c r="AF1609" i="3"/>
  <c r="AF232" i="3"/>
  <c r="AF302" i="3"/>
  <c r="AF431" i="3"/>
  <c r="AF445" i="3"/>
  <c r="AF649" i="3"/>
  <c r="AF663" i="3"/>
  <c r="AF802" i="3"/>
  <c r="AF1031" i="3"/>
  <c r="AF303" i="3"/>
  <c r="AF329" i="3"/>
  <c r="AF527" i="3"/>
  <c r="AF635" i="3"/>
  <c r="AF757" i="3"/>
  <c r="AF803" i="3"/>
  <c r="AF819" i="3"/>
  <c r="AF963" i="3"/>
  <c r="AF1269" i="3"/>
  <c r="AF219" i="3"/>
  <c r="AF290" i="3"/>
  <c r="AF433" i="3"/>
  <c r="AF651" i="3"/>
  <c r="AF743" i="3"/>
  <c r="AF1033" i="3"/>
  <c r="AF1115" i="3"/>
  <c r="AF1307" i="3"/>
  <c r="AF1384" i="3"/>
  <c r="AF291" i="3"/>
  <c r="AF759" i="3"/>
  <c r="AF1007" i="3"/>
  <c r="AF2" i="3"/>
  <c r="AG1999" i="3" l="1"/>
  <c r="AH2008" i="3"/>
  <c r="AI2008" i="3" s="1"/>
  <c r="AG2008" i="3"/>
  <c r="AH2009" i="3"/>
  <c r="AI2009" i="3" s="1"/>
  <c r="AG2009" i="3"/>
  <c r="AH2002" i="3"/>
  <c r="AI2002" i="3" s="1"/>
  <c r="AG2002" i="3"/>
  <c r="AG1976" i="3"/>
  <c r="AH1980" i="3"/>
  <c r="AI1980" i="3" s="1"/>
  <c r="AG1980" i="3"/>
  <c r="AH1982" i="3"/>
  <c r="AI1982" i="3" s="1"/>
  <c r="AG1982" i="3"/>
  <c r="AG1981" i="3"/>
  <c r="AH1981" i="3"/>
  <c r="AI1981" i="3" s="1"/>
  <c r="AH1966" i="3"/>
  <c r="AI1966" i="3" s="1"/>
  <c r="AG1966" i="3"/>
  <c r="AG1970" i="3"/>
  <c r="AH1970" i="3"/>
  <c r="AI1970" i="3" s="1"/>
  <c r="AG1971" i="3"/>
  <c r="AH1971" i="3"/>
  <c r="AI1971" i="3" s="1"/>
  <c r="AH1968" i="3"/>
  <c r="AI1968" i="3" s="1"/>
  <c r="AG1968" i="3"/>
  <c r="AG1967" i="3"/>
  <c r="AH1967" i="3"/>
  <c r="AI1967" i="3" s="1"/>
  <c r="AH1972" i="3"/>
  <c r="AI1972" i="3" s="1"/>
  <c r="AG1972" i="3"/>
  <c r="AG1880" i="3"/>
  <c r="AH1919" i="3"/>
  <c r="AH1925" i="3"/>
  <c r="AH1935" i="3"/>
  <c r="AG1941" i="3"/>
  <c r="AH1941" i="3"/>
  <c r="AG1935" i="3"/>
  <c r="AG1959" i="3"/>
  <c r="AH1959" i="3"/>
  <c r="AG1925" i="3"/>
  <c r="AH1938" i="3"/>
  <c r="AG1938" i="3"/>
  <c r="AH1932" i="3"/>
  <c r="AG1932" i="3"/>
  <c r="AH1931" i="3"/>
  <c r="AG1931" i="3"/>
  <c r="AH1928" i="3"/>
  <c r="AG1928" i="3"/>
  <c r="AG1919" i="3"/>
  <c r="AH1922" i="3"/>
  <c r="AG1922" i="3"/>
  <c r="AH1880" i="3"/>
  <c r="AG1875" i="3"/>
  <c r="AH1875" i="3"/>
  <c r="AH1881" i="3"/>
  <c r="AG1881" i="3"/>
  <c r="AH1879" i="3"/>
  <c r="AG1879" i="3"/>
  <c r="AG1850" i="3"/>
  <c r="AH1850" i="3"/>
  <c r="AH1853" i="3"/>
  <c r="AG1853" i="3"/>
  <c r="AG1790" i="3"/>
  <c r="AH1790" i="3"/>
  <c r="AG1789" i="3"/>
  <c r="AH1789" i="3"/>
  <c r="AG671" i="3"/>
  <c r="AH671" i="3"/>
  <c r="AG763" i="3"/>
  <c r="AH763" i="3"/>
  <c r="AG802" i="3"/>
  <c r="AH802" i="3"/>
  <c r="AG181" i="3"/>
  <c r="AH181" i="3"/>
  <c r="AG249" i="3"/>
  <c r="AH249" i="3"/>
  <c r="AG219" i="3"/>
  <c r="AH219" i="3"/>
  <c r="AG531" i="3"/>
  <c r="AH531" i="3"/>
  <c r="AG837" i="3"/>
  <c r="AH837" i="3"/>
  <c r="AG11" i="3"/>
  <c r="AH11" i="3"/>
  <c r="AG755" i="3"/>
  <c r="AH755" i="3"/>
  <c r="AG795" i="3"/>
  <c r="AH795" i="3"/>
  <c r="AG408" i="3"/>
  <c r="AH408" i="3"/>
  <c r="AG806" i="3"/>
  <c r="AH806" i="3"/>
  <c r="AG141" i="3"/>
  <c r="AH141" i="3"/>
  <c r="AG67" i="3"/>
  <c r="AH67" i="3"/>
  <c r="AG125" i="3"/>
  <c r="AH125" i="3"/>
  <c r="AG187" i="3"/>
  <c r="AH187" i="3"/>
  <c r="AG825" i="3"/>
  <c r="AH825" i="3"/>
  <c r="AG513" i="3"/>
  <c r="AH513" i="3"/>
  <c r="AG158" i="3"/>
  <c r="AH158" i="3"/>
  <c r="AG1039" i="3"/>
  <c r="AH1039" i="3"/>
  <c r="AG667" i="3"/>
  <c r="AH667" i="3"/>
  <c r="AG212" i="3"/>
  <c r="AH212" i="3"/>
  <c r="AG309" i="3"/>
  <c r="AH309" i="3"/>
  <c r="AG977" i="3"/>
  <c r="AH977" i="3"/>
  <c r="AG641" i="3"/>
  <c r="AH641" i="3"/>
  <c r="AG271" i="3"/>
  <c r="AH271" i="3"/>
  <c r="AG1069" i="3"/>
  <c r="AH1069" i="3"/>
  <c r="AG52" i="3"/>
  <c r="AH52" i="3"/>
  <c r="AG1097" i="3"/>
  <c r="AH1097" i="3"/>
  <c r="AG589" i="3"/>
  <c r="AH589" i="3"/>
  <c r="AG103" i="3"/>
  <c r="AH103" i="3"/>
  <c r="AG1135" i="3"/>
  <c r="AH1135" i="3"/>
  <c r="AG663" i="3"/>
  <c r="AH663" i="3"/>
  <c r="AG137" i="3"/>
  <c r="AH137" i="3"/>
  <c r="AG283" i="3"/>
  <c r="AH283" i="3"/>
  <c r="AG649" i="3"/>
  <c r="AH649" i="3"/>
  <c r="AG963" i="3"/>
  <c r="AH963" i="3"/>
  <c r="AG445" i="3"/>
  <c r="AH445" i="3"/>
  <c r="AG591" i="3"/>
  <c r="AH591" i="3"/>
  <c r="AG827" i="3"/>
  <c r="AH827" i="3"/>
  <c r="AG1361" i="3"/>
  <c r="AH1361" i="3"/>
  <c r="AG209" i="3"/>
  <c r="AH209" i="3"/>
  <c r="AG747" i="3"/>
  <c r="AH747" i="3"/>
  <c r="AG293" i="3"/>
  <c r="AH293" i="3"/>
  <c r="AG793" i="3"/>
  <c r="AH793" i="3"/>
  <c r="AG93" i="3"/>
  <c r="AH93" i="3"/>
  <c r="AG31" i="3"/>
  <c r="AH31" i="3"/>
  <c r="AG113" i="3"/>
  <c r="AH113" i="3"/>
  <c r="AG175" i="3"/>
  <c r="AH175" i="3"/>
  <c r="AG813" i="3"/>
  <c r="AH813" i="3"/>
  <c r="AG501" i="3"/>
  <c r="AH501" i="3"/>
  <c r="AG109" i="3"/>
  <c r="AH109" i="3"/>
  <c r="AG1015" i="3"/>
  <c r="AH1015" i="3"/>
  <c r="AG655" i="3"/>
  <c r="AH655" i="3"/>
  <c r="AG199" i="3"/>
  <c r="AH199" i="3"/>
  <c r="AG198" i="3"/>
  <c r="AH198" i="3"/>
  <c r="AG965" i="3"/>
  <c r="AH965" i="3"/>
  <c r="AG605" i="3"/>
  <c r="AH605" i="3"/>
  <c r="AG247" i="3"/>
  <c r="AH247" i="3"/>
  <c r="AG433" i="3"/>
  <c r="AH433" i="3"/>
  <c r="AG1209" i="3"/>
  <c r="AH1209" i="3"/>
  <c r="AG1147" i="3"/>
  <c r="AH1147" i="3"/>
  <c r="AG366" i="3"/>
  <c r="AH366" i="3"/>
  <c r="AG597" i="3"/>
  <c r="AH597" i="3"/>
  <c r="AG168" i="3"/>
  <c r="AH168" i="3"/>
  <c r="AG1111" i="3"/>
  <c r="AH1111" i="3"/>
  <c r="AG326" i="3"/>
  <c r="AH326" i="3"/>
  <c r="AG759" i="3"/>
  <c r="AH759" i="3"/>
  <c r="AG291" i="3"/>
  <c r="AH291" i="3"/>
  <c r="AG819" i="3"/>
  <c r="AH819" i="3"/>
  <c r="AG431" i="3"/>
  <c r="AH431" i="3"/>
  <c r="AG483" i="3"/>
  <c r="AH483" i="3"/>
  <c r="AG814" i="3"/>
  <c r="AH814" i="3"/>
  <c r="AG1150" i="3"/>
  <c r="AH1150" i="3"/>
  <c r="AG805" i="3"/>
  <c r="AH805" i="3"/>
  <c r="AG601" i="3"/>
  <c r="AH601" i="3"/>
  <c r="AG222" i="3"/>
  <c r="AH222" i="3"/>
  <c r="AG745" i="3"/>
  <c r="AH745" i="3"/>
  <c r="AG19" i="3"/>
  <c r="AH19" i="3"/>
  <c r="AG165" i="3"/>
  <c r="AH165" i="3"/>
  <c r="AG65" i="3"/>
  <c r="AH65" i="3"/>
  <c r="AG51" i="3"/>
  <c r="AH51" i="3"/>
  <c r="AG801" i="3"/>
  <c r="AH801" i="3"/>
  <c r="AG201" i="3"/>
  <c r="AH201" i="3"/>
  <c r="AG73" i="3"/>
  <c r="AH73" i="3"/>
  <c r="AG979" i="3"/>
  <c r="AH979" i="3"/>
  <c r="AG643" i="3"/>
  <c r="AH643" i="3"/>
  <c r="AG184" i="3"/>
  <c r="AH184" i="3"/>
  <c r="AG143" i="3"/>
  <c r="AH143" i="3"/>
  <c r="AG857" i="3"/>
  <c r="AH857" i="3"/>
  <c r="AG593" i="3"/>
  <c r="AH593" i="3"/>
  <c r="AG223" i="3"/>
  <c r="AH223" i="3"/>
  <c r="AG1031" i="3"/>
  <c r="AH1031" i="3"/>
  <c r="AG139" i="3"/>
  <c r="AH139" i="3"/>
  <c r="AG701" i="3"/>
  <c r="AH701" i="3"/>
  <c r="AG647" i="3"/>
  <c r="AH647" i="3"/>
  <c r="AG150" i="3"/>
  <c r="AH150" i="3"/>
  <c r="AG751" i="3"/>
  <c r="AH751" i="3"/>
  <c r="AG817" i="3"/>
  <c r="AH817" i="3"/>
  <c r="AG91" i="3"/>
  <c r="AH91" i="3"/>
  <c r="AG225" i="3"/>
  <c r="AH225" i="3"/>
  <c r="AG302" i="3"/>
  <c r="AH302" i="3"/>
  <c r="AG767" i="3"/>
  <c r="AH767" i="3"/>
  <c r="AG1011" i="3"/>
  <c r="AH1011" i="3"/>
  <c r="AG769" i="3"/>
  <c r="AH769" i="3"/>
  <c r="AG491" i="3"/>
  <c r="AH491" i="3"/>
  <c r="AG1271" i="3"/>
  <c r="AH1271" i="3"/>
  <c r="AG599" i="3"/>
  <c r="AH599" i="3"/>
  <c r="AG194" i="3"/>
  <c r="AH194" i="3"/>
  <c r="AG138" i="3"/>
  <c r="AH138" i="3"/>
  <c r="AG53" i="3"/>
  <c r="AH53" i="3"/>
  <c r="AG39" i="3"/>
  <c r="AH39" i="3"/>
  <c r="AG777" i="3"/>
  <c r="AH777" i="3"/>
  <c r="AG159" i="3"/>
  <c r="AH159" i="3"/>
  <c r="AG25" i="3"/>
  <c r="AH25" i="3"/>
  <c r="AG967" i="3"/>
  <c r="AH967" i="3"/>
  <c r="AG607" i="3"/>
  <c r="AH607" i="3"/>
  <c r="AG171" i="3"/>
  <c r="AH171" i="3"/>
  <c r="AG59" i="3"/>
  <c r="AH59" i="3"/>
  <c r="AG845" i="3"/>
  <c r="AH845" i="3"/>
  <c r="AG533" i="3"/>
  <c r="AH533" i="3"/>
  <c r="AG142" i="3"/>
  <c r="AH142" i="3"/>
  <c r="AG396" i="3"/>
  <c r="AH396" i="3"/>
  <c r="AG1005" i="3"/>
  <c r="AH1005" i="3"/>
  <c r="AG333" i="3"/>
  <c r="AH333" i="3"/>
  <c r="AG1117" i="3"/>
  <c r="AH1117" i="3"/>
  <c r="AG320" i="3"/>
  <c r="AH320" i="3"/>
  <c r="AG1035" i="3"/>
  <c r="AH1035" i="3"/>
  <c r="AG691" i="3"/>
  <c r="AH691" i="3"/>
  <c r="AG267" i="3"/>
  <c r="AH267" i="3"/>
  <c r="AG757" i="3"/>
  <c r="AH757" i="3"/>
  <c r="AG232" i="3"/>
  <c r="AH232" i="3"/>
  <c r="AG191" i="3"/>
  <c r="AH191" i="3"/>
  <c r="AG603" i="3"/>
  <c r="AH603" i="3"/>
  <c r="AG855" i="3"/>
  <c r="AH855" i="3"/>
  <c r="AG661" i="3"/>
  <c r="AH661" i="3"/>
  <c r="AG1009" i="3"/>
  <c r="AH1009" i="3"/>
  <c r="AG637" i="3"/>
  <c r="AH637" i="3"/>
  <c r="AG543" i="3"/>
  <c r="AH543" i="3"/>
  <c r="AG153" i="3"/>
  <c r="AH153" i="3"/>
  <c r="AG102" i="3"/>
  <c r="AH102" i="3"/>
  <c r="AG29" i="3"/>
  <c r="AH29" i="3"/>
  <c r="AG252" i="3"/>
  <c r="AH252" i="3"/>
  <c r="AG765" i="3"/>
  <c r="AH765" i="3"/>
  <c r="AG147" i="3"/>
  <c r="AH147" i="3"/>
  <c r="AG388" i="3"/>
  <c r="AH388" i="3"/>
  <c r="AG859" i="3"/>
  <c r="AH859" i="3"/>
  <c r="AG595" i="3"/>
  <c r="AH595" i="3"/>
  <c r="AG157" i="3"/>
  <c r="AH157" i="3"/>
  <c r="AG402" i="3"/>
  <c r="AH402" i="3"/>
  <c r="AG833" i="3"/>
  <c r="AH833" i="3"/>
  <c r="AG509" i="3"/>
  <c r="AH509" i="3"/>
  <c r="AG106" i="3"/>
  <c r="AH106" i="3"/>
  <c r="AG1132" i="3"/>
  <c r="AH1132" i="3"/>
  <c r="AG38" i="3"/>
  <c r="AH38" i="3"/>
  <c r="AG290" i="3"/>
  <c r="AH290" i="3"/>
  <c r="AG215" i="3"/>
  <c r="AH215" i="3"/>
  <c r="AG665" i="3"/>
  <c r="AH665" i="3"/>
  <c r="AG971" i="3"/>
  <c r="AH971" i="3"/>
  <c r="AG585" i="3"/>
  <c r="AH585" i="3"/>
  <c r="AG810" i="3"/>
  <c r="AH810" i="3"/>
  <c r="AG973" i="3"/>
  <c r="AH973" i="3"/>
  <c r="AG1609" i="3"/>
  <c r="AH1609" i="3"/>
  <c r="AG507" i="3"/>
  <c r="AH507" i="3"/>
  <c r="AG841" i="3"/>
  <c r="AH841" i="3"/>
  <c r="AG1533" i="3"/>
  <c r="AH1533" i="3"/>
  <c r="AG853" i="3"/>
  <c r="AH853" i="3"/>
  <c r="AG529" i="3"/>
  <c r="AH529" i="3"/>
  <c r="AG435" i="3"/>
  <c r="AH435" i="3"/>
  <c r="AG128" i="3"/>
  <c r="AH128" i="3"/>
  <c r="AG78" i="3"/>
  <c r="AH78" i="3"/>
  <c r="AG15" i="3"/>
  <c r="AH15" i="3"/>
  <c r="AG1149" i="3"/>
  <c r="AH1149" i="3"/>
  <c r="AG753" i="3"/>
  <c r="AH753" i="3"/>
  <c r="AG134" i="3"/>
  <c r="AH134" i="3"/>
  <c r="AG363" i="3"/>
  <c r="AH363" i="3"/>
  <c r="AG847" i="3"/>
  <c r="AH847" i="3"/>
  <c r="AG583" i="3"/>
  <c r="AH583" i="3"/>
  <c r="AG108" i="3"/>
  <c r="AH108" i="3"/>
  <c r="AG349" i="3"/>
  <c r="AH349" i="3"/>
  <c r="AG809" i="3"/>
  <c r="AH809" i="3"/>
  <c r="AG485" i="3"/>
  <c r="AH485" i="3"/>
  <c r="AG70" i="3"/>
  <c r="AH70" i="3"/>
  <c r="AG204" i="3"/>
  <c r="AH204" i="3"/>
  <c r="AG415" i="3"/>
  <c r="AH415" i="3"/>
  <c r="AG961" i="3"/>
  <c r="AH961" i="3"/>
  <c r="AG969" i="3"/>
  <c r="AH969" i="3"/>
  <c r="AG1037" i="3"/>
  <c r="AH1037" i="3"/>
  <c r="AG280" i="3"/>
  <c r="AH280" i="3"/>
  <c r="AG202" i="3"/>
  <c r="AH202" i="3"/>
  <c r="AG1013" i="3"/>
  <c r="AH1013" i="3"/>
  <c r="AG1007" i="3"/>
  <c r="AH1007" i="3"/>
  <c r="AG1384" i="3"/>
  <c r="AH1384" i="3"/>
  <c r="AG356" i="3"/>
  <c r="AH356" i="3"/>
  <c r="AG635" i="3"/>
  <c r="AH635" i="3"/>
  <c r="AG527" i="3"/>
  <c r="AH527" i="3"/>
  <c r="AG1471" i="3"/>
  <c r="AH1471" i="3"/>
  <c r="AG1138" i="3"/>
  <c r="AH1138" i="3"/>
  <c r="AG493" i="3"/>
  <c r="AH493" i="3"/>
  <c r="AG699" i="3"/>
  <c r="AH699" i="3"/>
  <c r="AG1483" i="3"/>
  <c r="AH1483" i="3"/>
  <c r="AG839" i="3"/>
  <c r="AH839" i="3"/>
  <c r="AG305" i="3"/>
  <c r="AH305" i="3"/>
  <c r="AG392" i="3"/>
  <c r="AH392" i="3"/>
  <c r="AG92" i="3"/>
  <c r="AH92" i="3"/>
  <c r="AG66" i="3"/>
  <c r="AH66" i="3"/>
  <c r="AG229" i="3"/>
  <c r="AH229" i="3"/>
  <c r="AG1113" i="3"/>
  <c r="AH1113" i="3"/>
  <c r="AG693" i="3"/>
  <c r="AH693" i="3"/>
  <c r="AG122" i="3"/>
  <c r="AH122" i="3"/>
  <c r="AG286" i="3"/>
  <c r="AH286" i="3"/>
  <c r="AG835" i="3"/>
  <c r="AH835" i="3"/>
  <c r="AG511" i="3"/>
  <c r="AH511" i="3"/>
  <c r="AG23" i="3"/>
  <c r="AH23" i="3"/>
  <c r="AG1362" i="3"/>
  <c r="AH1362" i="3"/>
  <c r="AG773" i="3"/>
  <c r="AH773" i="3"/>
  <c r="AG437" i="3"/>
  <c r="AH437" i="3"/>
  <c r="AG20" i="3"/>
  <c r="AH20" i="3"/>
  <c r="AG815" i="3"/>
  <c r="AH815" i="3"/>
  <c r="AG16" i="3"/>
  <c r="AH16" i="3"/>
  <c r="AG1267" i="3"/>
  <c r="AH1267" i="3"/>
  <c r="AG1119" i="3"/>
  <c r="AH1119" i="3"/>
  <c r="AG26" i="3"/>
  <c r="AH26" i="3"/>
  <c r="AG381" i="3"/>
  <c r="AH381" i="3"/>
  <c r="AG653" i="3"/>
  <c r="AH653" i="3"/>
  <c r="AG1269" i="3"/>
  <c r="AH1269" i="3"/>
  <c r="AG803" i="3"/>
  <c r="AH803" i="3"/>
  <c r="AG1307" i="3"/>
  <c r="AH1307" i="3"/>
  <c r="AG1115" i="3"/>
  <c r="AH1115" i="3"/>
  <c r="AG1630" i="3"/>
  <c r="AH1630" i="3"/>
  <c r="AG1033" i="3"/>
  <c r="AH1033" i="3"/>
  <c r="AG743" i="3"/>
  <c r="AH743" i="3"/>
  <c r="AG329" i="3"/>
  <c r="AH329" i="3"/>
  <c r="AG771" i="3"/>
  <c r="AH771" i="3"/>
  <c r="AG1043" i="3"/>
  <c r="AH1043" i="3"/>
  <c r="AG353" i="3"/>
  <c r="AH353" i="3"/>
  <c r="AG673" i="3"/>
  <c r="AH673" i="3"/>
  <c r="AG1211" i="3"/>
  <c r="AH1211" i="3"/>
  <c r="AG807" i="3"/>
  <c r="AH807" i="3"/>
  <c r="AG1273" i="3"/>
  <c r="AH1273" i="3"/>
  <c r="AG292" i="3"/>
  <c r="AH292" i="3"/>
  <c r="AG56" i="3"/>
  <c r="AH56" i="3"/>
  <c r="AG42" i="3"/>
  <c r="AH42" i="3"/>
  <c r="AG203" i="3"/>
  <c r="AH203" i="3"/>
  <c r="AG1041" i="3"/>
  <c r="AH1041" i="3"/>
  <c r="AG669" i="3"/>
  <c r="AH669" i="3"/>
  <c r="AG110" i="3"/>
  <c r="AH110" i="3"/>
  <c r="AG200" i="3"/>
  <c r="AH200" i="3"/>
  <c r="AG811" i="3"/>
  <c r="AH811" i="3"/>
  <c r="AG499" i="3"/>
  <c r="AH499" i="3"/>
  <c r="AG375" i="3"/>
  <c r="AH375" i="3"/>
  <c r="AG1133" i="3"/>
  <c r="AH1133" i="3"/>
  <c r="AG761" i="3"/>
  <c r="AH761" i="3"/>
  <c r="AG412" i="3"/>
  <c r="AH412" i="3"/>
  <c r="AG24" i="3"/>
  <c r="AH24" i="3"/>
  <c r="AG975" i="3"/>
  <c r="AH975" i="3"/>
  <c r="AG609" i="3"/>
  <c r="AH609" i="3"/>
  <c r="AG639" i="3"/>
  <c r="AH639" i="3"/>
  <c r="AG1134" i="3"/>
  <c r="AH1134" i="3"/>
  <c r="AG369" i="3"/>
  <c r="AH369" i="3"/>
  <c r="AG2" i="3"/>
  <c r="AH2" i="3"/>
  <c r="AG651" i="3"/>
  <c r="AH651" i="3"/>
  <c r="AG303" i="3"/>
  <c r="AH303" i="3"/>
  <c r="AG1353" i="3"/>
  <c r="AH1353" i="3"/>
  <c r="AG843" i="3"/>
  <c r="AH843" i="3"/>
  <c r="AG1095" i="3"/>
  <c r="AH1095" i="3"/>
  <c r="AG587" i="3"/>
  <c r="AH587" i="3"/>
  <c r="AG1148" i="3"/>
  <c r="AH1148" i="3"/>
  <c r="AG779" i="3"/>
  <c r="AH779" i="3"/>
  <c r="AG1372" i="3"/>
  <c r="AH1372" i="3"/>
  <c r="AG205" i="3"/>
  <c r="AH205" i="3"/>
  <c r="AG32" i="3"/>
  <c r="AH32" i="3"/>
  <c r="AG30" i="3"/>
  <c r="AH30" i="3"/>
  <c r="AG88" i="3"/>
  <c r="AH88" i="3"/>
  <c r="AG1029" i="3"/>
  <c r="AH1029" i="3"/>
  <c r="AG645" i="3"/>
  <c r="AH645" i="3"/>
  <c r="AG74" i="3"/>
  <c r="AH74" i="3"/>
  <c r="AG1624" i="3"/>
  <c r="AH1624" i="3"/>
  <c r="AG775" i="3"/>
  <c r="AH775" i="3"/>
  <c r="AG439" i="3"/>
  <c r="AH439" i="3"/>
  <c r="AG1363" i="3"/>
  <c r="AH1363" i="3"/>
  <c r="AG1121" i="3"/>
  <c r="AH1121" i="3"/>
  <c r="AG749" i="3"/>
  <c r="AH749" i="3"/>
  <c r="AG385" i="3"/>
  <c r="AH385" i="3"/>
  <c r="AG12" i="3"/>
  <c r="AH12" i="3"/>
  <c r="AI1941" i="3" l="1"/>
  <c r="AI1928" i="3"/>
  <c r="AI1931" i="3"/>
  <c r="AI1935" i="3"/>
  <c r="AI1932" i="3"/>
  <c r="AI1925" i="3"/>
  <c r="AI1938" i="3"/>
  <c r="AI1880" i="3"/>
  <c r="AI1919" i="3"/>
  <c r="AI1959" i="3"/>
  <c r="AI1922" i="3"/>
  <c r="AI1879" i="3"/>
  <c r="AI1881" i="3"/>
  <c r="AI1875" i="3"/>
  <c r="AI1789" i="3"/>
  <c r="AI1790" i="3"/>
  <c r="P744" i="4"/>
  <c r="R744" i="4" s="1"/>
  <c r="AI1853" i="3"/>
  <c r="AI1850" i="3"/>
  <c r="P743" i="4"/>
  <c r="P727" i="4"/>
  <c r="R727" i="4" s="1"/>
  <c r="P316" i="4"/>
  <c r="P379" i="4"/>
  <c r="P283" i="4"/>
  <c r="P222" i="4"/>
  <c r="V222" i="4" s="1"/>
  <c r="AI813" i="3"/>
  <c r="AI1135" i="3"/>
  <c r="AI326" i="3"/>
  <c r="AI199" i="3"/>
  <c r="AI158" i="3"/>
  <c r="AI141" i="3"/>
  <c r="AI837" i="3"/>
  <c r="AI655" i="3"/>
  <c r="AI209" i="3"/>
  <c r="AI649" i="3"/>
  <c r="AI589" i="3"/>
  <c r="AI977" i="3"/>
  <c r="AI513" i="3"/>
  <c r="AI806" i="3"/>
  <c r="AI531" i="3"/>
  <c r="AI671" i="3"/>
  <c r="AI859" i="3"/>
  <c r="AI102" i="3"/>
  <c r="AI793" i="3"/>
  <c r="P286" i="4"/>
  <c r="P83" i="4"/>
  <c r="P152" i="4"/>
  <c r="P298" i="4"/>
  <c r="P197" i="4"/>
  <c r="Q197" i="4" s="1"/>
  <c r="U197" i="4" s="1"/>
  <c r="AI381" i="3"/>
  <c r="AI665" i="3"/>
  <c r="P49" i="4"/>
  <c r="Q49" i="4" s="1"/>
  <c r="U49" i="4" s="1"/>
  <c r="P417" i="4"/>
  <c r="AI385" i="3"/>
  <c r="AI763" i="3"/>
  <c r="AI113" i="3"/>
  <c r="P202" i="4"/>
  <c r="Q202" i="4" s="1"/>
  <c r="U202" i="4" s="1"/>
  <c r="P274" i="4"/>
  <c r="P143" i="4"/>
  <c r="P31" i="4"/>
  <c r="P226" i="4"/>
  <c r="P196" i="4"/>
  <c r="Q196" i="4" s="1"/>
  <c r="U196" i="4" s="1"/>
  <c r="P167" i="4"/>
  <c r="P493" i="4"/>
  <c r="Q493" i="4" s="1"/>
  <c r="U493" i="4" s="1"/>
  <c r="P306" i="4"/>
  <c r="AI747" i="3"/>
  <c r="AI1209" i="3"/>
  <c r="AI103" i="3"/>
  <c r="AI767" i="3"/>
  <c r="AI814" i="3"/>
  <c r="AI73" i="3"/>
  <c r="AI593" i="3"/>
  <c r="AI147" i="3"/>
  <c r="AI19" i="3"/>
  <c r="AI25" i="3"/>
  <c r="AI963" i="3"/>
  <c r="AI150" i="3"/>
  <c r="AI175" i="3"/>
  <c r="AI194" i="3"/>
  <c r="AI533" i="3"/>
  <c r="AI641" i="3"/>
  <c r="P251" i="4"/>
  <c r="P247" i="4"/>
  <c r="Q247" i="4" s="1"/>
  <c r="U247" i="4" s="1"/>
  <c r="P228" i="4"/>
  <c r="P281" i="4"/>
  <c r="Q281" i="4" s="1"/>
  <c r="U281" i="4" s="1"/>
  <c r="AI1007" i="3"/>
  <c r="AI433" i="3"/>
  <c r="AI201" i="3"/>
  <c r="P549" i="4"/>
  <c r="AI302" i="3"/>
  <c r="AI857" i="3"/>
  <c r="P225" i="4"/>
  <c r="AI637" i="3"/>
  <c r="AI1117" i="3"/>
  <c r="P155" i="4"/>
  <c r="P450" i="4"/>
  <c r="Q450" i="4" s="1"/>
  <c r="U450" i="4" s="1"/>
  <c r="AI74" i="3"/>
  <c r="P88" i="4"/>
  <c r="P156" i="4"/>
  <c r="AI809" i="3"/>
  <c r="AI437" i="3"/>
  <c r="P289" i="4"/>
  <c r="AI402" i="3"/>
  <c r="AI483" i="3"/>
  <c r="AI1111" i="3"/>
  <c r="AI159" i="3"/>
  <c r="AI745" i="3"/>
  <c r="AI1133" i="3"/>
  <c r="AI232" i="3"/>
  <c r="AI1115" i="3"/>
  <c r="AI599" i="3"/>
  <c r="AI765" i="3"/>
  <c r="AI134" i="3"/>
  <c r="AI529" i="3"/>
  <c r="AI205" i="3"/>
  <c r="AI493" i="3"/>
  <c r="P238" i="4"/>
  <c r="Q238" i="4" s="1"/>
  <c r="U238" i="4" s="1"/>
  <c r="P54" i="4"/>
  <c r="AI969" i="3"/>
  <c r="AI639" i="3"/>
  <c r="P327" i="4"/>
  <c r="AI92" i="3"/>
  <c r="AI647" i="3"/>
  <c r="AI215" i="3"/>
  <c r="P64" i="4"/>
  <c r="Q64" i="4" s="1"/>
  <c r="U64" i="4" s="1"/>
  <c r="P465" i="4"/>
  <c r="AI1138" i="3"/>
  <c r="P403" i="4"/>
  <c r="P219" i="4"/>
  <c r="P11" i="4"/>
  <c r="P13" i="4"/>
  <c r="P101" i="4"/>
  <c r="P285" i="4"/>
  <c r="Q285" i="4" s="1"/>
  <c r="U285" i="4" s="1"/>
  <c r="AI961" i="3"/>
  <c r="AI973" i="3"/>
  <c r="AI1043" i="3"/>
  <c r="AI749" i="3"/>
  <c r="AI286" i="3"/>
  <c r="P530" i="4"/>
  <c r="AI349" i="3"/>
  <c r="P224" i="4"/>
  <c r="AI1372" i="3"/>
  <c r="AI833" i="3"/>
  <c r="AI435" i="3"/>
  <c r="AI1353" i="3"/>
  <c r="AI1119" i="3"/>
  <c r="P278" i="4"/>
  <c r="P429" i="4"/>
  <c r="Q429" i="4" s="1"/>
  <c r="U429" i="4" s="1"/>
  <c r="AI1134" i="3"/>
  <c r="P384" i="4"/>
  <c r="P80" i="4"/>
  <c r="AI845" i="3"/>
  <c r="AI320" i="3"/>
  <c r="P414" i="4"/>
  <c r="AI753" i="3"/>
  <c r="P82" i="4"/>
  <c r="Q82" i="4" s="1"/>
  <c r="U82" i="4" s="1"/>
  <c r="AI1307" i="3"/>
  <c r="P236" i="4"/>
  <c r="AI290" i="3"/>
  <c r="AI669" i="3"/>
  <c r="AI1609" i="3"/>
  <c r="AI26" i="3"/>
  <c r="AI1384" i="3"/>
  <c r="AI773" i="3"/>
  <c r="P106" i="4"/>
  <c r="AI543" i="3"/>
  <c r="AI771" i="3"/>
  <c r="AI761" i="3"/>
  <c r="AI292" i="3"/>
  <c r="AI122" i="3"/>
  <c r="P93" i="4"/>
  <c r="AI779" i="3"/>
  <c r="AI375" i="3"/>
  <c r="AI807" i="3"/>
  <c r="AI1267" i="3"/>
  <c r="AI693" i="3"/>
  <c r="AI1013" i="3"/>
  <c r="AI1149" i="3"/>
  <c r="AI810" i="3"/>
  <c r="AI252" i="3"/>
  <c r="AI757" i="3"/>
  <c r="AI777" i="3"/>
  <c r="AI701" i="3"/>
  <c r="AI801" i="3"/>
  <c r="AI1015" i="3"/>
  <c r="AI408" i="3"/>
  <c r="P291" i="4"/>
  <c r="P199" i="4"/>
  <c r="Q199" i="4" s="1"/>
  <c r="U199" i="4" s="1"/>
  <c r="P418" i="4"/>
  <c r="P72" i="4"/>
  <c r="P517" i="4"/>
  <c r="P248" i="4"/>
  <c r="P109" i="4"/>
  <c r="P50" i="4"/>
  <c r="Q50" i="4" s="1"/>
  <c r="U50" i="4" s="1"/>
  <c r="P290" i="4"/>
  <c r="P252" i="4"/>
  <c r="P117" i="4"/>
  <c r="P405" i="4"/>
  <c r="P451" i="4"/>
  <c r="P105" i="4"/>
  <c r="Q105" i="4" s="1"/>
  <c r="U105" i="4" s="1"/>
  <c r="P34" i="4"/>
  <c r="AI1363" i="3"/>
  <c r="AI609" i="3"/>
  <c r="AI803" i="3"/>
  <c r="AI1471" i="3"/>
  <c r="AI415" i="3"/>
  <c r="AI853" i="3"/>
  <c r="AI157" i="3"/>
  <c r="AI333" i="3"/>
  <c r="AI225" i="3"/>
  <c r="AI431" i="3"/>
  <c r="AI825" i="3"/>
  <c r="P318" i="4"/>
  <c r="AI843" i="3"/>
  <c r="P84" i="4"/>
  <c r="Q84" i="4" s="1"/>
  <c r="U84" i="4" s="1"/>
  <c r="P223" i="4"/>
  <c r="AI392" i="3"/>
  <c r="AI1630" i="3"/>
  <c r="AI439" i="3"/>
  <c r="AI88" i="3"/>
  <c r="AI1148" i="3"/>
  <c r="AI651" i="3"/>
  <c r="AI975" i="3"/>
  <c r="AI499" i="3"/>
  <c r="AI203" i="3"/>
  <c r="AI1211" i="3"/>
  <c r="AI743" i="3"/>
  <c r="AI1269" i="3"/>
  <c r="AI16" i="3"/>
  <c r="AI23" i="3"/>
  <c r="AI1113" i="3"/>
  <c r="AI839" i="3"/>
  <c r="AI527" i="3"/>
  <c r="AI202" i="3"/>
  <c r="AI204" i="3"/>
  <c r="AI583" i="3"/>
  <c r="AI15" i="3"/>
  <c r="AI1533" i="3"/>
  <c r="AI585" i="3"/>
  <c r="AI1132" i="3"/>
  <c r="AI595" i="3"/>
  <c r="AI29" i="3"/>
  <c r="AI661" i="3"/>
  <c r="AI267" i="3"/>
  <c r="AI1005" i="3"/>
  <c r="AI171" i="3"/>
  <c r="AI39" i="3"/>
  <c r="AI491" i="3"/>
  <c r="AI91" i="3"/>
  <c r="AI139" i="3"/>
  <c r="AI184" i="3"/>
  <c r="AI51" i="3"/>
  <c r="AI601" i="3"/>
  <c r="AI819" i="3"/>
  <c r="AI597" i="3"/>
  <c r="AI605" i="3"/>
  <c r="AI109" i="3"/>
  <c r="AI93" i="3"/>
  <c r="AI827" i="3"/>
  <c r="AI137" i="3"/>
  <c r="AI52" i="3"/>
  <c r="AI212" i="3"/>
  <c r="AI187" i="3"/>
  <c r="AI795" i="3"/>
  <c r="AI249" i="3"/>
  <c r="AI1029" i="3"/>
  <c r="AI303" i="3"/>
  <c r="AI1041" i="3"/>
  <c r="AI329" i="3"/>
  <c r="AI1362" i="3"/>
  <c r="AI305" i="3"/>
  <c r="AI108" i="3"/>
  <c r="AI38" i="3"/>
  <c r="AI1009" i="3"/>
  <c r="AI59" i="3"/>
  <c r="AI1271" i="3"/>
  <c r="AI143" i="3"/>
  <c r="AI222" i="3"/>
  <c r="AI168" i="3"/>
  <c r="AI247" i="3"/>
  <c r="AI31" i="3"/>
  <c r="AI1361" i="3"/>
  <c r="AI283" i="3"/>
  <c r="AI1097" i="3"/>
  <c r="AI219" i="3"/>
  <c r="P121" i="4"/>
  <c r="Q121" i="4" s="1"/>
  <c r="U121" i="4" s="1"/>
  <c r="P151" i="4"/>
  <c r="P494" i="4"/>
  <c r="Q494" i="4" s="1"/>
  <c r="U494" i="4" s="1"/>
  <c r="P273" i="4"/>
  <c r="P518" i="4"/>
  <c r="Q518" i="4" s="1"/>
  <c r="U518" i="4" s="1"/>
  <c r="P462" i="4"/>
  <c r="P317" i="4"/>
  <c r="P193" i="4"/>
  <c r="P48" i="4"/>
  <c r="P147" i="4"/>
  <c r="P22" i="4"/>
  <c r="P203" i="4"/>
  <c r="P307" i="4"/>
  <c r="P201" i="4"/>
  <c r="P205" i="4"/>
  <c r="P311" i="4"/>
  <c r="P32" i="4"/>
  <c r="Q32" i="4" s="1"/>
  <c r="U32" i="4" s="1"/>
  <c r="P299" i="4"/>
  <c r="P41" i="4"/>
  <c r="AI309" i="3"/>
  <c r="P144" i="4"/>
  <c r="AI1273" i="3"/>
  <c r="AI12" i="3"/>
  <c r="AI775" i="3"/>
  <c r="AI30" i="3"/>
  <c r="AI587" i="3"/>
  <c r="AI24" i="3"/>
  <c r="AI811" i="3"/>
  <c r="AI42" i="3"/>
  <c r="AI673" i="3"/>
  <c r="AI1033" i="3"/>
  <c r="AI653" i="3"/>
  <c r="AI815" i="3"/>
  <c r="AI511" i="3"/>
  <c r="AI229" i="3"/>
  <c r="AI1483" i="3"/>
  <c r="AI635" i="3"/>
  <c r="AI280" i="3"/>
  <c r="AI70" i="3"/>
  <c r="AI847" i="3"/>
  <c r="AI78" i="3"/>
  <c r="AI841" i="3"/>
  <c r="AI971" i="3"/>
  <c r="AI106" i="3"/>
  <c r="AI855" i="3"/>
  <c r="AI691" i="3"/>
  <c r="AI396" i="3"/>
  <c r="AI607" i="3"/>
  <c r="AI53" i="3"/>
  <c r="AI769" i="3"/>
  <c r="AI817" i="3"/>
  <c r="AI1031" i="3"/>
  <c r="AI643" i="3"/>
  <c r="AI65" i="3"/>
  <c r="AI805" i="3"/>
  <c r="AI291" i="3"/>
  <c r="AI366" i="3"/>
  <c r="AI965" i="3"/>
  <c r="AI501" i="3"/>
  <c r="AI591" i="3"/>
  <c r="AI663" i="3"/>
  <c r="AI1069" i="3"/>
  <c r="AI667" i="3"/>
  <c r="AI125" i="3"/>
  <c r="AI755" i="3"/>
  <c r="AI181" i="3"/>
  <c r="AI191" i="3"/>
  <c r="AI1624" i="3"/>
  <c r="AI32" i="3"/>
  <c r="AI1095" i="3"/>
  <c r="AI369" i="3"/>
  <c r="AI412" i="3"/>
  <c r="AI200" i="3"/>
  <c r="AI56" i="3"/>
  <c r="AI353" i="3"/>
  <c r="AI20" i="3"/>
  <c r="AI835" i="3"/>
  <c r="AI66" i="3"/>
  <c r="AI699" i="3"/>
  <c r="AI356" i="3"/>
  <c r="AI1037" i="3"/>
  <c r="AI485" i="3"/>
  <c r="AI363" i="3"/>
  <c r="AI128" i="3"/>
  <c r="AI507" i="3"/>
  <c r="AI509" i="3"/>
  <c r="AI388" i="3"/>
  <c r="AI153" i="3"/>
  <c r="AI603" i="3"/>
  <c r="AI1035" i="3"/>
  <c r="AI142" i="3"/>
  <c r="AI967" i="3"/>
  <c r="AI138" i="3"/>
  <c r="AI1011" i="3"/>
  <c r="AI751" i="3"/>
  <c r="AI223" i="3"/>
  <c r="AI979" i="3"/>
  <c r="AI165" i="3"/>
  <c r="AI1150" i="3"/>
  <c r="AI759" i="3"/>
  <c r="AI1147" i="3"/>
  <c r="AI198" i="3"/>
  <c r="AI293" i="3"/>
  <c r="AI445" i="3"/>
  <c r="AI271" i="3"/>
  <c r="AI1039" i="3"/>
  <c r="AI67" i="3"/>
  <c r="AI11" i="3"/>
  <c r="AI802" i="3"/>
  <c r="AI110" i="3"/>
  <c r="AI645" i="3"/>
  <c r="P276" i="4"/>
  <c r="P319" i="4"/>
  <c r="P419" i="4"/>
  <c r="P463" i="4"/>
  <c r="P56" i="4"/>
  <c r="P382" i="4"/>
  <c r="P33" i="4"/>
  <c r="Q33" i="4" s="1"/>
  <c r="U33" i="4" s="1"/>
  <c r="P8" i="4"/>
  <c r="P173" i="4"/>
  <c r="Q173" i="4" s="1"/>
  <c r="U173" i="4" s="1"/>
  <c r="P26" i="4"/>
  <c r="Q26" i="4" s="1"/>
  <c r="U26" i="4" s="1"/>
  <c r="AI1121" i="3"/>
  <c r="Y464" i="4"/>
  <c r="Y517" i="4"/>
  <c r="Y549" i="4"/>
  <c r="Y493" i="4"/>
  <c r="Y530" i="4"/>
  <c r="Y539" i="4"/>
  <c r="Y461" i="4"/>
  <c r="Y518" i="4"/>
  <c r="Y462" i="4"/>
  <c r="Y555" i="4"/>
  <c r="Y463" i="4"/>
  <c r="Y520" i="4"/>
  <c r="Y465" i="4"/>
  <c r="Y494" i="4"/>
  <c r="Y519" i="4"/>
  <c r="T291" i="4"/>
  <c r="T287" i="4"/>
  <c r="T450" i="4"/>
  <c r="T464" i="4"/>
  <c r="T285" i="4"/>
  <c r="T41" i="4"/>
  <c r="T275" i="4"/>
  <c r="T317" i="4"/>
  <c r="T237" i="4"/>
  <c r="T282" i="4"/>
  <c r="T103" i="4"/>
  <c r="T276" i="4"/>
  <c r="T307" i="4"/>
  <c r="T109" i="4"/>
  <c r="T106" i="4"/>
  <c r="T194" i="4"/>
  <c r="T119" i="4"/>
  <c r="T33" i="4"/>
  <c r="T82" i="4"/>
  <c r="T400" i="4"/>
  <c r="T167" i="4"/>
  <c r="T413" i="4"/>
  <c r="T54" i="4"/>
  <c r="T117" i="4"/>
  <c r="T428" i="4"/>
  <c r="T385" i="4"/>
  <c r="T549" i="4"/>
  <c r="T197" i="4"/>
  <c r="T199" i="4"/>
  <c r="T147" i="4"/>
  <c r="T55" i="4"/>
  <c r="T227" i="4"/>
  <c r="T25" i="4"/>
  <c r="T274" i="4"/>
  <c r="T493" i="4"/>
  <c r="T121" i="4"/>
  <c r="T248" i="4"/>
  <c r="T220" i="4"/>
  <c r="T151" i="4"/>
  <c r="T286" i="4"/>
  <c r="T290" i="4"/>
  <c r="T379" i="4"/>
  <c r="T383" i="4"/>
  <c r="T92" i="4"/>
  <c r="T49" i="4"/>
  <c r="T405" i="4"/>
  <c r="T105" i="4"/>
  <c r="T86" i="4"/>
  <c r="T200" i="4"/>
  <c r="T247" i="4"/>
  <c r="T324" i="4"/>
  <c r="T233" i="4"/>
  <c r="T56" i="4"/>
  <c r="T416" i="4"/>
  <c r="T101" i="4"/>
  <c r="T219" i="4"/>
  <c r="T37" i="4"/>
  <c r="T96" i="4"/>
  <c r="T252" i="4"/>
  <c r="T64" i="4"/>
  <c r="T310" i="4"/>
  <c r="T318" i="4"/>
  <c r="T316" i="4"/>
  <c r="T27" i="4"/>
  <c r="T315" i="4"/>
  <c r="T193" i="4"/>
  <c r="T225" i="4"/>
  <c r="T530" i="4"/>
  <c r="T539" i="4"/>
  <c r="T22" i="4"/>
  <c r="T403" i="4"/>
  <c r="T314" i="4"/>
  <c r="T152" i="4"/>
  <c r="T205" i="4"/>
  <c r="T99" i="4"/>
  <c r="T88" i="4"/>
  <c r="T284" i="4"/>
  <c r="T382" i="4"/>
  <c r="T326" i="4"/>
  <c r="T80" i="4"/>
  <c r="T77" i="4"/>
  <c r="T229" i="4"/>
  <c r="T306" i="4"/>
  <c r="T461" i="4"/>
  <c r="T45" i="4"/>
  <c r="T378" i="4"/>
  <c r="T148" i="4"/>
  <c r="T299" i="4"/>
  <c r="T384" i="4"/>
  <c r="T34" i="4"/>
  <c r="T202" i="4"/>
  <c r="T195" i="4"/>
  <c r="T381" i="4"/>
  <c r="T518" i="4"/>
  <c r="T298" i="4"/>
  <c r="T165" i="4"/>
  <c r="T319" i="4"/>
  <c r="T166" i="4"/>
  <c r="T277" i="4"/>
  <c r="T412" i="4"/>
  <c r="T273" i="4"/>
  <c r="T402" i="4"/>
  <c r="T173" i="4"/>
  <c r="T223" i="4"/>
  <c r="T93" i="4"/>
  <c r="T462" i="4"/>
  <c r="T235" i="4"/>
  <c r="T40" i="4"/>
  <c r="T102" i="4"/>
  <c r="T251" i="4"/>
  <c r="T401" i="4"/>
  <c r="T325" i="4"/>
  <c r="T283" i="4"/>
  <c r="T76" i="4"/>
  <c r="T417" i="4"/>
  <c r="T415" i="4"/>
  <c r="T120" i="4"/>
  <c r="T387" i="4"/>
  <c r="T83" i="4"/>
  <c r="T72" i="4"/>
  <c r="T555" i="4"/>
  <c r="T279" i="4"/>
  <c r="T280" i="4"/>
  <c r="T32" i="4"/>
  <c r="T236" i="4"/>
  <c r="T156" i="4"/>
  <c r="T517" i="4"/>
  <c r="T204" i="4"/>
  <c r="T118" i="4"/>
  <c r="T42" i="4"/>
  <c r="T124" i="4"/>
  <c r="T78" i="4"/>
  <c r="T206" i="4"/>
  <c r="T144" i="4"/>
  <c r="T238" i="4"/>
  <c r="T31" i="4"/>
  <c r="T278" i="4"/>
  <c r="T520" i="4"/>
  <c r="T320" i="4"/>
  <c r="T201" i="4"/>
  <c r="T222" i="4"/>
  <c r="T414" i="4"/>
  <c r="T50" i="4"/>
  <c r="T28" i="4"/>
  <c r="T386" i="4"/>
  <c r="T281" i="4"/>
  <c r="T232" i="4"/>
  <c r="T168" i="4"/>
  <c r="T327" i="4"/>
  <c r="T463" i="4"/>
  <c r="T451" i="4"/>
  <c r="T221" i="4"/>
  <c r="T226" i="4"/>
  <c r="T155" i="4"/>
  <c r="T228" i="4"/>
  <c r="T289" i="4"/>
  <c r="T321" i="4"/>
  <c r="T380" i="4"/>
  <c r="T465" i="4"/>
  <c r="T404" i="4"/>
  <c r="T494" i="4"/>
  <c r="T26" i="4"/>
  <c r="T429" i="4"/>
  <c r="T198" i="4"/>
  <c r="T143" i="4"/>
  <c r="T234" i="4"/>
  <c r="T203" i="4"/>
  <c r="T69" i="4"/>
  <c r="T196" i="4"/>
  <c r="T418" i="4"/>
  <c r="T70" i="4"/>
  <c r="T48" i="4"/>
  <c r="T288" i="4"/>
  <c r="T224" i="4"/>
  <c r="T435" i="4"/>
  <c r="T519" i="4"/>
  <c r="T91" i="4"/>
  <c r="T419" i="4"/>
  <c r="T158" i="4"/>
  <c r="T157" i="4"/>
  <c r="P79" i="4"/>
  <c r="Q79" i="4" s="1"/>
  <c r="P433" i="4"/>
  <c r="Q236" i="4" l="1"/>
  <c r="U236" i="4" s="1"/>
  <c r="Q88" i="4"/>
  <c r="U88" i="4" s="1"/>
  <c r="Q109" i="4"/>
  <c r="U109" i="4" s="1"/>
  <c r="Q248" i="4"/>
  <c r="U248" i="4" s="1"/>
  <c r="Q101" i="4"/>
  <c r="U101" i="4" s="1"/>
  <c r="Q298" i="4"/>
  <c r="U298" i="4" s="1"/>
  <c r="V283" i="4"/>
  <c r="Q201" i="4"/>
  <c r="U201" i="4" s="1"/>
  <c r="Q517" i="4"/>
  <c r="U517" i="4" s="1"/>
  <c r="V379" i="4"/>
  <c r="Q307" i="4"/>
  <c r="U307" i="4" s="1"/>
  <c r="Q11" i="4"/>
  <c r="U11" i="4" s="1"/>
  <c r="V316" i="4"/>
  <c r="Q318" i="4"/>
  <c r="U318" i="4" s="1"/>
  <c r="Q224" i="4"/>
  <c r="U224" i="4" s="1"/>
  <c r="Q530" i="4"/>
  <c r="U530" i="4" s="1"/>
  <c r="Q465" i="4"/>
  <c r="U465" i="4" s="1"/>
  <c r="Q117" i="4"/>
  <c r="U117" i="4" s="1"/>
  <c r="Q549" i="4"/>
  <c r="U549" i="4" s="1"/>
  <c r="Q306" i="4"/>
  <c r="U306" i="4" s="1"/>
  <c r="Q417" i="4"/>
  <c r="U417" i="4" s="1"/>
  <c r="Q463" i="4"/>
  <c r="U463" i="4" s="1"/>
  <c r="Q83" i="4"/>
  <c r="U83" i="4" s="1"/>
  <c r="AB83" i="4"/>
  <c r="AC83" i="4" s="1"/>
  <c r="AD83" i="4" s="1"/>
  <c r="Q319" i="4"/>
  <c r="U319" i="4" s="1"/>
  <c r="Q205" i="4"/>
  <c r="U205" i="4" s="1"/>
  <c r="Q223" i="4"/>
  <c r="U223" i="4" s="1"/>
  <c r="Q228" i="4"/>
  <c r="U228" i="4" s="1"/>
  <c r="Q31" i="4"/>
  <c r="U31" i="4" s="1"/>
  <c r="Q151" i="4"/>
  <c r="U151" i="4" s="1"/>
  <c r="Q13" i="4"/>
  <c r="U13" i="4" s="1"/>
  <c r="Q155" i="4"/>
  <c r="U155" i="4" s="1"/>
  <c r="Q152" i="4"/>
  <c r="U152" i="4" s="1"/>
  <c r="Q72" i="4"/>
  <c r="U72" i="4" s="1"/>
  <c r="Q414" i="4"/>
  <c r="U414" i="4" s="1"/>
  <c r="Q54" i="4"/>
  <c r="U54" i="4" s="1"/>
  <c r="Q251" i="4"/>
  <c r="U251" i="4" s="1"/>
  <c r="Q274" i="4"/>
  <c r="U274" i="4" s="1"/>
  <c r="Q311" i="4"/>
  <c r="U311" i="4" s="1"/>
  <c r="Q34" i="4"/>
  <c r="U34" i="4" s="1"/>
  <c r="Q418" i="4"/>
  <c r="U418" i="4" s="1"/>
  <c r="Q106" i="4"/>
  <c r="U106" i="4" s="1"/>
  <c r="Q219" i="4"/>
  <c r="U219" i="4" s="1"/>
  <c r="Q286" i="4"/>
  <c r="U286" i="4" s="1"/>
  <c r="Q8" i="4"/>
  <c r="U8" i="4" s="1"/>
  <c r="Q22" i="4"/>
  <c r="U22" i="4" s="1"/>
  <c r="Q403" i="4"/>
  <c r="U403" i="4" s="1"/>
  <c r="Q225" i="4"/>
  <c r="U225" i="4" s="1"/>
  <c r="Q276" i="4"/>
  <c r="U276" i="4" s="1"/>
  <c r="Q273" i="4"/>
  <c r="U273" i="4" s="1"/>
  <c r="Q147" i="4"/>
  <c r="U147" i="4" s="1"/>
  <c r="Q451" i="4"/>
  <c r="U451" i="4" s="1"/>
  <c r="Q291" i="4"/>
  <c r="U291" i="4" s="1"/>
  <c r="Q80" i="4"/>
  <c r="U80" i="4" s="1"/>
  <c r="Q226" i="4"/>
  <c r="U226" i="4" s="1"/>
  <c r="Q382" i="4"/>
  <c r="U382" i="4" s="1"/>
  <c r="Q144" i="4"/>
  <c r="U144" i="4" s="1"/>
  <c r="Q48" i="4"/>
  <c r="U48" i="4" s="1"/>
  <c r="Q405" i="4"/>
  <c r="U405" i="4" s="1"/>
  <c r="Q384" i="4"/>
  <c r="U384" i="4" s="1"/>
  <c r="Q289" i="4"/>
  <c r="U289" i="4" s="1"/>
  <c r="Q56" i="4"/>
  <c r="U56" i="4" s="1"/>
  <c r="Q193" i="4"/>
  <c r="U193" i="4" s="1"/>
  <c r="Q41" i="4"/>
  <c r="U41" i="4" s="1"/>
  <c r="Q317" i="4"/>
  <c r="U317" i="4" s="1"/>
  <c r="Q252" i="4"/>
  <c r="U252" i="4" s="1"/>
  <c r="Q327" i="4"/>
  <c r="U327" i="4" s="1"/>
  <c r="Q419" i="4"/>
  <c r="U419" i="4" s="1"/>
  <c r="Q299" i="4"/>
  <c r="U299" i="4" s="1"/>
  <c r="Q462" i="4"/>
  <c r="U462" i="4" s="1"/>
  <c r="Q290" i="4"/>
  <c r="U290" i="4" s="1"/>
  <c r="Q93" i="4"/>
  <c r="U93" i="4" s="1"/>
  <c r="Q278" i="4"/>
  <c r="U278" i="4" s="1"/>
  <c r="Q156" i="4"/>
  <c r="U156" i="4" s="1"/>
  <c r="Q167" i="4"/>
  <c r="U167" i="4" s="1"/>
  <c r="Q433" i="4"/>
  <c r="U433" i="4" s="1"/>
  <c r="AA433" i="4"/>
  <c r="R743" i="4"/>
  <c r="Q743" i="4"/>
  <c r="Q744" i="4"/>
  <c r="Q143" i="4"/>
  <c r="U143" i="4" s="1"/>
  <c r="Q203" i="4"/>
  <c r="U203" i="4" s="1"/>
  <c r="R222" i="4"/>
  <c r="Q222" i="4"/>
  <c r="U222" i="4" s="1"/>
  <c r="W222" i="4" s="1"/>
  <c r="R283" i="4"/>
  <c r="Q283" i="4"/>
  <c r="U283" i="4" s="1"/>
  <c r="R379" i="4"/>
  <c r="Q379" i="4"/>
  <c r="U379" i="4" s="1"/>
  <c r="R316" i="4"/>
  <c r="Q316" i="4"/>
  <c r="U316" i="4" s="1"/>
  <c r="P552" i="4"/>
  <c r="P279" i="4"/>
  <c r="P68" i="4"/>
  <c r="P305" i="4"/>
  <c r="P90" i="4"/>
  <c r="P95" i="4"/>
  <c r="P63" i="4"/>
  <c r="P5" i="4"/>
  <c r="P200" i="4"/>
  <c r="P227" i="4"/>
  <c r="P14" i="4"/>
  <c r="P404" i="4"/>
  <c r="P76" i="4"/>
  <c r="P320" i="4"/>
  <c r="P464" i="4"/>
  <c r="P18" i="4"/>
  <c r="P102" i="4"/>
  <c r="P35" i="4"/>
  <c r="P591" i="4"/>
  <c r="P235" i="4"/>
  <c r="P233" i="4"/>
  <c r="P9" i="4"/>
  <c r="P148" i="4"/>
  <c r="P597" i="4"/>
  <c r="P519" i="4"/>
  <c r="P520" i="4"/>
  <c r="P321" i="4"/>
  <c r="P168" i="4"/>
  <c r="P25" i="4"/>
  <c r="P378" i="4"/>
  <c r="P428" i="4"/>
  <c r="P302" i="4"/>
  <c r="P165" i="4"/>
  <c r="P315" i="4"/>
  <c r="P91" i="4"/>
  <c r="P166" i="4"/>
  <c r="P99" i="4"/>
  <c r="P27" i="4"/>
  <c r="P120" i="4"/>
  <c r="P69" i="4"/>
  <c r="P119" i="4"/>
  <c r="P221" i="4"/>
  <c r="P28" i="4"/>
  <c r="P220" i="4"/>
  <c r="P303" i="4"/>
  <c r="P386" i="4"/>
  <c r="P60" i="4"/>
  <c r="P17" i="4"/>
  <c r="P6" i="4"/>
  <c r="P66" i="4"/>
  <c r="P73" i="4"/>
  <c r="P86" i="4"/>
  <c r="P103" i="4"/>
  <c r="P37" i="4"/>
  <c r="P383" i="4"/>
  <c r="V383" i="4" s="1"/>
  <c r="P229" i="4"/>
  <c r="P380" i="4"/>
  <c r="P304" i="4"/>
  <c r="P234" i="4"/>
  <c r="P23" i="4"/>
  <c r="P36" i="4"/>
  <c r="P7" i="4"/>
  <c r="P195" i="4"/>
  <c r="P310" i="4"/>
  <c r="P280" i="4"/>
  <c r="P78" i="4"/>
  <c r="P45" i="4"/>
  <c r="P198" i="4"/>
  <c r="P118" i="4"/>
  <c r="P124" i="4"/>
  <c r="P29" i="4"/>
  <c r="P555" i="4"/>
  <c r="P70" i="4"/>
  <c r="P282" i="4"/>
  <c r="P15" i="4"/>
  <c r="P402" i="4"/>
  <c r="P287" i="4"/>
  <c r="P204" i="4"/>
  <c r="P381" i="4"/>
  <c r="P461" i="4"/>
  <c r="P387" i="4"/>
  <c r="P413" i="4"/>
  <c r="P194" i="4"/>
  <c r="P158" i="4"/>
  <c r="P621" i="4"/>
  <c r="P12" i="4"/>
  <c r="P24" i="4"/>
  <c r="P539" i="4"/>
  <c r="P400" i="4"/>
  <c r="P55" i="4"/>
  <c r="P42" i="4"/>
  <c r="P412" i="4"/>
  <c r="P206" i="4"/>
  <c r="P401" i="4"/>
  <c r="P277" i="4"/>
  <c r="P415" i="4"/>
  <c r="P77" i="4"/>
  <c r="P10" i="4"/>
  <c r="P57" i="4"/>
  <c r="P314" i="4"/>
  <c r="P324" i="4"/>
  <c r="P326" i="4"/>
  <c r="P416" i="4"/>
  <c r="P96" i="4"/>
  <c r="P94" i="4"/>
  <c r="P92" i="4"/>
  <c r="P325" i="4"/>
  <c r="P284" i="4"/>
  <c r="P456" i="4"/>
  <c r="R456" i="4" s="1"/>
  <c r="P16" i="4"/>
  <c r="P157" i="4"/>
  <c r="P232" i="4"/>
  <c r="P385" i="4"/>
  <c r="P40" i="4"/>
  <c r="P288" i="4"/>
  <c r="P435" i="4"/>
  <c r="P237" i="4"/>
  <c r="P275" i="4"/>
  <c r="P20" i="4"/>
  <c r="V417" i="4"/>
  <c r="R417" i="4"/>
  <c r="V462" i="4"/>
  <c r="R462" i="4"/>
  <c r="V56" i="4"/>
  <c r="R56" i="4"/>
  <c r="V307" i="4"/>
  <c r="R307" i="4"/>
  <c r="V318" i="4"/>
  <c r="R318" i="4"/>
  <c r="V290" i="4"/>
  <c r="R290" i="4"/>
  <c r="V72" i="4"/>
  <c r="R72" i="4"/>
  <c r="V429" i="4"/>
  <c r="W429" i="4" s="1"/>
  <c r="R429" i="4"/>
  <c r="V155" i="4"/>
  <c r="R155" i="4"/>
  <c r="V281" i="4"/>
  <c r="W281" i="4" s="1"/>
  <c r="R281" i="4"/>
  <c r="V306" i="4"/>
  <c r="R306" i="4"/>
  <c r="V226" i="4"/>
  <c r="R226" i="4"/>
  <c r="V298" i="4"/>
  <c r="R298" i="4"/>
  <c r="V50" i="4"/>
  <c r="W50" i="4" s="1"/>
  <c r="R50" i="4"/>
  <c r="V278" i="4"/>
  <c r="R278" i="4"/>
  <c r="V228" i="4"/>
  <c r="R228" i="4"/>
  <c r="V26" i="4"/>
  <c r="W26" i="4" s="1"/>
  <c r="R26" i="4"/>
  <c r="V419" i="4"/>
  <c r="R419" i="4"/>
  <c r="V147" i="4"/>
  <c r="R147" i="4"/>
  <c r="V518" i="4"/>
  <c r="W518" i="4" s="1"/>
  <c r="R518" i="4"/>
  <c r="V199" i="4"/>
  <c r="W199" i="4" s="1"/>
  <c r="R199" i="4"/>
  <c r="V219" i="4"/>
  <c r="R219" i="4"/>
  <c r="V493" i="4"/>
  <c r="W493" i="4" s="1"/>
  <c r="R493" i="4"/>
  <c r="V83" i="4"/>
  <c r="R83" i="4"/>
  <c r="V418" i="4"/>
  <c r="R418" i="4"/>
  <c r="V173" i="4"/>
  <c r="W173" i="4" s="1"/>
  <c r="R173" i="4"/>
  <c r="V144" i="4"/>
  <c r="R144" i="4"/>
  <c r="V273" i="4"/>
  <c r="R273" i="4"/>
  <c r="V451" i="4"/>
  <c r="R451" i="4"/>
  <c r="V291" i="4"/>
  <c r="R291" i="4"/>
  <c r="V106" i="4"/>
  <c r="R106" i="4"/>
  <c r="V414" i="4"/>
  <c r="R414" i="4"/>
  <c r="V327" i="4"/>
  <c r="R327" i="4"/>
  <c r="V225" i="4"/>
  <c r="R225" i="4"/>
  <c r="V247" i="4"/>
  <c r="W247" i="4" s="1"/>
  <c r="R247" i="4"/>
  <c r="V82" i="4"/>
  <c r="W82" i="4" s="1"/>
  <c r="R82" i="4"/>
  <c r="U79" i="4"/>
  <c r="R79" i="4"/>
  <c r="V8" i="4"/>
  <c r="R8" i="4"/>
  <c r="V319" i="4"/>
  <c r="R319" i="4"/>
  <c r="V494" i="4"/>
  <c r="W494" i="4" s="1"/>
  <c r="R494" i="4"/>
  <c r="V143" i="4"/>
  <c r="R143" i="4"/>
  <c r="V286" i="4"/>
  <c r="R286" i="4"/>
  <c r="V317" i="4"/>
  <c r="R317" i="4"/>
  <c r="V11" i="4"/>
  <c r="R11" i="4"/>
  <c r="V276" i="4"/>
  <c r="R276" i="4"/>
  <c r="V41" i="4"/>
  <c r="R41" i="4"/>
  <c r="V48" i="4"/>
  <c r="R48" i="4"/>
  <c r="V151" i="4"/>
  <c r="R151" i="4"/>
  <c r="V405" i="4"/>
  <c r="R405" i="4"/>
  <c r="V403" i="4"/>
  <c r="R403" i="4"/>
  <c r="V156" i="4"/>
  <c r="R156" i="4"/>
  <c r="V251" i="4"/>
  <c r="R251" i="4"/>
  <c r="V274" i="4"/>
  <c r="W274" i="4" s="1"/>
  <c r="R274" i="4"/>
  <c r="V31" i="4"/>
  <c r="R31" i="4"/>
  <c r="V22" i="4"/>
  <c r="R22" i="4"/>
  <c r="V289" i="4"/>
  <c r="R289" i="4"/>
  <c r="V33" i="4"/>
  <c r="W33" i="4" s="1"/>
  <c r="R33" i="4"/>
  <c r="V299" i="4"/>
  <c r="R299" i="4"/>
  <c r="V109" i="4"/>
  <c r="R109" i="4"/>
  <c r="V88" i="4"/>
  <c r="R88" i="4"/>
  <c r="V202" i="4"/>
  <c r="W202" i="4" s="1"/>
  <c r="R202" i="4"/>
  <c r="V203" i="4"/>
  <c r="R203" i="4"/>
  <c r="V13" i="4"/>
  <c r="R13" i="4"/>
  <c r="V32" i="4"/>
  <c r="W32" i="4" s="1"/>
  <c r="R32" i="4"/>
  <c r="V224" i="4"/>
  <c r="R224" i="4"/>
  <c r="V285" i="4"/>
  <c r="W285" i="4" s="1"/>
  <c r="R285" i="4"/>
  <c r="V54" i="4"/>
  <c r="R54" i="4"/>
  <c r="V549" i="4"/>
  <c r="R549" i="4"/>
  <c r="V167" i="4"/>
  <c r="W167" i="4" s="1"/>
  <c r="R167" i="4"/>
  <c r="V34" i="4"/>
  <c r="W34" i="4" s="1"/>
  <c r="R34" i="4"/>
  <c r="V152" i="4"/>
  <c r="R152" i="4"/>
  <c r="V105" i="4"/>
  <c r="W105" i="4" s="1"/>
  <c r="R105" i="4"/>
  <c r="V49" i="4"/>
  <c r="W49" i="4" s="1"/>
  <c r="R49" i="4"/>
  <c r="V382" i="4"/>
  <c r="R382" i="4"/>
  <c r="V311" i="4"/>
  <c r="W311" i="4" s="1"/>
  <c r="R311" i="4"/>
  <c r="V223" i="4"/>
  <c r="R223" i="4"/>
  <c r="V117" i="4"/>
  <c r="R117" i="4"/>
  <c r="V93" i="4"/>
  <c r="R93" i="4"/>
  <c r="V80" i="4"/>
  <c r="R80" i="4"/>
  <c r="V101" i="4"/>
  <c r="R101" i="4"/>
  <c r="V238" i="4"/>
  <c r="W238" i="4" s="1"/>
  <c r="R238" i="4"/>
  <c r="V463" i="4"/>
  <c r="R463" i="4"/>
  <c r="V205" i="4"/>
  <c r="W205" i="4" s="1"/>
  <c r="R205" i="4"/>
  <c r="V121" i="4"/>
  <c r="W121" i="4" s="1"/>
  <c r="R121" i="4"/>
  <c r="V84" i="4"/>
  <c r="W84" i="4" s="1"/>
  <c r="R84" i="4"/>
  <c r="V252" i="4"/>
  <c r="R252" i="4"/>
  <c r="V248" i="4"/>
  <c r="R248" i="4"/>
  <c r="V384" i="4"/>
  <c r="R384" i="4"/>
  <c r="V530" i="4"/>
  <c r="R530" i="4"/>
  <c r="V465" i="4"/>
  <c r="R465" i="4"/>
  <c r="R433" i="4"/>
  <c r="V201" i="4"/>
  <c r="R201" i="4"/>
  <c r="V193" i="4"/>
  <c r="R193" i="4"/>
  <c r="V517" i="4"/>
  <c r="R517" i="4"/>
  <c r="V236" i="4"/>
  <c r="W236" i="4" s="1"/>
  <c r="R236" i="4"/>
  <c r="V64" i="4"/>
  <c r="W64" i="4" s="1"/>
  <c r="R64" i="4"/>
  <c r="V450" i="4"/>
  <c r="W450" i="4" s="1"/>
  <c r="R450" i="4"/>
  <c r="V196" i="4"/>
  <c r="W196" i="4" s="1"/>
  <c r="R196" i="4"/>
  <c r="V197" i="4"/>
  <c r="W197" i="4" s="1"/>
  <c r="R197" i="4"/>
  <c r="Y552" i="4"/>
  <c r="T552" i="4"/>
  <c r="T73" i="4"/>
  <c r="T66" i="4"/>
  <c r="T84" i="4"/>
  <c r="T311" i="4"/>
  <c r="T302" i="4"/>
  <c r="T60" i="4"/>
  <c r="T36" i="4"/>
  <c r="V433" i="4"/>
  <c r="T433" i="4"/>
  <c r="T68" i="4"/>
  <c r="T305" i="4"/>
  <c r="T57" i="4"/>
  <c r="V79" i="4"/>
  <c r="T79" i="4"/>
  <c r="T90" i="4"/>
  <c r="T95" i="4"/>
  <c r="T63" i="4"/>
  <c r="T35" i="4"/>
  <c r="T303" i="4"/>
  <c r="T304" i="4"/>
  <c r="T29" i="4"/>
  <c r="T23" i="4"/>
  <c r="W193" i="4" l="1"/>
  <c r="W248" i="4"/>
  <c r="W88" i="4"/>
  <c r="W109" i="4"/>
  <c r="W276" i="4"/>
  <c r="W319" i="4"/>
  <c r="W278" i="4"/>
  <c r="W549" i="4"/>
  <c r="W298" i="4"/>
  <c r="W318" i="4"/>
  <c r="W316" i="4"/>
  <c r="W530" i="4"/>
  <c r="W224" i="4"/>
  <c r="W465" i="4"/>
  <c r="W307" i="4"/>
  <c r="W117" i="4"/>
  <c r="W517" i="4"/>
  <c r="W201" i="4"/>
  <c r="W417" i="4"/>
  <c r="W463" i="4"/>
  <c r="W11" i="4"/>
  <c r="W83" i="4"/>
  <c r="W379" i="4"/>
  <c r="W306" i="4"/>
  <c r="W283" i="4"/>
  <c r="W273" i="4"/>
  <c r="W56" i="4"/>
  <c r="W101" i="4"/>
  <c r="W156" i="4"/>
  <c r="V204" i="4"/>
  <c r="W41" i="4"/>
  <c r="W228" i="4"/>
  <c r="W451" i="4"/>
  <c r="W155" i="4"/>
  <c r="W252" i="4"/>
  <c r="W286" i="4"/>
  <c r="W317" i="4"/>
  <c r="W418" i="4"/>
  <c r="W144" i="4"/>
  <c r="W13" i="4"/>
  <c r="W327" i="4"/>
  <c r="W152" i="4"/>
  <c r="W405" i="4"/>
  <c r="W72" i="4"/>
  <c r="W22" i="4"/>
  <c r="W419" i="4"/>
  <c r="W48" i="4"/>
  <c r="W289" i="4"/>
  <c r="W226" i="4"/>
  <c r="W251" i="4"/>
  <c r="W219" i="4"/>
  <c r="W382" i="4"/>
  <c r="W31" i="4"/>
  <c r="W291" i="4"/>
  <c r="W290" i="4"/>
  <c r="W403" i="4"/>
  <c r="W414" i="4"/>
  <c r="W462" i="4"/>
  <c r="W8" i="4"/>
  <c r="W147" i="4"/>
  <c r="W223" i="4"/>
  <c r="W299" i="4"/>
  <c r="W80" i="4"/>
  <c r="W54" i="4"/>
  <c r="W106" i="4"/>
  <c r="W93" i="4"/>
  <c r="W151" i="4"/>
  <c r="V96" i="4"/>
  <c r="W225" i="4"/>
  <c r="W384" i="4"/>
  <c r="W203" i="4"/>
  <c r="W143" i="4"/>
  <c r="R284" i="4"/>
  <c r="Q284" i="4"/>
  <c r="U284" i="4" s="1"/>
  <c r="R415" i="4"/>
  <c r="Q415" i="4"/>
  <c r="U415" i="4" s="1"/>
  <c r="V158" i="4"/>
  <c r="Q158" i="4"/>
  <c r="U158" i="4" s="1"/>
  <c r="R555" i="4"/>
  <c r="Q555" i="4"/>
  <c r="U555" i="4" s="1"/>
  <c r="R23" i="4"/>
  <c r="Q23" i="4"/>
  <c r="U23" i="4" s="1"/>
  <c r="R17" i="4"/>
  <c r="Q17" i="4"/>
  <c r="U17" i="4" s="1"/>
  <c r="R166" i="4"/>
  <c r="Q166" i="4"/>
  <c r="U166" i="4" s="1"/>
  <c r="R597" i="4"/>
  <c r="Q597" i="4"/>
  <c r="R404" i="4"/>
  <c r="Q404" i="4"/>
  <c r="U404" i="4" s="1"/>
  <c r="R20" i="4"/>
  <c r="Q20" i="4"/>
  <c r="V325" i="4"/>
  <c r="Q325" i="4"/>
  <c r="U325" i="4" s="1"/>
  <c r="V277" i="4"/>
  <c r="Q277" i="4"/>
  <c r="U277" i="4" s="1"/>
  <c r="R194" i="4"/>
  <c r="Q194" i="4"/>
  <c r="U194" i="4" s="1"/>
  <c r="V29" i="4"/>
  <c r="Q29" i="4"/>
  <c r="U29" i="4" s="1"/>
  <c r="V234" i="4"/>
  <c r="Q234" i="4"/>
  <c r="U234" i="4" s="1"/>
  <c r="R60" i="4"/>
  <c r="Q60" i="4"/>
  <c r="U60" i="4" s="1"/>
  <c r="V91" i="4"/>
  <c r="Q91" i="4"/>
  <c r="U91" i="4" s="1"/>
  <c r="V148" i="4"/>
  <c r="Q148" i="4"/>
  <c r="U148" i="4" s="1"/>
  <c r="V14" i="4"/>
  <c r="Q14" i="4"/>
  <c r="U14" i="4" s="1"/>
  <c r="R275" i="4"/>
  <c r="Q275" i="4"/>
  <c r="U275" i="4" s="1"/>
  <c r="R92" i="4"/>
  <c r="Q92" i="4"/>
  <c r="U92" i="4" s="1"/>
  <c r="R401" i="4"/>
  <c r="Q401" i="4"/>
  <c r="U401" i="4" s="1"/>
  <c r="R413" i="4"/>
  <c r="Q413" i="4"/>
  <c r="U413" i="4" s="1"/>
  <c r="R124" i="4"/>
  <c r="Q124" i="4"/>
  <c r="U124" i="4" s="1"/>
  <c r="R304" i="4"/>
  <c r="Q304" i="4"/>
  <c r="U304" i="4" s="1"/>
  <c r="R386" i="4"/>
  <c r="Q386" i="4"/>
  <c r="U386" i="4" s="1"/>
  <c r="R315" i="4"/>
  <c r="Q315" i="4"/>
  <c r="U315" i="4" s="1"/>
  <c r="R9" i="4"/>
  <c r="Q9" i="4"/>
  <c r="U9" i="4" s="1"/>
  <c r="R227" i="4"/>
  <c r="Q227" i="4"/>
  <c r="U227" i="4" s="1"/>
  <c r="V237" i="4"/>
  <c r="Q237" i="4"/>
  <c r="U237" i="4" s="1"/>
  <c r="R94" i="4"/>
  <c r="Q94" i="4"/>
  <c r="R206" i="4"/>
  <c r="Q206" i="4"/>
  <c r="U206" i="4" s="1"/>
  <c r="R387" i="4"/>
  <c r="Q387" i="4"/>
  <c r="U387" i="4" s="1"/>
  <c r="R118" i="4"/>
  <c r="Q118" i="4"/>
  <c r="U118" i="4" s="1"/>
  <c r="R380" i="4"/>
  <c r="Q380" i="4"/>
  <c r="U380" i="4" s="1"/>
  <c r="R303" i="4"/>
  <c r="Q303" i="4"/>
  <c r="U303" i="4" s="1"/>
  <c r="R165" i="4"/>
  <c r="Q165" i="4"/>
  <c r="U165" i="4" s="1"/>
  <c r="R233" i="4"/>
  <c r="Q233" i="4"/>
  <c r="U233" i="4" s="1"/>
  <c r="R200" i="4"/>
  <c r="Q200" i="4"/>
  <c r="U200" i="4" s="1"/>
  <c r="R435" i="4"/>
  <c r="Q435" i="4"/>
  <c r="U435" i="4" s="1"/>
  <c r="R96" i="4"/>
  <c r="Q96" i="4"/>
  <c r="U96" i="4" s="1"/>
  <c r="R412" i="4"/>
  <c r="Q412" i="4"/>
  <c r="U412" i="4" s="1"/>
  <c r="R461" i="4"/>
  <c r="Q461" i="4"/>
  <c r="U461" i="4" s="1"/>
  <c r="R198" i="4"/>
  <c r="Q198" i="4"/>
  <c r="U198" i="4" s="1"/>
  <c r="R229" i="4"/>
  <c r="Q229" i="4"/>
  <c r="U229" i="4" s="1"/>
  <c r="R220" i="4"/>
  <c r="Q220" i="4"/>
  <c r="U220" i="4" s="1"/>
  <c r="R302" i="4"/>
  <c r="Q302" i="4"/>
  <c r="U302" i="4" s="1"/>
  <c r="V235" i="4"/>
  <c r="Q235" i="4"/>
  <c r="U235" i="4" s="1"/>
  <c r="R5" i="4"/>
  <c r="Q5" i="4"/>
  <c r="U5" i="4" s="1"/>
  <c r="R288" i="4"/>
  <c r="Q288" i="4"/>
  <c r="U288" i="4" s="1"/>
  <c r="R416" i="4"/>
  <c r="Q416" i="4"/>
  <c r="U416" i="4" s="1"/>
  <c r="R42" i="4"/>
  <c r="Q42" i="4"/>
  <c r="U42" i="4" s="1"/>
  <c r="R381" i="4"/>
  <c r="Q381" i="4"/>
  <c r="U381" i="4" s="1"/>
  <c r="R45" i="4"/>
  <c r="Q45" i="4"/>
  <c r="U45" i="4" s="1"/>
  <c r="R383" i="4"/>
  <c r="Q383" i="4"/>
  <c r="U383" i="4" s="1"/>
  <c r="W383" i="4" s="1"/>
  <c r="R28" i="4"/>
  <c r="Q28" i="4"/>
  <c r="U28" i="4" s="1"/>
  <c r="V428" i="4"/>
  <c r="Q428" i="4"/>
  <c r="U428" i="4" s="1"/>
  <c r="R591" i="4"/>
  <c r="Q591" i="4"/>
  <c r="R63" i="4"/>
  <c r="Q63" i="4"/>
  <c r="U63" i="4" s="1"/>
  <c r="R40" i="4"/>
  <c r="Q40" i="4"/>
  <c r="U40" i="4" s="1"/>
  <c r="V326" i="4"/>
  <c r="Q326" i="4"/>
  <c r="U326" i="4" s="1"/>
  <c r="R55" i="4"/>
  <c r="Q55" i="4"/>
  <c r="U55" i="4" s="1"/>
  <c r="R204" i="4"/>
  <c r="Q204" i="4"/>
  <c r="U204" i="4" s="1"/>
  <c r="R78" i="4"/>
  <c r="Q78" i="4"/>
  <c r="U78" i="4" s="1"/>
  <c r="R37" i="4"/>
  <c r="Q37" i="4"/>
  <c r="U37" i="4" s="1"/>
  <c r="R221" i="4"/>
  <c r="Q221" i="4"/>
  <c r="U221" i="4" s="1"/>
  <c r="R378" i="4"/>
  <c r="Q378" i="4"/>
  <c r="U378" i="4" s="1"/>
  <c r="R35" i="4"/>
  <c r="Q35" i="4"/>
  <c r="U35" i="4" s="1"/>
  <c r="R95" i="4"/>
  <c r="Q95" i="4"/>
  <c r="U95" i="4" s="1"/>
  <c r="V385" i="4"/>
  <c r="Q385" i="4"/>
  <c r="U385" i="4" s="1"/>
  <c r="R324" i="4"/>
  <c r="Q324" i="4"/>
  <c r="U324" i="4" s="1"/>
  <c r="V400" i="4"/>
  <c r="Q400" i="4"/>
  <c r="U400" i="4" s="1"/>
  <c r="R287" i="4"/>
  <c r="Q287" i="4"/>
  <c r="U287" i="4" s="1"/>
  <c r="V280" i="4"/>
  <c r="Q280" i="4"/>
  <c r="U280" i="4" s="1"/>
  <c r="V103" i="4"/>
  <c r="Q103" i="4"/>
  <c r="U103" i="4" s="1"/>
  <c r="R119" i="4"/>
  <c r="Q119" i="4"/>
  <c r="U119" i="4" s="1"/>
  <c r="V25" i="4"/>
  <c r="Q25" i="4"/>
  <c r="U25" i="4" s="1"/>
  <c r="V102" i="4"/>
  <c r="Q102" i="4"/>
  <c r="U102" i="4" s="1"/>
  <c r="V90" i="4"/>
  <c r="Q90" i="4"/>
  <c r="U90" i="4" s="1"/>
  <c r="V232" i="4"/>
  <c r="Q232" i="4"/>
  <c r="U232" i="4" s="1"/>
  <c r="R314" i="4"/>
  <c r="Q314" i="4"/>
  <c r="U314" i="4" s="1"/>
  <c r="R539" i="4"/>
  <c r="Q539" i="4"/>
  <c r="U539" i="4" s="1"/>
  <c r="R402" i="4"/>
  <c r="Q402" i="4"/>
  <c r="U402" i="4" s="1"/>
  <c r="R310" i="4"/>
  <c r="Q310" i="4"/>
  <c r="U310" i="4" s="1"/>
  <c r="R86" i="4"/>
  <c r="Q86" i="4"/>
  <c r="U86" i="4" s="1"/>
  <c r="R69" i="4"/>
  <c r="Q69" i="4"/>
  <c r="U69" i="4" s="1"/>
  <c r="V168" i="4"/>
  <c r="Q168" i="4"/>
  <c r="U168" i="4" s="1"/>
  <c r="V18" i="4"/>
  <c r="Q18" i="4"/>
  <c r="U18" i="4" s="1"/>
  <c r="R305" i="4"/>
  <c r="Q305" i="4"/>
  <c r="U305" i="4" s="1"/>
  <c r="R157" i="4"/>
  <c r="Q157" i="4"/>
  <c r="U157" i="4" s="1"/>
  <c r="R57" i="4"/>
  <c r="Q57" i="4"/>
  <c r="U57" i="4" s="1"/>
  <c r="R24" i="4"/>
  <c r="Q24" i="4"/>
  <c r="U24" i="4" s="1"/>
  <c r="R15" i="4"/>
  <c r="Q15" i="4"/>
  <c r="U15" i="4" s="1"/>
  <c r="R195" i="4"/>
  <c r="Q195" i="4"/>
  <c r="U195" i="4" s="1"/>
  <c r="R73" i="4"/>
  <c r="Q73" i="4"/>
  <c r="U73" i="4" s="1"/>
  <c r="R120" i="4"/>
  <c r="Q120" i="4"/>
  <c r="U120" i="4" s="1"/>
  <c r="R321" i="4"/>
  <c r="Q321" i="4"/>
  <c r="U321" i="4" s="1"/>
  <c r="V464" i="4"/>
  <c r="Q464" i="4"/>
  <c r="U464" i="4" s="1"/>
  <c r="R68" i="4"/>
  <c r="Q68" i="4"/>
  <c r="U68" i="4" s="1"/>
  <c r="R16" i="4"/>
  <c r="Q16" i="4"/>
  <c r="U16" i="4" s="1"/>
  <c r="V10" i="4"/>
  <c r="Q10" i="4"/>
  <c r="U10" i="4" s="1"/>
  <c r="R12" i="4"/>
  <c r="Q12" i="4"/>
  <c r="U12" i="4" s="1"/>
  <c r="R282" i="4"/>
  <c r="Q282" i="4"/>
  <c r="U282" i="4" s="1"/>
  <c r="R7" i="4"/>
  <c r="Q7" i="4"/>
  <c r="U7" i="4" s="1"/>
  <c r="R66" i="4"/>
  <c r="Q66" i="4"/>
  <c r="U66" i="4" s="1"/>
  <c r="V27" i="4"/>
  <c r="Q27" i="4"/>
  <c r="U27" i="4" s="1"/>
  <c r="R520" i="4"/>
  <c r="Q520" i="4"/>
  <c r="U520" i="4" s="1"/>
  <c r="R320" i="4"/>
  <c r="Q320" i="4"/>
  <c r="U320" i="4" s="1"/>
  <c r="V279" i="4"/>
  <c r="Q279" i="4"/>
  <c r="U279" i="4" s="1"/>
  <c r="R77" i="4"/>
  <c r="Q77" i="4"/>
  <c r="U77" i="4" s="1"/>
  <c r="R621" i="4"/>
  <c r="Q621" i="4"/>
  <c r="R70" i="4"/>
  <c r="Q70" i="4"/>
  <c r="U70" i="4" s="1"/>
  <c r="R36" i="4"/>
  <c r="Q36" i="4"/>
  <c r="U36" i="4" s="1"/>
  <c r="R6" i="4"/>
  <c r="Q6" i="4"/>
  <c r="U6" i="4" s="1"/>
  <c r="V99" i="4"/>
  <c r="Q99" i="4"/>
  <c r="U99" i="4" s="1"/>
  <c r="R519" i="4"/>
  <c r="Q519" i="4"/>
  <c r="U519" i="4" s="1"/>
  <c r="R76" i="4"/>
  <c r="Q76" i="4"/>
  <c r="U76" i="4" s="1"/>
  <c r="R552" i="4"/>
  <c r="Q552" i="4"/>
  <c r="U552" i="4" s="1"/>
  <c r="V282" i="4"/>
  <c r="V520" i="4"/>
  <c r="V378" i="4"/>
  <c r="V321" i="4"/>
  <c r="V12" i="4"/>
  <c r="V66" i="4"/>
  <c r="V36" i="4"/>
  <c r="V552" i="4"/>
  <c r="V68" i="4"/>
  <c r="V539" i="4"/>
  <c r="V73" i="4"/>
  <c r="V15" i="4"/>
  <c r="V320" i="4"/>
  <c r="V120" i="4"/>
  <c r="V195" i="4"/>
  <c r="V57" i="4"/>
  <c r="V69" i="4"/>
  <c r="V305" i="4"/>
  <c r="V16" i="4"/>
  <c r="V70" i="4"/>
  <c r="V77" i="4"/>
  <c r="V519" i="4"/>
  <c r="V6" i="4"/>
  <c r="V76" i="4"/>
  <c r="V35" i="4"/>
  <c r="V456" i="4"/>
  <c r="W456" i="4" s="1"/>
  <c r="V95" i="4"/>
  <c r="V63" i="4"/>
  <c r="V402" i="4"/>
  <c r="V310" i="4"/>
  <c r="V381" i="4"/>
  <c r="V37" i="4"/>
  <c r="V78" i="4"/>
  <c r="V5" i="4"/>
  <c r="V221" i="4"/>
  <c r="V28" i="4"/>
  <c r="V302" i="4"/>
  <c r="V380" i="4"/>
  <c r="V45" i="4"/>
  <c r="V55" i="4"/>
  <c r="V40" i="4"/>
  <c r="V166" i="4"/>
  <c r="V23" i="4"/>
  <c r="V284" i="4"/>
  <c r="V415" i="4"/>
  <c r="W79" i="4"/>
  <c r="V165" i="4"/>
  <c r="V200" i="4"/>
  <c r="V9" i="4"/>
  <c r="V227" i="4"/>
  <c r="V288" i="4"/>
  <c r="V304" i="4"/>
  <c r="V386" i="4"/>
  <c r="V314" i="4"/>
  <c r="V435" i="4"/>
  <c r="V124" i="4"/>
  <c r="V401" i="4"/>
  <c r="V157" i="4"/>
  <c r="V287" i="4"/>
  <c r="V92" i="4"/>
  <c r="V275" i="4"/>
  <c r="V404" i="4"/>
  <c r="R326" i="4"/>
  <c r="V303" i="4"/>
  <c r="V229" i="4"/>
  <c r="V315" i="4"/>
  <c r="V461" i="4"/>
  <c r="V387" i="4"/>
  <c r="V42" i="4"/>
  <c r="V198" i="4"/>
  <c r="V412" i="4"/>
  <c r="V118" i="4"/>
  <c r="W118" i="4" s="1"/>
  <c r="V220" i="4"/>
  <c r="V555" i="4"/>
  <c r="V416" i="4"/>
  <c r="V233" i="4"/>
  <c r="V86" i="4"/>
  <c r="V206" i="4"/>
  <c r="R158" i="4"/>
  <c r="V60" i="4"/>
  <c r="V324" i="4"/>
  <c r="V194" i="4"/>
  <c r="V119" i="4"/>
  <c r="R385" i="4"/>
  <c r="R325" i="4"/>
  <c r="R277" i="4"/>
  <c r="R400" i="4"/>
  <c r="R29" i="4"/>
  <c r="R280" i="4"/>
  <c r="R234" i="4"/>
  <c r="R103" i="4"/>
  <c r="R91" i="4"/>
  <c r="R25" i="4"/>
  <c r="R148" i="4"/>
  <c r="R102" i="4"/>
  <c r="R14" i="4"/>
  <c r="R90" i="4"/>
  <c r="V413" i="4"/>
  <c r="R232" i="4"/>
  <c r="R168" i="4"/>
  <c r="R18" i="4"/>
  <c r="R237" i="4"/>
  <c r="R464" i="4"/>
  <c r="W433" i="4"/>
  <c r="R10" i="4"/>
  <c r="R27" i="4"/>
  <c r="R235" i="4"/>
  <c r="R279" i="4"/>
  <c r="R99" i="4"/>
  <c r="R428" i="4"/>
  <c r="V17" i="4"/>
  <c r="V7" i="4"/>
  <c r="V24" i="4"/>
  <c r="T24" i="4"/>
  <c r="U2" i="3"/>
  <c r="W204" i="4" l="1"/>
  <c r="W275" i="4"/>
  <c r="W96" i="4"/>
  <c r="W194" i="4"/>
  <c r="W416" i="4"/>
  <c r="W555" i="4"/>
  <c r="W165" i="4"/>
  <c r="W284" i="4"/>
  <c r="W5" i="4"/>
  <c r="W302" i="4"/>
  <c r="W17" i="4"/>
  <c r="W404" i="4"/>
  <c r="W92" i="4"/>
  <c r="W200" i="4"/>
  <c r="W76" i="4"/>
  <c r="W413" i="4"/>
  <c r="W28" i="4"/>
  <c r="W415" i="4"/>
  <c r="W198" i="4"/>
  <c r="W206" i="4"/>
  <c r="W386" i="4"/>
  <c r="W45" i="4"/>
  <c r="W220" i="4"/>
  <c r="W9" i="4"/>
  <c r="W35" i="4"/>
  <c r="W166" i="4"/>
  <c r="W288" i="4"/>
  <c r="W378" i="4"/>
  <c r="W282" i="4"/>
  <c r="W401" i="4"/>
  <c r="W77" i="4"/>
  <c r="W15" i="4"/>
  <c r="W60" i="4"/>
  <c r="W519" i="4"/>
  <c r="W227" i="4"/>
  <c r="W380" i="4"/>
  <c r="W287" i="4"/>
  <c r="W461" i="4"/>
  <c r="W304" i="4"/>
  <c r="W86" i="4"/>
  <c r="W320" i="4"/>
  <c r="W221" i="4"/>
  <c r="W6" i="4"/>
  <c r="W157" i="4"/>
  <c r="W387" i="4"/>
  <c r="W120" i="4"/>
  <c r="W315" i="4"/>
  <c r="W310" i="4"/>
  <c r="W229" i="4"/>
  <c r="W40" i="4"/>
  <c r="W12" i="4"/>
  <c r="W233" i="4"/>
  <c r="W42" i="4"/>
  <c r="W18" i="4"/>
  <c r="W119" i="4"/>
  <c r="W23" i="4"/>
  <c r="W57" i="4"/>
  <c r="W235" i="4"/>
  <c r="W10" i="4"/>
  <c r="W25" i="4"/>
  <c r="W277" i="4"/>
  <c r="W27" i="4"/>
  <c r="W68" i="4"/>
  <c r="W237" i="4"/>
  <c r="W539" i="4"/>
  <c r="W520" i="4"/>
  <c r="W412" i="4"/>
  <c r="W78" i="4"/>
  <c r="W435" i="4"/>
  <c r="W36" i="4"/>
  <c r="W324" i="4"/>
  <c r="W314" i="4"/>
  <c r="W305" i="4"/>
  <c r="W148" i="4"/>
  <c r="W124" i="4"/>
  <c r="W24" i="4"/>
  <c r="W402" i="4"/>
  <c r="W69" i="4"/>
  <c r="W73" i="4"/>
  <c r="W7" i="4"/>
  <c r="W303" i="4"/>
  <c r="W55" i="4"/>
  <c r="W321" i="4"/>
  <c r="W385" i="4"/>
  <c r="W91" i="4"/>
  <c r="W325" i="4"/>
  <c r="W168" i="4"/>
  <c r="W37" i="4"/>
  <c r="W70" i="4"/>
  <c r="W552" i="4"/>
  <c r="W103" i="4"/>
  <c r="W381" i="4"/>
  <c r="W16" i="4"/>
  <c r="W464" i="4"/>
  <c r="W232" i="4"/>
  <c r="W428" i="4"/>
  <c r="W66" i="4"/>
  <c r="W280" i="4"/>
  <c r="W234" i="4"/>
  <c r="W158" i="4"/>
  <c r="W99" i="4"/>
  <c r="W279" i="4"/>
  <c r="W63" i="4"/>
  <c r="W90" i="4"/>
  <c r="W326" i="4"/>
  <c r="W29" i="4"/>
  <c r="W95" i="4"/>
  <c r="W195" i="4"/>
  <c r="W102" i="4"/>
  <c r="W400" i="4"/>
  <c r="W14" i="4"/>
  <c r="AQ2" i="3"/>
  <c r="X2" i="3"/>
  <c r="AC2" i="3"/>
  <c r="V2" i="3"/>
  <c r="W2" i="3"/>
  <c r="M4" i="4" l="1"/>
  <c r="P4" i="4" s="1"/>
  <c r="AD2" i="3"/>
  <c r="AI2" i="3"/>
  <c r="Y2" i="3"/>
  <c r="R4" i="4" l="1"/>
  <c r="Q4" i="4"/>
  <c r="U4" i="4" s="1"/>
  <c r="K4" i="4" l="1"/>
  <c r="V4" i="4"/>
  <c r="W4" i="4" s="1"/>
  <c r="N4" i="4"/>
  <c r="P1694" i="3" l="1"/>
  <c r="P1708" i="3"/>
  <c r="Q1708" i="3" l="1"/>
  <c r="Q1694" i="3"/>
  <c r="AI1694" i="3" s="1"/>
  <c r="I695" i="4"/>
  <c r="I688" i="4"/>
  <c r="AB1694" i="3"/>
  <c r="AB1708" i="3"/>
  <c r="AI1708" i="3" l="1"/>
  <c r="P688" i="4"/>
  <c r="P695" i="4"/>
  <c r="R695" i="4" s="1"/>
  <c r="K695" i="4"/>
  <c r="K688" i="4"/>
  <c r="R688" i="4" l="1"/>
  <c r="Q688" i="4"/>
  <c r="Q695" i="4"/>
  <c r="N66" i="6"/>
  <c r="N17" i="6"/>
  <c r="N119" i="6"/>
  <c r="L17" i="6" l="1"/>
  <c r="F17" i="6" s="1"/>
  <c r="G17" i="6" s="1"/>
  <c r="L66" i="6"/>
  <c r="F66" i="6" s="1"/>
  <c r="L119" i="6"/>
  <c r="F119" i="6" s="1"/>
  <c r="X66" i="6" l="1"/>
  <c r="X17" i="6"/>
  <c r="X119" i="6"/>
  <c r="F358" i="5"/>
  <c r="F97" i="5"/>
  <c r="F263" i="5"/>
  <c r="P1123" i="3" s="1"/>
  <c r="F338" i="5"/>
  <c r="P1381" i="3" s="1"/>
  <c r="F361" i="5"/>
  <c r="P1527" i="3" s="1"/>
  <c r="F141" i="5"/>
  <c r="F242" i="5"/>
  <c r="F106" i="5"/>
  <c r="P1916" i="3" s="1"/>
  <c r="F142" i="5"/>
  <c r="G119" i="6"/>
  <c r="F210" i="5"/>
  <c r="F213" i="5"/>
  <c r="P891" i="3" s="1"/>
  <c r="F212" i="5"/>
  <c r="P889" i="3" s="1"/>
  <c r="G66" i="6"/>
  <c r="Q1916" i="3" l="1"/>
  <c r="AB1916" i="3"/>
  <c r="Q891" i="3"/>
  <c r="AB891" i="3"/>
  <c r="P881" i="3"/>
  <c r="P883" i="3"/>
  <c r="P1411" i="3"/>
  <c r="P479" i="3"/>
  <c r="P481" i="3"/>
  <c r="P235" i="3"/>
  <c r="P1674" i="3"/>
  <c r="P1555" i="3"/>
  <c r="P261" i="3"/>
  <c r="P1489" i="3"/>
  <c r="P1017" i="3"/>
  <c r="P1019" i="3"/>
  <c r="P471" i="3"/>
  <c r="P473" i="3"/>
  <c r="Q1527" i="3"/>
  <c r="AB1527" i="3"/>
  <c r="Q1381" i="3"/>
  <c r="AB1381" i="3"/>
  <c r="Q1123" i="3"/>
  <c r="AB1123" i="3"/>
  <c r="P1847" i="3"/>
  <c r="P475" i="3"/>
  <c r="P178" i="3"/>
  <c r="P477" i="3"/>
  <c r="Q889" i="3"/>
  <c r="AB889" i="3"/>
  <c r="P1647" i="3"/>
  <c r="P1493" i="3"/>
  <c r="AI1916" i="3" l="1"/>
  <c r="I759" i="4"/>
  <c r="Q1489" i="3"/>
  <c r="AB1489" i="3"/>
  <c r="Q1847" i="3"/>
  <c r="AB1847" i="3"/>
  <c r="Q261" i="3"/>
  <c r="AB261" i="3"/>
  <c r="Q1555" i="3"/>
  <c r="AB1555" i="3"/>
  <c r="I430" i="4"/>
  <c r="AI1123" i="3"/>
  <c r="Q1674" i="3"/>
  <c r="AB1674" i="3"/>
  <c r="Q235" i="3"/>
  <c r="AB235" i="3"/>
  <c r="AI1381" i="3"/>
  <c r="I554" i="4"/>
  <c r="Q481" i="3"/>
  <c r="AB481" i="3"/>
  <c r="Q475" i="3"/>
  <c r="AB475" i="3"/>
  <c r="Q1493" i="3"/>
  <c r="AB1493" i="3"/>
  <c r="Q479" i="3"/>
  <c r="AB479" i="3"/>
  <c r="AB1647" i="3"/>
  <c r="Q1647" i="3"/>
  <c r="AI1527" i="3"/>
  <c r="I618" i="4"/>
  <c r="Q1411" i="3"/>
  <c r="AB1411" i="3"/>
  <c r="Q473" i="3"/>
  <c r="AB473" i="3"/>
  <c r="Q883" i="3"/>
  <c r="AB883" i="3"/>
  <c r="I342" i="4"/>
  <c r="AI889" i="3"/>
  <c r="Q471" i="3"/>
  <c r="AB471" i="3"/>
  <c r="Q881" i="3"/>
  <c r="AB881" i="3"/>
  <c r="Q477" i="3"/>
  <c r="AB477" i="3"/>
  <c r="Q1019" i="3"/>
  <c r="AB1019" i="3"/>
  <c r="Q178" i="3"/>
  <c r="AB178" i="3"/>
  <c r="Q1017" i="3"/>
  <c r="AB1017" i="3"/>
  <c r="I343" i="4"/>
  <c r="AI891" i="3"/>
  <c r="K759" i="4" l="1"/>
  <c r="P759" i="4"/>
  <c r="I406" i="4"/>
  <c r="AI1017" i="3"/>
  <c r="P342" i="4"/>
  <c r="K342" i="4"/>
  <c r="Y342" i="4"/>
  <c r="I141" i="4"/>
  <c r="AI479" i="3"/>
  <c r="I677" i="4"/>
  <c r="AI1674" i="3"/>
  <c r="I19" i="4"/>
  <c r="AI178" i="3"/>
  <c r="I339" i="4"/>
  <c r="AI883" i="3"/>
  <c r="AI1493" i="3"/>
  <c r="I601" i="4"/>
  <c r="P430" i="4"/>
  <c r="K430" i="4"/>
  <c r="Y430" i="4"/>
  <c r="I407" i="4"/>
  <c r="AI1019" i="3"/>
  <c r="I138" i="4"/>
  <c r="AI473" i="3"/>
  <c r="I139" i="4"/>
  <c r="AI475" i="3"/>
  <c r="I632" i="4"/>
  <c r="AI1555" i="3"/>
  <c r="I140" i="4"/>
  <c r="AI477" i="3"/>
  <c r="I564" i="4"/>
  <c r="AI1411" i="3"/>
  <c r="I142" i="4"/>
  <c r="AI481" i="3"/>
  <c r="I46" i="4"/>
  <c r="AI261" i="3"/>
  <c r="P618" i="4"/>
  <c r="K618" i="4"/>
  <c r="P554" i="4"/>
  <c r="K554" i="4"/>
  <c r="Y554" i="4"/>
  <c r="I338" i="4"/>
  <c r="AI881" i="3"/>
  <c r="I742" i="4"/>
  <c r="AI1847" i="3"/>
  <c r="I665" i="4"/>
  <c r="I678" i="4"/>
  <c r="K343" i="4"/>
  <c r="Y343" i="4"/>
  <c r="P343" i="4"/>
  <c r="I137" i="4"/>
  <c r="AI471" i="3"/>
  <c r="I38" i="4"/>
  <c r="AI235" i="3"/>
  <c r="I600" i="4"/>
  <c r="AI1489" i="3"/>
  <c r="Q759" i="4" l="1"/>
  <c r="R759" i="4"/>
  <c r="Y339" i="4"/>
  <c r="K339" i="4"/>
  <c r="P339" i="4"/>
  <c r="R618" i="4"/>
  <c r="Q618" i="4"/>
  <c r="K139" i="4"/>
  <c r="Y139" i="4"/>
  <c r="P139" i="4"/>
  <c r="V343" i="4"/>
  <c r="R343" i="4"/>
  <c r="Q343" i="4"/>
  <c r="U343" i="4" s="1"/>
  <c r="K19" i="4"/>
  <c r="Y19" i="4"/>
  <c r="P19" i="4"/>
  <c r="P46" i="4"/>
  <c r="Y46" i="4"/>
  <c r="K46" i="4"/>
  <c r="Y138" i="4"/>
  <c r="P138" i="4"/>
  <c r="K138" i="4"/>
  <c r="K678" i="4"/>
  <c r="P678" i="4"/>
  <c r="P665" i="4"/>
  <c r="K665" i="4"/>
  <c r="K677" i="4"/>
  <c r="P677" i="4"/>
  <c r="P142" i="4"/>
  <c r="K142" i="4"/>
  <c r="Y142" i="4"/>
  <c r="P407" i="4"/>
  <c r="Y407" i="4"/>
  <c r="K407" i="4"/>
  <c r="K742" i="4"/>
  <c r="P742" i="4"/>
  <c r="K141" i="4"/>
  <c r="Y141" i="4"/>
  <c r="P141" i="4"/>
  <c r="P600" i="4"/>
  <c r="K600" i="4"/>
  <c r="Y564" i="4"/>
  <c r="P564" i="4"/>
  <c r="K564" i="4"/>
  <c r="P338" i="4"/>
  <c r="K338" i="4"/>
  <c r="Y338" i="4"/>
  <c r="Q430" i="4"/>
  <c r="U430" i="4" s="1"/>
  <c r="V430" i="4"/>
  <c r="R430" i="4"/>
  <c r="Y38" i="4"/>
  <c r="K38" i="4"/>
  <c r="P38" i="4"/>
  <c r="Y140" i="4"/>
  <c r="K140" i="4"/>
  <c r="P140" i="4"/>
  <c r="P601" i="4"/>
  <c r="K601" i="4"/>
  <c r="Q342" i="4"/>
  <c r="R342" i="4"/>
  <c r="P137" i="4"/>
  <c r="K137" i="4"/>
  <c r="Y137" i="4"/>
  <c r="R554" i="4"/>
  <c r="Q554" i="4"/>
  <c r="U554" i="4" s="1"/>
  <c r="V554" i="4"/>
  <c r="P632" i="4"/>
  <c r="K632" i="4"/>
  <c r="Y406" i="4"/>
  <c r="P406" i="4"/>
  <c r="K406" i="4"/>
  <c r="W554" i="4" l="1"/>
  <c r="R137" i="4"/>
  <c r="Q137" i="4"/>
  <c r="U137" i="4" s="1"/>
  <c r="V137" i="4"/>
  <c r="W430" i="4"/>
  <c r="R665" i="4"/>
  <c r="Q665" i="4"/>
  <c r="R742" i="4"/>
  <c r="Q742" i="4"/>
  <c r="R678" i="4"/>
  <c r="Q678" i="4"/>
  <c r="W343" i="4"/>
  <c r="V406" i="4"/>
  <c r="R406" i="4"/>
  <c r="Q406" i="4"/>
  <c r="U406" i="4" s="1"/>
  <c r="R139" i="4"/>
  <c r="V139" i="4"/>
  <c r="Q139" i="4"/>
  <c r="U139" i="4" s="1"/>
  <c r="R601" i="4"/>
  <c r="Q601" i="4"/>
  <c r="Q338" i="4"/>
  <c r="U338" i="4" s="1"/>
  <c r="V338" i="4"/>
  <c r="R338" i="4"/>
  <c r="V138" i="4"/>
  <c r="R138" i="4"/>
  <c r="Q138" i="4"/>
  <c r="U138" i="4" s="1"/>
  <c r="V140" i="4"/>
  <c r="R140" i="4"/>
  <c r="Q140" i="4"/>
  <c r="U140" i="4" s="1"/>
  <c r="Q407" i="4"/>
  <c r="U407" i="4" s="1"/>
  <c r="V407" i="4"/>
  <c r="R407" i="4"/>
  <c r="R632" i="4"/>
  <c r="Q632" i="4"/>
  <c r="Q564" i="4"/>
  <c r="U564" i="4" s="1"/>
  <c r="V564" i="4"/>
  <c r="R564" i="4"/>
  <c r="V38" i="4"/>
  <c r="R38" i="4"/>
  <c r="Q38" i="4"/>
  <c r="U38" i="4" s="1"/>
  <c r="V142" i="4"/>
  <c r="R142" i="4"/>
  <c r="Q142" i="4"/>
  <c r="U142" i="4" s="1"/>
  <c r="Q46" i="4"/>
  <c r="U46" i="4" s="1"/>
  <c r="R46" i="4"/>
  <c r="V46" i="4"/>
  <c r="W46" i="4" s="1"/>
  <c r="V339" i="4"/>
  <c r="R339" i="4"/>
  <c r="Q339" i="4"/>
  <c r="U339" i="4" s="1"/>
  <c r="R600" i="4"/>
  <c r="Q600" i="4"/>
  <c r="R677" i="4"/>
  <c r="Q677" i="4"/>
  <c r="Q19" i="4"/>
  <c r="U19" i="4" s="1"/>
  <c r="V19" i="4"/>
  <c r="R19" i="4"/>
  <c r="V141" i="4"/>
  <c r="R141" i="4"/>
  <c r="Q141" i="4"/>
  <c r="U141" i="4" s="1"/>
  <c r="W19" i="4" l="1"/>
  <c r="W338" i="4"/>
  <c r="W407" i="4"/>
  <c r="W138" i="4"/>
  <c r="W137" i="4"/>
  <c r="W406" i="4"/>
  <c r="W564" i="4"/>
  <c r="W339" i="4"/>
  <c r="W141" i="4"/>
  <c r="W142" i="4"/>
  <c r="W139" i="4"/>
  <c r="W140" i="4"/>
  <c r="W3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Davis</author>
  </authors>
  <commentList>
    <comment ref="E277" authorId="0" shapeId="0" xr:uid="{1C5E15C1-2A03-414B-B84F-2A7C804C7DB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2.21 kg</t>
        </r>
      </text>
    </comment>
    <comment ref="E278" authorId="0" shapeId="0" xr:uid="{F9BF2760-CE55-4252-B059-CE37D608962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2.21 kg</t>
        </r>
      </text>
    </comment>
    <comment ref="E279" authorId="0" shapeId="0" xr:uid="{5F798A5E-7E41-4603-84C9-E413326FEBDF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2.21 kg</t>
        </r>
      </text>
    </comment>
    <comment ref="E399" authorId="0" shapeId="0" xr:uid="{828E582A-7D0B-4CDE-AEDC-D010AA1F110A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2.84 kg</t>
        </r>
      </text>
    </comment>
    <comment ref="E400" authorId="0" shapeId="0" xr:uid="{59B21C37-03BD-468A-931C-71D4FE380F2D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2.84 kg</t>
        </r>
      </text>
    </comment>
    <comment ref="E401" authorId="0" shapeId="0" xr:uid="{119399DA-EEC3-484C-8AD4-96E5EB570D40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2.84 kg</t>
        </r>
      </text>
    </comment>
    <comment ref="E1353" authorId="0" shapeId="0" xr:uid="{5BCEB759-671B-4320-AE90-CB1BC84B0A6A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2.88kg
</t>
        </r>
      </text>
    </comment>
    <comment ref="E1354" authorId="0" shapeId="0" xr:uid="{E97B625E-A40B-4427-A577-CAF091D9A879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 pcs equal 2.88kg
</t>
        </r>
      </text>
    </comment>
    <comment ref="E1583" authorId="0" shapeId="0" xr:uid="{42924FF0-59E3-4CC2-8089-944EB4042BFD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Weight of 50 peeled baby beetroot is 800g</t>
        </r>
      </text>
    </comment>
    <comment ref="E1585" authorId="0" shapeId="0" xr:uid="{96F09DB3-239B-4928-8C6B-66D30F9F821E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Weight of 100 peeled baby beetroot is 1.6KG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Davis</author>
  </authors>
  <commentList>
    <comment ref="H4" authorId="0" shapeId="0" xr:uid="{ADA9EBA8-F61F-481E-835F-DF85BA3EA64F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average weight on 18th feb-2025</t>
        </r>
      </text>
    </comment>
    <comment ref="E17" authorId="0" shapeId="0" xr:uid="{CC20F429-3EBD-4230-A0DA-74EE25CFCA3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 price from Bryan for summer is 49P Need to check.</t>
        </r>
      </text>
    </comment>
    <comment ref="E88" authorId="0" shapeId="0" xr:uid="{57C6A3F2-3E14-42A9-A392-F29166FC3721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Use same price as Beef tomato</t>
        </r>
      </text>
    </comment>
    <comment ref="F118" authorId="0" shapeId="0" xr:uid="{2628FB14-58EB-41E1-B32D-4BE6B1F4AF05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Bucket + LID</t>
        </r>
      </text>
    </comment>
    <comment ref="E128" authorId="0" shapeId="0" xr:uid="{F4F0A826-DEF9-4D25-ACE3-044ABA81726D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Used the W25 price of 2767CS</t>
        </r>
      </text>
    </comment>
    <comment ref="E139" authorId="0" shapeId="0" xr:uid="{507D86D8-1332-4A50-941D-B9AF4267878B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Used same cost as 3436CS</t>
        </r>
      </text>
    </comment>
    <comment ref="E146" authorId="0" shapeId="0" xr:uid="{F5FDAFA2-816B-401E-B00A-AEE1EC3FF74C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6PCS - 450g (pack price 54P)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Davis</author>
  </authors>
  <commentList>
    <comment ref="G4" authorId="0" shapeId="0" xr:uid="{D876DE91-5B10-40D0-A194-C432353A0A93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average weight on 18th feb-2025</t>
        </r>
      </text>
    </comment>
    <comment ref="E17" authorId="0" shapeId="0" xr:uid="{06CB7895-2715-4447-989E-4444F517E35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 price from Bryan for summer is 49P Need to check.</t>
        </r>
      </text>
    </comment>
    <comment ref="E88" authorId="0" shapeId="0" xr:uid="{126F524F-2880-4F02-9B3D-22E6AB8210B2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Use same price as Beef tomato</t>
        </r>
      </text>
    </comment>
    <comment ref="E126" authorId="0" shapeId="0" xr:uid="{2F551D79-0CDE-47D0-A67C-D5C7F92B39DA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Used the W25 price of 2767CS</t>
        </r>
      </text>
    </comment>
    <comment ref="E137" authorId="0" shapeId="0" xr:uid="{54539FBB-5D2A-404B-A999-8D12C1701E7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Used same cost as 3436CS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Davis</author>
  </authors>
  <commentList>
    <comment ref="A26" authorId="0" shapeId="0" xr:uid="{517AC9A7-6110-4F03-BDBD-45D77D6BEC35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20mm MC</t>
        </r>
      </text>
    </comment>
    <comment ref="D39" authorId="0" shapeId="0" xr:uid="{3A0303D2-FB70-423D-9CD7-A0E1D72D6778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51" authorId="0" shapeId="0" xr:uid="{84D8A3D2-2CD1-49EF-88A9-DC2EBCBCB3EC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C74" authorId="0" shapeId="0" xr:uid="{ABD1E111-B91C-474C-AACB-9B3FA22EA92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74" authorId="0" shapeId="0" xr:uid="{3F2D3004-63B8-460A-836E-A4032D0AE7C3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124" authorId="0" shapeId="0" xr:uid="{57FD0A6B-3AC4-4719-9718-F1BBE92C067E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 based on nursery kitchen costing</t>
        </r>
      </text>
    </comment>
    <comment ref="D141" authorId="0" shapeId="0" xr:uid="{478893B4-FA05-4838-B22B-74892290A3D1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143" authorId="0" shapeId="0" xr:uid="{F9C82BEF-D004-4927-B6B8-29095ED5F90E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144" authorId="0" shapeId="0" xr:uid="{9230FEBA-6819-4A1A-8230-1D76407E2018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151" authorId="0" shapeId="0" xr:uid="{6344EA4E-15B4-48BF-B37A-7116D3B4E21C}">
      <text>
        <r>
          <rPr>
            <b/>
            <sz val="9"/>
            <color indexed="81"/>
            <rFont val="Tahoma"/>
            <family val="2"/>
          </rPr>
          <t>Dani Davis
Slicing by hand</t>
        </r>
      </text>
    </comment>
    <comment ref="D155" authorId="0" shapeId="0" xr:uid="{0C3A61BD-7094-4796-90CC-622A3022288B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Slicing by hand</t>
        </r>
      </text>
    </comment>
    <comment ref="D160" authorId="0" shapeId="0" xr:uid="{BAD15BBF-C90A-4675-AD87-D4B471120D32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Normal slice not 1/2 slice
</t>
        </r>
      </text>
    </comment>
    <comment ref="D180" authorId="0" shapeId="0" xr:uid="{5A93FC57-7B11-4D51-B2CD-B3CEBEB35B95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245" authorId="0" shapeId="0" xr:uid="{FCF5F3B1-DD65-412E-B42A-A1FB353A0E91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Need to recheck</t>
        </r>
      </text>
    </comment>
    <comment ref="D263" authorId="0" shapeId="0" xr:uid="{B0CACA33-B58E-409D-A887-F2579C8E481E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D264" authorId="0" shapeId="0" xr:uid="{9C6393E6-C6BB-4959-8B43-7414965E3F8D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Updated</t>
        </r>
      </text>
    </comment>
    <comment ref="C293" authorId="0" shapeId="0" xr:uid="{588EF2A4-D1BB-4E21-80C2-91548D9BA377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Started using all instead of just green</t>
        </r>
      </text>
    </comment>
    <comment ref="D293" authorId="0" shapeId="0" xr:uid="{C670D505-AC6F-4DF2-9EDC-6ABBB4726FBC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Started using all instead of just green</t>
        </r>
      </text>
    </comment>
    <comment ref="D327" authorId="0" shapeId="0" xr:uid="{53CF60C3-CAB4-46F6-9E92-AF94442F67CD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Change in process</t>
        </r>
      </text>
    </comment>
    <comment ref="S384" authorId="0" shapeId="0" xr:uid="{521AEC7A-D39B-42E0-B93F-76D17CCB7CE0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Washing time already included in the process time</t>
        </r>
      </text>
    </comment>
    <comment ref="S385" authorId="0" shapeId="0" xr:uid="{473F8E0C-7140-4AE0-BDB9-748FDF40C194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Washing time already included in the process time</t>
        </r>
      </text>
    </comment>
    <comment ref="S386" authorId="0" shapeId="0" xr:uid="{CFF4C5D6-8090-4FD8-BA29-CEACD72700AF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Washing time already included in the process time</t>
        </r>
      </text>
    </comment>
    <comment ref="S387" authorId="0" shapeId="0" xr:uid="{6D125B57-498D-4773-80F5-B85102CD51FD}">
      <text>
        <r>
          <rPr>
            <b/>
            <sz val="9"/>
            <color indexed="81"/>
            <rFont val="Tahoma"/>
            <family val="2"/>
          </rPr>
          <t>Dani Davis:</t>
        </r>
        <r>
          <rPr>
            <sz val="9"/>
            <color indexed="81"/>
            <rFont val="Tahoma"/>
            <family val="2"/>
          </rPr>
          <t xml:space="preserve">
Washing time already included in the process time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<sst xmlns="http://schemas.openxmlformats.org/spreadsheetml/2006/main" count="25599" uniqueCount="4910">
  <si>
    <t>Code</t>
  </si>
  <si>
    <t>003BCS</t>
  </si>
  <si>
    <t>Kohlrabi Whole Peeled 2kg</t>
  </si>
  <si>
    <t>Z277CS</t>
  </si>
  <si>
    <t>VEG MXD RATATOU 20MM M/C 2.5K</t>
  </si>
  <si>
    <t>Z230CS</t>
  </si>
  <si>
    <t>VEG MXD MED H/C RTW 1KG</t>
  </si>
  <si>
    <t>Z347CS</t>
  </si>
  <si>
    <t>TURNIP DICED 10MM FR 1KG</t>
  </si>
  <si>
    <t>Z288CS</t>
  </si>
  <si>
    <t>TURNIP BABY PLD FR H/C 1KG</t>
  </si>
  <si>
    <t>Z116CS</t>
  </si>
  <si>
    <t>TOM VIN DCD 10MM M/C RTE 2.5KG</t>
  </si>
  <si>
    <t>Z112CS</t>
  </si>
  <si>
    <t>TOM DICE 5MM +S M/C RTE 2.5KG</t>
  </si>
  <si>
    <t>Z113CS</t>
  </si>
  <si>
    <t>TOM DICE 5MM +S M/C RTE 1KG</t>
  </si>
  <si>
    <t>Z115CS</t>
  </si>
  <si>
    <t>TOM DICE 10MM M/C RTE 1KG</t>
  </si>
  <si>
    <t>Z300CS</t>
  </si>
  <si>
    <t>Z301CS</t>
  </si>
  <si>
    <t>Z203CS</t>
  </si>
  <si>
    <t>SWEDE DICE 10MM M/C RTW 2.5KG</t>
  </si>
  <si>
    <t>Z414CS</t>
  </si>
  <si>
    <t>SUGARSNAP T/T RTE 2.5KG</t>
  </si>
  <si>
    <t>041BCS</t>
  </si>
  <si>
    <t>STIRFRY MIX 5% KALE 6X500G</t>
  </si>
  <si>
    <t>789ACS</t>
  </si>
  <si>
    <t>STIR FRY VEG DL 1x1.5KG</t>
  </si>
  <si>
    <t>716ACS</t>
  </si>
  <si>
    <t>Z292CS</t>
  </si>
  <si>
    <t>Z219CS</t>
  </si>
  <si>
    <t>SPR ON SLC GRN M/C RTE 2.5KG</t>
  </si>
  <si>
    <t>Z220CS</t>
  </si>
  <si>
    <t>SPR ON SLC GRN M/C RTE 1KG</t>
  </si>
  <si>
    <t>Z217CS</t>
  </si>
  <si>
    <t>SPR ON SLC FINE M/C RTE 2.5KG</t>
  </si>
  <si>
    <t>Z221CS</t>
  </si>
  <si>
    <t>966ACS</t>
  </si>
  <si>
    <t>SPIRALISED CARROT 1 X 2.5KG</t>
  </si>
  <si>
    <t>965ACS</t>
  </si>
  <si>
    <t>SLICED POTATO 10MM X 2.5KG</t>
  </si>
  <si>
    <t>104ACS</t>
  </si>
  <si>
    <t>Z144CS</t>
  </si>
  <si>
    <t>SHALLOT SLC 4MM M/C RTW 2.5KG</t>
  </si>
  <si>
    <t>Z142CS</t>
  </si>
  <si>
    <t>SHALLOT CHPD 5MM M/C RTW 2.5KG</t>
  </si>
  <si>
    <t>Z143CS</t>
  </si>
  <si>
    <t>SHALLOT CHPD 5MM M/C RTW 1KG</t>
  </si>
  <si>
    <t>Z147CS</t>
  </si>
  <si>
    <t>SHALLOT BAN PLD H/C RTW 1KG</t>
  </si>
  <si>
    <t>Z149CS</t>
  </si>
  <si>
    <t>SHALLOT BABY PLD H/C RTW 1KG</t>
  </si>
  <si>
    <t>Z215CS</t>
  </si>
  <si>
    <t>SAVOY SHRED 3MM M/C RTW 2.5KG</t>
  </si>
  <si>
    <t>Z216CS</t>
  </si>
  <si>
    <t>SAVOY SHRED 3MM M/C RTW 1KG</t>
  </si>
  <si>
    <t>Z403CS</t>
  </si>
  <si>
    <t>SAVOY DICED 25MM H/C FR 2.5KG</t>
  </si>
  <si>
    <t>Z419CS</t>
  </si>
  <si>
    <t>Z225CS</t>
  </si>
  <si>
    <t>REDON 1/4 SL 3MM M/C RTE 2.5KG</t>
  </si>
  <si>
    <t>Z073CS</t>
  </si>
  <si>
    <t>RED/ON DICE 5MM M/C RTE 2.5KG</t>
  </si>
  <si>
    <t>Z074CS</t>
  </si>
  <si>
    <t>RED/ON DICE 5MM M/C RTE 1KG</t>
  </si>
  <si>
    <t>Z366CS</t>
  </si>
  <si>
    <t>RED/ON DICE 2CM H/C SQ RTW 2.5</t>
  </si>
  <si>
    <t>655ACS</t>
  </si>
  <si>
    <t>RED ONION SLICED 3MM 4x1KG</t>
  </si>
  <si>
    <t>Z075CS</t>
  </si>
  <si>
    <t>RED ONION PLD H/C RTE 2.5KG</t>
  </si>
  <si>
    <t>Z076CS</t>
  </si>
  <si>
    <t>RED ONION PLD H/C RTE 1KG</t>
  </si>
  <si>
    <t>715ACS</t>
  </si>
  <si>
    <t>1180CS</t>
  </si>
  <si>
    <t>Z429CS</t>
  </si>
  <si>
    <t>RED APPLE WASHED RTE X20</t>
  </si>
  <si>
    <t>Z199CS</t>
  </si>
  <si>
    <t>RADISH SLC 3MM M/C RTE 2.5KG</t>
  </si>
  <si>
    <t>Z198CS</t>
  </si>
  <si>
    <t>PUMP DICE 20MM H/C RTW 2.5KG</t>
  </si>
  <si>
    <t>Z196CS</t>
  </si>
  <si>
    <t>PUMP DICE 10MM M/C RTW 2.5KG</t>
  </si>
  <si>
    <t>1256CS</t>
  </si>
  <si>
    <t>1335CS</t>
  </si>
  <si>
    <t>1334CS</t>
  </si>
  <si>
    <t>1400CS</t>
  </si>
  <si>
    <t>1475CS</t>
  </si>
  <si>
    <t>2346CS</t>
  </si>
  <si>
    <t>1480CS</t>
  </si>
  <si>
    <t>1369CS</t>
  </si>
  <si>
    <t>1052CS</t>
  </si>
  <si>
    <t>PREP POTS QUARTERED 5KG</t>
  </si>
  <si>
    <t>2089CS</t>
  </si>
  <si>
    <t>1863CS</t>
  </si>
  <si>
    <t>PREP PINEAPPLE CUBED 2KG</t>
  </si>
  <si>
    <t>1854CS</t>
  </si>
  <si>
    <t>PREP ORANGE SEGMENTS 2KG</t>
  </si>
  <si>
    <t>1303CS</t>
  </si>
  <si>
    <t>1298CS</t>
  </si>
  <si>
    <t>1307CS</t>
  </si>
  <si>
    <t>1310CS</t>
  </si>
  <si>
    <t>1311CS</t>
  </si>
  <si>
    <t>1865CS</t>
  </si>
  <si>
    <t>PREP MELON CUBED ORANGE 2KG</t>
  </si>
  <si>
    <t>Z412CS</t>
  </si>
  <si>
    <t>PREP KALE RTW 2.5KG</t>
  </si>
  <si>
    <t>Z413CS</t>
  </si>
  <si>
    <t>PREP KALE RTW 1KG</t>
  </si>
  <si>
    <t>1853CS</t>
  </si>
  <si>
    <t>PREP GRAPEFRUIT SEGMENTS 2KG</t>
  </si>
  <si>
    <t>1855CS</t>
  </si>
  <si>
    <t>PREP GRAPEFRUIT PINK SEG 2KG</t>
  </si>
  <si>
    <t>1852CS</t>
  </si>
  <si>
    <t>PREP FRUIT SALAD TROP 2KG</t>
  </si>
  <si>
    <t>1851CS</t>
  </si>
  <si>
    <t>PREP FRUIT SALAD MIX 2KG</t>
  </si>
  <si>
    <t>1255CS</t>
  </si>
  <si>
    <t>2180CS</t>
  </si>
  <si>
    <t>1173CS</t>
  </si>
  <si>
    <t>PREP CARROTS WHOLE 2.5KG</t>
  </si>
  <si>
    <t>1145CS</t>
  </si>
  <si>
    <t>1174CS</t>
  </si>
  <si>
    <t>1117CS</t>
  </si>
  <si>
    <t>PREP CARROTS BATON 2.5KG</t>
  </si>
  <si>
    <t>1118CS</t>
  </si>
  <si>
    <t>PREP CARROTS BATON 1KG</t>
  </si>
  <si>
    <t>1193CS</t>
  </si>
  <si>
    <t>1185CS</t>
  </si>
  <si>
    <t>1179CS</t>
  </si>
  <si>
    <t>1441CS</t>
  </si>
  <si>
    <t>Z322CS</t>
  </si>
  <si>
    <t>POTS SWT DICED 20MM H/C 2.5KG</t>
  </si>
  <si>
    <t>Z051CS</t>
  </si>
  <si>
    <t>POTS SLC 2MM M/C RTW 2.5KG</t>
  </si>
  <si>
    <t>Z052CS</t>
  </si>
  <si>
    <t>POTS SLC 2MM M/C RTW 1KG</t>
  </si>
  <si>
    <t>Z049CS</t>
  </si>
  <si>
    <t>POTS SALAD MIDS PLD RTW 2.5KG</t>
  </si>
  <si>
    <t>Z369CS</t>
  </si>
  <si>
    <t>POTS NEW DICED +S 20MM FR 1KG</t>
  </si>
  <si>
    <t>Z025CS</t>
  </si>
  <si>
    <t>POTS NEW DICE+S 20MM M/C 2.5KG</t>
  </si>
  <si>
    <t>Z031CS</t>
  </si>
  <si>
    <t>POTS NEW 1/2 LNG H/C RTW 2.5KG</t>
  </si>
  <si>
    <t>Z029CS</t>
  </si>
  <si>
    <t>POTS NEW +S 1/4 H/C RTW 2.5KG</t>
  </si>
  <si>
    <t>Z030CS</t>
  </si>
  <si>
    <t>POTS NEW +S 1/4 H/C RTW 1KG</t>
  </si>
  <si>
    <t>Z027CS</t>
  </si>
  <si>
    <t>POTS NEW +S 1/2 H/C RTW 2.5KG</t>
  </si>
  <si>
    <t>Z028CS</t>
  </si>
  <si>
    <t>POTS NEW +S 1/2 H/C RTW 1KG</t>
  </si>
  <si>
    <t>Z037CS</t>
  </si>
  <si>
    <t>POTS MID 1/2 CUT H/C RTW 2.5KG</t>
  </si>
  <si>
    <t>Z038CS</t>
  </si>
  <si>
    <t>POTS MID 1/2 CUT H/C RTW 1KG</t>
  </si>
  <si>
    <t>Z045CS</t>
  </si>
  <si>
    <t>POTS MATCH 2.5MM M/C RTW 2.5KG</t>
  </si>
  <si>
    <t>Z046CS</t>
  </si>
  <si>
    <t>POTS MATCH 2.5MM M/C RTW 1KG</t>
  </si>
  <si>
    <t>Z033CS</t>
  </si>
  <si>
    <t>POTS MAR PIP PLD 1/2 RTW 2.5KG</t>
  </si>
  <si>
    <t>Z047CS</t>
  </si>
  <si>
    <t>POTS GRANNY CUT H/C RTW 2.5KG</t>
  </si>
  <si>
    <t>Z320CS</t>
  </si>
  <si>
    <t>Z021CS</t>
  </si>
  <si>
    <t>POTS DICE 20MM M/C RTW 2.5KG</t>
  </si>
  <si>
    <t>Z022CS</t>
  </si>
  <si>
    <t>POTS DICE 20MM M/C RTW 1KG</t>
  </si>
  <si>
    <t>Z023CS</t>
  </si>
  <si>
    <t>POTS DICE 10MM M/C RTW 2.5KG</t>
  </si>
  <si>
    <t>584ACS</t>
  </si>
  <si>
    <t>PICKLED MOOLI 4 X 1.3KG</t>
  </si>
  <si>
    <t>Z314CS</t>
  </si>
  <si>
    <t>Z308CS</t>
  </si>
  <si>
    <t>Z182CS</t>
  </si>
  <si>
    <t>PEP YL BAT 10X60 H/C RTE 2.5KG</t>
  </si>
  <si>
    <t>Z327CS</t>
  </si>
  <si>
    <t>Z176CS</t>
  </si>
  <si>
    <t>Z167CS</t>
  </si>
  <si>
    <t>PEP RED DICE 5MM M/C RTE 1KG</t>
  </si>
  <si>
    <t>Z170CS</t>
  </si>
  <si>
    <t>Z168CS</t>
  </si>
  <si>
    <t>PEP RD DICE 10MM M/C RTE 2.5KG</t>
  </si>
  <si>
    <t>Z169CS</t>
  </si>
  <si>
    <t>PEP RD DICE 10MM M/C RTE 1KG</t>
  </si>
  <si>
    <t>Z172CS</t>
  </si>
  <si>
    <t>PEP RD BAT 10X60 H/C RTW 2.5KG</t>
  </si>
  <si>
    <t>Z187CS</t>
  </si>
  <si>
    <t>PEP GR DICE 25MM H/C RTW 1KG</t>
  </si>
  <si>
    <t>Z184CS</t>
  </si>
  <si>
    <t>PEP GR DICE 10MM M/C RTE 2.5KG</t>
  </si>
  <si>
    <t>Z185CS</t>
  </si>
  <si>
    <t>PEP GR DICE 10MM M/C RTE 1KG</t>
  </si>
  <si>
    <t>Z212CS</t>
  </si>
  <si>
    <t>PARSNIP WHL PLD H/C RTW 1KG</t>
  </si>
  <si>
    <t>Z213CS</t>
  </si>
  <si>
    <t>PARS DICED 20MM H/C RTW 2.5KG</t>
  </si>
  <si>
    <t>Z404CS</t>
  </si>
  <si>
    <t>Z401CS</t>
  </si>
  <si>
    <t>Z070CS</t>
  </si>
  <si>
    <t>ONION YEL BAB PLD H/C RTW 1KG</t>
  </si>
  <si>
    <t>Z063CS</t>
  </si>
  <si>
    <t>Z064CS</t>
  </si>
  <si>
    <t>Z065CS</t>
  </si>
  <si>
    <t>Z066CS</t>
  </si>
  <si>
    <t>ONION SLC 1/4 3MM M/C RTE 1KG</t>
  </si>
  <si>
    <t>Z071CS</t>
  </si>
  <si>
    <t>ONION PLD WHL H/C RTE 2.5KG</t>
  </si>
  <si>
    <t>Z072CS</t>
  </si>
  <si>
    <t>ONION PLD WHL H/C RTE 1KG</t>
  </si>
  <si>
    <t>Z079CS</t>
  </si>
  <si>
    <t>Z077CS</t>
  </si>
  <si>
    <t>Z078CS</t>
  </si>
  <si>
    <t>Z059CS</t>
  </si>
  <si>
    <t>ONION DICE 10MM M/C RTW 2.5KG</t>
  </si>
  <si>
    <t>Z360CS</t>
  </si>
  <si>
    <t>Z060CS</t>
  </si>
  <si>
    <t>ONION DICE 10MM M/C RTW 1KG</t>
  </si>
  <si>
    <t>Z361CS</t>
  </si>
  <si>
    <t>ONION DICED 10MM 1KG</t>
  </si>
  <si>
    <t>279ACS</t>
  </si>
  <si>
    <t>502ACS</t>
  </si>
  <si>
    <t>280ACS</t>
  </si>
  <si>
    <t>487ACS</t>
  </si>
  <si>
    <t>282ACS</t>
  </si>
  <si>
    <t>484ACS</t>
  </si>
  <si>
    <t>281ACS</t>
  </si>
  <si>
    <t>489ACS</t>
  </si>
  <si>
    <t>494ACS</t>
  </si>
  <si>
    <t>490ACS</t>
  </si>
  <si>
    <t>492ACS</t>
  </si>
  <si>
    <t>491ACS</t>
  </si>
  <si>
    <t>Z015CS</t>
  </si>
  <si>
    <t>Z019CS</t>
  </si>
  <si>
    <t>MUSH SHI SLC 3MM M/C RTW 2.5KG</t>
  </si>
  <si>
    <t>Z011CS</t>
  </si>
  <si>
    <t>MUSH CHEST 1/4 H/C RTW 2.5KG</t>
  </si>
  <si>
    <t>Z012CS</t>
  </si>
  <si>
    <t>MUSH CHEST 1/4 H/C RTW 1KG</t>
  </si>
  <si>
    <t>Z003CS</t>
  </si>
  <si>
    <t>Z005CS</t>
  </si>
  <si>
    <t>MUSH BUTTON 1/4 H/C RTW 2.5KG</t>
  </si>
  <si>
    <t>Z006CS</t>
  </si>
  <si>
    <t>MUSH BUTTON 1/4 H/C RTW 1KG</t>
  </si>
  <si>
    <t>Z009CS</t>
  </si>
  <si>
    <t>MUS BUT SLC 10MM M/C RTW 2.5KG</t>
  </si>
  <si>
    <t>Z209CS</t>
  </si>
  <si>
    <t>MOOLI WHL PLD H/C RTE 2.5KG</t>
  </si>
  <si>
    <t>Z192CS</t>
  </si>
  <si>
    <t>MANGETOUT T&amp;T H/C RTW 2.5KG</t>
  </si>
  <si>
    <t>1822CS</t>
  </si>
  <si>
    <t>LEMON WEDGES X 2KG</t>
  </si>
  <si>
    <t>Z164CS</t>
  </si>
  <si>
    <t>LEEK DICED 20MM H/C RTW 2.5KG</t>
  </si>
  <si>
    <t>Z427CS</t>
  </si>
  <si>
    <t>GOLD BEET PAR 30MM HC RTW 2.5KG</t>
  </si>
  <si>
    <t>Z152CS</t>
  </si>
  <si>
    <t>Z150CS</t>
  </si>
  <si>
    <t>Z151CS</t>
  </si>
  <si>
    <t>917ACS</t>
  </si>
  <si>
    <t>Z157CS</t>
  </si>
  <si>
    <t>GARLIC SLC 2MM M/C RTW 2.5KG</t>
  </si>
  <si>
    <t>Z158CS</t>
  </si>
  <si>
    <t>GARLIC SLC 2MM M/C RTW 1KG</t>
  </si>
  <si>
    <t>Z299CS</t>
  </si>
  <si>
    <t>Z297CS</t>
  </si>
  <si>
    <t>Z298CS</t>
  </si>
  <si>
    <t>4486CS</t>
  </si>
  <si>
    <t>FRUIT CUP 6 X 200G</t>
  </si>
  <si>
    <t>Z395CS</t>
  </si>
  <si>
    <t>FENNEL WDG 1/8 H/C RTW 1KG</t>
  </si>
  <si>
    <t>Z208CS</t>
  </si>
  <si>
    <t>FENNEL JUL 3MM M/C RTE 1KG</t>
  </si>
  <si>
    <t>103ACS</t>
  </si>
  <si>
    <t>1536CS</t>
  </si>
  <si>
    <t>Z390CS</t>
  </si>
  <si>
    <t>916ACS</t>
  </si>
  <si>
    <t>COURGETTE MTCHSTICK 2X500G (C)</t>
  </si>
  <si>
    <t>Z122CS</t>
  </si>
  <si>
    <t>COURG SLC 10MM M/C RTW 2.5KG</t>
  </si>
  <si>
    <t>Z126CS</t>
  </si>
  <si>
    <t>COURG MTCH 2.5MM M/C RTW 2.5KG</t>
  </si>
  <si>
    <t>Z121CS</t>
  </si>
  <si>
    <t>COURG DICE 20MM H/C RTW 1KG</t>
  </si>
  <si>
    <t>Z118CS</t>
  </si>
  <si>
    <t>COUR DICE 10MM M/C RTW 2.5KG</t>
  </si>
  <si>
    <t>765ACS</t>
  </si>
  <si>
    <t>COLESLAW MIX 8x500G</t>
  </si>
  <si>
    <t>1254CS</t>
  </si>
  <si>
    <t>Z305CS</t>
  </si>
  <si>
    <t>Z129CS</t>
  </si>
  <si>
    <t>Z132CS</t>
  </si>
  <si>
    <t>Z135CS</t>
  </si>
  <si>
    <t>717ACS</t>
  </si>
  <si>
    <t>Z108CS</t>
  </si>
  <si>
    <t>Z107CS</t>
  </si>
  <si>
    <t>Z100CS</t>
  </si>
  <si>
    <t>CELERY DICE 5MM M/C RTE 2.5KG</t>
  </si>
  <si>
    <t>Z101CS</t>
  </si>
  <si>
    <t>CELERY DICE 5MM M/C RTE 1KG</t>
  </si>
  <si>
    <t>Z103CS</t>
  </si>
  <si>
    <t>Z104CS</t>
  </si>
  <si>
    <t>Z095CS</t>
  </si>
  <si>
    <t>CELERIAC JUL 3MM M/C RTE 1KG</t>
  </si>
  <si>
    <t>Z295CS</t>
  </si>
  <si>
    <t>CELERIAC DICED 20MM H/C 2.5K</t>
  </si>
  <si>
    <t>Z092CS</t>
  </si>
  <si>
    <t>CELERIAC DC 10MM M/C RTW 2.5KG</t>
  </si>
  <si>
    <t>Z093CS</t>
  </si>
  <si>
    <t>CELERIAC DC 10MM M/C RTW 1KG</t>
  </si>
  <si>
    <t>Z138CS</t>
  </si>
  <si>
    <t>CAULIFLORETS 30G H/C RTW 2.5KG</t>
  </si>
  <si>
    <t>Z139CS</t>
  </si>
  <si>
    <t>CAULIFLORETS 30G H/C RTW 1KG</t>
  </si>
  <si>
    <t>Z140CS</t>
  </si>
  <si>
    <t>CAULI DICED 20MM H/C RTW 2.5KG</t>
  </si>
  <si>
    <t>Z337CS</t>
  </si>
  <si>
    <t>Z336CS</t>
  </si>
  <si>
    <t>Z261CS</t>
  </si>
  <si>
    <t>CARROT BIAS 5MM H/C RTW 2.5KG</t>
  </si>
  <si>
    <t>Z263CS</t>
  </si>
  <si>
    <t>CARROT BABY PREP H/C 2.5KG</t>
  </si>
  <si>
    <t>Z239CS</t>
  </si>
  <si>
    <t>CARR PLD WHL RTE 2.5KG</t>
  </si>
  <si>
    <t>Z240CS</t>
  </si>
  <si>
    <t>CARR PLD WHL RTE 1KG</t>
  </si>
  <si>
    <t>Z267CS</t>
  </si>
  <si>
    <t>Z268CS</t>
  </si>
  <si>
    <t>Z269CS</t>
  </si>
  <si>
    <t>CARR FLW CANNELATED M/C 5M 2.5</t>
  </si>
  <si>
    <t>Z247CS</t>
  </si>
  <si>
    <t>Z248CS</t>
  </si>
  <si>
    <t>Z245CS</t>
  </si>
  <si>
    <t>CARR DICE 10MM M/C RTW 2.5KG</t>
  </si>
  <si>
    <t>Z246CS</t>
  </si>
  <si>
    <t>CARR DICE 10MM M/C RTW 1KG</t>
  </si>
  <si>
    <t>Z265CS</t>
  </si>
  <si>
    <t>CARR BABY ENBRANCHE STEM 2.5KG</t>
  </si>
  <si>
    <t>Z253CS</t>
  </si>
  <si>
    <t>CAR JULIENNE 3MM M/C RTE 2.5KG</t>
  </si>
  <si>
    <t>Z251CS</t>
  </si>
  <si>
    <t>CAR BAT 10X60MM M/C RTE 2.5KG</t>
  </si>
  <si>
    <t>Z259CS</t>
  </si>
  <si>
    <t>CAR 1/2 MOON 5MM M/C RTW 2.5KG</t>
  </si>
  <si>
    <t>Z408CS</t>
  </si>
  <si>
    <t>CAB WHT SHR FINE M/C RTE 250G</t>
  </si>
  <si>
    <t>Z233CS</t>
  </si>
  <si>
    <t>CABB RED SHR 3MM M/C RTE 2.5KG</t>
  </si>
  <si>
    <t>Z237CS</t>
  </si>
  <si>
    <t>CAB WHT SHR FINE M/C RTE 2.5KG</t>
  </si>
  <si>
    <t>001BCS</t>
  </si>
  <si>
    <t>BUTTERNUT HALF &amp; PEELED 2.5KG</t>
  </si>
  <si>
    <t>Z086CS</t>
  </si>
  <si>
    <t>BTSQSH DICE 25MM H/C RTW 2.5KG</t>
  </si>
  <si>
    <t>Z088CS</t>
  </si>
  <si>
    <t>BTSQSH DICE 10MM M/C RTW 2.5KG</t>
  </si>
  <si>
    <t>Z089CS</t>
  </si>
  <si>
    <t>BTSQSH DICE 10MM M/C RTW 1KG</t>
  </si>
  <si>
    <t>Z084CS</t>
  </si>
  <si>
    <t>BROCC FLORET 20G H/C RTW 2.5KG</t>
  </si>
  <si>
    <t>Z085CS</t>
  </si>
  <si>
    <t>BROCC FLORET 20G H/C RTW 1KG</t>
  </si>
  <si>
    <t>028BCS</t>
  </si>
  <si>
    <t>BF PEELED POTATO 5KG</t>
  </si>
  <si>
    <t>719ACS</t>
  </si>
  <si>
    <t>BENUGO PREP PINEAPPLE CUBE 2KG</t>
  </si>
  <si>
    <t>720ACS</t>
  </si>
  <si>
    <t>BENUGO PREP MELON CUBE 2KG</t>
  </si>
  <si>
    <t>906ACS</t>
  </si>
  <si>
    <t>Z355CS</t>
  </si>
  <si>
    <t>Z420CS</t>
  </si>
  <si>
    <t>BEETROOT PARIS 30MM H/C 2.5KG</t>
  </si>
  <si>
    <t>Z285CS</t>
  </si>
  <si>
    <t>712ACS</t>
  </si>
  <si>
    <t>Z382CS</t>
  </si>
  <si>
    <t>BEAN BROAD PLD FZ 2.5KG</t>
  </si>
  <si>
    <t>Z383CS</t>
  </si>
  <si>
    <t>BEAN BROAD PLD FZ 1KG</t>
  </si>
  <si>
    <t>Z080CS</t>
  </si>
  <si>
    <t>AUB DICED 20MM H/C RTW 2.5KG</t>
  </si>
  <si>
    <t>Z281CS</t>
  </si>
  <si>
    <t>ARTICHOKE JERUSALEM PREP 2.5KG</t>
  </si>
  <si>
    <t>002BCS</t>
  </si>
  <si>
    <t>Apples Gala Diced 15x15mm 3kg</t>
  </si>
  <si>
    <t>Z365CS</t>
  </si>
  <si>
    <t>SHALLOT THAI PLD 1KG</t>
  </si>
  <si>
    <t>Z326CS</t>
  </si>
  <si>
    <t>PUMPKIN PLD 1/4 H/C RTW 1KG</t>
  </si>
  <si>
    <t>Z197CS</t>
  </si>
  <si>
    <t>PUMP DICE 10MM M/C RTW 1KG</t>
  </si>
  <si>
    <t>1875CS</t>
  </si>
  <si>
    <t>PREP DICED MANGO  1KG</t>
  </si>
  <si>
    <t>1101CS</t>
  </si>
  <si>
    <t>Z050CS</t>
  </si>
  <si>
    <t>POTS SALAD MIDS PLD RTW 1KG</t>
  </si>
  <si>
    <t>Z039CS</t>
  </si>
  <si>
    <t>POTS RED WSH PLD RTW 2.5KG</t>
  </si>
  <si>
    <t>Z040CS</t>
  </si>
  <si>
    <t>POTS RED WSH PLD RTW 1KG</t>
  </si>
  <si>
    <t>1157CS</t>
  </si>
  <si>
    <t>785ACS</t>
  </si>
  <si>
    <t>PICKLED RED CABBAGE DL 1x1.3KG</t>
  </si>
  <si>
    <t>Z315CS</t>
  </si>
  <si>
    <t>Z328CS</t>
  </si>
  <si>
    <t>Z214CS</t>
  </si>
  <si>
    <t>PARS DICED 20MM H/C RTW 1KG</t>
  </si>
  <si>
    <t>Z014CS</t>
  </si>
  <si>
    <t>MUSH CHST SL 5MM M/C RTW 1KG</t>
  </si>
  <si>
    <t>Z155CS</t>
  </si>
  <si>
    <t>GINGER WHL PLD H/C RTE 2.5KG</t>
  </si>
  <si>
    <t>054BCS</t>
  </si>
  <si>
    <t>GARLIC SLICED 2MM M/C 1KG</t>
  </si>
  <si>
    <t>Z392CS</t>
  </si>
  <si>
    <t>Z296CS</t>
  </si>
  <si>
    <t>CELERIAC DICED 20MM H/C 1KG</t>
  </si>
  <si>
    <t>Z352CS</t>
  </si>
  <si>
    <t>Z353CS</t>
  </si>
  <si>
    <t>CAULIFLOWER DICED 20MM FR 1KG</t>
  </si>
  <si>
    <t>Z264CS</t>
  </si>
  <si>
    <t>CARROT BABY PREP H/C 1KG</t>
  </si>
  <si>
    <t>Z252CS</t>
  </si>
  <si>
    <t>CAR BAT 10X60MM M/C RTE 1KG</t>
  </si>
  <si>
    <t>Z260CS</t>
  </si>
  <si>
    <t>CAR 1/2 MOON 5MM M/C RTW 1KG</t>
  </si>
  <si>
    <t>Z238CS</t>
  </si>
  <si>
    <t>CAB WHT SHR FINE M/C RTE 1KG</t>
  </si>
  <si>
    <t>Z421CS</t>
  </si>
  <si>
    <t>BEETROOT PARIS 30MM H/C 1KG</t>
  </si>
  <si>
    <t>Z286CS</t>
  </si>
  <si>
    <t>652ACS</t>
  </si>
  <si>
    <t>BEEF TOMATO SLICED 5MM 2x1KG</t>
  </si>
  <si>
    <t>Z218CS</t>
  </si>
  <si>
    <t>SPR ON SLC FINE M/C RTE 1KG</t>
  </si>
  <si>
    <t>095BCS</t>
  </si>
  <si>
    <t>SLICED WHITE POTATO 2MM 2.5KG</t>
  </si>
  <si>
    <t>Z224CS</t>
  </si>
  <si>
    <t>REDON 1/2 SL 3MM M/C RTW 1KG</t>
  </si>
  <si>
    <t>1477CS</t>
  </si>
  <si>
    <t>2093CS</t>
  </si>
  <si>
    <t>1345CS</t>
  </si>
  <si>
    <t>Z178CS</t>
  </si>
  <si>
    <t>PEP YL DICE 20MM H/C RTW 2.5KG</t>
  </si>
  <si>
    <t>278ACS</t>
  </si>
  <si>
    <t>497ACS</t>
  </si>
  <si>
    <t>Z117CS</t>
  </si>
  <si>
    <t>TOM VIN DCD 10MM M/C RTE 1KG</t>
  </si>
  <si>
    <t>Z111CS</t>
  </si>
  <si>
    <t>TOM PLUM WHL WHSD RTE 1KG</t>
  </si>
  <si>
    <t>Z222CS</t>
  </si>
  <si>
    <t>1107CS</t>
  </si>
  <si>
    <t>1282CS</t>
  </si>
  <si>
    <t>1152CS</t>
  </si>
  <si>
    <t>PREP CARROTS SLICED 2.5KG</t>
  </si>
  <si>
    <t>Z323CS</t>
  </si>
  <si>
    <t>POTS SWT DICED 20MM H/C 1KG</t>
  </si>
  <si>
    <t>Z034CS</t>
  </si>
  <si>
    <t>POTS MAR PIP PLD 1/2 RTW 1KG</t>
  </si>
  <si>
    <t>Z024CS</t>
  </si>
  <si>
    <t>POTS DICE 10MM M/C RTW 1KG</t>
  </si>
  <si>
    <t>Z054CS</t>
  </si>
  <si>
    <t>POT PLD DICE 25MM H/C RTW 1KG</t>
  </si>
  <si>
    <t>Z183CS</t>
  </si>
  <si>
    <t>PEP YL BAT 10X60 H/C RTE 1KG</t>
  </si>
  <si>
    <t>Z181CS</t>
  </si>
  <si>
    <t>Z177CS</t>
  </si>
  <si>
    <t>Z166CS</t>
  </si>
  <si>
    <t>PEP RED DICE 5MM M/C RTE 2.5KG</t>
  </si>
  <si>
    <t>Z173CS</t>
  </si>
  <si>
    <t>PEP RD BAT 10X60 H/C RTW 1KG</t>
  </si>
  <si>
    <t>Z163CS</t>
  </si>
  <si>
    <t>LEEK DICED 12MM H/C RTW 1KG</t>
  </si>
  <si>
    <t>Z156CS</t>
  </si>
  <si>
    <t>GINGER WHL PLD H/C RTE 1KG</t>
  </si>
  <si>
    <t>Z154CS</t>
  </si>
  <si>
    <t>GINGER JUL 3MM H/C RTW 1KG</t>
  </si>
  <si>
    <t>Z391CS</t>
  </si>
  <si>
    <t>Z125CS</t>
  </si>
  <si>
    <t>COURG BAT 10X60 M/C RTW 1KG</t>
  </si>
  <si>
    <t>Z119CS</t>
  </si>
  <si>
    <t>COUR DICE 10MM M/C RTW 1KG</t>
  </si>
  <si>
    <t>Z131CS</t>
  </si>
  <si>
    <t>Z134CS</t>
  </si>
  <si>
    <t>CHILLI GR MIN 3MM M/C RTE 1KG</t>
  </si>
  <si>
    <t>Z106CS</t>
  </si>
  <si>
    <t>Z141CS</t>
  </si>
  <si>
    <t>CAULI DICED 20MM H/C RTW 1KG</t>
  </si>
  <si>
    <t>Z340CS</t>
  </si>
  <si>
    <t>Z341CS</t>
  </si>
  <si>
    <t>Z091CS</t>
  </si>
  <si>
    <t>BTSQSH PLD 1/2 H/C RTW 1KG</t>
  </si>
  <si>
    <t>Z083CS</t>
  </si>
  <si>
    <t>AUB DICED 10MM M/C RTW 1KG</t>
  </si>
  <si>
    <t>1646CS</t>
  </si>
  <si>
    <t>499ACS</t>
  </si>
  <si>
    <t>Z278CS</t>
  </si>
  <si>
    <t>VEG MXD RATATOU 20MM M/C 1KG</t>
  </si>
  <si>
    <t>Z373CS</t>
  </si>
  <si>
    <t>POTS RED WASHED RTW 1KG</t>
  </si>
  <si>
    <t>Z026CS</t>
  </si>
  <si>
    <t>POTS NEW DICE+S 20MM M/C 1KG</t>
  </si>
  <si>
    <t>Z211CS</t>
  </si>
  <si>
    <t>PARSNIP WHL PLD H/C RTW 2.5KG</t>
  </si>
  <si>
    <t>Z013CS</t>
  </si>
  <si>
    <t>MUSH CHST SL 5MM M/C RTW 2.5KG</t>
  </si>
  <si>
    <t>Z275CS</t>
  </si>
  <si>
    <t>Z428CS</t>
  </si>
  <si>
    <t>GOLD BEET PAR 30MM HC RTW 1KG</t>
  </si>
  <si>
    <t>Z325CS</t>
  </si>
  <si>
    <t>CHILLI GRN SLC W/SEEDS M/C 1K</t>
  </si>
  <si>
    <t>1033CS</t>
  </si>
  <si>
    <t>PREP POTS SLICED 5KG</t>
  </si>
  <si>
    <t>2365CS</t>
  </si>
  <si>
    <t>2025CS</t>
  </si>
  <si>
    <t>BEETROOT JUICE 1 X 1L</t>
  </si>
  <si>
    <t>Z114CS</t>
  </si>
  <si>
    <t>TOM DICE 10MM M/C RTE 2.5KG</t>
  </si>
  <si>
    <t>Z291CS</t>
  </si>
  <si>
    <t>Z368CS</t>
  </si>
  <si>
    <t>Z374CS</t>
  </si>
  <si>
    <t>Z180CS</t>
  </si>
  <si>
    <t>Z171CS</t>
  </si>
  <si>
    <t>PEP RED DICE 25MM H/C RTW 1KG</t>
  </si>
  <si>
    <t>Z362CS</t>
  </si>
  <si>
    <t>Z020CS</t>
  </si>
  <si>
    <t>MUSH SHI SLC 3MM M/C RTW 1KG</t>
  </si>
  <si>
    <t>Z007CS</t>
  </si>
  <si>
    <t>MUSH BUT SLC 5MM M/C RTW 2.5KG</t>
  </si>
  <si>
    <t>Z008CS</t>
  </si>
  <si>
    <t>MUSH BUT SLC 5MM M/C RTW 1KG</t>
  </si>
  <si>
    <t>Z354CS</t>
  </si>
  <si>
    <t>Z136CS</t>
  </si>
  <si>
    <t>BEAN FINE 25MM H/C RTW 2.5KG</t>
  </si>
  <si>
    <t>503ACS</t>
  </si>
  <si>
    <t>Z041CS</t>
  </si>
  <si>
    <t>POTS RED +S WDG H/C RTW 2.5KG</t>
  </si>
  <si>
    <t>Z128CS</t>
  </si>
  <si>
    <t>098BCS</t>
  </si>
  <si>
    <t>PKLD CUCMBR DIAG/CUT 2X1.3KG</t>
  </si>
  <si>
    <t>Z418CS</t>
  </si>
  <si>
    <t>1598CS</t>
  </si>
  <si>
    <t>2364CS</t>
  </si>
  <si>
    <t>PREP DICED CARROT 5MM 1.5KG</t>
  </si>
  <si>
    <t>Z061CS</t>
  </si>
  <si>
    <t>ONION DICE 5MM M/C RTE 2.5KG</t>
  </si>
  <si>
    <t>Customer</t>
  </si>
  <si>
    <t>Product_Code</t>
  </si>
  <si>
    <t>Product_Name</t>
  </si>
  <si>
    <t>UoM</t>
  </si>
  <si>
    <t>Pack Size (UoM)</t>
  </si>
  <si>
    <t>Reynolds</t>
  </si>
  <si>
    <t>PREP CARROTS JULIENNE 1KG</t>
  </si>
  <si>
    <t>KG</t>
  </si>
  <si>
    <t>1726CS</t>
  </si>
  <si>
    <t>GINGER DICED 1 X 200G</t>
  </si>
  <si>
    <t>COLESLAW DRY MIX 1KG</t>
  </si>
  <si>
    <t>PREP ONION DICED 5mm 2.5KG</t>
  </si>
  <si>
    <t>PREP COLESLAW DRY MIX 2.5KG</t>
  </si>
  <si>
    <t>DICED RED PEPPER 4 X 750G</t>
  </si>
  <si>
    <t>5MM SLICED LEEK 4 X 600G</t>
  </si>
  <si>
    <t>1522CS</t>
  </si>
  <si>
    <t>STIRFRY MIX WITH KALE 6 X 500G</t>
  </si>
  <si>
    <t>PREP CABBAGE RED SHRED 2.5KG</t>
  </si>
  <si>
    <t>BUTTERNUTSQSH DICED 25MM 2.5KG</t>
  </si>
  <si>
    <t>808ACS</t>
  </si>
  <si>
    <t>COURGETTI 2 X 500G</t>
  </si>
  <si>
    <t>PREP ROOT VEG MIX CHNKY 2.5KG</t>
  </si>
  <si>
    <t>PREP WHITE ONION SLICED 2.5KG</t>
  </si>
  <si>
    <t>RED CABBAGE N CARROT SLAW 2X1K</t>
  </si>
  <si>
    <t>PREP CARROTS GRATED 4 X 1KG</t>
  </si>
  <si>
    <t>NHS PREP STEW PACK 2.5KG</t>
  </si>
  <si>
    <t>PREP ONION RED SLICED 2.5KG</t>
  </si>
  <si>
    <t>NHS DICED ONION 15MM 2.5KG</t>
  </si>
  <si>
    <t>PREP CABBAGE GREEN SHRED 2.5KG</t>
  </si>
  <si>
    <t>730ACS</t>
  </si>
  <si>
    <t>CARROT MOOLI CHAYOTE MIX 1x2KG</t>
  </si>
  <si>
    <t>PREP STIR FRY MIX 2.5KG</t>
  </si>
  <si>
    <t>PREP BEETROOT STRING 500G</t>
  </si>
  <si>
    <t>PREP DICED BUTTERNUT 15MM X1KG</t>
  </si>
  <si>
    <t>PREP SWEET POTS DICE 25MM 2.5K</t>
  </si>
  <si>
    <t>PREP RATATOUILLE MIX 1KG</t>
  </si>
  <si>
    <t>PREP DICED ONION 5MM 1KG</t>
  </si>
  <si>
    <t>PREP CABBAGE WHITE SHRED 2.5KG</t>
  </si>
  <si>
    <t>NHS PREP POTS QUARTERED 5KG</t>
  </si>
  <si>
    <t>PREP SWEET POTS WHOLE 2.5KG</t>
  </si>
  <si>
    <t>NHS PREP SLICED CARROT 2.5KG</t>
  </si>
  <si>
    <t>NHS DICED BUTTERNUT 15MM 1KG</t>
  </si>
  <si>
    <t>NHS PREP DICED POTATO 20MM 5KG</t>
  </si>
  <si>
    <t>NHS DICED ONION 5MM 2.5KG</t>
  </si>
  <si>
    <t>NHS CARROTS GRATED 1 X 1KG</t>
  </si>
  <si>
    <t>NHS DICED CARROT 10MM 2.5KG</t>
  </si>
  <si>
    <t>PREP BROCCOLI 1 X 1KG</t>
  </si>
  <si>
    <t>PREP POT FONDANT OVAL 20EA</t>
  </si>
  <si>
    <t>Count</t>
  </si>
  <si>
    <t>PREP ONION RED DICED 5MM 2.5KG</t>
  </si>
  <si>
    <t>NHS CABBAGE GREEN SHRED 2.5KG</t>
  </si>
  <si>
    <t>PREP STIR FRY MIX 1 X 2.5KG</t>
  </si>
  <si>
    <t>1366CS</t>
  </si>
  <si>
    <t>PREP PARSNIPS WHOLE 2.5KG</t>
  </si>
  <si>
    <t>PREP POTS THINLY SLICED 2.5KG</t>
  </si>
  <si>
    <t>NHS PREP STIR FRY MIX 2.5KG</t>
  </si>
  <si>
    <t>PREP GINGER PEELED 1KG</t>
  </si>
  <si>
    <t>NHS PARSNIPS QUARTER 2.5KG</t>
  </si>
  <si>
    <t>PRP DRY C/SLAW MX REDONION 4X1</t>
  </si>
  <si>
    <t>NHS PREP BATON CARROT 2.5KG</t>
  </si>
  <si>
    <t>PREP PARSNIPS QUARTER 2.5KG</t>
  </si>
  <si>
    <t>RED ONION 3MM 4X250G</t>
  </si>
  <si>
    <t>PREP SWEDE DICED 2.5KG</t>
  </si>
  <si>
    <t>NHS COLESLAW DRY MIX 2.5KG</t>
  </si>
  <si>
    <t>PREP MINESTRONE MIX 2.5KG</t>
  </si>
  <si>
    <t>PREP 5MM DICED ONION 2KG</t>
  </si>
  <si>
    <t>NHS PREP WHOLE CARROT 2.5KG</t>
  </si>
  <si>
    <t>BEEF TOMATO SLICED 5MM 1X1KG</t>
  </si>
  <si>
    <t>CHERRY TOMATO HALF CUT 1x1KG</t>
  </si>
  <si>
    <t>PREP CAULIFLORETS 2.5KG</t>
  </si>
  <si>
    <t>495ACS</t>
  </si>
  <si>
    <t>NHS RATATOUILLE LGE CUT 2.5KG</t>
  </si>
  <si>
    <t>714ACS</t>
  </si>
  <si>
    <t>CARROT GRATED 4X250G</t>
  </si>
  <si>
    <t>SPRING ONION SLICES 4MM 4X250G</t>
  </si>
  <si>
    <t>PINK STAR DRY SLAW 2 X 1KG</t>
  </si>
  <si>
    <t>790ACS</t>
  </si>
  <si>
    <t>SHOESTRING POTATOES 3KG</t>
  </si>
  <si>
    <t>498ACS</t>
  </si>
  <si>
    <t>NHS PREP DICED ONION 5MM 1KG</t>
  </si>
  <si>
    <t>713ACS</t>
  </si>
  <si>
    <t>BEETROOT GRATED 4X250G</t>
  </si>
  <si>
    <t>NHS CABBAGE RED SHRED 2.5KG</t>
  </si>
  <si>
    <t>500ACS</t>
  </si>
  <si>
    <t>NHS PREP SWEDE DICED 2.5KG</t>
  </si>
  <si>
    <t>481ACS</t>
  </si>
  <si>
    <t>NHS SHR SAVOY CABBAGE 3MM 5KG</t>
  </si>
  <si>
    <t>483ACS</t>
  </si>
  <si>
    <t>NHS PREP ONION RED WHOLE 2.5KG</t>
  </si>
  <si>
    <t>BENUGO PREP DICED MANGO 1KG</t>
  </si>
  <si>
    <t>PREP ROOT VEG DICED 2CM 5KG</t>
  </si>
  <si>
    <t>493ACS</t>
  </si>
  <si>
    <t>NHS COLESLAW DRY MIX 1KG</t>
  </si>
  <si>
    <t>1181CS</t>
  </si>
  <si>
    <t>PREP 3MM SHR SAVOY CABBAGE 5KG</t>
  </si>
  <si>
    <t>1860CS</t>
  </si>
  <si>
    <t>PREP WATERMELON CUBES 2KG</t>
  </si>
  <si>
    <t>2414CS</t>
  </si>
  <si>
    <t>(S) COURGETTI 4 X 500G</t>
  </si>
  <si>
    <t>861ACS</t>
  </si>
  <si>
    <t>PAD THAI MIX 4 X 600GR</t>
  </si>
  <si>
    <t>PREP 5MM DICED CARROT 1.5KG</t>
  </si>
  <si>
    <t>PREP POT FONDANT 50X70MM20EA</t>
  </si>
  <si>
    <t>1424CS</t>
  </si>
  <si>
    <t>PREP STEW PACK 2.5KG</t>
  </si>
  <si>
    <t>GINGER DICED 1X300G</t>
  </si>
  <si>
    <t>1046CS</t>
  </si>
  <si>
    <t>PREP CHIPS LONG THICK H/C 5KG</t>
  </si>
  <si>
    <t>PREP COURGETTE MATCHSTICKS 2X500G</t>
  </si>
  <si>
    <t>Dnata</t>
  </si>
  <si>
    <t>Z400CS</t>
  </si>
  <si>
    <t>SAVOY DICED 25MM H/C FR 1KG</t>
  </si>
  <si>
    <t>PAK CHOI CHPD 25MM FR H/C 1KG</t>
  </si>
  <si>
    <t>Z402CS</t>
  </si>
  <si>
    <t>POTS CHIP CUT 1.6 X 1.6 X 6CM H/C 1KG</t>
  </si>
  <si>
    <t>Z371CS</t>
  </si>
  <si>
    <t>RUSS POT SLC 1.5CM M/C RTW 1KG</t>
  </si>
  <si>
    <t>Z370CS</t>
  </si>
  <si>
    <t>RUSS POT SLC 1.5CM M/C RTW 2.5</t>
  </si>
  <si>
    <t>Z332CS</t>
  </si>
  <si>
    <t>PEP GR DICE 2CM H/C SQ RTW 1KG</t>
  </si>
  <si>
    <t>Z331CS</t>
  </si>
  <si>
    <t>PEP GR DICE 2CM H/C SQ RTW 2.5</t>
  </si>
  <si>
    <t>CARROT MINCED FR 1KG</t>
  </si>
  <si>
    <t>Z335CS</t>
  </si>
  <si>
    <t>CARROT MINCED FR 2.5KG</t>
  </si>
  <si>
    <t>CARROT MINCED FR 250G</t>
  </si>
  <si>
    <t>CHILLI GRN SLC SEEDS M/C 1KG</t>
  </si>
  <si>
    <t>Z304CS</t>
  </si>
  <si>
    <t>CHILLI GRN SLC SEEDS M/C 2.5KG</t>
  </si>
  <si>
    <t>Z258CS</t>
  </si>
  <si>
    <t>CAR MATCH 2.5MM M/C RTW 1KG</t>
  </si>
  <si>
    <t>Z257CS</t>
  </si>
  <si>
    <t>CAR MATCH 2.5MM M/C RTW 2.5KG</t>
  </si>
  <si>
    <t>Z339CS</t>
  </si>
  <si>
    <t>CARROT WHL PEELED HAND CUT 2.5</t>
  </si>
  <si>
    <t>Z389CS</t>
  </si>
  <si>
    <t>ASPARAGUS PLD 8CM H/C RTW 1KG</t>
  </si>
  <si>
    <t>Z388CS</t>
  </si>
  <si>
    <t>ASPARAGUS PLD 8CM H/C RTW 2.5K</t>
  </si>
  <si>
    <t>Z082CS</t>
  </si>
  <si>
    <t>AUB DICED 10MM M/C RTW 2.5KG</t>
  </si>
  <si>
    <t>Z081CS</t>
  </si>
  <si>
    <t>AUB DICED 20MM H/C RTW 1KG</t>
  </si>
  <si>
    <t>Z284CS</t>
  </si>
  <si>
    <t>AUBERGINE BATON 60X6MM M/C 1KG</t>
  </si>
  <si>
    <t>Z283CS</t>
  </si>
  <si>
    <t>AUBERGINE BATON 60X6MM M/C 2.5</t>
  </si>
  <si>
    <t>Z206CS</t>
  </si>
  <si>
    <t>BRUSS SPR WHL PREP RTW 1KG</t>
  </si>
  <si>
    <t>Z205CS</t>
  </si>
  <si>
    <t>BRUSS SPR WHL PREP RTW 2.5KG</t>
  </si>
  <si>
    <t>Z087CS</t>
  </si>
  <si>
    <t>BTSQSH DICE 25MM H/C RTW 1KG</t>
  </si>
  <si>
    <t>Z090CS</t>
  </si>
  <si>
    <t>BTSQSH PLD 1/2 H/C RTW 2.5KG</t>
  </si>
  <si>
    <t>Z236CS</t>
  </si>
  <si>
    <t>CABB CHN 11-15MM H/C RTW 1KG</t>
  </si>
  <si>
    <t>Z235CS</t>
  </si>
  <si>
    <t>CABB CHN 11-15MM H/C RTW 2.5KG</t>
  </si>
  <si>
    <t>Z234CS</t>
  </si>
  <si>
    <t>CABB RED SHR 3MM M/C RTE 1KG</t>
  </si>
  <si>
    <t>Z250CS</t>
  </si>
  <si>
    <t>CAR BAT RST 60MM H/C RTW 1KG</t>
  </si>
  <si>
    <t>Z249CS</t>
  </si>
  <si>
    <t>CAR BAT RST 60MM H/C RTW 2.5KG</t>
  </si>
  <si>
    <t>Z254CS</t>
  </si>
  <si>
    <t>CAR JULIENNE 3MM M/C RTE 1KG</t>
  </si>
  <si>
    <t>Z256CS</t>
  </si>
  <si>
    <t>CAR NOODLES 3MM M/C RTE 1KG</t>
  </si>
  <si>
    <t>Z255CS</t>
  </si>
  <si>
    <t>CAR NOODLES 3MM M/C RTE 2.5KG</t>
  </si>
  <si>
    <t>Z244CS</t>
  </si>
  <si>
    <t>CAR SAND WHL PLD RTW 1KG</t>
  </si>
  <si>
    <t>Z243CS</t>
  </si>
  <si>
    <t>CAR SAND WHL PLD RTW 2.5KG</t>
  </si>
  <si>
    <t>CARR DICE 20MM H/C RTW 1KG</t>
  </si>
  <si>
    <t>CARR DICE 20MM H/C RTW 2.5KG</t>
  </si>
  <si>
    <t>Z242CS</t>
  </si>
  <si>
    <t>CARR PLD WHL JUICING RTE 1KG</t>
  </si>
  <si>
    <t>Z241CS</t>
  </si>
  <si>
    <t>CARR PLD WHL JUICING RTE 2.5KG</t>
  </si>
  <si>
    <t>Z262CS</t>
  </si>
  <si>
    <t>CARROT BIAS 5MM H/C RTW 1KG</t>
  </si>
  <si>
    <t>CARROT DICED 10MM 1KG</t>
  </si>
  <si>
    <t>CARROT DICED 10MM 2.5KG</t>
  </si>
  <si>
    <t>Z338CS</t>
  </si>
  <si>
    <t>CARROT WHL PEELED MACHINE 2.5K</t>
  </si>
  <si>
    <t>CAULIFLOWER DICED 20MM FR 2.5K</t>
  </si>
  <si>
    <t>Z094CS</t>
  </si>
  <si>
    <t>CELERIAC JUL 3MM M/C RTE 2.5KG</t>
  </si>
  <si>
    <t>Z349CS</t>
  </si>
  <si>
    <t>CELERY BIAS CUT FR 1KG</t>
  </si>
  <si>
    <t>Z348CS</t>
  </si>
  <si>
    <t>CELERY BIAS CUT FR 2.5KG</t>
  </si>
  <si>
    <t>Z097CS</t>
  </si>
  <si>
    <t>CELERY BIAS CUT H/C RTW 1KG</t>
  </si>
  <si>
    <t>Z096CS</t>
  </si>
  <si>
    <t>CELERY BIAS CUT H/C RTW 2.5KG</t>
  </si>
  <si>
    <t>CELERY DICE 10MM H/C RTW 1KG</t>
  </si>
  <si>
    <t>CELERY DICE 10MM H/C RTW 2.5KG</t>
  </si>
  <si>
    <t>Z105CS</t>
  </si>
  <si>
    <t>CELERY DICE 10MM H/C RTW 250G</t>
  </si>
  <si>
    <t>Z099CS</t>
  </si>
  <si>
    <t>CELERY DICE 20MM H/C RTW 1KG</t>
  </si>
  <si>
    <t>Z098CS</t>
  </si>
  <si>
    <t>CELERY DICE 20MM H/C RTW 2.5KG</t>
  </si>
  <si>
    <t>Z102CS</t>
  </si>
  <si>
    <t>CELERY DICE 5MM M/C RTE 250G</t>
  </si>
  <si>
    <t>CELERY MINCE 3MM M/C RTW 1KG</t>
  </si>
  <si>
    <t>CELERY MINCE 3MM M/C RTW 2.5KG</t>
  </si>
  <si>
    <t>CELERY MINCE 3MM M/C RTW 250G</t>
  </si>
  <si>
    <t>Z133CS</t>
  </si>
  <si>
    <t>CHILL GR MIN 3MM M/C RTE 2.5KG</t>
  </si>
  <si>
    <t>CHILL RD MNC 3MM M/C RTW 1KG</t>
  </si>
  <si>
    <t>Z130CS</t>
  </si>
  <si>
    <t>CHILL RD MNC 3MM M/C RTW 2.5KG</t>
  </si>
  <si>
    <t>CHILL RD MNC 3MM M/C RTW 250G</t>
  </si>
  <si>
    <t>CHILL RD SLC 2MM M/C RTE 1KG</t>
  </si>
  <si>
    <t>CHILL RD SLC 2MM M/C RTE 2.5KG</t>
  </si>
  <si>
    <t>CHILLI GR MIN 3MM M/C RTE 250G</t>
  </si>
  <si>
    <t>Z357CS</t>
  </si>
  <si>
    <t>COUR DICED 10MM 1KG</t>
  </si>
  <si>
    <t>Z356CS</t>
  </si>
  <si>
    <t>COUR DICED 10MM 2.5KG</t>
  </si>
  <si>
    <t>Z124CS</t>
  </si>
  <si>
    <t>COURG BAT 10X60 M/C RTW 2.5KG</t>
  </si>
  <si>
    <t>Z120CS</t>
  </si>
  <si>
    <t>COURG DICE 20MM H/C RTW 2.5KG</t>
  </si>
  <si>
    <t>Z127CS</t>
  </si>
  <si>
    <t>COURG MTCH 2.5MM M/C RTW 1KG</t>
  </si>
  <si>
    <t>Z123CS</t>
  </si>
  <si>
    <t>COURG SLC 10MM M/C RTW 1KG</t>
  </si>
  <si>
    <t>CUCMBR DICED 10MM 1/2IN FR 1KG</t>
  </si>
  <si>
    <t>CUCMBR DICED 10MM 1/2IN FR 2.5</t>
  </si>
  <si>
    <t>Z393CS</t>
  </si>
  <si>
    <t>CUCUMBER SPAGHETTI FR 1KG</t>
  </si>
  <si>
    <t>CUCUMBER SPAGHETTI FR 2.5KG</t>
  </si>
  <si>
    <t>Z207CS</t>
  </si>
  <si>
    <t>FENNEL JUL 3MM M/C RTE 2.5KG</t>
  </si>
  <si>
    <t>Z290CS</t>
  </si>
  <si>
    <t>FENNEL SHREDDED 2-3MM M/C 1KG</t>
  </si>
  <si>
    <t>Z289CS</t>
  </si>
  <si>
    <t>FENNEL SHREDDED 2-3MM M/C 2.5K</t>
  </si>
  <si>
    <t>Z159CS</t>
  </si>
  <si>
    <t>GARLIC SLC 2MM M/C RTW 250KG</t>
  </si>
  <si>
    <t>Z153CS</t>
  </si>
  <si>
    <t>GINGER JUL 3MM H/C RTW 2.5KG</t>
  </si>
  <si>
    <t>GINGER MINCE 3MM M/C RTW 1KG</t>
  </si>
  <si>
    <t>GINGER MINCE 3MM M/C RTW 2.5KG</t>
  </si>
  <si>
    <t>GINGER MINCE 3MM M/C RTW 250G</t>
  </si>
  <si>
    <t>Z202CS</t>
  </si>
  <si>
    <t>H/RAD GRATED 3MM M/C RTE 1KG</t>
  </si>
  <si>
    <t>Z201CS</t>
  </si>
  <si>
    <t>H/RAD GRATED 3MM M/C RTE 2.5KG</t>
  </si>
  <si>
    <t>Z276CS</t>
  </si>
  <si>
    <t>LEAF SILVER SWISS CHARD H/C 1K</t>
  </si>
  <si>
    <t>LEAF SILVER SWISS CHARD H/C2.5</t>
  </si>
  <si>
    <t>Z162CS</t>
  </si>
  <si>
    <t>LEEK DICED 12MM H/C RTW 2.5KG</t>
  </si>
  <si>
    <t>Z165CS</t>
  </si>
  <si>
    <t>LEEK DICED 20MM H/C RTW 1KG</t>
  </si>
  <si>
    <t>Z161CS</t>
  </si>
  <si>
    <t>LEEK SLICED 10MM M/C RTW 1KG</t>
  </si>
  <si>
    <t>Z160CS</t>
  </si>
  <si>
    <t>LEEK SLICED 10MM M/C RTW 2.5KG</t>
  </si>
  <si>
    <t>Z274CS</t>
  </si>
  <si>
    <t>LETT LITTLE GEM WSH 1/4 H/C 1K</t>
  </si>
  <si>
    <t>Z273CS</t>
  </si>
  <si>
    <t>LETT LITTLE GEM WSH1/4 H/C 2.5</t>
  </si>
  <si>
    <t>Z193CS</t>
  </si>
  <si>
    <t>MANGETOUT T&amp;T H/C RTW 1KG</t>
  </si>
  <si>
    <t>Z210CS</t>
  </si>
  <si>
    <t>MOOLI WHL PLD H/C RTE 1KG</t>
  </si>
  <si>
    <t>Z010CS</t>
  </si>
  <si>
    <t>MUSH BUT SLC 10MM M/C RTW 1KG</t>
  </si>
  <si>
    <t>Z004CS</t>
  </si>
  <si>
    <t>MUSH BUTTON WHL WSH RTW 1KG</t>
  </si>
  <si>
    <t>MUSH BUTTON WHL WSH RTW 2.5KG</t>
  </si>
  <si>
    <t>Z016CS</t>
  </si>
  <si>
    <t>MUSH SHIITA NO STALK RTW 1KG</t>
  </si>
  <si>
    <t>MUSH SHIITA NO STALK RTW 2.5KG</t>
  </si>
  <si>
    <t>Z018CS</t>
  </si>
  <si>
    <t>MUSH SHIITA STEM OUT RTW 1KG</t>
  </si>
  <si>
    <t>Z017CS</t>
  </si>
  <si>
    <t>MUSH SHIITA STEM OUT RTW 2.5KG</t>
  </si>
  <si>
    <t>Z387CS</t>
  </si>
  <si>
    <t>MUSH SHITA WHL STEM OUT FR 1KG</t>
  </si>
  <si>
    <t>Z386CS</t>
  </si>
  <si>
    <t>MUSH SHITA WHL STEM OUT FR 2.5</t>
  </si>
  <si>
    <t>Z062CS</t>
  </si>
  <si>
    <t>ONION DICE 5MM M/C RTE 1KG</t>
  </si>
  <si>
    <t>ONION DICED 10MM 2.5KG</t>
  </si>
  <si>
    <t>Z068CS</t>
  </si>
  <si>
    <t>ONION JUL 3MM M/C RTE 1KG</t>
  </si>
  <si>
    <t>Z067CS</t>
  </si>
  <si>
    <t>ONION JUL 3MM M/C RTE 2.5KG</t>
  </si>
  <si>
    <t>Z363CS</t>
  </si>
  <si>
    <t>ONION JULIENNE RED FR 1KG</t>
  </si>
  <si>
    <t>ONION JULIENNE RED FR 2.5KG</t>
  </si>
  <si>
    <t>ONION MINCE 3MM M/C RTW 1KG</t>
  </si>
  <si>
    <t>ONION MINCE 3MM M/C RTW 2.5KG</t>
  </si>
  <si>
    <t>ONION MINCE 3MM M/C RTW 250G</t>
  </si>
  <si>
    <t>ONION SLC 1/4 3MM M/C RTE 2.5K</t>
  </si>
  <si>
    <t>ONION 1/2 SLICE 3MM M/C RTW 1KG</t>
  </si>
  <si>
    <t>ONION 1/2 SLICE 3MM M/C RTW 2.5KG</t>
  </si>
  <si>
    <t>Z069CS</t>
  </si>
  <si>
    <t>ONION YEL BAB PLD H/C RTW 2.5K</t>
  </si>
  <si>
    <t>Z186CS</t>
  </si>
  <si>
    <t>PEP GR DICE 25MM H/C RTW 2.5KG</t>
  </si>
  <si>
    <t>Z191CS</t>
  </si>
  <si>
    <t>PEP MXD DICE 5MM M/C RTE 1KG</t>
  </si>
  <si>
    <t>Z190CS</t>
  </si>
  <si>
    <t>PEP MXD DICE 5MM M/C RTE 2.5KG</t>
  </si>
  <si>
    <t>Z189CS</t>
  </si>
  <si>
    <t>PEP MXD JUL 3MM M/C RTE 1KG</t>
  </si>
  <si>
    <t>Z188CS</t>
  </si>
  <si>
    <t>PEP MXD JUL 3MM M/C RTE 2.5KG</t>
  </si>
  <si>
    <t>Z175CS</t>
  </si>
  <si>
    <t>PEP RD BAT 10X60 H/C RTE 1KG</t>
  </si>
  <si>
    <t>Z174CS</t>
  </si>
  <si>
    <t>PEP RD BAT 10X60 H/C RTE 2.5KG</t>
  </si>
  <si>
    <t>PEP RED DICE 25MM H/C RTW 2.5K</t>
  </si>
  <si>
    <t>PEP RED JUL 3MM H/C RTE 1KG</t>
  </si>
  <si>
    <t>PEP RED JUL 3MM H/C RTE 2.5KG</t>
  </si>
  <si>
    <t>PEP YELL JUL 3MM H/C RTE 1KG</t>
  </si>
  <si>
    <t>PEP YELL JUL 3MM H/C RTE 2.5KG</t>
  </si>
  <si>
    <t>Z179CS</t>
  </si>
  <si>
    <t>PEP YL DICE 20MM H/C RTW 1KG</t>
  </si>
  <si>
    <t>Z330CS</t>
  </si>
  <si>
    <t>PEPP GRN JULIENNE FR 1KG</t>
  </si>
  <si>
    <t>Z329CS</t>
  </si>
  <si>
    <t>PEPP GRN JULIENNE FR 2.5KG</t>
  </si>
  <si>
    <t>PEPP YELL DIC 10M 1/2IN FR 2.5</t>
  </si>
  <si>
    <t>PEPP YELL DIC 10MM 1/2IN FR 1K</t>
  </si>
  <si>
    <t>Z313CS</t>
  </si>
  <si>
    <t>PEPP YELL DICED 25MM H/C 1X1KG</t>
  </si>
  <si>
    <t>Z312CS</t>
  </si>
  <si>
    <t>PEPP YELL DICED 25MM H/C 2.5KG</t>
  </si>
  <si>
    <t>Z056CS</t>
  </si>
  <si>
    <t>POT MP JUL 2.5MM M/C RTW 1KG</t>
  </si>
  <si>
    <t>Z055CS</t>
  </si>
  <si>
    <t>POT MP JUL 2.5MM M/C RTW 2.5KG</t>
  </si>
  <si>
    <t>Z375CS</t>
  </si>
  <si>
    <t>POTS CHIPS CYLINDER FR 1KG</t>
  </si>
  <si>
    <t>POTS CHIPS CYLINDER FR 2.5KG</t>
  </si>
  <si>
    <t>Z058CS</t>
  </si>
  <si>
    <t>POTS RATTE WSH RTW 1KG</t>
  </si>
  <si>
    <t>Z057CS</t>
  </si>
  <si>
    <t>POTS RATTE WSH RTW 2.5KG</t>
  </si>
  <si>
    <t>Z048CS</t>
  </si>
  <si>
    <t>POTS GRANNY CUT H/C RTW 1KG</t>
  </si>
  <si>
    <t>Z044CS</t>
  </si>
  <si>
    <t>POTS KIPFLER +S RTW 1KG</t>
  </si>
  <si>
    <t>Z043CS</t>
  </si>
  <si>
    <t>POTS RATTE +S RTW 2.5KG</t>
  </si>
  <si>
    <t>Z036CS</t>
  </si>
  <si>
    <t>POTS MIDS WHOLE WSHD RTW 1KG</t>
  </si>
  <si>
    <t>Z035CS</t>
  </si>
  <si>
    <t>POTS MIDS WHOLE WSHD RTW 2.5KG</t>
  </si>
  <si>
    <t>Z032CS</t>
  </si>
  <si>
    <t>POTS NEW 1/2 LNG H/C RTW 1KG</t>
  </si>
  <si>
    <t>POTS NEW DICED +S 20MM FR 2.5K</t>
  </si>
  <si>
    <t>Z042CS</t>
  </si>
  <si>
    <t>POTS RED +S WDG H/C RTW 1KG</t>
  </si>
  <si>
    <t>Z372CS</t>
  </si>
  <si>
    <t>POTS RED WASHED RTW 2.5KG</t>
  </si>
  <si>
    <t>Z195CS</t>
  </si>
  <si>
    <t>Z194CS</t>
  </si>
  <si>
    <t>PUMPKIN PLD 1/4 H/C RTW 2.5KG</t>
  </si>
  <si>
    <t>Z200CS</t>
  </si>
  <si>
    <t>RADISH SLC 3MM M/C RTE 1KG</t>
  </si>
  <si>
    <t>Z223CS</t>
  </si>
  <si>
    <t>REDON 1/2 SL 3MM M/C RTW 2.5KG</t>
  </si>
  <si>
    <t>Z226CS</t>
  </si>
  <si>
    <t>REDON 1/4 SL 3MM M/C RTE 1KG</t>
  </si>
  <si>
    <t>Z148CS</t>
  </si>
  <si>
    <t>SHALLOT BABY PLD H/C RTW 2.5KG</t>
  </si>
  <si>
    <t>Z146CS</t>
  </si>
  <si>
    <t>SHALLOT BAN PLD H/C RTW 2.5KG</t>
  </si>
  <si>
    <t>Z145CS</t>
  </si>
  <si>
    <t>SHALLOT SLC 4MM M/C RTW 1KG</t>
  </si>
  <si>
    <t>Z364CS</t>
  </si>
  <si>
    <t>SHALLOT THAI PLD 2.5KG</t>
  </si>
  <si>
    <t>SPR ON DICE 6MM H/C RTE 1KG</t>
  </si>
  <si>
    <t>SPR ON DICE 6MM H/C RTE 2.5KG</t>
  </si>
  <si>
    <t>Z294CS</t>
  </si>
  <si>
    <t>SQUASH BTRNUT DICED 20M H/C 1K</t>
  </si>
  <si>
    <t>Z293CS</t>
  </si>
  <si>
    <t>SQUASH BTRNUT DICED 20M H/C2.5</t>
  </si>
  <si>
    <t>Z204CS</t>
  </si>
  <si>
    <t>SWEDE DICE 10MM M/C RTW 1KG</t>
  </si>
  <si>
    <t>Z228CS</t>
  </si>
  <si>
    <t>TARO DICE 20MM H/C RTW 1KG</t>
  </si>
  <si>
    <t>Z227CS</t>
  </si>
  <si>
    <t>TARO DICE 20MM H/C RTW 2.5KG</t>
  </si>
  <si>
    <t>Z110CS</t>
  </si>
  <si>
    <t>TOM PLUM WHL WHSD RTE 2.5KG</t>
  </si>
  <si>
    <t>Z346CS</t>
  </si>
  <si>
    <t>TURNIP DICED 10MM FR 2.5KG</t>
  </si>
  <si>
    <t>Z345CS</t>
  </si>
  <si>
    <t>TURNIP WHL PLD H/C RTW 1KG</t>
  </si>
  <si>
    <t>Z344CS</t>
  </si>
  <si>
    <t>TURNIP WHL PLD H/C RTW 2.5KG</t>
  </si>
  <si>
    <t>Z229CS</t>
  </si>
  <si>
    <t>VEG MXD MED H/C RTW 2.5KG</t>
  </si>
  <si>
    <t>PAK CHOI CHPD 25MM FR H/C 2.5KG</t>
  </si>
  <si>
    <t>Z405CS</t>
  </si>
  <si>
    <t>POTS CHIP CUT 1.6 X 1.6 X 6CM H/C 2.5KG</t>
  </si>
  <si>
    <t>Z266CS</t>
  </si>
  <si>
    <t>CARROT BABY ENBRANCHE STEM 1KG</t>
  </si>
  <si>
    <t>Z287CS</t>
  </si>
  <si>
    <t>TURNIP BABY PLD FR H/C 2.5KG</t>
  </si>
  <si>
    <t>036BCS</t>
  </si>
  <si>
    <t>SLICED BUTTON MUSHROOM 4MM 2KG</t>
  </si>
  <si>
    <t>BEETROOT BABY GL PLD 60-80 2.5KG</t>
  </si>
  <si>
    <t>961ACS</t>
  </si>
  <si>
    <t>PEELED BABY BEETROOT 5X1KG</t>
  </si>
  <si>
    <t>BEETROOT BABY GL PLD 60-80 1KG</t>
  </si>
  <si>
    <t>Z416CS</t>
  </si>
  <si>
    <t>SALSIFY 60MM X10MM  RTC 2.5KG</t>
  </si>
  <si>
    <t>Z417CS</t>
  </si>
  <si>
    <t>SALSIFY 60MM X10MM RTC 1KG</t>
  </si>
  <si>
    <t>Z409CS</t>
  </si>
  <si>
    <t>Z410CS</t>
  </si>
  <si>
    <t>SHALLOT BABY PLD H/C RTW 250G</t>
  </si>
  <si>
    <t>Z411CS</t>
  </si>
  <si>
    <t>REDON 1/4 SL 3MM M/C RTE 250G</t>
  </si>
  <si>
    <t>Z282CS</t>
  </si>
  <si>
    <t>ARTICHOKE JERUSALEM PREP 1KG</t>
  </si>
  <si>
    <t>Z334CS</t>
  </si>
  <si>
    <t>CARROT BABY HERITAGE PEELED 1KG</t>
  </si>
  <si>
    <t>P1121</t>
  </si>
  <si>
    <t>Prep - Coleslaw 5mm (Orexis) 2.5kg</t>
  </si>
  <si>
    <t>LTR</t>
  </si>
  <si>
    <t>864ACS</t>
  </si>
  <si>
    <t>DICED TOMATOES 1X15KG</t>
  </si>
  <si>
    <t>Z377CS</t>
  </si>
  <si>
    <t>POTS PARISIENNE 25MM FR 1KG</t>
  </si>
  <si>
    <t>GARLIC CHPD FINE M/D 1X250G</t>
  </si>
  <si>
    <t>GARLIC CHPD FINE M/D 1X2.5KG</t>
  </si>
  <si>
    <t>GARLIC CHPD FINE M/D 1X1KG</t>
  </si>
  <si>
    <t>Z319CS</t>
  </si>
  <si>
    <t>POTS FONDANT 60G H/C 1X1KG</t>
  </si>
  <si>
    <t>Z318CS</t>
  </si>
  <si>
    <t>POTS FONDANT 60G H/C 1X2.5KG</t>
  </si>
  <si>
    <t>Z321CS</t>
  </si>
  <si>
    <t>POTS FONDANT 6CMWX3CM H/C 1KG</t>
  </si>
  <si>
    <t>POTS FONDANT 6CMWX3CM H/C 2.5K</t>
  </si>
  <si>
    <t>1005CS</t>
  </si>
  <si>
    <t>PREP POTS WHOLE PEELED 5KG</t>
  </si>
  <si>
    <t>CARROT JENGA CUT FR 30G H/C 1K</t>
  </si>
  <si>
    <t>Z367CS</t>
  </si>
  <si>
    <t>RED/ON DICE 2CM H/C SQ RTW 1KG</t>
  </si>
  <si>
    <t>Z399CS</t>
  </si>
  <si>
    <t>HERB PARSLEY FLAT CHPD FR 1KG</t>
  </si>
  <si>
    <t>Z398CS</t>
  </si>
  <si>
    <t>HERB PARSLEY FLAT CHPD FR 2.5K</t>
  </si>
  <si>
    <t>Z309CS</t>
  </si>
  <si>
    <t>PEPP RED TRGL 15G H/C 1X1KG</t>
  </si>
  <si>
    <t>PEPP RED TRGL 15G H/C 1X2.5KG</t>
  </si>
  <si>
    <t>PEPP YELL TRGL 15G H/C 1X1KG</t>
  </si>
  <si>
    <t>PEPP YELL TRGL 15G H/C 1X2.5KG</t>
  </si>
  <si>
    <t>Z280CS</t>
  </si>
  <si>
    <t>ARTICHOKE GLOBE FR 10-25G 1KG</t>
  </si>
  <si>
    <t>Z279CS</t>
  </si>
  <si>
    <t>ARTICHOKE GLOBE FR 10-25G 2.5K</t>
  </si>
  <si>
    <t>BEETROOT WDG FR 1KG</t>
  </si>
  <si>
    <t>BEETROOT WDG FR 2.5KG</t>
  </si>
  <si>
    <t>Z270CS</t>
  </si>
  <si>
    <t>CARR FLW CANNELATED M/C 5M 1KG</t>
  </si>
  <si>
    <t>CARR JENGA CUT FR 30G H/C 2.5K</t>
  </si>
  <si>
    <t>Z333CS</t>
  </si>
  <si>
    <t>CARROT BABY HERITAGE PEELD 2.5</t>
  </si>
  <si>
    <t>Z351CS</t>
  </si>
  <si>
    <t>CELERY BATON FR 1KG</t>
  </si>
  <si>
    <t>Z350CS</t>
  </si>
  <si>
    <t>CELERY BATON FR 2.5KG</t>
  </si>
  <si>
    <t>Z324CS</t>
  </si>
  <si>
    <t>CHILLI GRN SLC W/SEEDS M/C 2.5</t>
  </si>
  <si>
    <t>Z394CS</t>
  </si>
  <si>
    <t>FENNEL WDG 1/8 H/C RTW 2.5KG</t>
  </si>
  <si>
    <t>Z359CS</t>
  </si>
  <si>
    <t>GRN COUR 10 CM LGTH 2 MM 1KG</t>
  </si>
  <si>
    <t>Z358CS</t>
  </si>
  <si>
    <t>GRN COUR 10 CM LGTH 2 MM 2.5KG</t>
  </si>
  <si>
    <t>Z272CS</t>
  </si>
  <si>
    <t>LETT FRISEE TRIMMED&amp;WASHED 1KG</t>
  </si>
  <si>
    <t>Z271CS</t>
  </si>
  <si>
    <t>LETT FRISEE TRIMMED&amp;WASHED 2.5</t>
  </si>
  <si>
    <t>Z343CS</t>
  </si>
  <si>
    <t>PARSNIP BATON RUSTIC FR 1KG</t>
  </si>
  <si>
    <t>Z342CS</t>
  </si>
  <si>
    <t>PARSNIP BATON RUSTIC FR 2.5KG</t>
  </si>
  <si>
    <t>Z307CS</t>
  </si>
  <si>
    <t>PEPP GRN TRGL 25MM H/C 1KG</t>
  </si>
  <si>
    <t>Z306CS</t>
  </si>
  <si>
    <t>PEPP GRN TRGL 25MM H/C 2.5KG</t>
  </si>
  <si>
    <t>Z311CS</t>
  </si>
  <si>
    <t>PEPP RED TRGL 50X50X50M H/C 1K</t>
  </si>
  <si>
    <t>Z310CS</t>
  </si>
  <si>
    <t>PEPP RED TRGL 50X50X50M H/C2.5</t>
  </si>
  <si>
    <t>Z381CS</t>
  </si>
  <si>
    <t>POT BLANCHED DICE 10M+SKIN 1KG</t>
  </si>
  <si>
    <t>Z380CS</t>
  </si>
  <si>
    <t>POT BLANCHED DICE 10M+SKIN 2.5</t>
  </si>
  <si>
    <t>Z053CS</t>
  </si>
  <si>
    <t>POT PLD DICE 25MM H/C RTW 2.5K</t>
  </si>
  <si>
    <t>Z379CS</t>
  </si>
  <si>
    <t>POTS CHAT 30G FR 1KG</t>
  </si>
  <si>
    <t>Z378CS</t>
  </si>
  <si>
    <t>POTS CHAT 30G FR 2.5KG</t>
  </si>
  <si>
    <t>Z317CS</t>
  </si>
  <si>
    <t>POTS COCOTTE 15G 1X1KG</t>
  </si>
  <si>
    <t>Z316CS</t>
  </si>
  <si>
    <t>POTS COCOTTE 15G 1X2.5KG</t>
  </si>
  <si>
    <t>Z376CS</t>
  </si>
  <si>
    <t>POTS PARISIENNE 25MM FR 2.5KG</t>
  </si>
  <si>
    <t>Z397CS</t>
  </si>
  <si>
    <t>PREM VEG MXD RATA 20MM M/C 1KG</t>
  </si>
  <si>
    <t>Z396CS</t>
  </si>
  <si>
    <t>PREM VEG MXD RATA 20MM M/C 2.5</t>
  </si>
  <si>
    <t>SPR ONION JULIENNE FINE 1KG</t>
  </si>
  <si>
    <t>SPR ONION JULIENNE FINE 2.5KG</t>
  </si>
  <si>
    <t>TOM BEEF DICED DESEED 10MM 1KG</t>
  </si>
  <si>
    <t>TOM BEEF DICED DESEED 10MM 2.5</t>
  </si>
  <si>
    <t>Z303CS</t>
  </si>
  <si>
    <t>TOM CONCASSE 10MM 1X1KG</t>
  </si>
  <si>
    <t>Z302CS</t>
  </si>
  <si>
    <t>TOM CONCASSE 10MM 1X2.5KG</t>
  </si>
  <si>
    <t>Z232CS</t>
  </si>
  <si>
    <t>VEG MXD WINT H/C RTW 1KG</t>
  </si>
  <si>
    <t>Z231CS</t>
  </si>
  <si>
    <t>VEG MXD WINT H/C RTW 2.5KG</t>
  </si>
  <si>
    <t>058BCS</t>
  </si>
  <si>
    <t>055BCS</t>
  </si>
  <si>
    <t>SLICED LEEKS 20MM 1 X 5KG</t>
  </si>
  <si>
    <t>Z415CS</t>
  </si>
  <si>
    <t>SUGARSNAP T/T RTE 1KG</t>
  </si>
  <si>
    <t>1040cs</t>
  </si>
  <si>
    <t>PREP POTS DICED 5KG 20MM</t>
  </si>
  <si>
    <t>ROSCOFF WHL/PLD RTW 2.5KG</t>
  </si>
  <si>
    <t>ROSCOFF WHL/PLD RTW 1KG</t>
  </si>
  <si>
    <t>Z422CS</t>
  </si>
  <si>
    <t>PEELED BABY YELLOW CARROT X2.5KG</t>
  </si>
  <si>
    <t>Z423CS</t>
  </si>
  <si>
    <t>PEELED BABY YELLOW CARROT X1KG</t>
  </si>
  <si>
    <t>Z425CS</t>
  </si>
  <si>
    <t>Z426CS</t>
  </si>
  <si>
    <t>P1127</t>
  </si>
  <si>
    <t>Prep - Marugame - Spring Onion Slices - 5mm (Kg)</t>
  </si>
  <si>
    <t>HS680</t>
  </si>
  <si>
    <t>RM - TIC AMAZU PICKLING VINEGAR 1X2.5KG</t>
  </si>
  <si>
    <t>2010CS</t>
  </si>
  <si>
    <t>PREP CARROT JUICE 1LTR</t>
  </si>
  <si>
    <t>1103CS</t>
  </si>
  <si>
    <t>Diced Carrot 15mm x 1Kg</t>
  </si>
  <si>
    <t>1374CS</t>
  </si>
  <si>
    <t>Prep Shallots Banana 1kg</t>
  </si>
  <si>
    <t>1317CS</t>
  </si>
  <si>
    <t>PREP ONION WHOLE 2.5KG</t>
  </si>
  <si>
    <t>EACH</t>
  </si>
  <si>
    <t>043BCS</t>
  </si>
  <si>
    <t>DICED MIXED PEPPERS 10MM 2.5KG</t>
  </si>
  <si>
    <t>Material Code</t>
  </si>
  <si>
    <t>Material Description</t>
  </si>
  <si>
    <t>UOM</t>
  </si>
  <si>
    <t>UOM COST</t>
  </si>
  <si>
    <t>032ACS</t>
  </si>
  <si>
    <t>RM - LRG PROCESSING CARROT X 1000KG</t>
  </si>
  <si>
    <t>3277CS</t>
  </si>
  <si>
    <t>RM - SWEDE 12.5KG</t>
  </si>
  <si>
    <t>3342CS</t>
  </si>
  <si>
    <t>RM - ORI MOOLI X 15 EA</t>
  </si>
  <si>
    <t>3191CS</t>
  </si>
  <si>
    <t>RM - PARSNIPS 10KG</t>
  </si>
  <si>
    <t>S3998CS</t>
  </si>
  <si>
    <t>S3997CS</t>
  </si>
  <si>
    <t>3080CS</t>
  </si>
  <si>
    <t>RM - SAVOY CABBAGE 1 X 5KG</t>
  </si>
  <si>
    <t>S3566CS</t>
  </si>
  <si>
    <t>PEPPERS RED X 5KG</t>
  </si>
  <si>
    <t>0930CS</t>
  </si>
  <si>
    <t>RM - COURGETTE STANDARD</t>
  </si>
  <si>
    <t>3034CS</t>
  </si>
  <si>
    <t>RM - BROCCOLI 6KG</t>
  </si>
  <si>
    <t>120ACS</t>
  </si>
  <si>
    <t>RM - BEANS EXTRA FINE PREMIUM 1.5KG</t>
  </si>
  <si>
    <t>3138CS</t>
  </si>
  <si>
    <t>RM - MANGETOUT 2KG</t>
  </si>
  <si>
    <t>3288CS</t>
  </si>
  <si>
    <t>RM - TURNIPS X5KG</t>
  </si>
  <si>
    <t>3450CS</t>
  </si>
  <si>
    <t>RM - CHAYOTE (CHOW CHOW) AVE X25</t>
  </si>
  <si>
    <t>194ACS</t>
  </si>
  <si>
    <t>RM - PREP ONION RED WHOLE 10KG</t>
  </si>
  <si>
    <t>3184CS</t>
  </si>
  <si>
    <t>RM - ONIONS LARGE 20KG</t>
  </si>
  <si>
    <t>S4296CS</t>
  </si>
  <si>
    <t>RM - CABBAGE PINK X 1200KG</t>
  </si>
  <si>
    <t>3389CS</t>
  </si>
  <si>
    <t>RM - PAK CHOI X2KG</t>
  </si>
  <si>
    <t>3644CS</t>
  </si>
  <si>
    <t>RM - SPRING ONION x 2KG</t>
  </si>
  <si>
    <t>2789CS</t>
  </si>
  <si>
    <t>RM - PINEAPPLE X 6</t>
  </si>
  <si>
    <t>2794CS</t>
  </si>
  <si>
    <t>RM - MELON YELLOW X 6EA</t>
  </si>
  <si>
    <t>2730CS</t>
  </si>
  <si>
    <t>RM - ORANGE LARGE X 15KG</t>
  </si>
  <si>
    <t>2519CS</t>
  </si>
  <si>
    <t>RM - APPLES RED X 125/138</t>
  </si>
  <si>
    <t>2608CS</t>
  </si>
  <si>
    <t>RM - GRAPE BLACK SLESS P/P 10X500G</t>
  </si>
  <si>
    <t>2613CS</t>
  </si>
  <si>
    <t>RM - GRAPE WHITE SLESS P/P 10X500G</t>
  </si>
  <si>
    <t>4447CS</t>
  </si>
  <si>
    <t>RM - KIWI X 10KG</t>
  </si>
  <si>
    <t>372ACS</t>
  </si>
  <si>
    <t>WHITE WINE VINEGAR 1 X 5LTR</t>
  </si>
  <si>
    <t>2792CS</t>
  </si>
  <si>
    <t>RM - MELON ORANGE FLESH X 6</t>
  </si>
  <si>
    <t>166ACS</t>
  </si>
  <si>
    <t>RM - LARGE MANGO 5/6</t>
  </si>
  <si>
    <t>2751CS</t>
  </si>
  <si>
    <t>RM - PAPAYA X8 EA</t>
  </si>
  <si>
    <t>3815CS</t>
  </si>
  <si>
    <t>RM - CORN BABY  12 X 80G</t>
  </si>
  <si>
    <t>3436CS</t>
  </si>
  <si>
    <t>RM - CELERY   X16 EA</t>
  </si>
  <si>
    <t>S3565CS</t>
  </si>
  <si>
    <t>RM - PEPPERS GREEN  X 5KG</t>
  </si>
  <si>
    <t>S3567CS</t>
  </si>
  <si>
    <t>RM - PEPPERS YELLOW  X 5KG</t>
  </si>
  <si>
    <t>3001CS</t>
  </si>
  <si>
    <t>RM - AUBERGINE 5KG</t>
  </si>
  <si>
    <t>3193CS</t>
  </si>
  <si>
    <t>RM - ONIONS RED 10KG</t>
  </si>
  <si>
    <t>F218CS</t>
  </si>
  <si>
    <t>RM - GINGER FROZEN 10KG</t>
  </si>
  <si>
    <t>206ACS</t>
  </si>
  <si>
    <t>RM - PREP ONION WHOLE 10KG</t>
  </si>
  <si>
    <t>981ACS</t>
  </si>
  <si>
    <t>3893CS</t>
  </si>
  <si>
    <t>BUTTERNUT 500KG BIN 1.5KG+</t>
  </si>
  <si>
    <t>2627CS</t>
  </si>
  <si>
    <t>RM - GRAPEFRUIT RUBY RED X40EA</t>
  </si>
  <si>
    <t>2611CS</t>
  </si>
  <si>
    <t>RM - LEMON x 120-138</t>
  </si>
  <si>
    <t>3062CS</t>
  </si>
  <si>
    <t>3242CS</t>
  </si>
  <si>
    <t>RM - SWEET POTATOES ORANGE FLESH 6K</t>
  </si>
  <si>
    <t>3210CS</t>
  </si>
  <si>
    <t>RM - POTATOES WARE 25KG</t>
  </si>
  <si>
    <t>S3276CS</t>
  </si>
  <si>
    <t>RM - XL JUMBO POTATO X25KG</t>
  </si>
  <si>
    <t>3124CS</t>
  </si>
  <si>
    <t>RM - GINGER   X 12KG</t>
  </si>
  <si>
    <t>3689CS</t>
  </si>
  <si>
    <t>RM - BEEF TOMATO 1 X 7KG</t>
  </si>
  <si>
    <t>3638CS</t>
  </si>
  <si>
    <t>RM - TOMATOES CHERRY LOOSE 4KG</t>
  </si>
  <si>
    <t>5267CS</t>
  </si>
  <si>
    <t>RM - CAULIFLOWER X 9KG</t>
  </si>
  <si>
    <t>958ACS</t>
  </si>
  <si>
    <t>RM - SPRING ONIONS X 14 BUNCH</t>
  </si>
  <si>
    <t>2623CS</t>
  </si>
  <si>
    <t>RM - GRAPEFRUIT WHITE X40EA</t>
  </si>
  <si>
    <t>2860CS</t>
  </si>
  <si>
    <t>RM - WATERMELON x 5EA</t>
  </si>
  <si>
    <t>3205CS</t>
  </si>
  <si>
    <t>RM - PREMIUM CHIPPING POTATO 1X25KG</t>
  </si>
  <si>
    <t>3273CS</t>
  </si>
  <si>
    <t>RM - MARIS PIPER 25KG</t>
  </si>
  <si>
    <t>3582CS</t>
  </si>
  <si>
    <t>RM - CHILLI GREEN LONG DUTCH 3KG</t>
  </si>
  <si>
    <t>2911CS</t>
  </si>
  <si>
    <t>XL ASPARAGUS 11 X 450G</t>
  </si>
  <si>
    <t>3042CS</t>
  </si>
  <si>
    <t>3516CS</t>
  </si>
  <si>
    <t>LETTUCE CHINESE LEAF X 8 EA</t>
  </si>
  <si>
    <t>3020CS</t>
  </si>
  <si>
    <t>RM - CELERIAC 10KG</t>
  </si>
  <si>
    <t>3584CS</t>
  </si>
  <si>
    <t>RM - CHILLIES RED LONG DUTCH 3KG</t>
  </si>
  <si>
    <t>3446CS</t>
  </si>
  <si>
    <t>RM - CUCUMBER X12 EA</t>
  </si>
  <si>
    <t>3106CS</t>
  </si>
  <si>
    <t>RM - FENNEL X5KG</t>
  </si>
  <si>
    <t>1445CS</t>
  </si>
  <si>
    <t>RM - GARLIC PEELED 10X1KG</t>
  </si>
  <si>
    <t>3128CS</t>
  </si>
  <si>
    <t>RM - HORSERADISH FRESH   X10 STICK</t>
  </si>
  <si>
    <t>3301CS</t>
  </si>
  <si>
    <t>RM - SWISS CHARD X10KG</t>
  </si>
  <si>
    <t>3547CS</t>
  </si>
  <si>
    <t>LETTUCE LITTLE GEM X16 PKT</t>
  </si>
  <si>
    <t>024BCS</t>
  </si>
  <si>
    <t>RM - MUSHROOM BUTTON 30-40M 3KG</t>
  </si>
  <si>
    <t>025BCS</t>
  </si>
  <si>
    <t>RM - MUSHROOM CHESTNUT 35-40M 3KG</t>
  </si>
  <si>
    <t>3867CS</t>
  </si>
  <si>
    <t>RM - MUSHROOM SHITAKI 1.5KG</t>
  </si>
  <si>
    <t>3194CS</t>
  </si>
  <si>
    <t>RM - ONION BUTTON   X5KG</t>
  </si>
  <si>
    <t>3241CS</t>
  </si>
  <si>
    <t>RM - POTATOES RATTE     15 X 1KG</t>
  </si>
  <si>
    <t>026BCS</t>
  </si>
  <si>
    <t>RM - POTATO - MIDS 35-45MM X 10KG</t>
  </si>
  <si>
    <t>3209CS</t>
  </si>
  <si>
    <t>RM - POTATO RED 25KG</t>
  </si>
  <si>
    <t>3229CS</t>
  </si>
  <si>
    <t>RM - POTS SALAD MID 10K</t>
  </si>
  <si>
    <t>3296CS</t>
  </si>
  <si>
    <t>RM - PUMPKIN CROWN PRINCE X2.5KG</t>
  </si>
  <si>
    <t>3611CS</t>
  </si>
  <si>
    <t>RM - RADISH P/P   20 X 1 PKT</t>
  </si>
  <si>
    <t>3198CS</t>
  </si>
  <si>
    <t>RM - ONIONS RED LARGE 10KG</t>
  </si>
  <si>
    <t>3264CS</t>
  </si>
  <si>
    <t>RM - SHALLOTS ROUND 5KG</t>
  </si>
  <si>
    <t>023ACS</t>
  </si>
  <si>
    <t>RM - SHALLOT BANANA 1X20KG</t>
  </si>
  <si>
    <t>3400EA</t>
  </si>
  <si>
    <t>SHALLOTS THAI X 1KG SP</t>
  </si>
  <si>
    <t>3428CS</t>
  </si>
  <si>
    <t>3656CS</t>
  </si>
  <si>
    <t>RM - TOMATOES PLUM 6KG</t>
  </si>
  <si>
    <t>3659CS</t>
  </si>
  <si>
    <t>RM - TOMATOES VINE 5KG</t>
  </si>
  <si>
    <t>3270CS</t>
  </si>
  <si>
    <t>RM - SUGAR SNAP 2KG</t>
  </si>
  <si>
    <t>3798CS</t>
  </si>
  <si>
    <t>RM - TURNIP BABY 6 X 150G</t>
  </si>
  <si>
    <t>3794CS</t>
  </si>
  <si>
    <t>RM - CARROT BABY 6 X 200G</t>
  </si>
  <si>
    <t>106ACS</t>
  </si>
  <si>
    <t>RM - BABY GOLDEN BEETROOT 6 X 200G</t>
  </si>
  <si>
    <t>3259CS</t>
  </si>
  <si>
    <t>RM - SALSIFY   X5KG</t>
  </si>
  <si>
    <t>F298CS</t>
  </si>
  <si>
    <t>AVIKO 9.5MM SOFF CHIP 6x2.5KG</t>
  </si>
  <si>
    <t>2961CS</t>
  </si>
  <si>
    <t>RM - ARTICHOKES JERUSALEM  X5KG</t>
  </si>
  <si>
    <t>2461CS</t>
  </si>
  <si>
    <t>RM - BABY RAINBOW CARROTS 6 X 200G</t>
  </si>
  <si>
    <t>3026CS</t>
  </si>
  <si>
    <t>RM - BEETROOT RAW  X10KG</t>
  </si>
  <si>
    <t>3107CS</t>
  </si>
  <si>
    <t>RM - KOHL RABI X 20EA</t>
  </si>
  <si>
    <t>2544CS</t>
  </si>
  <si>
    <t>RM - APPLES  GALA X 12KG</t>
  </si>
  <si>
    <t>107ACS</t>
  </si>
  <si>
    <t>RM - BABY RED BEETROOT 6 X 200G</t>
  </si>
  <si>
    <t>SP1102</t>
  </si>
  <si>
    <t>RM - Tomatoes Loose Class II 6KG</t>
  </si>
  <si>
    <t>3221CS</t>
  </si>
  <si>
    <t>BAKING POTATO X50 EA</t>
  </si>
  <si>
    <t>0141CS</t>
  </si>
  <si>
    <t>FLAT PARSLEY X 1K</t>
  </si>
  <si>
    <t>3492CS</t>
  </si>
  <si>
    <t>LETTUCE FRISSEE FRENCH X10EA</t>
  </si>
  <si>
    <t>3211CS</t>
  </si>
  <si>
    <t>POTATO JUMBO WSHED 25KG</t>
  </si>
  <si>
    <t>954ACS</t>
  </si>
  <si>
    <t>CURLY KALE X 5KG</t>
  </si>
  <si>
    <t>3183CS</t>
  </si>
  <si>
    <t>ONIONS ROSCOF STRING X10 X 1KG</t>
  </si>
  <si>
    <t>4516CS</t>
  </si>
  <si>
    <t>RM - BABY YELLOW CARROT 6X200G</t>
  </si>
  <si>
    <t>P0001</t>
  </si>
  <si>
    <t>P0002</t>
  </si>
  <si>
    <t>P0004</t>
  </si>
  <si>
    <t>P0005</t>
  </si>
  <si>
    <t>P0006</t>
  </si>
  <si>
    <t>P0008</t>
  </si>
  <si>
    <t>BLUE TINT BAGS ON A ROLL -LARGE</t>
  </si>
  <si>
    <t>P0010</t>
  </si>
  <si>
    <t>P0011</t>
  </si>
  <si>
    <t xml:space="preserve">VACK   PACK </t>
  </si>
  <si>
    <t>P0012</t>
  </si>
  <si>
    <t>P0014</t>
  </si>
  <si>
    <t>P0015</t>
  </si>
  <si>
    <t>banana box</t>
  </si>
  <si>
    <t>P0016</t>
  </si>
  <si>
    <t>black box</t>
  </si>
  <si>
    <t>P0017</t>
  </si>
  <si>
    <t>BLUE RPE BAG</t>
  </si>
  <si>
    <t>P0018</t>
  </si>
  <si>
    <t>1 LTR   BOTTLE WFP</t>
  </si>
  <si>
    <t>P0019</t>
  </si>
  <si>
    <t>283ACS</t>
  </si>
  <si>
    <t>RM - BUTTERNUT SQUASH BIN X 625KG</t>
  </si>
  <si>
    <t>Process</t>
  </si>
  <si>
    <t>Category</t>
  </si>
  <si>
    <t>Carrot - Peeled &amp; Diced 25mm</t>
  </si>
  <si>
    <t>RM-FOOD</t>
  </si>
  <si>
    <t>Swede - Diced 25MM</t>
  </si>
  <si>
    <t>Mooli - Diced 25mm</t>
  </si>
  <si>
    <t>Parsnip - Diced 25mm MC</t>
  </si>
  <si>
    <t>Carrot - Peeled &amp; Shredded Coleslaw</t>
  </si>
  <si>
    <t>Carrot - Peeled &amp; Shredded</t>
  </si>
  <si>
    <t>CABB RED SHR 3MM M/C RTE</t>
  </si>
  <si>
    <t>Cabbage White - Sliced</t>
  </si>
  <si>
    <t>Carrot - Julienne</t>
  </si>
  <si>
    <t>Cabbage White - Shredded</t>
  </si>
  <si>
    <t>SAVOY SHRED 3MM M/C RTW</t>
  </si>
  <si>
    <t>Kale - Shredded</t>
  </si>
  <si>
    <t>Pepper Red - Sliced 10mm</t>
  </si>
  <si>
    <t>Courgette - Matchsticks</t>
  </si>
  <si>
    <t>Broccoli - Floret 25mm</t>
  </si>
  <si>
    <t>Fine beans - top and tailed</t>
  </si>
  <si>
    <t>Mangetout - whole no prep</t>
  </si>
  <si>
    <t>Cabbage Red - Sliced</t>
  </si>
  <si>
    <t>Turnip - Diced 25MM</t>
  </si>
  <si>
    <t>Parsnip - Diced 25MM</t>
  </si>
  <si>
    <t>Chayote - Shredded</t>
  </si>
  <si>
    <t>Mooli - shredded</t>
  </si>
  <si>
    <t>Onion Red Whole - Sliced 3mm</t>
  </si>
  <si>
    <t>Carrot - Peeled &amp; Diced 10 mm</t>
  </si>
  <si>
    <t>ONION DICE 10MM M/C RTW</t>
  </si>
  <si>
    <t>SWEDE DICE 10MM M/C RTW</t>
  </si>
  <si>
    <t>Cabbage White - Diced 10mm</t>
  </si>
  <si>
    <t>Leek - Diced 10mm</t>
  </si>
  <si>
    <t>TURNIP DICED 10MM FR</t>
  </si>
  <si>
    <t>Cabbage Pink - Sliced</t>
  </si>
  <si>
    <t>Carrot - Peeled &amp; Diced 20mm</t>
  </si>
  <si>
    <t>Swede - Diced 20MM</t>
  </si>
  <si>
    <t>Turnip - Diced 20MM</t>
  </si>
  <si>
    <t>PARS DICED 20MM H/C RTW</t>
  </si>
  <si>
    <t>Pak Choi - sliced</t>
  </si>
  <si>
    <t>Spring Onion - sliced</t>
  </si>
  <si>
    <t>Pineapple - diced 25MM</t>
  </si>
  <si>
    <t>Melon yellow - diced 25mm</t>
  </si>
  <si>
    <t>Orange - Segments</t>
  </si>
  <si>
    <t>Apple Red - Diced 25mm</t>
  </si>
  <si>
    <t>grapes red - whole</t>
  </si>
  <si>
    <t>grapes green - whole</t>
  </si>
  <si>
    <t>kiwi - diced 25mm</t>
  </si>
  <si>
    <t>Vinegar</t>
  </si>
  <si>
    <t>Melon Cantaloupe - Sliced</t>
  </si>
  <si>
    <t>Pineapple - sliced</t>
  </si>
  <si>
    <t>Mango - Sliced</t>
  </si>
  <si>
    <t>Apple Red - Sliced</t>
  </si>
  <si>
    <t>mango - diced 25MM</t>
  </si>
  <si>
    <t>papaya - diced 25MM</t>
  </si>
  <si>
    <t>ONION SLC 1/4 3MM M/C RTE</t>
  </si>
  <si>
    <t>courgette - sliced</t>
  </si>
  <si>
    <t>Baby Corn - Whole No Prep</t>
  </si>
  <si>
    <t>Celery - Sliced</t>
  </si>
  <si>
    <t>PEP RED DICE 20MM H/C RTW</t>
  </si>
  <si>
    <t>PEP GR DICE 2CM H/C SQ RTW</t>
  </si>
  <si>
    <t>PEP YL DICE 20MM H/C RTW</t>
  </si>
  <si>
    <t>Aubergine - Diced 15mm</t>
  </si>
  <si>
    <t>Courgette - Diced 15mm</t>
  </si>
  <si>
    <t>Onion Red Whole - Diced 15mm</t>
  </si>
  <si>
    <t>ONION DICED 15MM</t>
  </si>
  <si>
    <t>Mooli - sliced</t>
  </si>
  <si>
    <t>Cabbage Green - Sliced</t>
  </si>
  <si>
    <t>ONION 1/2 SLICE 3MM M/C RTW</t>
  </si>
  <si>
    <t>Aubergine - Diced 25mm</t>
  </si>
  <si>
    <t>Courgette - Diced 25mm</t>
  </si>
  <si>
    <t>Onion Red - Diced 25mm</t>
  </si>
  <si>
    <t>ONION DICED 25MM</t>
  </si>
  <si>
    <t>PEP RED DICE 25MM H/C RTW</t>
  </si>
  <si>
    <t>PEP GR DICE 25MM H/C RTW</t>
  </si>
  <si>
    <t>PEPP YELL DICED 25MM H/C</t>
  </si>
  <si>
    <t>Green Pepper Diced 5mm</t>
  </si>
  <si>
    <t>PEP RED DICE 5MM M/C RTE</t>
  </si>
  <si>
    <t>Yellow Pepper Diced 5mm</t>
  </si>
  <si>
    <t>PEPP GRN JULIENNE FR</t>
  </si>
  <si>
    <t>PEP RED JUL 3MM H/C RTE</t>
  </si>
  <si>
    <t>PEP YELL JUL 3MM H/C RTE</t>
  </si>
  <si>
    <t>CAR MATCH 2.5MM M/C RTW</t>
  </si>
  <si>
    <t>Cabbage Red - Shredded</t>
  </si>
  <si>
    <t>ONION JUL 3MM M/C RTE</t>
  </si>
  <si>
    <t>RED/ON DICE 2CM H/C SQ RTW</t>
  </si>
  <si>
    <t>COURG DICE 20MM H/C RTW</t>
  </si>
  <si>
    <t>AUB DICED 20MM H/C RTW</t>
  </si>
  <si>
    <t>CELERY DICE 20MM H/C RTW</t>
  </si>
  <si>
    <t>Green Pepper - Diced 10mm</t>
  </si>
  <si>
    <t>PEPP YELL DIC 10MM 1/2IN FR</t>
  </si>
  <si>
    <t>Red Pepper - Diced 10mm</t>
  </si>
  <si>
    <t>Carrot - Sliced</t>
  </si>
  <si>
    <t>Carrot - Peeled &amp; Baton</t>
  </si>
  <si>
    <t>Carrot - Peeled</t>
  </si>
  <si>
    <t>Carrot - Peeled &amp; Diced 5mm</t>
  </si>
  <si>
    <t>Ginger - Diced</t>
  </si>
  <si>
    <t>ONION DICE 5MM M/C RTE</t>
  </si>
  <si>
    <t>PEP RED DICE 10MM M/C RTE</t>
  </si>
  <si>
    <t>Leek - Sliced 5mm</t>
  </si>
  <si>
    <t>BTSQSH DICE 25MM H/C RTW</t>
  </si>
  <si>
    <t>Courgette - Spiralised</t>
  </si>
  <si>
    <t>ONION Sliced 8MM</t>
  </si>
  <si>
    <t>PINK GRAPEFRUIT SEGMENT</t>
  </si>
  <si>
    <t>Lemon - Wedge</t>
  </si>
  <si>
    <t>Pineapple - Cubed</t>
  </si>
  <si>
    <t>Onion Red Whole - Sliced 8mm</t>
  </si>
  <si>
    <t>Beetroot - Julienne</t>
  </si>
  <si>
    <t>BEETROOT RAW  X10KG</t>
  </si>
  <si>
    <t>Butternut Squash - Diced 15mm</t>
  </si>
  <si>
    <t>Sweet Potato - Peeled &amp; Diced 25MM</t>
  </si>
  <si>
    <t>Potato - Quartered</t>
  </si>
  <si>
    <t>Sweet Potato - Peeled</t>
  </si>
  <si>
    <t>POTS DICE 20MM M/C RTW</t>
  </si>
  <si>
    <t>POT FONDANT OVAL</t>
  </si>
  <si>
    <t>RED/ON DICE 5MM M/C RTE</t>
  </si>
  <si>
    <t>Parsnip - Peeled</t>
  </si>
  <si>
    <t>Potato - Sliced</t>
  </si>
  <si>
    <t>Ginger - Peeled</t>
  </si>
  <si>
    <t>Parsnip - Quartered</t>
  </si>
  <si>
    <t>Tomato Beef - Sliced 5mm</t>
  </si>
  <si>
    <t>Cherry tomato - halved</t>
  </si>
  <si>
    <t>Cauliflower - Floret 25mm</t>
  </si>
  <si>
    <t>Melon Cantaloupe - Diced 25MM</t>
  </si>
  <si>
    <t>Spring Onion - Julienne</t>
  </si>
  <si>
    <t>Potato - spiralised</t>
  </si>
  <si>
    <t>Onion Red Whole - Peeled</t>
  </si>
  <si>
    <t>WHITE GRAPEFRUIT SEGMENT</t>
  </si>
  <si>
    <t>Melon Watermelon - cubed</t>
  </si>
  <si>
    <t>POT FONDANT 50X70MM</t>
  </si>
  <si>
    <t>Potato - Peeled Chips</t>
  </si>
  <si>
    <t>SAVOY DICED 25MM H/C FR</t>
  </si>
  <si>
    <t>PAK CHOI CHPD 25MM FR H/C</t>
  </si>
  <si>
    <t>POTS CHIP CUT 1.6 X 1.6 X 6CM H/C</t>
  </si>
  <si>
    <t>RUSS POT SLC 1.5CM M/C RTW</t>
  </si>
  <si>
    <t>BEAN FINE 25MM H/C RTW</t>
  </si>
  <si>
    <t>CARROT MINCED FR</t>
  </si>
  <si>
    <t>CHILLI GRN SLC SEEDS M/C</t>
  </si>
  <si>
    <t>CARROT WHL PEELED HAND CUT</t>
  </si>
  <si>
    <t>ASPARAGUS PLD 8CM H/C RTW</t>
  </si>
  <si>
    <t>AUB DICED 10MM M/C RTW</t>
  </si>
  <si>
    <t>AUBERGINE BATON 60X6MM M/C</t>
  </si>
  <si>
    <t>BROCC FLORET 20G H/C RTW</t>
  </si>
  <si>
    <t>BRUSS SPR WHL PREP RTW</t>
  </si>
  <si>
    <t>BTSQSH DICE 10MM M/C RTW</t>
  </si>
  <si>
    <t>BTSQSH PLD 1/2 H/C RTW</t>
  </si>
  <si>
    <t>CAB WHT SHR FINE M/C RTE</t>
  </si>
  <si>
    <t>CABB CHN 11-15MM H/C RTW</t>
  </si>
  <si>
    <t>CAR 1/2 MOON 5MM M/C RTW</t>
  </si>
  <si>
    <t>CAR BAT 10X60MM M/C RTE</t>
  </si>
  <si>
    <t>CAR BAT RST 60MM H/C RTW</t>
  </si>
  <si>
    <t>CAR JULIENNE 3MM M/C RTE</t>
  </si>
  <si>
    <t>CAR NOODLES 3MM M/C RTE</t>
  </si>
  <si>
    <t>CAR SAND WHL PLD RTW</t>
  </si>
  <si>
    <t>CARR DICE 10MM M/C RTW</t>
  </si>
  <si>
    <t>CARR DICE 20MM H/C RTW</t>
  </si>
  <si>
    <t>CARR PLD WHL RTE</t>
  </si>
  <si>
    <t>CARROT BIAS 5MM H/C RTW</t>
  </si>
  <si>
    <t>CARROT WHL PEELED MACHINE</t>
  </si>
  <si>
    <t>CAULI DICED 20MM H/C RTW</t>
  </si>
  <si>
    <t>CAULIFLORETS 30G H/C RTW</t>
  </si>
  <si>
    <t>CAULIFLOWER DICED 20MM FR</t>
  </si>
  <si>
    <t>CELERIAC DC 10MM M/C RTW</t>
  </si>
  <si>
    <t>CELERIAC JUL 3MM M/C RTE</t>
  </si>
  <si>
    <t>CELERY BIAS CUT</t>
  </si>
  <si>
    <t>CELERY DICE 10MM H/C RTW</t>
  </si>
  <si>
    <t>CELERY DICE 5MM M/C RTE</t>
  </si>
  <si>
    <t>CELERY MINCE 3MM M/C RTW</t>
  </si>
  <si>
    <t>CHILL RD MNC 3MM M/C RTW</t>
  </si>
  <si>
    <t>CHILL RD SLC 2MM M/C RTE</t>
  </si>
  <si>
    <t>CHILLI GR MIN 3MM M/C RTE</t>
  </si>
  <si>
    <t>COUR DICE 10MM M/C RTW</t>
  </si>
  <si>
    <t>COURG BAT 10X60 M/C RTW</t>
  </si>
  <si>
    <t>COURG MTCH 2.5MM M/C RTW</t>
  </si>
  <si>
    <t>COURG SLC 10MM M/C RTW</t>
  </si>
  <si>
    <t>CUCMBR DICED 10MM 1/2IN FR</t>
  </si>
  <si>
    <t>CUCUMBER SPAGHETTI FR</t>
  </si>
  <si>
    <t>FENNEL JUL 3MM M/C RTE</t>
  </si>
  <si>
    <t>FENNEL SHREDDED 2-3MM M/C</t>
  </si>
  <si>
    <t>GARLIC SLC 2MM M/C RTW</t>
  </si>
  <si>
    <t>GINGER JUL 3MM H/C RTW</t>
  </si>
  <si>
    <t>GINGER MINCE 3MM M/C RTW</t>
  </si>
  <si>
    <t>GINGER WHL PLD H/C RTE</t>
  </si>
  <si>
    <t>H/RAD GRATED 3MM M/C RTE</t>
  </si>
  <si>
    <t>LEAF SILVER SWISS CHARD H/C</t>
  </si>
  <si>
    <t>LEEK DICED 12MM H/C RTW</t>
  </si>
  <si>
    <t>LEEK DICED 20MM H/C RTW</t>
  </si>
  <si>
    <t>LEEK SLICED 10MM M/C RTW</t>
  </si>
  <si>
    <t>LETT LITTLE GEM WSH 1/4 H/C</t>
  </si>
  <si>
    <t>MANGETOUT T&amp;T H/C RTW</t>
  </si>
  <si>
    <t>MOOLI WHL PLD H/C RTE</t>
  </si>
  <si>
    <t>MUSH BUT SLC 10MM M/C RTW</t>
  </si>
  <si>
    <t>MUSH BUT SLC 5MM M/C RTW</t>
  </si>
  <si>
    <t>MUSH BUTTON 1/4 H/C RTW</t>
  </si>
  <si>
    <t>MUSH BUTTON WHL WSH RTW</t>
  </si>
  <si>
    <t>MUSH CHEST 1/4 H/C RTW</t>
  </si>
  <si>
    <t>MUSH CHST SL 5MM M/C RTW</t>
  </si>
  <si>
    <t>MUSH SHI SLC 3MM M/C RTW</t>
  </si>
  <si>
    <t>MUSH SHIITA NO STALK RTW</t>
  </si>
  <si>
    <t>MUSH SHIITA STEM OUT RTW</t>
  </si>
  <si>
    <t>MUSH SHITA WHL STEM OUT FR</t>
  </si>
  <si>
    <t>ONION JULIENNE RED FR</t>
  </si>
  <si>
    <t>ONION MINCE 3MM M/C RTW</t>
  </si>
  <si>
    <t>ONION PLD WHL H/C RTE</t>
  </si>
  <si>
    <t>ONION YEL BAB PLD H/C RTW</t>
  </si>
  <si>
    <t>PARSNIP WHL PLD H/C RTW</t>
  </si>
  <si>
    <t>PEP GR DICE 10MM M/C RTE</t>
  </si>
  <si>
    <t>PEP RED BAT 10X60 H/C RTE</t>
  </si>
  <si>
    <t>PEP RED BAT 10X60 H/C RTW</t>
  </si>
  <si>
    <t>PEP YL BAT 10X60 H/C RTE</t>
  </si>
  <si>
    <t>POT MP JUL 2.5MM M/C RTW</t>
  </si>
  <si>
    <t>POTS CHIPS CYLINDER FR</t>
  </si>
  <si>
    <t>POTS DICE 10MM M/C RTW</t>
  </si>
  <si>
    <t>POTS RATTE WSH RTW</t>
  </si>
  <si>
    <t>POTS GRANNY CUT H/C RTW</t>
  </si>
  <si>
    <t>POTS KIPFLER +S RTW</t>
  </si>
  <si>
    <t>POTS RATTE +S RTW</t>
  </si>
  <si>
    <t>POTS MAR PIP PLD 1/2 RTW</t>
  </si>
  <si>
    <t>POTS MATCH 2.5MM M/C RTW</t>
  </si>
  <si>
    <t>POTS MID 1/2 CUT H/C RTW</t>
  </si>
  <si>
    <t>POTS MIDS WHOLE WSHD RTW</t>
  </si>
  <si>
    <t>POTS NEW +S 1/2 H/C RTW</t>
  </si>
  <si>
    <t>POTS NEW +S 1/4 H/C RTW</t>
  </si>
  <si>
    <t>POTS NEW 1/2 LNG H/C RTW</t>
  </si>
  <si>
    <t>POTS NEW DICE+S 20MM M/C</t>
  </si>
  <si>
    <t>POTS RED +S WDG H/C RTW</t>
  </si>
  <si>
    <t>POTS RED WASHED RTW</t>
  </si>
  <si>
    <t>POTS RED WSH PLD RTW</t>
  </si>
  <si>
    <t>POTS SALAD MIDS PLD RTW</t>
  </si>
  <si>
    <t>POTS SLC 2MM M/C RTW</t>
  </si>
  <si>
    <t>PUMP DICE 10MM M/C RTW</t>
  </si>
  <si>
    <t>PUMP DICE 20MM H/C RTW</t>
  </si>
  <si>
    <t>PUMPKIN PLD 1/4 H/C RTW</t>
  </si>
  <si>
    <t>RADISH SLC 3MM M/C RTE</t>
  </si>
  <si>
    <t>RED ONION PLD H/C RTE</t>
  </si>
  <si>
    <t>REDON 1/2 SL 3MM M/C RTW</t>
  </si>
  <si>
    <t>REDON 1/4 SL 3MM M/C RTE</t>
  </si>
  <si>
    <t>SHALLOT BABY PLD H/C RTW</t>
  </si>
  <si>
    <t>SHALLOT BAN PLD H/C RTW</t>
  </si>
  <si>
    <t>SHALLOT CHPD 5MM M/C RTW</t>
  </si>
  <si>
    <t>SHALLOT SLC 4MM M/C RTW</t>
  </si>
  <si>
    <t>SHALLOT THAI PLD</t>
  </si>
  <si>
    <t>SPR ON DICE 6MM H/C RTE</t>
  </si>
  <si>
    <t>SPR ON SLC FINE M/C RTE</t>
  </si>
  <si>
    <t>SPR ON SLC GRN M/C RTE</t>
  </si>
  <si>
    <t>SQUASH BTRNUT DICED 20M H/C</t>
  </si>
  <si>
    <t>TARO DICE 20MM H/C RTW</t>
  </si>
  <si>
    <t>TOM DICE 10MM M/C RTE</t>
  </si>
  <si>
    <t>TOM DICE 5MM +S M/C RTE</t>
  </si>
  <si>
    <t>TOM PLUM WHL WHSD RTE</t>
  </si>
  <si>
    <t>TOM VIN DCD 10MM M/C RTE</t>
  </si>
  <si>
    <t>TURNIP WHL PLD H/C RTW</t>
  </si>
  <si>
    <t>SUGARSNAP T/T RTE</t>
  </si>
  <si>
    <t>TURNIP BABY PLD FR H/C</t>
  </si>
  <si>
    <t>CARROT BABY PREP H/C</t>
  </si>
  <si>
    <t>CARROT BABY ENBRANCHE STEM</t>
  </si>
  <si>
    <t>BEETROOT BABY GL PLD 60-80</t>
  </si>
  <si>
    <t>SALSIFY 60MM X10MM RTC</t>
  </si>
  <si>
    <t>BEAN BROAD PLD FZ</t>
  </si>
  <si>
    <t>ARTICHOKE JERUSALEM PREP</t>
  </si>
  <si>
    <t>CARROT BABY HERITAGE PEELED</t>
  </si>
  <si>
    <t>POTS SWT DICED 20MM H/C</t>
  </si>
  <si>
    <t>POTS PARISIENNE 25MM FR</t>
  </si>
  <si>
    <t>GARLIC CHPD FINE M/D</t>
  </si>
  <si>
    <t>BEETROOT PARIS 30MM H/C</t>
  </si>
  <si>
    <t>Kohlrabi Whole Peeled</t>
  </si>
  <si>
    <t>BUTTERNUT HALF &amp; PEELED</t>
  </si>
  <si>
    <t>BF PEELED POTATO</t>
  </si>
  <si>
    <t>Apples Gala Diced 15x15mm</t>
  </si>
  <si>
    <t>SPIRALISED CARROT</t>
  </si>
  <si>
    <t>SLICED BUTTON MUSHROOM 4MM</t>
  </si>
  <si>
    <t>PEELED BABY BEETROOT</t>
  </si>
  <si>
    <t>GARLIC SLICED 2MM M/C</t>
  </si>
  <si>
    <t>BEETROOT JUICE</t>
  </si>
  <si>
    <t>DICED TOMATOES</t>
  </si>
  <si>
    <t>POTS FONDANT 60G H/C</t>
  </si>
  <si>
    <t>POTS FONDANT 6CMWX3CM H/C</t>
  </si>
  <si>
    <t>PREP POTS WHOLE PEELED</t>
  </si>
  <si>
    <t>CARROT JENGA CUT FR 30G H/C</t>
  </si>
  <si>
    <t>HERB PARSLEY FLAT CHPD FR</t>
  </si>
  <si>
    <t>PEPP RED TRGL 15G H/C</t>
  </si>
  <si>
    <t>PEPP YELL TRGL 15G H/C</t>
  </si>
  <si>
    <t>BEETROOT WDG FR</t>
  </si>
  <si>
    <t>CARR FLW CANNELATED M/C 5M</t>
  </si>
  <si>
    <t>CELERIAC DICED 20MM H/C</t>
  </si>
  <si>
    <t>CELERY BATON FR</t>
  </si>
  <si>
    <t>CHILLI GRN SLC W/SEEDS M/C</t>
  </si>
  <si>
    <t>FENNEL WDG 1/8 H/C RTW</t>
  </si>
  <si>
    <t>GRN COUR 10 CM LGTH 2 MM</t>
  </si>
  <si>
    <t>LETT FRISEE TRIMMED&amp;WASHED</t>
  </si>
  <si>
    <t>PARSNIP BATON RUSTIC FR</t>
  </si>
  <si>
    <t>PEPP GRN TRGL 25MM H/C</t>
  </si>
  <si>
    <t>PEPP RED TRGL 50X50X50M H/C</t>
  </si>
  <si>
    <t>POT BLANCHED DICE 10M+SKIN</t>
  </si>
  <si>
    <t>POT PLD DICE 25MM H/C RTW</t>
  </si>
  <si>
    <t>POTS CHAT 30G FR</t>
  </si>
  <si>
    <t>POTS COCOTTE 15G</t>
  </si>
  <si>
    <t>SPR ONION JULIENNE FINE</t>
  </si>
  <si>
    <t>TOM BEEF DICED DESEED 10MM</t>
  </si>
  <si>
    <t>TOM CONCASSE 10MM</t>
  </si>
  <si>
    <t>SLICED LEEKS 20MM</t>
  </si>
  <si>
    <t>PREP POTS QUARTERED</t>
  </si>
  <si>
    <t>PREP POTS SLICED</t>
  </si>
  <si>
    <t>SAVOY DICED 25MM H/C</t>
  </si>
  <si>
    <t>PREP KALE RTW</t>
  </si>
  <si>
    <t>ROSCOFF WHL/PLD RTW</t>
  </si>
  <si>
    <t>Prep - Marugame - Spring Onion Slices - 5mm</t>
  </si>
  <si>
    <t>RM - TIC AMAZU PICKLING VINEGAR</t>
  </si>
  <si>
    <t>SLICED POTATO 10MM</t>
  </si>
  <si>
    <t>PREP CARROT JUICE</t>
  </si>
  <si>
    <t>Diced Carrot 15mm</t>
  </si>
  <si>
    <t>Prep Shallots Banana</t>
  </si>
  <si>
    <t>PREP ONION WHOLE</t>
  </si>
  <si>
    <t>SLICED WHITE POTATO 2MM</t>
  </si>
  <si>
    <t>GOLD BEET PAR 30MM HC</t>
  </si>
  <si>
    <t>RED APPLE WASHED</t>
  </si>
  <si>
    <t>PKLD CUCMBR DIAG/CUT</t>
  </si>
  <si>
    <t>PEELED BABY YELLOW CARROT</t>
  </si>
  <si>
    <t>ARTICHOKE GLOBE FR 10-25G</t>
  </si>
  <si>
    <t xml:space="preserve">SWEDE DICE 10MM </t>
  </si>
  <si>
    <t>RM-PACKING</t>
  </si>
  <si>
    <t>BLUE TINT BAGS ON A ROLL - SMALL</t>
  </si>
  <si>
    <t>P0020</t>
  </si>
  <si>
    <t>POTS DICE 20MM</t>
  </si>
  <si>
    <t>TURNIP DICED 10MM</t>
  </si>
  <si>
    <t>Cost</t>
  </si>
  <si>
    <t>F294CS</t>
  </si>
  <si>
    <t>RM - FROZEN BROAD BEANS 10X1KG</t>
  </si>
  <si>
    <t>ITEM_CODE</t>
  </si>
  <si>
    <t>ITEM_NAME</t>
  </si>
  <si>
    <t>Material code</t>
  </si>
  <si>
    <t>Material/Process description</t>
  </si>
  <si>
    <t>Parsnip - Diced 25mm</t>
  </si>
  <si>
    <t>kiwi - diced 25MM</t>
  </si>
  <si>
    <t>Mangetout - Whole No Prep</t>
  </si>
  <si>
    <t>1040CS</t>
  </si>
  <si>
    <t>Material/Category</t>
  </si>
  <si>
    <t>Output Qty %</t>
  </si>
  <si>
    <t>Yield</t>
  </si>
  <si>
    <t>STD Material Per Qty</t>
  </si>
  <si>
    <t>Price</t>
  </si>
  <si>
    <t>Produced Qty</t>
  </si>
  <si>
    <t>STD Consumption Qty</t>
  </si>
  <si>
    <t>Total Cost</t>
  </si>
  <si>
    <t>Labour cost/product</t>
  </si>
  <si>
    <t>Status</t>
  </si>
  <si>
    <t>Processing Yield</t>
  </si>
  <si>
    <t>Labour Min/KG Out put</t>
  </si>
  <si>
    <t>Washed</t>
  </si>
  <si>
    <t>Dipped</t>
  </si>
  <si>
    <t>Spin</t>
  </si>
  <si>
    <t>Chemical</t>
  </si>
  <si>
    <t>Time</t>
  </si>
  <si>
    <t>Total Time</t>
  </si>
  <si>
    <t>Total Yield</t>
  </si>
  <si>
    <t>Reynold</t>
  </si>
  <si>
    <t>Time (Min)</t>
  </si>
  <si>
    <t>Completed</t>
  </si>
  <si>
    <t>Yes</t>
  </si>
  <si>
    <t>CHLORINE, NATURE SEAL A5</t>
  </si>
  <si>
    <t>SODIUM METABISULPHITE</t>
  </si>
  <si>
    <t>NATURE SEAL A5</t>
  </si>
  <si>
    <t>CHLORINE</t>
  </si>
  <si>
    <t>NS</t>
  </si>
  <si>
    <t>Butternut Squash - Diced 25mm</t>
  </si>
  <si>
    <t>yes</t>
  </si>
  <si>
    <t>PS10 &amp; CHLORINE</t>
  </si>
  <si>
    <t>Melon Yellow - Cubed</t>
  </si>
  <si>
    <t>M.Cost/pcs</t>
  </si>
  <si>
    <t>Labour Min/Packing</t>
  </si>
  <si>
    <t>STD Labour Hrs</t>
  </si>
  <si>
    <t>3102CS</t>
  </si>
  <si>
    <t>RM - CURLY KALE P/P   10 X250G</t>
  </si>
  <si>
    <t>3158CS</t>
  </si>
  <si>
    <t>031ACS</t>
  </si>
  <si>
    <t>3136CS</t>
  </si>
  <si>
    <t>3022CS</t>
  </si>
  <si>
    <t>3011CS</t>
  </si>
  <si>
    <t>3173CS</t>
  </si>
  <si>
    <t>3857CS</t>
  </si>
  <si>
    <t>Sales Price</t>
  </si>
  <si>
    <t>Sales Value</t>
  </si>
  <si>
    <t>Material Cost</t>
  </si>
  <si>
    <t>Labour Rate/Min</t>
  </si>
  <si>
    <t>Chemical Used</t>
  </si>
  <si>
    <t>Per Day cost</t>
  </si>
  <si>
    <t>Chemichal</t>
  </si>
  <si>
    <t>Qty</t>
  </si>
  <si>
    <t>UOMC</t>
  </si>
  <si>
    <t>HYPOKLENZ 25L</t>
  </si>
  <si>
    <t>Washing</t>
  </si>
  <si>
    <t>FOAM DOCTOR</t>
  </si>
  <si>
    <t>DRYWHITE 25KG</t>
  </si>
  <si>
    <t>Dipping</t>
  </si>
  <si>
    <t>NATURE SEAL POWDER 1KG (AS5)</t>
  </si>
  <si>
    <t>Apple &amp; Arthichok</t>
  </si>
  <si>
    <t>Per day Avg Cost</t>
  </si>
  <si>
    <t>Per Kg cost</t>
  </si>
  <si>
    <t>Daily Washed qty in KG</t>
  </si>
  <si>
    <t>Time/Spin</t>
  </si>
  <si>
    <t>Average Weight</t>
  </si>
  <si>
    <t>Min/Kg</t>
  </si>
  <si>
    <t>Time/Dipping</t>
  </si>
  <si>
    <t>Min</t>
  </si>
  <si>
    <t>Total Labour Hr/Product</t>
  </si>
  <si>
    <t>Total Labour Hr/Packing</t>
  </si>
  <si>
    <t>%</t>
  </si>
  <si>
    <t>Margin</t>
  </si>
  <si>
    <t>Unit</t>
  </si>
  <si>
    <t>Per day Avg Consumption</t>
  </si>
  <si>
    <t>GOLDEN BEETROOT 1 X 5KG</t>
  </si>
  <si>
    <t>CURLY KALE P/P   10 X250G</t>
  </si>
  <si>
    <t>Leek</t>
  </si>
  <si>
    <t>Carrot</t>
  </si>
  <si>
    <t>RM - ONION WHOLE 2.5KG</t>
  </si>
  <si>
    <t>RM - PREP ONION RED WHOLE 2.5KG</t>
  </si>
  <si>
    <t>RM - BRUSSEL SPROUTS P/P 10X1KG</t>
  </si>
  <si>
    <t>RM - CELERY 1 X 12</t>
  </si>
  <si>
    <t>RM - LETTUCE FRISSEE FRENCH X10EA</t>
  </si>
  <si>
    <t>GRANULATED SUGAR 1 X 25K</t>
  </si>
  <si>
    <t>RM - DECORED PINK CABBAGE 600KG</t>
  </si>
  <si>
    <t>SHREDDED SPROUTS X 2.5KG</t>
  </si>
  <si>
    <t>S/FREE ORANGE PREP SEG 2KG</t>
  </si>
  <si>
    <t>POTS RATTE WSH RTC 2.5KG</t>
  </si>
  <si>
    <t>JULIENNE RED PEPP 3-6MM X2.5KG</t>
  </si>
  <si>
    <t>PREP ONION RED WHOLE 2.5KG</t>
  </si>
  <si>
    <t>ROAST POTATO QUARTERS 6 X 2KG</t>
  </si>
  <si>
    <t>POMEGRANATE SEEDS 4X160G</t>
  </si>
  <si>
    <t>KATSU CURRY SAUCE DL 4x1KG</t>
  </si>
  <si>
    <t>PEELED BABY YELLOW CARROT X5KG</t>
  </si>
  <si>
    <t>P0021</t>
  </si>
  <si>
    <t>P0022</t>
  </si>
  <si>
    <t>P0023</t>
  </si>
  <si>
    <t>P0024</t>
  </si>
  <si>
    <t>P0025</t>
  </si>
  <si>
    <t>P0026</t>
  </si>
  <si>
    <t>P0027</t>
  </si>
  <si>
    <t>030ACS</t>
  </si>
  <si>
    <t>105ACS</t>
  </si>
  <si>
    <t>1190CS</t>
  </si>
  <si>
    <t>1318CS</t>
  </si>
  <si>
    <t>2532CS</t>
  </si>
  <si>
    <t>2548CS</t>
  </si>
  <si>
    <t>2604CS</t>
  </si>
  <si>
    <t>2607CS</t>
  </si>
  <si>
    <t>2612CS</t>
  </si>
  <si>
    <t>2638CS</t>
  </si>
  <si>
    <t>2689CS</t>
  </si>
  <si>
    <t>2692CS</t>
  </si>
  <si>
    <t>2697CS</t>
  </si>
  <si>
    <t>2698CS</t>
  </si>
  <si>
    <t>2722CS</t>
  </si>
  <si>
    <t>2735CS</t>
  </si>
  <si>
    <t>2746CS</t>
  </si>
  <si>
    <t>2767CS</t>
  </si>
  <si>
    <t>2788CS</t>
  </si>
  <si>
    <t>2790CS</t>
  </si>
  <si>
    <t>2791CS</t>
  </si>
  <si>
    <t>2802CS</t>
  </si>
  <si>
    <t>2852CS</t>
  </si>
  <si>
    <t>2893CS</t>
  </si>
  <si>
    <t>2938CS</t>
  </si>
  <si>
    <t>2962CS</t>
  </si>
  <si>
    <t>2963CS</t>
  </si>
  <si>
    <t>2966CS</t>
  </si>
  <si>
    <t>3013CS</t>
  </si>
  <si>
    <t>3048CS</t>
  </si>
  <si>
    <t>3055CS</t>
  </si>
  <si>
    <t>3061CS</t>
  </si>
  <si>
    <t>3066CS</t>
  </si>
  <si>
    <t>3073CS</t>
  </si>
  <si>
    <t>3078CS</t>
  </si>
  <si>
    <t>3104CS</t>
  </si>
  <si>
    <t>3114CS</t>
  </si>
  <si>
    <t>3141CS</t>
  </si>
  <si>
    <t>3161CS</t>
  </si>
  <si>
    <t>3162CS</t>
  </si>
  <si>
    <t>3176CS</t>
  </si>
  <si>
    <t>3220CS</t>
  </si>
  <si>
    <t>3226CS</t>
  </si>
  <si>
    <t>3238CS</t>
  </si>
  <si>
    <t>3244CS</t>
  </si>
  <si>
    <t>3262CS</t>
  </si>
  <si>
    <t>3266CS</t>
  </si>
  <si>
    <t>3268CS</t>
  </si>
  <si>
    <t>3284CS</t>
  </si>
  <si>
    <t>3287CS</t>
  </si>
  <si>
    <t>3379CS</t>
  </si>
  <si>
    <t>3409CS</t>
  </si>
  <si>
    <t>3532CS</t>
  </si>
  <si>
    <t>3549CS</t>
  </si>
  <si>
    <t>3550CS</t>
  </si>
  <si>
    <t>3565CS</t>
  </si>
  <si>
    <t>3566CS</t>
  </si>
  <si>
    <t>3614CS</t>
  </si>
  <si>
    <t>3616CS</t>
  </si>
  <si>
    <t>3626EA</t>
  </si>
  <si>
    <t>3692CS</t>
  </si>
  <si>
    <t>3796CS</t>
  </si>
  <si>
    <t>3810CS</t>
  </si>
  <si>
    <t>3832CS</t>
  </si>
  <si>
    <t>3883CS</t>
  </si>
  <si>
    <t>3900CS</t>
  </si>
  <si>
    <t>3915CS</t>
  </si>
  <si>
    <t>4103CS</t>
  </si>
  <si>
    <t>4856CS</t>
  </si>
  <si>
    <t>5268CS</t>
  </si>
  <si>
    <t>619ACS</t>
  </si>
  <si>
    <t>6264CS</t>
  </si>
  <si>
    <t>6271CS</t>
  </si>
  <si>
    <t>8367CS</t>
  </si>
  <si>
    <t>8659CS</t>
  </si>
  <si>
    <t>8929CS</t>
  </si>
  <si>
    <t>8986CS</t>
  </si>
  <si>
    <t>8987CS</t>
  </si>
  <si>
    <t>S3891CS</t>
  </si>
  <si>
    <t>038ACS</t>
  </si>
  <si>
    <t>042BCS</t>
  </si>
  <si>
    <t>060BCS</t>
  </si>
  <si>
    <t>061BCS</t>
  </si>
  <si>
    <t>064BCS</t>
  </si>
  <si>
    <t>093BCS</t>
  </si>
  <si>
    <t>094BCS</t>
  </si>
  <si>
    <t>100BCS</t>
  </si>
  <si>
    <t>1060CS</t>
  </si>
  <si>
    <t>1379CS</t>
  </si>
  <si>
    <t>2426CS</t>
  </si>
  <si>
    <t>4107CS</t>
  </si>
  <si>
    <t>787ACS</t>
  </si>
  <si>
    <t>8309CS</t>
  </si>
  <si>
    <t>946ACS</t>
  </si>
  <si>
    <t>Labour Cost (Processing)/Product</t>
  </si>
  <si>
    <t>Labour Cost (Packing)/Product</t>
  </si>
  <si>
    <t>Labour cost Food Processing</t>
  </si>
  <si>
    <t>Labour cost Packing</t>
  </si>
  <si>
    <t>In Active</t>
  </si>
  <si>
    <t>Active</t>
  </si>
  <si>
    <t>Above 70% Margin</t>
  </si>
  <si>
    <t>In loss</t>
  </si>
  <si>
    <t>Material Cost itself more than Sales Price</t>
  </si>
  <si>
    <t>Labour Cost itself more than Sales Price</t>
  </si>
  <si>
    <t>Not Active</t>
  </si>
  <si>
    <t>Chemical Cost</t>
  </si>
  <si>
    <t>Chemical cost/Product</t>
  </si>
  <si>
    <t>Total Chemical Cost</t>
  </si>
  <si>
    <t>Chemical cost/kg input</t>
  </si>
  <si>
    <t>Output Qty</t>
  </si>
  <si>
    <t>Total Output qty</t>
  </si>
  <si>
    <t>Total Material Cost</t>
  </si>
  <si>
    <t>Total Labour Cost</t>
  </si>
  <si>
    <t>Total Labour cost</t>
  </si>
  <si>
    <t>weight 5kg</t>
  </si>
  <si>
    <t>price</t>
  </si>
  <si>
    <t>DICED BUTTERNUTSQSH 10MM 2.5 KG</t>
  </si>
  <si>
    <t>SLICED WHITE ONIONS 3MM 2.5 KG</t>
  </si>
  <si>
    <t>CELERIAC SLICED 2mm</t>
  </si>
  <si>
    <t>BTSQSH DICE 10MM</t>
  </si>
  <si>
    <t>Margin Less than 25%</t>
  </si>
  <si>
    <t>Material Cost itself more than 60% of Sales Price</t>
  </si>
  <si>
    <t>Labour Cost itself more than 60% of Sales Price</t>
  </si>
  <si>
    <t>P5590EA</t>
  </si>
  <si>
    <t>POTATO - SPIRALISED 1KG</t>
  </si>
  <si>
    <t>P5500EA</t>
  </si>
  <si>
    <t>CHIPS 10MM 5KG CASA SPEC</t>
  </si>
  <si>
    <t>CHIPS 10MM</t>
  </si>
  <si>
    <t>Description</t>
  </si>
  <si>
    <t>2559CS</t>
  </si>
  <si>
    <t>AVOCADO SMALL X18</t>
  </si>
  <si>
    <t>BLUEBERRY 10 X 250G</t>
  </si>
  <si>
    <t>MUSHROOM CLOSED CUP 3KG</t>
  </si>
  <si>
    <t>2963EA</t>
  </si>
  <si>
    <t>BLUEBERRY 1 X 250G</t>
  </si>
  <si>
    <t>SPRING ONIONS X 1 BUN SP</t>
  </si>
  <si>
    <t>7396CS</t>
  </si>
  <si>
    <t>DOUBLE CREAM 1 X 2L</t>
  </si>
  <si>
    <t>3901EA</t>
  </si>
  <si>
    <t>GREEN BASIL X100G SP</t>
  </si>
  <si>
    <t>CUCUMBERS X 6EA</t>
  </si>
  <si>
    <t>3726EA</t>
  </si>
  <si>
    <t>TOMATOES CHERRY RED 1 X 500G</t>
  </si>
  <si>
    <t>2797CS</t>
  </si>
  <si>
    <t>RASPBERRY 8X125G</t>
  </si>
  <si>
    <t>LIMES X 54-63 EA</t>
  </si>
  <si>
    <t>3909EA</t>
  </si>
  <si>
    <t>CHIVES BUNCHED X 100G SP</t>
  </si>
  <si>
    <t>DICED POTATO 20MM 5KG</t>
  </si>
  <si>
    <t>2802EA</t>
  </si>
  <si>
    <t>POMEGRANATE EA   SP</t>
  </si>
  <si>
    <t>LETTUCE ICEBERG  X 10EA</t>
  </si>
  <si>
    <t>1791CS</t>
  </si>
  <si>
    <t>CATERING ROCKET  4 X 250G</t>
  </si>
  <si>
    <t>020BCS</t>
  </si>
  <si>
    <t>ED WHOLE MILK 1 X 2LT</t>
  </si>
  <si>
    <t>MELON YELLOW X 6EA</t>
  </si>
  <si>
    <t>MUSHROOM BUTTON 3KG</t>
  </si>
  <si>
    <t>3551EA</t>
  </si>
  <si>
    <t>RED PEPPER 1 X 1KG</t>
  </si>
  <si>
    <t>2882EA</t>
  </si>
  <si>
    <t>LEMON PP 1 X 2KG</t>
  </si>
  <si>
    <t>3726CS</t>
  </si>
  <si>
    <t>TOMATOES CHERRY RED 10 X 500G</t>
  </si>
  <si>
    <t>2797EA</t>
  </si>
  <si>
    <t>RASPBERRY 125G SP</t>
  </si>
  <si>
    <t>1814CS</t>
  </si>
  <si>
    <t>PREP SPINACH CATERING 4 X 250G</t>
  </si>
  <si>
    <t>TOMATOES CHERRY LOOSE 4KG</t>
  </si>
  <si>
    <t>TOMATOES BEEF 12/14</t>
  </si>
  <si>
    <t>TOMATOES  PLUM 6KG</t>
  </si>
  <si>
    <t>4180CS</t>
  </si>
  <si>
    <t>CORIANDER       10 X100G</t>
  </si>
  <si>
    <t>WATERMELON X 5</t>
  </si>
  <si>
    <t>3626CS</t>
  </si>
  <si>
    <t>SPRING ONIONS X 20 BUNCH</t>
  </si>
  <si>
    <t>2886EA</t>
  </si>
  <si>
    <t>ORANGES MEDIUM 1 X15</t>
  </si>
  <si>
    <t>2738CS</t>
  </si>
  <si>
    <t>ORANGE MEDIUM 70-90 CT</t>
  </si>
  <si>
    <t>POMEGRANATE X14EA AVERAGE</t>
  </si>
  <si>
    <t>914AEA</t>
  </si>
  <si>
    <t>DICED MOZZARELLA 1 X 2.5KG</t>
  </si>
  <si>
    <t>LEMON x 120-138</t>
  </si>
  <si>
    <t>5573CS</t>
  </si>
  <si>
    <t>BANANA 18KG RFA</t>
  </si>
  <si>
    <t>2970CS</t>
  </si>
  <si>
    <t>AVOCADO X 6</t>
  </si>
  <si>
    <t>PREP RED ONION WHOLE 1 X 10KG</t>
  </si>
  <si>
    <t>MUSHROOM CHESTNUT 3KG</t>
  </si>
  <si>
    <t>3085EA</t>
  </si>
  <si>
    <t>AUBERGINE 1 X 2 EACH</t>
  </si>
  <si>
    <t>3503EA</t>
  </si>
  <si>
    <t>LETTUCE ICEBERG X1</t>
  </si>
  <si>
    <t>3091CS</t>
  </si>
  <si>
    <t>CORN COB VACPACK X2   X12</t>
  </si>
  <si>
    <t>2580EA</t>
  </si>
  <si>
    <t>BLACKBERRIES 125G SP</t>
  </si>
  <si>
    <t>POTATOES MIDS  10KG</t>
  </si>
  <si>
    <t>2722EA</t>
  </si>
  <si>
    <t>WATER MELON EACH  SP</t>
  </si>
  <si>
    <t>7836CS</t>
  </si>
  <si>
    <t>CHIVES 10X100GM</t>
  </si>
  <si>
    <t>SAVOY CABBAGE 1 X 5KG</t>
  </si>
  <si>
    <t>7395CS</t>
  </si>
  <si>
    <t>WHIPPING CREAM 1 X 2L</t>
  </si>
  <si>
    <t>3935EA</t>
  </si>
  <si>
    <t>ROSEMARY X 100G P/P SP</t>
  </si>
  <si>
    <t>2804CS</t>
  </si>
  <si>
    <t>EASY PEELERS X 10KG</t>
  </si>
  <si>
    <t>8358CS</t>
  </si>
  <si>
    <t>ORANGE JUICE TETRAPAK 12X1LTR</t>
  </si>
  <si>
    <t>607AEA</t>
  </si>
  <si>
    <t>BLK CABBAGE CAVO NERO 250G</t>
  </si>
  <si>
    <t>3523EA</t>
  </si>
  <si>
    <t>LETTUCE RADICCHIO  1 EA SP</t>
  </si>
  <si>
    <t>3655CS</t>
  </si>
  <si>
    <t>TOMATOES PLUM ON VINE 5KG</t>
  </si>
  <si>
    <t>BEANS FINE TOPTAIL   4 X 500G</t>
  </si>
  <si>
    <t>3192CS</t>
  </si>
  <si>
    <t>ONIONS 5KG</t>
  </si>
  <si>
    <t>F283EA</t>
  </si>
  <si>
    <t>FROZEN BLUEBERRY 1KG</t>
  </si>
  <si>
    <t>3931EA</t>
  </si>
  <si>
    <t>PARSLEY FLAT 100G SP</t>
  </si>
  <si>
    <t>1791EA</t>
  </si>
  <si>
    <t>CATERING ROCKET  1 X 250G</t>
  </si>
  <si>
    <t>3925EA</t>
  </si>
  <si>
    <t>MINT X 100G P/P SP</t>
  </si>
  <si>
    <t>3939EA</t>
  </si>
  <si>
    <t>TARRAGON X 100G SP</t>
  </si>
  <si>
    <t>ONIONS LARGE 20KG</t>
  </si>
  <si>
    <t>GINGER   X 12KG</t>
  </si>
  <si>
    <t>7046EA</t>
  </si>
  <si>
    <t>WATERCRESS 1 X 100G</t>
  </si>
  <si>
    <t>3941EA</t>
  </si>
  <si>
    <t>THYME X 100G SP</t>
  </si>
  <si>
    <t>2580CS</t>
  </si>
  <si>
    <t>BLACKBERRIES 12X 125G</t>
  </si>
  <si>
    <t>3911EA</t>
  </si>
  <si>
    <t>CORIANDER BUNCH X 100GM SP</t>
  </si>
  <si>
    <t>019BCS</t>
  </si>
  <si>
    <t>ED DOUBLE CREAM 1 X 2LT</t>
  </si>
  <si>
    <t>3453CS</t>
  </si>
  <si>
    <t>CORIANDER CRESS MICRO   8 X30G</t>
  </si>
  <si>
    <t>172ACS</t>
  </si>
  <si>
    <t>LIME JUICE HPP 6 X 1LT</t>
  </si>
  <si>
    <t>173AEA</t>
  </si>
  <si>
    <t>LEMON JUICE HPP 1 X 1LT</t>
  </si>
  <si>
    <t>3102EA</t>
  </si>
  <si>
    <t>CURLY KALE P/P X 250G SP</t>
  </si>
  <si>
    <t>CUCUMBER X12 EA</t>
  </si>
  <si>
    <t>6321CS</t>
  </si>
  <si>
    <t>GREEK STYLE SET YOGURT 5LTR</t>
  </si>
  <si>
    <t>3234EA</t>
  </si>
  <si>
    <t>LIMES VEGAN P/P   X6   SP</t>
  </si>
  <si>
    <t>8456CS</t>
  </si>
  <si>
    <t>FSH SQZD PAST ORANGE J 4X2.27L</t>
  </si>
  <si>
    <t>2871EA</t>
  </si>
  <si>
    <t>EASY PEELERS 1 X 8</t>
  </si>
  <si>
    <t>3407EA</t>
  </si>
  <si>
    <t>MICRO SALAD MIX 1X100G</t>
  </si>
  <si>
    <t>2805EA</t>
  </si>
  <si>
    <t>PLUMS DESSERT P/P  1 KG  SP</t>
  </si>
  <si>
    <t>MANGETOUT 2KG</t>
  </si>
  <si>
    <t>SPINACH BABY POUSSE 2 X 500G</t>
  </si>
  <si>
    <t>172AEA</t>
  </si>
  <si>
    <t>LIME JUICE HPP 1 X 1LT</t>
  </si>
  <si>
    <t>179ACS</t>
  </si>
  <si>
    <t>BROCCOLI TENDERSTEM TIPS 4X500</t>
  </si>
  <si>
    <t>APPLES RED X 125/138</t>
  </si>
  <si>
    <t>4107EA</t>
  </si>
  <si>
    <t>POMEGRANATE SEEDS 1X160G</t>
  </si>
  <si>
    <t>3117CS</t>
  </si>
  <si>
    <t>MUSHROOM FLAT (UNLIDDED) x25</t>
  </si>
  <si>
    <t>CELERY   X16 EA</t>
  </si>
  <si>
    <t>3166CS</t>
  </si>
  <si>
    <t>MUSHROOMS FLAT LARGE 1.81KG</t>
  </si>
  <si>
    <t>3171CS</t>
  </si>
  <si>
    <t>MUSHROOM PORTOBELLO LGE 2KG</t>
  </si>
  <si>
    <t>3665CS</t>
  </si>
  <si>
    <t>GROWING TENDERILL PEA 1X16</t>
  </si>
  <si>
    <t>3583EA</t>
  </si>
  <si>
    <t>CHILLIES RED LONGDUTCH 250G SP</t>
  </si>
  <si>
    <t>1813CS</t>
  </si>
  <si>
    <t>PREP ROCKET CATERING 2X500G</t>
  </si>
  <si>
    <t>2704CS</t>
  </si>
  <si>
    <t>MELON YELLOW 8X1</t>
  </si>
  <si>
    <t>3531CS</t>
  </si>
  <si>
    <t>LETTUCE ROUND    X12EA</t>
  </si>
  <si>
    <t>3915EA</t>
  </si>
  <si>
    <t>DILL BUNCHED X 100G SP</t>
  </si>
  <si>
    <t>3466EA</t>
  </si>
  <si>
    <t>AMARANTH RED CRESS MICRO25G SP</t>
  </si>
  <si>
    <t>FENNEL X5KG</t>
  </si>
  <si>
    <t>3912CS</t>
  </si>
  <si>
    <t>BASIL LOOSE X 1KG</t>
  </si>
  <si>
    <t>3124EA</t>
  </si>
  <si>
    <t>GINGER P/P 1KG</t>
  </si>
  <si>
    <t>3601CS</t>
  </si>
  <si>
    <t>PADRON CHILLIES 1X2KG</t>
  </si>
  <si>
    <t>3938EA</t>
  </si>
  <si>
    <t>SAGE FRESH X 100G SP</t>
  </si>
  <si>
    <t>SPRING ONION x 2KG</t>
  </si>
  <si>
    <t>3506CS</t>
  </si>
  <si>
    <t>LETTUCE COS 3KG</t>
  </si>
  <si>
    <t>3254EA</t>
  </si>
  <si>
    <t>RHUBARB GLASSHOUSE   1KG SP</t>
  </si>
  <si>
    <t>SAVOY CABBAGE X8  EA</t>
  </si>
  <si>
    <t>3466CS</t>
  </si>
  <si>
    <t>AMARANTH RED CRESS MICRO8 X25G</t>
  </si>
  <si>
    <t>3639CS</t>
  </si>
  <si>
    <t>TOMATOES CHERRY RED  9 X 250G</t>
  </si>
  <si>
    <t>135ACS</t>
  </si>
  <si>
    <t>RADICCHIO X 9</t>
  </si>
  <si>
    <t>3666CS</t>
  </si>
  <si>
    <t>TOMATOES BABY PLUM LOOSE 4KG</t>
  </si>
  <si>
    <t>3112EA</t>
  </si>
  <si>
    <t>WHOLE LEAF CURLY KALE 1KG</t>
  </si>
  <si>
    <t>173ACS</t>
  </si>
  <si>
    <t>LEMON JUICE HPP 6 X 1LT</t>
  </si>
  <si>
    <t>3025CS</t>
  </si>
  <si>
    <t>BEANS FINE 2KG</t>
  </si>
  <si>
    <t>2704EA</t>
  </si>
  <si>
    <t>MELON YELLOW 1X1</t>
  </si>
  <si>
    <t>F037EA</t>
  </si>
  <si>
    <t>FZN SUMMER BERRY MIX 1X2.5KG</t>
  </si>
  <si>
    <t>3088EA</t>
  </si>
  <si>
    <t>BROCCOLI PP 1 X 500G SP</t>
  </si>
  <si>
    <t>RED CABBAGE X 10KG</t>
  </si>
  <si>
    <t>PARSNIPS 10KG</t>
  </si>
  <si>
    <t>3351CS</t>
  </si>
  <si>
    <t>MICRO WATERCRESS SHOOTS 8x100g</t>
  </si>
  <si>
    <t>3550EA</t>
  </si>
  <si>
    <t>GREEN PEPPER 1 X 1KG</t>
  </si>
  <si>
    <t>3048EA</t>
  </si>
  <si>
    <t>SAVOY CABBAGE X1 EA SP</t>
  </si>
  <si>
    <t>3514CS</t>
  </si>
  <si>
    <t>ICEBERG 1X5KG</t>
  </si>
  <si>
    <t>1640CS</t>
  </si>
  <si>
    <t>PEKA MASHED POTATO 6 X 2KG</t>
  </si>
  <si>
    <t>3507EA</t>
  </si>
  <si>
    <t>LETTUCE LOLLO BIONDI X 1 EA SP</t>
  </si>
  <si>
    <t>3501EA</t>
  </si>
  <si>
    <t>LETTUCE LOLLO ROSSO X 1EA SP</t>
  </si>
  <si>
    <t>2597EA</t>
  </si>
  <si>
    <t>FIGS P/P  X6   SP</t>
  </si>
  <si>
    <t>3436EA</t>
  </si>
  <si>
    <t>CELERY   EA SP</t>
  </si>
  <si>
    <t>CARROTS 1 X 2.5KG</t>
  </si>
  <si>
    <t>3430EA</t>
  </si>
  <si>
    <t>CHICORY 500G P/P SP</t>
  </si>
  <si>
    <t>3486CS</t>
  </si>
  <si>
    <t>LETTUCE BATAVIA GREEN X6EA</t>
  </si>
  <si>
    <t>CORIANDER X 1KG</t>
  </si>
  <si>
    <t>APPLE GRANNY SMITH 1 X 20</t>
  </si>
  <si>
    <t>3072EA</t>
  </si>
  <si>
    <t>CABBAGE RED X 1 EA SP</t>
  </si>
  <si>
    <t>S157CS</t>
  </si>
  <si>
    <t>BEET SPINACH 1 X 3KG</t>
  </si>
  <si>
    <t>6890EA</t>
  </si>
  <si>
    <t>VEG HARD CHEESE WEDGE 1X1KG</t>
  </si>
  <si>
    <t>3453EA</t>
  </si>
  <si>
    <t>CORIANDER CRESS MICRO X30G SP</t>
  </si>
  <si>
    <t>ORANGE LARGE 48/56 CT</t>
  </si>
  <si>
    <t>3873CS</t>
  </si>
  <si>
    <t>PP LARGE CARROT 1 X 2.5KG</t>
  </si>
  <si>
    <t>SWEDE 12.5KG 20x1</t>
  </si>
  <si>
    <t>177ACS</t>
  </si>
  <si>
    <t>JACKFRUIT IN BRINE 24 X 540GR</t>
  </si>
  <si>
    <t>8305CS</t>
  </si>
  <si>
    <t>JUICE APPLE LPAST  2 X2.27L</t>
  </si>
  <si>
    <t>3254CS</t>
  </si>
  <si>
    <t>RHUBARB GLASSHOUSE  X5KG</t>
  </si>
  <si>
    <t>8324CS</t>
  </si>
  <si>
    <t>JUICE ORANGE LPAST 2 X 2.27LTR</t>
  </si>
  <si>
    <t>SUGAR SNAP 2KG</t>
  </si>
  <si>
    <t>COURGETTE STANDARD 5KG</t>
  </si>
  <si>
    <t>1819CS</t>
  </si>
  <si>
    <t>PREP CONTINENTL LEAFMIX 4X250G</t>
  </si>
  <si>
    <t>MELON GALIA X6EA</t>
  </si>
  <si>
    <t>3907EA</t>
  </si>
  <si>
    <t>CHERVIL X 100G SP</t>
  </si>
  <si>
    <t>3909CS</t>
  </si>
  <si>
    <t>CHIVES BUNCHED 30 X 100G</t>
  </si>
  <si>
    <t>7046CS</t>
  </si>
  <si>
    <t>WATERCRESS 12 X 100G</t>
  </si>
  <si>
    <t>SWEET POTATOES ORANGE FLESH 6K</t>
  </si>
  <si>
    <t>3501CS</t>
  </si>
  <si>
    <t>LETTUCE LOLLO ROSSO X 12 EA</t>
  </si>
  <si>
    <t>3615CS</t>
  </si>
  <si>
    <t>CRESS AFFILLA     X16PUN</t>
  </si>
  <si>
    <t>1006CS</t>
  </si>
  <si>
    <t>PREP POTS MARIS PIPER 5KG</t>
  </si>
  <si>
    <t>ARTICHOKES JERUSALEM  X5KG</t>
  </si>
  <si>
    <t>BABY RAINBOW CARROTS 6 X 200G</t>
  </si>
  <si>
    <t>3423EA</t>
  </si>
  <si>
    <t>BEANSHOOTS P/P   X 350G SP</t>
  </si>
  <si>
    <t>3492EA</t>
  </si>
  <si>
    <t>LETTUCE FRISSEE FRENCH X1EA SP</t>
  </si>
  <si>
    <t>LEEKS 1 X 2.5KG</t>
  </si>
  <si>
    <t>3073EA</t>
  </si>
  <si>
    <t>CABBAGE SWEETHEART X EACH SP</t>
  </si>
  <si>
    <t>ORI MOOLI X 15EA</t>
  </si>
  <si>
    <t>771AEA</t>
  </si>
  <si>
    <t>CINNAMON STICKS 1x50G</t>
  </si>
  <si>
    <t>1813EA</t>
  </si>
  <si>
    <t>PREP ROCKET CATERING 1 X500G</t>
  </si>
  <si>
    <t>2659CS</t>
  </si>
  <si>
    <t>LIMES X 48 EA</t>
  </si>
  <si>
    <t>8321CS</t>
  </si>
  <si>
    <t>JUICE ORANGE FRESH 2 X 2.27LTR</t>
  </si>
  <si>
    <t>3941CS</t>
  </si>
  <si>
    <t>THYME 30 X 100G</t>
  </si>
  <si>
    <t>3094EA</t>
  </si>
  <si>
    <t>COURGETTES P/P X 1KG SP</t>
  </si>
  <si>
    <t>3830CS</t>
  </si>
  <si>
    <t>LEMON GRASS 18 X 100G</t>
  </si>
  <si>
    <t>3926EA</t>
  </si>
  <si>
    <t>OREGANO FRESH X 100G SP</t>
  </si>
  <si>
    <t>3169EA</t>
  </si>
  <si>
    <t>MUSHROOMS CHESTNUT X 500G SP</t>
  </si>
  <si>
    <t>3643CS</t>
  </si>
  <si>
    <t>TOMATOES CHERRY YEL  9 X250G</t>
  </si>
  <si>
    <t>3564CS</t>
  </si>
  <si>
    <t>SWEET PEPPERS ROMANO RED 10XPK</t>
  </si>
  <si>
    <t>GRAPE WHITE SLESS P/P 10X500G</t>
  </si>
  <si>
    <t>E009CS</t>
  </si>
  <si>
    <t>POTS WARE HESS - MOD</t>
  </si>
  <si>
    <t>3901CS</t>
  </si>
  <si>
    <t>GREEN BASIL 30X100G</t>
  </si>
  <si>
    <t>3499EA</t>
  </si>
  <si>
    <t>LETTUCE OAKLEAF X 1 EA SP</t>
  </si>
  <si>
    <t>LRG PROCESSING CARROT X 1000KG</t>
  </si>
  <si>
    <t>3507CS</t>
  </si>
  <si>
    <t>LETTUCE LOLLO BIONDI X 12 EA</t>
  </si>
  <si>
    <t>3188EA</t>
  </si>
  <si>
    <t>POTATOES MIDS P/P X 2.5KG SP</t>
  </si>
  <si>
    <t>CABBAGE SWEETHEART (X14EA) CS</t>
  </si>
  <si>
    <t>3564EA</t>
  </si>
  <si>
    <t>SWEET PEPPERS ROMANO RED XPKT</t>
  </si>
  <si>
    <t>2367EA</t>
  </si>
  <si>
    <t>PEASHOOTS 1 X 250G</t>
  </si>
  <si>
    <t>3091EA</t>
  </si>
  <si>
    <t>CORN COB VACPACK X2PAC  SP</t>
  </si>
  <si>
    <t>679ACS</t>
  </si>
  <si>
    <t>RAISINS SEEDLESS 4x3KG</t>
  </si>
  <si>
    <t>POTS SALAD MID 10K</t>
  </si>
  <si>
    <t>3407CS</t>
  </si>
  <si>
    <t>MICRO SALAD MIX 4X100G</t>
  </si>
  <si>
    <t>3935CS</t>
  </si>
  <si>
    <t>ROSEMARY 30 X 100G P/P</t>
  </si>
  <si>
    <t>3581EA</t>
  </si>
  <si>
    <t>CHILLIES GRN LONGDUTCH 250G SP</t>
  </si>
  <si>
    <t>3005CS</t>
  </si>
  <si>
    <t>RAINBOW CARROTS 1 X 5KG</t>
  </si>
  <si>
    <t>3181CS</t>
  </si>
  <si>
    <t>OKRA 2KG</t>
  </si>
  <si>
    <t>3531EA</t>
  </si>
  <si>
    <t>LETTUCE ROUND X 1 EA SP</t>
  </si>
  <si>
    <t>3797CS</t>
  </si>
  <si>
    <t>LEEK BABY  6 X 200G</t>
  </si>
  <si>
    <t>3830EA</t>
  </si>
  <si>
    <t>LEMON GRASS 1 X 100G</t>
  </si>
  <si>
    <t>292ACS</t>
  </si>
  <si>
    <t>BALA GRAM FLOUR 6x2KG (MOWGLI)</t>
  </si>
  <si>
    <t>PUMPKIN CROWN PRINCE X1 EA</t>
  </si>
  <si>
    <t>3336EA</t>
  </si>
  <si>
    <t>LOTUS ROOT 1X1</t>
  </si>
  <si>
    <t>WATERMELON X6EA</t>
  </si>
  <si>
    <t>2592EA</t>
  </si>
  <si>
    <t>DATES MEDJOOL  250G SP</t>
  </si>
  <si>
    <t>3495CS</t>
  </si>
  <si>
    <t>CORN SALAD 4 X 250G</t>
  </si>
  <si>
    <t>3665EA</t>
  </si>
  <si>
    <t>GROWING TENDERILL PEA X 1</t>
  </si>
  <si>
    <t>3548EA</t>
  </si>
  <si>
    <t>TRICOLOUR PEPPER 1 X 1KG</t>
  </si>
  <si>
    <t>BAKING POTATO X40 EA</t>
  </si>
  <si>
    <t>5268EA</t>
  </si>
  <si>
    <t>MANGO PP 1 X 2</t>
  </si>
  <si>
    <t>3094CS</t>
  </si>
  <si>
    <t>COURGETTES P/P   5X1KG</t>
  </si>
  <si>
    <t>3614EA</t>
  </si>
  <si>
    <t>RADISH BUNCH X 1 BUNCH SP</t>
  </si>
  <si>
    <t>2613EA</t>
  </si>
  <si>
    <t>GRAPE WHITE SLESS P/P  500G SP</t>
  </si>
  <si>
    <t>018BCS</t>
  </si>
  <si>
    <t>ED WHIPPING CREAM 1 X 2LT</t>
  </si>
  <si>
    <t>3088CS</t>
  </si>
  <si>
    <t>BROCCOLI PP 12 X 500G SP</t>
  </si>
  <si>
    <t>2974CS</t>
  </si>
  <si>
    <t>BANANA MED/LARGE 10/12 EA</t>
  </si>
  <si>
    <t>3392CS</t>
  </si>
  <si>
    <t>PP SWEET POTATO 1 X 3KG</t>
  </si>
  <si>
    <t>2367CS</t>
  </si>
  <si>
    <t>PEASHOOTS 4 X 250G</t>
  </si>
  <si>
    <t>3832EA</t>
  </si>
  <si>
    <t>SPINACH BABY POUSSE X 500G SP</t>
  </si>
  <si>
    <t>8439CS</t>
  </si>
  <si>
    <t>LEMON JUICE 6 X 1LTR</t>
  </si>
  <si>
    <t>3358EA</t>
  </si>
  <si>
    <t>CURRY LEAVES 1 X PKT</t>
  </si>
  <si>
    <t>3931CS</t>
  </si>
  <si>
    <t>PARSLEY FLAT 30 X 100G</t>
  </si>
  <si>
    <t>3013EA</t>
  </si>
  <si>
    <t>CANDY STRIPE BEETROOT 1 X 1KG</t>
  </si>
  <si>
    <t>3467EA</t>
  </si>
  <si>
    <t>MICRO GREEK CRESS 1X30G</t>
  </si>
  <si>
    <t>3388EA</t>
  </si>
  <si>
    <t>PAK CHOI P/P X 500G SP</t>
  </si>
  <si>
    <t>3516EA</t>
  </si>
  <si>
    <t>LETTUCE CHINESE LEAF X 1 EA SP</t>
  </si>
  <si>
    <t>607ACS</t>
  </si>
  <si>
    <t>BLK CABBAGE CAVO NERO 10X250G</t>
  </si>
  <si>
    <t>3106EA</t>
  </si>
  <si>
    <t>FENNEL X330G AVE</t>
  </si>
  <si>
    <t>3558EA</t>
  </si>
  <si>
    <t>SAMPHIRE 1 X 100G</t>
  </si>
  <si>
    <t>3552EA</t>
  </si>
  <si>
    <t>YELLOW PEPPER 1 X 1KG</t>
  </si>
  <si>
    <t>3523CS</t>
  </si>
  <si>
    <t>LETTUCE RADICCHIO X 12 EA</t>
  </si>
  <si>
    <t>2689EA</t>
  </si>
  <si>
    <t>MELON GALIA EA SP</t>
  </si>
  <si>
    <t>3927EA</t>
  </si>
  <si>
    <t>CURLEY PARSLEY P/P X 100G SP</t>
  </si>
  <si>
    <t>3277EA</t>
  </si>
  <si>
    <t>SWEDE X 1 EA SP 450g</t>
  </si>
  <si>
    <t>3756EA</t>
  </si>
  <si>
    <t>MICRO FLAT LEAF PARSLEY 1 X25G</t>
  </si>
  <si>
    <t>CHILLI GREEN LONG DUTCH 3KG</t>
  </si>
  <si>
    <t>BEANS EXTRA FINE PREMIUM 1.5KG</t>
  </si>
  <si>
    <t>1051CS</t>
  </si>
  <si>
    <t>PREP POTS BABY ROAST 5KG</t>
  </si>
  <si>
    <t>3759EA</t>
  </si>
  <si>
    <t>MICRO PURPLE SHISO 1 X 20G</t>
  </si>
  <si>
    <t>3557CS</t>
  </si>
  <si>
    <t>SALAD CRESS X 4PUN</t>
  </si>
  <si>
    <t>2597CS</t>
  </si>
  <si>
    <t>FIGS P/P  4X6</t>
  </si>
  <si>
    <t>3183EA</t>
  </si>
  <si>
    <t>ONIONS ROSCOFF STRING X 1KG SP</t>
  </si>
  <si>
    <t>3395EA</t>
  </si>
  <si>
    <t>SAMPHIRE 1KG SP</t>
  </si>
  <si>
    <t>RADISH BUNCH  X15 BNCH</t>
  </si>
  <si>
    <t>6050CS</t>
  </si>
  <si>
    <t>SOUR CREAM 2KG</t>
  </si>
  <si>
    <t>3196CS</t>
  </si>
  <si>
    <t>ONIONS BLANCO  WHITE X10KG</t>
  </si>
  <si>
    <t>3639EA</t>
  </si>
  <si>
    <t>TOMATOES CHERRY RED X 250G SP</t>
  </si>
  <si>
    <t>3022EA</t>
  </si>
  <si>
    <t>BEANS FINE TOPTAIL X500G  SP</t>
  </si>
  <si>
    <t>3495EA</t>
  </si>
  <si>
    <t>CORN SALAD 1 X 250G</t>
  </si>
  <si>
    <t>CORN BABY  12 X 80G</t>
  </si>
  <si>
    <t>CANDY STRIPE BEETROOT 1 X 5KG</t>
  </si>
  <si>
    <t>3547EA</t>
  </si>
  <si>
    <t>LETTUCE LITTLE GEM X 1 PKT</t>
  </si>
  <si>
    <t>3451CS</t>
  </si>
  <si>
    <t>CUCUMBERS MINI (S) 2KG</t>
  </si>
  <si>
    <t>1814EA</t>
  </si>
  <si>
    <t>WASHED SPINACH 1 X 250G</t>
  </si>
  <si>
    <t>3925CS</t>
  </si>
  <si>
    <t>MINT 30 X 100G P/P</t>
  </si>
  <si>
    <t>3104EA</t>
  </si>
  <si>
    <t>MOOLI 1 X 400G</t>
  </si>
  <si>
    <t>3779EA</t>
  </si>
  <si>
    <t>VIOLA FLOWERS 1 X 5G</t>
  </si>
  <si>
    <t>3351EA</t>
  </si>
  <si>
    <t>MICRO WATERCRESS SHOOTS 100g</t>
  </si>
  <si>
    <t>3595EA</t>
  </si>
  <si>
    <t>CHILLI RED BULLET P/P X250G SP</t>
  </si>
  <si>
    <t>POTATOES RATTE     15 X 1KG</t>
  </si>
  <si>
    <t>2731EA</t>
  </si>
  <si>
    <t>ORANGES LARGE P/P  X4 SP</t>
  </si>
  <si>
    <t>RADISH BREAKFAST  X12 BUNCH</t>
  </si>
  <si>
    <t>3797EA</t>
  </si>
  <si>
    <t>LEEK BABY X 200G SP</t>
  </si>
  <si>
    <t>3414EA</t>
  </si>
  <si>
    <t>VACKPAK BEETROOT 1X500G</t>
  </si>
  <si>
    <t>272AEA</t>
  </si>
  <si>
    <t>BLK CARDAMOM WH 1x700G MOWGLI</t>
  </si>
  <si>
    <t>3616EA</t>
  </si>
  <si>
    <t>RADISH BREAKFAST X 1 BUNCH SP</t>
  </si>
  <si>
    <t>3450EA</t>
  </si>
  <si>
    <t>CHAYOTE (CHOW CHOW) X1</t>
  </si>
  <si>
    <t>E002CS</t>
  </si>
  <si>
    <t>APPLES RED - MOD</t>
  </si>
  <si>
    <t>3928EA</t>
  </si>
  <si>
    <t>CURLY PARSLEY X 1 BUNCH SP</t>
  </si>
  <si>
    <t>3557EA</t>
  </si>
  <si>
    <t>SALAD CRESS X 1 PUN SP</t>
  </si>
  <si>
    <t>5557CS</t>
  </si>
  <si>
    <t>CLARKS MAPLE FLAVOUR SYRUP X 6</t>
  </si>
  <si>
    <t>3414CS</t>
  </si>
  <si>
    <t>VACKPAK BEETROOT  12X500G</t>
  </si>
  <si>
    <t>2907EA</t>
  </si>
  <si>
    <t>PAPAYA GREEN X 1 EA SP</t>
  </si>
  <si>
    <t>738AEA</t>
  </si>
  <si>
    <t>SINGLE CREAM 1 X 2 LTR</t>
  </si>
  <si>
    <t>8359CS</t>
  </si>
  <si>
    <t>PINEAPPLE JUICE TETRAPAK 12X1L</t>
  </si>
  <si>
    <t>3602EA</t>
  </si>
  <si>
    <t>PP LANTERN CHILLIES 1X250G</t>
  </si>
  <si>
    <t>914ACS</t>
  </si>
  <si>
    <t>DICED MOZZARELLA 4 X 2.5KG</t>
  </si>
  <si>
    <t>3499CS</t>
  </si>
  <si>
    <t>LETTUCE OAKLEAF  X 12 EA</t>
  </si>
  <si>
    <t>3139EA</t>
  </si>
  <si>
    <t>MANGETOUT P/P    X500G SP</t>
  </si>
  <si>
    <t>BABY SWEET POTATO 6KG</t>
  </si>
  <si>
    <t>3641EA</t>
  </si>
  <si>
    <t>TOMATOES P/P      X 1KG SP</t>
  </si>
  <si>
    <t>3011EA</t>
  </si>
  <si>
    <t>GOLDEN BEETROOT 1KG</t>
  </si>
  <si>
    <t>3911CS</t>
  </si>
  <si>
    <t>CORIANDER BUNCH 30 X 100GM</t>
  </si>
  <si>
    <t>SALSIFY   X5KG</t>
  </si>
  <si>
    <t>3859CS</t>
  </si>
  <si>
    <t>MUSHROOM WILD MIX 4 X 125G</t>
  </si>
  <si>
    <t>3269CS</t>
  </si>
  <si>
    <t>SPINACH P/P    10 X 250G</t>
  </si>
  <si>
    <t>DILL BUNCHED 30 X 100G</t>
  </si>
  <si>
    <t>3196EA</t>
  </si>
  <si>
    <t>ONIONS BLANCO WHITE X 1KG SP</t>
  </si>
  <si>
    <t>E004CS</t>
  </si>
  <si>
    <t>BANANA BACKWARD - MOD</t>
  </si>
  <si>
    <t>2461EA</t>
  </si>
  <si>
    <t>BABY RAINBOW CARROTS 1 X 200G</t>
  </si>
  <si>
    <t>5366CS</t>
  </si>
  <si>
    <t>VP LIME JUICE 6 X 1LTR</t>
  </si>
  <si>
    <t>3587EA</t>
  </si>
  <si>
    <t>CHILLIES JALAPENO GREEN 1KG SP</t>
  </si>
  <si>
    <t>3467CS</t>
  </si>
  <si>
    <t>MICRO GREEK CRESS 8X30G</t>
  </si>
  <si>
    <t>3266EA</t>
  </si>
  <si>
    <t>SPINACH LGE LOOSE LEAF X1KG SP</t>
  </si>
  <si>
    <t>3927CS</t>
  </si>
  <si>
    <t>CURLY PARSLEY P/P 30 X 100G</t>
  </si>
  <si>
    <t>3904EA</t>
  </si>
  <si>
    <t>BAYLEAF X 100G SP</t>
  </si>
  <si>
    <t>MANGO PP 4 X 2</t>
  </si>
  <si>
    <t>8934CS</t>
  </si>
  <si>
    <t>PLAIN FLOUR 1 X 16KG</t>
  </si>
  <si>
    <t>3169CS</t>
  </si>
  <si>
    <t>MUSHROOMS CHESTNUT 8X 500G SP</t>
  </si>
  <si>
    <t>LEEKS  X5KG</t>
  </si>
  <si>
    <t>3779CS</t>
  </si>
  <si>
    <t>VIOLA FLOWERS 8 X 5G</t>
  </si>
  <si>
    <t>3107EA</t>
  </si>
  <si>
    <t>KOHL RABI X1</t>
  </si>
  <si>
    <t>2873EA</t>
  </si>
  <si>
    <t>ORANGES MED 1 X 6</t>
  </si>
  <si>
    <t>BEANS FRENCH XFINE 1.5KG</t>
  </si>
  <si>
    <t>3783EA</t>
  </si>
  <si>
    <t>SHISO LGE GREEN LEAF  X1PUN SP</t>
  </si>
  <si>
    <t>3946EA</t>
  </si>
  <si>
    <t>SORRELL BUNCH X 100G SP</t>
  </si>
  <si>
    <t>3643EA</t>
  </si>
  <si>
    <t>TOMATOES CHERRY YEL X250G SP</t>
  </si>
  <si>
    <t>3939CS</t>
  </si>
  <si>
    <t>TARRAGON 30 X 100G</t>
  </si>
  <si>
    <t>3148EA</t>
  </si>
  <si>
    <t>GINGER P-P 300G</t>
  </si>
  <si>
    <t>3720CS</t>
  </si>
  <si>
    <t>TOMATOES MARZANINO 3KG</t>
  </si>
  <si>
    <t>3756CS</t>
  </si>
  <si>
    <t>MICRO FLAT LEAF PARSLEY 8 X25G</t>
  </si>
  <si>
    <t>SPINACH LGE LOOSE LEAF  1X5KG</t>
  </si>
  <si>
    <t>3269EA</t>
  </si>
  <si>
    <t>SPINACH P/P X 250G SP</t>
  </si>
  <si>
    <t>3603EA</t>
  </si>
  <si>
    <t>PP THAI RED CHILLI 1X250G</t>
  </si>
  <si>
    <t>3233EA</t>
  </si>
  <si>
    <t>LEMONS P/P VEGAN X6  SP</t>
  </si>
  <si>
    <t>3938CS</t>
  </si>
  <si>
    <t>SAGE FRESH 30X 100G SP</t>
  </si>
  <si>
    <t>3430CS</t>
  </si>
  <si>
    <t>CHICORY P/P 10X500G</t>
  </si>
  <si>
    <t>3071EA</t>
  </si>
  <si>
    <t>CABBAGE WHITE X1 EA SP</t>
  </si>
  <si>
    <t>E007CS</t>
  </si>
  <si>
    <t>PARSNIPS NETTED - MOD</t>
  </si>
  <si>
    <t>3055EA</t>
  </si>
  <si>
    <t>SPRING GREEN X500G SP</t>
  </si>
  <si>
    <t>738ACS</t>
  </si>
  <si>
    <t>SINGLE CREAM 4 X 2 LTR</t>
  </si>
  <si>
    <t>3590EA</t>
  </si>
  <si>
    <t>CHILLI GREEN BULLET P/PX250 SP</t>
  </si>
  <si>
    <t>3815EA</t>
  </si>
  <si>
    <t>CORN BABY X 80G SP</t>
  </si>
  <si>
    <t>3587CS</t>
  </si>
  <si>
    <t>CHILLIES JALAPENO GREEN  X2KG</t>
  </si>
  <si>
    <t>BABY RED BEETROOT 6 X 200G</t>
  </si>
  <si>
    <t>3214EA</t>
  </si>
  <si>
    <t>4 PACK BAKING POTATO</t>
  </si>
  <si>
    <t>3837CS</t>
  </si>
  <si>
    <t>PATTI PANS YELLOW   6 X 200G</t>
  </si>
  <si>
    <t>3241EA</t>
  </si>
  <si>
    <t>POTATOES RATTE     X 1KG SP</t>
  </si>
  <si>
    <t>2869EA</t>
  </si>
  <si>
    <t>LIMES 1 X 6</t>
  </si>
  <si>
    <t>3744CS</t>
  </si>
  <si>
    <t>TURMERIC FRESH   1X1.2KG</t>
  </si>
  <si>
    <t>3859EA</t>
  </si>
  <si>
    <t>MUSHROOM WILD MIX X 125G SP</t>
  </si>
  <si>
    <t>S3215CS</t>
  </si>
  <si>
    <t>POTATOES MIDS 20 - 32MM 10KG</t>
  </si>
  <si>
    <t>2321EA</t>
  </si>
  <si>
    <t>HOUMOUS 1 X 1KG</t>
  </si>
  <si>
    <t>3486EA</t>
  </si>
  <si>
    <t>LETTUCE BATAVIA GREEN EA SP</t>
  </si>
  <si>
    <t>3460EA</t>
  </si>
  <si>
    <t>BASIL RED CRESS MICRO X30G SP</t>
  </si>
  <si>
    <t>6330EA</t>
  </si>
  <si>
    <t>EGGS FR MED 1X6</t>
  </si>
  <si>
    <t>2868EA</t>
  </si>
  <si>
    <t>LEMONS 1 X 6</t>
  </si>
  <si>
    <t>2561CS</t>
  </si>
  <si>
    <t>BANANA BACKWARD 1 X 18.14KG</t>
  </si>
  <si>
    <t>2789EA</t>
  </si>
  <si>
    <t>PINEAPPLE LARGE EA  SP</t>
  </si>
  <si>
    <t>2791EA</t>
  </si>
  <si>
    <t>PINEAPPLE EA SP</t>
  </si>
  <si>
    <t>3868EA</t>
  </si>
  <si>
    <t>MUSHROOM SHITAKI P/P X500G SP</t>
  </si>
  <si>
    <t>414ACS</t>
  </si>
  <si>
    <t>HOUMOUS 1 X 2KG</t>
  </si>
  <si>
    <t>3615EA</t>
  </si>
  <si>
    <t>CRESS AFFILLA    X 1 PNT SP</t>
  </si>
  <si>
    <t>2907CS</t>
  </si>
  <si>
    <t>PAPAYA GREEN  X 6EA</t>
  </si>
  <si>
    <t>7572CS</t>
  </si>
  <si>
    <t>FRESH TOFU 1 X 800GR</t>
  </si>
  <si>
    <t>3864EA</t>
  </si>
  <si>
    <t>MUSH OYSTER WHITE P/P X500G SP</t>
  </si>
  <si>
    <t>FENNEL BABY 6 X 200G</t>
  </si>
  <si>
    <t>3390EA</t>
  </si>
  <si>
    <t>PLANTAIN RIPE  X 1KGM SP</t>
  </si>
  <si>
    <t>3817EA</t>
  </si>
  <si>
    <t>COURGETTE BABY X 200G SP</t>
  </si>
  <si>
    <t>3395CS</t>
  </si>
  <si>
    <t>SAMPHIRE 1KG CS</t>
  </si>
  <si>
    <t>2961EA</t>
  </si>
  <si>
    <t>ARTICHOKES JERUSALEM X1KG SP</t>
  </si>
  <si>
    <t>2866EA</t>
  </si>
  <si>
    <t>GRANNY SMITH APPLES 1 X 6</t>
  </si>
  <si>
    <t>KOHL RABI X 20EA</t>
  </si>
  <si>
    <t>JUICE GRAPEFRUITPINK  2X2.27L</t>
  </si>
  <si>
    <t>3186EA</t>
  </si>
  <si>
    <t>POTATOES WARE BAG P/P 2KG SP</t>
  </si>
  <si>
    <t>6874EA</t>
  </si>
  <si>
    <t>STILTON WEDGE 1 X 220G</t>
  </si>
  <si>
    <t>3398EA</t>
  </si>
  <si>
    <t>SWEET POTATO X 1KG</t>
  </si>
  <si>
    <t>3796EA</t>
  </si>
  <si>
    <t>FENNEL BABY X 200G SP</t>
  </si>
  <si>
    <t>107AEA</t>
  </si>
  <si>
    <t>BABY RED BEETROOT 1 X 200G</t>
  </si>
  <si>
    <t>5539CS</t>
  </si>
  <si>
    <t>CHOPPED TOMATOES 6X2.5KG</t>
  </si>
  <si>
    <t>3390CS</t>
  </si>
  <si>
    <t>PLANTAIN RIPE  X18.14KGM</t>
  </si>
  <si>
    <t>6388EA</t>
  </si>
  <si>
    <t>ALPRO PRO SOYA MILK 1 LTR</t>
  </si>
  <si>
    <t>2623EA</t>
  </si>
  <si>
    <t>GRAPEFRUIT WHITE EACH  SP</t>
  </si>
  <si>
    <t>2924EA</t>
  </si>
  <si>
    <t>RAMBUTAN P/P 125GR       EA SP</t>
  </si>
  <si>
    <t>3440EA</t>
  </si>
  <si>
    <t>MICRO THAI BASIL 1 X 30G</t>
  </si>
  <si>
    <t>3243EA</t>
  </si>
  <si>
    <t>POTS SWEET WHITE FLESH X1KG SP</t>
  </si>
  <si>
    <t>3391EA</t>
  </si>
  <si>
    <t>PLANTAIN GREEN X 1KG SP</t>
  </si>
  <si>
    <t>3149EA</t>
  </si>
  <si>
    <t>LEEKS P-P 1KG</t>
  </si>
  <si>
    <t>770ACS</t>
  </si>
  <si>
    <t>SMOKED DORSET SEA SALT 1x500G</t>
  </si>
  <si>
    <t>3461EA</t>
  </si>
  <si>
    <t>ROCKET CRESS MICRO X 30G SP</t>
  </si>
  <si>
    <t>253ACS</t>
  </si>
  <si>
    <t>LAILA MANGO PULP 6x850G MOWGLI</t>
  </si>
  <si>
    <t>3194EA</t>
  </si>
  <si>
    <t>ONION BUTTON X 1KG SP</t>
  </si>
  <si>
    <t>3817CS</t>
  </si>
  <si>
    <t>COURGETTE BABY 6X 200G</t>
  </si>
  <si>
    <t>3433CS</t>
  </si>
  <si>
    <t>CHICORY RED 3KG</t>
  </si>
  <si>
    <t>6733EA</t>
  </si>
  <si>
    <t>CHEESE RICOTTA 1 X 250G</t>
  </si>
  <si>
    <t>5737CS</t>
  </si>
  <si>
    <t>HEINZ BAKED BEANS 6 X 2.62KG</t>
  </si>
  <si>
    <t>2321CS</t>
  </si>
  <si>
    <t>5731CS</t>
  </si>
  <si>
    <t>HONEY 6 X 720G</t>
  </si>
  <si>
    <t>535ACS</t>
  </si>
  <si>
    <t>COLMAN'S ENGLISH MUSTARD2X2.25</t>
  </si>
  <si>
    <t>3617EA</t>
  </si>
  <si>
    <t>CORIANDER CRESS   X 1 PUN SP</t>
  </si>
  <si>
    <t>872ACS</t>
  </si>
  <si>
    <t>HEINZ MAYO 10 LTR</t>
  </si>
  <si>
    <t>3777CS</t>
  </si>
  <si>
    <t>APPLE BLOSSOM X 4 X 1 PKT</t>
  </si>
  <si>
    <t>M129EA</t>
  </si>
  <si>
    <t>UNSMK RLESS BK BACON 45-55R X1</t>
  </si>
  <si>
    <t>7146EA</t>
  </si>
  <si>
    <t>BUFFALO MOZZARELLA 1 X 125G</t>
  </si>
  <si>
    <t>2854EA</t>
  </si>
  <si>
    <t>DESSERT PEARS 1 X 6</t>
  </si>
  <si>
    <t>3777EA</t>
  </si>
  <si>
    <t>APPLE BLOSSOM X 1 PKT SP</t>
  </si>
  <si>
    <t>5590CS</t>
  </si>
  <si>
    <t>AGRA GINGER CHICKEN MOWGLI</t>
  </si>
  <si>
    <t>5585CS</t>
  </si>
  <si>
    <t>HOUSE CHICKEN CURRY MOWGLI X10</t>
  </si>
  <si>
    <t>5584CS</t>
  </si>
  <si>
    <t>HOUSE LAMB CURRY MOWGLI X8</t>
  </si>
  <si>
    <t>5621CS</t>
  </si>
  <si>
    <t>RASPBERRY COMPOTE 4 X 1.25KG</t>
  </si>
  <si>
    <t>9397CS</t>
  </si>
  <si>
    <t>PITTED MARTINI OLIVES 2.5KG</t>
  </si>
  <si>
    <t>8903EA</t>
  </si>
  <si>
    <t>CASTER SUGAR 1 X 2KG</t>
  </si>
  <si>
    <t>876ACS</t>
  </si>
  <si>
    <t>GHERKINS KUHNE 9.7KG</t>
  </si>
  <si>
    <t>284ACS</t>
  </si>
  <si>
    <t>PRUNES PITTED 1X10KG</t>
  </si>
  <si>
    <t>293ACS</t>
  </si>
  <si>
    <t>CORNFLOUR 4x3KG (MOWGLI)</t>
  </si>
  <si>
    <t>3002EA</t>
  </si>
  <si>
    <t>FINGER CARROT 1 X 500G</t>
  </si>
  <si>
    <t>285ACS</t>
  </si>
  <si>
    <t>LYLE'S BLACK TREACLE 2X 7.25KG</t>
  </si>
  <si>
    <t>5580CS</t>
  </si>
  <si>
    <t>RHU&amp;GING GREEN DAHL MOWGLI X12</t>
  </si>
  <si>
    <t>5579CS</t>
  </si>
  <si>
    <t>TEMPLE DAHL MIX MOWGLI X 12</t>
  </si>
  <si>
    <t>767ACS</t>
  </si>
  <si>
    <t>NESCAFE COFFEE GRANULES 1x600G</t>
  </si>
  <si>
    <t>8909CS</t>
  </si>
  <si>
    <t>PASTA MACARONI 4 X 3KG</t>
  </si>
  <si>
    <t>3622EA</t>
  </si>
  <si>
    <t>CRESS SHISO RED X 1 PUN SP</t>
  </si>
  <si>
    <t>534ACS</t>
  </si>
  <si>
    <t>SOLID TINNED RHUBARB 6x2.82KG</t>
  </si>
  <si>
    <t>795ACS</t>
  </si>
  <si>
    <t>CAESAR DRESSING 6x1KG</t>
  </si>
  <si>
    <t>2365EA</t>
  </si>
  <si>
    <t>PREP DICED ONION 5MM 2KG</t>
  </si>
  <si>
    <t>4153CS</t>
  </si>
  <si>
    <t>BABY PLUM TOMS 4KG</t>
  </si>
  <si>
    <t>4151CS</t>
  </si>
  <si>
    <t>PEPPERS RED</t>
  </si>
  <si>
    <t>4267CS</t>
  </si>
  <si>
    <t>BANANA 1 X 30</t>
  </si>
  <si>
    <t>4018CS</t>
  </si>
  <si>
    <t>PREMIUM APPLES 1X20</t>
  </si>
  <si>
    <t>3232EA</t>
  </si>
  <si>
    <t>ONION RED P/P 60/80MM 1KG</t>
  </si>
  <si>
    <t>4149CS</t>
  </si>
  <si>
    <t>CUCUMBER X12</t>
  </si>
  <si>
    <t>4154CS</t>
  </si>
  <si>
    <t>TOMATOES B 6KG</t>
  </si>
  <si>
    <t>4147CS</t>
  </si>
  <si>
    <t>AVOCADO HASS X18</t>
  </si>
  <si>
    <t>PREP ONION WHITE SLICED 2.5KG</t>
  </si>
  <si>
    <t>765AEA</t>
  </si>
  <si>
    <t>COLESLAW MIX 1x500G</t>
  </si>
  <si>
    <t>5717CS</t>
  </si>
  <si>
    <t>OAT DRINK 6 X 1LTR</t>
  </si>
  <si>
    <t>1254EA</t>
  </si>
  <si>
    <t>PREP ONION DICED 5MM 1KG</t>
  </si>
  <si>
    <t>1441EA</t>
  </si>
  <si>
    <t>1256EA</t>
  </si>
  <si>
    <t>PREP DRY COLESLAW MIX REDONION</t>
  </si>
  <si>
    <t>1726EA</t>
  </si>
  <si>
    <t>2520CS</t>
  </si>
  <si>
    <t>APPLES RED X 12KG</t>
  </si>
  <si>
    <t>APPLES GALA DICED 15X15MM X3KG</t>
  </si>
  <si>
    <t>2290CS</t>
  </si>
  <si>
    <t>LOOSE UK ASPARAGUS 4KG</t>
  </si>
  <si>
    <t>BABY CANDY BEETROOT 6 X 200G</t>
  </si>
  <si>
    <t>TURNIP BABY 6 X 150G</t>
  </si>
  <si>
    <t>5198CS</t>
  </si>
  <si>
    <t>(R) BABY CAULIFLOWER</t>
  </si>
  <si>
    <t>3808EA</t>
  </si>
  <si>
    <t>BEETROOT BABY X 1 BUNCH SP</t>
  </si>
  <si>
    <t>3807EA</t>
  </si>
  <si>
    <t>BABY CANDIED BEETROOT X1 BUN</t>
  </si>
  <si>
    <t>3800EA</t>
  </si>
  <si>
    <t>BABY BUNCH GOLD BEETROOT  XBNC</t>
  </si>
  <si>
    <t>3798EA</t>
  </si>
  <si>
    <t>TURNIP BABY X 150G SP</t>
  </si>
  <si>
    <t>105AEA</t>
  </si>
  <si>
    <t>BABY CANDY BEETROOT 1 X 200G</t>
  </si>
  <si>
    <t>CARROT BABY    12 X BUNCH</t>
  </si>
  <si>
    <t>BABY CARROTS HERITAGE KG</t>
  </si>
  <si>
    <t>2853CS</t>
  </si>
  <si>
    <t>BANANA 18KG  PREMIUM</t>
  </si>
  <si>
    <t>FROZEN BROAD BEANS 10X1KG</t>
  </si>
  <si>
    <t>3204CS</t>
  </si>
  <si>
    <t>PEAS FRESH X4.5KG (S)</t>
  </si>
  <si>
    <t>3023CS</t>
  </si>
  <si>
    <t>BEANS HELDA   X4 KG</t>
  </si>
  <si>
    <t>3012CS</t>
  </si>
  <si>
    <t>BROAD BEANS X5KG</t>
  </si>
  <si>
    <t>F294EA</t>
  </si>
  <si>
    <t>FROZEN BROAD BEANS 1KG</t>
  </si>
  <si>
    <t>F225CS</t>
  </si>
  <si>
    <t>FZN EDAMAME BEANS 1X10KG</t>
  </si>
  <si>
    <t>7336CS</t>
  </si>
  <si>
    <t>FZN GOOSEBERRIES 10 X1KG</t>
  </si>
  <si>
    <t>7371EA</t>
  </si>
  <si>
    <t>***FZN STRAWBERRIES 1X1KG  SP</t>
  </si>
  <si>
    <t>7371CS</t>
  </si>
  <si>
    <t>FZN STRAWBERRIES 10X1KG</t>
  </si>
  <si>
    <t>F286CS</t>
  </si>
  <si>
    <t>FROZEN MIXED BERRY 10 X 1KG</t>
  </si>
  <si>
    <t>6117EA</t>
  </si>
  <si>
    <t>BREAD WHITE EXTRA THICK EA SP</t>
  </si>
  <si>
    <t>669ACS</t>
  </si>
  <si>
    <t>FZ MALTED SLICED BLOOMER BREAD</t>
  </si>
  <si>
    <t>379ACS</t>
  </si>
  <si>
    <t>FRENCH DOUCEUR BUTTER 40X250GR</t>
  </si>
  <si>
    <t>6302CS</t>
  </si>
  <si>
    <t>BUTTER SALTED    40 X250G</t>
  </si>
  <si>
    <t>877ACS</t>
  </si>
  <si>
    <t>PLANT BUTTER UNSALTED 20X250G</t>
  </si>
  <si>
    <t>090ACS</t>
  </si>
  <si>
    <t>GOLDEN SUMMER VEGAN SPREAD 2KG</t>
  </si>
  <si>
    <t>6398CS</t>
  </si>
  <si>
    <t>FLORA PORTION 100 X 10GR</t>
  </si>
  <si>
    <t>4484CS</t>
  </si>
  <si>
    <t>BABY PAK CHOI X 6KG</t>
  </si>
  <si>
    <t>CABBBAGE PINK1200KG</t>
  </si>
  <si>
    <t>953ACS</t>
  </si>
  <si>
    <t>CAVELO NERO X 5KG</t>
  </si>
  <si>
    <t>SPRING GREEN 10X500G</t>
  </si>
  <si>
    <t>3374CS</t>
  </si>
  <si>
    <t>BOK CHOI 2KG</t>
  </si>
  <si>
    <t>2495CS</t>
  </si>
  <si>
    <t>CARROTS PURPLE 5KG</t>
  </si>
  <si>
    <t>CARROTS YELLOW X 5KG</t>
  </si>
  <si>
    <t>702ACS</t>
  </si>
  <si>
    <t>DICED PANEER 5 X 500G</t>
  </si>
  <si>
    <t>6874CS</t>
  </si>
  <si>
    <t>STILTON WEDGE 12X220G</t>
  </si>
  <si>
    <t>057BCS</t>
  </si>
  <si>
    <t>HONESTLY BLU 1 X 100G</t>
  </si>
  <si>
    <t>1741CS</t>
  </si>
  <si>
    <t>BURRATA 8 X 125G</t>
  </si>
  <si>
    <t>5213CS</t>
  </si>
  <si>
    <t>FRESH VEAL STOCK 2X4KG</t>
  </si>
  <si>
    <t>5214CS</t>
  </si>
  <si>
    <t>FRESH LAMB STOCK 2X4KG</t>
  </si>
  <si>
    <t>S/FREE PINK GRAPEFRUIT SEG 2KG</t>
  </si>
  <si>
    <t>1833CS</t>
  </si>
  <si>
    <t>PREP FINE LEMON ZEST 1KG</t>
  </si>
  <si>
    <t>2650CS</t>
  </si>
  <si>
    <t>LEMONS X100/113</t>
  </si>
  <si>
    <t>633ACS</t>
  </si>
  <si>
    <t>PREMIUM EASY PEELER 1X10KG</t>
  </si>
  <si>
    <t>976ACS</t>
  </si>
  <si>
    <t>TKO CHIVES LOOSE 1KG</t>
  </si>
  <si>
    <t>2291CS</t>
  </si>
  <si>
    <t>CHUNKY TOMATO SALSA 1KG</t>
  </si>
  <si>
    <t>899ACS</t>
  </si>
  <si>
    <t>BLOCK PANEER 6x900G</t>
  </si>
  <si>
    <t>6569CS</t>
  </si>
  <si>
    <t>CHEESE  MASCAPONE 1X500G</t>
  </si>
  <si>
    <t>848ACS</t>
  </si>
  <si>
    <t>UK BURRATA X 2KG</t>
  </si>
  <si>
    <t>6589CS</t>
  </si>
  <si>
    <t>MOZZARELLA BOCCONCINI BALL 1Kg</t>
  </si>
  <si>
    <t>6733CS</t>
  </si>
  <si>
    <t>3617CS</t>
  </si>
  <si>
    <t>CORIANDER CRESS   X16PUN</t>
  </si>
  <si>
    <t>3633CS</t>
  </si>
  <si>
    <t>MICRO RED TOMBERRY 8 X 200GR</t>
  </si>
  <si>
    <t>3323CS</t>
  </si>
  <si>
    <t>POPCORN SHOOTS 8X30G</t>
  </si>
  <si>
    <t>3460CS</t>
  </si>
  <si>
    <t>BASIL RED CRESS MICRO  8  X30G</t>
  </si>
  <si>
    <t>3755CS</t>
  </si>
  <si>
    <t>MICRO CELERY CRESS 8 X 25G</t>
  </si>
  <si>
    <t>6388CS</t>
  </si>
  <si>
    <t>ALPRO PRO SOYA MILK 12X1LTR</t>
  </si>
  <si>
    <t>0430CS</t>
  </si>
  <si>
    <t>DIET COKE CAN 24 X 330M</t>
  </si>
  <si>
    <t>0360CS</t>
  </si>
  <si>
    <t>COCA COLA 24X330ML</t>
  </si>
  <si>
    <t>9253CS</t>
  </si>
  <si>
    <t>COKE ZERO 24X330ML</t>
  </si>
  <si>
    <t>2468CS</t>
  </si>
  <si>
    <t>COKE ZERO 12 X 500ML</t>
  </si>
  <si>
    <t>764ACS</t>
  </si>
  <si>
    <t>ORG BARISTA SOYA MILK 6x1LT</t>
  </si>
  <si>
    <t>3361EA</t>
  </si>
  <si>
    <t>SEA ASTER 1X100G</t>
  </si>
  <si>
    <t>2438CS</t>
  </si>
  <si>
    <t>15 DOZ MED GOLDEN YOLK EGGS</t>
  </si>
  <si>
    <t>6278CS</t>
  </si>
  <si>
    <t>EGGS FR 5DZN</t>
  </si>
  <si>
    <t>6298CS</t>
  </si>
  <si>
    <t>EGGS MEDIUM   x15 DOZEN</t>
  </si>
  <si>
    <t>6330CS</t>
  </si>
  <si>
    <t>EGGS FR MED 32X6</t>
  </si>
  <si>
    <t>6292CS</t>
  </si>
  <si>
    <t>QUAILS EGGS (12'S)</t>
  </si>
  <si>
    <t>6292EA</t>
  </si>
  <si>
    <t>QUAILS EGGS (12'S)  SP</t>
  </si>
  <si>
    <t>PINEAPPLE LARGE EA 1 X 7EA</t>
  </si>
  <si>
    <t>2931CS</t>
  </si>
  <si>
    <t>TAMARILLO  X 20 EA</t>
  </si>
  <si>
    <t>7800CS</t>
  </si>
  <si>
    <t>PASTA BUTTRNUT SQSH TORTELLINI</t>
  </si>
  <si>
    <t>7755CS</t>
  </si>
  <si>
    <t>RAVIOLONI WILD MUSHRM 4X500G</t>
  </si>
  <si>
    <t>P056CS</t>
  </si>
  <si>
    <t>GOAT CHEESE&amp;PUMPKIN TORTELINI</t>
  </si>
  <si>
    <t>P013CS</t>
  </si>
  <si>
    <t>PASTA PAPPARDELLE 2 X 1KG</t>
  </si>
  <si>
    <t>P016CS</t>
  </si>
  <si>
    <t>PASTA TAGLIATELLE 2 X 1KG</t>
  </si>
  <si>
    <t>P039CS</t>
  </si>
  <si>
    <t>RAVIOLI SPIN &amp; RICOTTA 4x500g</t>
  </si>
  <si>
    <t>P046CS</t>
  </si>
  <si>
    <t>GNOCHETTI FRESH EGG PASTA 5KG</t>
  </si>
  <si>
    <t>919ACS</t>
  </si>
  <si>
    <t>FZN U PEA&amp;MINT V ARANCINI 3X1K</t>
  </si>
  <si>
    <t>F292CS</t>
  </si>
  <si>
    <t>FROZEN HASH BROWNS 4 X 2.5KG</t>
  </si>
  <si>
    <t>2590CS</t>
  </si>
  <si>
    <t>DATES MEDJOOL  5KG</t>
  </si>
  <si>
    <t>5217CS</t>
  </si>
  <si>
    <t>(R) BLACK GARLIC X150G</t>
  </si>
  <si>
    <t>3111EA</t>
  </si>
  <si>
    <t>GARLIC LEAVES WILD X500G SP</t>
  </si>
  <si>
    <t>5085CS</t>
  </si>
  <si>
    <t>(R) SMOKED GARLIC STRING</t>
  </si>
  <si>
    <t>3118CS</t>
  </si>
  <si>
    <t>GARLIC STRING SMOKED X1CS</t>
  </si>
  <si>
    <t>GRAPES WHITE S/LESS 4.5KG</t>
  </si>
  <si>
    <t>005BCS</t>
  </si>
  <si>
    <t>PRE PLUCKED ROSEMARY X 1KG</t>
  </si>
  <si>
    <t>015BCS</t>
  </si>
  <si>
    <t>FLAT PARSLEY NO BANDS X 1KG</t>
  </si>
  <si>
    <t>014BCS</t>
  </si>
  <si>
    <t>CORIANDER NO BANDS X 1KG</t>
  </si>
  <si>
    <t>007BCS</t>
  </si>
  <si>
    <t>SAGE NO BANDS X 1KG</t>
  </si>
  <si>
    <t>006BCS</t>
  </si>
  <si>
    <t>OREGANO NO BANDS X 1KG</t>
  </si>
  <si>
    <t>3355EA</t>
  </si>
  <si>
    <t>MONKS BEARD 1 X 100G</t>
  </si>
  <si>
    <t>3967CS</t>
  </si>
  <si>
    <t>POT BASIL X6 EA</t>
  </si>
  <si>
    <t>889ACS</t>
  </si>
  <si>
    <t>HIPPO TOPS 2X200</t>
  </si>
  <si>
    <t>3708CS</t>
  </si>
  <si>
    <t>POT MIXED HERBS X6</t>
  </si>
  <si>
    <t>3729EA</t>
  </si>
  <si>
    <t>SEA FENNEL 1 X 50G</t>
  </si>
  <si>
    <t>3921EA</t>
  </si>
  <si>
    <t>MARJORAM X 100G SP</t>
  </si>
  <si>
    <t>3457EA</t>
  </si>
  <si>
    <t>FLAT LEAF PARSLEY MICROX30G SP</t>
  </si>
  <si>
    <t>3752EA</t>
  </si>
  <si>
    <t>BRONZE FENNEL 1 X 20G</t>
  </si>
  <si>
    <t>3752CS</t>
  </si>
  <si>
    <t>BRONZE FENNEL 8 X 20G</t>
  </si>
  <si>
    <t>440ACS</t>
  </si>
  <si>
    <t>GERANIUM FLOWERS 1X7GR</t>
  </si>
  <si>
    <t>234AEA</t>
  </si>
  <si>
    <t>MARIGOLD FLOWERS 1 X 15GR</t>
  </si>
  <si>
    <t>878ACS</t>
  </si>
  <si>
    <t>SUNFLOWER SHOOTS 4x100G</t>
  </si>
  <si>
    <t>711ACS</t>
  </si>
  <si>
    <t>ZANE TOM PASTE 4x4.55KG MOWGLI</t>
  </si>
  <si>
    <t>8402CS</t>
  </si>
  <si>
    <t>MAYONNAISE GENUINE 10LTR</t>
  </si>
  <si>
    <t>926ACS</t>
  </si>
  <si>
    <t>LEMON OIL 6 X 250ML</t>
  </si>
  <si>
    <t>7286CS</t>
  </si>
  <si>
    <t>VEGETABLE STOCK (ESSENTIAL)x2</t>
  </si>
  <si>
    <t>316ACS</t>
  </si>
  <si>
    <t>CORIANDER OIL 6 X 250ML</t>
  </si>
  <si>
    <t>620ACS</t>
  </si>
  <si>
    <t>BEEF JUS 6 X 1LT</t>
  </si>
  <si>
    <t>363ACS</t>
  </si>
  <si>
    <t>VIOLIFE VEGAN BUTTER 10 X 250G</t>
  </si>
  <si>
    <t>021BCS</t>
  </si>
  <si>
    <t>DIJON MUSTARD 1 X 1KG</t>
  </si>
  <si>
    <t>945ACS</t>
  </si>
  <si>
    <t>OTTCHOC DESSERT SAUCE 6x500G</t>
  </si>
  <si>
    <t>5785CS</t>
  </si>
  <si>
    <t>AROMATIC STOCK BASE 2 X 1KG</t>
  </si>
  <si>
    <t>5250CS</t>
  </si>
  <si>
    <t>MASTER STOCK BASE 2 X 1KG</t>
  </si>
  <si>
    <t>3368EA</t>
  </si>
  <si>
    <t>BRONZE FENNEL  1X50G</t>
  </si>
  <si>
    <t>5557EA</t>
  </si>
  <si>
    <t>CLARKS MAPLE FLAVOUR SYRUP X 1</t>
  </si>
  <si>
    <t>766ACS</t>
  </si>
  <si>
    <t>TETLEY TEA BAGS 2x1100 PCS</t>
  </si>
  <si>
    <t>874ACS</t>
  </si>
  <si>
    <t>HELLMANNS VEGAN MAYO 2.62LTR</t>
  </si>
  <si>
    <t>5856CS</t>
  </si>
  <si>
    <t>SLICED DILL PICKLES 4 X 2.45KG</t>
  </si>
  <si>
    <t>376ACS</t>
  </si>
  <si>
    <t>WHOLE NUTMEG 12 X 250GR</t>
  </si>
  <si>
    <t>3860EA</t>
  </si>
  <si>
    <t>DIANTHUS FLOWERS 1 X 8G</t>
  </si>
  <si>
    <t>974ACS</t>
  </si>
  <si>
    <t>TKO PREP ROCKET 2 X 500G</t>
  </si>
  <si>
    <t>022BCS</t>
  </si>
  <si>
    <t>WASH MIXED BABYLEAF 4 X 250G</t>
  </si>
  <si>
    <t>F309EA</t>
  </si>
  <si>
    <t>FZN KAFIR LIME LEAVES 1X100G</t>
  </si>
  <si>
    <t>3778CS</t>
  </si>
  <si>
    <t>OYSTER LEAVES   4 X 1 PKT</t>
  </si>
  <si>
    <t>428ACS</t>
  </si>
  <si>
    <t>APPLE MARIGOLD LEAVES 8X20GR</t>
  </si>
  <si>
    <t>443AEA</t>
  </si>
  <si>
    <t>BUCKLER SORREL 1X15GR</t>
  </si>
  <si>
    <t>428AEA</t>
  </si>
  <si>
    <t>APPLE MARIGOLD LEAVES 1X20GR</t>
  </si>
  <si>
    <t>3778EA</t>
  </si>
  <si>
    <t>OYSTER LEAVES   1 PKT SP</t>
  </si>
  <si>
    <t>3301EA</t>
  </si>
  <si>
    <t>SWISS CHARD X1KG</t>
  </si>
  <si>
    <t>3257CS</t>
  </si>
  <si>
    <t>ROMANESCO   X8EA</t>
  </si>
  <si>
    <t>3257EA</t>
  </si>
  <si>
    <t>ROMANESCO X 1 EA SP</t>
  </si>
  <si>
    <t>3536CS</t>
  </si>
  <si>
    <t>LETTUCE ICEBERG 1 X 12</t>
  </si>
  <si>
    <t>8356CS</t>
  </si>
  <si>
    <t>CRANBERRY JUICE TETRAPAK 12X1L</t>
  </si>
  <si>
    <t>5871CS</t>
  </si>
  <si>
    <t>PREM GF BEEF BURGER 4 X 8X113G</t>
  </si>
  <si>
    <t>5840CS</t>
  </si>
  <si>
    <t>SEMI SKIMMED MILK 4 X 2L</t>
  </si>
  <si>
    <t>5838CS</t>
  </si>
  <si>
    <t>MILK WHOLE 4 X 2L</t>
  </si>
  <si>
    <t>1733CS</t>
  </si>
  <si>
    <t>ORGANIC WHOLE MILK 6 X 2LTR</t>
  </si>
  <si>
    <t>6288CS</t>
  </si>
  <si>
    <t>BUTTERMILK   X5LTR</t>
  </si>
  <si>
    <t>053BCS</t>
  </si>
  <si>
    <t>ED UNSALTED BUTTER 20X250G</t>
  </si>
  <si>
    <t>6165CS</t>
  </si>
  <si>
    <t>CLOTTED CREAM 1L</t>
  </si>
  <si>
    <t>1734CS</t>
  </si>
  <si>
    <t>ORGANIC SKIMMED MILK 6 X 2LTR</t>
  </si>
  <si>
    <t>6179CS</t>
  </si>
  <si>
    <t>CREME FRAICHE 1KG</t>
  </si>
  <si>
    <t>6178CS</t>
  </si>
  <si>
    <t>CREME FRAICHE  2KG</t>
  </si>
  <si>
    <t>7128CS</t>
  </si>
  <si>
    <t>SEMI SKIMMED MILK ORGANIC 6X2L</t>
  </si>
  <si>
    <t>6013CS</t>
  </si>
  <si>
    <t>BUTTERMILK 1X1 LTR</t>
  </si>
  <si>
    <t>MUSHROOM BUTTON 30-40M 3KG</t>
  </si>
  <si>
    <t>MUSHROOM CHESTNUT 35-45M 3KG</t>
  </si>
  <si>
    <t>3881CS</t>
  </si>
  <si>
    <t>MIATAKE MUSHROOM X 1KG</t>
  </si>
  <si>
    <t>3877CS</t>
  </si>
  <si>
    <t>SHIMENJI BROWN 20 X 150G</t>
  </si>
  <si>
    <t>7054CS</t>
  </si>
  <si>
    <t>FZN GIROLLES 1x1KG</t>
  </si>
  <si>
    <t>SPRING ONIONS X 14 BUNCH</t>
  </si>
  <si>
    <t>ONION BUTTON   X5KG</t>
  </si>
  <si>
    <t>3560CS</t>
  </si>
  <si>
    <t>MINI RED PEPPERS X1KG</t>
  </si>
  <si>
    <t>052BCS</t>
  </si>
  <si>
    <t>TIN SLICED JALAPENO 6 X 2.85KG</t>
  </si>
  <si>
    <t>GREEN PEPPER 10 X 1KG</t>
  </si>
  <si>
    <t>F304CS</t>
  </si>
  <si>
    <t>AVIKO S/OFF CHIPS 9.5M 4x2.27K</t>
  </si>
  <si>
    <t>BF PEELED POTATO X 5KG</t>
  </si>
  <si>
    <t>2977CS</t>
  </si>
  <si>
    <t>PURPLE SWEET POTATO 1 X 6KG</t>
  </si>
  <si>
    <t>POTATO - MIDS 35-45MM X 10KG</t>
  </si>
  <si>
    <t>360ACS</t>
  </si>
  <si>
    <t>FRZ PUNJABI SAMOSAS 12 X 10</t>
  </si>
  <si>
    <t>922ACS</t>
  </si>
  <si>
    <t>UGO GF GNOCCHI 6 X 350G</t>
  </si>
  <si>
    <t>6313CS</t>
  </si>
  <si>
    <t>CREAM CHEESE REDUCED FAT 2KG</t>
  </si>
  <si>
    <t>F230EA</t>
  </si>
  <si>
    <t>FZN PASSION FRUIT BOIRON 1X1KG</t>
  </si>
  <si>
    <t>F237EA</t>
  </si>
  <si>
    <t>FZN WHITE PEACH BOIRON 1 X 1KG</t>
  </si>
  <si>
    <t>F234EA</t>
  </si>
  <si>
    <t>FZN BLACK CHERRY BOIRON 1 X1KG</t>
  </si>
  <si>
    <t>F269EA</t>
  </si>
  <si>
    <t>BLACKCURRANT BOIRON 1 X 1KG</t>
  </si>
  <si>
    <t>F258EA</t>
  </si>
  <si>
    <t>LEMON BOIRON 1 X 1KG</t>
  </si>
  <si>
    <t>F229EA</t>
  </si>
  <si>
    <t>FZN MANGO BOIRON 1 X 1KG</t>
  </si>
  <si>
    <t>F228EA</t>
  </si>
  <si>
    <t>FZN RASPBERRY BOIRON 1 X 1KG</t>
  </si>
  <si>
    <t>3020EA</t>
  </si>
  <si>
    <t>CELERIAC 1X1 (Bagged)</t>
  </si>
  <si>
    <t>WHOLE PEELED KOHL RABI X 2KG</t>
  </si>
  <si>
    <t>MOOLI 20 X 400G</t>
  </si>
  <si>
    <t>1522EA</t>
  </si>
  <si>
    <t>STIRFRY MIX WITH KALE 1 X 500G</t>
  </si>
  <si>
    <t>3585CS</t>
  </si>
  <si>
    <t>CHILLIE RED THIN BIRDSEYE 1.5K</t>
  </si>
  <si>
    <t>3713CS</t>
  </si>
  <si>
    <t>DANDELION     20 X 100G</t>
  </si>
  <si>
    <t>3482EA</t>
  </si>
  <si>
    <t>TAGETE FLOWERS 1 X 8G</t>
  </si>
  <si>
    <t>9649EA</t>
  </si>
  <si>
    <t>BORAGE CRESS 1X30G</t>
  </si>
  <si>
    <t>3327CS</t>
  </si>
  <si>
    <t>BLUE PEPE NASTURTIUM LEAF 8X20</t>
  </si>
  <si>
    <t>CELERY 1 X 12</t>
  </si>
  <si>
    <t>3423CS</t>
  </si>
  <si>
    <t>BEANSHOOTS P/P    12 X 350G</t>
  </si>
  <si>
    <t>1668CS</t>
  </si>
  <si>
    <t>MICRO LEMON VERBENA 8 X 15G</t>
  </si>
  <si>
    <t>6314CS</t>
  </si>
  <si>
    <t>SOFT CHEESE FULL FAT 1 X 2KG</t>
  </si>
  <si>
    <t>6315CS</t>
  </si>
  <si>
    <t>COTTAGE CHEESE 2KG</t>
  </si>
  <si>
    <t>040BEA</t>
  </si>
  <si>
    <t>CHEESE APPLEWOOD SMK 1X1.5KG</t>
  </si>
  <si>
    <t>PROCESSING LEEKS BIN KG</t>
  </si>
  <si>
    <t>3836EA</t>
  </si>
  <si>
    <t>PATTI PANS GREEN X 200G SP</t>
  </si>
  <si>
    <t>3836CS</t>
  </si>
  <si>
    <t>PATTI PANS GREEN  6 X 200G</t>
  </si>
  <si>
    <t>2805CS</t>
  </si>
  <si>
    <t>PLUMS DESSERT P/P   10X1 KG</t>
  </si>
  <si>
    <t>BEEF TOMATO 1 X 7KG</t>
  </si>
  <si>
    <t>BEEF TOMATO SLICED 5MM 1x2KG</t>
  </si>
  <si>
    <t>784ACS</t>
  </si>
  <si>
    <t>OX HEART TOMATOES BOX 3KG</t>
  </si>
  <si>
    <t>016ACS</t>
  </si>
  <si>
    <t>RICH VEG - PREMIER JUS 2X1KG</t>
  </si>
  <si>
    <t>3897CS</t>
  </si>
  <si>
    <t>TRUFFLES FRESH 100G</t>
  </si>
  <si>
    <t>GLOBE ARTICHOKE 16X1</t>
  </si>
  <si>
    <t>017BCS</t>
  </si>
  <si>
    <t>SPRING GREEN X 5KG</t>
  </si>
  <si>
    <t>3685EA</t>
  </si>
  <si>
    <t>RED BUTTERFLY SORREL 1 X 20G</t>
  </si>
  <si>
    <t>3259EA</t>
  </si>
  <si>
    <t>SALSIFY X 1KG SP</t>
  </si>
  <si>
    <t>3736CS</t>
  </si>
  <si>
    <t>SALTY FINGERS 8 X 60G</t>
  </si>
  <si>
    <t>7034EA</t>
  </si>
  <si>
    <t>FZN CORN KERNALS 1KG</t>
  </si>
  <si>
    <t>7034CS</t>
  </si>
  <si>
    <t>FZN CORN KERNALS  10X1KG</t>
  </si>
  <si>
    <t>STILL WATER PET 24X500ML</t>
  </si>
  <si>
    <t>775ACS</t>
  </si>
  <si>
    <t>RE:WATER STILL 24x500ML</t>
  </si>
  <si>
    <t>557ACS</t>
  </si>
  <si>
    <t>ALOE VERA WATER 12 X 500ML</t>
  </si>
  <si>
    <t>6322CS</t>
  </si>
  <si>
    <t>YOGURT STIRRED NAT LOWFAT X5KG</t>
  </si>
  <si>
    <t>7052CS</t>
  </si>
  <si>
    <t>MIXED LOW FAT YOGURT 12 X 115G</t>
  </si>
  <si>
    <t>6374CS</t>
  </si>
  <si>
    <t>THICK CREAMY FRUIT YOG 12X125G</t>
  </si>
  <si>
    <t>6344CS</t>
  </si>
  <si>
    <t>NATURAL LOW FAT YOGHURT 12X125</t>
  </si>
  <si>
    <t>7192CS</t>
  </si>
  <si>
    <t>YOGURT GREEK STYLE 6 X 450G</t>
  </si>
  <si>
    <t>7192EA</t>
  </si>
  <si>
    <t>YOGURT GREEK STYLE 1 X 450G</t>
  </si>
  <si>
    <t>1174EA</t>
  </si>
  <si>
    <t>PREP CARROTS GRATED 1 X 1KG</t>
  </si>
  <si>
    <t>4150CS</t>
  </si>
  <si>
    <t>MUSTARD CRESS 4XPUNS</t>
  </si>
  <si>
    <t>3819CS</t>
  </si>
  <si>
    <t>COURGETTE FLOWERS  15 X 1EA</t>
  </si>
  <si>
    <t>040BCS</t>
  </si>
  <si>
    <t>CHEESE APPLEWOOD SMK 4X1.5KG</t>
  </si>
  <si>
    <t>962ACS</t>
  </si>
  <si>
    <t>HONESTLY TASTY SHAMEMBERT 160G</t>
  </si>
  <si>
    <t>6549CS</t>
  </si>
  <si>
    <t>RED LEICESTER 1X3.25KG</t>
  </si>
  <si>
    <t>PREP ONION DICED 5MM 2.5KG</t>
  </si>
  <si>
    <t>959ACS</t>
  </si>
  <si>
    <t>BABY PLUM MIXED 75/25 1 X 4KG</t>
  </si>
  <si>
    <t>8259CS</t>
  </si>
  <si>
    <t>HEINZ TOMATO KETCHUP 10 X 342G</t>
  </si>
  <si>
    <t>870ACS</t>
  </si>
  <si>
    <t>UK FRANKS REDHOT (NG) 4x3.78L</t>
  </si>
  <si>
    <t>5251CS</t>
  </si>
  <si>
    <t>MISO BROTH BASE 2 X 1KG</t>
  </si>
  <si>
    <t>4313CS</t>
  </si>
  <si>
    <t>WHOLE GRN TOMATILLOS 6 X 2.8KG</t>
  </si>
  <si>
    <t>116ACS</t>
  </si>
  <si>
    <t>NUTELLA 1 X 3KG</t>
  </si>
  <si>
    <t>386ACS</t>
  </si>
  <si>
    <t>FRIBEST BEEF DRIPPING 1X20KG</t>
  </si>
  <si>
    <t>115ACS</t>
  </si>
  <si>
    <t>CHOCOLATE FUDGE CAKE 1X960G(F)</t>
  </si>
  <si>
    <t>373ACS</t>
  </si>
  <si>
    <t>DEMERARA SUGAR 1 X 3KG</t>
  </si>
  <si>
    <t>398ACS</t>
  </si>
  <si>
    <t>APPLE CIDER VINEGAR 6 X 500ML</t>
  </si>
  <si>
    <t>5588CS</t>
  </si>
  <si>
    <t>CALCUTTA TANGLED GREENS MOWGLI</t>
  </si>
  <si>
    <t>5581CS</t>
  </si>
  <si>
    <t>PICNIC POTATO CURRY MOWGLI X15</t>
  </si>
  <si>
    <t>611ACS</t>
  </si>
  <si>
    <t>CHICKEN GLAZE 4X600G</t>
  </si>
  <si>
    <t>5583CS</t>
  </si>
  <si>
    <t>KEEMA MOWGLI X 6</t>
  </si>
  <si>
    <t>5582CS</t>
  </si>
  <si>
    <t>PANEER SPICE MIX (MOWGLI)  X 2</t>
  </si>
  <si>
    <t>4434CS</t>
  </si>
  <si>
    <t>AGAVE SYRUP 12 X 250G</t>
  </si>
  <si>
    <t>3461CS</t>
  </si>
  <si>
    <t>ROCKET CRESS MICRO  8 X30G</t>
  </si>
  <si>
    <t>792ACS</t>
  </si>
  <si>
    <t>BOLOGNESE SAUCE 4x2KG</t>
  </si>
  <si>
    <t>3804CS</t>
  </si>
  <si>
    <t>AUBERGINE BABY  X2KG</t>
  </si>
  <si>
    <t>6262CS</t>
  </si>
  <si>
    <t>MILK WHOLE  10 X568ML</t>
  </si>
  <si>
    <t>3444EA</t>
  </si>
  <si>
    <t>MICRO THYME 1 X 30G</t>
  </si>
  <si>
    <t>5589CS</t>
  </si>
  <si>
    <t>AUNTIE G'S PRAWN CURRY MOWGLI</t>
  </si>
  <si>
    <t>749ACS</t>
  </si>
  <si>
    <t>MILK WHOLE 10 X 1LT</t>
  </si>
  <si>
    <t>033BCS</t>
  </si>
  <si>
    <t>TILDA BASMATI RICE 20KG</t>
  </si>
  <si>
    <t>3755EA</t>
  </si>
  <si>
    <t>MICRO CELERY CRESS 1 X 25G</t>
  </si>
  <si>
    <t>9631CS</t>
  </si>
  <si>
    <t>HEINZ TOMATO KETCHUP 2 X 4KG</t>
  </si>
  <si>
    <t>HORSERADISH FRESH   X10 STICK</t>
  </si>
  <si>
    <t>707ACS</t>
  </si>
  <si>
    <t>DATE MOLASSES 25KG</t>
  </si>
  <si>
    <t>873ACS</t>
  </si>
  <si>
    <t>HEINZ MAYO 10 X 220ML</t>
  </si>
  <si>
    <t>325AEA</t>
  </si>
  <si>
    <t>ICING SUGAR 1 X 3KG</t>
  </si>
  <si>
    <t>079ACS</t>
  </si>
  <si>
    <t>KINDER BUENO 1 X 30</t>
  </si>
  <si>
    <t>5389CS</t>
  </si>
  <si>
    <t>MUTTI PIZZA SAUCE 3 X 4.1KG</t>
  </si>
  <si>
    <t>3128EA</t>
  </si>
  <si>
    <t>HORSERADISH FRESH X1 STICK SP</t>
  </si>
  <si>
    <t>GRAPEFRUIT WHITE X40EA</t>
  </si>
  <si>
    <t>8844CS</t>
  </si>
  <si>
    <t>SUPERIOR BEEF DRIPPING 4X5KG</t>
  </si>
  <si>
    <t>8903CS</t>
  </si>
  <si>
    <t>CASTER SUGAR 6 X 2KG</t>
  </si>
  <si>
    <t>106AEA</t>
  </si>
  <si>
    <t>BABY GOLDEN BEETROOT 1 X 200G</t>
  </si>
  <si>
    <t>2839CS</t>
  </si>
  <si>
    <t>STRAWBERRIES    12 X 400G</t>
  </si>
  <si>
    <t>9461CS</t>
  </si>
  <si>
    <t>MIXED PITTED OLIVES X 2.5KG</t>
  </si>
  <si>
    <t>769ACS</t>
  </si>
  <si>
    <t>DORSET SEA SALT 1 X 1KG</t>
  </si>
  <si>
    <t>BEETROOT JUICE 1X1LT</t>
  </si>
  <si>
    <t>762AEA</t>
  </si>
  <si>
    <t>MONTERAY JACK SLICED 1x1KG</t>
  </si>
  <si>
    <t>532ACS</t>
  </si>
  <si>
    <t>RED PEP &amp; JALAP HUMMUS 1KG</t>
  </si>
  <si>
    <t>793ACS</t>
  </si>
  <si>
    <t>GRAVY SAUCE 4x2KG</t>
  </si>
  <si>
    <t>748ACS</t>
  </si>
  <si>
    <t>MILK SKIMMED 10 X 1LT</t>
  </si>
  <si>
    <t>5738CS</t>
  </si>
  <si>
    <t>HEINZ TOMATO KETCHUP 2X2.15LTR</t>
  </si>
  <si>
    <t>9585CS</t>
  </si>
  <si>
    <t>PUCCIA PANINI 1 X 40 PCS</t>
  </si>
  <si>
    <t>273ACS</t>
  </si>
  <si>
    <t>ELEPHANT CHAPATTIS 12X360GR</t>
  </si>
  <si>
    <t>4201CS</t>
  </si>
  <si>
    <t>VACPAK CHESTNUT 12 X 400G</t>
  </si>
  <si>
    <t>6500EA</t>
  </si>
  <si>
    <t>CHEESE APPLEWOOD SMOKED 1.5KG</t>
  </si>
  <si>
    <t>4201EA</t>
  </si>
  <si>
    <t>VACPAK CHESTNUT 1 X 400G</t>
  </si>
  <si>
    <t>6326EA</t>
  </si>
  <si>
    <t>EGG WHOLE PASTURISED X 1KG SP</t>
  </si>
  <si>
    <t>GRANNY SMITH X 125/138</t>
  </si>
  <si>
    <t>768AEA</t>
  </si>
  <si>
    <t>CRACKED BLACK PEPPER 1x1KG</t>
  </si>
  <si>
    <t>727ACS</t>
  </si>
  <si>
    <t>LIQUID EGG YOLK BARN 8x1KG</t>
  </si>
  <si>
    <t>3781EA</t>
  </si>
  <si>
    <t>SEA BEET 1 X 100G</t>
  </si>
  <si>
    <t>2917EA</t>
  </si>
  <si>
    <t>PITAHAYA RED SKIN X 1 EA SP</t>
  </si>
  <si>
    <t>921ACS</t>
  </si>
  <si>
    <t>UGO TOM&amp; BASIL FOCACCIA 6x210G</t>
  </si>
  <si>
    <t>361ACS</t>
  </si>
  <si>
    <t>SUNDRIED TOM IN OIL 6 X 750G</t>
  </si>
  <si>
    <t>3772EA</t>
  </si>
  <si>
    <t>CHIVES FLOWERING X1 PKT SP</t>
  </si>
  <si>
    <t>3772CS</t>
  </si>
  <si>
    <t>3906CS</t>
  </si>
  <si>
    <t>BASIL ASIAN SWEET X1 BUNCH</t>
  </si>
  <si>
    <t>5618EA</t>
  </si>
  <si>
    <t>ALPRO COCONUT YOGHURT 1X500G</t>
  </si>
  <si>
    <t>8644CS</t>
  </si>
  <si>
    <t>OIL WHITE TRUFFLE 250ML</t>
  </si>
  <si>
    <t>3454CS</t>
  </si>
  <si>
    <t>BASIL CRESS MICRO  8 X 30G</t>
  </si>
  <si>
    <t>6132EA</t>
  </si>
  <si>
    <t>BREAD MALTED WHEATGRAIN XEA SP</t>
  </si>
  <si>
    <t>3365CS</t>
  </si>
  <si>
    <t>SEA PURSLANE 8X50G</t>
  </si>
  <si>
    <t>8595EA</t>
  </si>
  <si>
    <t>OLIVES BLACK PITTED TIN 1X4.1K</t>
  </si>
  <si>
    <t>2850CS</t>
  </si>
  <si>
    <t>EASYPEELERS 5 X 20</t>
  </si>
  <si>
    <t>3197EA</t>
  </si>
  <si>
    <t>ONION RED P/P 1KG SP</t>
  </si>
  <si>
    <t>3459EA</t>
  </si>
  <si>
    <t>MICRO RED MUSTARD FRIL X30G SP</t>
  </si>
  <si>
    <t>301ACS</t>
  </si>
  <si>
    <t>EGG WHITE PASTAURISED 6 X 1KG</t>
  </si>
  <si>
    <t>5375CS</t>
  </si>
  <si>
    <t>BAKING POTATO PREMIUM x40 BOX</t>
  </si>
  <si>
    <t>3365EA</t>
  </si>
  <si>
    <t>SEA PURSLANE  1X50G</t>
  </si>
  <si>
    <t>296AEA</t>
  </si>
  <si>
    <t>PANCH PURAN 1X1KG (MOWGLI)</t>
  </si>
  <si>
    <t>3469EA</t>
  </si>
  <si>
    <t>MICRO GARLIC CHIVES 30GR SP</t>
  </si>
  <si>
    <t>3326CS</t>
  </si>
  <si>
    <t>ALASKAN NASTURTIUM LEAF 8X20G</t>
  </si>
  <si>
    <t>299ACS</t>
  </si>
  <si>
    <t>EGG YOLK PASTAURISED 6 X 1KG</t>
  </si>
  <si>
    <t>6275CS</t>
  </si>
  <si>
    <t>MILK-SKIMMED   10 X568ML</t>
  </si>
  <si>
    <t>7453EA</t>
  </si>
  <si>
    <t>FRESHBURST YUZU PEARLS 1 X100G</t>
  </si>
  <si>
    <t>419ACS</t>
  </si>
  <si>
    <t>SALAME VENTRICINA 1X500GR</t>
  </si>
  <si>
    <t>3481EA</t>
  </si>
  <si>
    <t>BORAGE FLOWERS 1 X 5G</t>
  </si>
  <si>
    <t>8368CS</t>
  </si>
  <si>
    <t>WATER SPARKLING GLASS 24X330M</t>
  </si>
  <si>
    <t>726ACS</t>
  </si>
  <si>
    <t>LIQUID EGG WHITE BARN 8x1KG</t>
  </si>
  <si>
    <t>3776CS</t>
  </si>
  <si>
    <t>RED VEINED SORREL 8 X 20G</t>
  </si>
  <si>
    <t>8369CS</t>
  </si>
  <si>
    <t>WATER STILL GLASS  12 X 750ML</t>
  </si>
  <si>
    <t>3870EA</t>
  </si>
  <si>
    <t>TROMPETTE DRIED X500G SP</t>
  </si>
  <si>
    <t>3327EA</t>
  </si>
  <si>
    <t>BLUE PEPE NASTURTIUM 1 X 20G</t>
  </si>
  <si>
    <t>3108EA</t>
  </si>
  <si>
    <t>GARLIC STRING X 1 EA SP</t>
  </si>
  <si>
    <t>796AEA</t>
  </si>
  <si>
    <t>HIMALAYEN PINK SALT 1x350G</t>
  </si>
  <si>
    <t>3288EA</t>
  </si>
  <si>
    <t>TURNIPS XKILO SP</t>
  </si>
  <si>
    <t>3455EA</t>
  </si>
  <si>
    <t>PEASHOOT CRESS MICRO X 30G SP</t>
  </si>
  <si>
    <t>3154EA</t>
  </si>
  <si>
    <t>MUSHROOM BUTTON P/P X 500G SP</t>
  </si>
  <si>
    <t>5658CS</t>
  </si>
  <si>
    <t>VIOLIFE VEGAN SPREAD 8 X 200G</t>
  </si>
  <si>
    <t>3397EA</t>
  </si>
  <si>
    <t>MICRO MINT CRESS 1 X 20G</t>
  </si>
  <si>
    <t>3589EA</t>
  </si>
  <si>
    <t>CHILLIES GRN BIRD EYE 250G SP</t>
  </si>
  <si>
    <t>7480EA</t>
  </si>
  <si>
    <t>FZN PEACH PUREE 1KG</t>
  </si>
  <si>
    <t>2914CS</t>
  </si>
  <si>
    <t>PHYSALIS  12 X 1 PACKET</t>
  </si>
  <si>
    <t>8370CS</t>
  </si>
  <si>
    <t>WATER SPARKLING GLASS 12X750M</t>
  </si>
  <si>
    <t>905ACS</t>
  </si>
  <si>
    <t>TORTILLAS 10 X 10 X 12IN</t>
  </si>
  <si>
    <t>879ACS</t>
  </si>
  <si>
    <t>RICE FLOUR 3 X 5KG</t>
  </si>
  <si>
    <t>3397CS</t>
  </si>
  <si>
    <t>MICRO MINT CRESS 8 X 20G</t>
  </si>
  <si>
    <t>7143EA</t>
  </si>
  <si>
    <t>CAMEMBERT INDIVIDUAL 1 X 250G</t>
  </si>
  <si>
    <t>POTS BLACK TRUFFLE  X5KG</t>
  </si>
  <si>
    <t>7780CS</t>
  </si>
  <si>
    <t>PASTA GNOCCHI POTATO FSH 1KG</t>
  </si>
  <si>
    <t>P038CS</t>
  </si>
  <si>
    <t>TORTELLI CRAB &amp; LOBSTER x2KG</t>
  </si>
  <si>
    <t>2584EA</t>
  </si>
  <si>
    <t>COCONUTS EACH SP</t>
  </si>
  <si>
    <t>3917EA</t>
  </si>
  <si>
    <t>LOVAGE X 100G SP</t>
  </si>
  <si>
    <t>255ACS</t>
  </si>
  <si>
    <t>CREAMED COCOUNT 40X200GR</t>
  </si>
  <si>
    <t>269ACS</t>
  </si>
  <si>
    <t>CHILLI PICKLE 4X4KG (MOWGLI)</t>
  </si>
  <si>
    <t>6117CS</t>
  </si>
  <si>
    <t>BREAD WHITE EXTRA THICK X6 EA</t>
  </si>
  <si>
    <t>M129CS</t>
  </si>
  <si>
    <t>UNSMKED RLESS BK BACON 4X2.27</t>
  </si>
  <si>
    <t>7055EA</t>
  </si>
  <si>
    <t>GRANA PADANO WEDGE 1 X 1KG</t>
  </si>
  <si>
    <t>2914EA</t>
  </si>
  <si>
    <t>PHYSALIS X 1 PACKET SP</t>
  </si>
  <si>
    <t>3326EA</t>
  </si>
  <si>
    <t>ALASKAN NASTURTIUM LEAF 1X20G</t>
  </si>
  <si>
    <t>868AEA</t>
  </si>
  <si>
    <t>LF SHAVED VEG HARD CHEESE 1KG</t>
  </si>
  <si>
    <t>3622CS</t>
  </si>
  <si>
    <t>CRESS SHISO RED   X16PUN</t>
  </si>
  <si>
    <t>259AEA</t>
  </si>
  <si>
    <t>HEERA DRIED WHOLE CHILLI 1X1KG</t>
  </si>
  <si>
    <t>7115CS</t>
  </si>
  <si>
    <t>ALPRO COCONUT MILK PROF 12X1L</t>
  </si>
  <si>
    <t>3263EA</t>
  </si>
  <si>
    <t>SHALLOTS ROUND X 500G SP</t>
  </si>
  <si>
    <t>3465EA</t>
  </si>
  <si>
    <t>FENNEL CRESS MICRO SLD 30G SP</t>
  </si>
  <si>
    <t>037AEA</t>
  </si>
  <si>
    <t>TOASTED 4 SEED MIX 1 X 450GM</t>
  </si>
  <si>
    <t>2749EA</t>
  </si>
  <si>
    <t>PAPAYA P/P X1 EA SP</t>
  </si>
  <si>
    <t>8482EA</t>
  </si>
  <si>
    <t>ROSE HARISSA PASTE 1XKG SP</t>
  </si>
  <si>
    <t>6328EA</t>
  </si>
  <si>
    <t>EGG WHITE PASTURISED   X1KG SP</t>
  </si>
  <si>
    <t>727AEA</t>
  </si>
  <si>
    <t>LIQUID EGG YOLK BARN 1x1KG</t>
  </si>
  <si>
    <t>3748CS</t>
  </si>
  <si>
    <t>LAVENDER DRIED X BUNCH</t>
  </si>
  <si>
    <t>8011CS</t>
  </si>
  <si>
    <t>PUMPKIN SEEDS 1X1KG</t>
  </si>
  <si>
    <t>6265CS</t>
  </si>
  <si>
    <t>MILK WHOLE PERGAL 3 GALLON</t>
  </si>
  <si>
    <t>F152CS</t>
  </si>
  <si>
    <t>GLUTEN FREE BROWN BREAD 6X535G</t>
  </si>
  <si>
    <t>8360CS</t>
  </si>
  <si>
    <t>TOMATO JUICE TETRAPAK 12X1LTR</t>
  </si>
  <si>
    <t>F293CS</t>
  </si>
  <si>
    <t>FROZEN PETIT POIS 10 X 1KG</t>
  </si>
  <si>
    <t>288ACS</t>
  </si>
  <si>
    <t>MIXED PICKLES 4 X 4KG</t>
  </si>
  <si>
    <t>3776EA</t>
  </si>
  <si>
    <t>RED VEINED SORREL 1 X 20G</t>
  </si>
  <si>
    <t>3619CS</t>
  </si>
  <si>
    <t>CRESS DAIKON    X16PUN</t>
  </si>
  <si>
    <t>265ACS</t>
  </si>
  <si>
    <t>HEERA CHUTNEY TAMARIND 10X1KG</t>
  </si>
  <si>
    <t>F189CS</t>
  </si>
  <si>
    <t>WHITE SLICED BLOOMER 1 X 8</t>
  </si>
  <si>
    <t>7139EA</t>
  </si>
  <si>
    <t>BARBERS VINT CHEDDAR 1 X1.24KG</t>
  </si>
  <si>
    <t>334AEA</t>
  </si>
  <si>
    <t>GRATED GRANA PADANO 1 X 1KG</t>
  </si>
  <si>
    <t>189ACS</t>
  </si>
  <si>
    <t>LF PHILADELPHIA CHEESE 10X165G</t>
  </si>
  <si>
    <t>PEPPERS YELLOW  X 5KG</t>
  </si>
  <si>
    <t>3943EA</t>
  </si>
  <si>
    <t>THYME LEMON X 100G SP</t>
  </si>
  <si>
    <t>3748EA</t>
  </si>
  <si>
    <t>WHITE CABBAGE X 10KG</t>
  </si>
  <si>
    <t>6103EA</t>
  </si>
  <si>
    <t>BREAD BROWN MEDIUM SLICEDEA SP</t>
  </si>
  <si>
    <t>TURNIPS X5KG</t>
  </si>
  <si>
    <t>3757CS</t>
  </si>
  <si>
    <t>MICRO LEMON BALM CRESS 8 X 15G</t>
  </si>
  <si>
    <t>WATER STILL GLASS 24 X 330ML</t>
  </si>
  <si>
    <t>GRAPE BLACK SEEDLESS  X4.5KG</t>
  </si>
  <si>
    <t>E001CS</t>
  </si>
  <si>
    <t>GRANNY SMITH - MOD</t>
  </si>
  <si>
    <t>747ACS</t>
  </si>
  <si>
    <t>MILK SEMI SKIMMED 10 X 1LT</t>
  </si>
  <si>
    <t>3794EA</t>
  </si>
  <si>
    <t>CARROT BABY X 200G SP</t>
  </si>
  <si>
    <t>SPARK WATER PET 24X500ML</t>
  </si>
  <si>
    <t>6269CS</t>
  </si>
  <si>
    <t>MILK SEMI SKIMMED  10 X568ML</t>
  </si>
  <si>
    <t>2796EA</t>
  </si>
  <si>
    <t>REDCURRANT X 125G SP</t>
  </si>
  <si>
    <t>3802EA</t>
  </si>
  <si>
    <t>CHARD BABY RED X 500G SP</t>
  </si>
  <si>
    <t>6104EA</t>
  </si>
  <si>
    <t>BREAD WHITE MEDIUM SLICEDEA SP</t>
  </si>
  <si>
    <t>5618CS</t>
  </si>
  <si>
    <t>ALPRO COCONUT YOGHURT 6X500G</t>
  </si>
  <si>
    <t>3021EA</t>
  </si>
  <si>
    <t>BEANS FINE P/P X 500G SP</t>
  </si>
  <si>
    <t>7475EA</t>
  </si>
  <si>
    <t>FZN PASSION FRUIT PUREE 1KG</t>
  </si>
  <si>
    <t>7193CS</t>
  </si>
  <si>
    <t>OAT DRINK BARISTA 6 X 1LTR</t>
  </si>
  <si>
    <t>6324EA</t>
  </si>
  <si>
    <t>EGG YOLK PASTURISED X 1KG SP</t>
  </si>
  <si>
    <t>258AEA</t>
  </si>
  <si>
    <t>CORIANDER GROUND 1X1KG (MOWGLI</t>
  </si>
  <si>
    <t>6108EA</t>
  </si>
  <si>
    <t>BREAD BROWN THICK SLICED EA SP</t>
  </si>
  <si>
    <t>726AEA</t>
  </si>
  <si>
    <t>LIQUID EGG WHITE BARN 1x1KG</t>
  </si>
  <si>
    <t>209ACS</t>
  </si>
  <si>
    <t>RAINBOW RADISH 1 X 10 BUNCHES</t>
  </si>
  <si>
    <t>7460EA</t>
  </si>
  <si>
    <t>FZN MANGO PUREE 1KG</t>
  </si>
  <si>
    <t>266AEA</t>
  </si>
  <si>
    <t>TANDOORI MASALA 1X1KG (MOWGLI)</t>
  </si>
  <si>
    <t>6168CS</t>
  </si>
  <si>
    <t>CREAM AEROSOL 6 X 500G</t>
  </si>
  <si>
    <t>521ACS</t>
  </si>
  <si>
    <t>PANKO BREADCRUMBS 10X1KG</t>
  </si>
  <si>
    <t>S2524CS</t>
  </si>
  <si>
    <t>APPLE GRANNY SMITH X 12KG</t>
  </si>
  <si>
    <t>8615CS</t>
  </si>
  <si>
    <t>EXTRA VIRGIN OLIVE OIL  X5LTR</t>
  </si>
  <si>
    <t>4461EA</t>
  </si>
  <si>
    <t>BANANA LEAF 1 X 400G</t>
  </si>
  <si>
    <t>9650CS</t>
  </si>
  <si>
    <t>SELF RAISING FLOUR 6X1.5KG</t>
  </si>
  <si>
    <t>264AEA</t>
  </si>
  <si>
    <t>MUSTARD SEEDS BLACK 1X1K MOWGL</t>
  </si>
  <si>
    <t>031BEA</t>
  </si>
  <si>
    <t>PANCH PURAN 1X400G</t>
  </si>
  <si>
    <t>3452CS</t>
  </si>
  <si>
    <t>CL2 CROOK CUCUMBERS 5KG</t>
  </si>
  <si>
    <t>3829EA</t>
  </si>
  <si>
    <t>BABY LEAF KALE 1 X 500G</t>
  </si>
  <si>
    <t>6992CS</t>
  </si>
  <si>
    <t>ALPRO ALMOND MILK UNSWTN 8 X1L</t>
  </si>
  <si>
    <t>506ACS</t>
  </si>
  <si>
    <t>LEES PREMIUM MERINGUE NEST 8X8</t>
  </si>
  <si>
    <t>7500EA</t>
  </si>
  <si>
    <t>FZN RASPBERRY PUREE 1KG</t>
  </si>
  <si>
    <t>759AEA</t>
  </si>
  <si>
    <t>MATURE CHEDDAR SLICED 1x1KG</t>
  </si>
  <si>
    <t>3875EA</t>
  </si>
  <si>
    <t>MUSHROOM ENOKI X 100G SP</t>
  </si>
  <si>
    <t>5711CS</t>
  </si>
  <si>
    <t>WILD MUSHROOMS MXD (CS) X1KG</t>
  </si>
  <si>
    <t>E005CS</t>
  </si>
  <si>
    <t>CARROTS NETTED - MOD</t>
  </si>
  <si>
    <t>6107EA</t>
  </si>
  <si>
    <t>BREAD WHITE THICK SLICED EA SP</t>
  </si>
  <si>
    <t>3160CS</t>
  </si>
  <si>
    <t>RED CABBAGE CRESS 1 X 16</t>
  </si>
  <si>
    <t>3175CS</t>
  </si>
  <si>
    <t>MUSHROOM FLAT SMALL 1.81KG</t>
  </si>
  <si>
    <t>F182CS</t>
  </si>
  <si>
    <t>STEALTH FRIES 9-9-SKIN ON</t>
  </si>
  <si>
    <t>PREMIUM CHIPPING POTATO 1X25KG</t>
  </si>
  <si>
    <t>4453CS</t>
  </si>
  <si>
    <t>BARBERRIES 1 X 1KG</t>
  </si>
  <si>
    <t>2796CS</t>
  </si>
  <si>
    <t>REDCURRANT 8X125G</t>
  </si>
  <si>
    <t>3422CS</t>
  </si>
  <si>
    <t>BEANSHOOT 5KG</t>
  </si>
  <si>
    <t>2917CS</t>
  </si>
  <si>
    <t>PITAHAYA RED SKIN X10 EA</t>
  </si>
  <si>
    <t>CELERIAC 10KG</t>
  </si>
  <si>
    <t>3261EA</t>
  </si>
  <si>
    <t>SHALLOT BANANA X 500G SP</t>
  </si>
  <si>
    <t>POTATOES BABY MIDS 20-28MM 10K</t>
  </si>
  <si>
    <t>F161CS</t>
  </si>
  <si>
    <t>AVIKO ROSTICO TRIANGLES 4x2.5K</t>
  </si>
  <si>
    <t>E010CS</t>
  </si>
  <si>
    <t>TOMATOES M-MM - MOD</t>
  </si>
  <si>
    <t>3766CS</t>
  </si>
  <si>
    <t>FLOWERS EDIBLE MIXED  X1PKT SP</t>
  </si>
  <si>
    <t>332ACS</t>
  </si>
  <si>
    <t>MICRO BASIL CRESS 4 X 30GR</t>
  </si>
  <si>
    <t>5541CS</t>
  </si>
  <si>
    <t>CORN FLOWERS 4 X 15G</t>
  </si>
  <si>
    <t>5817CS</t>
  </si>
  <si>
    <t>8 INCH PIZZA &amp; SAUCE X 64</t>
  </si>
  <si>
    <t>375ACS</t>
  </si>
  <si>
    <t>POPPING CORN 25KG</t>
  </si>
  <si>
    <t>PEPPERS GREEN  X 5KG</t>
  </si>
  <si>
    <t>2699EA</t>
  </si>
  <si>
    <t>COOKING APPLE 1 X 2.5KG</t>
  </si>
  <si>
    <t>3632CS</t>
  </si>
  <si>
    <t>MIXED SAKURA CRESS 16X1</t>
  </si>
  <si>
    <t>4411CS</t>
  </si>
  <si>
    <t>ALPRO SOYA YOGHURT 6 X 500G</t>
  </si>
  <si>
    <t>3567CS</t>
  </si>
  <si>
    <t>3373EA</t>
  </si>
  <si>
    <t>BOK CHOI P/P X500G SP</t>
  </si>
  <si>
    <t>262AEA</t>
  </si>
  <si>
    <t>ROSE WATER 1X190G (MOWGLI)</t>
  </si>
  <si>
    <t>6168EA</t>
  </si>
  <si>
    <t>CREAM AEROSOL 1 X 500G</t>
  </si>
  <si>
    <t>SHALLOTS ROUND 5KG</t>
  </si>
  <si>
    <t>256AEA</t>
  </si>
  <si>
    <t>HERRA TUMERIC GROUND 1X1KG</t>
  </si>
  <si>
    <t>3028EA</t>
  </si>
  <si>
    <t>RAW BEETROOT P/P 1KG SP</t>
  </si>
  <si>
    <t>871ACS</t>
  </si>
  <si>
    <t>OLD BAY SEASONING 6x280GR</t>
  </si>
  <si>
    <t>3861CS</t>
  </si>
  <si>
    <t>MUSHROOM OYSTER WHITE 1.5KG</t>
  </si>
  <si>
    <t>3609EA</t>
  </si>
  <si>
    <t>RADISH BLACK X 1KG SP</t>
  </si>
  <si>
    <t>PINEAPPLE LARGE X6EA</t>
  </si>
  <si>
    <t>6207CS</t>
  </si>
  <si>
    <t>YOGHURT NATURAL 10LTR</t>
  </si>
  <si>
    <t>628AEA</t>
  </si>
  <si>
    <t>MILD BLOCK CHEDDAR 1x5KG</t>
  </si>
  <si>
    <t>032BCS</t>
  </si>
  <si>
    <t>HELLMANNS VEGAN MAYO 4.74KG</t>
  </si>
  <si>
    <t>LARGE MANGO 5/6</t>
  </si>
  <si>
    <t>6194EA</t>
  </si>
  <si>
    <t>HALLOUMI 1 X 1KG</t>
  </si>
  <si>
    <t>GARLIC P/P  20 X 500G</t>
  </si>
  <si>
    <t>3455CS</t>
  </si>
  <si>
    <t>PEASHOOT CRESS MICRO X8 X 30G</t>
  </si>
  <si>
    <t>3874CS</t>
  </si>
  <si>
    <t>WHITE SHIMENJI 20X150G SP</t>
  </si>
  <si>
    <t>3829CS</t>
  </si>
  <si>
    <t>BABY LEAF KALE 2X500G</t>
  </si>
  <si>
    <t>267ACS</t>
  </si>
  <si>
    <t>CHAT MASALA 4X500GR (MOWGLI)</t>
  </si>
  <si>
    <t>772AEA</t>
  </si>
  <si>
    <t>DRIED CRANBERRIES 1x1KG</t>
  </si>
  <si>
    <t>763ACS</t>
  </si>
  <si>
    <t>SOYA MILK 6 X 1LT</t>
  </si>
  <si>
    <t>2642EA</t>
  </si>
  <si>
    <t>KIWI PRE-PACK 1X6</t>
  </si>
  <si>
    <t>794ACS</t>
  </si>
  <si>
    <t>TARTAR SAUCE 6x1KG</t>
  </si>
  <si>
    <t>263AEA</t>
  </si>
  <si>
    <t>CUMIN WHOLE SEEDS 1X1KG MOWGLI</t>
  </si>
  <si>
    <t>KUMQUATS 2KG</t>
  </si>
  <si>
    <t>APPLES  GALA X 12KG</t>
  </si>
  <si>
    <t>760AEA</t>
  </si>
  <si>
    <t>MILD CHEDDAR GRATED 1x2KG</t>
  </si>
  <si>
    <t>361AEA</t>
  </si>
  <si>
    <t>SUNDRIED TOM IN OIL 1 X 750G</t>
  </si>
  <si>
    <t>277AEA</t>
  </si>
  <si>
    <t>METHI POWDER 1X400GR (MOWGLI)</t>
  </si>
  <si>
    <t>4866EA</t>
  </si>
  <si>
    <t>EYRNGI MUSHROOMS X 1KGM SP</t>
  </si>
  <si>
    <t>2427CS</t>
  </si>
  <si>
    <t>TURMERIC SHOT GINGER 24 X 35G</t>
  </si>
  <si>
    <t>274ACS</t>
  </si>
  <si>
    <t>DHAL MOONG CHILKA 6X2KG MOWGLI</t>
  </si>
  <si>
    <t>MANGO 1 X 9</t>
  </si>
  <si>
    <t>3096EA</t>
  </si>
  <si>
    <t>COURGETTE YELLOW X 1KG SP</t>
  </si>
  <si>
    <t>3874EA</t>
  </si>
  <si>
    <t>WHITE SHIMENJI 150G</t>
  </si>
  <si>
    <t>COOKING APPLE 12KG</t>
  </si>
  <si>
    <t>F297CS</t>
  </si>
  <si>
    <t>FZN ZITINI PASTA 3 X 1KG</t>
  </si>
  <si>
    <t>270AEA</t>
  </si>
  <si>
    <t>ALMONDS GROUND 1X1KG (MOWGLI)</t>
  </si>
  <si>
    <t>PARSNIP P/P 1 X 2.5KG</t>
  </si>
  <si>
    <t>3114EA</t>
  </si>
  <si>
    <t>GARLIC P/P X 500G SP</t>
  </si>
  <si>
    <t>6585CS</t>
  </si>
  <si>
    <t>PHILADELPHIA CREAM CHEESE 1.6K</t>
  </si>
  <si>
    <t>276AEA</t>
  </si>
  <si>
    <t>GARLIC POWDER 1X1KG (MOWGLI)</t>
  </si>
  <si>
    <t>3353EA</t>
  </si>
  <si>
    <t>PEASHOOTS 500G</t>
  </si>
  <si>
    <t>300ACS</t>
  </si>
  <si>
    <t>EGG WHOLE PASTURISED 6 X 1KG</t>
  </si>
  <si>
    <t>5586CS</t>
  </si>
  <si>
    <t>GOAN FISH CURRY MOWGLI X 8</t>
  </si>
  <si>
    <t>POTATOES WARE 25KG</t>
  </si>
  <si>
    <t>257ACS</t>
  </si>
  <si>
    <t>TAMARIND CONC 6x400GR MOWGLI</t>
  </si>
  <si>
    <t>2792EA</t>
  </si>
  <si>
    <t>MELON ORANGE FLESH X 1</t>
  </si>
  <si>
    <t>BABY GOLDEN BEETROOT 6 X 200G</t>
  </si>
  <si>
    <t>RADISH P/P   20 X 1 PKT</t>
  </si>
  <si>
    <t>REFINED RAPESEED OIL 1X 20LT</t>
  </si>
  <si>
    <t>3802CS</t>
  </si>
  <si>
    <t>CHARD BABY RED   2 X 500G</t>
  </si>
  <si>
    <t>APPLE BRAEBURN X 12KG</t>
  </si>
  <si>
    <t>7515EA</t>
  </si>
  <si>
    <t>FZN STRAWBERRY PUREE 1KG</t>
  </si>
  <si>
    <t>2627EA</t>
  </si>
  <si>
    <t>GRAPEFRUIT RUBY RED EACH SP</t>
  </si>
  <si>
    <t>MUSHROOM SHITAKI 1.5KG</t>
  </si>
  <si>
    <t>CARROT BABY 6 X 200G</t>
  </si>
  <si>
    <t>6132CS</t>
  </si>
  <si>
    <t>BREAD MALTED WHEATGRAIN X6EA</t>
  </si>
  <si>
    <t>3920EA</t>
  </si>
  <si>
    <t>LIME LEAVES  X 30G SP</t>
  </si>
  <si>
    <t>4866CS</t>
  </si>
  <si>
    <t>EYRNGI MUSHROOMS X 1KG</t>
  </si>
  <si>
    <t>PAPAYA X8 EA</t>
  </si>
  <si>
    <t>041ACS</t>
  </si>
  <si>
    <t>RAW TURMERIC VITAMIN C&amp;D3 X 24</t>
  </si>
  <si>
    <t>627AEA</t>
  </si>
  <si>
    <t>MATURE BLOCK CHEDDAR 1x5KG</t>
  </si>
  <si>
    <t>3539EA</t>
  </si>
  <si>
    <t>LETTUCE COS X 1 EA SP</t>
  </si>
  <si>
    <t>3906EA</t>
  </si>
  <si>
    <t>ASIAN SWEET BASIL X1 BUNCH SP</t>
  </si>
  <si>
    <t>9578CS</t>
  </si>
  <si>
    <t>12 INCH PIZZA X52 &amp; 3KG SAUCE</t>
  </si>
  <si>
    <t>2806CS</t>
  </si>
  <si>
    <t>PLUMS X5KG CS</t>
  </si>
  <si>
    <t>F015EA</t>
  </si>
  <si>
    <t>FZN CHOICE PEAS 1X2.5KG</t>
  </si>
  <si>
    <t>9820CS</t>
  </si>
  <si>
    <t>COKE DIET PLASTIC 24X500ML</t>
  </si>
  <si>
    <t>MUSHROOMS CATERING 3KG</t>
  </si>
  <si>
    <t>254ACS</t>
  </si>
  <si>
    <t>BASMATI RICE 1 X 20KG</t>
  </si>
  <si>
    <t>6655CS</t>
  </si>
  <si>
    <t>CHEESE GOAT LOG 1X1KG</t>
  </si>
  <si>
    <t>260AEA</t>
  </si>
  <si>
    <t>CUMIN POWDER 1X1KG (MOWGLI)</t>
  </si>
  <si>
    <t>SHALLOT BANANA 1 X 20KG</t>
  </si>
  <si>
    <t>3454EA</t>
  </si>
  <si>
    <t>BASIL CRESS MICRO X30G SP</t>
  </si>
  <si>
    <t>3649EA</t>
  </si>
  <si>
    <t>TOMATOES PLUM P/P X 1KG SP</t>
  </si>
  <si>
    <t>6301EA</t>
  </si>
  <si>
    <t>SALTED BUTTR PORTN 100XSIZE 7</t>
  </si>
  <si>
    <t>9819CS</t>
  </si>
  <si>
    <t>COKE PLASTIC 24X500ML</t>
  </si>
  <si>
    <t>6103CS</t>
  </si>
  <si>
    <t>BREAD BROWN MEDIUM SLICED X6EA</t>
  </si>
  <si>
    <t>3096CS</t>
  </si>
  <si>
    <t>COURGETTE YELLOW X5KG</t>
  </si>
  <si>
    <t>PINEAPPLE X 9/10</t>
  </si>
  <si>
    <t>915ACS</t>
  </si>
  <si>
    <t>AQUAFABA VEGAN EGG ALT 6X1LTR</t>
  </si>
  <si>
    <t>6948EA</t>
  </si>
  <si>
    <t>MOZZARELLA BALL 1 X 125G</t>
  </si>
  <si>
    <t>2842EA</t>
  </si>
  <si>
    <t>STRAWBERRY 1 X 400G</t>
  </si>
  <si>
    <t>1834EA</t>
  </si>
  <si>
    <t>CATERING SPINACH 1X250G</t>
  </si>
  <si>
    <t>APPLES PINK X 12KG</t>
  </si>
  <si>
    <t>5587CS</t>
  </si>
  <si>
    <t>CHICK PEA MOWGLI X 12</t>
  </si>
  <si>
    <t>3757EA</t>
  </si>
  <si>
    <t>MICRO LEMON BALM CRESS 1 X 15G</t>
  </si>
  <si>
    <t>2608EA</t>
  </si>
  <si>
    <t>GRAPE BLACK SLESS P/P  500G SP</t>
  </si>
  <si>
    <t>3339CS</t>
  </si>
  <si>
    <t>RAINBOW CHARD 1 X 3KG</t>
  </si>
  <si>
    <t>F287CS</t>
  </si>
  <si>
    <t>FROZEN RASPBERRY 10 X 1KG</t>
  </si>
  <si>
    <t>3030CS</t>
  </si>
  <si>
    <t>BROCCOLI PURPLE SPROUT  X4KG</t>
  </si>
  <si>
    <t>2515CS</t>
  </si>
  <si>
    <t>APPLES GOLDEN DEL X 12KG</t>
  </si>
  <si>
    <t>3429CS</t>
  </si>
  <si>
    <t>CHICORY  WHITE 5KG</t>
  </si>
  <si>
    <t>CARROTS 12.5KG</t>
  </si>
  <si>
    <t>ONIONS RED LARGE 10KG</t>
  </si>
  <si>
    <t>4461CS</t>
  </si>
  <si>
    <t>BANANA LEAF 4 X 400G</t>
  </si>
  <si>
    <t>3182CS</t>
  </si>
  <si>
    <t>ONIONS COLOSSAL 20KG</t>
  </si>
  <si>
    <t>6108CS</t>
  </si>
  <si>
    <t>BREAD BROWN THICK SLICED X6 EA</t>
  </si>
  <si>
    <t>576ACS</t>
  </si>
  <si>
    <t>FETA CHEESE 6X900G</t>
  </si>
  <si>
    <t>SALT X 12.5KG</t>
  </si>
  <si>
    <t>6824CS</t>
  </si>
  <si>
    <t>FETA 12X200G</t>
  </si>
  <si>
    <t>875ACS</t>
  </si>
  <si>
    <t>FRENCH YELLOW MUSTARD 4x2.98KG</t>
  </si>
  <si>
    <t>F190CS</t>
  </si>
  <si>
    <t>WHITE UNCUT BLOOMER 1 X 8</t>
  </si>
  <si>
    <t>8973CS</t>
  </si>
  <si>
    <t>HELLMANS MAYONAISSE 10LT X1</t>
  </si>
  <si>
    <t>7394EA</t>
  </si>
  <si>
    <t>HALLOUMI 1 X 250G</t>
  </si>
  <si>
    <t>POTATOES RED 25KG</t>
  </si>
  <si>
    <t>409ACS</t>
  </si>
  <si>
    <t>BIONA ORGANIC GHERKINS 6X680GR</t>
  </si>
  <si>
    <t>1642CS</t>
  </si>
  <si>
    <t>CHIPS 14MM X10KG</t>
  </si>
  <si>
    <t>6283EA</t>
  </si>
  <si>
    <t>BUTTER UNSALTED 1X250G SP</t>
  </si>
  <si>
    <t>270ACS</t>
  </si>
  <si>
    <t>ALMONDS GROUND 6X1KG (MOWGLI)</t>
  </si>
  <si>
    <t>3662CS</t>
  </si>
  <si>
    <t>TOMATOES CHERRY ON VINE 3KG</t>
  </si>
  <si>
    <t>3284EA</t>
  </si>
  <si>
    <t>BUTTERNUT SQUASH APP 1KG X1 EA</t>
  </si>
  <si>
    <t>6104CS</t>
  </si>
  <si>
    <t>BREAD WHITE MEDIUM SLICED X6EA</t>
  </si>
  <si>
    <t>SHALLOTS BANANA 5KG</t>
  </si>
  <si>
    <t>8357CS</t>
  </si>
  <si>
    <t>APPLE JUICE TETRAPAK 12X1LTR</t>
  </si>
  <si>
    <t>PEARS 1 X 20</t>
  </si>
  <si>
    <t>6194CS</t>
  </si>
  <si>
    <t>HALLOUMI 10 X 1KG</t>
  </si>
  <si>
    <t>FZN GINGER DICED 1 X 10KG</t>
  </si>
  <si>
    <t>3271EA</t>
  </si>
  <si>
    <t>SUGAR SNAP P/P X 500G SP</t>
  </si>
  <si>
    <t>PEARS X 12KG</t>
  </si>
  <si>
    <t>3611EA</t>
  </si>
  <si>
    <t>RADISH P/P    X 1 PKT SP</t>
  </si>
  <si>
    <t>3353CS</t>
  </si>
  <si>
    <t>PEASHOOTS 2X500G</t>
  </si>
  <si>
    <t>700AEA</t>
  </si>
  <si>
    <t>CHEDDAR MATURE GRATED 1X2KG</t>
  </si>
  <si>
    <t>SPINACH CHOI SUM X2KG</t>
  </si>
  <si>
    <t>PREP SHALLOTS BANANA 1KG</t>
  </si>
  <si>
    <t>673ACS</t>
  </si>
  <si>
    <t>PUFF PASTRY ROLL 1 X 4.25KG</t>
  </si>
  <si>
    <t>F191CS</t>
  </si>
  <si>
    <t>STEALTH FRIES6X6 SKINON 4X2.5K</t>
  </si>
  <si>
    <t>8565CS</t>
  </si>
  <si>
    <t>CHICK PEAS 6 X 2.5KG</t>
  </si>
  <si>
    <t>GRAPEFRUIT RUBY RED X40EA</t>
  </si>
  <si>
    <t>297ACS</t>
  </si>
  <si>
    <t>RED LENTILS 1X20KG (MOWGLI)</t>
  </si>
  <si>
    <t>190AEA</t>
  </si>
  <si>
    <t>RED CHICORY 1 X 500GR</t>
  </si>
  <si>
    <t>6107CS</t>
  </si>
  <si>
    <t>BREAD WHITE THICK SLICED X6 EA</t>
  </si>
  <si>
    <t>7084EA</t>
  </si>
  <si>
    <t>BRIE 60% 1 X 1KG</t>
  </si>
  <si>
    <t>629AEA</t>
  </si>
  <si>
    <t>EMMENTHAL SLICED 1x1KG</t>
  </si>
  <si>
    <t>E008CS</t>
  </si>
  <si>
    <t>BAKING POTATO - MOD</t>
  </si>
  <si>
    <t>576AEA</t>
  </si>
  <si>
    <t>FETA CHEESE 1X900G</t>
  </si>
  <si>
    <t>6824EA</t>
  </si>
  <si>
    <t>FETA 1X200G</t>
  </si>
  <si>
    <t>275AEA</t>
  </si>
  <si>
    <t>GARAM MASALA 1X1KG (MOWGLI)</t>
  </si>
  <si>
    <t>CARROTS LARGE X10KG</t>
  </si>
  <si>
    <t>APPLES BRAEBURN 1 X 20</t>
  </si>
  <si>
    <t>1834CS</t>
  </si>
  <si>
    <t>CATERING SPINACH 4X250G</t>
  </si>
  <si>
    <t>3142CS</t>
  </si>
  <si>
    <t>ONIONS 1 X 2.5KG</t>
  </si>
  <si>
    <t>3554CS</t>
  </si>
  <si>
    <t>BAKING POTATO 5KG</t>
  </si>
  <si>
    <t>630AEA</t>
  </si>
  <si>
    <t>CHEDDAR MILD SLICED 1x1KG</t>
  </si>
  <si>
    <t>2911EA</t>
  </si>
  <si>
    <t>XL ASPARAGUS 1 X 450G</t>
  </si>
  <si>
    <t>3677EA</t>
  </si>
  <si>
    <t>SALAD MIZUNA WILD X 500G SP</t>
  </si>
  <si>
    <t>3588CS</t>
  </si>
  <si>
    <t>CHILLIES GREEN BIRDSEYE 1.5KG</t>
  </si>
  <si>
    <t>F296CS</t>
  </si>
  <si>
    <t>FZN WAFFLE FRIES 4 X 2.5KG</t>
  </si>
  <si>
    <t>975ACS</t>
  </si>
  <si>
    <t>TKO PREP SPINACH 2 X 500G</t>
  </si>
  <si>
    <t>3225CS</t>
  </si>
  <si>
    <t>POTS MASHERS 25KG</t>
  </si>
  <si>
    <t>298AEA</t>
  </si>
  <si>
    <t>STEM GINGER 1 X 1.05KG</t>
  </si>
  <si>
    <t>GRAPE BLACK SLESS P/P 10X500G</t>
  </si>
  <si>
    <t>0138CS</t>
  </si>
  <si>
    <t>MINT 1 X KILO</t>
  </si>
  <si>
    <t>7091EA</t>
  </si>
  <si>
    <t>GOURMET SALAD 1 X 460G</t>
  </si>
  <si>
    <t>BUTTERNUT SQUASH  X10 EA</t>
  </si>
  <si>
    <t>ONIONS RED 10KG</t>
  </si>
  <si>
    <t>MELON ORANGE FLESH X 6</t>
  </si>
  <si>
    <t>758ACS</t>
  </si>
  <si>
    <t>IMPORTED COLONY EGG 15DOZ</t>
  </si>
  <si>
    <t>CHILLIES RED LONG DUTCH 3KG</t>
  </si>
  <si>
    <t>4777CS</t>
  </si>
  <si>
    <t>CAULIFLOWER 1X8</t>
  </si>
  <si>
    <t>APPLES JUICING 18 KG</t>
  </si>
  <si>
    <t>MILK WHOLE  4 X2LTR</t>
  </si>
  <si>
    <t>2747EA</t>
  </si>
  <si>
    <t>PASSION FRUIT P/P (X4) SP</t>
  </si>
  <si>
    <t>2061CS</t>
  </si>
  <si>
    <t>PREP SALANOVA MIX 2X500G</t>
  </si>
  <si>
    <t>3732EA</t>
  </si>
  <si>
    <t>ROCKET WILD X 500G SP</t>
  </si>
  <si>
    <t>PASSION FRUIT X 2KG</t>
  </si>
  <si>
    <t>9153EA</t>
  </si>
  <si>
    <t>GRANOLA 1X1KG</t>
  </si>
  <si>
    <t>2385CS</t>
  </si>
  <si>
    <t>PREP COS LETTUCE 35MM 8 X 500G</t>
  </si>
  <si>
    <t>TOMATOES VINE 5KG</t>
  </si>
  <si>
    <t>F184CS</t>
  </si>
  <si>
    <t>STEALTH FRIES 9-9(4 X 2.5KG)</t>
  </si>
  <si>
    <t>710ACS</t>
  </si>
  <si>
    <t>CHAOKOH COCONUT MILK 6x2.9L</t>
  </si>
  <si>
    <t>632AEA</t>
  </si>
  <si>
    <t>GRATED MOZZARELLA 1x2KG</t>
  </si>
  <si>
    <t>2184CS</t>
  </si>
  <si>
    <t>CATERING COS LETTUCE 6 X 250G</t>
  </si>
  <si>
    <t>3700CS</t>
  </si>
  <si>
    <t>MIXED LEAVES BABY 2X500G</t>
  </si>
  <si>
    <t>289ACS</t>
  </si>
  <si>
    <t>DESI GHEE A10 6x2KG (MOWGLI)</t>
  </si>
  <si>
    <t>3143CS</t>
  </si>
  <si>
    <t>ONIONS RED 2.5KG</t>
  </si>
  <si>
    <t>3667CS</t>
  </si>
  <si>
    <t>TOMATOES MIXED INCA 3KG</t>
  </si>
  <si>
    <t>CARROTS CHANTENAY X5KG</t>
  </si>
  <si>
    <t>725AEA</t>
  </si>
  <si>
    <t>LIQUID WHOLE EGG BARN 1x1KG</t>
  </si>
  <si>
    <t>3224CS</t>
  </si>
  <si>
    <t>POTATOES MIDS 5KG</t>
  </si>
  <si>
    <t>PAK CHOI X2KG</t>
  </si>
  <si>
    <t>7091CS</t>
  </si>
  <si>
    <t>GOURMET SALAD 6 X 460G</t>
  </si>
  <si>
    <t>WHITE CABBAGE 1200K</t>
  </si>
  <si>
    <t>3441EA</t>
  </si>
  <si>
    <t>CUCUMBERS EACH X1</t>
  </si>
  <si>
    <t>5541EA</t>
  </si>
  <si>
    <t>CORN FLOWERS 1 X 15G</t>
  </si>
  <si>
    <t>3412EA</t>
  </si>
  <si>
    <t>BROCCOLI TENDERSTEM 1X500G</t>
  </si>
  <si>
    <t>699AEA</t>
  </si>
  <si>
    <t>BURGER CHEESE SLICES 1x1.08KG</t>
  </si>
  <si>
    <t>2956CS</t>
  </si>
  <si>
    <t>BANANA LOOSE CLASS II 18KG</t>
  </si>
  <si>
    <t>ORANGE JUICING 15KG</t>
  </si>
  <si>
    <t>2960CS</t>
  </si>
  <si>
    <t>BANANA MED/LARGE 1 X 6KG</t>
  </si>
  <si>
    <t>3059EA</t>
  </si>
  <si>
    <t>CARROTS CHANTENAY  P/P X 1KG</t>
  </si>
  <si>
    <t>6272CS</t>
  </si>
  <si>
    <t>MILK SEMI SKIMMED PERGAL 3GALL</t>
  </si>
  <si>
    <t>RED CABBAGE 1200KG</t>
  </si>
  <si>
    <t>2783CS</t>
  </si>
  <si>
    <t>APPLES RED 1 X 20</t>
  </si>
  <si>
    <t>1755EA</t>
  </si>
  <si>
    <t>STRAWBERRY 1 X 400G LABELLED</t>
  </si>
  <si>
    <t>GARLIC PEELED 10X1KG</t>
  </si>
  <si>
    <t>3766EA</t>
  </si>
  <si>
    <t>7394CS</t>
  </si>
  <si>
    <t>HALLOUMI 10 X 250G</t>
  </si>
  <si>
    <t>2885EA</t>
  </si>
  <si>
    <t>PP EASYPEELER 1 X 20</t>
  </si>
  <si>
    <t>2184EA</t>
  </si>
  <si>
    <t>CATERING COS LETTUCE 1 X 250G</t>
  </si>
  <si>
    <t>6958CS</t>
  </si>
  <si>
    <t>FRESH MOZZARELLA BALL 12 X125G</t>
  </si>
  <si>
    <t>3716EA</t>
  </si>
  <si>
    <t>ROCKET UNWASHED 1 X 250GR</t>
  </si>
  <si>
    <t>757ACS</t>
  </si>
  <si>
    <t>IMPORTED BARN EGG 15DOZ</t>
  </si>
  <si>
    <t>KIWI X30 EA AVERAGE</t>
  </si>
  <si>
    <t>6277CS</t>
  </si>
  <si>
    <t>MILK SKIMMED  4 X 2LTR</t>
  </si>
  <si>
    <t>3199CS</t>
  </si>
  <si>
    <t>ONIONS RED 5KG</t>
  </si>
  <si>
    <t>PEPPERS MIX 5KG</t>
  </si>
  <si>
    <t>2884EA</t>
  </si>
  <si>
    <t>LIMES PP 1 X 1KG</t>
  </si>
  <si>
    <t>KIWI X 10KG</t>
  </si>
  <si>
    <t>AUBERGINE 5KG</t>
  </si>
  <si>
    <t>3540CS</t>
  </si>
  <si>
    <t>LETTUCE COS 1 X 10</t>
  </si>
  <si>
    <t>3076EA</t>
  </si>
  <si>
    <t>CAULIFLOWER   EA SP</t>
  </si>
  <si>
    <t>1445EA</t>
  </si>
  <si>
    <t>GARLIC PEELED 1KG SP</t>
  </si>
  <si>
    <t>6303CS</t>
  </si>
  <si>
    <t>BUTTER UNSALTED 40 X250G</t>
  </si>
  <si>
    <t>834ACS</t>
  </si>
  <si>
    <t>WH12 HALLOUMI ALAMBRA 10x250G</t>
  </si>
  <si>
    <t>725ACS</t>
  </si>
  <si>
    <t>LIQUID WHOLE EGG BARN 8x1KG</t>
  </si>
  <si>
    <t>PREP ONION WHOLE 1 X 10KG</t>
  </si>
  <si>
    <t>3732CS</t>
  </si>
  <si>
    <t>ROCKET WILD    2 X 500G</t>
  </si>
  <si>
    <t>3412CS</t>
  </si>
  <si>
    <t>BROCCOLI TENDERSTEM 4X500G</t>
  </si>
  <si>
    <t>TOMATOES M-MM 6KG</t>
  </si>
  <si>
    <t>MILK SEMI SKIMMED 4 X2LTR</t>
  </si>
  <si>
    <t>MARIS PIPER 25KG</t>
  </si>
  <si>
    <t>STRAWBERRY X 1KG</t>
  </si>
  <si>
    <t>BROCCOLI 6KG</t>
  </si>
  <si>
    <t>6297CS</t>
  </si>
  <si>
    <t>EGGS FR X 180</t>
  </si>
  <si>
    <t>660AEA</t>
  </si>
  <si>
    <t>MOZZARELLA BRICK 1x1KG</t>
  </si>
  <si>
    <t>750ACS</t>
  </si>
  <si>
    <t>IMPORTED FR EGGS X 180</t>
  </si>
  <si>
    <t>CAULIFLOWER X 9KG</t>
  </si>
  <si>
    <t>092ACS</t>
  </si>
  <si>
    <t>MIX COLOUR BABY PLUM TOMAT 4KG</t>
  </si>
  <si>
    <t>3719CS</t>
  </si>
  <si>
    <t>TOMATOES (B) SINGLE MS  6KG</t>
  </si>
  <si>
    <t>917AEA</t>
  </si>
  <si>
    <t>D2385CS</t>
  </si>
  <si>
    <t>Pack size</t>
  </si>
  <si>
    <t>18 X EACH</t>
  </si>
  <si>
    <t>10 X 250G</t>
  </si>
  <si>
    <t>3 X KILO</t>
  </si>
  <si>
    <t>1 X 250G</t>
  </si>
  <si>
    <t>1 X BUN</t>
  </si>
  <si>
    <t>1 X 2L</t>
  </si>
  <si>
    <t>1 X 100G</t>
  </si>
  <si>
    <t>1 X 6EA</t>
  </si>
  <si>
    <t>1 X 500G</t>
  </si>
  <si>
    <t>8 X PUN</t>
  </si>
  <si>
    <t>54-63 EA</t>
  </si>
  <si>
    <t>1 X 5KG</t>
  </si>
  <si>
    <t>1 X EACH</t>
  </si>
  <si>
    <t>10 X EACH</t>
  </si>
  <si>
    <t>4X250G</t>
  </si>
  <si>
    <t>1 X 1KG</t>
  </si>
  <si>
    <t>1 X 2KG</t>
  </si>
  <si>
    <t>10 X 500G</t>
  </si>
  <si>
    <t>1 X PUN</t>
  </si>
  <si>
    <t>4 X 250G</t>
  </si>
  <si>
    <t>4 X KILO</t>
  </si>
  <si>
    <t>1 X 12/14</t>
  </si>
  <si>
    <t>6 X KILO</t>
  </si>
  <si>
    <t>10 X BOX</t>
  </si>
  <si>
    <t>5 EACHES</t>
  </si>
  <si>
    <t>20 X BUNCH</t>
  </si>
  <si>
    <t>1 X 15</t>
  </si>
  <si>
    <t>X 15KG</t>
  </si>
  <si>
    <t>14 X EACH</t>
  </si>
  <si>
    <t>1 X 2.5KG</t>
  </si>
  <si>
    <t>120-138</t>
  </si>
  <si>
    <t>1 X 18KG</t>
  </si>
  <si>
    <t>1 X 6</t>
  </si>
  <si>
    <t>1 X 10KG</t>
  </si>
  <si>
    <t>1 X 2 EACH</t>
  </si>
  <si>
    <t>1X1</t>
  </si>
  <si>
    <t>12 X PKT</t>
  </si>
  <si>
    <t>10 X KILO</t>
  </si>
  <si>
    <t>1 X 2.5K</t>
  </si>
  <si>
    <t>1X75</t>
  </si>
  <si>
    <t>12 X 1LTR</t>
  </si>
  <si>
    <t>5 X KILO</t>
  </si>
  <si>
    <t>4 X 500G</t>
  </si>
  <si>
    <t>1 X 500KG</t>
  </si>
  <si>
    <t>20 X KILO</t>
  </si>
  <si>
    <t>12 X KILO</t>
  </si>
  <si>
    <t>12 X PUN</t>
  </si>
  <si>
    <t>8 X 30G</t>
  </si>
  <si>
    <t>6 X 1LT</t>
  </si>
  <si>
    <t>1 X 1LT</t>
  </si>
  <si>
    <t>12 X EACH</t>
  </si>
  <si>
    <t>1 X 5LTR</t>
  </si>
  <si>
    <t>1 X X6</t>
  </si>
  <si>
    <t>4 X 2.27LT</t>
  </si>
  <si>
    <t>1 X 8</t>
  </si>
  <si>
    <t>1X100G</t>
  </si>
  <si>
    <t>1 X PACK</t>
  </si>
  <si>
    <t>2 X KG</t>
  </si>
  <si>
    <t>2 X 500G</t>
  </si>
  <si>
    <t>4 X 500GR</t>
  </si>
  <si>
    <t>1 X 125/138</t>
  </si>
  <si>
    <t>1X160G</t>
  </si>
  <si>
    <t>1 X 25 PCS</t>
  </si>
  <si>
    <t>16 X EACH</t>
  </si>
  <si>
    <t>1.81 X KILO</t>
  </si>
  <si>
    <t>2 X KILO</t>
  </si>
  <si>
    <t>1X16</t>
  </si>
  <si>
    <t>8X1</t>
  </si>
  <si>
    <t>1 X 25G</t>
  </si>
  <si>
    <t>X 5KG</t>
  </si>
  <si>
    <t>1X1KG</t>
  </si>
  <si>
    <t>1X2KG</t>
  </si>
  <si>
    <t>5KG</t>
  </si>
  <si>
    <t>1X3KG</t>
  </si>
  <si>
    <t>8 X EACH</t>
  </si>
  <si>
    <t>9 X 250G</t>
  </si>
  <si>
    <t>1 X 9</t>
  </si>
  <si>
    <t>1X 2.5KG</t>
  </si>
  <si>
    <t>10 X KG</t>
  </si>
  <si>
    <t>8 X 100g</t>
  </si>
  <si>
    <t>1X5KG</t>
  </si>
  <si>
    <t>6 X 2KG</t>
  </si>
  <si>
    <t>6 X EACH</t>
  </si>
  <si>
    <t>1X1 KG</t>
  </si>
  <si>
    <t>1 X 20</t>
  </si>
  <si>
    <t>1 X 3KG</t>
  </si>
  <si>
    <t>1 X 30G</t>
  </si>
  <si>
    <t>12.5KG</t>
  </si>
  <si>
    <t>24 X 540GR</t>
  </si>
  <si>
    <t>2 X 2.27LTR</t>
  </si>
  <si>
    <t>5 X 1KG</t>
  </si>
  <si>
    <t>30 X 100G</t>
  </si>
  <si>
    <t>12 X 100G</t>
  </si>
  <si>
    <t>4X160G</t>
  </si>
  <si>
    <t>16 X BOX</t>
  </si>
  <si>
    <t>6 X 200G</t>
  </si>
  <si>
    <t>1 X 350G</t>
  </si>
  <si>
    <t>X EACH</t>
  </si>
  <si>
    <t>1X15</t>
  </si>
  <si>
    <t>1 X 50G</t>
  </si>
  <si>
    <t>1 X 48</t>
  </si>
  <si>
    <t>18 X 100G</t>
  </si>
  <si>
    <t>10XPKT</t>
  </si>
  <si>
    <t>1 X 25KG</t>
  </si>
  <si>
    <t>1 X 1000KG</t>
  </si>
  <si>
    <t>(X14EA)</t>
  </si>
  <si>
    <t>1XPKT</t>
  </si>
  <si>
    <t>1 X PKT</t>
  </si>
  <si>
    <t>4 X 3KG</t>
  </si>
  <si>
    <t>4X100G</t>
  </si>
  <si>
    <t>10 X 1KG</t>
  </si>
  <si>
    <t>40 X EACH</t>
  </si>
  <si>
    <t>1 X 2</t>
  </si>
  <si>
    <t>12 X 500G</t>
  </si>
  <si>
    <t>1 X 10/12 EA</t>
  </si>
  <si>
    <t>6 X 1LTR</t>
  </si>
  <si>
    <t>1X30G</t>
  </si>
  <si>
    <t>10 X 250GR</t>
  </si>
  <si>
    <t>1 X 1.5KG</t>
  </si>
  <si>
    <t>1 X 20G</t>
  </si>
  <si>
    <t>4 X PUN</t>
  </si>
  <si>
    <t>4 X 6</t>
  </si>
  <si>
    <t>1 X KG</t>
  </si>
  <si>
    <t>15 X BUN</t>
  </si>
  <si>
    <t>12 X 80G</t>
  </si>
  <si>
    <t>1X400G</t>
  </si>
  <si>
    <t>1 X 5G</t>
  </si>
  <si>
    <t>100g</t>
  </si>
  <si>
    <t>15 X 1KG</t>
  </si>
  <si>
    <t>1 X X4</t>
  </si>
  <si>
    <t>12 X BUN</t>
  </si>
  <si>
    <t>1 X 200G</t>
  </si>
  <si>
    <t>1X500G</t>
  </si>
  <si>
    <t>1 X 700GR</t>
  </si>
  <si>
    <t>1 X 1</t>
  </si>
  <si>
    <t>1 X BUNC</t>
  </si>
  <si>
    <t>6 X 500ML</t>
  </si>
  <si>
    <t>12X500G</t>
  </si>
  <si>
    <t>1 X 2 LTR</t>
  </si>
  <si>
    <t>1X250G</t>
  </si>
  <si>
    <t>4 X 2.5KG</t>
  </si>
  <si>
    <t>1 X 6KG</t>
  </si>
  <si>
    <t>4 X 125G</t>
  </si>
  <si>
    <t>1 X 18.14KG</t>
  </si>
  <si>
    <t>8X30G</t>
  </si>
  <si>
    <t>4 X 2</t>
  </si>
  <si>
    <t>1 X 16KG</t>
  </si>
  <si>
    <t>8 X 500G</t>
  </si>
  <si>
    <t>8 X 5G</t>
  </si>
  <si>
    <t>1 X 300G</t>
  </si>
  <si>
    <t>3 X KG</t>
  </si>
  <si>
    <t>8 X 25G</t>
  </si>
  <si>
    <t>1 x 5KG</t>
  </si>
  <si>
    <t>4 X 2 LTR</t>
  </si>
  <si>
    <t>1 X 80G</t>
  </si>
  <si>
    <t>2 X 1KG</t>
  </si>
  <si>
    <t>1 x 4</t>
  </si>
  <si>
    <t>1 X 1.2KG</t>
  </si>
  <si>
    <t>1 X 125G</t>
  </si>
  <si>
    <t>1X6</t>
  </si>
  <si>
    <t>2KG</t>
  </si>
  <si>
    <t>1 X 800GR</t>
  </si>
  <si>
    <t>1X20</t>
  </si>
  <si>
    <t>1 X 220G</t>
  </si>
  <si>
    <t>1 X 1 KG</t>
  </si>
  <si>
    <t>6 X 2.5KG</t>
  </si>
  <si>
    <t>1X 18.14KG</t>
  </si>
  <si>
    <t>1 X 1LTR</t>
  </si>
  <si>
    <t>6 X 850GR</t>
  </si>
  <si>
    <t>6 X 200GR</t>
  </si>
  <si>
    <t>3KG AV 40X75G</t>
  </si>
  <si>
    <t>6 X 2.62KG</t>
  </si>
  <si>
    <t>6 X 720G</t>
  </si>
  <si>
    <t>1X25K</t>
  </si>
  <si>
    <t>2 X 2.25LTR</t>
  </si>
  <si>
    <t>1 X 10LT</t>
  </si>
  <si>
    <t>4 X PACK</t>
  </si>
  <si>
    <t>1 X 2.27KG</t>
  </si>
  <si>
    <t>10 X 550G</t>
  </si>
  <si>
    <t>10 X 480</t>
  </si>
  <si>
    <t>8 X 630G</t>
  </si>
  <si>
    <t>4 X 1.25KG</t>
  </si>
  <si>
    <t>1 X 9.7KG</t>
  </si>
  <si>
    <t>2 X 7.25KG</t>
  </si>
  <si>
    <t>12 X 550G</t>
  </si>
  <si>
    <t>12 X 420G</t>
  </si>
  <si>
    <t>1 X 600GR</t>
  </si>
  <si>
    <t>4 X 3 KG</t>
  </si>
  <si>
    <t>6 X 2.82 KG</t>
  </si>
  <si>
    <t>4 X 750G</t>
  </si>
  <si>
    <t>4 X 600G</t>
  </si>
  <si>
    <t>6 X 1KG</t>
  </si>
  <si>
    <t>1 X 4KG</t>
  </si>
  <si>
    <t>1 X 30</t>
  </si>
  <si>
    <t>1 X 12</t>
  </si>
  <si>
    <t>1 X 18</t>
  </si>
  <si>
    <t>1 X 1.3KG</t>
  </si>
  <si>
    <t>1 X 500GR</t>
  </si>
  <si>
    <t>4 X 1.3KG</t>
  </si>
  <si>
    <t>1 X 12KG</t>
  </si>
  <si>
    <t>6 X 150G</t>
  </si>
  <si>
    <t>4X4PCS</t>
  </si>
  <si>
    <t>1XBNCH</t>
  </si>
  <si>
    <t>1 X 150G</t>
  </si>
  <si>
    <t>10 X1KG</t>
  </si>
  <si>
    <t>4.5 X KG</t>
  </si>
  <si>
    <t>4 X 1KG</t>
  </si>
  <si>
    <t>5 X KG</t>
  </si>
  <si>
    <t>1X10KG</t>
  </si>
  <si>
    <t>1 X 11 Loavers</t>
  </si>
  <si>
    <t>40 X 250GR</t>
  </si>
  <si>
    <t>40 X 250G</t>
  </si>
  <si>
    <t>20 X 250G</t>
  </si>
  <si>
    <t>100 X 10GR</t>
  </si>
  <si>
    <t>1 X 1200KG</t>
  </si>
  <si>
    <t>5 X 500G</t>
  </si>
  <si>
    <t>12 X 220G</t>
  </si>
  <si>
    <t>8 X 125G</t>
  </si>
  <si>
    <t>2X4KG</t>
  </si>
  <si>
    <t>1KG</t>
  </si>
  <si>
    <t>100/113 EACH</t>
  </si>
  <si>
    <t>6 X 900G</t>
  </si>
  <si>
    <t>1 X 250GR</t>
  </si>
  <si>
    <t>16 X PUN</t>
  </si>
  <si>
    <t>8 X 200G</t>
  </si>
  <si>
    <t>12 X 1 LTR</t>
  </si>
  <si>
    <t>24 X 330M</t>
  </si>
  <si>
    <t>24 X 330ML</t>
  </si>
  <si>
    <t>12 X 500ML</t>
  </si>
  <si>
    <t>1 X 15 DOZEN</t>
  </si>
  <si>
    <t>1 X 5DOZ</t>
  </si>
  <si>
    <t>1 X BOX</t>
  </si>
  <si>
    <t>32X6</t>
  </si>
  <si>
    <t>1 X X12</t>
  </si>
  <si>
    <t>1 X 7EA</t>
  </si>
  <si>
    <t>20 X EACH</t>
  </si>
  <si>
    <t>1 X LTR</t>
  </si>
  <si>
    <t>4x500g</t>
  </si>
  <si>
    <t>5 KG</t>
  </si>
  <si>
    <t>3 X 1 KG</t>
  </si>
  <si>
    <t>1X150G</t>
  </si>
  <si>
    <t>4.5 X KILO</t>
  </si>
  <si>
    <t>1 X BUNCH</t>
  </si>
  <si>
    <t>6 X POT</t>
  </si>
  <si>
    <t>2 X 200</t>
  </si>
  <si>
    <t>8 X 20G</t>
  </si>
  <si>
    <t>1 X 7GR</t>
  </si>
  <si>
    <t>1 X 15GR</t>
  </si>
  <si>
    <t>4 X 100G</t>
  </si>
  <si>
    <t>4 X 4.55KG</t>
  </si>
  <si>
    <t>6 X 250ML</t>
  </si>
  <si>
    <t>2 X 800GR</t>
  </si>
  <si>
    <t>6 X 500G</t>
  </si>
  <si>
    <t>1X50G</t>
  </si>
  <si>
    <t>1 X 500ML</t>
  </si>
  <si>
    <t>2 X 1100 PCS</t>
  </si>
  <si>
    <t>1 X 2.63 LTR</t>
  </si>
  <si>
    <t>4 X 2.45KG</t>
  </si>
  <si>
    <t>12 X 250GR</t>
  </si>
  <si>
    <t>1 X 8G</t>
  </si>
  <si>
    <t>8 X 20GR</t>
  </si>
  <si>
    <t>1 X 15G</t>
  </si>
  <si>
    <t>4 X 8X113G</t>
  </si>
  <si>
    <t>4 X 2L</t>
  </si>
  <si>
    <t>6 X 2LTR</t>
  </si>
  <si>
    <t>20 X 250GR</t>
  </si>
  <si>
    <t>1X1 LTR</t>
  </si>
  <si>
    <t>20 X 150G</t>
  </si>
  <si>
    <t>1 X KILO</t>
  </si>
  <si>
    <t>14 X BUNCH</t>
  </si>
  <si>
    <t>6 X 2.85KG</t>
  </si>
  <si>
    <t>4 X 2.27KG</t>
  </si>
  <si>
    <t>12 X 10</t>
  </si>
  <si>
    <t>6 X 360GR</t>
  </si>
  <si>
    <t/>
  </si>
  <si>
    <t>1X1EA</t>
  </si>
  <si>
    <t>20 X 400G</t>
  </si>
  <si>
    <t>1.5 X KILO</t>
  </si>
  <si>
    <t>20 X NO.</t>
  </si>
  <si>
    <t>12 X 350G</t>
  </si>
  <si>
    <t>8 X 15G</t>
  </si>
  <si>
    <t>1 X 7KG</t>
  </si>
  <si>
    <t>2 X 500GR</t>
  </si>
  <si>
    <t>16X1</t>
  </si>
  <si>
    <t>8 X 60G</t>
  </si>
  <si>
    <t>24X500ML</t>
  </si>
  <si>
    <t>24 X 500ML</t>
  </si>
  <si>
    <t>12 X 115G</t>
  </si>
  <si>
    <t>12X125G</t>
  </si>
  <si>
    <t>12 X 125G</t>
  </si>
  <si>
    <t>6 X 450G</t>
  </si>
  <si>
    <t>1 X 450G</t>
  </si>
  <si>
    <t>X 1KG</t>
  </si>
  <si>
    <t>1 X 4 PUNS</t>
  </si>
  <si>
    <t>15 X EACH</t>
  </si>
  <si>
    <t>4 X 1.5K</t>
  </si>
  <si>
    <t>1 X 160G</t>
  </si>
  <si>
    <t>1 X 3.25KG</t>
  </si>
  <si>
    <t>10 X 342G</t>
  </si>
  <si>
    <t>4 X 3.78LTR</t>
  </si>
  <si>
    <t>6 X 2.8KG</t>
  </si>
  <si>
    <t>1 X 20KG</t>
  </si>
  <si>
    <t>1 X 960G</t>
  </si>
  <si>
    <t>20 X 202G</t>
  </si>
  <si>
    <t>15 X 250G</t>
  </si>
  <si>
    <t>4 X 600GR</t>
  </si>
  <si>
    <t>6 X 940G</t>
  </si>
  <si>
    <t>2 X 2310G</t>
  </si>
  <si>
    <t>2 X 250G</t>
  </si>
  <si>
    <t>4 X 2KG</t>
  </si>
  <si>
    <t>10 X 1PNT</t>
  </si>
  <si>
    <t>10 X 575G</t>
  </si>
  <si>
    <t>10 X 1LT</t>
  </si>
  <si>
    <t>2 X 4.5KG</t>
  </si>
  <si>
    <t>10 X STK</t>
  </si>
  <si>
    <t>10 X 220ML</t>
  </si>
  <si>
    <t>3 X 4.1KG</t>
  </si>
  <si>
    <t>1 X STK</t>
  </si>
  <si>
    <t>4 X 5KG</t>
  </si>
  <si>
    <t>12 X 400G</t>
  </si>
  <si>
    <t>1X1LT</t>
  </si>
  <si>
    <t>2 X 2.15LTR</t>
  </si>
  <si>
    <t>1 X 40PCS</t>
  </si>
  <si>
    <t>12 X 360GR</t>
  </si>
  <si>
    <t>12X400G</t>
  </si>
  <si>
    <t>8 X 1KG</t>
  </si>
  <si>
    <t>6 X 210GR</t>
  </si>
  <si>
    <t>6 X 750GR</t>
  </si>
  <si>
    <t>1 X BNCH</t>
  </si>
  <si>
    <t>1 X 250M</t>
  </si>
  <si>
    <t>1 X 800G</t>
  </si>
  <si>
    <t>8X50G</t>
  </si>
  <si>
    <t>1 X 4.1KG</t>
  </si>
  <si>
    <t>5 X 20</t>
  </si>
  <si>
    <t>1 X 40 BOX</t>
  </si>
  <si>
    <t>X 30GR</t>
  </si>
  <si>
    <t>8X20G</t>
  </si>
  <si>
    <t>12 X 75CL</t>
  </si>
  <si>
    <t>1 X STRG</t>
  </si>
  <si>
    <t>12 X PACK</t>
  </si>
  <si>
    <t>12 X BOT</t>
  </si>
  <si>
    <t>10 X 12 IN</t>
  </si>
  <si>
    <t>3 X 5KG</t>
  </si>
  <si>
    <t>40 X 200GR</t>
  </si>
  <si>
    <t>4 X 4KG</t>
  </si>
  <si>
    <t>4X2.27KG</t>
  </si>
  <si>
    <t>1 X 450GM</t>
  </si>
  <si>
    <t>1 X EA</t>
  </si>
  <si>
    <t>1XKG</t>
  </si>
  <si>
    <t>1 X 3GAL</t>
  </si>
  <si>
    <t>6 X 535G</t>
  </si>
  <si>
    <t>1 X 1.24KG</t>
  </si>
  <si>
    <t>10 X 165G</t>
  </si>
  <si>
    <t>6X500G</t>
  </si>
  <si>
    <t>1 X 10 BUNCHES</t>
  </si>
  <si>
    <t>10 x 1KG</t>
  </si>
  <si>
    <t>1 X 400G</t>
  </si>
  <si>
    <t>6X1.5KG</t>
  </si>
  <si>
    <t>8 X 1L</t>
  </si>
  <si>
    <t>8X8</t>
  </si>
  <si>
    <t>1 X 16</t>
  </si>
  <si>
    <t>10KG</t>
  </si>
  <si>
    <t>4 X 30GR</t>
  </si>
  <si>
    <t>4 X 15G</t>
  </si>
  <si>
    <t>1 X 64</t>
  </si>
  <si>
    <t>16x1</t>
  </si>
  <si>
    <t>1 X 190GR</t>
  </si>
  <si>
    <t>6 X 280GR</t>
  </si>
  <si>
    <t>10 X LTR</t>
  </si>
  <si>
    <t>1 X 4.74KG</t>
  </si>
  <si>
    <t>1 X 5/6</t>
  </si>
  <si>
    <t>20 X 500G</t>
  </si>
  <si>
    <t>1 X 750GR</t>
  </si>
  <si>
    <t>1 X 400GR</t>
  </si>
  <si>
    <t>24 X 35G</t>
  </si>
  <si>
    <t>1X9</t>
  </si>
  <si>
    <t>3 X 1KG</t>
  </si>
  <si>
    <t>1 X 1.6K</t>
  </si>
  <si>
    <t>8 X 920</t>
  </si>
  <si>
    <t>25 X KILO</t>
  </si>
  <si>
    <t>6 X 400GR</t>
  </si>
  <si>
    <t>20 X PKT</t>
  </si>
  <si>
    <t>1X20 LT</t>
  </si>
  <si>
    <t>6 X BOX</t>
  </si>
  <si>
    <t>8 X EA</t>
  </si>
  <si>
    <t>1 X 24</t>
  </si>
  <si>
    <t>1 X 52</t>
  </si>
  <si>
    <t>100XSIZE 7</t>
  </si>
  <si>
    <t>9-10 X EACH</t>
  </si>
  <si>
    <t>12 X 435</t>
  </si>
  <si>
    <t>4KG</t>
  </si>
  <si>
    <t>12.5 X KILO</t>
  </si>
  <si>
    <t>4 X 400G</t>
  </si>
  <si>
    <t>6 X 900GR</t>
  </si>
  <si>
    <t>1 X 12.5KG</t>
  </si>
  <si>
    <t>12X200G</t>
  </si>
  <si>
    <t>4 X 2.98 KG</t>
  </si>
  <si>
    <t>1X10LT</t>
  </si>
  <si>
    <t>6 X 680GR</t>
  </si>
  <si>
    <t>X12KG</t>
  </si>
  <si>
    <t>1 X 4.25KG</t>
  </si>
  <si>
    <t>50 X EACH</t>
  </si>
  <si>
    <t>1 X 900G</t>
  </si>
  <si>
    <t>1X200G</t>
  </si>
  <si>
    <t>1X 450G</t>
  </si>
  <si>
    <t>1.5 X KG</t>
  </si>
  <si>
    <t>1 X 1.05KG</t>
  </si>
  <si>
    <t>1 X KILO CASE</t>
  </si>
  <si>
    <t>1 X 460G</t>
  </si>
  <si>
    <t>X 180</t>
  </si>
  <si>
    <t>4 X 2LTR</t>
  </si>
  <si>
    <t>1 X 4</t>
  </si>
  <si>
    <t>2X500G</t>
  </si>
  <si>
    <t>X 2KG</t>
  </si>
  <si>
    <t>16 X PKT</t>
  </si>
  <si>
    <t>6 X 2900ML</t>
  </si>
  <si>
    <t>6 X 250G</t>
  </si>
  <si>
    <t>6 X 460G</t>
  </si>
  <si>
    <t>1 X 1.08KG</t>
  </si>
  <si>
    <t>1 X CASE</t>
  </si>
  <si>
    <t>30 X EACH</t>
  </si>
  <si>
    <t>1 X 10</t>
  </si>
  <si>
    <t>40 X CASE</t>
  </si>
  <si>
    <t>11X450G</t>
  </si>
  <si>
    <t>1X 25KG</t>
  </si>
  <si>
    <t>1 X 9KG</t>
  </si>
  <si>
    <t>S24</t>
  </si>
  <si>
    <t>Weight</t>
  </si>
  <si>
    <t>High care</t>
  </si>
  <si>
    <t>Low risk</t>
  </si>
  <si>
    <t>Z433CS</t>
  </si>
  <si>
    <t>PEPP MXD DCD 20MM HC RTW 2.5KG</t>
  </si>
  <si>
    <t>Z434CS</t>
  </si>
  <si>
    <t>PEPP MXD DCD 20MM HC RTW 1KG</t>
  </si>
  <si>
    <t>Z435CS</t>
  </si>
  <si>
    <t>SPIRAL BEET 3MM M/C RTE 2.5 KG</t>
  </si>
  <si>
    <t>Z436CS</t>
  </si>
  <si>
    <t>SPIRAL BEET 3MM M/C RTE 1KG</t>
  </si>
  <si>
    <t>SPIRALISED Beetroot</t>
  </si>
  <si>
    <t>Z439CS</t>
  </si>
  <si>
    <t>CARR JUL 4MM LONG M/C RTE 1KG</t>
  </si>
  <si>
    <t>Z432CS</t>
  </si>
  <si>
    <t>GRAN CUT CARROT 30MM 1KG</t>
  </si>
  <si>
    <t>Carrot Granny Cut</t>
  </si>
  <si>
    <t>50mm Long carrot Julienne</t>
  </si>
  <si>
    <t>50mm Long leek Julienne</t>
  </si>
  <si>
    <t>Z440CS</t>
  </si>
  <si>
    <t>Z441CS</t>
  </si>
  <si>
    <t>Z442CS</t>
  </si>
  <si>
    <t>CARR JUL 4MM LONG M/C RTE 2.5KG</t>
  </si>
  <si>
    <t>LEEK JUL 4MM LONG M/C RTE 1KG</t>
  </si>
  <si>
    <t>LEEK JUL 4MM LONG M/C RTE 2.5KG</t>
  </si>
  <si>
    <t>HS685</t>
  </si>
  <si>
    <t>RM - TIC AMAZU PICKLING VINEGAR 5KG</t>
  </si>
  <si>
    <t>182BCS</t>
  </si>
  <si>
    <t>Case Cost</t>
  </si>
  <si>
    <t>Pack weight</t>
  </si>
  <si>
    <t>Previous Cost</t>
  </si>
  <si>
    <t>Comment</t>
  </si>
  <si>
    <t>Used cost of beef tomato as the 6kg loose tomato is not available</t>
  </si>
  <si>
    <t>Used beef tomato cost which will substitute for dicing</t>
  </si>
  <si>
    <t>Used cost of 2kg spring onion material "3644CS"</t>
  </si>
  <si>
    <t>Used summer cost</t>
  </si>
  <si>
    <t>Used cost of 2kg spring onion material "3644CS" as im unsure about the cost/kg of new spring onion 20X bunch</t>
  </si>
  <si>
    <t>Avg Monthly sales qty</t>
  </si>
  <si>
    <t>Margin Summer price</t>
  </si>
  <si>
    <t>Margin Winter price</t>
  </si>
  <si>
    <t>Avg Monthly sales Value (Summer)</t>
  </si>
  <si>
    <t>Change</t>
  </si>
  <si>
    <t>Metal Detection/Pallet</t>
  </si>
  <si>
    <t>Total Time in Min</t>
  </si>
  <si>
    <t>Min Packing</t>
  </si>
  <si>
    <t>106BCS</t>
  </si>
  <si>
    <t>PKLD DICED RED ONION 5MM 2X1.3KG</t>
  </si>
  <si>
    <t>Z431CS</t>
  </si>
  <si>
    <t>GRAN CUT CARROT 30MM 2.5KG</t>
  </si>
  <si>
    <t>Z437CS</t>
  </si>
  <si>
    <t>Z438CS</t>
  </si>
  <si>
    <t>PEPP GRN BAT 10X60 HC RTW 2.5K</t>
  </si>
  <si>
    <t>PEPP GRN BAT 10X60 HC RTW 1KG</t>
  </si>
  <si>
    <t>PEP GRN BAT 10X60 H/C RTW</t>
  </si>
  <si>
    <t>BRUN CELER 10MM H/C RTW</t>
  </si>
  <si>
    <t>BRUN CARR 10MM H/C RTW</t>
  </si>
  <si>
    <t>BRUN LEEK 10MM H/C RTW</t>
  </si>
  <si>
    <t>BRUN ONIONS 10MM H/C RTW</t>
  </si>
  <si>
    <t>Z449CS</t>
  </si>
  <si>
    <t>Z450CS</t>
  </si>
  <si>
    <t>Z451CS</t>
  </si>
  <si>
    <t>Z452CS</t>
  </si>
  <si>
    <t>Z453CS</t>
  </si>
  <si>
    <t>Z454CS</t>
  </si>
  <si>
    <t>Z455CS</t>
  </si>
  <si>
    <t>Z456CS</t>
  </si>
  <si>
    <t>BRUN CARR 10MM H/C RTW 2.5KG</t>
  </si>
  <si>
    <t>BRUN CARR 10MM H/C RTW 1KG</t>
  </si>
  <si>
    <t>BRUN CELER 10MM H/C RTW 2.5KG</t>
  </si>
  <si>
    <t>BRUN CELER 10MM H/C RTW 1KG</t>
  </si>
  <si>
    <t>BRUN ONIONS 10MM H/C RTW 2.5KG</t>
  </si>
  <si>
    <t>BRUN ONIONS 10MM H/C RTW 1KG</t>
  </si>
  <si>
    <t>BRUN LEEK 10MM H/C RTW 2.5KG</t>
  </si>
  <si>
    <t>BRUN LEEK 10MM H/C RTW 1KG</t>
  </si>
  <si>
    <t>P2202EA</t>
  </si>
  <si>
    <t>3kg</t>
  </si>
  <si>
    <t>N001CS</t>
  </si>
  <si>
    <t>NK</t>
  </si>
  <si>
    <t>PEPPER RED DICED 25MM 1KG</t>
  </si>
  <si>
    <t>N002CS</t>
  </si>
  <si>
    <t>N003CS</t>
  </si>
  <si>
    <t>N004CS</t>
  </si>
  <si>
    <t>N005CS</t>
  </si>
  <si>
    <t>N007CS</t>
  </si>
  <si>
    <t>N008CS</t>
  </si>
  <si>
    <t>N009CS</t>
  </si>
  <si>
    <t>N010CS</t>
  </si>
  <si>
    <t>N011CS</t>
  </si>
  <si>
    <t>N012CS</t>
  </si>
  <si>
    <t>N013CS</t>
  </si>
  <si>
    <t>N014CS</t>
  </si>
  <si>
    <t>N015CS</t>
  </si>
  <si>
    <t>N016CS</t>
  </si>
  <si>
    <t>N018CS</t>
  </si>
  <si>
    <t>N019CS</t>
  </si>
  <si>
    <t>N020CS</t>
  </si>
  <si>
    <t>N021CS</t>
  </si>
  <si>
    <t>N023CS</t>
  </si>
  <si>
    <t>N024CS</t>
  </si>
  <si>
    <t>N025CS</t>
  </si>
  <si>
    <t>N026CS</t>
  </si>
  <si>
    <t>N027CS</t>
  </si>
  <si>
    <t>N028CS</t>
  </si>
  <si>
    <t>N029CS</t>
  </si>
  <si>
    <t>N030CS</t>
  </si>
  <si>
    <t>N031CS</t>
  </si>
  <si>
    <t>N032CS</t>
  </si>
  <si>
    <t>N033CS</t>
  </si>
  <si>
    <t>N034CS</t>
  </si>
  <si>
    <t>N035CS</t>
  </si>
  <si>
    <t>N036CS</t>
  </si>
  <si>
    <t>N037CS</t>
  </si>
  <si>
    <t>N038CS</t>
  </si>
  <si>
    <t>N039CS</t>
  </si>
  <si>
    <t>N040CS</t>
  </si>
  <si>
    <t>N042CS</t>
  </si>
  <si>
    <t>N043CS</t>
  </si>
  <si>
    <t>N044CS</t>
  </si>
  <si>
    <t>N045CS</t>
  </si>
  <si>
    <t>N046CS</t>
  </si>
  <si>
    <t>N047CS</t>
  </si>
  <si>
    <t>N048CS</t>
  </si>
  <si>
    <t>N049CS</t>
  </si>
  <si>
    <t>N050CS</t>
  </si>
  <si>
    <t>N051CS</t>
  </si>
  <si>
    <t>N052CS</t>
  </si>
  <si>
    <t>N053CS</t>
  </si>
  <si>
    <t>N054CS</t>
  </si>
  <si>
    <t>N056CS</t>
  </si>
  <si>
    <t>N057CS</t>
  </si>
  <si>
    <t>PEPPER MIXED DICED 20MM 1KG</t>
  </si>
  <si>
    <t>PEELED SWEET POTATO WEDGES 1KG</t>
  </si>
  <si>
    <t>PINEAPPLE SLICES 1 X 800G</t>
  </si>
  <si>
    <t>POTATOES 1/4 CUT ROAST 1KG</t>
  </si>
  <si>
    <t>WATERMELON TRIANGLES 1 X 800G</t>
  </si>
  <si>
    <t>SWEET POTATOES DICED 20MM 1KG</t>
  </si>
  <si>
    <t>BROCCOLI FLORETS 20G 1KG</t>
  </si>
  <si>
    <t>WHITE ONIONS DICED 10MM 1KG</t>
  </si>
  <si>
    <t>DICED MUSHROOM BUTTONS 5MM 1KG</t>
  </si>
  <si>
    <t>MELON SLICES 1 X 800G</t>
  </si>
  <si>
    <t>GINGER PUREE 1KG</t>
  </si>
  <si>
    <t>GARLIC PUREE 1KG SP</t>
  </si>
  <si>
    <t>CUCUMBER STICKS 1 X 800G</t>
  </si>
  <si>
    <t>RED ONIONS DICED 5MM 1KG</t>
  </si>
  <si>
    <t>CAULIFLOWER FLORETS 30G 1KG</t>
  </si>
  <si>
    <t>MIX CELARIAC,SWEDE,SQUASH 1KG</t>
  </si>
  <si>
    <t>COURGETTE HALF MOON 1KG</t>
  </si>
  <si>
    <t>SUGARSNAP T&amp;T 1KG</t>
  </si>
  <si>
    <t>PARSNIP DICED 20MM 1KG</t>
  </si>
  <si>
    <t>PREP ORANGE SEGEMENTS 800G</t>
  </si>
  <si>
    <t>NEW POTATOES WITH SKIN 1/4 1KG</t>
  </si>
  <si>
    <t>COURGETTE MATCH 2.5MM 1KG</t>
  </si>
  <si>
    <t>PEPPER RED DICED 10MM 1KG</t>
  </si>
  <si>
    <t>POTATOES SLICED 10MM 2.5KG</t>
  </si>
  <si>
    <t>SWEET POTATOES GRATED 1KG</t>
  </si>
  <si>
    <t>AUBERGINE DICED 10MM 1KG</t>
  </si>
  <si>
    <t>RED ONIONS DICED 20MM 1KG</t>
  </si>
  <si>
    <t>CARROT STICKS 10X6MM 800G</t>
  </si>
  <si>
    <t>CAULIFLOWER DICED 20MM 1KG</t>
  </si>
  <si>
    <t>CARROT 1/2 MOON 5MM 1KG</t>
  </si>
  <si>
    <t>BUTTERNUT SQUASH WEDGES 1KG</t>
  </si>
  <si>
    <t>GREEN BEANS SLICED 25MM 2.5KG</t>
  </si>
  <si>
    <t>POTATOES DICE 10MM 1KG</t>
  </si>
  <si>
    <t>AUBERGINE DICED 20MM 1KG</t>
  </si>
  <si>
    <t>KALE CHOPPED 1KG</t>
  </si>
  <si>
    <t>CARROT DICED 20MM 1KG</t>
  </si>
  <si>
    <t>DICED FENNEL 5MM 1KG</t>
  </si>
  <si>
    <t>DICED FENNEL 12MM 1KG</t>
  </si>
  <si>
    <t>CELERIAC DICED 10MM 1KG</t>
  </si>
  <si>
    <t>PEPPER RED DICED 20MM 1KG</t>
  </si>
  <si>
    <t>SWEDE DICE 10MM 1KG</t>
  </si>
  <si>
    <t>RED ONIONS DICED 15MM 1KG</t>
  </si>
  <si>
    <t>WHITE ONIONS DICED 15MM 1KG</t>
  </si>
  <si>
    <t>NK
Yield</t>
  </si>
  <si>
    <t>NK
Time</t>
  </si>
  <si>
    <t>Peeled Sweet Potato Wedges</t>
  </si>
  <si>
    <t>Potato 1/4 cut roast</t>
  </si>
  <si>
    <t>Watermelon Triangles</t>
  </si>
  <si>
    <t>Sweet Potato Diced 20mm</t>
  </si>
  <si>
    <t>Diced mushrooms button 5mm</t>
  </si>
  <si>
    <t>Melon Yellow Slices</t>
  </si>
  <si>
    <t>Cucumber Sticks</t>
  </si>
  <si>
    <t>Butternut squash - Diced 20MM</t>
  </si>
  <si>
    <t>Courgette half moon</t>
  </si>
  <si>
    <t>Grated Sweet Potatoes</t>
  </si>
  <si>
    <t>Butternut Squash wedges</t>
  </si>
  <si>
    <t>Kale - Shredded 3mm</t>
  </si>
  <si>
    <t>Diced fennel 5mm</t>
  </si>
  <si>
    <t>Diced Fennel 12mm</t>
  </si>
  <si>
    <t>RED/ON DICE 15MM M/C</t>
  </si>
  <si>
    <t>349BCS</t>
  </si>
  <si>
    <t>CABBAGE KALE COLESLAW 1X5KG</t>
  </si>
  <si>
    <t>Z469CS</t>
  </si>
  <si>
    <t>OKRA T&amp;T 3-4CM H/C RTC 2.5KG</t>
  </si>
  <si>
    <t>RM - OKRA 2KG</t>
  </si>
  <si>
    <t>OKRA T&amp;T 3-4CM H/C RTC</t>
  </si>
  <si>
    <t>Z460CS</t>
  </si>
  <si>
    <t>CUCMBR RIBBONS 14CMX2MM HC 1KG</t>
  </si>
  <si>
    <t>CUCMBR RIBBONS 14CMX2MM</t>
  </si>
  <si>
    <t>Z459CS</t>
  </si>
  <si>
    <t>CUCMBR RIBBON 14CMX2MM HC 2.5K</t>
  </si>
  <si>
    <t>352BCS</t>
  </si>
  <si>
    <t>COLESLAW MIX 8X500G</t>
  </si>
  <si>
    <t>N070CS</t>
  </si>
  <si>
    <t>LEEK DICED 10MM 2.5KG</t>
  </si>
  <si>
    <t>Microwave containers</t>
  </si>
  <si>
    <t>Z447CS</t>
  </si>
  <si>
    <t>POMME NEUF 1.5X1.5X6CM RTW 1KG</t>
  </si>
  <si>
    <t>Z448CS</t>
  </si>
  <si>
    <t>POMME NEUF 1.5X1.5X6CM RTW 2.5KG</t>
  </si>
  <si>
    <t>POMME NEUF 1.5X1.5X6CM RTW</t>
  </si>
  <si>
    <t>Z443CS</t>
  </si>
  <si>
    <t>REDBABY BEET PLD 15G HC RTW 50EA</t>
  </si>
  <si>
    <t>REDBABY BEET PLD 15G HC RTW</t>
  </si>
  <si>
    <t>P0334KG</t>
  </si>
  <si>
    <t>PEAR - WILLIAMS, PLD, CRD, BTM - 1KG</t>
  </si>
  <si>
    <t>C0334KG</t>
  </si>
  <si>
    <t>RM - Pear - Williams</t>
  </si>
  <si>
    <t>PINEAPPLE SLICES 1 X 400G</t>
  </si>
  <si>
    <t>WATERMELON TRIANGLES 1 X 400G</t>
  </si>
  <si>
    <t>MELON SLICES 1 X 400G</t>
  </si>
  <si>
    <t>CUCUMBER STICKS 1 X 400G</t>
  </si>
  <si>
    <t>PREP ORANGE SEGEMENTS 400G</t>
  </si>
  <si>
    <t>CARROT STICKS 10X6MM 400G</t>
  </si>
  <si>
    <t>POTATOES 1/4 CUT ROAST 2.5KG</t>
  </si>
  <si>
    <t>BROCCOLI FLORETS 20G 2.5KG</t>
  </si>
  <si>
    <t>CAULIFLOWER FLORETS 30G 2.5KG</t>
  </si>
  <si>
    <t>PREP DICED BUTTERNUT 15MM X2.5KG</t>
  </si>
  <si>
    <t>SUGARSNAP T&amp;T 2.5KG</t>
  </si>
  <si>
    <t>PARSNIP DICED 20MM 2.5KG</t>
  </si>
  <si>
    <t>NEW POTATOES WITH SKIN 1/4 2.5KG</t>
  </si>
  <si>
    <t>CAULIFLOWER DICED 20MM 2.5KG</t>
  </si>
  <si>
    <t>CARROT 1/2 MOON 5MM 2.5KG</t>
  </si>
  <si>
    <t>SPRING ONION SLICES 4MM 2.5KG</t>
  </si>
  <si>
    <t>CARROT DICED 20MM 2.5KG</t>
  </si>
  <si>
    <t>REDBABY BEET PLD 15G HC RTW 100EA</t>
  </si>
  <si>
    <t>Z444CS</t>
  </si>
  <si>
    <t>Prep Shallots 2.5kg</t>
  </si>
  <si>
    <t>Prep Shallots</t>
  </si>
  <si>
    <t>PEAR - WILLIAMS, PLD, CRD, BTM</t>
  </si>
  <si>
    <t>PREP ONION RED WHOLE</t>
  </si>
  <si>
    <t>BRUSS SPR 5mm slice</t>
  </si>
  <si>
    <t>P2091EA</t>
  </si>
  <si>
    <t>MUSH, CHEST – JULIENNE 2.5KG</t>
  </si>
  <si>
    <t>P2117EA</t>
  </si>
  <si>
    <t>P2118EA</t>
  </si>
  <si>
    <t>P2119EA</t>
  </si>
  <si>
    <t>P2176EA</t>
  </si>
  <si>
    <t>PEPPER, RED - JULIENNE 2.5KG</t>
  </si>
  <si>
    <t>CARROT - JULIENNE 2.5KG</t>
  </si>
  <si>
    <t>PEPPER, GREEN - JULIENNE 2.5KG</t>
  </si>
  <si>
    <t>ONION, WHT – JULIENNE 2.5KG</t>
  </si>
  <si>
    <t>P1202EA</t>
  </si>
  <si>
    <t>P2306EA</t>
  </si>
  <si>
    <t>P1862EA</t>
  </si>
  <si>
    <t>P2833EA</t>
  </si>
  <si>
    <t>P2555EA</t>
  </si>
  <si>
    <t>P1885EA</t>
  </si>
  <si>
    <t>P2558EA</t>
  </si>
  <si>
    <t>P2905EA</t>
  </si>
  <si>
    <t>P2459EA</t>
  </si>
  <si>
    <t>P2831EA</t>
  </si>
  <si>
    <t>Pepper, Red - Diced, 25-30mm HC 1KG</t>
  </si>
  <si>
    <t>Onion, Red - Diced, 10mm 2.5KG</t>
  </si>
  <si>
    <t>Mushroom, Button - Sliced HC 1KG</t>
  </si>
  <si>
    <t>Carrot - Diced, 5mm 2.5KG</t>
  </si>
  <si>
    <t>Onion, Brown - Diced, 5mm 2.5KG</t>
  </si>
  <si>
    <t>Pepper, Yellow - Diced, 25-30mm HC 1KG</t>
  </si>
  <si>
    <t>Onion, Brown - Peeled 2.5KG</t>
  </si>
  <si>
    <t>Shallot, Banana - Peeled 2.5KG</t>
  </si>
  <si>
    <t>Carrot - Peeled 2.5KG</t>
  </si>
  <si>
    <t>Broccoli - Florets 2.5KG</t>
  </si>
  <si>
    <t>RED/ON DICE 10MM M/C</t>
  </si>
  <si>
    <t>324BCS</t>
  </si>
  <si>
    <t>N071CS</t>
  </si>
  <si>
    <t>check breakdown of costs</t>
  </si>
  <si>
    <t>N069CS</t>
  </si>
  <si>
    <t>PAK CHOI SHREDDED 15MM 2.5KG</t>
  </si>
  <si>
    <t>983ACS</t>
  </si>
  <si>
    <t>PREP Sliced Radish 1kg</t>
  </si>
  <si>
    <t>Z470CS</t>
  </si>
  <si>
    <t>OKRA T&amp;T 3-4CM H/C RTC 1KG</t>
  </si>
  <si>
    <t>N072CS</t>
  </si>
  <si>
    <t>White Onion diced 15mm</t>
  </si>
  <si>
    <t>N073CS</t>
  </si>
  <si>
    <t>Red onion diced 15mm</t>
  </si>
  <si>
    <t>N080CS</t>
  </si>
  <si>
    <t>N075CS</t>
  </si>
  <si>
    <t>N094CS</t>
  </si>
  <si>
    <t>N096CS</t>
  </si>
  <si>
    <t>Red Pepper Diced 20mm</t>
  </si>
  <si>
    <t>N097CS</t>
  </si>
  <si>
    <t>Mixed Peppers 20mm</t>
  </si>
  <si>
    <t>N078CS</t>
  </si>
  <si>
    <t>N093CS</t>
  </si>
  <si>
    <t>Butternut Squash diced 15mm</t>
  </si>
  <si>
    <t>Celeriac, Swede &amp; Squash mix 20mm</t>
  </si>
  <si>
    <t>N085CS</t>
  </si>
  <si>
    <t>N084CS</t>
  </si>
  <si>
    <t>Courgette grated</t>
  </si>
  <si>
    <t>N076CS</t>
  </si>
  <si>
    <t>New potatoes 1/4</t>
  </si>
  <si>
    <t>N092CS</t>
  </si>
  <si>
    <t>Aubergine diced 10mm</t>
  </si>
  <si>
    <t>N079CS</t>
  </si>
  <si>
    <t>N077CS</t>
  </si>
  <si>
    <t>Sliced Potatoes 6mm</t>
  </si>
  <si>
    <t>N081CS</t>
  </si>
  <si>
    <t>Carrot Diced 10mm</t>
  </si>
  <si>
    <t>N095CS</t>
  </si>
  <si>
    <t>Red pepper Diced 10mm</t>
  </si>
  <si>
    <t>N082CS</t>
  </si>
  <si>
    <t>Diced Carrot 20mm</t>
  </si>
  <si>
    <t>N086CS</t>
  </si>
  <si>
    <t>Pak choi</t>
  </si>
  <si>
    <t>N087CS</t>
  </si>
  <si>
    <t>Chopped Kale</t>
  </si>
  <si>
    <t>N083CS</t>
  </si>
  <si>
    <t>Carrot grated</t>
  </si>
  <si>
    <t>N088CS</t>
  </si>
  <si>
    <t>N089CS</t>
  </si>
  <si>
    <t>N090CS</t>
  </si>
  <si>
    <t>Celeriac Diced 10mm</t>
  </si>
  <si>
    <t>N091CS</t>
  </si>
  <si>
    <t>Diced Swede 10mm</t>
  </si>
  <si>
    <t>PAK CHOI SHREDDED 15MM</t>
  </si>
  <si>
    <t>Pak choi 15MM</t>
  </si>
  <si>
    <t>Time Factor</t>
  </si>
  <si>
    <t>total time/product</t>
  </si>
  <si>
    <t>N074CS</t>
  </si>
  <si>
    <t>PEELED POT WEDG 100X20 X 2.5KG</t>
  </si>
  <si>
    <t>Peeled Potato wedges - 120mm x30mm</t>
  </si>
  <si>
    <t>JERU/ART DCD 10MM M/C RTW 1KG</t>
  </si>
  <si>
    <t>JERU/ART DCD 10MM M/C RTW 2.5KG</t>
  </si>
  <si>
    <t>Z478CS</t>
  </si>
  <si>
    <t>Z477CS</t>
  </si>
  <si>
    <t>JERU/ART DCD 10MM M/C RTW</t>
  </si>
  <si>
    <t>Z479CS</t>
  </si>
  <si>
    <t>Z480CS</t>
  </si>
  <si>
    <t>Z475CS</t>
  </si>
  <si>
    <t>Z476CS</t>
  </si>
  <si>
    <t>Z473CS</t>
  </si>
  <si>
    <t>Z474CS</t>
  </si>
  <si>
    <t>LEEK WHT RONDEL 15G HC RTW 1KG</t>
  </si>
  <si>
    <t>LEEK WHT RONDEL 15G HC RTW 2.5KG</t>
  </si>
  <si>
    <t>POT DICE 20MM H/C RTW 1KG</t>
  </si>
  <si>
    <t>POT DICE 20MM H/C RTW 2.5KG</t>
  </si>
  <si>
    <t>LEEK WHT RONDEL 15G HC RTW</t>
  </si>
  <si>
    <t>AUB SLC ROUND 2CM H/C RTW 1KG</t>
  </si>
  <si>
    <t>AUB SLC ROUND 2CM H/C RTW 2.5KG</t>
  </si>
  <si>
    <t>CELERIAC RUST 50G HC RTW 1KG</t>
  </si>
  <si>
    <t>CELERIAC RUST 50G HC RTW 2.5KG</t>
  </si>
  <si>
    <t>COUR RIBBON 10CMX2MM RTW 1KG</t>
  </si>
  <si>
    <t>COUR RIBBON 10CMX2MM RTW 2.5KG</t>
  </si>
  <si>
    <t>FENNEL DICE 10MM M/C RTW 1KG</t>
  </si>
  <si>
    <t>FENNEL DICE 10MM M/C RTW 2.5KG</t>
  </si>
  <si>
    <t>AUB SLC ROUND 2CM H/C RTW</t>
  </si>
  <si>
    <t>CELERIAC RUST 50G HC RTW</t>
  </si>
  <si>
    <t>COUR RIBBON 10CMX2MM RTW</t>
  </si>
  <si>
    <t>FENNEL DICE 10MM M/C RTW</t>
  </si>
  <si>
    <t>New</t>
  </si>
  <si>
    <t>REY 40 30 BOX</t>
  </si>
  <si>
    <t>PALE BLUE BAG 250X300MM</t>
  </si>
  <si>
    <t>PALE BLUE BAG 430X430MM</t>
  </si>
  <si>
    <t>1000ML RECT TAMPER EVID POTS &amp; LIDS</t>
  </si>
  <si>
    <t>PALE BLUE BAG 470X750MM</t>
  </si>
  <si>
    <t>HDPE TRAY 573</t>
  </si>
  <si>
    <t>FILM FOR HDPE TRAY 573</t>
  </si>
  <si>
    <t>XL GRAZE REVIVE POT (X6)</t>
  </si>
  <si>
    <t>300-425ML CL R-PET REVIVE LID (X6)</t>
  </si>
  <si>
    <t>VACK PACK 300x400</t>
  </si>
  <si>
    <t>VACK PACK 360x520</t>
  </si>
  <si>
    <t>BUCKET 3L PJET</t>
  </si>
  <si>
    <t>LID 2.2L PJET 2.2L-3.8L</t>
  </si>
  <si>
    <t>BUCKET16-5L JET2+ WHITE</t>
  </si>
  <si>
    <t>LID 16L JET2+ 16-21L - WHITE</t>
  </si>
  <si>
    <t>BUCKET 2.2L PET</t>
  </si>
  <si>
    <t>DIE CUT CARTON 390MM X 290MM</t>
  </si>
  <si>
    <t>SOL 30EL # PPLUS 630x1000 BLUE -1</t>
  </si>
  <si>
    <t>SOL 30EL # PPLUS 630x1000 BLUE -4</t>
  </si>
  <si>
    <t>SOL 30EL # PPLUS 630x1000 BLUE -6</t>
  </si>
  <si>
    <t>SOL 30EL # PPLUS 630x1000 BLUE -8</t>
  </si>
  <si>
    <t>353BCS</t>
  </si>
  <si>
    <t>CARDYMA CHIPPING POTATOES 25KG</t>
  </si>
  <si>
    <t>RM - CAULIFLOWER 1X8</t>
  </si>
  <si>
    <t>2980CS</t>
  </si>
  <si>
    <t>ASPARAGUS XL BUNCH 10 X 500G</t>
  </si>
  <si>
    <t>RM - PROCESSING LEEKS 5KG</t>
  </si>
  <si>
    <t>Summer 25 Cost</t>
  </si>
  <si>
    <t>Summer price</t>
  </si>
  <si>
    <t>Sales Price Winter 24</t>
  </si>
  <si>
    <t>YES</t>
  </si>
  <si>
    <t>RM - DECORED RED CABBAGE 1/3 1200KG</t>
  </si>
  <si>
    <t>RM - DECORE WHITE CABBAGE 1/3 1200KG</t>
  </si>
  <si>
    <t>567BCS</t>
  </si>
  <si>
    <t>568BCS</t>
  </si>
  <si>
    <t>KALE SHREDDED 15MM RTE 2.5KG</t>
  </si>
  <si>
    <t>LARGE FLAT MUSHROOM SLC 5MM STLK IN 1KG</t>
  </si>
  <si>
    <t>KALE SHREDDED 15MM</t>
  </si>
  <si>
    <t>LARGE FLAT MUSHROOM SLC 5MM STLK IN</t>
  </si>
  <si>
    <t>N100CS</t>
  </si>
  <si>
    <t>N098CS</t>
  </si>
  <si>
    <t>N099CS</t>
  </si>
  <si>
    <t>142CCS</t>
  </si>
  <si>
    <t>RM - ROSE ONIONS 10 X 1KG</t>
  </si>
  <si>
    <t>3221cs</t>
  </si>
  <si>
    <t>162CCS</t>
  </si>
  <si>
    <t>163CCS</t>
  </si>
  <si>
    <t>FRESH CELERIAC JULIENNE X2.5KG</t>
  </si>
  <si>
    <t>FRESH PARSNIP JULIENNE X2.5KG</t>
  </si>
  <si>
    <t>PARSNIP JULIENNE</t>
  </si>
  <si>
    <t>JALAPENO SLAW MIX 1 x  2kg</t>
  </si>
  <si>
    <t>241CCS</t>
  </si>
  <si>
    <t>MUSHROOM MIX 50/50 1 x 1kg</t>
  </si>
  <si>
    <t>CHILLIES JALAPENO GREEN 3mm slice</t>
  </si>
  <si>
    <t>RM - CHILLIES JALAPENO GREEN  X2KG</t>
  </si>
  <si>
    <t>MUSHROOM BUTTON 5MM Slice</t>
  </si>
  <si>
    <t>MUSHROOM CHESTNUT 5MM Slice</t>
  </si>
  <si>
    <t>SHOESTRING POTATOES 1 X 1KG</t>
  </si>
  <si>
    <t>304CCS</t>
  </si>
  <si>
    <t>302CCS</t>
  </si>
  <si>
    <t>Sliced Red Onion Rings 3mm-4mm UNGRADED 1 X 1KG</t>
  </si>
  <si>
    <t>Sliced Red Onion Rings 3mm-4mm UNGRADED</t>
  </si>
  <si>
    <t>303CCS</t>
  </si>
  <si>
    <t>WHITE ONION RING 10MM GRADED 1 X 1KG</t>
  </si>
  <si>
    <t>WHITE ONION RING 10MM GRADED</t>
  </si>
  <si>
    <t>305CCS</t>
  </si>
  <si>
    <t>BEEF TOMATO SLICED 5MM 1X 1KG</t>
  </si>
  <si>
    <t>243CCS</t>
  </si>
  <si>
    <t>P1865CS</t>
  </si>
  <si>
    <t>P1180CS</t>
  </si>
  <si>
    <t>Group</t>
  </si>
  <si>
    <t>Potato</t>
  </si>
  <si>
    <t>Onion</t>
  </si>
  <si>
    <t>Peppers</t>
  </si>
  <si>
    <t>Tomato</t>
  </si>
  <si>
    <t>Cabage</t>
  </si>
  <si>
    <t>Fruits</t>
  </si>
  <si>
    <t>Butternut</t>
  </si>
  <si>
    <t>Mushroom</t>
  </si>
  <si>
    <t>fruits</t>
  </si>
  <si>
    <t>Other</t>
  </si>
  <si>
    <t>Packing</t>
  </si>
  <si>
    <t>165CCS</t>
  </si>
  <si>
    <t>KALE &amp; CABBAGE SLAW 1 X 500G</t>
  </si>
  <si>
    <t>P0016A</t>
  </si>
  <si>
    <t>REY 40 30 BOX 4 in 1</t>
  </si>
  <si>
    <t>black box 4 in 1</t>
  </si>
  <si>
    <t>Winter 25 Cost</t>
  </si>
  <si>
    <t>Winter price</t>
  </si>
  <si>
    <t>ASPARAGUS XL BUNCH  10 X 500G</t>
  </si>
  <si>
    <t>1081CS</t>
  </si>
  <si>
    <t>166CCS</t>
  </si>
  <si>
    <t>BROCCOLI SHREDDED 1 X 500G</t>
  </si>
  <si>
    <t>Shredded broccoli M/C RTE, inc. stem</t>
  </si>
  <si>
    <t>167CCS</t>
  </si>
  <si>
    <t>PICKLED RED CABBAGE 1 X 650G</t>
  </si>
  <si>
    <t>10X 1KG</t>
  </si>
  <si>
    <t>16 X 2</t>
  </si>
  <si>
    <t>1 X 600KG</t>
  </si>
  <si>
    <t>244CCS</t>
  </si>
  <si>
    <t>RED ONION RINGS 3-4MM 2.5KG</t>
  </si>
  <si>
    <t>CF01EA</t>
  </si>
  <si>
    <t>Corn Salsa 1KG</t>
  </si>
  <si>
    <t>CF02CS</t>
  </si>
  <si>
    <t>Diced mixed apple (red and green apple) 20mm 2KG Tub</t>
  </si>
  <si>
    <t>CF03CS</t>
  </si>
  <si>
    <t>Red cabbage and carrot Slaw 2KG</t>
  </si>
  <si>
    <t>CF01CS</t>
  </si>
  <si>
    <t>Corn Salsa 4 X 1KG</t>
  </si>
  <si>
    <t>Diced Green apple 20mm Dice</t>
  </si>
  <si>
    <t>Diced Red apple 20mm Dice</t>
  </si>
  <si>
    <t>CHILLIES RED BULLET Mince</t>
  </si>
  <si>
    <t>CHILLIES JALAPENO GREEN Mince</t>
  </si>
  <si>
    <t>Sweetcorn drain and pack</t>
  </si>
  <si>
    <t>Lemon juice</t>
  </si>
  <si>
    <t>932BCS</t>
  </si>
  <si>
    <t>RM – CHILLIES RED BULLET 250G</t>
  </si>
  <si>
    <t>RM - TINNED SWEETCORN</t>
  </si>
  <si>
    <t>RM - APPLES GOLDEN DEL X 12 KG</t>
  </si>
  <si>
    <t>Red cabbage and carrot Slaw 1KG</t>
  </si>
  <si>
    <t>Winter Cash Margin</t>
  </si>
  <si>
    <t>449CCS</t>
  </si>
  <si>
    <t>POTATO RUMBLED 5KG</t>
  </si>
  <si>
    <t>POTATO RUMBLED</t>
  </si>
  <si>
    <t>P1256CS</t>
  </si>
  <si>
    <t>COLESLAW RED &amp; WTE 2.5KG</t>
  </si>
  <si>
    <t>P1318CS</t>
  </si>
  <si>
    <t>P1374CS</t>
  </si>
  <si>
    <t>P1334CS</t>
  </si>
  <si>
    <t>P1536CS</t>
  </si>
  <si>
    <t>P1145CS</t>
  </si>
  <si>
    <t>P1174CS</t>
  </si>
  <si>
    <t>POTS NEW 1/4 HC roast</t>
  </si>
  <si>
    <t>Pineapple - Cubed 10MM</t>
  </si>
  <si>
    <t>474CCS</t>
  </si>
  <si>
    <t>475CCS</t>
  </si>
  <si>
    <t>Fruit Pot Mango Dice 6 X 140G (1XLIME WEDGE)</t>
  </si>
  <si>
    <t>Fruit Pot Mix 6 X 170G</t>
  </si>
  <si>
    <t>Mango - Diced 15mm</t>
  </si>
  <si>
    <t>Lime Wedges</t>
  </si>
  <si>
    <t>Pineapple - Diced 15mm</t>
  </si>
  <si>
    <t>Melon Cantaloupe - Diced 15MM</t>
  </si>
  <si>
    <t>LIME 6 EA</t>
  </si>
  <si>
    <t>VACK   PACK  Large</t>
  </si>
  <si>
    <t>300CCS</t>
  </si>
  <si>
    <t>WHITE ONION RING 10MM GRADED IN TUB 1 X 1KG</t>
  </si>
  <si>
    <t>N109CS</t>
  </si>
  <si>
    <t>BOX INSERT 20*220</t>
  </si>
  <si>
    <t>P0028</t>
  </si>
  <si>
    <t>P1875CS</t>
  </si>
  <si>
    <t>553CCS</t>
  </si>
  <si>
    <t>Orexis Coleslaw 10 KG</t>
  </si>
  <si>
    <t>DC0133</t>
  </si>
  <si>
    <t>P0016B</t>
  </si>
  <si>
    <t>REY 40 30 BOX 8 in 1</t>
  </si>
  <si>
    <t>599CCS</t>
  </si>
  <si>
    <t>ITSU SIGN STIR FRY MIX 6X500G</t>
  </si>
  <si>
    <t>CABBAGE SWEETHEART 5MM</t>
  </si>
  <si>
    <t>Kale - 10MM Slice</t>
  </si>
  <si>
    <t>Sugar snap 10mm</t>
  </si>
  <si>
    <t>KOHL RABI Julienne</t>
  </si>
  <si>
    <t>PAK Choi 5mm</t>
  </si>
  <si>
    <t>277CCS</t>
  </si>
  <si>
    <t>278CCS</t>
  </si>
  <si>
    <t xml:space="preserve">GOLD BEETROOT SPIRALISED 2KG </t>
  </si>
  <si>
    <t xml:space="preserve">RED BEETROOT SPIRALISED 2KG </t>
  </si>
  <si>
    <t>Red Beetroot spiral</t>
  </si>
  <si>
    <t>Golden Beetroot spiral</t>
  </si>
  <si>
    <t>S-25 price</t>
  </si>
  <si>
    <t>W-25 price</t>
  </si>
  <si>
    <t>S-26 price</t>
  </si>
  <si>
    <t>Summer 26 Cost</t>
  </si>
  <si>
    <t>7.5 Per 10 each</t>
  </si>
  <si>
    <t>CHAYOTE (CHOW CHOW) AVE X25</t>
  </si>
  <si>
    <t>3112CS</t>
  </si>
  <si>
    <t>WHOLE LEAF CURLY KALE 5X1KG</t>
  </si>
  <si>
    <t>S26 Confirmed</t>
  </si>
  <si>
    <t>DPO001</t>
  </si>
  <si>
    <t>Davins</t>
  </si>
  <si>
    <t>Machine Peeled Potatoes x 5kg</t>
  </si>
  <si>
    <t>Z514CS</t>
  </si>
  <si>
    <t>SLICED POTATO 10MM X 1KG</t>
  </si>
  <si>
    <t>509ACS</t>
  </si>
  <si>
    <t>PEPPER MIX JUL 5MM RTE 1KG</t>
  </si>
  <si>
    <t>Peeled potato (Thomson)</t>
  </si>
  <si>
    <t>T001CS</t>
  </si>
  <si>
    <t>REY 40 30 BOX 2 in 1</t>
  </si>
  <si>
    <t>P0016C</t>
  </si>
  <si>
    <t>RM - THOMSON POTATO</t>
  </si>
  <si>
    <t>melon Yellow - diced</t>
  </si>
  <si>
    <t>669CCS</t>
  </si>
  <si>
    <t>671CCS</t>
  </si>
  <si>
    <t>676CCS</t>
  </si>
  <si>
    <t>674CCS</t>
  </si>
  <si>
    <t>672CCS</t>
  </si>
  <si>
    <t>679CCS</t>
  </si>
  <si>
    <t>678CCS</t>
  </si>
  <si>
    <t>677CCS</t>
  </si>
  <si>
    <t>670CCS</t>
  </si>
  <si>
    <t>682CCS</t>
  </si>
  <si>
    <t>683CCS</t>
  </si>
  <si>
    <t>675CCS</t>
  </si>
  <si>
    <t>680CCS</t>
  </si>
  <si>
    <t>681CCS</t>
  </si>
  <si>
    <t>673CCS</t>
  </si>
  <si>
    <t>AELTC QUARTERED POTATOES 5KG</t>
  </si>
  <si>
    <t>AELTC DCD BUTTERNUT 15MM 1KG</t>
  </si>
  <si>
    <t>AELTC CARROT JULIENNE 1KG</t>
  </si>
  <si>
    <t>AELTC SLICED CARROT 2.5KG</t>
  </si>
  <si>
    <t>AELTC RED DRY SLAW MIX 2.5KG</t>
  </si>
  <si>
    <t>AELTC CARROTS GRATED 1KG</t>
  </si>
  <si>
    <t>AELTC CABBAGE WHITE SHRD 2.5KG</t>
  </si>
  <si>
    <t>AELTC COLESLAW DRY MIX 1KG</t>
  </si>
  <si>
    <t>AELTC RED ONION SLICED 2.5KG</t>
  </si>
  <si>
    <t>AELTC WHITE ONION SLICED 2.5KG</t>
  </si>
  <si>
    <t>AELTC ONION DICED 5MM 2.5KG</t>
  </si>
  <si>
    <t>AELTC PLD WHOLE ONION 2.5KG</t>
  </si>
  <si>
    <t>AELTC PLD RED WHOLE ONION 2.5K</t>
  </si>
  <si>
    <t>AELTC SWEET POT CUBE 2.5KG</t>
  </si>
  <si>
    <t>AELTC RATATOUILLE MIX 1KG</t>
  </si>
  <si>
    <t>Sales Price Summer 26</t>
  </si>
  <si>
    <t>688CCS</t>
  </si>
  <si>
    <t>689CCS</t>
  </si>
  <si>
    <t>AELTC FRUIT SALAD MIX 2KG</t>
  </si>
  <si>
    <t>AELTC PINEAPPLE CUBED 2KG</t>
  </si>
  <si>
    <t>553CEA COLESLAW MIX 1x500G</t>
  </si>
  <si>
    <t>N114CS COLESLAW MIX 1x500G</t>
  </si>
  <si>
    <t>553CEA</t>
  </si>
  <si>
    <t>black box 4 IN 1</t>
  </si>
  <si>
    <t>N114CS</t>
  </si>
  <si>
    <t>SWEET POTATOES DICED 20MM 2.5KG</t>
  </si>
  <si>
    <t>381BCS</t>
  </si>
  <si>
    <t>BROCCOLI CROWNS 1 X 4KG</t>
  </si>
  <si>
    <t>BROCOLLI CROWNS</t>
  </si>
  <si>
    <t>687CCS</t>
  </si>
  <si>
    <t>AELTC BROCCOLI FLORETS 1KG</t>
  </si>
  <si>
    <t>698CCS</t>
  </si>
  <si>
    <t>1064CS</t>
  </si>
  <si>
    <t>1065CS</t>
  </si>
  <si>
    <t>1066CS</t>
  </si>
  <si>
    <t>1067CS</t>
  </si>
  <si>
    <t>PREP CARROTS JULIENNE 1KG CP</t>
  </si>
  <si>
    <t>PREP BEETROOT STRING 500G CP</t>
  </si>
  <si>
    <t>PREP ONION WHOLE 2.5KG CP</t>
  </si>
  <si>
    <t>SPRING GREEN SLAW MIX 8X500G</t>
  </si>
  <si>
    <t>753CCS</t>
  </si>
  <si>
    <t>Spring Green 3mm slice</t>
  </si>
  <si>
    <t>SPRING GREENS</t>
  </si>
  <si>
    <t>BR007CS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</si>
</sst>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0.0"/>
    <numFmt numFmtId="166" formatCode="&quot;£&quot;#,##0.00"/>
    <numFmt numFmtId="167" formatCode="0.000000000000000%"/>
    <numFmt numFmtId="168" formatCode="0.0000"/>
    <numFmt numFmtId="169" formatCode="0.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2"/>
      <color theme="4" tint="0.7999816888943144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2" xfId="0" applyFont="1" applyBorder="1"/>
    <xf numFmtId="0" fontId="2" fillId="2" borderId="2" xfId="0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2" fontId="0" fillId="4" borderId="2" xfId="0" applyNumberFormat="1" applyFill="1" applyBorder="1"/>
    <xf numFmtId="2" fontId="0" fillId="0" borderId="2" xfId="0" applyNumberFormat="1" applyBorder="1"/>
    <xf numFmtId="0" fontId="0" fillId="5" borderId="2" xfId="0" applyFill="1" applyBorder="1"/>
    <xf numFmtId="0" fontId="3" fillId="0" borderId="2" xfId="0" applyFont="1" applyBorder="1"/>
    <xf numFmtId="0" fontId="2" fillId="2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2" fillId="9" borderId="2" xfId="0" applyFont="1" applyFill="1" applyBorder="1" applyAlignment="1">
      <alignment horizontal="center" vertical="center"/>
    </xf>
    <xf numFmtId="9" fontId="2" fillId="9" borderId="2" xfId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center" vertical="center" wrapText="1"/>
    </xf>
    <xf numFmtId="0" fontId="5" fillId="11" borderId="2" xfId="2" applyFont="1" applyFill="1" applyBorder="1" applyAlignment="1">
      <alignment horizontal="center" vertical="center" wrapText="1"/>
    </xf>
    <xf numFmtId="9" fontId="5" fillId="11" borderId="2" xfId="1" applyFont="1" applyFill="1" applyBorder="1" applyAlignment="1">
      <alignment horizontal="center" vertical="center" wrapText="1"/>
    </xf>
    <xf numFmtId="9" fontId="0" fillId="0" borderId="2" xfId="1" applyFont="1" applyBorder="1"/>
    <xf numFmtId="9" fontId="0" fillId="0" borderId="2" xfId="0" applyNumberFormat="1" applyBorder="1"/>
    <xf numFmtId="0" fontId="0" fillId="12" borderId="2" xfId="0" applyFill="1" applyBorder="1"/>
    <xf numFmtId="9" fontId="0" fillId="5" borderId="2" xfId="1" applyFont="1" applyFill="1" applyBorder="1"/>
    <xf numFmtId="0" fontId="0" fillId="13" borderId="2" xfId="0" applyFill="1" applyBorder="1"/>
    <xf numFmtId="9" fontId="0" fillId="13" borderId="2" xfId="1" applyFont="1" applyFill="1" applyBorder="1"/>
    <xf numFmtId="9" fontId="0" fillId="0" borderId="2" xfId="1" applyFont="1" applyFill="1" applyBorder="1"/>
    <xf numFmtId="9" fontId="0" fillId="13" borderId="2" xfId="0" applyNumberFormat="1" applyFill="1" applyBorder="1"/>
    <xf numFmtId="167" fontId="0" fillId="0" borderId="2" xfId="0" applyNumberFormat="1" applyBorder="1"/>
    <xf numFmtId="164" fontId="0" fillId="0" borderId="2" xfId="0" applyNumberFormat="1" applyBorder="1"/>
    <xf numFmtId="2" fontId="0" fillId="5" borderId="2" xfId="0" applyNumberFormat="1" applyFill="1" applyBorder="1"/>
    <xf numFmtId="9" fontId="0" fillId="0" borderId="0" xfId="1" applyFont="1"/>
    <xf numFmtId="165" fontId="0" fillId="0" borderId="2" xfId="0" applyNumberFormat="1" applyBorder="1" applyAlignment="1">
      <alignment horizontal="left"/>
    </xf>
    <xf numFmtId="165" fontId="0" fillId="0" borderId="2" xfId="0" applyNumberFormat="1" applyBorder="1"/>
    <xf numFmtId="1" fontId="0" fillId="0" borderId="2" xfId="0" applyNumberFormat="1" applyBorder="1"/>
    <xf numFmtId="0" fontId="0" fillId="0" borderId="0" xfId="0" applyAlignment="1">
      <alignment wrapText="1"/>
    </xf>
    <xf numFmtId="0" fontId="2" fillId="14" borderId="0" xfId="0" applyFont="1" applyFill="1"/>
    <xf numFmtId="0" fontId="0" fillId="0" borderId="2" xfId="0" applyBorder="1" applyAlignment="1">
      <alignment vertical="center" wrapText="1"/>
    </xf>
    <xf numFmtId="2" fontId="0" fillId="0" borderId="2" xfId="3" applyNumberFormat="1" applyFont="1" applyBorder="1" applyAlignment="1">
      <alignment horizontal="left"/>
    </xf>
    <xf numFmtId="2" fontId="0" fillId="0" borderId="0" xfId="3" applyNumberFormat="1" applyFont="1" applyBorder="1" applyAlignment="1">
      <alignment horizontal="left"/>
    </xf>
    <xf numFmtId="165" fontId="6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center" vertical="center" wrapText="1"/>
    </xf>
    <xf numFmtId="168" fontId="0" fillId="0" borderId="0" xfId="0" applyNumberFormat="1"/>
    <xf numFmtId="2" fontId="0" fillId="0" borderId="0" xfId="1" applyNumberFormat="1" applyFont="1"/>
    <xf numFmtId="0" fontId="0" fillId="5" borderId="2" xfId="0" applyFill="1" applyBorder="1" applyAlignment="1">
      <alignment horizontal="left"/>
    </xf>
    <xf numFmtId="2" fontId="0" fillId="14" borderId="2" xfId="0" applyNumberFormat="1" applyFill="1" applyBorder="1"/>
    <xf numFmtId="0" fontId="0" fillId="6" borderId="0" xfId="0" applyFill="1"/>
    <xf numFmtId="0" fontId="0" fillId="13" borderId="0" xfId="0" applyFill="1"/>
    <xf numFmtId="0" fontId="0" fillId="15" borderId="0" xfId="0" applyFill="1"/>
    <xf numFmtId="0" fontId="6" fillId="0" borderId="2" xfId="0" applyFont="1" applyBorder="1"/>
    <xf numFmtId="9" fontId="0" fillId="0" borderId="0" xfId="0" applyNumberFormat="1"/>
    <xf numFmtId="2" fontId="0" fillId="0" borderId="2" xfId="1" applyNumberFormat="1" applyFont="1" applyFill="1" applyBorder="1"/>
    <xf numFmtId="0" fontId="2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14" borderId="6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0" fillId="7" borderId="2" xfId="0" applyFill="1" applyBorder="1"/>
    <xf numFmtId="0" fontId="0" fillId="14" borderId="2" xfId="0" applyFill="1" applyBorder="1" applyAlignment="1">
      <alignment horizontal="left"/>
    </xf>
    <xf numFmtId="0" fontId="0" fillId="14" borderId="2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9" fontId="0" fillId="0" borderId="2" xfId="0" applyNumberFormat="1" applyBorder="1" applyAlignment="1">
      <alignment horizontal="left"/>
    </xf>
    <xf numFmtId="0" fontId="2" fillId="3" borderId="7" xfId="0" applyFont="1" applyFill="1" applyBorder="1" applyAlignment="1">
      <alignment vertical="center"/>
    </xf>
    <xf numFmtId="166" fontId="9" fillId="17" borderId="2" xfId="0" applyNumberFormat="1" applyFont="1" applyFill="1" applyBorder="1" applyAlignment="1">
      <alignment horizontal="center" vertical="center" wrapText="1"/>
    </xf>
    <xf numFmtId="166" fontId="0" fillId="5" borderId="5" xfId="0" applyNumberFormat="1" applyFill="1" applyBorder="1" applyAlignment="1">
      <alignment horizontal="center"/>
    </xf>
    <xf numFmtId="166" fontId="0" fillId="0" borderId="0" xfId="0" applyNumberFormat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18" borderId="0" xfId="0" applyFill="1"/>
    <xf numFmtId="9" fontId="0" fillId="0" borderId="2" xfId="1" applyFont="1" applyBorder="1" applyAlignment="1">
      <alignment horizontal="left"/>
    </xf>
    <xf numFmtId="10" fontId="0" fillId="0" borderId="0" xfId="1" applyNumberFormat="1" applyFont="1"/>
    <xf numFmtId="169" fontId="0" fillId="0" borderId="0" xfId="0" applyNumberFormat="1"/>
    <xf numFmtId="9" fontId="0" fillId="0" borderId="2" xfId="1" applyFont="1" applyBorder="1" applyAlignment="1">
      <alignment horizontal="right"/>
    </xf>
    <xf numFmtId="0" fontId="0" fillId="0" borderId="3" xfId="0" applyBorder="1"/>
    <xf numFmtId="2" fontId="0" fillId="16" borderId="2" xfId="0" applyNumberFormat="1" applyFill="1" applyBorder="1"/>
    <xf numFmtId="0" fontId="2" fillId="16" borderId="2" xfId="0" applyFont="1" applyFill="1" applyBorder="1" applyAlignment="1">
      <alignment horizontal="left" vertical="center" wrapText="1"/>
    </xf>
    <xf numFmtId="0" fontId="0" fillId="0" borderId="8" xfId="0" applyBorder="1"/>
    <xf numFmtId="2" fontId="0" fillId="4" borderId="0" xfId="0" applyNumberFormat="1" applyFill="1"/>
    <xf numFmtId="9" fontId="0" fillId="0" borderId="0" xfId="1" applyFont="1" applyFill="1" applyBorder="1"/>
    <xf numFmtId="0" fontId="2" fillId="0" borderId="5" xfId="0" applyFont="1" applyBorder="1"/>
    <xf numFmtId="2" fontId="0" fillId="0" borderId="1" xfId="0" applyNumberFormat="1" applyBorder="1"/>
    <xf numFmtId="0" fontId="2" fillId="3" borderId="5" xfId="0" applyFont="1" applyFill="1" applyBorder="1" applyAlignment="1">
      <alignment horizontal="center" vertical="center" wrapText="1"/>
    </xf>
    <xf numFmtId="2" fontId="0" fillId="4" borderId="9" xfId="0" applyNumberFormat="1" applyFill="1" applyBorder="1"/>
    <xf numFmtId="2" fontId="0" fillId="4" borderId="3" xfId="0" applyNumberFormat="1" applyFill="1" applyBorder="1"/>
    <xf numFmtId="166" fontId="2" fillId="0" borderId="4" xfId="0" applyNumberFormat="1" applyFont="1" applyBorder="1" applyAlignment="1">
      <alignment horizontal="center"/>
    </xf>
    <xf numFmtId="2" fontId="0" fillId="0" borderId="0" xfId="1" applyNumberFormat="1" applyFont="1" applyFill="1" applyBorder="1"/>
    <xf numFmtId="1" fontId="0" fillId="0" borderId="0" xfId="1" applyNumberFormat="1" applyFont="1" applyFill="1" applyBorder="1"/>
    <xf numFmtId="0" fontId="2" fillId="3" borderId="4" xfId="0" applyFont="1" applyFill="1" applyBorder="1" applyAlignment="1">
      <alignment horizontal="center" vertical="center" wrapText="1"/>
    </xf>
    <xf numFmtId="1" fontId="0" fillId="0" borderId="2" xfId="1" applyNumberFormat="1" applyFont="1" applyFill="1" applyBorder="1"/>
    <xf numFmtId="0" fontId="0" fillId="0" borderId="5" xfId="0" applyBorder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19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9" fontId="5" fillId="11" borderId="0" xfId="1" applyFont="1" applyFill="1" applyBorder="1" applyAlignment="1">
      <alignment horizontal="center" vertical="center" wrapText="1"/>
    </xf>
    <xf numFmtId="0" fontId="0" fillId="20" borderId="2" xfId="0" applyFill="1" applyBorder="1"/>
    <xf numFmtId="0" fontId="0" fillId="21" borderId="2" xfId="0" applyFill="1" applyBorder="1"/>
    <xf numFmtId="0" fontId="0" fillId="0" borderId="5" xfId="0" applyBorder="1"/>
    <xf numFmtId="2" fontId="0" fillId="4" borderId="10" xfId="0" applyNumberFormat="1" applyFill="1" applyBorder="1"/>
    <xf numFmtId="9" fontId="2" fillId="2" borderId="2" xfId="1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2" fontId="0" fillId="5" borderId="0" xfId="0" applyNumberFormat="1" applyFill="1"/>
    <xf numFmtId="0" fontId="0" fillId="5" borderId="5" xfId="0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1" xfId="0" applyNumberFormat="1" applyBorder="1"/>
    <xf numFmtId="0" fontId="0" fillId="0" borderId="2" xfId="0" applyBorder="1" applyAlignment="1">
      <alignment horizontal="right"/>
    </xf>
    <xf numFmtId="2" fontId="0" fillId="0" borderId="0" xfId="1" applyNumberFormat="1" applyFont="1" applyBorder="1"/>
    <xf numFmtId="9" fontId="2" fillId="2" borderId="6" xfId="1" applyFont="1" applyFill="1" applyBorder="1" applyAlignment="1">
      <alignment horizontal="left" vertical="center" wrapText="1"/>
    </xf>
    <xf numFmtId="2" fontId="0" fillId="22" borderId="2" xfId="0" applyNumberFormat="1" applyFill="1" applyBorder="1"/>
    <xf numFmtId="165" fontId="0" fillId="5" borderId="2" xfId="0" applyNumberFormat="1" applyFill="1" applyBorder="1"/>
    <xf numFmtId="0" fontId="0" fillId="23" borderId="0" xfId="0" applyFill="1"/>
    <xf numFmtId="0" fontId="0" fillId="23" borderId="2" xfId="0" applyFill="1" applyBorder="1"/>
    <xf numFmtId="0" fontId="0" fillId="23" borderId="2" xfId="0" applyFill="1" applyBorder="1" applyAlignment="1">
      <alignment horizontal="left"/>
    </xf>
    <xf numFmtId="0" fontId="3" fillId="23" borderId="2" xfId="0" applyFont="1" applyFill="1" applyBorder="1"/>
    <xf numFmtId="2" fontId="0" fillId="7" borderId="2" xfId="0" applyNumberFormat="1" applyFill="1" applyBorder="1"/>
    <xf numFmtId="0" fontId="6" fillId="0" borderId="0" xfId="0" applyFont="1"/>
    <xf numFmtId="9" fontId="0" fillId="5" borderId="2" xfId="0" applyNumberFormat="1" applyFill="1" applyBorder="1"/>
    <xf numFmtId="2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9" fontId="0" fillId="0" borderId="5" xfId="1" applyFont="1" applyFill="1" applyBorder="1" applyAlignment="1">
      <alignment horizontal="right"/>
    </xf>
    <xf numFmtId="2" fontId="0" fillId="0" borderId="5" xfId="0" applyNumberFormat="1" applyBorder="1"/>
    <xf numFmtId="9" fontId="0" fillId="0" borderId="5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2" fontId="0" fillId="14" borderId="1" xfId="0" applyNumberFormat="1" applyFill="1" applyBorder="1"/>
    <xf numFmtId="9" fontId="0" fillId="0" borderId="1" xfId="1" applyFont="1" applyFill="1" applyBorder="1"/>
    <xf numFmtId="2" fontId="0" fillId="0" borderId="8" xfId="0" applyNumberFormat="1" applyBorder="1"/>
    <xf numFmtId="2" fontId="0" fillId="14" borderId="8" xfId="0" applyNumberFormat="1" applyFill="1" applyBorder="1"/>
    <xf numFmtId="9" fontId="0" fillId="0" borderId="8" xfId="1" applyFont="1" applyFill="1" applyBorder="1"/>
    <xf numFmtId="9" fontId="0" fillId="7" borderId="2" xfId="1" applyFont="1" applyFill="1" applyBorder="1"/>
    <xf numFmtId="0" fontId="0" fillId="6" borderId="2" xfId="0" applyFill="1" applyBorder="1"/>
    <xf numFmtId="9" fontId="2" fillId="2" borderId="0" xfId="1" applyFont="1" applyFill="1" applyBorder="1" applyAlignment="1">
      <alignment horizontal="left" vertical="center" wrapText="1"/>
    </xf>
    <xf numFmtId="9" fontId="0" fillId="4" borderId="0" xfId="1" applyFont="1" applyFill="1" applyBorder="1"/>
    <xf numFmtId="2" fontId="0" fillId="7" borderId="3" xfId="0" applyNumberFormat="1" applyFill="1" applyBorder="1"/>
    <xf numFmtId="0" fontId="0" fillId="24" borderId="2" xfId="0" applyFill="1" applyBorder="1"/>
    <xf numFmtId="0" fontId="0" fillId="24" borderId="0" xfId="0" applyFill="1"/>
    <xf numFmtId="2" fontId="0" fillId="24" borderId="2" xfId="0" applyNumberFormat="1" applyFill="1" applyBorder="1"/>
    <xf numFmtId="0" fontId="0" fillId="0" borderId="10" xfId="0" applyBorder="1"/>
    <xf numFmtId="0" fontId="0" fillId="25" borderId="2" xfId="0" applyFill="1" applyBorder="1"/>
    <xf numFmtId="0" fontId="0" fillId="25" borderId="2" xfId="0" applyFill="1" applyBorder="1" applyAlignment="1">
      <alignment horizontal="left"/>
    </xf>
    <xf numFmtId="9" fontId="0" fillId="0" borderId="5" xfId="1" applyFont="1" applyFill="1" applyBorder="1"/>
    <xf numFmtId="2" fontId="0" fillId="9" borderId="2" xfId="0" applyNumberFormat="1" applyFill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2" fontId="0" fillId="16" borderId="5" xfId="0" applyNumberFormat="1" applyFill="1" applyBorder="1"/>
    <xf numFmtId="165" fontId="0" fillId="0" borderId="5" xfId="0" applyNumberFormat="1" applyBorder="1" applyAlignment="1">
      <alignment horizontal="left"/>
    </xf>
    <xf numFmtId="2" fontId="0" fillId="25" borderId="2" xfId="0" applyNumberFormat="1" applyFill="1" applyBorder="1"/>
    <xf numFmtId="164" fontId="0" fillId="14" borderId="2" xfId="0" applyNumberFormat="1" applyFill="1" applyBorder="1"/>
    <xf numFmtId="0" fontId="0" fillId="9" borderId="2" xfId="0" applyFill="1" applyBorder="1"/>
    <xf numFmtId="2" fontId="0" fillId="6" borderId="2" xfId="0" applyNumberFormat="1" applyFill="1" applyBorder="1"/>
    <xf numFmtId="2" fontId="11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5">
    <cellStyle name="Comma" xfId="3" builtinId="3"/>
    <cellStyle name="Comma 2" xfId="4" xr:uid="{8FD0CD1B-B872-45C0-ACB5-EBF96BF5707B}"/>
    <cellStyle name="Normal" xfId="0" builtinId="0"/>
    <cellStyle name="Normal 6" xfId="2" xr:uid="{19D78755-28EE-4570-8108-EC9754BEFB72}"/>
    <cellStyle name="Percent" xfId="1" builtinId="5"/>
  </cellStyles>
  <dxfs count="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 tint="-0.24994659260841701"/>
        </patternFill>
      </fill>
    </dxf>
    <dxf>
      <fill>
        <patternFill>
          <bgColor theme="7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ani\2026\Wimbledon\2026%20Summer%20Costing%20&amp;%20Pricing\SAP\Summer%2026%20-%20Prep%20Costings%20-%20Solstice%20.xlsx" TargetMode="External"/><Relationship Id="rId1" Type="http://schemas.openxmlformats.org/officeDocument/2006/relationships/externalLinkPath" Target="file:///P:\Company\Shared\Dani\2026\Wimbledon\2026%20Summer%20Costing%20&amp;%20Pricing\SAP\Summer%2026%20-%20Prep%20Costings%20-%20Solstice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Dani\2026\Wimbledon\2026%20Summer%20Pricing\2026%20Summer%20Pricing.xlsx" TargetMode="External"/><Relationship Id="rId1" Type="http://schemas.openxmlformats.org/officeDocument/2006/relationships/externalLinkPath" Target="file:///P:\Dani\2026\Wimbledon\2026%20Summer%20Pricing\2026%20Summer%20Pric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Dani\2026\Wimbledon\Wimbledon%20BOM.xlsx" TargetMode="External"/><Relationship Id="rId1" Type="http://schemas.openxmlformats.org/officeDocument/2006/relationships/externalLinkPath" Target="file:///S:\Dani\2026\Wimbledon\Wimbledon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bound Pricing"/>
      <sheetName val="M3 Price"/>
      <sheetName val="Sheet1"/>
      <sheetName val="Sheet3"/>
      <sheetName val="Sheet5"/>
    </sheetNames>
    <sheetDataSet>
      <sheetData sheetId="0"/>
      <sheetData sheetId="1">
        <row r="1">
          <cell r="A1" t="str">
            <v>Item Number</v>
          </cell>
          <cell r="H1" t="str">
            <v>S26-M3 PRICE</v>
          </cell>
        </row>
        <row r="2">
          <cell r="A2" t="str">
            <v>S1318CS</v>
          </cell>
          <cell r="H2">
            <v>2.7</v>
          </cell>
        </row>
        <row r="3">
          <cell r="A3" t="str">
            <v>3566CS</v>
          </cell>
          <cell r="H3">
            <v>8.6</v>
          </cell>
        </row>
        <row r="4">
          <cell r="A4" t="str">
            <v>206ACS</v>
          </cell>
          <cell r="H4">
            <v>8.6999999999999993</v>
          </cell>
        </row>
        <row r="5">
          <cell r="A5" t="str">
            <v>3136CS</v>
          </cell>
          <cell r="H5">
            <v>5.25</v>
          </cell>
        </row>
        <row r="6">
          <cell r="A6" t="str">
            <v>0930CS</v>
          </cell>
          <cell r="H6">
            <v>5.5</v>
          </cell>
        </row>
        <row r="7">
          <cell r="A7" t="str">
            <v>024BCS</v>
          </cell>
          <cell r="H7">
            <v>5.55</v>
          </cell>
        </row>
        <row r="8">
          <cell r="A8" t="str">
            <v>2789CS</v>
          </cell>
          <cell r="H8">
            <v>8.2200000000000006</v>
          </cell>
        </row>
        <row r="9">
          <cell r="A9" t="str">
            <v>3446CS</v>
          </cell>
          <cell r="H9">
            <v>5.4</v>
          </cell>
        </row>
        <row r="10">
          <cell r="A10" t="str">
            <v>3034CS</v>
          </cell>
          <cell r="H10">
            <v>6.12</v>
          </cell>
        </row>
        <row r="11">
          <cell r="A11" t="str">
            <v>166ACS</v>
          </cell>
          <cell r="H11">
            <v>8.5</v>
          </cell>
        </row>
        <row r="12">
          <cell r="A12" t="str">
            <v>2790CS</v>
          </cell>
          <cell r="H12">
            <v>8.26</v>
          </cell>
        </row>
        <row r="13">
          <cell r="A13" t="str">
            <v>5267CS</v>
          </cell>
          <cell r="H13">
            <v>5.4</v>
          </cell>
        </row>
        <row r="14">
          <cell r="A14" t="str">
            <v>3567CS</v>
          </cell>
          <cell r="H14">
            <v>8.4</v>
          </cell>
        </row>
        <row r="15">
          <cell r="A15" t="str">
            <v>3001CS</v>
          </cell>
          <cell r="H15">
            <v>6.7</v>
          </cell>
        </row>
        <row r="16">
          <cell r="A16" t="str">
            <v>2794CS</v>
          </cell>
          <cell r="H16">
            <v>8.8800000000000008</v>
          </cell>
        </row>
        <row r="17">
          <cell r="A17" t="str">
            <v>3644CS</v>
          </cell>
          <cell r="H17">
            <v>6.16</v>
          </cell>
        </row>
        <row r="18">
          <cell r="A18" t="str">
            <v>3565CS</v>
          </cell>
          <cell r="H18">
            <v>8.8000000000000007</v>
          </cell>
        </row>
        <row r="19">
          <cell r="A19" t="str">
            <v>3020CS</v>
          </cell>
          <cell r="H19">
            <v>5.5</v>
          </cell>
        </row>
        <row r="20">
          <cell r="A20" t="str">
            <v>S1317CS</v>
          </cell>
          <cell r="H20">
            <v>2.4</v>
          </cell>
        </row>
        <row r="21">
          <cell r="A21" t="str">
            <v>3221CS</v>
          </cell>
          <cell r="H21">
            <v>8.5</v>
          </cell>
        </row>
        <row r="22">
          <cell r="A22" t="str">
            <v>3689CS</v>
          </cell>
          <cell r="H22">
            <v>9.24</v>
          </cell>
        </row>
        <row r="23">
          <cell r="A23" t="str">
            <v>3242CS</v>
          </cell>
          <cell r="H23">
            <v>5.28</v>
          </cell>
        </row>
        <row r="24">
          <cell r="A24" t="str">
            <v>3867CS</v>
          </cell>
          <cell r="H24">
            <v>9.2100000000000009</v>
          </cell>
        </row>
        <row r="25">
          <cell r="A25" t="str">
            <v>2461CS</v>
          </cell>
          <cell r="H25">
            <v>11.4</v>
          </cell>
        </row>
        <row r="26">
          <cell r="A26" t="str">
            <v>2730CS</v>
          </cell>
          <cell r="H26">
            <v>12</v>
          </cell>
        </row>
        <row r="27">
          <cell r="A27" t="str">
            <v>3547CS</v>
          </cell>
          <cell r="H27">
            <v>7.84</v>
          </cell>
        </row>
        <row r="28">
          <cell r="A28" t="str">
            <v>3080CS</v>
          </cell>
          <cell r="H28">
            <v>3.8</v>
          </cell>
        </row>
        <row r="29">
          <cell r="A29" t="str">
            <v>3210CS</v>
          </cell>
          <cell r="H29">
            <v>6.75</v>
          </cell>
        </row>
        <row r="30">
          <cell r="A30" t="str">
            <v>025BCS</v>
          </cell>
          <cell r="H30">
            <v>6</v>
          </cell>
        </row>
        <row r="31">
          <cell r="A31" t="str">
            <v>F218CS</v>
          </cell>
          <cell r="H31">
            <v>16.399999999999999</v>
          </cell>
        </row>
        <row r="32">
          <cell r="A32" t="str">
            <v>2608CS</v>
          </cell>
          <cell r="H32">
            <v>11.3</v>
          </cell>
        </row>
        <row r="33">
          <cell r="A33" t="str">
            <v>3106CS</v>
          </cell>
          <cell r="H33">
            <v>7.05</v>
          </cell>
        </row>
        <row r="34">
          <cell r="A34" t="str">
            <v>353BCS</v>
          </cell>
          <cell r="H34">
            <v>13.75</v>
          </cell>
        </row>
        <row r="35">
          <cell r="A35" t="str">
            <v>1318CS</v>
          </cell>
          <cell r="H35">
            <v>2.7</v>
          </cell>
        </row>
        <row r="36">
          <cell r="A36" t="str">
            <v>3191CS</v>
          </cell>
          <cell r="H36">
            <v>7.6</v>
          </cell>
        </row>
        <row r="37">
          <cell r="A37" t="str">
            <v>3794CS</v>
          </cell>
          <cell r="H37">
            <v>8.69</v>
          </cell>
        </row>
        <row r="38">
          <cell r="A38" t="str">
            <v>2961CS</v>
          </cell>
          <cell r="H38">
            <v>7.85</v>
          </cell>
        </row>
        <row r="39">
          <cell r="A39" t="str">
            <v>3270CS</v>
          </cell>
          <cell r="H39">
            <v>6.74</v>
          </cell>
        </row>
        <row r="40">
          <cell r="A40" t="str">
            <v>3198CS</v>
          </cell>
          <cell r="H40">
            <v>5.4</v>
          </cell>
        </row>
        <row r="41">
          <cell r="A41" t="str">
            <v>3277CS</v>
          </cell>
          <cell r="H41">
            <v>6.5</v>
          </cell>
        </row>
        <row r="42">
          <cell r="A42" t="str">
            <v>3342CS</v>
          </cell>
          <cell r="H42">
            <v>14.7</v>
          </cell>
        </row>
        <row r="43">
          <cell r="A43" t="str">
            <v>2980CS</v>
          </cell>
          <cell r="H43">
            <v>33.9</v>
          </cell>
        </row>
        <row r="44">
          <cell r="A44" t="str">
            <v>2735CS</v>
          </cell>
          <cell r="H44">
            <v>10.65</v>
          </cell>
        </row>
        <row r="45">
          <cell r="A45" t="str">
            <v>S3276CS</v>
          </cell>
          <cell r="H45">
            <v>14</v>
          </cell>
        </row>
        <row r="46">
          <cell r="A46" t="str">
            <v>4516CS</v>
          </cell>
          <cell r="H46" t="e">
            <v>#N/A</v>
          </cell>
        </row>
        <row r="47">
          <cell r="A47" t="str">
            <v>2689CS</v>
          </cell>
          <cell r="H47">
            <v>7.8</v>
          </cell>
        </row>
        <row r="48">
          <cell r="A48" t="str">
            <v>3158CS</v>
          </cell>
          <cell r="H48">
            <v>5.61</v>
          </cell>
        </row>
        <row r="49">
          <cell r="A49" t="str">
            <v>3638CS</v>
          </cell>
          <cell r="H49">
            <v>6.96</v>
          </cell>
        </row>
        <row r="50">
          <cell r="A50" t="str">
            <v>2792CS</v>
          </cell>
          <cell r="H50">
            <v>7.92</v>
          </cell>
        </row>
        <row r="51">
          <cell r="A51" t="str">
            <v>2613CS</v>
          </cell>
          <cell r="H51">
            <v>11.2</v>
          </cell>
        </row>
        <row r="52">
          <cell r="A52" t="str">
            <v>3584CS</v>
          </cell>
          <cell r="H52">
            <v>9.42</v>
          </cell>
        </row>
        <row r="53">
          <cell r="A53" t="str">
            <v>3262CS</v>
          </cell>
          <cell r="H53">
            <v>3.95</v>
          </cell>
        </row>
        <row r="54">
          <cell r="A54" t="str">
            <v>3436CS</v>
          </cell>
          <cell r="H54" t="e">
            <v>#N/A</v>
          </cell>
        </row>
        <row r="55">
          <cell r="A55" t="str">
            <v>2627CS</v>
          </cell>
          <cell r="H55">
            <v>14.8</v>
          </cell>
        </row>
        <row r="56">
          <cell r="A56" t="str">
            <v>3138CS</v>
          </cell>
          <cell r="H56">
            <v>8.26</v>
          </cell>
        </row>
        <row r="57">
          <cell r="A57" t="str">
            <v>3659CS</v>
          </cell>
          <cell r="H57">
            <v>5.0999999999999996</v>
          </cell>
        </row>
        <row r="58">
          <cell r="A58" t="str">
            <v>106ACS</v>
          </cell>
          <cell r="H58">
            <v>11.21</v>
          </cell>
        </row>
        <row r="59">
          <cell r="A59" t="str">
            <v>2604CS</v>
          </cell>
          <cell r="H59">
            <v>6.39</v>
          </cell>
        </row>
        <row r="60">
          <cell r="A60" t="str">
            <v>3066CS</v>
          </cell>
          <cell r="H60">
            <v>5.38</v>
          </cell>
        </row>
        <row r="61">
          <cell r="A61" t="str">
            <v>3062CS</v>
          </cell>
          <cell r="H61">
            <v>4.4000000000000004</v>
          </cell>
        </row>
        <row r="62">
          <cell r="A62" t="str">
            <v>1445CS</v>
          </cell>
          <cell r="H62">
            <v>27.6</v>
          </cell>
        </row>
        <row r="63">
          <cell r="A63" t="str">
            <v>3112CS</v>
          </cell>
          <cell r="H63">
            <v>7.25</v>
          </cell>
        </row>
        <row r="64">
          <cell r="A64" t="str">
            <v>3181CS</v>
          </cell>
          <cell r="H64">
            <v>8.4600000000000009</v>
          </cell>
        </row>
        <row r="65">
          <cell r="A65" t="str">
            <v>3486CS</v>
          </cell>
          <cell r="H65">
            <v>5.4</v>
          </cell>
        </row>
        <row r="66">
          <cell r="A66" t="str">
            <v>6271CS</v>
          </cell>
          <cell r="H66">
            <v>3.44</v>
          </cell>
        </row>
        <row r="67">
          <cell r="A67" t="str">
            <v>3389CS</v>
          </cell>
          <cell r="H67">
            <v>3.62</v>
          </cell>
        </row>
        <row r="68">
          <cell r="A68" t="str">
            <v>2962CS</v>
          </cell>
          <cell r="H68">
            <v>4.5999999999999996</v>
          </cell>
        </row>
        <row r="69">
          <cell r="A69" t="str">
            <v>023ACS</v>
          </cell>
          <cell r="H69">
            <v>18.399999999999999</v>
          </cell>
        </row>
        <row r="70">
          <cell r="A70" t="str">
            <v>4447CS</v>
          </cell>
          <cell r="H70">
            <v>22.3</v>
          </cell>
        </row>
        <row r="71">
          <cell r="A71" t="str">
            <v>3296CS</v>
          </cell>
          <cell r="H71">
            <v>1.95</v>
          </cell>
        </row>
        <row r="72">
          <cell r="A72" t="str">
            <v>3166CS</v>
          </cell>
          <cell r="H72">
            <v>3.55</v>
          </cell>
        </row>
        <row r="73">
          <cell r="A73" t="str">
            <v>3048CS</v>
          </cell>
          <cell r="H73">
            <v>6</v>
          </cell>
        </row>
        <row r="74">
          <cell r="A74" t="str">
            <v>3492CS</v>
          </cell>
          <cell r="H74">
            <v>12</v>
          </cell>
        </row>
        <row r="75">
          <cell r="A75" t="str">
            <v>3184CS</v>
          </cell>
          <cell r="H75">
            <v>7.8</v>
          </cell>
        </row>
        <row r="76">
          <cell r="A76" t="str">
            <v>3073CS</v>
          </cell>
          <cell r="H76">
            <v>7.84</v>
          </cell>
        </row>
        <row r="77">
          <cell r="A77" t="str">
            <v>2704CS</v>
          </cell>
          <cell r="H77">
            <v>10.78</v>
          </cell>
        </row>
        <row r="78">
          <cell r="A78" t="str">
            <v>3026CS</v>
          </cell>
          <cell r="H78">
            <v>4.7</v>
          </cell>
        </row>
        <row r="79">
          <cell r="A79" t="str">
            <v>3124CS</v>
          </cell>
          <cell r="H79">
            <v>24.6</v>
          </cell>
        </row>
        <row r="80">
          <cell r="A80" t="str">
            <v>2802CS</v>
          </cell>
          <cell r="H80">
            <v>9.8000000000000007</v>
          </cell>
        </row>
        <row r="81">
          <cell r="A81" t="str">
            <v>3173CS</v>
          </cell>
          <cell r="H81">
            <v>5.97</v>
          </cell>
        </row>
        <row r="82">
          <cell r="A82" t="str">
            <v>3798CS</v>
          </cell>
          <cell r="H82">
            <v>12.6</v>
          </cell>
        </row>
        <row r="83">
          <cell r="A83" t="str">
            <v>3883CS</v>
          </cell>
          <cell r="H83">
            <v>3.18</v>
          </cell>
        </row>
        <row r="84">
          <cell r="A84" t="str">
            <v>2860CS</v>
          </cell>
          <cell r="H84">
            <v>12.2</v>
          </cell>
        </row>
        <row r="85">
          <cell r="A85" t="str">
            <v>3078CS</v>
          </cell>
          <cell r="H85">
            <v>1.1299999999999999</v>
          </cell>
        </row>
        <row r="86">
          <cell r="A86" t="str">
            <v>2938CS</v>
          </cell>
          <cell r="H86">
            <v>17.52</v>
          </cell>
        </row>
        <row r="87">
          <cell r="A87" t="str">
            <v>3220CS</v>
          </cell>
          <cell r="H87">
            <v>8.4</v>
          </cell>
        </row>
        <row r="88">
          <cell r="A88" t="str">
            <v>2791CS</v>
          </cell>
          <cell r="H88">
            <v>7.2</v>
          </cell>
        </row>
        <row r="89">
          <cell r="A89" t="str">
            <v>3582CS</v>
          </cell>
          <cell r="H89">
            <v>8.52</v>
          </cell>
        </row>
        <row r="90">
          <cell r="A90" t="str">
            <v>031ACS</v>
          </cell>
          <cell r="H90">
            <v>4.5</v>
          </cell>
        </row>
        <row r="91">
          <cell r="A91" t="str">
            <v>3450CS</v>
          </cell>
          <cell r="H91">
            <v>18.5</v>
          </cell>
        </row>
        <row r="92">
          <cell r="A92" t="str">
            <v>2519CS</v>
          </cell>
          <cell r="H92">
            <v>20</v>
          </cell>
        </row>
        <row r="93">
          <cell r="A93" t="str">
            <v>2795CS</v>
          </cell>
          <cell r="H93" t="e">
            <v>#N/A</v>
          </cell>
        </row>
        <row r="94">
          <cell r="A94" t="str">
            <v>3516CS</v>
          </cell>
          <cell r="H94">
            <v>9.0399999999999991</v>
          </cell>
        </row>
        <row r="95">
          <cell r="A95" t="str">
            <v>032ACS</v>
          </cell>
          <cell r="H95">
            <v>380</v>
          </cell>
        </row>
        <row r="96">
          <cell r="A96" t="str">
            <v>030ACS</v>
          </cell>
          <cell r="H96">
            <v>4.4000000000000004</v>
          </cell>
        </row>
        <row r="97">
          <cell r="A97" t="str">
            <v>3288CS</v>
          </cell>
          <cell r="H97">
            <v>3.4</v>
          </cell>
        </row>
        <row r="98">
          <cell r="A98" t="str">
            <v>3107CS</v>
          </cell>
          <cell r="H98">
            <v>19.2</v>
          </cell>
        </row>
        <row r="99">
          <cell r="A99" t="str">
            <v>3102CS</v>
          </cell>
          <cell r="H99">
            <v>6.75</v>
          </cell>
        </row>
        <row r="100">
          <cell r="A100" t="str">
            <v>2722CS</v>
          </cell>
          <cell r="H100">
            <v>11.16</v>
          </cell>
        </row>
        <row r="101">
          <cell r="A101" t="str">
            <v>3226CS</v>
          </cell>
          <cell r="H101">
            <v>4.3</v>
          </cell>
        </row>
        <row r="102">
          <cell r="A102" t="str">
            <v>2767CS</v>
          </cell>
          <cell r="H102">
            <v>15.96</v>
          </cell>
        </row>
        <row r="103">
          <cell r="A103" t="str">
            <v>3073EA</v>
          </cell>
          <cell r="H103">
            <v>0</v>
          </cell>
        </row>
        <row r="104">
          <cell r="A104" t="str">
            <v>3234EA</v>
          </cell>
          <cell r="H104">
            <v>0</v>
          </cell>
        </row>
        <row r="105">
          <cell r="A105" t="str">
            <v>3626CS</v>
          </cell>
          <cell r="H105">
            <v>7.25</v>
          </cell>
        </row>
        <row r="106">
          <cell r="A106" t="str">
            <v>3379CS</v>
          </cell>
          <cell r="H106">
            <v>2.25</v>
          </cell>
        </row>
        <row r="107">
          <cell r="A107" t="str">
            <v>3209CS</v>
          </cell>
          <cell r="H107">
            <v>11.75</v>
          </cell>
        </row>
        <row r="108">
          <cell r="A108" t="str">
            <v>3011CS</v>
          </cell>
          <cell r="H108">
            <v>5.5</v>
          </cell>
        </row>
        <row r="109">
          <cell r="A109" t="str">
            <v>135ACS</v>
          </cell>
          <cell r="H109">
            <v>7.65</v>
          </cell>
        </row>
        <row r="110">
          <cell r="A110" t="str">
            <v>283ACS</v>
          </cell>
          <cell r="H110">
            <v>390</v>
          </cell>
        </row>
        <row r="111">
          <cell r="A111" t="str">
            <v>3815CS</v>
          </cell>
          <cell r="H111">
            <v>6.6</v>
          </cell>
        </row>
        <row r="112">
          <cell r="A112" t="str">
            <v>954ACS</v>
          </cell>
          <cell r="H112">
            <v>6.65</v>
          </cell>
        </row>
        <row r="113">
          <cell r="A113" t="str">
            <v>6264CS</v>
          </cell>
          <cell r="H113">
            <v>3.88</v>
          </cell>
        </row>
        <row r="114">
          <cell r="A114" t="str">
            <v>2751CS</v>
          </cell>
          <cell r="H114">
            <v>16.559999999999999</v>
          </cell>
        </row>
        <row r="115">
          <cell r="A115" t="str">
            <v>1317CS</v>
          </cell>
          <cell r="H115">
            <v>2.4</v>
          </cell>
        </row>
        <row r="116">
          <cell r="A116" t="str">
            <v>3611CS</v>
          </cell>
          <cell r="H116">
            <v>5.4</v>
          </cell>
        </row>
        <row r="117">
          <cell r="A117" t="str">
            <v>244BCS</v>
          </cell>
          <cell r="H117">
            <v>4.4000000000000004</v>
          </cell>
        </row>
        <row r="118">
          <cell r="A118" t="str">
            <v>3656CS</v>
          </cell>
          <cell r="H118">
            <v>6.72</v>
          </cell>
        </row>
        <row r="119">
          <cell r="A119" t="str">
            <v>3263CS</v>
          </cell>
          <cell r="H119">
            <v>8.3000000000000007</v>
          </cell>
        </row>
        <row r="120">
          <cell r="A120" t="str">
            <v>3055CS</v>
          </cell>
          <cell r="H120">
            <v>6.6</v>
          </cell>
        </row>
        <row r="121">
          <cell r="A121" t="str">
            <v>8659CS</v>
          </cell>
          <cell r="H121">
            <v>26.46</v>
          </cell>
        </row>
        <row r="122">
          <cell r="A122" t="str">
            <v>3857CS</v>
          </cell>
          <cell r="H122">
            <v>4.4400000000000004</v>
          </cell>
        </row>
        <row r="123">
          <cell r="A123" t="str">
            <v>2804CS</v>
          </cell>
          <cell r="H123">
            <v>13.5</v>
          </cell>
        </row>
        <row r="124">
          <cell r="A124" t="str">
            <v>2611CS</v>
          </cell>
          <cell r="H124">
            <v>14.4</v>
          </cell>
        </row>
        <row r="125">
          <cell r="A125" t="str">
            <v>3193CS</v>
          </cell>
          <cell r="H125">
            <v>5.4</v>
          </cell>
        </row>
        <row r="126">
          <cell r="A126" t="str">
            <v>2746CS</v>
          </cell>
          <cell r="H126">
            <v>8.56</v>
          </cell>
        </row>
        <row r="127">
          <cell r="A127" t="str">
            <v>3747CS</v>
          </cell>
          <cell r="H127" t="e">
            <v>#N/A</v>
          </cell>
        </row>
        <row r="128">
          <cell r="A128" t="str">
            <v>2852CS</v>
          </cell>
          <cell r="H128">
            <v>4.8</v>
          </cell>
        </row>
        <row r="129">
          <cell r="A129" t="str">
            <v>3409CS</v>
          </cell>
          <cell r="H129">
            <v>7.08</v>
          </cell>
        </row>
        <row r="130">
          <cell r="A130" t="str">
            <v>026BCS</v>
          </cell>
          <cell r="H130">
            <v>9.4</v>
          </cell>
        </row>
        <row r="131">
          <cell r="A131" t="str">
            <v>S3998CS</v>
          </cell>
          <cell r="H131">
            <v>456</v>
          </cell>
        </row>
        <row r="132">
          <cell r="A132" t="str">
            <v>S3997CS</v>
          </cell>
          <cell r="H132">
            <v>408</v>
          </cell>
        </row>
        <row r="133">
          <cell r="A133" t="str">
            <v>3595EA</v>
          </cell>
          <cell r="H133">
            <v>0</v>
          </cell>
        </row>
        <row r="134">
          <cell r="A134" t="str">
            <v>3587CS</v>
          </cell>
          <cell r="H134">
            <v>7.8</v>
          </cell>
        </row>
        <row r="135">
          <cell r="A135" t="str">
            <v>3241EA</v>
          </cell>
          <cell r="H135">
            <v>0</v>
          </cell>
        </row>
        <row r="136">
          <cell r="A136" t="str">
            <v>2783CS</v>
          </cell>
          <cell r="H136">
            <v>4.5999999999999996</v>
          </cell>
        </row>
        <row r="137">
          <cell r="A137" t="str">
            <v>3061CS</v>
          </cell>
          <cell r="H137">
            <v>7.5</v>
          </cell>
        </row>
        <row r="138">
          <cell r="A138" t="str">
            <v>2532CS</v>
          </cell>
          <cell r="H138">
            <v>19.559999999999999</v>
          </cell>
        </row>
        <row r="139">
          <cell r="A139" t="str">
            <v>7836CS</v>
          </cell>
          <cell r="H139">
            <v>8.93</v>
          </cell>
        </row>
        <row r="140">
          <cell r="A140" t="str">
            <v>168ACS</v>
          </cell>
          <cell r="H140" t="e">
            <v>#N/A</v>
          </cell>
        </row>
        <row r="141">
          <cell r="A141" t="str">
            <v>8929CS</v>
          </cell>
          <cell r="H141">
            <v>15.75</v>
          </cell>
        </row>
        <row r="142">
          <cell r="A142" t="str">
            <v>932BCS</v>
          </cell>
          <cell r="H142">
            <v>16.7</v>
          </cell>
        </row>
        <row r="143">
          <cell r="A143" t="str">
            <v>3900CS</v>
          </cell>
          <cell r="H143">
            <v>3.75</v>
          </cell>
        </row>
        <row r="144">
          <cell r="A144" t="str">
            <v>3284CS</v>
          </cell>
          <cell r="H144">
            <v>8.5</v>
          </cell>
        </row>
        <row r="145">
          <cell r="A145" t="str">
            <v>3104CS</v>
          </cell>
          <cell r="H145">
            <v>14.32</v>
          </cell>
        </row>
        <row r="146">
          <cell r="A146" t="str">
            <v>3042CS</v>
          </cell>
          <cell r="H146" t="e">
            <v>#N/A</v>
          </cell>
        </row>
        <row r="147">
          <cell r="A147" t="str">
            <v>3013CS</v>
          </cell>
          <cell r="H147">
            <v>5.5</v>
          </cell>
        </row>
        <row r="148">
          <cell r="A148" t="str">
            <v>2788CS</v>
          </cell>
          <cell r="H148">
            <v>5.94</v>
          </cell>
        </row>
        <row r="149">
          <cell r="A149" t="str">
            <v>2697CS</v>
          </cell>
          <cell r="H149">
            <v>4.5</v>
          </cell>
        </row>
        <row r="150">
          <cell r="A150" t="str">
            <v>173AEA</v>
          </cell>
          <cell r="H150">
            <v>0</v>
          </cell>
        </row>
        <row r="151">
          <cell r="A151" t="str">
            <v>3222CS</v>
          </cell>
          <cell r="H151">
            <v>9.15</v>
          </cell>
        </row>
        <row r="152">
          <cell r="A152" t="str">
            <v>2738CS</v>
          </cell>
          <cell r="H152">
            <v>12</v>
          </cell>
        </row>
        <row r="153">
          <cell r="A153" t="str">
            <v>2515CS</v>
          </cell>
          <cell r="H153">
            <v>0</v>
          </cell>
        </row>
        <row r="154">
          <cell r="A154" t="str">
            <v>2559CS</v>
          </cell>
          <cell r="H154">
            <v>10.44</v>
          </cell>
        </row>
        <row r="155">
          <cell r="A155" t="str">
            <v>3141CS</v>
          </cell>
          <cell r="H155">
            <v>3.2</v>
          </cell>
        </row>
        <row r="156">
          <cell r="A156" t="str">
            <v>3264CS</v>
          </cell>
          <cell r="H156">
            <v>3.95</v>
          </cell>
        </row>
        <row r="157">
          <cell r="A157" t="str">
            <v>3616CS</v>
          </cell>
          <cell r="H157">
            <v>0</v>
          </cell>
        </row>
        <row r="158">
          <cell r="A158" t="str">
            <v>3234CS</v>
          </cell>
          <cell r="H158">
            <v>7.5</v>
          </cell>
        </row>
        <row r="159">
          <cell r="A159" t="str">
            <v>3233EA</v>
          </cell>
          <cell r="H159">
            <v>0</v>
          </cell>
        </row>
        <row r="160">
          <cell r="A160" t="str">
            <v>3022CS</v>
          </cell>
          <cell r="H160">
            <v>7.4</v>
          </cell>
        </row>
        <row r="161">
          <cell r="A161" t="str">
            <v>F294CS</v>
          </cell>
          <cell r="H161">
            <v>18.100000000000001</v>
          </cell>
        </row>
        <row r="162">
          <cell r="A162" t="str">
            <v>3587EA</v>
          </cell>
          <cell r="H162">
            <v>0</v>
          </cell>
        </row>
        <row r="163">
          <cell r="A163" t="str">
            <v>2893CS</v>
          </cell>
          <cell r="H163">
            <v>10.52</v>
          </cell>
        </row>
        <row r="164">
          <cell r="A164" t="str">
            <v>8368CS</v>
          </cell>
          <cell r="H164">
            <v>8.8800000000000008</v>
          </cell>
        </row>
        <row r="165">
          <cell r="A165" t="str">
            <v>3271CS</v>
          </cell>
          <cell r="H165" t="e">
            <v>#N/A</v>
          </cell>
        </row>
        <row r="166">
          <cell r="A166" t="str">
            <v>3128CS</v>
          </cell>
          <cell r="H166">
            <v>29</v>
          </cell>
        </row>
        <row r="167">
          <cell r="A167" t="str">
            <v>3893CS</v>
          </cell>
          <cell r="H167">
            <v>0</v>
          </cell>
        </row>
        <row r="168">
          <cell r="A168" t="str">
            <v>3832CS</v>
          </cell>
          <cell r="H168">
            <v>2.48</v>
          </cell>
        </row>
        <row r="169">
          <cell r="A169" t="str">
            <v>3261CS</v>
          </cell>
          <cell r="H169">
            <v>8.3000000000000007</v>
          </cell>
        </row>
        <row r="170">
          <cell r="A170" t="str">
            <v>3112EA</v>
          </cell>
          <cell r="H170">
            <v>0</v>
          </cell>
        </row>
        <row r="171">
          <cell r="A171" t="str">
            <v>2698CS</v>
          </cell>
          <cell r="H171">
            <v>4.95</v>
          </cell>
        </row>
        <row r="172">
          <cell r="A172" t="str">
            <v>8367CS</v>
          </cell>
          <cell r="H172">
            <v>9.36</v>
          </cell>
        </row>
        <row r="173">
          <cell r="A173" t="str">
            <v>2963CS</v>
          </cell>
          <cell r="H173">
            <v>21.7</v>
          </cell>
        </row>
        <row r="174">
          <cell r="A174" t="str">
            <v>2882EA</v>
          </cell>
          <cell r="H174">
            <v>0</v>
          </cell>
        </row>
        <row r="175">
          <cell r="A175" t="str">
            <v>2623CS</v>
          </cell>
          <cell r="H175">
            <v>18</v>
          </cell>
        </row>
        <row r="176">
          <cell r="A176" t="str">
            <v>S4296CS</v>
          </cell>
          <cell r="H176">
            <v>456</v>
          </cell>
        </row>
        <row r="177">
          <cell r="A177" t="str">
            <v>S3788CS</v>
          </cell>
          <cell r="H177">
            <v>14.25</v>
          </cell>
        </row>
        <row r="178">
          <cell r="A178" t="str">
            <v>S3565CS</v>
          </cell>
          <cell r="H178">
            <v>8.8000000000000007</v>
          </cell>
        </row>
        <row r="179">
          <cell r="A179" t="str">
            <v>S3215CS</v>
          </cell>
          <cell r="H179">
            <v>10.5</v>
          </cell>
        </row>
        <row r="180">
          <cell r="A180" t="str">
            <v>5268CS</v>
          </cell>
          <cell r="H180">
            <v>7.04</v>
          </cell>
        </row>
        <row r="181">
          <cell r="A181" t="str">
            <v>4777CS</v>
          </cell>
          <cell r="H181">
            <v>6.32</v>
          </cell>
        </row>
        <row r="182">
          <cell r="A182" t="str">
            <v>4103CS</v>
          </cell>
          <cell r="H182">
            <v>17.64</v>
          </cell>
        </row>
        <row r="183">
          <cell r="A183" t="str">
            <v>3915CS</v>
          </cell>
          <cell r="H183">
            <v>16.8</v>
          </cell>
        </row>
        <row r="184">
          <cell r="A184" t="str">
            <v>3868CS</v>
          </cell>
          <cell r="H184">
            <v>13.5</v>
          </cell>
        </row>
        <row r="185">
          <cell r="A185" t="str">
            <v>3796CS</v>
          </cell>
          <cell r="H185">
            <v>11.21</v>
          </cell>
        </row>
        <row r="186">
          <cell r="A186" t="str">
            <v>3614CS</v>
          </cell>
          <cell r="H186">
            <v>5.7</v>
          </cell>
        </row>
        <row r="187">
          <cell r="A187" t="str">
            <v>3614CS</v>
          </cell>
          <cell r="H187">
            <v>5.7</v>
          </cell>
        </row>
        <row r="188">
          <cell r="A188" t="str">
            <v>3550CS</v>
          </cell>
          <cell r="H188">
            <v>21.7</v>
          </cell>
        </row>
        <row r="189">
          <cell r="A189" t="str">
            <v>3532CS</v>
          </cell>
          <cell r="H189">
            <v>10.55</v>
          </cell>
        </row>
        <row r="190">
          <cell r="A190" t="str">
            <v>3287CS</v>
          </cell>
          <cell r="H190">
            <v>4.26</v>
          </cell>
        </row>
        <row r="191">
          <cell r="A191" t="str">
            <v>3273CS</v>
          </cell>
          <cell r="H191">
            <v>10.75</v>
          </cell>
        </row>
        <row r="192">
          <cell r="A192" t="str">
            <v>3268CS</v>
          </cell>
          <cell r="H192">
            <v>6.5</v>
          </cell>
        </row>
        <row r="193">
          <cell r="A193" t="str">
            <v>3266CS</v>
          </cell>
          <cell r="H193">
            <v>15</v>
          </cell>
        </row>
        <row r="194">
          <cell r="A194" t="str">
            <v>3253CS</v>
          </cell>
          <cell r="H194">
            <v>3.65</v>
          </cell>
        </row>
        <row r="195">
          <cell r="A195" t="str">
            <v>3241CS</v>
          </cell>
          <cell r="H195">
            <v>40.049999999999997</v>
          </cell>
        </row>
        <row r="196">
          <cell r="A196" t="str">
            <v>3238CS</v>
          </cell>
          <cell r="H196">
            <v>9</v>
          </cell>
        </row>
        <row r="197">
          <cell r="A197" t="str">
            <v>3233CS</v>
          </cell>
          <cell r="H197">
            <v>21.54</v>
          </cell>
        </row>
        <row r="198">
          <cell r="A198" t="str">
            <v>3229CS</v>
          </cell>
          <cell r="H198">
            <v>6</v>
          </cell>
        </row>
        <row r="199">
          <cell r="A199" t="str">
            <v>3211CS</v>
          </cell>
          <cell r="H199">
            <v>10</v>
          </cell>
        </row>
        <row r="200">
          <cell r="A200" t="str">
            <v>3205CS</v>
          </cell>
          <cell r="H200">
            <v>11.25</v>
          </cell>
        </row>
        <row r="201">
          <cell r="A201" t="str">
            <v>3199CS</v>
          </cell>
          <cell r="H201">
            <v>2.6</v>
          </cell>
        </row>
        <row r="202">
          <cell r="A202" t="str">
            <v>3194CS</v>
          </cell>
          <cell r="H202">
            <v>0</v>
          </cell>
        </row>
        <row r="203">
          <cell r="A203" t="str">
            <v>3192CS</v>
          </cell>
          <cell r="H203">
            <v>1.9</v>
          </cell>
        </row>
        <row r="204">
          <cell r="A204" t="str">
            <v>3176CS</v>
          </cell>
          <cell r="H204">
            <v>3.84</v>
          </cell>
        </row>
        <row r="205">
          <cell r="A205" t="str">
            <v>3162CS</v>
          </cell>
          <cell r="H205">
            <v>5.49</v>
          </cell>
        </row>
        <row r="206">
          <cell r="A206" t="str">
            <v>3161CS</v>
          </cell>
          <cell r="H206">
            <v>6.6</v>
          </cell>
        </row>
        <row r="207">
          <cell r="A207" t="str">
            <v>3114CS</v>
          </cell>
          <cell r="H207">
            <v>29</v>
          </cell>
        </row>
        <row r="208">
          <cell r="A208" t="str">
            <v>2917CS</v>
          </cell>
          <cell r="H208">
            <v>19</v>
          </cell>
        </row>
        <row r="209">
          <cell r="A209" t="str">
            <v>2692CS</v>
          </cell>
          <cell r="H209">
            <v>21.25</v>
          </cell>
        </row>
        <row r="210">
          <cell r="A210" t="str">
            <v>246BCS</v>
          </cell>
          <cell r="H210">
            <v>18.95</v>
          </cell>
        </row>
        <row r="211">
          <cell r="A211" t="str">
            <v>2418CS</v>
          </cell>
          <cell r="H211">
            <v>0</v>
          </cell>
        </row>
        <row r="212">
          <cell r="A212" t="str">
            <v>194ACS</v>
          </cell>
          <cell r="H212">
            <v>10</v>
          </cell>
        </row>
        <row r="213">
          <cell r="A213" t="str">
            <v>1374CS</v>
          </cell>
          <cell r="H213">
            <v>3</v>
          </cell>
        </row>
        <row r="214">
          <cell r="A214" t="str">
            <v>107ACS</v>
          </cell>
          <cell r="H214">
            <v>11.21</v>
          </cell>
        </row>
        <row r="215">
          <cell r="A215" t="str">
            <v>1006CS</v>
          </cell>
          <cell r="H215">
            <v>4.72</v>
          </cell>
        </row>
        <row r="216">
          <cell r="A216" t="str">
            <v>0141CS</v>
          </cell>
          <cell r="H216">
            <v>3.7</v>
          </cell>
        </row>
        <row r="217">
          <cell r="A217" t="str">
            <v>3891CS</v>
          </cell>
          <cell r="H217">
            <v>0</v>
          </cell>
        </row>
        <row r="218">
          <cell r="A218" t="str">
            <v>S3566CS</v>
          </cell>
          <cell r="H218">
            <v>8.6</v>
          </cell>
        </row>
        <row r="219">
          <cell r="A219" t="str">
            <v>3692CS</v>
          </cell>
          <cell r="H219">
            <v>0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bound Pricing"/>
      <sheetName val="Pricing Required"/>
      <sheetName val="Davins Price file"/>
      <sheetName val="Missing- RM"/>
      <sheetName val="RM-Price per KG"/>
    </sheetNames>
    <sheetDataSet>
      <sheetData sheetId="0">
        <row r="3">
          <cell r="C3" t="str">
            <v>Item Number</v>
          </cell>
          <cell r="K3" t="str">
            <v>S26</v>
          </cell>
        </row>
        <row r="4">
          <cell r="C4" t="str">
            <v>S1318CS</v>
          </cell>
          <cell r="K4">
            <v>2.68</v>
          </cell>
        </row>
        <row r="5">
          <cell r="C5" t="str">
            <v>3566CS</v>
          </cell>
          <cell r="K5">
            <v>8.5282837127845887</v>
          </cell>
        </row>
        <row r="6">
          <cell r="C6" t="str">
            <v>206ACS</v>
          </cell>
          <cell r="K6">
            <v>8.6690017513134858</v>
          </cell>
        </row>
        <row r="7">
          <cell r="C7" t="str">
            <v>3136CS</v>
          </cell>
          <cell r="K7">
            <v>5.2451838879159371</v>
          </cell>
        </row>
        <row r="8">
          <cell r="C8" t="str">
            <v>655ACS</v>
          </cell>
        </row>
        <row r="9">
          <cell r="C9" t="str">
            <v>0930CS</v>
          </cell>
          <cell r="K9">
            <v>5.5</v>
          </cell>
        </row>
        <row r="10">
          <cell r="C10" t="str">
            <v>024BCS</v>
          </cell>
          <cell r="K10">
            <v>5.5544147843942504</v>
          </cell>
        </row>
        <row r="11">
          <cell r="C11" t="str">
            <v>2789CS</v>
          </cell>
          <cell r="K11">
            <v>8.2001794895765165</v>
          </cell>
        </row>
        <row r="12">
          <cell r="C12" t="str">
            <v>3446CS</v>
          </cell>
          <cell r="K12">
            <v>5.4</v>
          </cell>
        </row>
        <row r="13">
          <cell r="C13" t="str">
            <v>712ACS</v>
          </cell>
        </row>
        <row r="14">
          <cell r="C14" t="str">
            <v>3034CS</v>
          </cell>
          <cell r="K14">
            <v>6.09</v>
          </cell>
        </row>
        <row r="15">
          <cell r="C15" t="str">
            <v>166ACS</v>
          </cell>
          <cell r="K15">
            <v>8.5</v>
          </cell>
        </row>
        <row r="16">
          <cell r="C16" t="str">
            <v>2790CS</v>
          </cell>
          <cell r="K16">
            <v>8.2004967658473475</v>
          </cell>
        </row>
        <row r="17">
          <cell r="C17" t="str">
            <v>5267CS</v>
          </cell>
          <cell r="K17">
            <v>5.39</v>
          </cell>
        </row>
        <row r="18">
          <cell r="C18" t="str">
            <v>3567CS</v>
          </cell>
          <cell r="K18">
            <v>8.3000000000000007</v>
          </cell>
        </row>
        <row r="19">
          <cell r="C19" t="str">
            <v>3001CS</v>
          </cell>
          <cell r="K19">
            <v>6.6149299474605963</v>
          </cell>
        </row>
        <row r="20">
          <cell r="C20" t="str">
            <v>2794CS</v>
          </cell>
          <cell r="K20">
            <v>7.7681228151971489</v>
          </cell>
        </row>
        <row r="21">
          <cell r="C21" t="str">
            <v>3644CS</v>
          </cell>
          <cell r="K21">
            <v>6.15</v>
          </cell>
        </row>
        <row r="22">
          <cell r="C22" t="str">
            <v>3565CS</v>
          </cell>
          <cell r="K22">
            <v>8.6999999999999993</v>
          </cell>
        </row>
        <row r="23">
          <cell r="C23" t="str">
            <v>3020CS</v>
          </cell>
          <cell r="K23">
            <v>5.5</v>
          </cell>
        </row>
        <row r="24">
          <cell r="C24" t="str">
            <v>S1317CS</v>
          </cell>
          <cell r="K24">
            <v>2.4</v>
          </cell>
        </row>
        <row r="25">
          <cell r="C25" t="str">
            <v>4478CS</v>
          </cell>
        </row>
        <row r="26">
          <cell r="C26" t="str">
            <v>3221CS</v>
          </cell>
          <cell r="K26">
            <v>8.2333543983822057</v>
          </cell>
        </row>
        <row r="27">
          <cell r="C27" t="str">
            <v>3689CS</v>
          </cell>
          <cell r="K27">
            <v>8.2632248670733528</v>
          </cell>
        </row>
        <row r="28">
          <cell r="C28" t="str">
            <v>3242CS</v>
          </cell>
          <cell r="K28">
            <v>5.25</v>
          </cell>
        </row>
        <row r="29">
          <cell r="C29" t="str">
            <v>3867CS</v>
          </cell>
          <cell r="K29">
            <v>9.1999999999999993</v>
          </cell>
        </row>
        <row r="30">
          <cell r="C30" t="str">
            <v>2461CS</v>
          </cell>
          <cell r="K30">
            <v>11.4</v>
          </cell>
        </row>
        <row r="31">
          <cell r="C31" t="str">
            <v>2730CS</v>
          </cell>
          <cell r="K31">
            <v>12</v>
          </cell>
        </row>
        <row r="32">
          <cell r="C32" t="str">
            <v>3547CS</v>
          </cell>
          <cell r="K32">
            <v>7.8</v>
          </cell>
        </row>
        <row r="33">
          <cell r="C33" t="str">
            <v>3080CS</v>
          </cell>
          <cell r="K33">
            <v>3.8</v>
          </cell>
        </row>
        <row r="34">
          <cell r="C34" t="str">
            <v>3506CS</v>
          </cell>
          <cell r="K34">
            <v>3.69</v>
          </cell>
        </row>
        <row r="35">
          <cell r="C35" t="str">
            <v>3210CS</v>
          </cell>
          <cell r="K35">
            <v>6.5606239460370999</v>
          </cell>
        </row>
        <row r="36">
          <cell r="C36" t="str">
            <v>0102CS</v>
          </cell>
        </row>
        <row r="37">
          <cell r="C37" t="str">
            <v>025BCS</v>
          </cell>
          <cell r="K37">
            <v>5.985626283367556</v>
          </cell>
        </row>
        <row r="38">
          <cell r="C38" t="str">
            <v>F218CS</v>
          </cell>
          <cell r="K38">
            <v>16.399999999999999</v>
          </cell>
        </row>
        <row r="39">
          <cell r="C39" t="str">
            <v>3719CS</v>
          </cell>
          <cell r="K39">
            <v>6.2633024029105568</v>
          </cell>
        </row>
        <row r="40">
          <cell r="C40" t="str">
            <v>3025CS</v>
          </cell>
          <cell r="K40">
            <v>6.5698630136986305</v>
          </cell>
        </row>
        <row r="41">
          <cell r="C41" t="str">
            <v>2608CS</v>
          </cell>
          <cell r="K41">
            <v>11.3</v>
          </cell>
        </row>
        <row r="42">
          <cell r="C42" t="str">
            <v>3106CS</v>
          </cell>
          <cell r="K42">
            <v>6.8826619964973741</v>
          </cell>
        </row>
        <row r="43">
          <cell r="C43" t="str">
            <v>353BCS</v>
          </cell>
          <cell r="K43">
            <v>13.75</v>
          </cell>
        </row>
        <row r="44">
          <cell r="C44" t="str">
            <v>1318CS</v>
          </cell>
          <cell r="K44">
            <v>2.6760507880910684</v>
          </cell>
        </row>
        <row r="45">
          <cell r="C45" t="str">
            <v>3191CS</v>
          </cell>
          <cell r="K45">
            <v>7.59</v>
          </cell>
        </row>
        <row r="46">
          <cell r="C46" t="str">
            <v>3794CS</v>
          </cell>
          <cell r="K46">
            <v>9.1025414364640884</v>
          </cell>
        </row>
        <row r="47">
          <cell r="C47" t="str">
            <v>2961CS</v>
          </cell>
          <cell r="K47">
            <v>7.83</v>
          </cell>
        </row>
        <row r="48">
          <cell r="C48" t="str">
            <v>3270CS</v>
          </cell>
          <cell r="K48">
            <v>8.4040292250922501</v>
          </cell>
        </row>
        <row r="49">
          <cell r="C49" t="str">
            <v>3198CS</v>
          </cell>
          <cell r="K49">
            <v>5.4</v>
          </cell>
        </row>
        <row r="50">
          <cell r="C50" t="str">
            <v>3277CS</v>
          </cell>
          <cell r="K50">
            <v>6.5</v>
          </cell>
        </row>
        <row r="51">
          <cell r="C51" t="str">
            <v>715ACS</v>
          </cell>
        </row>
        <row r="52">
          <cell r="C52" t="str">
            <v>3342CS</v>
          </cell>
          <cell r="K52">
            <v>16.7</v>
          </cell>
        </row>
        <row r="53">
          <cell r="C53" t="str">
            <v>2980CS</v>
          </cell>
          <cell r="K53">
            <v>33.9</v>
          </cell>
        </row>
        <row r="54">
          <cell r="C54" t="str">
            <v>2735CS</v>
          </cell>
          <cell r="K54">
            <v>10.65</v>
          </cell>
        </row>
        <row r="55">
          <cell r="C55" t="str">
            <v>1814CS</v>
          </cell>
          <cell r="K55">
            <v>3.57</v>
          </cell>
        </row>
        <row r="56">
          <cell r="C56" t="str">
            <v>716ACS</v>
          </cell>
        </row>
        <row r="57">
          <cell r="C57" t="str">
            <v>3531CS</v>
          </cell>
          <cell r="K57">
            <v>5.9</v>
          </cell>
        </row>
        <row r="58">
          <cell r="C58" t="str">
            <v>S3276CS</v>
          </cell>
          <cell r="K58">
            <v>14</v>
          </cell>
        </row>
        <row r="59">
          <cell r="C59" t="str">
            <v>1813CS</v>
          </cell>
          <cell r="K59">
            <v>4.28</v>
          </cell>
        </row>
        <row r="60">
          <cell r="C60" t="str">
            <v>4516CS</v>
          </cell>
        </row>
        <row r="61">
          <cell r="C61" t="str">
            <v>2689CS</v>
          </cell>
          <cell r="K61">
            <v>7.9239913273407145</v>
          </cell>
        </row>
        <row r="62">
          <cell r="C62" t="str">
            <v>3158CS</v>
          </cell>
          <cell r="K62">
            <v>5.5905541930362199</v>
          </cell>
        </row>
        <row r="63">
          <cell r="C63" t="str">
            <v>3638CS</v>
          </cell>
          <cell r="K63">
            <v>6.95</v>
          </cell>
        </row>
        <row r="64">
          <cell r="C64" t="str">
            <v>2659CS</v>
          </cell>
          <cell r="K64">
            <v>5.6</v>
          </cell>
        </row>
        <row r="65">
          <cell r="C65" t="str">
            <v>2792CS</v>
          </cell>
          <cell r="K65">
            <v>7.8446326355504885</v>
          </cell>
        </row>
        <row r="66">
          <cell r="C66" t="str">
            <v>2613CS</v>
          </cell>
          <cell r="K66">
            <v>11.2</v>
          </cell>
        </row>
        <row r="67">
          <cell r="C67" t="str">
            <v>3584CS</v>
          </cell>
          <cell r="K67">
            <v>9.4</v>
          </cell>
        </row>
        <row r="68">
          <cell r="C68" t="str">
            <v>3262CS</v>
          </cell>
          <cell r="K68">
            <v>3.95</v>
          </cell>
        </row>
        <row r="69">
          <cell r="C69" t="str">
            <v>3436CS</v>
          </cell>
        </row>
        <row r="70">
          <cell r="C70" t="str">
            <v>2627CS</v>
          </cell>
          <cell r="K70">
            <v>14.5</v>
          </cell>
        </row>
        <row r="71">
          <cell r="C71" t="str">
            <v>3088EA</v>
          </cell>
        </row>
        <row r="72">
          <cell r="C72" t="str">
            <v>3138CS</v>
          </cell>
          <cell r="K72">
            <v>8.2393364069032611</v>
          </cell>
        </row>
        <row r="73">
          <cell r="C73" t="str">
            <v>3659CS</v>
          </cell>
          <cell r="K73">
            <v>5.0788091068301231</v>
          </cell>
        </row>
        <row r="74">
          <cell r="C74" t="str">
            <v>2385CS</v>
          </cell>
          <cell r="K74">
            <v>7.9</v>
          </cell>
        </row>
        <row r="75">
          <cell r="C75" t="str">
            <v>106ACS</v>
          </cell>
          <cell r="K75">
            <v>10.8</v>
          </cell>
        </row>
        <row r="76">
          <cell r="C76" t="str">
            <v>2604CS</v>
          </cell>
          <cell r="K76">
            <v>6.3485113835376534</v>
          </cell>
        </row>
        <row r="77">
          <cell r="C77" t="str">
            <v>3066CS</v>
          </cell>
          <cell r="K77">
            <v>5.33</v>
          </cell>
        </row>
        <row r="78">
          <cell r="C78" t="str">
            <v>3062CS</v>
          </cell>
          <cell r="K78">
            <v>4.32</v>
          </cell>
        </row>
        <row r="79">
          <cell r="C79" t="str">
            <v>1445CS</v>
          </cell>
          <cell r="K79">
            <v>27.583187390542911</v>
          </cell>
        </row>
        <row r="80">
          <cell r="C80" t="str">
            <v>3112CS</v>
          </cell>
          <cell r="K80">
            <v>7.21</v>
          </cell>
        </row>
        <row r="81">
          <cell r="C81" t="str">
            <v>3181CS</v>
          </cell>
          <cell r="K81">
            <v>8.4498892988929892</v>
          </cell>
        </row>
        <row r="82">
          <cell r="C82" t="str">
            <v>179ACS</v>
          </cell>
          <cell r="K82">
            <v>9.58</v>
          </cell>
        </row>
        <row r="83">
          <cell r="C83" t="str">
            <v>3486CS</v>
          </cell>
          <cell r="K83">
            <v>5.4</v>
          </cell>
        </row>
        <row r="84">
          <cell r="C84" t="str">
            <v>6271CS</v>
          </cell>
          <cell r="K84">
            <v>3.44</v>
          </cell>
        </row>
        <row r="85">
          <cell r="C85" t="str">
            <v>3389CS</v>
          </cell>
          <cell r="K85">
            <v>3.6199999999999997</v>
          </cell>
        </row>
        <row r="86">
          <cell r="C86" t="str">
            <v>2962CS</v>
          </cell>
          <cell r="K86">
            <v>4.5999999999999996</v>
          </cell>
        </row>
        <row r="87">
          <cell r="C87" t="str">
            <v>023ACS</v>
          </cell>
          <cell r="K87">
            <v>18.25</v>
          </cell>
        </row>
        <row r="88">
          <cell r="C88" t="str">
            <v>4447CS</v>
          </cell>
          <cell r="K88">
            <v>22.25</v>
          </cell>
        </row>
        <row r="89">
          <cell r="C89" t="str">
            <v>3296CS</v>
          </cell>
          <cell r="K89">
            <v>1.95</v>
          </cell>
        </row>
        <row r="90">
          <cell r="C90" t="str">
            <v>2842EA</v>
          </cell>
        </row>
        <row r="91">
          <cell r="C91" t="str">
            <v>2650CS</v>
          </cell>
          <cell r="K91">
            <v>18.5</v>
          </cell>
        </row>
        <row r="92">
          <cell r="C92" t="str">
            <v>3166CS</v>
          </cell>
          <cell r="K92">
            <v>3.5338811498037312</v>
          </cell>
        </row>
        <row r="93">
          <cell r="C93" t="str">
            <v>3048CS</v>
          </cell>
          <cell r="K93">
            <v>6</v>
          </cell>
        </row>
        <row r="94">
          <cell r="C94" t="str">
            <v>3492CS</v>
          </cell>
          <cell r="K94">
            <v>12</v>
          </cell>
        </row>
        <row r="95">
          <cell r="C95" t="str">
            <v>3184CS</v>
          </cell>
          <cell r="K95">
            <v>7.68</v>
          </cell>
        </row>
        <row r="96">
          <cell r="C96" t="str">
            <v>3073CS</v>
          </cell>
          <cell r="K96">
            <v>7.8</v>
          </cell>
        </row>
        <row r="97">
          <cell r="C97" t="str">
            <v>2704CS</v>
          </cell>
          <cell r="K97">
            <v>11.256484856626567</v>
          </cell>
        </row>
        <row r="98">
          <cell r="C98" t="str">
            <v>769ACS</v>
          </cell>
          <cell r="K98">
            <v>6.1</v>
          </cell>
        </row>
        <row r="99">
          <cell r="C99" t="str">
            <v>3026CS</v>
          </cell>
          <cell r="K99">
            <v>4.6661094224924007</v>
          </cell>
        </row>
        <row r="100">
          <cell r="C100" t="str">
            <v>6321CS</v>
          </cell>
          <cell r="K100">
            <v>6</v>
          </cell>
        </row>
        <row r="101">
          <cell r="C101" t="str">
            <v>3124CS</v>
          </cell>
          <cell r="K101">
            <v>24.55</v>
          </cell>
        </row>
        <row r="102">
          <cell r="C102" t="str">
            <v>2802CS</v>
          </cell>
          <cell r="K102">
            <v>9.8000000000000007</v>
          </cell>
        </row>
        <row r="103">
          <cell r="C103" t="str">
            <v>3414CS</v>
          </cell>
          <cell r="K103">
            <v>6.98</v>
          </cell>
        </row>
        <row r="104">
          <cell r="C104" t="str">
            <v>3173CS</v>
          </cell>
          <cell r="K104">
            <v>5.9731000534443472</v>
          </cell>
        </row>
        <row r="105">
          <cell r="C105" t="str">
            <v>3798CS</v>
          </cell>
          <cell r="K105">
            <v>12.6</v>
          </cell>
        </row>
        <row r="106">
          <cell r="C106" t="str">
            <v>3883CS</v>
          </cell>
          <cell r="K106">
            <v>3.15</v>
          </cell>
        </row>
        <row r="107">
          <cell r="C107" t="str">
            <v>2860CS</v>
          </cell>
          <cell r="K107">
            <v>12.50198993417197</v>
          </cell>
        </row>
        <row r="108">
          <cell r="C108" t="str">
            <v>8615CS</v>
          </cell>
        </row>
        <row r="109">
          <cell r="C109" t="str">
            <v>5711CS</v>
          </cell>
          <cell r="K109">
            <v>9</v>
          </cell>
        </row>
        <row r="110">
          <cell r="C110" t="str">
            <v>3078CS</v>
          </cell>
          <cell r="K110">
            <v>1.1100000000000001</v>
          </cell>
        </row>
        <row r="111">
          <cell r="C111" t="str">
            <v>2938CS</v>
          </cell>
          <cell r="K111">
            <v>17.52</v>
          </cell>
        </row>
        <row r="112">
          <cell r="C112" t="str">
            <v>3171CS</v>
          </cell>
          <cell r="K112">
            <v>4.6078028747433262</v>
          </cell>
        </row>
        <row r="113">
          <cell r="C113" t="str">
            <v>3220CS</v>
          </cell>
          <cell r="K113">
            <v>8.1915005786292916</v>
          </cell>
        </row>
        <row r="114">
          <cell r="C114" t="str">
            <v>2791CS</v>
          </cell>
          <cell r="K114">
            <v>7.2002184731156698</v>
          </cell>
        </row>
        <row r="115">
          <cell r="C115" t="str">
            <v>3582CS</v>
          </cell>
          <cell r="K115">
            <v>8.5</v>
          </cell>
        </row>
        <row r="116">
          <cell r="C116" t="str">
            <v>031ACS</v>
          </cell>
          <cell r="K116">
            <v>4.5</v>
          </cell>
        </row>
        <row r="117">
          <cell r="C117" t="str">
            <v>3450CS</v>
          </cell>
          <cell r="K117">
            <v>18.5</v>
          </cell>
        </row>
        <row r="118">
          <cell r="C118" t="str">
            <v>2519CS</v>
          </cell>
          <cell r="K118">
            <v>19.98</v>
          </cell>
        </row>
        <row r="119">
          <cell r="C119" t="str">
            <v>2795CS</v>
          </cell>
        </row>
        <row r="120">
          <cell r="C120" t="str">
            <v>3516CS</v>
          </cell>
          <cell r="K120">
            <v>9</v>
          </cell>
        </row>
        <row r="121">
          <cell r="C121" t="str">
            <v>032ACS</v>
          </cell>
          <cell r="K121">
            <v>373.72</v>
          </cell>
        </row>
        <row r="122">
          <cell r="C122" t="str">
            <v>030ACS</v>
          </cell>
          <cell r="K122">
            <v>4.3499999999999996</v>
          </cell>
        </row>
        <row r="123">
          <cell r="C123" t="str">
            <v>2817EA</v>
          </cell>
        </row>
        <row r="124">
          <cell r="C124" t="str">
            <v>3288CS</v>
          </cell>
          <cell r="K124">
            <v>3.4</v>
          </cell>
        </row>
        <row r="125">
          <cell r="C125" t="str">
            <v>3107CS</v>
          </cell>
          <cell r="K125">
            <v>20</v>
          </cell>
        </row>
        <row r="126">
          <cell r="C126" t="str">
            <v>7193CS</v>
          </cell>
          <cell r="K126">
            <v>6.3</v>
          </cell>
        </row>
        <row r="127">
          <cell r="C127" t="str">
            <v>3102CS</v>
          </cell>
          <cell r="K127">
            <v>6.74</v>
          </cell>
        </row>
        <row r="128">
          <cell r="C128" t="str">
            <v>2722CS</v>
          </cell>
          <cell r="K128">
            <v>11.06409811984539</v>
          </cell>
        </row>
        <row r="129">
          <cell r="C129" t="str">
            <v>3226CS</v>
          </cell>
          <cell r="K129">
            <v>4.25</v>
          </cell>
        </row>
        <row r="130">
          <cell r="C130" t="str">
            <v>2767CS</v>
          </cell>
          <cell r="K130">
            <v>15.920000000000002</v>
          </cell>
        </row>
        <row r="131">
          <cell r="C131" t="str">
            <v>3073EA</v>
          </cell>
        </row>
        <row r="132">
          <cell r="C132" t="str">
            <v>3234EA</v>
          </cell>
        </row>
        <row r="133">
          <cell r="C133" t="str">
            <v>6303CS</v>
          </cell>
          <cell r="K133">
            <v>43</v>
          </cell>
        </row>
        <row r="134">
          <cell r="C134" t="str">
            <v>3626CS</v>
          </cell>
          <cell r="K134">
            <v>7.25</v>
          </cell>
        </row>
        <row r="135">
          <cell r="C135" t="str">
            <v>3583CS</v>
          </cell>
          <cell r="K135">
            <v>9.8000000000000007</v>
          </cell>
        </row>
        <row r="136">
          <cell r="C136" t="str">
            <v>3379CS</v>
          </cell>
          <cell r="K136">
            <v>2.2400000000000002</v>
          </cell>
        </row>
        <row r="137">
          <cell r="C137" t="str">
            <v>3209CS</v>
          </cell>
          <cell r="K137">
            <v>11.574999999999999</v>
          </cell>
        </row>
        <row r="138">
          <cell r="C138" t="str">
            <v>3011CS</v>
          </cell>
          <cell r="K138">
            <v>5.5</v>
          </cell>
        </row>
        <row r="139">
          <cell r="C139" t="str">
            <v>135ACS</v>
          </cell>
          <cell r="K139">
            <v>7.6</v>
          </cell>
        </row>
        <row r="140">
          <cell r="C140" t="str">
            <v>283ACS</v>
          </cell>
          <cell r="K140">
            <v>390</v>
          </cell>
        </row>
        <row r="141">
          <cell r="C141" t="str">
            <v>1814EA</v>
          </cell>
        </row>
        <row r="142">
          <cell r="C142" t="str">
            <v>2470EA</v>
          </cell>
        </row>
        <row r="143">
          <cell r="C143" t="str">
            <v>3815CS</v>
          </cell>
          <cell r="K143">
            <v>6.6</v>
          </cell>
        </row>
        <row r="144">
          <cell r="C144" t="str">
            <v>3540CS</v>
          </cell>
          <cell r="K144">
            <v>4.6500000000000004</v>
          </cell>
        </row>
        <row r="145">
          <cell r="C145" t="str">
            <v>954ACS</v>
          </cell>
          <cell r="K145">
            <v>4.7699999999999996</v>
          </cell>
        </row>
        <row r="146">
          <cell r="C146" t="str">
            <v>6264CS</v>
          </cell>
          <cell r="K146">
            <v>3.88</v>
          </cell>
        </row>
        <row r="147">
          <cell r="C147" t="str">
            <v>3501CS</v>
          </cell>
          <cell r="K147">
            <v>6.06</v>
          </cell>
        </row>
        <row r="148">
          <cell r="C148" t="str">
            <v>2751CS</v>
          </cell>
          <cell r="K148">
            <v>16.5</v>
          </cell>
        </row>
        <row r="149">
          <cell r="C149" t="str">
            <v>334AEA</v>
          </cell>
        </row>
        <row r="150">
          <cell r="C150" t="str">
            <v>1317CS</v>
          </cell>
          <cell r="K150">
            <v>2.4009194395796851</v>
          </cell>
        </row>
        <row r="151">
          <cell r="C151" t="str">
            <v>3611CS</v>
          </cell>
          <cell r="K151">
            <v>5.2101576182136604</v>
          </cell>
        </row>
        <row r="152">
          <cell r="C152" t="str">
            <v>2572CS</v>
          </cell>
          <cell r="K152">
            <v>12.7</v>
          </cell>
        </row>
        <row r="153">
          <cell r="C153" t="str">
            <v>2797EA</v>
          </cell>
        </row>
        <row r="154">
          <cell r="C154" t="str">
            <v>244BCS</v>
          </cell>
          <cell r="K154">
            <v>4.3499999999999996</v>
          </cell>
        </row>
        <row r="155">
          <cell r="C155" t="str">
            <v>3656CS</v>
          </cell>
          <cell r="K155">
            <v>6.6</v>
          </cell>
        </row>
        <row r="156">
          <cell r="C156" t="str">
            <v>3263CS</v>
          </cell>
          <cell r="K156">
            <v>8.3000000000000007</v>
          </cell>
        </row>
        <row r="157">
          <cell r="C157" t="str">
            <v>3088CS</v>
          </cell>
          <cell r="K157">
            <v>8.98</v>
          </cell>
        </row>
        <row r="158">
          <cell r="C158" t="str">
            <v>3055CS</v>
          </cell>
          <cell r="K158">
            <v>6.5999999999999988</v>
          </cell>
        </row>
        <row r="159">
          <cell r="C159" t="str">
            <v>8659CS</v>
          </cell>
          <cell r="K159">
            <v>26.46</v>
          </cell>
        </row>
        <row r="160">
          <cell r="C160" t="str">
            <v>3857CS</v>
          </cell>
          <cell r="K160">
            <v>4.3</v>
          </cell>
        </row>
        <row r="161">
          <cell r="C161" t="str">
            <v>6655CS</v>
          </cell>
          <cell r="K161">
            <v>7.55</v>
          </cell>
        </row>
        <row r="162">
          <cell r="C162" t="str">
            <v>3909CS</v>
          </cell>
          <cell r="K162">
            <v>27.550683012259192</v>
          </cell>
        </row>
        <row r="163">
          <cell r="C163" t="str">
            <v>3884CS</v>
          </cell>
        </row>
        <row r="164">
          <cell r="C164" t="str">
            <v>3662CS</v>
          </cell>
          <cell r="K164">
            <v>6.6</v>
          </cell>
        </row>
        <row r="165">
          <cell r="C165" t="str">
            <v>2960CS</v>
          </cell>
          <cell r="K165">
            <v>5.9</v>
          </cell>
        </row>
        <row r="166">
          <cell r="C166" t="str">
            <v>2804CS</v>
          </cell>
          <cell r="K166">
            <v>13.5</v>
          </cell>
        </row>
        <row r="167">
          <cell r="C167" t="str">
            <v>2611CS</v>
          </cell>
          <cell r="K167">
            <v>13.3</v>
          </cell>
        </row>
        <row r="168">
          <cell r="C168" t="str">
            <v>3193CS</v>
          </cell>
          <cell r="K168">
            <v>5.4</v>
          </cell>
        </row>
        <row r="169">
          <cell r="C169" t="str">
            <v>3564CS</v>
          </cell>
          <cell r="K169">
            <v>7.6182136602451846</v>
          </cell>
        </row>
        <row r="170">
          <cell r="C170" t="str">
            <v>2746CS</v>
          </cell>
          <cell r="K170">
            <v>8.5500000000000007</v>
          </cell>
        </row>
        <row r="171">
          <cell r="C171" t="str">
            <v>6324EA</v>
          </cell>
        </row>
        <row r="172">
          <cell r="C172" t="str">
            <v>3747CS</v>
          </cell>
        </row>
        <row r="173">
          <cell r="C173" t="str">
            <v>2852CS</v>
          </cell>
          <cell r="K173">
            <v>4.8</v>
          </cell>
        </row>
        <row r="174">
          <cell r="C174" t="str">
            <v>2184CS</v>
          </cell>
        </row>
        <row r="175">
          <cell r="C175" t="str">
            <v>576ACS</v>
          </cell>
          <cell r="K175">
            <v>40.5</v>
          </cell>
        </row>
        <row r="176">
          <cell r="C176" t="str">
            <v>S2524CS</v>
          </cell>
        </row>
        <row r="177">
          <cell r="C177" t="str">
            <v>3409CS</v>
          </cell>
          <cell r="K177">
            <v>7</v>
          </cell>
        </row>
        <row r="178">
          <cell r="C178" t="str">
            <v>2749EA</v>
          </cell>
        </row>
        <row r="179">
          <cell r="C179" t="str">
            <v>2741CS</v>
          </cell>
        </row>
        <row r="180">
          <cell r="C180" t="str">
            <v>026BCS</v>
          </cell>
          <cell r="K180">
            <v>9.3800000000000008</v>
          </cell>
        </row>
        <row r="181">
          <cell r="C181" t="str">
            <v>S3998CS</v>
          </cell>
          <cell r="K181">
            <v>450</v>
          </cell>
        </row>
        <row r="182">
          <cell r="C182" t="str">
            <v>S3997CS</v>
          </cell>
          <cell r="K182">
            <v>405</v>
          </cell>
        </row>
        <row r="183">
          <cell r="C183" t="str">
            <v>3935EA</v>
          </cell>
        </row>
        <row r="184">
          <cell r="C184" t="str">
            <v>3595EA</v>
          </cell>
        </row>
        <row r="185">
          <cell r="C185" t="str">
            <v>3587CS</v>
          </cell>
          <cell r="K185">
            <v>7.7999999999999989</v>
          </cell>
        </row>
        <row r="186">
          <cell r="C186" t="str">
            <v>3241EA</v>
          </cell>
        </row>
        <row r="187">
          <cell r="C187" t="str">
            <v>2783CS</v>
          </cell>
          <cell r="K187">
            <v>4.4800000000000004</v>
          </cell>
        </row>
        <row r="188">
          <cell r="C188" t="str">
            <v>3061CS</v>
          </cell>
          <cell r="K188">
            <v>7.5</v>
          </cell>
        </row>
        <row r="189">
          <cell r="C189" t="str">
            <v>974ACS</v>
          </cell>
          <cell r="K189">
            <v>4.28</v>
          </cell>
        </row>
        <row r="190">
          <cell r="C190" t="str">
            <v>9476CS</v>
          </cell>
        </row>
        <row r="191">
          <cell r="C191" t="str">
            <v>2532CS</v>
          </cell>
        </row>
        <row r="192">
          <cell r="C192" t="str">
            <v>7836CS</v>
          </cell>
          <cell r="K192">
            <v>8.9252276707530651</v>
          </cell>
        </row>
        <row r="193">
          <cell r="C193" t="str">
            <v>168ACS</v>
          </cell>
        </row>
        <row r="194">
          <cell r="C194" t="str">
            <v>5621CS</v>
          </cell>
          <cell r="K194">
            <v>35.56</v>
          </cell>
        </row>
        <row r="195">
          <cell r="C195" t="str">
            <v>8929CS</v>
          </cell>
          <cell r="K195">
            <v>15.75</v>
          </cell>
        </row>
        <row r="196">
          <cell r="C196" t="str">
            <v>932BCS</v>
          </cell>
          <cell r="K196">
            <v>16.7</v>
          </cell>
        </row>
        <row r="197">
          <cell r="C197" t="str">
            <v>6589CS</v>
          </cell>
          <cell r="K197">
            <v>6.42</v>
          </cell>
        </row>
        <row r="198">
          <cell r="C198" t="str">
            <v>6178CS</v>
          </cell>
          <cell r="K198">
            <v>4.01</v>
          </cell>
        </row>
        <row r="199">
          <cell r="C199" t="str">
            <v>3900CS</v>
          </cell>
          <cell r="K199">
            <v>3.75</v>
          </cell>
        </row>
        <row r="200">
          <cell r="C200" t="str">
            <v>700ACS</v>
          </cell>
          <cell r="K200">
            <v>46.2</v>
          </cell>
        </row>
        <row r="201">
          <cell r="C201" t="str">
            <v>0138CS</v>
          </cell>
          <cell r="K201">
            <v>4.8899999999999997</v>
          </cell>
        </row>
        <row r="202">
          <cell r="C202" t="str">
            <v>F309EA</v>
          </cell>
        </row>
        <row r="203">
          <cell r="C203" t="str">
            <v>3284CS</v>
          </cell>
          <cell r="K203">
            <v>8.5</v>
          </cell>
        </row>
        <row r="204">
          <cell r="C204" t="str">
            <v>3104CS</v>
          </cell>
          <cell r="K204">
            <v>15.95</v>
          </cell>
        </row>
        <row r="205">
          <cell r="C205" t="str">
            <v>3042CS</v>
          </cell>
        </row>
        <row r="206">
          <cell r="C206" t="str">
            <v>3013CS</v>
          </cell>
          <cell r="K206">
            <v>5.5</v>
          </cell>
        </row>
        <row r="207">
          <cell r="C207" t="str">
            <v>2788CS</v>
          </cell>
          <cell r="K207">
            <v>5.7</v>
          </cell>
        </row>
        <row r="208">
          <cell r="C208" t="str">
            <v>2697CS</v>
          </cell>
          <cell r="K208">
            <v>4.4800000000000004</v>
          </cell>
        </row>
        <row r="209">
          <cell r="C209" t="str">
            <v>173AEA</v>
          </cell>
        </row>
        <row r="210">
          <cell r="C210" t="str">
            <v>2470CS</v>
          </cell>
        </row>
        <row r="211">
          <cell r="C211" t="str">
            <v>3941EA</v>
          </cell>
        </row>
        <row r="212">
          <cell r="C212" t="str">
            <v>3909EA</v>
          </cell>
        </row>
        <row r="213">
          <cell r="C213" t="str">
            <v>2839CS</v>
          </cell>
        </row>
        <row r="214">
          <cell r="C214" t="str">
            <v>2597EA</v>
          </cell>
        </row>
        <row r="215">
          <cell r="C215" t="str">
            <v>2596CS</v>
          </cell>
          <cell r="K215">
            <v>8.3000000000000007</v>
          </cell>
        </row>
        <row r="216">
          <cell r="C216" t="str">
            <v>3222CS</v>
          </cell>
          <cell r="K216">
            <v>9.15</v>
          </cell>
        </row>
        <row r="217">
          <cell r="C217" t="str">
            <v>2738CS</v>
          </cell>
          <cell r="K217">
            <v>12</v>
          </cell>
        </row>
        <row r="218">
          <cell r="C218" t="str">
            <v>3839CS</v>
          </cell>
          <cell r="K218">
            <v>14.5</v>
          </cell>
        </row>
        <row r="219">
          <cell r="C219" t="str">
            <v>3423EA</v>
          </cell>
        </row>
        <row r="220">
          <cell r="C220" t="str">
            <v>2806CS</v>
          </cell>
          <cell r="K220">
            <v>11</v>
          </cell>
        </row>
        <row r="221">
          <cell r="C221" t="str">
            <v>2515CS</v>
          </cell>
        </row>
        <row r="222">
          <cell r="C222" t="str">
            <v>3907EA</v>
          </cell>
        </row>
        <row r="223">
          <cell r="C223" t="str">
            <v>3503EA</v>
          </cell>
        </row>
        <row r="224">
          <cell r="C224" t="str">
            <v>3124EA</v>
          </cell>
        </row>
        <row r="225">
          <cell r="C225" t="str">
            <v>2805EA</v>
          </cell>
        </row>
        <row r="226">
          <cell r="C226" t="str">
            <v>915ACS</v>
          </cell>
          <cell r="K226">
            <v>23.5</v>
          </cell>
        </row>
        <row r="227">
          <cell r="C227" t="str">
            <v>3915EA</v>
          </cell>
        </row>
        <row r="228">
          <cell r="C228" t="str">
            <v>2580EA</v>
          </cell>
        </row>
        <row r="229">
          <cell r="C229" t="str">
            <v>2559CS</v>
          </cell>
          <cell r="K229">
            <v>10.35</v>
          </cell>
        </row>
        <row r="230">
          <cell r="C230" t="str">
            <v>4866CS</v>
          </cell>
          <cell r="K230">
            <v>6.9</v>
          </cell>
        </row>
        <row r="231">
          <cell r="C231" t="str">
            <v>3830CS</v>
          </cell>
          <cell r="K231">
            <v>11.5</v>
          </cell>
        </row>
        <row r="232">
          <cell r="C232" t="str">
            <v>3141CS</v>
          </cell>
          <cell r="K232">
            <v>3.1961471103327499</v>
          </cell>
        </row>
        <row r="233">
          <cell r="C233" t="str">
            <v>3639CS</v>
          </cell>
        </row>
        <row r="234">
          <cell r="C234" t="str">
            <v>660AEA</v>
          </cell>
        </row>
        <row r="235">
          <cell r="C235" t="str">
            <v>3643CS</v>
          </cell>
          <cell r="K235">
            <v>7.2</v>
          </cell>
        </row>
        <row r="236">
          <cell r="C236" t="str">
            <v>3345CS</v>
          </cell>
          <cell r="K236">
            <v>8.9</v>
          </cell>
        </row>
        <row r="237">
          <cell r="C237" t="str">
            <v>164CCS</v>
          </cell>
        </row>
        <row r="238">
          <cell r="C238" t="str">
            <v>F037CS</v>
          </cell>
          <cell r="K238">
            <v>32</v>
          </cell>
        </row>
        <row r="239">
          <cell r="C239" t="str">
            <v>3264CS</v>
          </cell>
          <cell r="K239">
            <v>3.95</v>
          </cell>
        </row>
        <row r="240">
          <cell r="C240" t="str">
            <v>6733EA</v>
          </cell>
        </row>
        <row r="241">
          <cell r="C241" t="str">
            <v>6326EA</v>
          </cell>
        </row>
        <row r="242">
          <cell r="C242" t="str">
            <v>3861CS</v>
          </cell>
          <cell r="K242">
            <v>4.9691991786447636</v>
          </cell>
        </row>
        <row r="243">
          <cell r="C243" t="str">
            <v>3616CS</v>
          </cell>
        </row>
        <row r="244">
          <cell r="C244" t="str">
            <v>3390EA</v>
          </cell>
        </row>
        <row r="245">
          <cell r="C245" t="str">
            <v>3234CS</v>
          </cell>
          <cell r="K245">
            <v>7.5</v>
          </cell>
        </row>
        <row r="246">
          <cell r="C246" t="str">
            <v>2572EA</v>
          </cell>
        </row>
        <row r="247">
          <cell r="C247" t="str">
            <v>0360CS</v>
          </cell>
          <cell r="K247">
            <v>12.25</v>
          </cell>
        </row>
        <row r="248">
          <cell r="C248" t="str">
            <v>8987CS</v>
          </cell>
          <cell r="K248">
            <v>2.4900000000000002</v>
          </cell>
        </row>
        <row r="249">
          <cell r="C249" t="str">
            <v>3901EA</v>
          </cell>
        </row>
        <row r="250">
          <cell r="C250" t="str">
            <v>3233EA</v>
          </cell>
        </row>
        <row r="251">
          <cell r="C251" t="str">
            <v>3059EA</v>
          </cell>
        </row>
        <row r="252">
          <cell r="C252" t="str">
            <v>3022CS</v>
          </cell>
          <cell r="K252">
            <v>7.39</v>
          </cell>
        </row>
        <row r="253">
          <cell r="C253" t="str">
            <v>2495CS</v>
          </cell>
        </row>
        <row r="254">
          <cell r="C254" t="str">
            <v>F294CS</v>
          </cell>
          <cell r="K254">
            <v>18.100000000000001</v>
          </cell>
        </row>
        <row r="255">
          <cell r="C255" t="str">
            <v>5717CS</v>
          </cell>
          <cell r="K255">
            <v>4.8</v>
          </cell>
        </row>
        <row r="256">
          <cell r="C256" t="str">
            <v>3802EA</v>
          </cell>
        </row>
        <row r="257">
          <cell r="C257" t="str">
            <v>3744CS</v>
          </cell>
        </row>
        <row r="258">
          <cell r="C258" t="str">
            <v>3587EA</v>
          </cell>
        </row>
        <row r="259">
          <cell r="C259" t="str">
            <v>3390CS</v>
          </cell>
          <cell r="K259">
            <v>36.5</v>
          </cell>
        </row>
        <row r="260">
          <cell r="C260" t="str">
            <v>2893CS</v>
          </cell>
          <cell r="K260">
            <v>10.507880910683014</v>
          </cell>
        </row>
        <row r="261">
          <cell r="C261" t="str">
            <v>8368CS</v>
          </cell>
          <cell r="K261">
            <v>8.73</v>
          </cell>
        </row>
        <row r="262">
          <cell r="C262" t="str">
            <v>767AEA</v>
          </cell>
        </row>
        <row r="263">
          <cell r="C263" t="str">
            <v>727AEA</v>
          </cell>
        </row>
        <row r="264">
          <cell r="C264" t="str">
            <v>5573CS</v>
          </cell>
          <cell r="K264">
            <v>14.9</v>
          </cell>
        </row>
        <row r="265">
          <cell r="C265" t="str">
            <v>4286CS</v>
          </cell>
        </row>
        <row r="266">
          <cell r="C266" t="str">
            <v>3667CS</v>
          </cell>
          <cell r="K266">
            <v>7.5</v>
          </cell>
        </row>
        <row r="267">
          <cell r="C267" t="str">
            <v>3271CS</v>
          </cell>
        </row>
        <row r="268">
          <cell r="C268" t="str">
            <v>3128CS</v>
          </cell>
          <cell r="K268">
            <v>29</v>
          </cell>
        </row>
        <row r="269">
          <cell r="C269" t="str">
            <v>299ACS</v>
          </cell>
          <cell r="K269">
            <v>39.404553415061301</v>
          </cell>
        </row>
        <row r="270">
          <cell r="C270" t="str">
            <v>8321CS</v>
          </cell>
          <cell r="K270">
            <v>8.8699999999999992</v>
          </cell>
        </row>
        <row r="271">
          <cell r="C271" t="str">
            <v>8305CS</v>
          </cell>
          <cell r="K271">
            <v>6.14</v>
          </cell>
        </row>
        <row r="272">
          <cell r="C272" t="str">
            <v>659ACS</v>
          </cell>
          <cell r="K272">
            <v>68</v>
          </cell>
        </row>
        <row r="273">
          <cell r="C273" t="str">
            <v>6179CS</v>
          </cell>
          <cell r="K273">
            <v>2.33</v>
          </cell>
        </row>
        <row r="274">
          <cell r="C274" t="str">
            <v>5940CS</v>
          </cell>
        </row>
        <row r="275">
          <cell r="C275" t="str">
            <v>3893CS</v>
          </cell>
        </row>
        <row r="276">
          <cell r="C276" t="str">
            <v>3832CS</v>
          </cell>
          <cell r="K276">
            <v>2.4750000000000001</v>
          </cell>
        </row>
        <row r="277">
          <cell r="C277" t="str">
            <v>3558EA</v>
          </cell>
        </row>
        <row r="278">
          <cell r="C278" t="str">
            <v>3422CS</v>
          </cell>
          <cell r="K278">
            <v>4.5</v>
          </cell>
        </row>
        <row r="279">
          <cell r="C279" t="str">
            <v>3261CS</v>
          </cell>
          <cell r="K279">
            <v>8.3000000000000007</v>
          </cell>
        </row>
        <row r="280">
          <cell r="C280" t="str">
            <v>3112EA</v>
          </cell>
        </row>
        <row r="281">
          <cell r="C281" t="str">
            <v>2970CS</v>
          </cell>
          <cell r="K281">
            <v>5.21</v>
          </cell>
        </row>
        <row r="282">
          <cell r="C282" t="str">
            <v>2797CS</v>
          </cell>
          <cell r="K282">
            <v>11.32</v>
          </cell>
        </row>
        <row r="283">
          <cell r="C283" t="str">
            <v>2698CS</v>
          </cell>
          <cell r="K283">
            <v>4.9400000000000004</v>
          </cell>
        </row>
        <row r="284">
          <cell r="C284" t="str">
            <v>2367EA</v>
          </cell>
        </row>
        <row r="285">
          <cell r="C285" t="str">
            <v>1819CS</v>
          </cell>
          <cell r="K285">
            <v>3.5899999999999994</v>
          </cell>
        </row>
        <row r="286">
          <cell r="C286" t="str">
            <v>960BCS</v>
          </cell>
        </row>
        <row r="287">
          <cell r="C287" t="str">
            <v>8367CS</v>
          </cell>
        </row>
        <row r="288">
          <cell r="C288" t="str">
            <v>7146EA</v>
          </cell>
        </row>
        <row r="289">
          <cell r="C289" t="str">
            <v>6958CS</v>
          </cell>
          <cell r="K289">
            <v>7.68</v>
          </cell>
        </row>
        <row r="290">
          <cell r="C290" t="str">
            <v>6313CS</v>
          </cell>
          <cell r="K290">
            <v>4.01</v>
          </cell>
        </row>
        <row r="291">
          <cell r="C291" t="str">
            <v>607ACS</v>
          </cell>
          <cell r="K291">
            <v>10</v>
          </cell>
        </row>
        <row r="292">
          <cell r="C292" t="str">
            <v>3941CS</v>
          </cell>
          <cell r="K292">
            <v>18.388791593695274</v>
          </cell>
        </row>
        <row r="293">
          <cell r="C293" t="str">
            <v>3935CS</v>
          </cell>
          <cell r="K293">
            <v>18.213660245183892</v>
          </cell>
        </row>
        <row r="294">
          <cell r="C294" t="str">
            <v>3720CS</v>
          </cell>
          <cell r="K294">
            <v>10</v>
          </cell>
        </row>
        <row r="295">
          <cell r="C295" t="str">
            <v>3677CS</v>
          </cell>
          <cell r="K295">
            <v>2.77</v>
          </cell>
        </row>
        <row r="296">
          <cell r="C296" t="str">
            <v>3353EA</v>
          </cell>
        </row>
        <row r="297">
          <cell r="C297" t="str">
            <v>2963CS</v>
          </cell>
          <cell r="K297">
            <v>21.62</v>
          </cell>
        </row>
        <row r="298">
          <cell r="C298" t="str">
            <v>2882EA</v>
          </cell>
        </row>
        <row r="299">
          <cell r="C299" t="str">
            <v>2689EA</v>
          </cell>
        </row>
        <row r="300">
          <cell r="C300" t="str">
            <v>2623CS</v>
          </cell>
          <cell r="K300">
            <v>18</v>
          </cell>
        </row>
        <row r="301">
          <cell r="C301" t="str">
            <v>1834CS</v>
          </cell>
          <cell r="K301">
            <v>3.5700000000000003</v>
          </cell>
        </row>
        <row r="302">
          <cell r="C302" t="str">
            <v>123ACS</v>
          </cell>
        </row>
        <row r="303">
          <cell r="C303" t="str">
            <v>122ACS</v>
          </cell>
        </row>
        <row r="304">
          <cell r="C304" t="str">
            <v>022BCS</v>
          </cell>
          <cell r="K304">
            <v>4.3899999999999997</v>
          </cell>
        </row>
        <row r="305">
          <cell r="C305" t="str">
            <v>SAM6CS</v>
          </cell>
          <cell r="K305">
            <v>3.8500000000000005</v>
          </cell>
        </row>
        <row r="306">
          <cell r="C306" t="str">
            <v>S4296CS</v>
          </cell>
          <cell r="K306">
            <v>450</v>
          </cell>
        </row>
        <row r="307">
          <cell r="C307" t="str">
            <v>S3788CS</v>
          </cell>
          <cell r="K307">
            <v>14.22</v>
          </cell>
        </row>
        <row r="308">
          <cell r="C308" t="str">
            <v>S3565CS</v>
          </cell>
          <cell r="K308">
            <v>8.6999999999999993</v>
          </cell>
        </row>
        <row r="309">
          <cell r="C309" t="str">
            <v>S3215CS</v>
          </cell>
          <cell r="K309">
            <v>10.48</v>
          </cell>
        </row>
        <row r="310">
          <cell r="C310" t="str">
            <v>F611CS</v>
          </cell>
          <cell r="K310">
            <v>115.31</v>
          </cell>
        </row>
        <row r="311">
          <cell r="C311" t="str">
            <v>F567CS</v>
          </cell>
          <cell r="K311">
            <v>21.31</v>
          </cell>
        </row>
        <row r="312">
          <cell r="C312" t="str">
            <v>F512CS</v>
          </cell>
        </row>
        <row r="313">
          <cell r="C313" t="str">
            <v>F037EA</v>
          </cell>
        </row>
        <row r="314">
          <cell r="C314" t="str">
            <v>E009CS</v>
          </cell>
          <cell r="K314">
            <v>12.3</v>
          </cell>
        </row>
        <row r="315">
          <cell r="C315" t="str">
            <v>E008CS</v>
          </cell>
          <cell r="K315">
            <v>9.92</v>
          </cell>
        </row>
        <row r="316">
          <cell r="C316" t="str">
            <v>E007CS</v>
          </cell>
          <cell r="K316">
            <v>7.74</v>
          </cell>
        </row>
        <row r="317">
          <cell r="C317" t="str">
            <v>E005CS</v>
          </cell>
          <cell r="K317">
            <v>4.57</v>
          </cell>
        </row>
        <row r="318">
          <cell r="C318" t="str">
            <v>D2385CS</v>
          </cell>
          <cell r="K318">
            <v>7.9000000000000012</v>
          </cell>
        </row>
        <row r="319">
          <cell r="C319" t="str">
            <v>976ACS</v>
          </cell>
          <cell r="K319">
            <v>8.4563134851138368</v>
          </cell>
        </row>
        <row r="320">
          <cell r="C320" t="str">
            <v>975ACS</v>
          </cell>
          <cell r="K320">
            <v>3.19</v>
          </cell>
        </row>
        <row r="321">
          <cell r="C321" t="str">
            <v>9649CS</v>
          </cell>
          <cell r="K321">
            <v>9.6</v>
          </cell>
        </row>
        <row r="322">
          <cell r="C322" t="str">
            <v>956BCS</v>
          </cell>
          <cell r="K322">
            <v>6.78</v>
          </cell>
        </row>
        <row r="323">
          <cell r="C323" t="str">
            <v>955BCS</v>
          </cell>
          <cell r="K323">
            <v>6.36</v>
          </cell>
        </row>
        <row r="324">
          <cell r="C324" t="str">
            <v>954BCS</v>
          </cell>
          <cell r="K324">
            <v>7.32</v>
          </cell>
        </row>
        <row r="325">
          <cell r="C325" t="str">
            <v>952BCS</v>
          </cell>
          <cell r="K325">
            <v>11.8</v>
          </cell>
        </row>
        <row r="326">
          <cell r="C326" t="str">
            <v xml:space="preserve">9388CS </v>
          </cell>
          <cell r="K326">
            <v>22.5</v>
          </cell>
        </row>
        <row r="327">
          <cell r="C327" t="str">
            <v>937BCS</v>
          </cell>
          <cell r="K327">
            <v>1.32</v>
          </cell>
        </row>
        <row r="328">
          <cell r="C328" t="str">
            <v>935BCS</v>
          </cell>
          <cell r="K328">
            <v>15.85</v>
          </cell>
        </row>
        <row r="329">
          <cell r="C329" t="str">
            <v>933BCS</v>
          </cell>
          <cell r="K329">
            <v>44.13</v>
          </cell>
        </row>
        <row r="330">
          <cell r="C330" t="str">
            <v>929ACS</v>
          </cell>
          <cell r="K330">
            <v>33.18</v>
          </cell>
        </row>
        <row r="331">
          <cell r="C331" t="str">
            <v>9153CS</v>
          </cell>
          <cell r="K331">
            <v>78.75</v>
          </cell>
        </row>
        <row r="332">
          <cell r="C332" t="str">
            <v>899ACS</v>
          </cell>
          <cell r="K332">
            <v>28.89</v>
          </cell>
        </row>
        <row r="333">
          <cell r="C333" t="str">
            <v>890ACS</v>
          </cell>
          <cell r="K333">
            <v>14.380000000000003</v>
          </cell>
        </row>
        <row r="334">
          <cell r="C334" t="str">
            <v>889ACS</v>
          </cell>
          <cell r="K334">
            <v>28.650000000000002</v>
          </cell>
        </row>
        <row r="335">
          <cell r="C335" t="str">
            <v>888ACS</v>
          </cell>
          <cell r="K335">
            <v>12</v>
          </cell>
        </row>
        <row r="336">
          <cell r="C336" t="str">
            <v>887ACS</v>
          </cell>
          <cell r="K336">
            <v>27</v>
          </cell>
        </row>
        <row r="337">
          <cell r="C337" t="str">
            <v>876ACS</v>
          </cell>
          <cell r="K337">
            <v>11.23</v>
          </cell>
        </row>
        <row r="338">
          <cell r="C338" t="str">
            <v>868ACS</v>
          </cell>
          <cell r="K338">
            <v>86.9</v>
          </cell>
        </row>
        <row r="339">
          <cell r="C339" t="str">
            <v>8644CS</v>
          </cell>
          <cell r="K339">
            <v>2.11</v>
          </cell>
        </row>
        <row r="340">
          <cell r="C340" t="str">
            <v>848ACS</v>
          </cell>
          <cell r="K340">
            <v>27.6</v>
          </cell>
        </row>
        <row r="341">
          <cell r="C341" t="str">
            <v>8485CS</v>
          </cell>
          <cell r="K341">
            <v>15.24</v>
          </cell>
        </row>
        <row r="342">
          <cell r="C342" t="str">
            <v>766ACS</v>
          </cell>
          <cell r="K342">
            <v>42.03</v>
          </cell>
        </row>
        <row r="343">
          <cell r="C343" t="str">
            <v>762ACS</v>
          </cell>
          <cell r="K343">
            <v>24</v>
          </cell>
        </row>
        <row r="344">
          <cell r="C344" t="str">
            <v>760ACS</v>
          </cell>
          <cell r="K344">
            <v>40.950000000000003</v>
          </cell>
        </row>
        <row r="345">
          <cell r="C345" t="str">
            <v>759ACS</v>
          </cell>
          <cell r="K345">
            <v>26.1</v>
          </cell>
        </row>
        <row r="346">
          <cell r="C346" t="str">
            <v>758ACS</v>
          </cell>
          <cell r="K346">
            <v>24.518388791593697</v>
          </cell>
        </row>
        <row r="347">
          <cell r="C347" t="str">
            <v>757ACS</v>
          </cell>
          <cell r="K347">
            <v>28.021015761821367</v>
          </cell>
        </row>
        <row r="348">
          <cell r="C348" t="str">
            <v>750ACS</v>
          </cell>
          <cell r="K348">
            <v>31.961471103327497</v>
          </cell>
        </row>
        <row r="349">
          <cell r="C349" t="str">
            <v>747ACS</v>
          </cell>
          <cell r="K349">
            <v>4.97</v>
          </cell>
        </row>
        <row r="350">
          <cell r="C350" t="str">
            <v>7396CS</v>
          </cell>
          <cell r="K350">
            <v>4.09</v>
          </cell>
        </row>
        <row r="351">
          <cell r="C351" t="str">
            <v>7395CS</v>
          </cell>
          <cell r="K351">
            <v>4</v>
          </cell>
        </row>
        <row r="352">
          <cell r="C352" t="str">
            <v>7394CS</v>
          </cell>
          <cell r="K352">
            <v>17.13</v>
          </cell>
        </row>
        <row r="353">
          <cell r="C353" t="str">
            <v>738ACS</v>
          </cell>
          <cell r="K353">
            <v>8.58</v>
          </cell>
        </row>
        <row r="354">
          <cell r="C354" t="str">
            <v>730BCS</v>
          </cell>
          <cell r="K354">
            <v>11.31</v>
          </cell>
        </row>
        <row r="355">
          <cell r="C355" t="str">
            <v>7192CS</v>
          </cell>
          <cell r="K355">
            <v>3.99</v>
          </cell>
        </row>
        <row r="356">
          <cell r="C356" t="str">
            <v>7139CS</v>
          </cell>
          <cell r="K356">
            <v>46.5</v>
          </cell>
        </row>
        <row r="357">
          <cell r="C357" t="str">
            <v>7128CS</v>
          </cell>
          <cell r="K357">
            <v>10.38</v>
          </cell>
        </row>
        <row r="358">
          <cell r="C358" t="str">
            <v>7052CS</v>
          </cell>
          <cell r="K358">
            <v>2.4</v>
          </cell>
        </row>
        <row r="359">
          <cell r="C359" t="str">
            <v>7047CS</v>
          </cell>
          <cell r="K359">
            <v>8.83</v>
          </cell>
        </row>
        <row r="360">
          <cell r="C360" t="str">
            <v>702ACS</v>
          </cell>
          <cell r="K360">
            <v>14.5</v>
          </cell>
        </row>
        <row r="361">
          <cell r="C361" t="str">
            <v>699ACS</v>
          </cell>
          <cell r="K361">
            <v>34.86</v>
          </cell>
        </row>
        <row r="362">
          <cell r="C362" t="str">
            <v>697BCS</v>
          </cell>
          <cell r="K362">
            <v>51.29</v>
          </cell>
        </row>
        <row r="363">
          <cell r="C363" t="str">
            <v>6874CS</v>
          </cell>
          <cell r="K363">
            <v>2.35</v>
          </cell>
        </row>
        <row r="364">
          <cell r="C364" t="str">
            <v>686BCS</v>
          </cell>
          <cell r="K364">
            <v>74.3</v>
          </cell>
        </row>
        <row r="365">
          <cell r="C365" t="str">
            <v>6824CS</v>
          </cell>
          <cell r="K365">
            <v>18.72</v>
          </cell>
        </row>
        <row r="366">
          <cell r="C366" t="str">
            <v>679ACS</v>
          </cell>
          <cell r="K366">
            <v>35.54</v>
          </cell>
        </row>
        <row r="367">
          <cell r="C367" t="str">
            <v>6768CS</v>
          </cell>
          <cell r="K367">
            <v>25</v>
          </cell>
        </row>
        <row r="368">
          <cell r="C368" t="str">
            <v>6585CS</v>
          </cell>
          <cell r="K368">
            <v>11</v>
          </cell>
        </row>
        <row r="369">
          <cell r="C369" t="str">
            <v>6569CS</v>
          </cell>
          <cell r="K369">
            <v>2.5</v>
          </cell>
        </row>
        <row r="370">
          <cell r="C370" t="str">
            <v>6550CS</v>
          </cell>
          <cell r="K370">
            <v>50.899999999999991</v>
          </cell>
        </row>
        <row r="371">
          <cell r="C371" t="str">
            <v>6549CS</v>
          </cell>
          <cell r="K371">
            <v>24.9</v>
          </cell>
        </row>
        <row r="372">
          <cell r="C372" t="str">
            <v>6374CS</v>
          </cell>
          <cell r="K372">
            <v>2.7</v>
          </cell>
        </row>
        <row r="373">
          <cell r="C373" t="str">
            <v>6359CS</v>
          </cell>
          <cell r="K373">
            <v>98.75</v>
          </cell>
        </row>
        <row r="374">
          <cell r="C374" t="str">
            <v>6344CS</v>
          </cell>
          <cell r="K374">
            <v>2.1</v>
          </cell>
        </row>
        <row r="375">
          <cell r="C375" t="str">
            <v>633ACS</v>
          </cell>
          <cell r="K375">
            <v>14.5</v>
          </cell>
        </row>
        <row r="376">
          <cell r="C376" t="str">
            <v>6330CS</v>
          </cell>
          <cell r="K376">
            <v>37.28</v>
          </cell>
        </row>
        <row r="377">
          <cell r="C377" t="str">
            <v>632ACS</v>
          </cell>
          <cell r="K377">
            <v>39.6</v>
          </cell>
        </row>
        <row r="378">
          <cell r="C378" t="str">
            <v>6322CS</v>
          </cell>
          <cell r="K378">
            <v>3.8500000000000005</v>
          </cell>
        </row>
        <row r="379">
          <cell r="C379" t="str">
            <v>6315CS</v>
          </cell>
          <cell r="K379">
            <v>5.75</v>
          </cell>
        </row>
        <row r="380">
          <cell r="C380" t="str">
            <v>6314CS</v>
          </cell>
          <cell r="K380">
            <v>5.0199999999999996</v>
          </cell>
        </row>
        <row r="381">
          <cell r="C381" t="str">
            <v>630ACS</v>
          </cell>
          <cell r="K381">
            <v>22.8</v>
          </cell>
        </row>
        <row r="382">
          <cell r="C382" t="str">
            <v>6302CS</v>
          </cell>
          <cell r="K382">
            <v>42</v>
          </cell>
        </row>
        <row r="383">
          <cell r="C383" t="str">
            <v>6301CS</v>
          </cell>
          <cell r="K383">
            <v>5</v>
          </cell>
        </row>
        <row r="384">
          <cell r="C384" t="str">
            <v>629ACS</v>
          </cell>
          <cell r="K384">
            <v>30.6</v>
          </cell>
        </row>
        <row r="385">
          <cell r="C385" t="str">
            <v>6298CS</v>
          </cell>
          <cell r="K385">
            <v>24.75</v>
          </cell>
        </row>
        <row r="386">
          <cell r="C386" t="str">
            <v>6297CS</v>
          </cell>
          <cell r="K386">
            <v>33.75</v>
          </cell>
        </row>
        <row r="387">
          <cell r="C387" t="str">
            <v>628ACS</v>
          </cell>
          <cell r="K387">
            <v>72</v>
          </cell>
        </row>
        <row r="388">
          <cell r="C388" t="str">
            <v>6288CS</v>
          </cell>
          <cell r="K388">
            <v>3.8899999999999997</v>
          </cell>
        </row>
        <row r="389">
          <cell r="C389" t="str">
            <v>627ACS</v>
          </cell>
          <cell r="K389">
            <v>81</v>
          </cell>
        </row>
        <row r="390">
          <cell r="C390" t="str">
            <v>6278CS</v>
          </cell>
          <cell r="K390">
            <v>11</v>
          </cell>
        </row>
        <row r="391">
          <cell r="C391" t="str">
            <v>6277CS</v>
          </cell>
          <cell r="K391">
            <v>3.07</v>
          </cell>
        </row>
        <row r="392">
          <cell r="C392" t="str">
            <v>6275CS</v>
          </cell>
          <cell r="K392">
            <v>2.9500000000000006</v>
          </cell>
        </row>
        <row r="393">
          <cell r="C393" t="str">
            <v>6272CS</v>
          </cell>
          <cell r="K393">
            <v>6.03</v>
          </cell>
        </row>
        <row r="394">
          <cell r="C394" t="str">
            <v>6269CS</v>
          </cell>
          <cell r="K394">
            <v>2.95</v>
          </cell>
        </row>
        <row r="395">
          <cell r="C395" t="str">
            <v>6265CS</v>
          </cell>
          <cell r="K395">
            <v>6.79</v>
          </cell>
        </row>
        <row r="396">
          <cell r="C396" t="str">
            <v>6262CS</v>
          </cell>
          <cell r="K396">
            <v>3.27</v>
          </cell>
        </row>
        <row r="397">
          <cell r="C397" t="str">
            <v>6214CS</v>
          </cell>
          <cell r="K397">
            <v>6.9</v>
          </cell>
        </row>
        <row r="398">
          <cell r="C398" t="str">
            <v>620CCS</v>
          </cell>
          <cell r="K398">
            <v>7.0052539404553409</v>
          </cell>
        </row>
        <row r="399">
          <cell r="C399" t="str">
            <v>6207CS</v>
          </cell>
          <cell r="K399">
            <v>9.8000000000000007</v>
          </cell>
        </row>
        <row r="400">
          <cell r="C400" t="str">
            <v>6168CS</v>
          </cell>
          <cell r="K400">
            <v>13.95</v>
          </cell>
        </row>
        <row r="401">
          <cell r="C401" t="str">
            <v>6165CS</v>
          </cell>
          <cell r="K401">
            <v>6.21</v>
          </cell>
        </row>
        <row r="402">
          <cell r="C402" t="str">
            <v>6050CS</v>
          </cell>
          <cell r="K402">
            <v>3.75</v>
          </cell>
        </row>
        <row r="403">
          <cell r="C403" t="str">
            <v>6013CS</v>
          </cell>
          <cell r="K403">
            <v>0.95</v>
          </cell>
        </row>
        <row r="404">
          <cell r="C404" t="str">
            <v>598CCS</v>
          </cell>
          <cell r="K404">
            <v>17.5</v>
          </cell>
        </row>
        <row r="405">
          <cell r="C405" t="str">
            <v>5840CS</v>
          </cell>
          <cell r="K405">
            <v>4.2</v>
          </cell>
        </row>
        <row r="406">
          <cell r="C406" t="str">
            <v>5838CS</v>
          </cell>
          <cell r="K406">
            <v>4.6399999999999997</v>
          </cell>
        </row>
        <row r="407">
          <cell r="C407" t="str">
            <v>570BCS</v>
          </cell>
          <cell r="K407">
            <v>22.45</v>
          </cell>
        </row>
        <row r="408">
          <cell r="C408" t="str">
            <v>566BCS</v>
          </cell>
          <cell r="K408">
            <v>10.08</v>
          </cell>
        </row>
        <row r="409">
          <cell r="C409" t="str">
            <v>5618CS</v>
          </cell>
          <cell r="K409">
            <v>10.8</v>
          </cell>
        </row>
        <row r="410">
          <cell r="C410" t="str">
            <v>5541CS</v>
          </cell>
          <cell r="K410">
            <v>8.3000000000000007</v>
          </cell>
        </row>
        <row r="411">
          <cell r="C411" t="str">
            <v>542ACS</v>
          </cell>
          <cell r="K411">
            <v>10.32</v>
          </cell>
        </row>
        <row r="412">
          <cell r="C412" t="str">
            <v>5375CS</v>
          </cell>
          <cell r="K412">
            <v>7.9</v>
          </cell>
        </row>
        <row r="413">
          <cell r="C413" t="str">
            <v>536CCS</v>
          </cell>
          <cell r="K413">
            <v>5.46</v>
          </cell>
        </row>
        <row r="414">
          <cell r="C414" t="str">
            <v>532CCS</v>
          </cell>
          <cell r="K414">
            <v>16</v>
          </cell>
        </row>
        <row r="415">
          <cell r="C415" t="str">
            <v>532ACS</v>
          </cell>
          <cell r="K415">
            <v>4.2</v>
          </cell>
        </row>
        <row r="416">
          <cell r="C416" t="str">
            <v>5268CS</v>
          </cell>
          <cell r="K416">
            <v>7</v>
          </cell>
        </row>
        <row r="417">
          <cell r="C417" t="str">
            <v>521ACS</v>
          </cell>
          <cell r="K417">
            <v>15.9</v>
          </cell>
        </row>
        <row r="418">
          <cell r="C418" t="str">
            <v>5217CS</v>
          </cell>
          <cell r="K418">
            <v>4.8161120840630476</v>
          </cell>
        </row>
        <row r="419">
          <cell r="C419" t="str">
            <v>497CCS</v>
          </cell>
          <cell r="K419">
            <v>17.863397548161121</v>
          </cell>
        </row>
        <row r="420">
          <cell r="C420" t="str">
            <v>496CCS</v>
          </cell>
          <cell r="K420">
            <v>7.7</v>
          </cell>
        </row>
        <row r="421">
          <cell r="C421" t="str">
            <v>495CCS</v>
          </cell>
          <cell r="K421">
            <v>2.15</v>
          </cell>
        </row>
        <row r="422">
          <cell r="C422" t="str">
            <v>492CCS</v>
          </cell>
          <cell r="K422">
            <v>38</v>
          </cell>
        </row>
        <row r="423">
          <cell r="C423" t="str">
            <v>491CCS</v>
          </cell>
          <cell r="K423">
            <v>8.65</v>
          </cell>
        </row>
        <row r="424">
          <cell r="C424" t="str">
            <v xml:space="preserve">490CCS </v>
          </cell>
          <cell r="K424">
            <v>25.8</v>
          </cell>
        </row>
        <row r="425">
          <cell r="C425" t="str">
            <v>484BCS</v>
          </cell>
          <cell r="K425">
            <v>22.17</v>
          </cell>
        </row>
        <row r="426">
          <cell r="C426" t="str">
            <v>481BCS</v>
          </cell>
          <cell r="K426">
            <v>57.99</v>
          </cell>
        </row>
        <row r="427">
          <cell r="C427" t="str">
            <v>4812CS</v>
          </cell>
          <cell r="K427">
            <v>14.9</v>
          </cell>
        </row>
        <row r="428">
          <cell r="C428" t="str">
            <v>480BCS</v>
          </cell>
          <cell r="K428">
            <v>30.989999999999995</v>
          </cell>
        </row>
        <row r="429">
          <cell r="C429" t="str">
            <v>479BCS</v>
          </cell>
          <cell r="K429">
            <v>18.84</v>
          </cell>
        </row>
        <row r="430">
          <cell r="C430" t="str">
            <v>478BCS</v>
          </cell>
          <cell r="K430">
            <v>42.031523642732054</v>
          </cell>
        </row>
        <row r="431">
          <cell r="C431" t="str">
            <v>477BCS</v>
          </cell>
          <cell r="K431">
            <v>10.035026269702279</v>
          </cell>
        </row>
        <row r="432">
          <cell r="C432" t="str">
            <v>4777CS</v>
          </cell>
          <cell r="K432">
            <v>6.3</v>
          </cell>
        </row>
        <row r="433">
          <cell r="C433" t="str">
            <v>472BCS</v>
          </cell>
          <cell r="K433">
            <v>29</v>
          </cell>
        </row>
        <row r="434">
          <cell r="C434" t="str">
            <v>468BCS</v>
          </cell>
          <cell r="K434">
            <v>23.6</v>
          </cell>
        </row>
        <row r="435">
          <cell r="C435" t="str">
            <v>466BCS</v>
          </cell>
          <cell r="K435">
            <v>28</v>
          </cell>
        </row>
        <row r="436">
          <cell r="C436" t="str">
            <v>465BCS</v>
          </cell>
          <cell r="K436">
            <v>47.81</v>
          </cell>
        </row>
        <row r="437">
          <cell r="C437" t="str">
            <v>462BCS</v>
          </cell>
          <cell r="K437">
            <v>28</v>
          </cell>
        </row>
        <row r="438">
          <cell r="C438" t="str">
            <v>461BCS</v>
          </cell>
          <cell r="K438">
            <v>56.31</v>
          </cell>
        </row>
        <row r="439">
          <cell r="C439" t="str">
            <v>458CCS</v>
          </cell>
          <cell r="K439">
            <v>50</v>
          </cell>
        </row>
        <row r="440">
          <cell r="C440" t="str">
            <v>455CCS</v>
          </cell>
          <cell r="K440">
            <v>90</v>
          </cell>
        </row>
        <row r="441">
          <cell r="C441" t="str">
            <v>454CCS</v>
          </cell>
          <cell r="K441">
            <v>28.679999999999996</v>
          </cell>
        </row>
        <row r="442">
          <cell r="C442" t="str">
            <v>454ACS</v>
          </cell>
          <cell r="K442">
            <v>11.56</v>
          </cell>
        </row>
        <row r="443">
          <cell r="C443" t="str">
            <v>448CCS</v>
          </cell>
          <cell r="K443">
            <v>22.9</v>
          </cell>
        </row>
        <row r="444">
          <cell r="C444" t="str">
            <v>4461CS</v>
          </cell>
          <cell r="K444">
            <v>11.38353765323993</v>
          </cell>
        </row>
        <row r="445">
          <cell r="C445" t="str">
            <v>445BCS</v>
          </cell>
          <cell r="K445">
            <v>0.56999999999999995</v>
          </cell>
        </row>
        <row r="446">
          <cell r="C446" t="str">
            <v>443BCS</v>
          </cell>
          <cell r="K446">
            <v>3.8800000000000003</v>
          </cell>
        </row>
        <row r="447">
          <cell r="C447" t="str">
            <v>441BCS</v>
          </cell>
          <cell r="K447">
            <v>4.4000000000000004</v>
          </cell>
        </row>
        <row r="448">
          <cell r="C448" t="str">
            <v>4416CS</v>
          </cell>
          <cell r="K448">
            <v>23.669999999999998</v>
          </cell>
        </row>
        <row r="449">
          <cell r="C449" t="str">
            <v>4411CS</v>
          </cell>
          <cell r="K449">
            <v>9.1999999999999993</v>
          </cell>
        </row>
        <row r="450">
          <cell r="C450" t="str">
            <v>429BCS</v>
          </cell>
          <cell r="K450">
            <v>12.5</v>
          </cell>
        </row>
        <row r="451">
          <cell r="C451" t="str">
            <v>428BCS</v>
          </cell>
          <cell r="K451">
            <v>19.5</v>
          </cell>
        </row>
        <row r="452">
          <cell r="C452" t="str">
            <v>428ACS</v>
          </cell>
          <cell r="K452">
            <v>14.2</v>
          </cell>
        </row>
        <row r="453">
          <cell r="C453" t="str">
            <v>427BCS</v>
          </cell>
          <cell r="K453">
            <v>19.5</v>
          </cell>
        </row>
        <row r="454">
          <cell r="C454" t="str">
            <v>426BCS</v>
          </cell>
          <cell r="K454">
            <v>19.5</v>
          </cell>
        </row>
        <row r="455">
          <cell r="C455" t="str">
            <v>4267CS</v>
          </cell>
          <cell r="K455">
            <v>5.51</v>
          </cell>
        </row>
        <row r="456">
          <cell r="C456" t="str">
            <v>425BCS</v>
          </cell>
          <cell r="K456">
            <v>19.5</v>
          </cell>
        </row>
        <row r="457">
          <cell r="C457" t="str">
            <v>424BCS</v>
          </cell>
          <cell r="K457">
            <v>19.5</v>
          </cell>
        </row>
        <row r="458">
          <cell r="C458" t="str">
            <v>423BCS</v>
          </cell>
          <cell r="K458">
            <v>19.5</v>
          </cell>
        </row>
        <row r="459">
          <cell r="C459" t="str">
            <v>422BCS</v>
          </cell>
          <cell r="K459">
            <v>19.5</v>
          </cell>
        </row>
        <row r="460">
          <cell r="C460" t="str">
            <v>421BCS</v>
          </cell>
          <cell r="K460">
            <v>19.5</v>
          </cell>
        </row>
        <row r="461">
          <cell r="C461" t="str">
            <v>420BCS</v>
          </cell>
          <cell r="K461">
            <v>19.5</v>
          </cell>
        </row>
        <row r="462">
          <cell r="C462" t="str">
            <v>4154CS</v>
          </cell>
          <cell r="K462">
            <v>6.3157975442991825</v>
          </cell>
        </row>
        <row r="463">
          <cell r="C463" t="str">
            <v>4153CS</v>
          </cell>
          <cell r="K463">
            <v>7.3</v>
          </cell>
        </row>
        <row r="464">
          <cell r="C464" t="str">
            <v>4151CS</v>
          </cell>
          <cell r="K464">
            <v>8.3043383145292005</v>
          </cell>
        </row>
        <row r="465">
          <cell r="C465" t="str">
            <v>4150CS</v>
          </cell>
          <cell r="K465">
            <v>2.3320031914600934</v>
          </cell>
        </row>
        <row r="466">
          <cell r="C466" t="str">
            <v>414ACS</v>
          </cell>
          <cell r="K466">
            <v>5.6</v>
          </cell>
        </row>
        <row r="467">
          <cell r="C467" t="str">
            <v>4149CS</v>
          </cell>
          <cell r="K467">
            <v>5.4000000000000012</v>
          </cell>
        </row>
        <row r="468">
          <cell r="C468" t="str">
            <v>4147CS</v>
          </cell>
          <cell r="K468">
            <v>10.72</v>
          </cell>
        </row>
        <row r="469">
          <cell r="C469" t="str">
            <v>4107CS</v>
          </cell>
          <cell r="K469">
            <v>9.5299999999999994</v>
          </cell>
        </row>
        <row r="470">
          <cell r="C470" t="str">
            <v>4103CS</v>
          </cell>
          <cell r="K470">
            <v>17.5</v>
          </cell>
        </row>
        <row r="471">
          <cell r="C471" t="str">
            <v>409BCS</v>
          </cell>
          <cell r="K471">
            <v>58.2</v>
          </cell>
        </row>
        <row r="472">
          <cell r="C472" t="str">
            <v>409ACS</v>
          </cell>
        </row>
        <row r="473">
          <cell r="C473" t="str">
            <v>404CCS</v>
          </cell>
          <cell r="K473">
            <v>35</v>
          </cell>
        </row>
        <row r="474">
          <cell r="C474" t="str">
            <v>403CCS</v>
          </cell>
          <cell r="K474">
            <v>7.99</v>
          </cell>
        </row>
        <row r="475">
          <cell r="C475" t="str">
            <v>4018CS</v>
          </cell>
          <cell r="K475">
            <v>5.58</v>
          </cell>
        </row>
        <row r="476">
          <cell r="C476" t="str">
            <v>397CCS</v>
          </cell>
          <cell r="K476">
            <v>80.73</v>
          </cell>
        </row>
        <row r="477">
          <cell r="C477" t="str">
            <v>394CCS</v>
          </cell>
          <cell r="K477">
            <v>20.58</v>
          </cell>
        </row>
        <row r="478">
          <cell r="C478" t="str">
            <v>3939CS</v>
          </cell>
          <cell r="K478">
            <v>34.5</v>
          </cell>
        </row>
        <row r="479">
          <cell r="C479" t="str">
            <v>3938CS</v>
          </cell>
          <cell r="K479">
            <v>18.213660245183892</v>
          </cell>
        </row>
        <row r="480">
          <cell r="C480" t="str">
            <v>3931CS</v>
          </cell>
          <cell r="K480">
            <v>12.6</v>
          </cell>
        </row>
        <row r="481">
          <cell r="C481" t="str">
            <v>3928CS</v>
          </cell>
        </row>
        <row r="482">
          <cell r="C482" t="str">
            <v>3927CS</v>
          </cell>
          <cell r="K482">
            <v>13.8</v>
          </cell>
        </row>
        <row r="483">
          <cell r="C483" t="str">
            <v>3925CS</v>
          </cell>
          <cell r="K483">
            <v>18.7</v>
          </cell>
        </row>
        <row r="484">
          <cell r="C484" t="str">
            <v>391CCS</v>
          </cell>
          <cell r="K484">
            <v>29.4</v>
          </cell>
        </row>
        <row r="485">
          <cell r="C485" t="str">
            <v>3915CS</v>
          </cell>
          <cell r="K485">
            <v>16.8</v>
          </cell>
        </row>
        <row r="486">
          <cell r="C486" t="str">
            <v>3912CS</v>
          </cell>
          <cell r="K486">
            <v>7.9934851138353764</v>
          </cell>
        </row>
        <row r="487">
          <cell r="C487" t="str">
            <v>3911CS</v>
          </cell>
          <cell r="K487">
            <v>12.9</v>
          </cell>
        </row>
        <row r="488">
          <cell r="C488" t="str">
            <v>3907CS</v>
          </cell>
          <cell r="K488">
            <v>20.5</v>
          </cell>
        </row>
        <row r="489">
          <cell r="C489" t="str">
            <v>3906CS</v>
          </cell>
          <cell r="K489">
            <v>1.1000000000000001</v>
          </cell>
        </row>
        <row r="490">
          <cell r="C490" t="str">
            <v>3904CS</v>
          </cell>
          <cell r="K490">
            <v>38.4</v>
          </cell>
        </row>
        <row r="491">
          <cell r="C491" t="str">
            <v>3901CS</v>
          </cell>
          <cell r="K491">
            <v>25.580455341506131</v>
          </cell>
        </row>
        <row r="492">
          <cell r="C492" t="str">
            <v>389CCS</v>
          </cell>
          <cell r="K492">
            <v>14.21</v>
          </cell>
        </row>
        <row r="493">
          <cell r="C493" t="str">
            <v>3881CS</v>
          </cell>
          <cell r="K493">
            <v>10.45</v>
          </cell>
        </row>
        <row r="494">
          <cell r="C494" t="str">
            <v>3876CS</v>
          </cell>
          <cell r="K494">
            <v>11</v>
          </cell>
        </row>
        <row r="495">
          <cell r="C495" t="str">
            <v>3875CS</v>
          </cell>
          <cell r="K495">
            <v>22.7</v>
          </cell>
        </row>
        <row r="496">
          <cell r="C496" t="str">
            <v>3874CS</v>
          </cell>
          <cell r="K496">
            <v>11</v>
          </cell>
        </row>
        <row r="497">
          <cell r="C497" t="str">
            <v>3873CS</v>
          </cell>
          <cell r="K497">
            <v>1.1100000000000001</v>
          </cell>
        </row>
        <row r="498">
          <cell r="C498" t="str">
            <v>3870CS</v>
          </cell>
          <cell r="K498">
            <v>27.5</v>
          </cell>
        </row>
        <row r="499">
          <cell r="C499" t="str">
            <v>3868CS</v>
          </cell>
          <cell r="K499">
            <v>13.5</v>
          </cell>
        </row>
        <row r="500">
          <cell r="C500" t="str">
            <v>3864CS</v>
          </cell>
          <cell r="K500">
            <v>7.8644763860369604</v>
          </cell>
        </row>
        <row r="501">
          <cell r="C501" t="str">
            <v>3860CS</v>
          </cell>
          <cell r="K501">
            <v>11.2</v>
          </cell>
        </row>
        <row r="502">
          <cell r="C502" t="str">
            <v>3859CS</v>
          </cell>
          <cell r="K502">
            <v>6</v>
          </cell>
        </row>
        <row r="503">
          <cell r="C503" t="str">
            <v>382CCS</v>
          </cell>
          <cell r="K503">
            <v>100.56</v>
          </cell>
        </row>
        <row r="504">
          <cell r="C504" t="str">
            <v>3817CS</v>
          </cell>
          <cell r="K504">
            <v>9.6721804511278204</v>
          </cell>
        </row>
        <row r="505">
          <cell r="C505" t="str">
            <v>380BCS</v>
          </cell>
          <cell r="K505">
            <v>172.55</v>
          </cell>
        </row>
        <row r="506">
          <cell r="C506" t="str">
            <v>3804CS</v>
          </cell>
          <cell r="K506">
            <v>9.5</v>
          </cell>
        </row>
        <row r="507">
          <cell r="C507" t="str">
            <v>3802CS</v>
          </cell>
          <cell r="K507">
            <v>2.8</v>
          </cell>
        </row>
        <row r="508">
          <cell r="C508" t="str">
            <v>379CCS</v>
          </cell>
          <cell r="K508">
            <v>59.22</v>
          </cell>
        </row>
        <row r="509">
          <cell r="C509" t="str">
            <v>379ACS</v>
          </cell>
          <cell r="K509">
            <v>64.599999999999994</v>
          </cell>
        </row>
        <row r="510">
          <cell r="C510" t="str">
            <v>3797CS</v>
          </cell>
          <cell r="K510">
            <v>10.8</v>
          </cell>
        </row>
        <row r="511">
          <cell r="C511" t="str">
            <v>3796CS</v>
          </cell>
          <cell r="K511">
            <v>10.8</v>
          </cell>
        </row>
        <row r="512">
          <cell r="C512" t="str">
            <v>3793CS</v>
          </cell>
          <cell r="K512">
            <v>7.0928196147110336</v>
          </cell>
        </row>
        <row r="513">
          <cell r="C513" t="str">
            <v>378CCS</v>
          </cell>
          <cell r="K513">
            <v>53.4</v>
          </cell>
        </row>
        <row r="514">
          <cell r="C514" t="str">
            <v>3783CS</v>
          </cell>
          <cell r="K514">
            <v>20.36</v>
          </cell>
        </row>
        <row r="515">
          <cell r="C515" t="str">
            <v>3781CS</v>
          </cell>
          <cell r="K515">
            <v>14.2</v>
          </cell>
        </row>
        <row r="516">
          <cell r="C516" t="str">
            <v>377CCS</v>
          </cell>
          <cell r="K516">
            <v>77.13</v>
          </cell>
        </row>
        <row r="517">
          <cell r="C517" t="str">
            <v>3779CS</v>
          </cell>
          <cell r="K517">
            <v>7.05</v>
          </cell>
        </row>
        <row r="518">
          <cell r="C518" t="str">
            <v>3778CS</v>
          </cell>
          <cell r="K518">
            <v>10.5</v>
          </cell>
        </row>
        <row r="519">
          <cell r="C519" t="str">
            <v>3777CS</v>
          </cell>
          <cell r="K519">
            <v>6</v>
          </cell>
        </row>
        <row r="520">
          <cell r="C520" t="str">
            <v>3776CS</v>
          </cell>
          <cell r="K520">
            <v>9.65</v>
          </cell>
        </row>
        <row r="521">
          <cell r="C521" t="str">
            <v>3772CS</v>
          </cell>
          <cell r="K521">
            <v>2.4</v>
          </cell>
        </row>
        <row r="522">
          <cell r="C522" t="str">
            <v>3770CS</v>
          </cell>
          <cell r="K522">
            <v>11.2</v>
          </cell>
        </row>
        <row r="523">
          <cell r="C523" t="str">
            <v>376ACS</v>
          </cell>
          <cell r="K523">
            <v>43.35</v>
          </cell>
        </row>
        <row r="524">
          <cell r="C524" t="str">
            <v>3766CS</v>
          </cell>
          <cell r="K524">
            <v>1.2</v>
          </cell>
        </row>
        <row r="525">
          <cell r="C525" t="str">
            <v>375ACS</v>
          </cell>
          <cell r="K525">
            <v>18.489999999999998</v>
          </cell>
        </row>
        <row r="526">
          <cell r="C526" t="str">
            <v>3759CS</v>
          </cell>
          <cell r="K526">
            <v>9.65</v>
          </cell>
        </row>
        <row r="527">
          <cell r="C527" t="str">
            <v>3757CS</v>
          </cell>
          <cell r="K527">
            <v>10.199999999999998</v>
          </cell>
        </row>
        <row r="528">
          <cell r="C528" t="str">
            <v>3756CS</v>
          </cell>
          <cell r="K528">
            <v>9.6999999999999993</v>
          </cell>
        </row>
        <row r="529">
          <cell r="C529" t="str">
            <v>3755CS</v>
          </cell>
          <cell r="K529">
            <v>9.65</v>
          </cell>
        </row>
        <row r="530">
          <cell r="C530" t="str">
            <v>3752CS</v>
          </cell>
          <cell r="K530">
            <v>13.8</v>
          </cell>
        </row>
        <row r="531">
          <cell r="C531" t="str">
            <v>3740CS</v>
          </cell>
          <cell r="K531">
            <v>17.57</v>
          </cell>
        </row>
        <row r="532">
          <cell r="C532" t="str">
            <v>3736CS</v>
          </cell>
          <cell r="K532">
            <v>8.6999999999999993</v>
          </cell>
        </row>
        <row r="533">
          <cell r="C533" t="str">
            <v>3732CS</v>
          </cell>
          <cell r="K533">
            <v>2.8528896672504374</v>
          </cell>
        </row>
        <row r="534">
          <cell r="C534" t="str">
            <v>3729CS</v>
          </cell>
          <cell r="K534">
            <v>14.2</v>
          </cell>
        </row>
        <row r="535">
          <cell r="C535" t="str">
            <v>3726CS</v>
          </cell>
          <cell r="K535">
            <v>10.3</v>
          </cell>
        </row>
        <row r="536">
          <cell r="C536" t="str">
            <v>3713CS</v>
          </cell>
          <cell r="K536">
            <v>29.330000000000002</v>
          </cell>
        </row>
        <row r="537">
          <cell r="C537" t="str">
            <v>3700CS</v>
          </cell>
          <cell r="K537">
            <v>2.7479159369527144</v>
          </cell>
        </row>
        <row r="538">
          <cell r="C538" t="str">
            <v>3685CS</v>
          </cell>
          <cell r="K538">
            <v>12</v>
          </cell>
        </row>
        <row r="539">
          <cell r="C539" t="str">
            <v>3666CS</v>
          </cell>
          <cell r="K539">
            <v>7.3</v>
          </cell>
        </row>
        <row r="540">
          <cell r="C540" t="str">
            <v>3655CS</v>
          </cell>
          <cell r="K540">
            <v>5.6917688266199651</v>
          </cell>
        </row>
        <row r="541">
          <cell r="C541" t="str">
            <v>3641CS</v>
          </cell>
          <cell r="K541">
            <v>8.6999999999999993</v>
          </cell>
        </row>
        <row r="542">
          <cell r="C542" t="str">
            <v>3640CS</v>
          </cell>
          <cell r="K542">
            <v>13.35</v>
          </cell>
        </row>
        <row r="543">
          <cell r="C543" t="str">
            <v>3639EA</v>
          </cell>
        </row>
        <row r="544">
          <cell r="C544" t="str">
            <v>3632CS</v>
          </cell>
          <cell r="K544">
            <v>5.6</v>
          </cell>
        </row>
        <row r="545">
          <cell r="C545" t="str">
            <v>3622CS</v>
          </cell>
          <cell r="K545">
            <v>5.4000000000000012</v>
          </cell>
        </row>
        <row r="546">
          <cell r="C546" t="str">
            <v>3619CS</v>
          </cell>
          <cell r="K546">
            <v>4.2</v>
          </cell>
        </row>
        <row r="547">
          <cell r="C547" t="str">
            <v>3617CS</v>
          </cell>
          <cell r="K547">
            <v>3.7</v>
          </cell>
        </row>
        <row r="548">
          <cell r="C548" t="str">
            <v>3615CS</v>
          </cell>
          <cell r="K548">
            <v>3.25</v>
          </cell>
        </row>
        <row r="549">
          <cell r="C549" t="str">
            <v>3614CS</v>
          </cell>
          <cell r="K549">
            <v>5.6917688266199651</v>
          </cell>
        </row>
        <row r="550">
          <cell r="C550" t="str">
            <v>3614CS</v>
          </cell>
          <cell r="K550">
            <v>5.6917688266199651</v>
          </cell>
        </row>
        <row r="551">
          <cell r="C551" t="str">
            <v>3601CS</v>
          </cell>
          <cell r="K551">
            <v>7.370000000000001</v>
          </cell>
        </row>
        <row r="552">
          <cell r="C552" t="str">
            <v>3588CS</v>
          </cell>
          <cell r="K552">
            <v>7.6000000000000005</v>
          </cell>
        </row>
        <row r="553">
          <cell r="C553" t="str">
            <v>3585CS</v>
          </cell>
          <cell r="K553">
            <v>12.5</v>
          </cell>
        </row>
        <row r="554">
          <cell r="C554" t="str">
            <v>3581CS</v>
          </cell>
          <cell r="K554">
            <v>8.9</v>
          </cell>
        </row>
        <row r="555">
          <cell r="C555" t="str">
            <v>3575CS</v>
          </cell>
        </row>
        <row r="556">
          <cell r="C556" t="str">
            <v>3558CS</v>
          </cell>
          <cell r="K556">
            <v>3.5500000000000003</v>
          </cell>
        </row>
        <row r="557">
          <cell r="C557" t="str">
            <v>3557CS</v>
          </cell>
          <cell r="K557">
            <v>2.2450000000000001</v>
          </cell>
        </row>
        <row r="558">
          <cell r="C558" t="str">
            <v>3554CS</v>
          </cell>
          <cell r="K558">
            <v>3.68</v>
          </cell>
        </row>
        <row r="559">
          <cell r="C559" t="str">
            <v>3552CS</v>
          </cell>
          <cell r="K559">
            <v>19.899999999999999</v>
          </cell>
        </row>
        <row r="560">
          <cell r="C560" t="str">
            <v>3551CS</v>
          </cell>
          <cell r="K560">
            <v>19.899999999999999</v>
          </cell>
        </row>
        <row r="561">
          <cell r="C561" t="str">
            <v>3550CS</v>
          </cell>
          <cell r="K561">
            <v>21.7</v>
          </cell>
        </row>
        <row r="562">
          <cell r="C562" t="str">
            <v>3548CS</v>
          </cell>
          <cell r="K562">
            <v>19.899999999999999</v>
          </cell>
        </row>
        <row r="563">
          <cell r="C563" t="str">
            <v>3536CS</v>
          </cell>
          <cell r="K563">
            <v>5.42</v>
          </cell>
        </row>
        <row r="564">
          <cell r="C564" t="str">
            <v>3532CS</v>
          </cell>
          <cell r="K564">
            <v>10.507880910683014</v>
          </cell>
        </row>
        <row r="565">
          <cell r="C565" t="str">
            <v>3507CS</v>
          </cell>
          <cell r="K565">
            <v>6.06</v>
          </cell>
        </row>
        <row r="566">
          <cell r="C566" t="str">
            <v>3499CS</v>
          </cell>
          <cell r="K566">
            <v>6.06</v>
          </cell>
        </row>
        <row r="567">
          <cell r="C567" t="str">
            <v>3495CS</v>
          </cell>
          <cell r="K567">
            <v>4.8774080560420323</v>
          </cell>
        </row>
        <row r="568">
          <cell r="C568" t="str">
            <v>3482CS</v>
          </cell>
          <cell r="K568">
            <v>11.2</v>
          </cell>
        </row>
        <row r="569">
          <cell r="C569" t="str">
            <v>3481CS</v>
          </cell>
          <cell r="K569">
            <v>19.100000000000001</v>
          </cell>
        </row>
        <row r="570">
          <cell r="C570" t="str">
            <v>3476CS</v>
          </cell>
          <cell r="K570">
            <v>2.1</v>
          </cell>
        </row>
        <row r="571">
          <cell r="C571" t="str">
            <v>3469CS</v>
          </cell>
          <cell r="K571">
            <v>8.8000000000000007</v>
          </cell>
        </row>
        <row r="572">
          <cell r="C572" t="str">
            <v>3467CS</v>
          </cell>
          <cell r="K572">
            <v>8.8000000000000007</v>
          </cell>
        </row>
        <row r="573">
          <cell r="C573" t="str">
            <v>3466CS</v>
          </cell>
          <cell r="K573">
            <v>7.9000000000000012</v>
          </cell>
        </row>
        <row r="574">
          <cell r="C574" t="str">
            <v>3465CS</v>
          </cell>
          <cell r="K574">
            <v>8.8000000000000007</v>
          </cell>
        </row>
        <row r="575">
          <cell r="C575" t="str">
            <v>3462CS</v>
          </cell>
          <cell r="K575">
            <v>8.8000000000000007</v>
          </cell>
        </row>
        <row r="576">
          <cell r="C576" t="str">
            <v>3461CS</v>
          </cell>
          <cell r="K576">
            <v>8.5</v>
          </cell>
        </row>
        <row r="577">
          <cell r="C577" t="str">
            <v>3460CS</v>
          </cell>
          <cell r="K577">
            <v>10.199999999999999</v>
          </cell>
        </row>
        <row r="578">
          <cell r="C578" t="str">
            <v>3459CS</v>
          </cell>
          <cell r="K578">
            <v>8.8000000000000007</v>
          </cell>
        </row>
        <row r="579">
          <cell r="C579" t="str">
            <v>3455CS</v>
          </cell>
          <cell r="K579">
            <v>4.5</v>
          </cell>
        </row>
        <row r="580">
          <cell r="C580" t="str">
            <v>3454CS</v>
          </cell>
          <cell r="K580">
            <v>9.25</v>
          </cell>
        </row>
        <row r="581">
          <cell r="C581" t="str">
            <v>3453CS</v>
          </cell>
          <cell r="K581">
            <v>8</v>
          </cell>
        </row>
        <row r="582">
          <cell r="C582" t="str">
            <v>3452CS</v>
          </cell>
        </row>
        <row r="583">
          <cell r="C583" t="str">
            <v>3448CS</v>
          </cell>
          <cell r="K583">
            <v>5.4</v>
          </cell>
        </row>
        <row r="584">
          <cell r="C584" t="str">
            <v>3447CS</v>
          </cell>
        </row>
        <row r="585">
          <cell r="C585" t="str">
            <v>3444CS</v>
          </cell>
          <cell r="K585">
            <v>10</v>
          </cell>
        </row>
        <row r="586">
          <cell r="C586" t="str">
            <v>3442CS</v>
          </cell>
          <cell r="K586">
            <v>12.800000000000002</v>
          </cell>
        </row>
        <row r="587">
          <cell r="C587" t="str">
            <v>3440CS</v>
          </cell>
          <cell r="K587">
            <v>10</v>
          </cell>
        </row>
        <row r="588">
          <cell r="C588" t="str">
            <v>3430CS</v>
          </cell>
          <cell r="K588">
            <v>9.17</v>
          </cell>
        </row>
        <row r="589">
          <cell r="C589" t="str">
            <v>3429CS</v>
          </cell>
          <cell r="K589">
            <v>7.87</v>
          </cell>
        </row>
        <row r="590">
          <cell r="C590" t="str">
            <v>3423CS</v>
          </cell>
          <cell r="K590">
            <v>5.9</v>
          </cell>
        </row>
        <row r="591">
          <cell r="C591" t="str">
            <v>3412CS</v>
          </cell>
          <cell r="K591">
            <v>9.5</v>
          </cell>
        </row>
        <row r="592">
          <cell r="C592" t="str">
            <v>3407CS</v>
          </cell>
          <cell r="K592">
            <v>11</v>
          </cell>
        </row>
        <row r="593">
          <cell r="C593" t="str">
            <v>3397CS</v>
          </cell>
          <cell r="K593">
            <v>10.1</v>
          </cell>
        </row>
        <row r="594">
          <cell r="C594" t="str">
            <v>3395CS</v>
          </cell>
          <cell r="K594">
            <v>7.35</v>
          </cell>
        </row>
        <row r="595">
          <cell r="C595" t="str">
            <v>3392CS</v>
          </cell>
          <cell r="K595">
            <v>3.44</v>
          </cell>
        </row>
        <row r="596">
          <cell r="C596" t="str">
            <v>3388CS</v>
          </cell>
          <cell r="K596">
            <v>12.02</v>
          </cell>
        </row>
        <row r="597">
          <cell r="C597" t="str">
            <v>3375CS</v>
          </cell>
          <cell r="K597">
            <v>11.6</v>
          </cell>
        </row>
        <row r="598">
          <cell r="C598" t="str">
            <v>3370CS</v>
          </cell>
          <cell r="K598">
            <v>17</v>
          </cell>
        </row>
        <row r="599">
          <cell r="C599" t="str">
            <v>3365CS</v>
          </cell>
          <cell r="K599">
            <v>11.2</v>
          </cell>
        </row>
        <row r="600">
          <cell r="C600" t="str">
            <v>3358CS</v>
          </cell>
          <cell r="K600">
            <v>24</v>
          </cell>
        </row>
        <row r="601">
          <cell r="C601" t="str">
            <v>3353CS</v>
          </cell>
          <cell r="K601">
            <v>4.0999999999999996</v>
          </cell>
        </row>
        <row r="602">
          <cell r="C602" t="str">
            <v>3351CS</v>
          </cell>
          <cell r="K602">
            <v>8.6</v>
          </cell>
        </row>
        <row r="603">
          <cell r="C603" t="str">
            <v>334ACS</v>
          </cell>
          <cell r="K603">
            <v>103.5</v>
          </cell>
        </row>
        <row r="604">
          <cell r="C604" t="str">
            <v>3336CS</v>
          </cell>
          <cell r="K604">
            <v>38</v>
          </cell>
        </row>
        <row r="605">
          <cell r="C605" t="str">
            <v>3327CS</v>
          </cell>
          <cell r="K605">
            <v>13.2</v>
          </cell>
        </row>
        <row r="606">
          <cell r="C606" t="str">
            <v>3326CS</v>
          </cell>
          <cell r="K606">
            <v>13.2</v>
          </cell>
        </row>
        <row r="607">
          <cell r="C607" t="str">
            <v>331ACS</v>
          </cell>
          <cell r="K607">
            <v>5.35</v>
          </cell>
        </row>
        <row r="608">
          <cell r="C608" t="str">
            <v>3287CS</v>
          </cell>
          <cell r="K608">
            <v>4.25</v>
          </cell>
        </row>
        <row r="609">
          <cell r="C609" t="str">
            <v>3273CS</v>
          </cell>
          <cell r="K609">
            <v>10.729999999999999</v>
          </cell>
        </row>
        <row r="610">
          <cell r="C610" t="str">
            <v>3269CS</v>
          </cell>
          <cell r="K610">
            <v>5.3</v>
          </cell>
        </row>
        <row r="611">
          <cell r="C611" t="str">
            <v>3268CS</v>
          </cell>
          <cell r="K611">
            <v>6.5</v>
          </cell>
        </row>
        <row r="612">
          <cell r="C612" t="str">
            <v>3266CS</v>
          </cell>
          <cell r="K612">
            <v>15</v>
          </cell>
        </row>
        <row r="613">
          <cell r="C613" t="str">
            <v>3253CS</v>
          </cell>
          <cell r="K613">
            <v>3.65</v>
          </cell>
        </row>
        <row r="614">
          <cell r="C614" t="str">
            <v>3252CS</v>
          </cell>
          <cell r="K614">
            <v>1.5</v>
          </cell>
        </row>
        <row r="615">
          <cell r="C615" t="str">
            <v>3251CS</v>
          </cell>
          <cell r="K615">
            <v>2.5</v>
          </cell>
        </row>
        <row r="616">
          <cell r="C616" t="str">
            <v>3241CS</v>
          </cell>
          <cell r="K616">
            <v>40</v>
          </cell>
        </row>
        <row r="617">
          <cell r="C617" t="str">
            <v>3238CS</v>
          </cell>
          <cell r="K617">
            <v>9</v>
          </cell>
        </row>
        <row r="618">
          <cell r="C618" t="str">
            <v>3233CS</v>
          </cell>
          <cell r="K618">
            <v>21.5</v>
          </cell>
        </row>
        <row r="619">
          <cell r="C619" t="str">
            <v>3232CS</v>
          </cell>
          <cell r="K619">
            <v>6.3999999999999995</v>
          </cell>
        </row>
        <row r="620">
          <cell r="C620" t="str">
            <v>3229CS</v>
          </cell>
          <cell r="K620">
            <v>6</v>
          </cell>
        </row>
        <row r="621">
          <cell r="C621" t="str">
            <v>3225CS</v>
          </cell>
          <cell r="K621">
            <v>8.99</v>
          </cell>
        </row>
        <row r="622">
          <cell r="C622" t="str">
            <v>3224CS</v>
          </cell>
          <cell r="K622">
            <v>2.95</v>
          </cell>
        </row>
        <row r="623">
          <cell r="C623" t="str">
            <v>3218CS</v>
          </cell>
          <cell r="K623">
            <v>9.15</v>
          </cell>
        </row>
        <row r="624">
          <cell r="C624" t="str">
            <v>3214CS</v>
          </cell>
          <cell r="K624">
            <v>10.54</v>
          </cell>
        </row>
        <row r="625">
          <cell r="C625" t="str">
            <v>3211CS</v>
          </cell>
          <cell r="K625">
            <v>9.8800000000000026</v>
          </cell>
        </row>
        <row r="626">
          <cell r="C626" t="str">
            <v>3205CS</v>
          </cell>
          <cell r="K626">
            <v>11.024999999999999</v>
          </cell>
        </row>
        <row r="627">
          <cell r="C627" t="str">
            <v>3199CS</v>
          </cell>
          <cell r="K627">
            <v>2.6</v>
          </cell>
        </row>
        <row r="628">
          <cell r="C628" t="str">
            <v>3196CS</v>
          </cell>
          <cell r="K628">
            <v>11.43</v>
          </cell>
        </row>
        <row r="629">
          <cell r="C629" t="str">
            <v>3194CS</v>
          </cell>
        </row>
        <row r="630">
          <cell r="C630" t="str">
            <v>3192CS</v>
          </cell>
          <cell r="K630">
            <v>1.8899999999999997</v>
          </cell>
        </row>
        <row r="631">
          <cell r="C631" t="str">
            <v>3186CS</v>
          </cell>
          <cell r="K631">
            <v>10.02</v>
          </cell>
        </row>
        <row r="632">
          <cell r="C632" t="str">
            <v>3176CS</v>
          </cell>
          <cell r="K632">
            <v>3.8295687885010268</v>
          </cell>
        </row>
        <row r="633">
          <cell r="C633" t="str">
            <v>3175CS</v>
          </cell>
          <cell r="K633">
            <v>3.5318275154004106</v>
          </cell>
        </row>
        <row r="634">
          <cell r="C634" t="str">
            <v>3169CS</v>
          </cell>
          <cell r="K634">
            <v>9.0195071868583163</v>
          </cell>
        </row>
        <row r="635">
          <cell r="C635" t="str">
            <v>3162CS</v>
          </cell>
          <cell r="K635">
            <v>5.4804922894072625</v>
          </cell>
        </row>
        <row r="636">
          <cell r="C636" t="str">
            <v>3161CS</v>
          </cell>
          <cell r="K636">
            <v>6.2</v>
          </cell>
        </row>
        <row r="637">
          <cell r="C637" t="str">
            <v>3160CS</v>
          </cell>
          <cell r="K637">
            <v>3.6</v>
          </cell>
        </row>
        <row r="638">
          <cell r="C638" t="str">
            <v>315ACS</v>
          </cell>
          <cell r="K638">
            <v>33.18</v>
          </cell>
        </row>
        <row r="639">
          <cell r="C639" t="str">
            <v>3154CS</v>
          </cell>
          <cell r="K639">
            <v>8.6036960985626276</v>
          </cell>
        </row>
        <row r="640">
          <cell r="C640" t="str">
            <v>3143CS</v>
          </cell>
          <cell r="K640">
            <v>1.5</v>
          </cell>
        </row>
        <row r="641">
          <cell r="C641" t="str">
            <v>3142CS</v>
          </cell>
          <cell r="K641">
            <v>1.1000000000000001</v>
          </cell>
        </row>
        <row r="642">
          <cell r="C642" t="str">
            <v>3117CS</v>
          </cell>
          <cell r="K642">
            <v>3.5108835042983944</v>
          </cell>
        </row>
        <row r="643">
          <cell r="C643" t="str">
            <v>3114CS</v>
          </cell>
          <cell r="K643">
            <v>29</v>
          </cell>
        </row>
        <row r="644">
          <cell r="C644" t="str">
            <v>3096CS</v>
          </cell>
        </row>
        <row r="645">
          <cell r="C645" t="str">
            <v>3094CS</v>
          </cell>
          <cell r="K645">
            <v>6.5</v>
          </cell>
        </row>
        <row r="646">
          <cell r="C646" t="str">
            <v>3091CS</v>
          </cell>
          <cell r="K646">
            <v>11.820000000000002</v>
          </cell>
        </row>
        <row r="647">
          <cell r="C647" t="str">
            <v>3089CS</v>
          </cell>
          <cell r="K647">
            <v>21.2</v>
          </cell>
        </row>
        <row r="648">
          <cell r="C648" t="str">
            <v>3059CS</v>
          </cell>
          <cell r="K648">
            <v>8.8000000000000007</v>
          </cell>
        </row>
        <row r="649">
          <cell r="C649" t="str">
            <v>3050CS</v>
          </cell>
          <cell r="K649">
            <v>11.2</v>
          </cell>
        </row>
        <row r="650">
          <cell r="C650" t="str">
            <v>301ACS</v>
          </cell>
          <cell r="K650">
            <v>9.0192644483362532</v>
          </cell>
        </row>
        <row r="651">
          <cell r="C651" t="str">
            <v>300ACS</v>
          </cell>
          <cell r="K651">
            <v>15.76182136602452</v>
          </cell>
        </row>
        <row r="652">
          <cell r="C652" t="str">
            <v>297ACS</v>
          </cell>
        </row>
        <row r="653">
          <cell r="C653" t="str">
            <v>2974CS</v>
          </cell>
          <cell r="K653">
            <v>1.52</v>
          </cell>
        </row>
        <row r="654">
          <cell r="C654" t="str">
            <v>2924CS</v>
          </cell>
          <cell r="K654">
            <v>12.8</v>
          </cell>
        </row>
        <row r="655">
          <cell r="C655" t="str">
            <v>2917CS</v>
          </cell>
          <cell r="K655">
            <v>19</v>
          </cell>
        </row>
        <row r="656">
          <cell r="C656" t="str">
            <v>2914CS</v>
          </cell>
          <cell r="K656">
            <v>8.3187390542907185</v>
          </cell>
        </row>
        <row r="657">
          <cell r="C657" t="str">
            <v>288ACS</v>
          </cell>
          <cell r="K657">
            <v>28.99</v>
          </cell>
        </row>
        <row r="658">
          <cell r="C658" t="str">
            <v>2851CS</v>
          </cell>
          <cell r="K658">
            <v>11.5</v>
          </cell>
        </row>
        <row r="659">
          <cell r="C659" t="str">
            <v>2850CS</v>
          </cell>
          <cell r="K659">
            <v>16</v>
          </cell>
        </row>
        <row r="660">
          <cell r="C660" t="str">
            <v>284ACS</v>
          </cell>
          <cell r="K660">
            <v>31.45</v>
          </cell>
        </row>
        <row r="661">
          <cell r="C661" t="str">
            <v>283BCS</v>
          </cell>
          <cell r="K661">
            <v>5.9</v>
          </cell>
        </row>
        <row r="662">
          <cell r="C662" t="str">
            <v>281CCS</v>
          </cell>
          <cell r="K662">
            <v>44.09</v>
          </cell>
        </row>
        <row r="663">
          <cell r="C663" t="str">
            <v>2816CS</v>
          </cell>
          <cell r="K663">
            <v>39</v>
          </cell>
        </row>
        <row r="664">
          <cell r="C664" t="str">
            <v>280CCS</v>
          </cell>
          <cell r="K664">
            <v>13.4</v>
          </cell>
        </row>
        <row r="665">
          <cell r="C665" t="str">
            <v>2805CS</v>
          </cell>
          <cell r="K665">
            <v>22</v>
          </cell>
        </row>
        <row r="666">
          <cell r="C666" t="str">
            <v>2796CS</v>
          </cell>
          <cell r="K666">
            <v>20.18</v>
          </cell>
        </row>
        <row r="667">
          <cell r="C667" t="str">
            <v>2787CS</v>
          </cell>
          <cell r="K667">
            <v>7</v>
          </cell>
        </row>
        <row r="668">
          <cell r="C668" t="str">
            <v>2785CS</v>
          </cell>
          <cell r="K668">
            <v>16.8</v>
          </cell>
        </row>
        <row r="669">
          <cell r="C669" t="str">
            <v>2779CS</v>
          </cell>
          <cell r="K669">
            <v>4.54</v>
          </cell>
        </row>
        <row r="670">
          <cell r="C670" t="str">
            <v>275CCS</v>
          </cell>
          <cell r="K670">
            <v>23.78</v>
          </cell>
        </row>
        <row r="671">
          <cell r="C671" t="str">
            <v>2747CS</v>
          </cell>
          <cell r="K671">
            <v>10.35</v>
          </cell>
        </row>
        <row r="672">
          <cell r="C672" t="str">
            <v>2731CS</v>
          </cell>
          <cell r="K672">
            <v>11.45</v>
          </cell>
        </row>
        <row r="673">
          <cell r="C673" t="str">
            <v>272ACS</v>
          </cell>
          <cell r="K673">
            <v>145.5</v>
          </cell>
        </row>
        <row r="674">
          <cell r="C674" t="str">
            <v>270CCS</v>
          </cell>
          <cell r="K674">
            <v>6.61</v>
          </cell>
        </row>
        <row r="675">
          <cell r="C675" t="str">
            <v>270ACS</v>
          </cell>
          <cell r="K675">
            <v>48.85</v>
          </cell>
        </row>
        <row r="676">
          <cell r="C676" t="str">
            <v>269CCS</v>
          </cell>
          <cell r="K676">
            <v>9.32</v>
          </cell>
        </row>
        <row r="677">
          <cell r="C677" t="str">
            <v>269ACS</v>
          </cell>
          <cell r="K677">
            <v>28.99</v>
          </cell>
        </row>
        <row r="678">
          <cell r="C678" t="str">
            <v>2692CS</v>
          </cell>
          <cell r="K678">
            <v>20.3</v>
          </cell>
        </row>
        <row r="679">
          <cell r="C679" t="str">
            <v>268CCS</v>
          </cell>
          <cell r="K679">
            <v>9.32</v>
          </cell>
        </row>
        <row r="680">
          <cell r="C680" t="str">
            <v>265CCS</v>
          </cell>
        </row>
        <row r="681">
          <cell r="C681" t="str">
            <v>264CCS</v>
          </cell>
        </row>
        <row r="682">
          <cell r="C682" t="str">
            <v>264ACS</v>
          </cell>
          <cell r="K682">
            <v>14.679999999999998</v>
          </cell>
        </row>
        <row r="683">
          <cell r="C683" t="str">
            <v>2649CS</v>
          </cell>
          <cell r="K683">
            <v>7.25</v>
          </cell>
        </row>
        <row r="684">
          <cell r="C684" t="str">
            <v>263ACS</v>
          </cell>
          <cell r="K684">
            <v>28.5</v>
          </cell>
        </row>
        <row r="685">
          <cell r="C685" t="str">
            <v>262ACS</v>
          </cell>
        </row>
        <row r="686">
          <cell r="C686" t="str">
            <v>2597CS</v>
          </cell>
          <cell r="K686">
            <v>10</v>
          </cell>
        </row>
        <row r="687">
          <cell r="C687" t="str">
            <v>2590CS</v>
          </cell>
          <cell r="K687">
            <v>23</v>
          </cell>
        </row>
        <row r="688">
          <cell r="C688" t="str">
            <v>258CCS</v>
          </cell>
        </row>
        <row r="689">
          <cell r="C689" t="str">
            <v>2580CS</v>
          </cell>
          <cell r="K689">
            <v>18.2</v>
          </cell>
        </row>
        <row r="690">
          <cell r="C690" t="str">
            <v>257CCS</v>
          </cell>
          <cell r="K690">
            <v>77.099999999999994</v>
          </cell>
        </row>
        <row r="691">
          <cell r="C691" t="str">
            <v>256BCS</v>
          </cell>
          <cell r="K691">
            <v>48</v>
          </cell>
        </row>
        <row r="692">
          <cell r="C692" t="str">
            <v>253CCS</v>
          </cell>
          <cell r="K692">
            <v>9.92</v>
          </cell>
        </row>
        <row r="693">
          <cell r="C693" t="str">
            <v>2534CS</v>
          </cell>
          <cell r="K693">
            <v>23.4</v>
          </cell>
        </row>
        <row r="694">
          <cell r="C694" t="str">
            <v>251CCS</v>
          </cell>
          <cell r="K694">
            <v>91.28</v>
          </cell>
        </row>
        <row r="695">
          <cell r="C695" t="str">
            <v>2514CS</v>
          </cell>
          <cell r="K695">
            <v>20.6</v>
          </cell>
        </row>
        <row r="696">
          <cell r="C696" t="str">
            <v>249CCS</v>
          </cell>
          <cell r="K696">
            <v>34.56</v>
          </cell>
        </row>
        <row r="697">
          <cell r="C697" t="str">
            <v>249BCS</v>
          </cell>
          <cell r="K697">
            <v>40</v>
          </cell>
        </row>
        <row r="698">
          <cell r="C698" t="str">
            <v>248BCS</v>
          </cell>
          <cell r="K698">
            <v>23.900000000000002</v>
          </cell>
        </row>
        <row r="699">
          <cell r="C699" t="str">
            <v>247BCS</v>
          </cell>
          <cell r="K699">
            <v>3.3</v>
          </cell>
        </row>
        <row r="700">
          <cell r="C700" t="str">
            <v>246BCS</v>
          </cell>
          <cell r="K700">
            <v>18.95</v>
          </cell>
        </row>
        <row r="701">
          <cell r="C701" t="str">
            <v>2438CS</v>
          </cell>
          <cell r="K701">
            <v>35</v>
          </cell>
        </row>
        <row r="702">
          <cell r="C702" t="str">
            <v>2418CS</v>
          </cell>
        </row>
        <row r="703">
          <cell r="C703" t="str">
            <v>240CCS</v>
          </cell>
          <cell r="K703">
            <v>78.25</v>
          </cell>
        </row>
        <row r="704">
          <cell r="C704" t="str">
            <v>239BCS</v>
          </cell>
          <cell r="K704">
            <v>37.26</v>
          </cell>
        </row>
        <row r="705">
          <cell r="C705" t="str">
            <v>238ACS</v>
          </cell>
          <cell r="K705">
            <v>50.4</v>
          </cell>
        </row>
        <row r="706">
          <cell r="C706" t="str">
            <v>237BCS</v>
          </cell>
          <cell r="K706">
            <v>9.3800000000000008</v>
          </cell>
        </row>
        <row r="707">
          <cell r="C707" t="str">
            <v>2367CS</v>
          </cell>
          <cell r="K707">
            <v>4.0999999999999996</v>
          </cell>
        </row>
        <row r="708">
          <cell r="C708" t="str">
            <v>235ACS</v>
          </cell>
          <cell r="K708">
            <v>28.5</v>
          </cell>
        </row>
        <row r="709">
          <cell r="C709" t="str">
            <v>234AEA</v>
          </cell>
          <cell r="K709">
            <v>1.7</v>
          </cell>
        </row>
        <row r="710">
          <cell r="C710" t="str">
            <v>2321CS</v>
          </cell>
          <cell r="K710">
            <v>2.9</v>
          </cell>
        </row>
        <row r="711">
          <cell r="C711" t="str">
            <v>229BCS</v>
          </cell>
          <cell r="K711">
            <v>195</v>
          </cell>
        </row>
        <row r="712">
          <cell r="C712" t="str">
            <v>228BCS</v>
          </cell>
          <cell r="K712">
            <v>195</v>
          </cell>
        </row>
        <row r="713">
          <cell r="C713" t="str">
            <v>226CCS</v>
          </cell>
          <cell r="K713">
            <v>19.2</v>
          </cell>
        </row>
        <row r="714">
          <cell r="C714" t="str">
            <v>226BCS</v>
          </cell>
          <cell r="K714">
            <v>4.45</v>
          </cell>
        </row>
        <row r="715">
          <cell r="C715" t="str">
            <v>221BCS</v>
          </cell>
          <cell r="K715">
            <v>11.880000000000003</v>
          </cell>
        </row>
        <row r="716">
          <cell r="C716" t="str">
            <v>216CCS</v>
          </cell>
          <cell r="K716">
            <v>20.329999999999998</v>
          </cell>
        </row>
        <row r="717">
          <cell r="C717" t="str">
            <v>215CCS</v>
          </cell>
          <cell r="K717">
            <v>29.4</v>
          </cell>
        </row>
        <row r="718">
          <cell r="C718" t="str">
            <v>214CCS</v>
          </cell>
          <cell r="K718">
            <v>96.24</v>
          </cell>
        </row>
        <row r="719">
          <cell r="C719" t="str">
            <v>213CCS</v>
          </cell>
          <cell r="K719">
            <v>48.70000000000001</v>
          </cell>
        </row>
        <row r="720">
          <cell r="C720" t="str">
            <v>211CCS</v>
          </cell>
          <cell r="K720">
            <v>24.89</v>
          </cell>
        </row>
        <row r="721">
          <cell r="C721" t="str">
            <v>209CCS</v>
          </cell>
          <cell r="K721">
            <v>17.850000000000001</v>
          </cell>
        </row>
        <row r="722">
          <cell r="C722" t="str">
            <v>209ACS</v>
          </cell>
          <cell r="K722">
            <v>8.6252189141856395</v>
          </cell>
        </row>
        <row r="723">
          <cell r="C723" t="str">
            <v>209ACS</v>
          </cell>
          <cell r="K723">
            <v>8.6252189141856395</v>
          </cell>
        </row>
        <row r="724">
          <cell r="C724" t="str">
            <v>206CCS</v>
          </cell>
          <cell r="K724">
            <v>21</v>
          </cell>
        </row>
        <row r="725">
          <cell r="C725" t="str">
            <v>2061CS</v>
          </cell>
          <cell r="K725">
            <v>3.71</v>
          </cell>
        </row>
        <row r="726">
          <cell r="C726" t="str">
            <v>194ACS</v>
          </cell>
          <cell r="K726">
            <v>10</v>
          </cell>
        </row>
        <row r="727">
          <cell r="C727" t="str">
            <v>192CCS</v>
          </cell>
          <cell r="K727">
            <v>21.9</v>
          </cell>
        </row>
        <row r="728">
          <cell r="C728" t="str">
            <v>190ACS</v>
          </cell>
          <cell r="K728">
            <v>13.669999999999998</v>
          </cell>
        </row>
        <row r="729">
          <cell r="C729" t="str">
            <v>189ACS</v>
          </cell>
          <cell r="K729">
            <v>20.25</v>
          </cell>
        </row>
        <row r="730">
          <cell r="C730" t="str">
            <v>184CCS</v>
          </cell>
          <cell r="K730">
            <v>34.61</v>
          </cell>
        </row>
        <row r="731">
          <cell r="C731" t="str">
            <v>181BCS</v>
          </cell>
          <cell r="K731">
            <v>40.799999999999997</v>
          </cell>
        </row>
        <row r="732">
          <cell r="C732" t="str">
            <v>1791CS</v>
          </cell>
          <cell r="K732">
            <v>4.4000000000000004</v>
          </cell>
        </row>
        <row r="733">
          <cell r="C733" t="str">
            <v>176CCS</v>
          </cell>
          <cell r="K733">
            <v>77.28</v>
          </cell>
        </row>
        <row r="734">
          <cell r="C734" t="str">
            <v>175CCS</v>
          </cell>
          <cell r="K734">
            <v>5.78</v>
          </cell>
        </row>
        <row r="735">
          <cell r="C735" t="str">
            <v>1741CS</v>
          </cell>
          <cell r="K735">
            <v>9.6</v>
          </cell>
        </row>
        <row r="736">
          <cell r="C736" t="str">
            <v>1734CS</v>
          </cell>
          <cell r="K736">
            <v>10.02</v>
          </cell>
        </row>
        <row r="737">
          <cell r="C737" t="str">
            <v>1733CS</v>
          </cell>
          <cell r="K737">
            <v>10.83</v>
          </cell>
        </row>
        <row r="738">
          <cell r="C738" t="str">
            <v>1715CS</v>
          </cell>
          <cell r="K738">
            <v>13.9</v>
          </cell>
        </row>
        <row r="739">
          <cell r="C739" t="str">
            <v>1668CS</v>
          </cell>
          <cell r="K739">
            <v>14</v>
          </cell>
        </row>
        <row r="740">
          <cell r="C740" t="str">
            <v>1642CS</v>
          </cell>
          <cell r="K740">
            <v>11.99</v>
          </cell>
        </row>
        <row r="741">
          <cell r="C741" t="str">
            <v>1640CS</v>
          </cell>
          <cell r="K741">
            <v>17.52</v>
          </cell>
        </row>
        <row r="742">
          <cell r="C742" t="str">
            <v>1636CS</v>
          </cell>
          <cell r="K742">
            <v>19.8</v>
          </cell>
        </row>
        <row r="743">
          <cell r="C743" t="str">
            <v>146ACS</v>
          </cell>
          <cell r="K743">
            <v>10.5</v>
          </cell>
        </row>
        <row r="744">
          <cell r="C744" t="str">
            <v>141BCS</v>
          </cell>
          <cell r="K744">
            <v>143.94</v>
          </cell>
        </row>
        <row r="745">
          <cell r="C745" t="str">
            <v>137CCS</v>
          </cell>
          <cell r="K745">
            <v>158.28</v>
          </cell>
        </row>
        <row r="746">
          <cell r="C746" t="str">
            <v>137BCS</v>
          </cell>
          <cell r="K746">
            <v>33.18</v>
          </cell>
        </row>
        <row r="747">
          <cell r="C747" t="str">
            <v>1374CS</v>
          </cell>
          <cell r="K747">
            <v>3</v>
          </cell>
        </row>
        <row r="748">
          <cell r="C748" t="str">
            <v>135CCS</v>
          </cell>
          <cell r="K748">
            <v>93.28</v>
          </cell>
        </row>
        <row r="749">
          <cell r="C749" t="str">
            <v>126CCS</v>
          </cell>
          <cell r="K749">
            <v>67.2</v>
          </cell>
        </row>
        <row r="750">
          <cell r="C750" t="str">
            <v>126BCS</v>
          </cell>
          <cell r="K750">
            <v>19.5</v>
          </cell>
        </row>
        <row r="751">
          <cell r="C751" t="str">
            <v>125BCS</v>
          </cell>
          <cell r="K751">
            <v>19.5</v>
          </cell>
        </row>
        <row r="752">
          <cell r="C752" t="str">
            <v>124CCS</v>
          </cell>
          <cell r="K752">
            <v>248</v>
          </cell>
        </row>
        <row r="753">
          <cell r="C753" t="str">
            <v>122CCS</v>
          </cell>
          <cell r="K753">
            <v>14.75</v>
          </cell>
        </row>
        <row r="754">
          <cell r="C754" t="str">
            <v>120CCS</v>
          </cell>
          <cell r="K754">
            <v>84</v>
          </cell>
        </row>
        <row r="755">
          <cell r="C755" t="str">
            <v>1186CS</v>
          </cell>
          <cell r="K755">
            <v>9.1999999999999993</v>
          </cell>
        </row>
        <row r="756">
          <cell r="C756" t="str">
            <v>113BCS</v>
          </cell>
          <cell r="K756">
            <v>57</v>
          </cell>
        </row>
        <row r="757">
          <cell r="C757" t="str">
            <v>107CCS</v>
          </cell>
          <cell r="K757">
            <v>137.80000000000001</v>
          </cell>
        </row>
        <row r="758">
          <cell r="C758" t="str">
            <v>107ACS</v>
          </cell>
          <cell r="K758">
            <v>10.8</v>
          </cell>
        </row>
        <row r="759">
          <cell r="C759" t="str">
            <v>106CCS</v>
          </cell>
          <cell r="K759">
            <v>80.16</v>
          </cell>
        </row>
        <row r="760">
          <cell r="C760" t="str">
            <v>1060CS</v>
          </cell>
          <cell r="K760">
            <v>4.8</v>
          </cell>
        </row>
        <row r="761">
          <cell r="C761" t="str">
            <v>1006CS</v>
          </cell>
          <cell r="K761">
            <v>4.72</v>
          </cell>
        </row>
        <row r="762">
          <cell r="C762" t="str">
            <v>1005CS</v>
          </cell>
          <cell r="K762">
            <v>4.3600000000000003</v>
          </cell>
        </row>
        <row r="763">
          <cell r="C763" t="str">
            <v>090ACS</v>
          </cell>
          <cell r="K763">
            <v>2.9</v>
          </cell>
        </row>
        <row r="764">
          <cell r="C764" t="str">
            <v>080BCS</v>
          </cell>
          <cell r="K764">
            <v>24</v>
          </cell>
        </row>
        <row r="765">
          <cell r="C765" t="str">
            <v>079BCS</v>
          </cell>
          <cell r="K765">
            <v>14</v>
          </cell>
        </row>
        <row r="766">
          <cell r="C766" t="str">
            <v>077BCS</v>
          </cell>
          <cell r="K766">
            <v>13.599999999999998</v>
          </cell>
        </row>
        <row r="767">
          <cell r="C767" t="str">
            <v>071CCS</v>
          </cell>
        </row>
        <row r="768">
          <cell r="C768" t="str">
            <v>071BCS</v>
          </cell>
          <cell r="K768">
            <v>10.9</v>
          </cell>
        </row>
        <row r="769">
          <cell r="C769" t="str">
            <v>070CCS</v>
          </cell>
        </row>
        <row r="770">
          <cell r="C770" t="str">
            <v>069CCS</v>
          </cell>
          <cell r="K770">
            <v>106.7</v>
          </cell>
        </row>
        <row r="771">
          <cell r="C771" t="str">
            <v>061BCS</v>
          </cell>
          <cell r="K771">
            <v>7.4</v>
          </cell>
        </row>
        <row r="772">
          <cell r="C772" t="str">
            <v>060BCS</v>
          </cell>
          <cell r="K772">
            <v>7.68</v>
          </cell>
        </row>
        <row r="773">
          <cell r="C773" t="str">
            <v>059BCS</v>
          </cell>
          <cell r="K773">
            <v>7.5</v>
          </cell>
        </row>
        <row r="774">
          <cell r="C774" t="str">
            <v>058CCS</v>
          </cell>
          <cell r="K774">
            <v>11.49</v>
          </cell>
        </row>
        <row r="775">
          <cell r="C775" t="str">
            <v>057ACS</v>
          </cell>
          <cell r="K775">
            <v>11.18</v>
          </cell>
        </row>
        <row r="776">
          <cell r="C776" t="str">
            <v>056BCS</v>
          </cell>
          <cell r="K776">
            <v>140.25</v>
          </cell>
        </row>
        <row r="777">
          <cell r="C777" t="str">
            <v>055CCS</v>
          </cell>
          <cell r="K777">
            <v>17.100000000000001</v>
          </cell>
        </row>
        <row r="778">
          <cell r="C778" t="str">
            <v>053BCS</v>
          </cell>
          <cell r="K778">
            <v>36.5</v>
          </cell>
        </row>
        <row r="779">
          <cell r="C779" t="str">
            <v>050ACS</v>
          </cell>
          <cell r="K779">
            <v>44.52</v>
          </cell>
        </row>
        <row r="780">
          <cell r="C780" t="str">
            <v>047CCS</v>
          </cell>
          <cell r="K780">
            <v>11.44</v>
          </cell>
        </row>
        <row r="781">
          <cell r="C781" t="str">
            <v>040BCS</v>
          </cell>
          <cell r="K781">
            <v>56</v>
          </cell>
        </row>
        <row r="782">
          <cell r="C782" t="str">
            <v>037CCS</v>
          </cell>
        </row>
        <row r="783">
          <cell r="C783" t="str">
            <v>037ACS</v>
          </cell>
          <cell r="K783">
            <v>24.18</v>
          </cell>
        </row>
        <row r="784">
          <cell r="C784" t="str">
            <v>034CCS</v>
          </cell>
          <cell r="K784">
            <v>172</v>
          </cell>
        </row>
        <row r="785">
          <cell r="C785" t="str">
            <v>033BCS</v>
          </cell>
          <cell r="K785">
            <v>27.5</v>
          </cell>
        </row>
        <row r="786">
          <cell r="C786" t="str">
            <v>023CCS</v>
          </cell>
          <cell r="K786">
            <v>12.25</v>
          </cell>
        </row>
        <row r="787">
          <cell r="C787" t="str">
            <v>022CCS</v>
          </cell>
          <cell r="K787">
            <v>33.64</v>
          </cell>
        </row>
        <row r="788">
          <cell r="C788" t="str">
            <v>020BCS</v>
          </cell>
          <cell r="K788">
            <v>1.55</v>
          </cell>
        </row>
        <row r="789">
          <cell r="C789" t="str">
            <v>019BCS</v>
          </cell>
          <cell r="K789">
            <v>7.1</v>
          </cell>
        </row>
        <row r="790">
          <cell r="C790" t="str">
            <v>018BCS</v>
          </cell>
          <cell r="K790">
            <v>6.35</v>
          </cell>
        </row>
        <row r="791">
          <cell r="C791" t="str">
            <v>0141CS</v>
          </cell>
          <cell r="K791">
            <v>3.7</v>
          </cell>
        </row>
        <row r="792">
          <cell r="C792" t="str">
            <v>007CCS</v>
          </cell>
          <cell r="K792">
            <v>297</v>
          </cell>
        </row>
        <row r="793">
          <cell r="C793" t="str">
            <v>002CCS</v>
          </cell>
          <cell r="K793">
            <v>18.989999999999998</v>
          </cell>
        </row>
        <row r="794">
          <cell r="C794" t="str">
            <v>3891CS</v>
          </cell>
        </row>
        <row r="795">
          <cell r="C795" t="str">
            <v>S3566CS</v>
          </cell>
          <cell r="K795">
            <v>8.5299999999999994</v>
          </cell>
        </row>
        <row r="796">
          <cell r="C796" t="str">
            <v>3433CS</v>
          </cell>
          <cell r="K796">
            <v>9.07</v>
          </cell>
        </row>
        <row r="797">
          <cell r="C797" t="str">
            <v>3692CS</v>
          </cell>
        </row>
        <row r="798">
          <cell r="C798" t="str">
            <v>622BCS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stice Margin Report v3 - Raw"/>
      <sheetName val="Sheet1"/>
      <sheetName val="Sheet2"/>
      <sheetName val="BOM"/>
    </sheetNames>
    <sheetDataSet>
      <sheetData sheetId="0"/>
      <sheetData sheetId="1">
        <row r="1">
          <cell r="B1" t="str">
            <v>ItemNo</v>
          </cell>
        </row>
        <row r="2">
          <cell r="B2" t="str">
            <v>475CCS</v>
          </cell>
        </row>
        <row r="3">
          <cell r="B3" t="str">
            <v>1851CS</v>
          </cell>
        </row>
        <row r="4">
          <cell r="B4" t="str">
            <v>1854CS</v>
          </cell>
        </row>
        <row r="5">
          <cell r="B5" t="str">
            <v>1855CS</v>
          </cell>
        </row>
        <row r="6">
          <cell r="B6" t="str">
            <v>1852CS</v>
          </cell>
        </row>
        <row r="7">
          <cell r="B7" t="str">
            <v>1863CS</v>
          </cell>
        </row>
        <row r="8">
          <cell r="B8" t="str">
            <v>474CCS</v>
          </cell>
        </row>
        <row r="9">
          <cell r="B9" t="str">
            <v>4486CS</v>
          </cell>
        </row>
        <row r="10">
          <cell r="B10" t="str">
            <v>CF02CS</v>
          </cell>
        </row>
        <row r="11">
          <cell r="B11" t="str">
            <v>1875CS</v>
          </cell>
        </row>
        <row r="12">
          <cell r="B12" t="str">
            <v>1865CS</v>
          </cell>
        </row>
        <row r="13">
          <cell r="B13" t="str">
            <v>719ACS</v>
          </cell>
        </row>
        <row r="14">
          <cell r="B14" t="str">
            <v>689CCS</v>
          </cell>
        </row>
        <row r="15">
          <cell r="B15" t="str">
            <v>906ACS</v>
          </cell>
        </row>
        <row r="16">
          <cell r="B16" t="str">
            <v>1860CS</v>
          </cell>
        </row>
        <row r="17">
          <cell r="B17" t="str">
            <v>688CCS</v>
          </cell>
        </row>
        <row r="18">
          <cell r="B18" t="str">
            <v>1853CS</v>
          </cell>
        </row>
        <row r="19">
          <cell r="B19" t="str">
            <v>Z429CS</v>
          </cell>
        </row>
        <row r="20">
          <cell r="B20" t="str">
            <v>P1865CS</v>
          </cell>
        </row>
        <row r="21">
          <cell r="B21" t="str">
            <v>917ACS</v>
          </cell>
        </row>
        <row r="22">
          <cell r="B22" t="str">
            <v>916ACS</v>
          </cell>
        </row>
        <row r="23">
          <cell r="B23" t="str">
            <v>584ACS</v>
          </cell>
        </row>
        <row r="24">
          <cell r="B24" t="str">
            <v>305CCS</v>
          </cell>
        </row>
        <row r="25">
          <cell r="B25" t="str">
            <v>Z071CS</v>
          </cell>
        </row>
        <row r="26">
          <cell r="B26" t="str">
            <v>241CCS</v>
          </cell>
        </row>
        <row r="27">
          <cell r="B27" t="str">
            <v>Z015CS</v>
          </cell>
        </row>
        <row r="28">
          <cell r="B28" t="str">
            <v>N015CS</v>
          </cell>
        </row>
        <row r="29">
          <cell r="B29" t="str">
            <v>Z182CS</v>
          </cell>
        </row>
        <row r="30">
          <cell r="B30" t="str">
            <v>N009CS</v>
          </cell>
        </row>
        <row r="31">
          <cell r="B31" t="str">
            <v>1441CS</v>
          </cell>
        </row>
        <row r="32">
          <cell r="B32" t="str">
            <v>N085CS</v>
          </cell>
        </row>
        <row r="33">
          <cell r="B33" t="str">
            <v>N036CS</v>
          </cell>
        </row>
        <row r="34">
          <cell r="B34" t="str">
            <v>304CCS</v>
          </cell>
        </row>
        <row r="35">
          <cell r="B35" t="str">
            <v>CF01CS</v>
          </cell>
        </row>
        <row r="36">
          <cell r="B36" t="str">
            <v>712ACS</v>
          </cell>
        </row>
        <row r="37">
          <cell r="B37" t="str">
            <v>N043CS</v>
          </cell>
        </row>
        <row r="38">
          <cell r="B38" t="str">
            <v>Z075CS</v>
          </cell>
        </row>
        <row r="39">
          <cell r="B39" t="str">
            <v>277CCS</v>
          </cell>
        </row>
        <row r="40">
          <cell r="B40" t="str">
            <v>Z387CS</v>
          </cell>
        </row>
        <row r="41">
          <cell r="B41" t="str">
            <v>683CCS</v>
          </cell>
        </row>
        <row r="42">
          <cell r="B42" t="str">
            <v>716ACS</v>
          </cell>
        </row>
        <row r="43">
          <cell r="B43" t="str">
            <v>278CCS</v>
          </cell>
        </row>
        <row r="44">
          <cell r="B44" t="str">
            <v>Z156CS</v>
          </cell>
        </row>
        <row r="45">
          <cell r="B45" t="str">
            <v>1598CS</v>
          </cell>
        </row>
        <row r="46">
          <cell r="B46" t="str">
            <v>1366CS</v>
          </cell>
        </row>
        <row r="47">
          <cell r="B47" t="str">
            <v>2089CS</v>
          </cell>
        </row>
        <row r="48">
          <cell r="B48" t="str">
            <v>Z146CS</v>
          </cell>
        </row>
        <row r="49">
          <cell r="B49" t="str">
            <v>N086CS</v>
          </cell>
        </row>
        <row r="50">
          <cell r="B50" t="str">
            <v>2093CS</v>
          </cell>
        </row>
        <row r="51">
          <cell r="B51" t="str">
            <v>Z076CS</v>
          </cell>
        </row>
        <row r="52">
          <cell r="B52" t="str">
            <v>Z072CS</v>
          </cell>
        </row>
        <row r="53">
          <cell r="B53" t="str">
            <v>Z174CS</v>
          </cell>
        </row>
        <row r="54">
          <cell r="B54" t="str">
            <v>509ACS</v>
          </cell>
        </row>
        <row r="55">
          <cell r="B55" t="str">
            <v>Z183CS</v>
          </cell>
        </row>
        <row r="56">
          <cell r="B56" t="str">
            <v>1335CS</v>
          </cell>
        </row>
        <row r="57">
          <cell r="B57" t="str">
            <v>Z111CS</v>
          </cell>
        </row>
        <row r="58">
          <cell r="B58" t="str">
            <v>Z147CS</v>
          </cell>
        </row>
        <row r="59">
          <cell r="B59" t="str">
            <v>568BCS</v>
          </cell>
        </row>
        <row r="60">
          <cell r="B60" t="str">
            <v>713ACS</v>
          </cell>
        </row>
        <row r="61">
          <cell r="B61" t="str">
            <v>167CCS</v>
          </cell>
        </row>
        <row r="62">
          <cell r="B62" t="str">
            <v>681CCS</v>
          </cell>
        </row>
        <row r="63">
          <cell r="B63" t="str">
            <v>682CCS</v>
          </cell>
        </row>
        <row r="64">
          <cell r="B64" t="str">
            <v>785ACS</v>
          </cell>
        </row>
        <row r="65">
          <cell r="B65" t="str">
            <v>Z053CS</v>
          </cell>
        </row>
        <row r="66">
          <cell r="B66" t="str">
            <v>Z054CS</v>
          </cell>
        </row>
        <row r="67">
          <cell r="B67" t="str">
            <v>669CCS</v>
          </cell>
        </row>
        <row r="68">
          <cell r="B68" t="str">
            <v>1345CS</v>
          </cell>
        </row>
        <row r="69">
          <cell r="B69" t="str">
            <v>1646CS</v>
          </cell>
        </row>
        <row r="70">
          <cell r="B70" t="str">
            <v>1318CS</v>
          </cell>
        </row>
        <row r="71">
          <cell r="B71" t="str">
            <v>Z175CS</v>
          </cell>
        </row>
        <row r="72">
          <cell r="B72" t="str">
            <v>1052CS</v>
          </cell>
        </row>
        <row r="73">
          <cell r="B73" t="str">
            <v>Z016CS</v>
          </cell>
        </row>
        <row r="74">
          <cell r="B74" t="str">
            <v>P1318CS</v>
          </cell>
        </row>
        <row r="75">
          <cell r="B75" t="str">
            <v>Z057CS</v>
          </cell>
        </row>
        <row r="76">
          <cell r="B76" t="str">
            <v>Z041CS</v>
          </cell>
        </row>
        <row r="77">
          <cell r="B77" t="str">
            <v>N023CS</v>
          </cell>
        </row>
        <row r="78">
          <cell r="B78" t="str">
            <v>680CCS</v>
          </cell>
        </row>
        <row r="79">
          <cell r="B79" t="str">
            <v>Z036CS</v>
          </cell>
        </row>
        <row r="80">
          <cell r="B80" t="str">
            <v>103ACS</v>
          </cell>
        </row>
        <row r="81">
          <cell r="B81" t="str">
            <v>104ACS</v>
          </cell>
        </row>
        <row r="82">
          <cell r="B82" t="str">
            <v>349BCS</v>
          </cell>
        </row>
        <row r="83">
          <cell r="B83" t="str">
            <v>1310CS</v>
          </cell>
        </row>
        <row r="84">
          <cell r="B84" t="str">
            <v>1145CS</v>
          </cell>
        </row>
        <row r="85">
          <cell r="B85" t="str">
            <v>599CCS</v>
          </cell>
        </row>
        <row r="86">
          <cell r="B86" t="str">
            <v>DPO001</v>
          </cell>
        </row>
        <row r="87">
          <cell r="B87" t="str">
            <v>1536CS</v>
          </cell>
        </row>
        <row r="88">
          <cell r="B88" t="str">
            <v>655ACS</v>
          </cell>
        </row>
        <row r="89">
          <cell r="B89" t="str">
            <v>041BCS</v>
          </cell>
        </row>
        <row r="90">
          <cell r="B90" t="str">
            <v>Z003CS</v>
          </cell>
        </row>
        <row r="91">
          <cell r="B91" t="str">
            <v>N073CS</v>
          </cell>
        </row>
        <row r="92">
          <cell r="B92" t="str">
            <v>Z396CS</v>
          </cell>
        </row>
        <row r="93">
          <cell r="B93" t="str">
            <v>Z237CS</v>
          </cell>
        </row>
        <row r="94">
          <cell r="B94" t="str">
            <v>N094CS</v>
          </cell>
        </row>
        <row r="95">
          <cell r="B95" t="str">
            <v>553CCS</v>
          </cell>
        </row>
        <row r="96">
          <cell r="B96" t="str">
            <v>1255CS</v>
          </cell>
        </row>
        <row r="97">
          <cell r="B97" t="str">
            <v>1185CS</v>
          </cell>
        </row>
        <row r="98">
          <cell r="B98" t="str">
            <v>Z269CS</v>
          </cell>
        </row>
        <row r="99">
          <cell r="B99" t="str">
            <v>244CCS</v>
          </cell>
        </row>
        <row r="100">
          <cell r="B100" t="str">
            <v>Z019CS</v>
          </cell>
        </row>
        <row r="101">
          <cell r="B101" t="str">
            <v>Z059CS</v>
          </cell>
        </row>
        <row r="102">
          <cell r="B102" t="str">
            <v>Z219CS</v>
          </cell>
        </row>
        <row r="103">
          <cell r="B103" t="str">
            <v>N072CS</v>
          </cell>
        </row>
        <row r="104">
          <cell r="B104" t="str">
            <v>1180CS</v>
          </cell>
        </row>
        <row r="105">
          <cell r="B105" t="str">
            <v>N008CS</v>
          </cell>
        </row>
        <row r="106">
          <cell r="B106" t="str">
            <v>Z297CS</v>
          </cell>
        </row>
        <row r="107">
          <cell r="B107" t="str">
            <v>N054CS</v>
          </cell>
        </row>
        <row r="108">
          <cell r="B108" t="str">
            <v>303CCS</v>
          </cell>
        </row>
        <row r="109">
          <cell r="B109" t="str">
            <v>765ACS</v>
          </cell>
        </row>
        <row r="110">
          <cell r="B110" t="str">
            <v>1480CS</v>
          </cell>
        </row>
        <row r="111">
          <cell r="B111" t="str">
            <v>Z063CS</v>
          </cell>
        </row>
        <row r="112">
          <cell r="B112" t="str">
            <v>Z289CS</v>
          </cell>
        </row>
        <row r="113">
          <cell r="B113" t="str">
            <v>1174CS</v>
          </cell>
        </row>
        <row r="114">
          <cell r="B114" t="str">
            <v>Z112CS</v>
          </cell>
        </row>
        <row r="115">
          <cell r="B115" t="str">
            <v>N100CS</v>
          </cell>
        </row>
        <row r="116">
          <cell r="B116" t="str">
            <v>Z390CS</v>
          </cell>
        </row>
        <row r="117">
          <cell r="B117" t="str">
            <v>Z116CS</v>
          </cell>
        </row>
        <row r="118">
          <cell r="B118" t="str">
            <v>Z007CS</v>
          </cell>
        </row>
        <row r="119">
          <cell r="B119" t="str">
            <v>Z327CS</v>
          </cell>
        </row>
        <row r="120">
          <cell r="B120" t="str">
            <v>Z217CS</v>
          </cell>
        </row>
        <row r="121">
          <cell r="B121" t="str">
            <v>Z021CS</v>
          </cell>
        </row>
        <row r="122">
          <cell r="B122" t="str">
            <v>N092CS</v>
          </cell>
        </row>
        <row r="123">
          <cell r="B123" t="str">
            <v>DC0133</v>
          </cell>
        </row>
        <row r="124">
          <cell r="B124" t="str">
            <v>1369CS</v>
          </cell>
        </row>
        <row r="125">
          <cell r="B125" t="str">
            <v>Z426CS</v>
          </cell>
        </row>
        <row r="126">
          <cell r="B126" t="str">
            <v>1303CS</v>
          </cell>
        </row>
        <row r="127">
          <cell r="B127" t="str">
            <v>Z233CS</v>
          </cell>
        </row>
        <row r="128">
          <cell r="B128" t="str">
            <v>Z150CS</v>
          </cell>
        </row>
        <row r="129">
          <cell r="B129" t="str">
            <v>Z009CS</v>
          </cell>
        </row>
        <row r="130">
          <cell r="B130" t="str">
            <v>1117CS</v>
          </cell>
        </row>
        <row r="131">
          <cell r="B131" t="str">
            <v>Z142CS</v>
          </cell>
        </row>
        <row r="132">
          <cell r="B132" t="str">
            <v>Z239CS</v>
          </cell>
        </row>
        <row r="133">
          <cell r="B133" t="str">
            <v>1173CS</v>
          </cell>
        </row>
        <row r="134">
          <cell r="B134" t="str">
            <v>1254CS</v>
          </cell>
        </row>
        <row r="135">
          <cell r="B135" t="str">
            <v>Z051CS</v>
          </cell>
        </row>
        <row r="136">
          <cell r="B136" t="str">
            <v>N095CS</v>
          </cell>
        </row>
        <row r="137">
          <cell r="B137" t="str">
            <v>Z144CS</v>
          </cell>
        </row>
        <row r="138">
          <cell r="B138" t="str">
            <v>Z251CS</v>
          </cell>
        </row>
        <row r="139">
          <cell r="B139" t="str">
            <v>Z128CS</v>
          </cell>
        </row>
        <row r="140">
          <cell r="B140" t="str">
            <v>Z253CS</v>
          </cell>
        </row>
        <row r="141">
          <cell r="B141" t="str">
            <v>Z340CS</v>
          </cell>
        </row>
        <row r="142">
          <cell r="B142" t="str">
            <v>Z073CS</v>
          </cell>
        </row>
        <row r="143">
          <cell r="B143" t="str">
            <v>Z166CS</v>
          </cell>
        </row>
        <row r="144">
          <cell r="B144" t="str">
            <v>055BCS</v>
          </cell>
        </row>
        <row r="145">
          <cell r="B145" t="str">
            <v>1334CS</v>
          </cell>
        </row>
        <row r="146">
          <cell r="B146" t="str">
            <v>N078CS</v>
          </cell>
        </row>
        <row r="147">
          <cell r="B147" t="str">
            <v>Z215CS</v>
          </cell>
        </row>
        <row r="148">
          <cell r="B148" t="str">
            <v>N077CS</v>
          </cell>
        </row>
        <row r="149">
          <cell r="B149" t="str">
            <v>N081CS</v>
          </cell>
        </row>
        <row r="150">
          <cell r="B150" t="str">
            <v>Z203CS</v>
          </cell>
        </row>
        <row r="151">
          <cell r="B151" t="str">
            <v>Z023CS</v>
          </cell>
        </row>
        <row r="152">
          <cell r="B152" t="str">
            <v>1193CS</v>
          </cell>
        </row>
        <row r="153">
          <cell r="B153" t="str">
            <v>449CCS</v>
          </cell>
        </row>
        <row r="154">
          <cell r="B154" t="str">
            <v>Z209CS</v>
          </cell>
        </row>
        <row r="155">
          <cell r="B155" t="str">
            <v>Z094CS</v>
          </cell>
        </row>
        <row r="156">
          <cell r="B156" t="str">
            <v>Z168CS</v>
          </cell>
        </row>
        <row r="157">
          <cell r="B157" t="str">
            <v>Z184CS</v>
          </cell>
        </row>
        <row r="158">
          <cell r="B158" t="str">
            <v>N099CS</v>
          </cell>
        </row>
        <row r="159">
          <cell r="B159" t="str">
            <v>Z220CS</v>
          </cell>
        </row>
        <row r="160">
          <cell r="B160" t="str">
            <v>Z360CS</v>
          </cell>
        </row>
        <row r="161">
          <cell r="B161" t="str">
            <v>1477CS</v>
          </cell>
        </row>
        <row r="162">
          <cell r="B162" t="str">
            <v>N070CS</v>
          </cell>
        </row>
        <row r="163">
          <cell r="B163" t="str">
            <v>Z114CS</v>
          </cell>
        </row>
        <row r="164">
          <cell r="B164" t="str">
            <v>Z117CS</v>
          </cell>
        </row>
        <row r="165">
          <cell r="B165" t="str">
            <v>Z176CS</v>
          </cell>
        </row>
        <row r="166">
          <cell r="B166" t="str">
            <v>243CCS</v>
          </cell>
        </row>
        <row r="167">
          <cell r="B167" t="str">
            <v>Z305CS</v>
          </cell>
        </row>
        <row r="168">
          <cell r="B168" t="str">
            <v>Z180CS</v>
          </cell>
        </row>
        <row r="169">
          <cell r="B169" t="str">
            <v>Z065CS</v>
          </cell>
        </row>
        <row r="170">
          <cell r="B170" t="str">
            <v>Z245CS</v>
          </cell>
        </row>
        <row r="171">
          <cell r="B171" t="str">
            <v>N079CS</v>
          </cell>
        </row>
        <row r="172">
          <cell r="B172" t="str">
            <v>1475CS</v>
          </cell>
        </row>
        <row r="173">
          <cell r="B173" t="str">
            <v>Z290CS</v>
          </cell>
        </row>
        <row r="174">
          <cell r="B174" t="str">
            <v>1101CS</v>
          </cell>
        </row>
        <row r="175">
          <cell r="B175" t="str">
            <v>1179CS</v>
          </cell>
        </row>
        <row r="176">
          <cell r="B176" t="str">
            <v>Z129CS</v>
          </cell>
        </row>
        <row r="177">
          <cell r="B177" t="str">
            <v>Z103CS</v>
          </cell>
        </row>
        <row r="178">
          <cell r="B178" t="str">
            <v>Z039CS</v>
          </cell>
        </row>
        <row r="179">
          <cell r="B179" t="str">
            <v>Z247CS</v>
          </cell>
        </row>
        <row r="180">
          <cell r="B180" t="str">
            <v>Z298CS</v>
          </cell>
        </row>
        <row r="181">
          <cell r="B181" t="str">
            <v>Z159CS</v>
          </cell>
        </row>
        <row r="182">
          <cell r="B182" t="str">
            <v>Z151CS</v>
          </cell>
        </row>
        <row r="183">
          <cell r="B183" t="str">
            <v>Z425CS</v>
          </cell>
        </row>
        <row r="184">
          <cell r="B184" t="str">
            <v>Z143CS</v>
          </cell>
        </row>
        <row r="185">
          <cell r="B185" t="str">
            <v>Z196CS</v>
          </cell>
        </row>
        <row r="186">
          <cell r="B186" t="str">
            <v>Z045CS</v>
          </cell>
        </row>
        <row r="187">
          <cell r="B187" t="str">
            <v>Z347CS</v>
          </cell>
        </row>
        <row r="188">
          <cell r="B188" t="str">
            <v>Z145CS</v>
          </cell>
        </row>
        <row r="189">
          <cell r="B189" t="str">
            <v>Z225CS</v>
          </cell>
        </row>
        <row r="190">
          <cell r="B190" t="str">
            <v>Z100CS</v>
          </cell>
        </row>
        <row r="191">
          <cell r="B191" t="str">
            <v>Z025CS</v>
          </cell>
        </row>
        <row r="192">
          <cell r="B192" t="str">
            <v>N087CS</v>
          </cell>
        </row>
        <row r="193">
          <cell r="B193" t="str">
            <v>1256CS</v>
          </cell>
        </row>
        <row r="194">
          <cell r="B194" t="str">
            <v>Z238CS</v>
          </cell>
        </row>
        <row r="195">
          <cell r="B195" t="str">
            <v>Z330CS</v>
          </cell>
        </row>
        <row r="196">
          <cell r="B196" t="str">
            <v>Z167CS</v>
          </cell>
        </row>
        <row r="197">
          <cell r="B197" t="str">
            <v>Z131CS</v>
          </cell>
        </row>
        <row r="198">
          <cell r="B198" t="str">
            <v>1081CS</v>
          </cell>
        </row>
        <row r="199">
          <cell r="B199" t="str">
            <v>1298CS</v>
          </cell>
        </row>
        <row r="200">
          <cell r="B200" t="str">
            <v>054BCS</v>
          </cell>
        </row>
        <row r="201">
          <cell r="B201" t="str">
            <v>Z346CS</v>
          </cell>
        </row>
        <row r="202">
          <cell r="B202" t="str">
            <v>Z372CS</v>
          </cell>
        </row>
        <row r="203">
          <cell r="B203" t="str">
            <v>N084CS</v>
          </cell>
        </row>
        <row r="204">
          <cell r="B204" t="str">
            <v>Z113CS</v>
          </cell>
        </row>
        <row r="205">
          <cell r="B205" t="str">
            <v>N083CS</v>
          </cell>
        </row>
        <row r="206">
          <cell r="B206" t="str">
            <v>Z115CS</v>
          </cell>
        </row>
        <row r="207">
          <cell r="B207" t="str">
            <v>Z391CS</v>
          </cell>
        </row>
        <row r="208">
          <cell r="B208" t="str">
            <v>Z204CS</v>
          </cell>
        </row>
        <row r="209">
          <cell r="B209" t="str">
            <v>Z118CS</v>
          </cell>
        </row>
        <row r="210">
          <cell r="B210" t="str">
            <v>Z158CS</v>
          </cell>
        </row>
        <row r="211">
          <cell r="B211" t="str">
            <v>Z061CS</v>
          </cell>
        </row>
        <row r="212">
          <cell r="B212" t="str">
            <v>Z368CS</v>
          </cell>
        </row>
        <row r="213">
          <cell r="B213" t="str">
            <v>Z226CS</v>
          </cell>
        </row>
        <row r="214">
          <cell r="B214" t="str">
            <v>Z248CS</v>
          </cell>
        </row>
        <row r="215">
          <cell r="B215" t="str">
            <v>Z052CS</v>
          </cell>
        </row>
        <row r="216">
          <cell r="B216" t="str">
            <v>Z169CS</v>
          </cell>
        </row>
        <row r="217">
          <cell r="B217" t="str">
            <v>Z088CS</v>
          </cell>
        </row>
        <row r="218">
          <cell r="B218" t="str">
            <v>165CCS</v>
          </cell>
        </row>
        <row r="219">
          <cell r="B219" t="str">
            <v>Z200CS</v>
          </cell>
        </row>
        <row r="220">
          <cell r="B220" t="str">
            <v>N088CS</v>
          </cell>
        </row>
        <row r="221">
          <cell r="B221" t="str">
            <v>Z223CS</v>
          </cell>
        </row>
        <row r="222">
          <cell r="B222" t="str">
            <v>Z060CS</v>
          </cell>
        </row>
        <row r="223">
          <cell r="B223" t="str">
            <v>Z074CS</v>
          </cell>
        </row>
        <row r="224">
          <cell r="B224" t="str">
            <v>Z101CS</v>
          </cell>
        </row>
        <row r="225">
          <cell r="B225" t="str">
            <v>Z341CS</v>
          </cell>
        </row>
        <row r="226">
          <cell r="B226" t="str">
            <v>Z216CS</v>
          </cell>
        </row>
        <row r="227">
          <cell r="B227" t="str">
            <v>Z095CS</v>
          </cell>
        </row>
        <row r="228">
          <cell r="B228" t="str">
            <v>Z124CS</v>
          </cell>
        </row>
        <row r="229">
          <cell r="B229" t="str">
            <v>Z122CS</v>
          </cell>
        </row>
        <row r="230">
          <cell r="B230" t="str">
            <v>Z197CS</v>
          </cell>
        </row>
        <row r="231">
          <cell r="B231" t="str">
            <v>Z240CS</v>
          </cell>
        </row>
        <row r="232">
          <cell r="B232" t="str">
            <v>Z064CS</v>
          </cell>
        </row>
        <row r="233">
          <cell r="B233" t="str">
            <v>Z123CS</v>
          </cell>
        </row>
        <row r="234">
          <cell r="B234" t="str">
            <v>567BCS</v>
          </cell>
        </row>
        <row r="235">
          <cell r="B235" t="str">
            <v>Z134CS</v>
          </cell>
        </row>
        <row r="236">
          <cell r="B236" t="str">
            <v>N089CS</v>
          </cell>
        </row>
        <row r="237">
          <cell r="B237" t="str">
            <v>1107CS</v>
          </cell>
        </row>
        <row r="238">
          <cell r="B238" t="str">
            <v>Z369CS</v>
          </cell>
        </row>
        <row r="239">
          <cell r="B239" t="str">
            <v>Z014CS</v>
          </cell>
        </row>
        <row r="240">
          <cell r="B240" t="str">
            <v>1152CS</v>
          </cell>
        </row>
        <row r="241">
          <cell r="B241" t="str">
            <v>Z260CS</v>
          </cell>
        </row>
        <row r="242">
          <cell r="B242" t="str">
            <v>Z177CS</v>
          </cell>
        </row>
        <row r="243">
          <cell r="B243" t="str">
            <v>Z254CS</v>
          </cell>
        </row>
        <row r="244">
          <cell r="B244" t="str">
            <v>Z328CS</v>
          </cell>
        </row>
        <row r="245">
          <cell r="B245" t="str">
            <v>Z160CS</v>
          </cell>
        </row>
        <row r="246">
          <cell r="B246" t="str">
            <v>Z161CS</v>
          </cell>
        </row>
        <row r="247">
          <cell r="B247" t="str">
            <v>Z066CS</v>
          </cell>
        </row>
        <row r="248">
          <cell r="B248" t="str">
            <v>Z089CS</v>
          </cell>
        </row>
        <row r="249">
          <cell r="B249" t="str">
            <v>Z130CS</v>
          </cell>
        </row>
        <row r="250">
          <cell r="B250" t="str">
            <v>715ACS</v>
          </cell>
        </row>
        <row r="251">
          <cell r="B251" t="str">
            <v>Z440CS</v>
          </cell>
        </row>
        <row r="252">
          <cell r="B252" t="str">
            <v>670CCS</v>
          </cell>
        </row>
        <row r="253">
          <cell r="B253" t="str">
            <v>Z062CS</v>
          </cell>
        </row>
        <row r="254">
          <cell r="B254" t="str">
            <v>673CCS</v>
          </cell>
        </row>
        <row r="255">
          <cell r="B255" t="str">
            <v>Z234CS</v>
          </cell>
        </row>
        <row r="256">
          <cell r="B256" t="str">
            <v>Z210CS</v>
          </cell>
        </row>
        <row r="257">
          <cell r="B257" t="str">
            <v>Z189CS</v>
          </cell>
        </row>
        <row r="258">
          <cell r="B258" t="str">
            <v>1282CS</v>
          </cell>
        </row>
        <row r="259">
          <cell r="B259" t="str">
            <v>1307CS</v>
          </cell>
        </row>
        <row r="260">
          <cell r="B260" t="str">
            <v>1051CS</v>
          </cell>
        </row>
        <row r="261">
          <cell r="B261" t="str">
            <v>Z024CS</v>
          </cell>
        </row>
        <row r="262">
          <cell r="B262" t="str">
            <v>Z208CS</v>
          </cell>
        </row>
        <row r="263">
          <cell r="B263" t="str">
            <v>Z224CS</v>
          </cell>
        </row>
        <row r="264">
          <cell r="B264" t="str">
            <v>N034CS</v>
          </cell>
        </row>
        <row r="265">
          <cell r="B265" t="str">
            <v>Z270CS</v>
          </cell>
        </row>
        <row r="266">
          <cell r="B266" t="str">
            <v>Z252CS</v>
          </cell>
        </row>
        <row r="267">
          <cell r="B267" t="str">
            <v>Z010CS</v>
          </cell>
        </row>
        <row r="268">
          <cell r="B268" t="str">
            <v>Z397CS</v>
          </cell>
        </row>
        <row r="269">
          <cell r="B269" t="str">
            <v>N056CS</v>
          </cell>
        </row>
        <row r="270">
          <cell r="B270" t="str">
            <v>Z022CS</v>
          </cell>
        </row>
        <row r="271">
          <cell r="B271" t="str">
            <v>Z104CS</v>
          </cell>
        </row>
        <row r="272">
          <cell r="B272" t="str">
            <v>Z185CS</v>
          </cell>
        </row>
        <row r="273">
          <cell r="B273" t="str">
            <v>Z191CS</v>
          </cell>
        </row>
        <row r="274">
          <cell r="B274" t="str">
            <v>Z356CS</v>
          </cell>
        </row>
        <row r="275">
          <cell r="B275" t="str">
            <v>Z119CS</v>
          </cell>
        </row>
        <row r="276">
          <cell r="B276" t="str">
            <v>Z181CS</v>
          </cell>
        </row>
        <row r="277">
          <cell r="B277" t="str">
            <v>N109CS</v>
          </cell>
        </row>
        <row r="278">
          <cell r="B278" t="str">
            <v>Z092CS</v>
          </cell>
        </row>
        <row r="279">
          <cell r="B279" t="str">
            <v>Z357CS</v>
          </cell>
        </row>
        <row r="280">
          <cell r="B280" t="str">
            <v>Z040CS</v>
          </cell>
        </row>
        <row r="281">
          <cell r="B281" t="str">
            <v>Z259CS</v>
          </cell>
        </row>
        <row r="282">
          <cell r="B282" t="str">
            <v>Z093CS</v>
          </cell>
        </row>
        <row r="283">
          <cell r="B283" t="str">
            <v>N011CS</v>
          </cell>
        </row>
        <row r="284">
          <cell r="B284" t="str">
            <v>Z157CS</v>
          </cell>
        </row>
        <row r="285">
          <cell r="B285" t="str">
            <v>N032CS</v>
          </cell>
        </row>
        <row r="286">
          <cell r="B286" t="str">
            <v>Z256CS</v>
          </cell>
        </row>
        <row r="287">
          <cell r="B287" t="str">
            <v>N091CS</v>
          </cell>
        </row>
        <row r="288">
          <cell r="B288" t="str">
            <v>672CCS</v>
          </cell>
        </row>
        <row r="289">
          <cell r="B289" t="str">
            <v>N057CS</v>
          </cell>
        </row>
        <row r="290">
          <cell r="B290" t="str">
            <v>Z373CS</v>
          </cell>
        </row>
        <row r="291">
          <cell r="B291" t="str">
            <v>676CCS</v>
          </cell>
        </row>
        <row r="292">
          <cell r="B292" t="str">
            <v>Z046CS</v>
          </cell>
        </row>
        <row r="293">
          <cell r="B293" t="str">
            <v>N018CS</v>
          </cell>
        </row>
        <row r="294">
          <cell r="B294" t="str">
            <v>675CCS</v>
          </cell>
        </row>
        <row r="295">
          <cell r="B295" t="str">
            <v>674CCS</v>
          </cell>
        </row>
        <row r="296">
          <cell r="B296" t="str">
            <v>1311CS</v>
          </cell>
        </row>
        <row r="297">
          <cell r="B297" t="str">
            <v>166CCS</v>
          </cell>
        </row>
        <row r="298">
          <cell r="B298" t="str">
            <v>671CCS</v>
          </cell>
        </row>
        <row r="299">
          <cell r="B299" t="str">
            <v>1157CS</v>
          </cell>
        </row>
        <row r="300">
          <cell r="B300" t="str">
            <v>Z202CS</v>
          </cell>
        </row>
        <row r="301">
          <cell r="B301" t="str">
            <v>N029CS</v>
          </cell>
        </row>
        <row r="302">
          <cell r="B302" t="str">
            <v>Z008CS</v>
          </cell>
        </row>
        <row r="303">
          <cell r="B303" t="str">
            <v>2364CS</v>
          </cell>
        </row>
        <row r="304">
          <cell r="B304" t="str">
            <v>Z199CS</v>
          </cell>
        </row>
        <row r="305">
          <cell r="B305" t="str">
            <v>Z067CS</v>
          </cell>
        </row>
        <row r="306">
          <cell r="B306" t="str">
            <v>Z218CS</v>
          </cell>
        </row>
        <row r="307">
          <cell r="B307" t="str">
            <v>300CCS</v>
          </cell>
        </row>
        <row r="308">
          <cell r="B308" t="str">
            <v>677CCS</v>
          </cell>
        </row>
        <row r="309">
          <cell r="B309" t="str">
            <v>1400CS</v>
          </cell>
        </row>
        <row r="310">
          <cell r="B310" t="str">
            <v>Z329CS</v>
          </cell>
        </row>
        <row r="311">
          <cell r="B311" t="str">
            <v>Z133CS</v>
          </cell>
        </row>
        <row r="312">
          <cell r="B312" t="str">
            <v>Z408CS</v>
          </cell>
        </row>
        <row r="313">
          <cell r="B313" t="str">
            <v>Z371CS</v>
          </cell>
        </row>
        <row r="314">
          <cell r="B314" t="str">
            <v>Z514CS</v>
          </cell>
        </row>
        <row r="315">
          <cell r="B315" t="str">
            <v>094BCS</v>
          </cell>
        </row>
        <row r="316">
          <cell r="B316" t="str">
            <v>Z020CS</v>
          </cell>
        </row>
        <row r="317">
          <cell r="B317" t="str">
            <v>P1145CS</v>
          </cell>
        </row>
        <row r="318">
          <cell r="B318" t="str">
            <v>P1256CS</v>
          </cell>
        </row>
        <row r="319">
          <cell r="B319" t="str">
            <v>679CCS</v>
          </cell>
        </row>
        <row r="320">
          <cell r="B320" t="str">
            <v>N090CS</v>
          </cell>
        </row>
        <row r="321">
          <cell r="B321" t="str">
            <v>Z207CS</v>
          </cell>
        </row>
        <row r="322">
          <cell r="B322" t="str">
            <v>1033CS</v>
          </cell>
        </row>
        <row r="323">
          <cell r="B323" t="str">
            <v>Z078CS</v>
          </cell>
        </row>
        <row r="324">
          <cell r="B324" t="str">
            <v>Z125CS</v>
          </cell>
        </row>
        <row r="325">
          <cell r="B325" t="str">
            <v>N033CS</v>
          </cell>
        </row>
        <row r="326">
          <cell r="B326" t="str">
            <v>Z068CS</v>
          </cell>
        </row>
        <row r="327">
          <cell r="B327" t="str">
            <v>N030CS</v>
          </cell>
        </row>
        <row r="328">
          <cell r="B328" t="str">
            <v>N114CS</v>
          </cell>
        </row>
        <row r="329">
          <cell r="B329" t="str">
            <v>678CCS</v>
          </cell>
        </row>
        <row r="330">
          <cell r="B330" t="str">
            <v>Z135CS</v>
          </cell>
        </row>
        <row r="331">
          <cell r="B331" t="str">
            <v>Z299CS</v>
          </cell>
        </row>
        <row r="332">
          <cell r="B332" t="str">
            <v>P1536CS</v>
          </cell>
        </row>
        <row r="333">
          <cell r="B333" t="str">
            <v>1005CS</v>
          </cell>
        </row>
        <row r="334">
          <cell r="B334" t="str">
            <v>553CEA</v>
          </cell>
        </row>
        <row r="335">
          <cell r="B335" t="str">
            <v>1118CS</v>
          </cell>
        </row>
        <row r="336">
          <cell r="B336" t="str">
            <v>Z004CS</v>
          </cell>
        </row>
        <row r="337">
          <cell r="B337" t="str">
            <v>Z056CS</v>
          </cell>
        </row>
        <row r="338">
          <cell r="B338" t="str">
            <v>N050CS</v>
          </cell>
        </row>
        <row r="339">
          <cell r="B339" t="str">
            <v>Z132CS</v>
          </cell>
        </row>
        <row r="340">
          <cell r="B340" t="str">
            <v>2365CS</v>
          </cell>
        </row>
        <row r="341">
          <cell r="B341" t="str">
            <v>2010CS</v>
          </cell>
        </row>
        <row r="342">
          <cell r="B342" t="str">
            <v>Z152CS</v>
          </cell>
        </row>
        <row r="343">
          <cell r="B343" t="str">
            <v>Z127CS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FD4E-4E0E-44D6-B0F6-48D2B5CCDA54}">
  <sheetPr codeName="Sheet1">
    <tabColor rgb="FF92D050"/>
  </sheetPr>
  <dimension ref="A1:AF784"/>
  <sheetViews>
    <sheetView topLeftCell="A757" zoomScale="90" zoomScaleNormal="90" workbookViewId="0">
      <selection activeCell="C772" sqref="C772"/>
    </sheetView>
  </sheetViews>
  <sheetFormatPr defaultRowHeight="15" x14ac:dyDescent="0.25"/>
  <cols>
    <col min="1" max="1" width="11.140625" bestFit="1" customWidth="1"/>
    <col min="2" max="2" width="11.7109375" customWidth="1"/>
    <col min="3" max="3" width="34.85546875" customWidth="1"/>
    <col min="4" max="4" width="5.42578125" customWidth="1"/>
    <col min="5" max="5" width="13.5703125" customWidth="1"/>
    <col min="6" max="6" width="14" hidden="1" customWidth="1"/>
    <col min="7" max="7" width="13.7109375" customWidth="1"/>
    <col min="8" max="8" width="11.140625" bestFit="1" customWidth="1"/>
    <col min="9" max="9" width="10.5703125" customWidth="1"/>
    <col min="10" max="10" width="12.85546875" customWidth="1"/>
    <col min="11" max="11" width="8.140625" customWidth="1"/>
    <col min="12" max="12" width="15.140625" customWidth="1"/>
    <col min="13" max="13" width="13.28515625" customWidth="1"/>
    <col min="14" max="14" width="8.140625" customWidth="1"/>
    <col min="15" max="15" width="11.5703125" customWidth="1"/>
    <col min="16" max="16" width="11" customWidth="1"/>
    <col min="17" max="17" width="15.7109375" customWidth="1"/>
    <col min="18" max="18" width="8.7109375" customWidth="1"/>
    <col min="19" max="19" width="8.7109375" hidden="1" customWidth="1"/>
    <col min="20" max="20" width="10.140625" hidden="1" customWidth="1"/>
    <col min="21" max="23" width="8.7109375" hidden="1" customWidth="1"/>
    <col min="24" max="24" width="67.85546875" hidden="1" customWidth="1"/>
    <col min="25" max="25" width="10.28515625" hidden="1" customWidth="1"/>
    <col min="26" max="26" width="10.28515625" customWidth="1"/>
    <col min="27" max="28" width="8.7109375" customWidth="1"/>
    <col min="29" max="29" width="19.140625" bestFit="1" customWidth="1"/>
  </cols>
  <sheetData>
    <row r="1" spans="1:32" x14ac:dyDescent="0.25">
      <c r="I1" s="156" t="s">
        <v>1720</v>
      </c>
      <c r="J1" s="156"/>
      <c r="K1" s="51"/>
      <c r="L1" t="s">
        <v>1877</v>
      </c>
      <c r="N1" s="51"/>
      <c r="O1" t="s">
        <v>1878</v>
      </c>
    </row>
    <row r="2" spans="1:32" x14ac:dyDescent="0.25">
      <c r="I2" s="157"/>
      <c r="J2" s="157"/>
      <c r="K2" s="52"/>
      <c r="L2" t="s">
        <v>1896</v>
      </c>
      <c r="N2" s="52"/>
      <c r="O2" t="s">
        <v>1897</v>
      </c>
    </row>
    <row r="3" spans="1:32" ht="75" x14ac:dyDescent="0.25">
      <c r="A3" s="71" t="s">
        <v>548</v>
      </c>
      <c r="B3" s="71" t="s">
        <v>547</v>
      </c>
      <c r="C3" s="72" t="s">
        <v>549</v>
      </c>
      <c r="D3" s="45" t="s">
        <v>550</v>
      </c>
      <c r="E3" s="45" t="s">
        <v>551</v>
      </c>
      <c r="F3" s="45" t="s">
        <v>4690</v>
      </c>
      <c r="G3" s="45" t="s">
        <v>4881</v>
      </c>
      <c r="H3" s="45" t="s">
        <v>1683</v>
      </c>
      <c r="I3" s="45" t="s">
        <v>1343</v>
      </c>
      <c r="J3" s="45" t="s">
        <v>1658</v>
      </c>
      <c r="K3" s="45" t="s">
        <v>1744</v>
      </c>
      <c r="L3" s="45" t="s">
        <v>1871</v>
      </c>
      <c r="M3" s="45" t="s">
        <v>1872</v>
      </c>
      <c r="N3" s="45" t="s">
        <v>1744</v>
      </c>
      <c r="O3" s="45" t="s">
        <v>1880</v>
      </c>
      <c r="P3" s="45" t="s">
        <v>1681</v>
      </c>
      <c r="Q3" s="45" t="s">
        <v>4781</v>
      </c>
      <c r="R3" s="45" t="s">
        <v>1745</v>
      </c>
      <c r="S3" s="45" t="s">
        <v>4337</v>
      </c>
      <c r="T3" s="92" t="s">
        <v>4340</v>
      </c>
      <c r="U3" s="45" t="s">
        <v>4338</v>
      </c>
      <c r="V3" s="45" t="s">
        <v>4339</v>
      </c>
      <c r="W3" s="86" t="s">
        <v>4341</v>
      </c>
      <c r="X3" s="86" t="s">
        <v>4331</v>
      </c>
      <c r="Y3" s="95"/>
      <c r="Z3" s="95"/>
    </row>
    <row r="4" spans="1:32" x14ac:dyDescent="0.25">
      <c r="A4" s="1" t="s">
        <v>122</v>
      </c>
      <c r="B4" s="1" t="s">
        <v>552</v>
      </c>
      <c r="C4" s="1" t="s">
        <v>553</v>
      </c>
      <c r="D4" s="1" t="s">
        <v>554</v>
      </c>
      <c r="E4" s="1">
        <f>VLOOKUP(A4,BOM!A:E,5,0)</f>
        <v>1</v>
      </c>
      <c r="F4" s="122">
        <v>1.67</v>
      </c>
      <c r="G4" s="10">
        <v>1.72</v>
      </c>
      <c r="H4" s="11" t="s">
        <v>1874</v>
      </c>
      <c r="I4" s="49">
        <f>SUMIFS(BOM!Q:Q,BOM!A:A,'All Products'!A4,BOM!I:I,'All Products'!I$3)</f>
        <v>0.5044470994291782</v>
      </c>
      <c r="J4" s="49">
        <f>SUMIFS(BOM!Q:Q,BOM!A:A,'All Products'!A4,BOM!I:I,'All Products'!J$3)+0.03</f>
        <v>0.39</v>
      </c>
      <c r="K4" s="29">
        <f t="shared" ref="K4:K67" si="0">(I4+J4)/G4</f>
        <v>0.52002738338905707</v>
      </c>
      <c r="L4" s="49">
        <f>SUMIF(BOM!A:A,'All Products'!A4,BOM!S:S)</f>
        <v>0.30645053191489363</v>
      </c>
      <c r="M4" s="49">
        <f>SUMIF(BOM!A:A,'All Products'!A4,BOM!V:V)</f>
        <v>0.18617500000000001</v>
      </c>
      <c r="N4" s="29">
        <f t="shared" ref="N4:N67" si="1">(L4+M4)/G4</f>
        <v>0.2864101929737754</v>
      </c>
      <c r="O4" s="55">
        <v>0</v>
      </c>
      <c r="P4" s="49">
        <f t="shared" ref="P4:P67" si="2">I4+J4+M4+L4+O4</f>
        <v>1.3870726313440718</v>
      </c>
      <c r="Q4" s="11">
        <f t="shared" ref="Q4:Q67" si="3">G4-P4</f>
        <v>0.3329273686559282</v>
      </c>
      <c r="R4" s="29">
        <f t="shared" ref="R4:R67" si="4">IFERROR((G4-P4)/G4,0)</f>
        <v>0.19356242363716755</v>
      </c>
      <c r="S4" s="91">
        <v>5639.2</v>
      </c>
      <c r="T4" s="91">
        <f t="shared" ref="T4:T19" si="5">S4*F4</f>
        <v>9417.4639999999999</v>
      </c>
      <c r="U4" s="90">
        <f>IFERROR(S4*Q4,0)</f>
        <v>1877.4440173245102</v>
      </c>
      <c r="V4" s="90">
        <f t="shared" ref="V4:V19" si="6">(G4-P4)*S4</f>
        <v>1877.4440173245102</v>
      </c>
      <c r="W4" s="90">
        <f>V4-U4</f>
        <v>0</v>
      </c>
      <c r="X4" s="75"/>
      <c r="Y4" s="34">
        <f t="shared" ref="Y4:Y67" si="7">(G4-I4)/G4</f>
        <v>0.70671680265745451</v>
      </c>
      <c r="Z4" s="34"/>
      <c r="AA4" s="4"/>
      <c r="AB4" s="4"/>
      <c r="AE4" s="4"/>
      <c r="AF4" s="1" t="s">
        <v>119</v>
      </c>
    </row>
    <row r="5" spans="1:32" x14ac:dyDescent="0.25">
      <c r="A5" s="1" t="s">
        <v>555</v>
      </c>
      <c r="B5" s="1" t="s">
        <v>552</v>
      </c>
      <c r="C5" s="1" t="s">
        <v>556</v>
      </c>
      <c r="D5" s="1" t="s">
        <v>554</v>
      </c>
      <c r="E5" s="1">
        <f>VLOOKUP(A5,BOM!A:E,5,0)</f>
        <v>0.2</v>
      </c>
      <c r="F5" s="123">
        <v>1.37</v>
      </c>
      <c r="G5" s="10">
        <v>1.5</v>
      </c>
      <c r="H5" s="11" t="s">
        <v>1874</v>
      </c>
      <c r="I5" s="49">
        <f>SUMIFS(BOM!Q:Q,BOM!A:A,'All Products'!A5,BOM!I:I,'All Products'!I$3)</f>
        <v>0.47625961957310881</v>
      </c>
      <c r="J5" s="49">
        <f>SUMIFS(BOM!Q:Q,BOM!A:A,'All Products'!A5,BOM!I:I,'All Products'!J$3)+0.03</f>
        <v>0.14500000000000002</v>
      </c>
      <c r="K5" s="29">
        <f t="shared" si="0"/>
        <v>0.4141730797154059</v>
      </c>
      <c r="L5" s="49">
        <f>SUMIF(BOM!A:A,'All Products'!A5,BOM!S:S)</f>
        <v>5.0775000000000001E-2</v>
      </c>
      <c r="M5" s="49">
        <f>SUMIF(BOM!A:A,'All Products'!A5,BOM!V:V)</f>
        <v>0.23694999999999999</v>
      </c>
      <c r="N5" s="29">
        <f t="shared" si="1"/>
        <v>0.19181666666666666</v>
      </c>
      <c r="O5" s="55">
        <v>0</v>
      </c>
      <c r="P5" s="49">
        <f t="shared" si="2"/>
        <v>0.90898461957310883</v>
      </c>
      <c r="Q5" s="11">
        <f t="shared" si="3"/>
        <v>0.59101538042689117</v>
      </c>
      <c r="R5" s="29">
        <f t="shared" si="4"/>
        <v>0.39401025361792746</v>
      </c>
      <c r="S5" s="91">
        <v>0</v>
      </c>
      <c r="T5" s="91">
        <f t="shared" si="5"/>
        <v>0</v>
      </c>
      <c r="U5" s="90">
        <f t="shared" ref="U5:U68" si="8">IFERROR(S5*Q5,0)</f>
        <v>0</v>
      </c>
      <c r="V5" s="90">
        <f t="shared" si="6"/>
        <v>0</v>
      </c>
      <c r="W5" s="90">
        <f t="shared" ref="W5:W19" si="9">V5-U5</f>
        <v>0</v>
      </c>
      <c r="X5" s="75"/>
      <c r="Y5" s="34">
        <f t="shared" si="7"/>
        <v>0.68249358695126083</v>
      </c>
      <c r="Z5" s="34"/>
      <c r="AA5" s="50"/>
      <c r="AB5" s="50"/>
      <c r="AC5" t="s">
        <v>1875</v>
      </c>
      <c r="AE5" s="4"/>
      <c r="AF5" s="2" t="s">
        <v>487</v>
      </c>
    </row>
    <row r="6" spans="1:32" x14ac:dyDescent="0.25">
      <c r="A6" s="1" t="s">
        <v>116</v>
      </c>
      <c r="B6" s="1" t="s">
        <v>552</v>
      </c>
      <c r="C6" s="1" t="s">
        <v>117</v>
      </c>
      <c r="D6" s="1" t="s">
        <v>554</v>
      </c>
      <c r="E6" s="1">
        <f>VLOOKUP(A6,BOM!A:E,5,0)</f>
        <v>2.7</v>
      </c>
      <c r="F6" s="122">
        <v>9.58</v>
      </c>
      <c r="G6" s="10">
        <v>9.75</v>
      </c>
      <c r="H6" s="11" t="s">
        <v>1874</v>
      </c>
      <c r="I6" s="49">
        <f>SUMIFS(BOM!Q:Q,BOM!A:A,'All Products'!A6,BOM!I:I,'All Products'!I$3)</f>
        <v>3.8284912275654128</v>
      </c>
      <c r="J6" s="49">
        <f>SUMIFS(BOM!Q:Q,BOM!A:A,'All Products'!A6,BOM!I:I,'All Products'!J$3)+0.03</f>
        <v>0.75000000000000011</v>
      </c>
      <c r="K6" s="29">
        <f t="shared" si="0"/>
        <v>0.46958884385286292</v>
      </c>
      <c r="L6" s="49">
        <f>SUMIF(BOM!A:A,'All Products'!A6,BOM!S:S)</f>
        <v>2.5716748022517555</v>
      </c>
      <c r="M6" s="49">
        <f>SUMIF(BOM!A:A,'All Products'!A6,BOM!V:V)</f>
        <v>0.80393749999999997</v>
      </c>
      <c r="N6" s="29">
        <f t="shared" si="1"/>
        <v>0.34621664638479543</v>
      </c>
      <c r="O6" s="55">
        <v>0</v>
      </c>
      <c r="P6" s="49">
        <f t="shared" si="2"/>
        <v>7.9541035298171687</v>
      </c>
      <c r="Q6" s="11">
        <f t="shared" si="3"/>
        <v>1.7958964701828313</v>
      </c>
      <c r="R6" s="29">
        <f t="shared" si="4"/>
        <v>0.18419450976234167</v>
      </c>
      <c r="S6" s="91">
        <v>2114.8000000000002</v>
      </c>
      <c r="T6" s="91">
        <f t="shared" si="5"/>
        <v>20259.784000000003</v>
      </c>
      <c r="U6" s="90">
        <f t="shared" si="8"/>
        <v>3797.961855142652</v>
      </c>
      <c r="V6" s="90">
        <f t="shared" si="6"/>
        <v>3797.961855142652</v>
      </c>
      <c r="W6" s="90">
        <f t="shared" si="9"/>
        <v>0</v>
      </c>
      <c r="X6" s="75"/>
      <c r="Y6" s="34">
        <f t="shared" si="7"/>
        <v>0.60733423307021406</v>
      </c>
      <c r="Z6" s="34"/>
      <c r="AA6" s="52"/>
      <c r="AB6" s="52"/>
      <c r="AC6" t="s">
        <v>1895</v>
      </c>
      <c r="AE6" s="4"/>
      <c r="AF6" s="2" t="s">
        <v>317</v>
      </c>
    </row>
    <row r="7" spans="1:32" x14ac:dyDescent="0.25">
      <c r="A7" s="1" t="s">
        <v>291</v>
      </c>
      <c r="B7" s="1" t="s">
        <v>552</v>
      </c>
      <c r="C7" s="1" t="s">
        <v>557</v>
      </c>
      <c r="D7" s="1" t="s">
        <v>554</v>
      </c>
      <c r="E7" s="1">
        <f>VLOOKUP(A7,BOM!A:E,5,0)</f>
        <v>1</v>
      </c>
      <c r="F7" s="122">
        <v>1.91</v>
      </c>
      <c r="G7" s="10">
        <v>1.95</v>
      </c>
      <c r="H7" s="11" t="s">
        <v>1874</v>
      </c>
      <c r="I7" s="49">
        <f>SUMIFS(BOM!Q:Q,BOM!A:A,'All Products'!A7,BOM!I:I,'All Products'!I$3)</f>
        <v>0.45953516952849938</v>
      </c>
      <c r="J7" s="49">
        <f>SUMIFS(BOM!Q:Q,BOM!A:A,'All Products'!A7,BOM!I:I,'All Products'!J$3)+0.03</f>
        <v>0.39</v>
      </c>
      <c r="K7" s="29">
        <f t="shared" si="0"/>
        <v>0.43565906129666637</v>
      </c>
      <c r="L7" s="49">
        <f>SUMIF(BOM!A:A,'All Products'!A7,BOM!S:S)</f>
        <v>0.28806692200540729</v>
      </c>
      <c r="M7" s="49">
        <f>SUMIF(BOM!A:A,'All Products'!A7,BOM!V:V)</f>
        <v>0.18617500000000001</v>
      </c>
      <c r="N7" s="29">
        <f t="shared" si="1"/>
        <v>0.24320098564379861</v>
      </c>
      <c r="O7" s="55">
        <v>0</v>
      </c>
      <c r="P7" s="49">
        <f t="shared" si="2"/>
        <v>1.3237770915339067</v>
      </c>
      <c r="Q7" s="11">
        <f t="shared" si="3"/>
        <v>0.6262229084660933</v>
      </c>
      <c r="R7" s="29">
        <f t="shared" si="4"/>
        <v>0.32113995305953502</v>
      </c>
      <c r="S7" s="91">
        <v>2204.8000000000002</v>
      </c>
      <c r="T7" s="91">
        <f t="shared" si="5"/>
        <v>4211.1680000000006</v>
      </c>
      <c r="U7" s="90">
        <f t="shared" si="8"/>
        <v>1380.6962685860426</v>
      </c>
      <c r="V7" s="90">
        <f t="shared" si="6"/>
        <v>1380.6962685860426</v>
      </c>
      <c r="W7" s="90">
        <f t="shared" si="9"/>
        <v>0</v>
      </c>
      <c r="X7" s="75"/>
      <c r="Y7" s="34">
        <f t="shared" si="7"/>
        <v>0.76434093870333375</v>
      </c>
      <c r="Z7" s="34"/>
      <c r="AA7" s="73"/>
      <c r="AB7" s="73"/>
      <c r="AC7" t="s">
        <v>1876</v>
      </c>
      <c r="AE7" s="4"/>
      <c r="AF7" s="2" t="s">
        <v>315</v>
      </c>
    </row>
    <row r="8" spans="1:32" x14ac:dyDescent="0.25">
      <c r="A8" s="1" t="s">
        <v>102</v>
      </c>
      <c r="B8" s="1" t="s">
        <v>552</v>
      </c>
      <c r="C8" s="1" t="s">
        <v>558</v>
      </c>
      <c r="D8" s="1" t="s">
        <v>554</v>
      </c>
      <c r="E8" s="1">
        <f>VLOOKUP(A8,BOM!A:E,5,0)</f>
        <v>2.5</v>
      </c>
      <c r="F8" s="122">
        <v>6.33</v>
      </c>
      <c r="G8" s="10">
        <v>6.36</v>
      </c>
      <c r="H8" s="11" t="s">
        <v>1874</v>
      </c>
      <c r="I8" s="49">
        <f>SUMIFS(BOM!Q:Q,BOM!A:A,'All Products'!A8,BOM!I:I,'All Products'!I$3)</f>
        <v>2.6479274491771281</v>
      </c>
      <c r="J8" s="49">
        <f>SUMIFS(BOM!Q:Q,BOM!A:A,'All Products'!A8,BOM!I:I,'All Products'!J$3)+0.03</f>
        <v>0.4</v>
      </c>
      <c r="K8" s="29">
        <f t="shared" si="0"/>
        <v>0.47923387565678111</v>
      </c>
      <c r="L8" s="49">
        <f>SUMIF(BOM!A:A,'All Products'!A8,BOM!S:S)</f>
        <v>0.5500624999999999</v>
      </c>
      <c r="M8" s="49">
        <f>SUMIF(BOM!A:A,'All Products'!A8,BOM!V:V)</f>
        <v>0.29618749999999999</v>
      </c>
      <c r="N8" s="29">
        <f t="shared" si="1"/>
        <v>0.13305817610062892</v>
      </c>
      <c r="O8" s="55">
        <v>0</v>
      </c>
      <c r="P8" s="49">
        <f t="shared" si="2"/>
        <v>3.8941774491771275</v>
      </c>
      <c r="Q8" s="11">
        <f t="shared" si="3"/>
        <v>2.4658225508228728</v>
      </c>
      <c r="R8" s="29">
        <f t="shared" si="4"/>
        <v>0.38770794824259003</v>
      </c>
      <c r="S8" s="91">
        <v>2053.1999999999998</v>
      </c>
      <c r="T8" s="91">
        <f t="shared" si="5"/>
        <v>12996.755999999999</v>
      </c>
      <c r="U8" s="90">
        <f t="shared" si="8"/>
        <v>5062.826861349522</v>
      </c>
      <c r="V8" s="90">
        <f t="shared" si="6"/>
        <v>5062.826861349522</v>
      </c>
      <c r="W8" s="90">
        <f t="shared" si="9"/>
        <v>0</v>
      </c>
      <c r="X8" s="75"/>
      <c r="Y8" s="34">
        <f t="shared" si="7"/>
        <v>0.58365920610422517</v>
      </c>
      <c r="Z8" s="34"/>
      <c r="AE8" s="4"/>
      <c r="AF8" s="2" t="s">
        <v>313</v>
      </c>
    </row>
    <row r="9" spans="1:32" x14ac:dyDescent="0.25">
      <c r="A9" s="1" t="s">
        <v>118</v>
      </c>
      <c r="B9" s="1" t="s">
        <v>552</v>
      </c>
      <c r="C9" s="1" t="s">
        <v>559</v>
      </c>
      <c r="D9" s="1" t="s">
        <v>554</v>
      </c>
      <c r="E9" s="1">
        <f>VLOOKUP(A9,BOM!A:E,5,0)</f>
        <v>2.5</v>
      </c>
      <c r="F9" s="122">
        <v>3.29</v>
      </c>
      <c r="G9" s="10">
        <v>3.37</v>
      </c>
      <c r="H9" s="11" t="s">
        <v>1874</v>
      </c>
      <c r="I9" s="49">
        <f>SUMIFS(BOM!Q:Q,BOM!A:A,'All Products'!A9,BOM!I:I,'All Products'!I$3)</f>
        <v>1.1488379238212487</v>
      </c>
      <c r="J9" s="49">
        <f>SUMIFS(BOM!Q:Q,BOM!A:A,'All Products'!A9,BOM!I:I,'All Products'!J$3)+0.03</f>
        <v>0.39</v>
      </c>
      <c r="K9" s="29">
        <f t="shared" si="0"/>
        <v>0.4566284640419136</v>
      </c>
      <c r="L9" s="49">
        <f>SUMIF(BOM!A:A,'All Products'!A9,BOM!S:S)</f>
        <v>0.72016730501351822</v>
      </c>
      <c r="M9" s="49">
        <f>SUMIF(BOM!A:A,'All Products'!A9,BOM!V:V)</f>
        <v>0.29618749999999999</v>
      </c>
      <c r="N9" s="29">
        <f t="shared" si="1"/>
        <v>0.3015889629120232</v>
      </c>
      <c r="O9" s="55">
        <v>0</v>
      </c>
      <c r="P9" s="49">
        <f t="shared" si="2"/>
        <v>2.5551927288347671</v>
      </c>
      <c r="Q9" s="11">
        <f t="shared" si="3"/>
        <v>0.81480727116523299</v>
      </c>
      <c r="R9" s="29">
        <f t="shared" si="4"/>
        <v>0.24178257304606318</v>
      </c>
      <c r="S9" s="91">
        <v>1401</v>
      </c>
      <c r="T9" s="91">
        <f t="shared" si="5"/>
        <v>4609.29</v>
      </c>
      <c r="U9" s="90">
        <f t="shared" si="8"/>
        <v>1141.5449869024915</v>
      </c>
      <c r="V9" s="90">
        <f t="shared" si="6"/>
        <v>1141.5449869024915</v>
      </c>
      <c r="W9" s="90">
        <f t="shared" si="9"/>
        <v>0</v>
      </c>
      <c r="X9" s="75"/>
      <c r="Y9" s="34">
        <f t="shared" si="7"/>
        <v>0.65909853892544545</v>
      </c>
      <c r="Z9" s="34"/>
      <c r="AA9" s="4"/>
      <c r="AB9" s="4"/>
      <c r="AE9" s="4"/>
      <c r="AF9" s="2" t="s">
        <v>419</v>
      </c>
    </row>
    <row r="10" spans="1:32" x14ac:dyDescent="0.25">
      <c r="A10" s="1" t="s">
        <v>276</v>
      </c>
      <c r="B10" s="1" t="s">
        <v>552</v>
      </c>
      <c r="C10" s="1" t="s">
        <v>560</v>
      </c>
      <c r="D10" s="1" t="s">
        <v>554</v>
      </c>
      <c r="E10" s="1">
        <f>VLOOKUP(A10,BOM!A:E,5,0)</f>
        <v>3</v>
      </c>
      <c r="F10" s="122">
        <v>19.57</v>
      </c>
      <c r="G10" s="10">
        <v>20.010000000000002</v>
      </c>
      <c r="H10" s="11" t="s">
        <v>1874</v>
      </c>
      <c r="I10" s="49">
        <f>SUMIFS(BOM!Q:Q,BOM!A:A,'All Products'!A10,BOM!I:I,'All Products'!I$3)</f>
        <v>7.4067249524379566</v>
      </c>
      <c r="J10" s="49">
        <f>SUMIFS(BOM!Q:Q,BOM!A:A,'All Products'!A10,BOM!I:I,'All Products'!J$3)+0.03</f>
        <v>0.63000000000000012</v>
      </c>
      <c r="K10" s="29">
        <f t="shared" si="0"/>
        <v>0.40163542990694434</v>
      </c>
      <c r="L10" s="49">
        <f>SUMIF(BOM!A:A,'All Products'!A10,BOM!S:S)</f>
        <v>1.0470222291101088</v>
      </c>
      <c r="M10" s="49">
        <f>SUMIF(BOM!A:A,'All Products'!A10,BOM!V:V)</f>
        <v>0.59237499999999998</v>
      </c>
      <c r="N10" s="29">
        <f t="shared" si="1"/>
        <v>8.1928897007001941E-2</v>
      </c>
      <c r="O10" s="55">
        <v>0</v>
      </c>
      <c r="P10" s="49">
        <f t="shared" si="2"/>
        <v>9.6761221815480667</v>
      </c>
      <c r="Q10" s="11">
        <f t="shared" si="3"/>
        <v>10.333877818451935</v>
      </c>
      <c r="R10" s="29">
        <f t="shared" si="4"/>
        <v>0.51643567308605365</v>
      </c>
      <c r="S10" s="91">
        <v>1733.6</v>
      </c>
      <c r="T10" s="91">
        <f t="shared" si="5"/>
        <v>33926.551999999996</v>
      </c>
      <c r="U10" s="90">
        <f t="shared" si="8"/>
        <v>17914.810586068274</v>
      </c>
      <c r="V10" s="90">
        <f t="shared" si="6"/>
        <v>17914.810586068274</v>
      </c>
      <c r="W10" s="90">
        <f t="shared" si="9"/>
        <v>0</v>
      </c>
      <c r="X10" s="75"/>
      <c r="Y10" s="34">
        <f t="shared" si="7"/>
        <v>0.62984882796412012</v>
      </c>
      <c r="Z10" s="34"/>
      <c r="AA10" s="4"/>
      <c r="AB10" s="4"/>
      <c r="AE10" s="4"/>
      <c r="AF10" s="2" t="s">
        <v>418</v>
      </c>
    </row>
    <row r="11" spans="1:32" x14ac:dyDescent="0.25">
      <c r="A11" s="1" t="s">
        <v>403</v>
      </c>
      <c r="B11" s="1" t="s">
        <v>552</v>
      </c>
      <c r="C11" s="1" t="s">
        <v>404</v>
      </c>
      <c r="D11" s="1" t="s">
        <v>554</v>
      </c>
      <c r="E11" s="1">
        <f>VLOOKUP(A11,BOM!A:E,5,0)</f>
        <v>1.3</v>
      </c>
      <c r="F11" s="122">
        <v>2.52</v>
      </c>
      <c r="G11" s="10">
        <v>2.66</v>
      </c>
      <c r="H11" s="11" t="s">
        <v>1874</v>
      </c>
      <c r="I11" s="49">
        <f>SUMIFS(BOM!Q:Q,BOM!A:A,'All Products'!A11,BOM!I:I,'All Products'!I$3)</f>
        <v>1.6191796803652971</v>
      </c>
      <c r="J11" s="49">
        <f>SUMIFS(BOM!Q:Q,BOM!A:A,'All Products'!A11,BOM!I:I,'All Products'!J$3)+0.03</f>
        <v>0.41000000000000003</v>
      </c>
      <c r="K11" s="29">
        <f t="shared" si="0"/>
        <v>0.76284950389672812</v>
      </c>
      <c r="L11" s="49">
        <f>SUMIF(BOM!A:A,'All Products'!A11,BOM!S:S)</f>
        <v>0.30300814566366963</v>
      </c>
      <c r="M11" s="49">
        <f>SUMIF(BOM!A:A,'All Products'!A11,BOM!V:V)</f>
        <v>0.21833249999999998</v>
      </c>
      <c r="N11" s="29">
        <f t="shared" si="1"/>
        <v>0.19599272393371034</v>
      </c>
      <c r="O11" s="55">
        <v>0</v>
      </c>
      <c r="P11" s="49">
        <f t="shared" si="2"/>
        <v>2.5505203260289666</v>
      </c>
      <c r="Q11" s="11">
        <f t="shared" si="3"/>
        <v>0.10947967397103353</v>
      </c>
      <c r="R11" s="29">
        <f t="shared" si="4"/>
        <v>4.1157772169561478E-2</v>
      </c>
      <c r="S11" s="91">
        <v>1170.4000000000001</v>
      </c>
      <c r="T11" s="91">
        <f t="shared" si="5"/>
        <v>2949.4080000000004</v>
      </c>
      <c r="U11" s="90">
        <f t="shared" si="8"/>
        <v>128.13501041569765</v>
      </c>
      <c r="V11" s="90">
        <f t="shared" si="6"/>
        <v>128.13501041569765</v>
      </c>
      <c r="W11" s="90">
        <f t="shared" si="9"/>
        <v>0</v>
      </c>
      <c r="X11" s="75"/>
      <c r="Y11" s="34">
        <f t="shared" si="7"/>
        <v>0.39128583444913645</v>
      </c>
      <c r="Z11" s="34"/>
      <c r="AA11" s="4"/>
      <c r="AB11" s="4"/>
      <c r="AE11" s="4"/>
      <c r="AF11" s="1" t="s">
        <v>4394</v>
      </c>
    </row>
    <row r="12" spans="1:32" x14ac:dyDescent="0.25">
      <c r="A12" s="1" t="s">
        <v>270</v>
      </c>
      <c r="B12" s="1" t="s">
        <v>552</v>
      </c>
      <c r="C12" s="1" t="s">
        <v>271</v>
      </c>
      <c r="D12" s="1" t="s">
        <v>554</v>
      </c>
      <c r="E12" s="1">
        <f>VLOOKUP(A12,BOM!A:E,5,0)</f>
        <v>1.2</v>
      </c>
      <c r="F12" s="122">
        <v>12.4</v>
      </c>
      <c r="G12" s="10">
        <v>12.79</v>
      </c>
      <c r="H12" s="11" t="s">
        <v>1874</v>
      </c>
      <c r="I12" s="49">
        <f>SUMIFS(BOM!Q:Q,BOM!A:A,'All Products'!A12,BOM!I:I,'All Products'!I$3)</f>
        <v>3.2927673023364612</v>
      </c>
      <c r="J12" s="49">
        <f>SUMIFS(BOM!Q:Q,BOM!A:A,'All Products'!A12,BOM!I:I,'All Products'!J$3)+0.03</f>
        <v>1.85</v>
      </c>
      <c r="K12" s="29">
        <f t="shared" si="0"/>
        <v>0.4020928305188789</v>
      </c>
      <c r="L12" s="49">
        <f>SUMIF(BOM!A:A,'All Products'!A12,BOM!S:S)</f>
        <v>1.0761706539550024</v>
      </c>
      <c r="M12" s="49">
        <f>SUMIF(BOM!A:A,'All Products'!A12,BOM!V:V)</f>
        <v>0.8123999999999999</v>
      </c>
      <c r="N12" s="29">
        <f t="shared" si="1"/>
        <v>0.14765994166966398</v>
      </c>
      <c r="O12" s="55">
        <v>0</v>
      </c>
      <c r="P12" s="49">
        <f t="shared" si="2"/>
        <v>7.0313379562914635</v>
      </c>
      <c r="Q12" s="11">
        <f t="shared" si="3"/>
        <v>5.7586620437085356</v>
      </c>
      <c r="R12" s="29">
        <f t="shared" si="4"/>
        <v>0.4502472278114571</v>
      </c>
      <c r="S12" s="91">
        <v>1867.6</v>
      </c>
      <c r="T12" s="91">
        <f t="shared" si="5"/>
        <v>23158.239999999998</v>
      </c>
      <c r="U12" s="90">
        <f t="shared" si="8"/>
        <v>10754.87723283006</v>
      </c>
      <c r="V12" s="90">
        <f t="shared" si="6"/>
        <v>10754.87723283006</v>
      </c>
      <c r="W12" s="90">
        <f t="shared" si="9"/>
        <v>0</v>
      </c>
      <c r="X12" s="75"/>
      <c r="Y12" s="34">
        <f t="shared" si="7"/>
        <v>0.74255142280402964</v>
      </c>
      <c r="Z12" s="34"/>
      <c r="AA12" s="4"/>
      <c r="AB12" s="4"/>
      <c r="AE12" s="4"/>
      <c r="AF12" s="1" t="s">
        <v>4411</v>
      </c>
    </row>
    <row r="13" spans="1:32" x14ac:dyDescent="0.25">
      <c r="A13" s="1" t="s">
        <v>68</v>
      </c>
      <c r="B13" s="1" t="s">
        <v>552</v>
      </c>
      <c r="C13" s="1" t="s">
        <v>69</v>
      </c>
      <c r="D13" s="1" t="s">
        <v>554</v>
      </c>
      <c r="E13" s="1">
        <f>VLOOKUP(A13,BOM!A:E,5,0)</f>
        <v>4</v>
      </c>
      <c r="F13" s="122">
        <v>7.82</v>
      </c>
      <c r="G13" s="10">
        <v>7.43</v>
      </c>
      <c r="H13" s="11" t="s">
        <v>1874</v>
      </c>
      <c r="I13" s="49">
        <f>SUMIFS(BOM!Q:Q,BOM!A:A,'All Products'!A13,BOM!I:I,'All Products'!I$3)</f>
        <v>4.9687154950312848</v>
      </c>
      <c r="J13" s="49">
        <f>SUMIFS(BOM!Q:Q,BOM!A:A,'All Products'!A13,BOM!I:I,'All Products'!J$3)+0.03</f>
        <v>0.63000000000000012</v>
      </c>
      <c r="K13" s="29">
        <f t="shared" si="0"/>
        <v>0.75352833042143808</v>
      </c>
      <c r="L13" s="49">
        <f>SUMIF(BOM!A:A,'All Products'!A13,BOM!S:S)</f>
        <v>1.2456799999999997</v>
      </c>
      <c r="M13" s="49">
        <f>SUMIF(BOM!A:A,'All Products'!A13,BOM!V:V)</f>
        <v>0.59237499999999998</v>
      </c>
      <c r="N13" s="29">
        <f t="shared" si="1"/>
        <v>0.2473829071332436</v>
      </c>
      <c r="O13" s="55">
        <v>0</v>
      </c>
      <c r="P13" s="49">
        <f t="shared" si="2"/>
        <v>7.4367704950312845</v>
      </c>
      <c r="Q13" s="11">
        <f t="shared" si="3"/>
        <v>-6.7704950312847956E-3</v>
      </c>
      <c r="R13" s="29">
        <f t="shared" si="4"/>
        <v>-9.112375546816684E-4</v>
      </c>
      <c r="S13" s="91">
        <v>982.8</v>
      </c>
      <c r="T13" s="91">
        <f t="shared" si="5"/>
        <v>7685.4960000000001</v>
      </c>
      <c r="U13" s="90">
        <f t="shared" si="8"/>
        <v>-6.6540425167466966</v>
      </c>
      <c r="V13" s="90">
        <f t="shared" si="6"/>
        <v>-6.6540425167466966</v>
      </c>
      <c r="W13" s="90">
        <f t="shared" si="9"/>
        <v>0</v>
      </c>
      <c r="X13" s="75"/>
      <c r="Y13" s="34">
        <f t="shared" si="7"/>
        <v>0.3312630558504327</v>
      </c>
      <c r="Z13" s="34"/>
      <c r="AA13" s="4"/>
      <c r="AB13" s="4"/>
      <c r="AC13" s="4"/>
      <c r="AE13" s="4"/>
    </row>
    <row r="14" spans="1:32" x14ac:dyDescent="0.25">
      <c r="A14" s="1" t="s">
        <v>42</v>
      </c>
      <c r="B14" s="1" t="s">
        <v>552</v>
      </c>
      <c r="C14" s="1" t="s">
        <v>561</v>
      </c>
      <c r="D14" s="1" t="s">
        <v>554</v>
      </c>
      <c r="E14" s="1">
        <f>VLOOKUP(A14,BOM!A:E,5,0)</f>
        <v>2.4</v>
      </c>
      <c r="F14" s="122">
        <v>10.210000000000001</v>
      </c>
      <c r="G14" s="10">
        <v>10.44</v>
      </c>
      <c r="H14" s="11" t="s">
        <v>1874</v>
      </c>
      <c r="I14" s="49">
        <f>SUMIFS(BOM!Q:Q,BOM!A:A,'All Products'!A14,BOM!I:I,'All Products'!I$3)</f>
        <v>3.036144578313253</v>
      </c>
      <c r="J14" s="49">
        <f>SUMIFS(BOM!Q:Q,BOM!A:A,'All Products'!A14,BOM!I:I,'All Products'!J$3)+0.03</f>
        <v>0.63000000000000012</v>
      </c>
      <c r="K14" s="29">
        <f t="shared" si="0"/>
        <v>0.35116327378479439</v>
      </c>
      <c r="L14" s="49">
        <f>SUMIF(BOM!A:A,'All Products'!A14,BOM!S:S)</f>
        <v>0.62081904004702615</v>
      </c>
      <c r="M14" s="49">
        <f>SUMIF(BOM!A:A,'All Products'!A14,BOM!V:V)</f>
        <v>0.59237499999999998</v>
      </c>
      <c r="N14" s="29">
        <f t="shared" si="1"/>
        <v>0.11620632567500253</v>
      </c>
      <c r="O14" s="55">
        <v>0</v>
      </c>
      <c r="P14" s="49">
        <f t="shared" si="2"/>
        <v>4.8793386183602792</v>
      </c>
      <c r="Q14" s="11">
        <f t="shared" si="3"/>
        <v>5.5606613816397203</v>
      </c>
      <c r="R14" s="29">
        <f t="shared" si="4"/>
        <v>0.53263040054020316</v>
      </c>
      <c r="S14" s="91">
        <v>1491.4</v>
      </c>
      <c r="T14" s="91">
        <f t="shared" si="5"/>
        <v>15227.194000000001</v>
      </c>
      <c r="U14" s="90">
        <f t="shared" si="8"/>
        <v>8293.1703845774791</v>
      </c>
      <c r="V14" s="90">
        <f t="shared" si="6"/>
        <v>8293.1703845774791</v>
      </c>
      <c r="W14" s="90">
        <f t="shared" si="9"/>
        <v>0</v>
      </c>
      <c r="X14" s="75"/>
      <c r="Y14" s="34">
        <f t="shared" si="7"/>
        <v>0.70918155380141246</v>
      </c>
      <c r="Z14" s="34"/>
      <c r="AA14" s="4"/>
      <c r="AB14" s="4"/>
      <c r="AE14" s="4"/>
    </row>
    <row r="15" spans="1:32" x14ac:dyDescent="0.25">
      <c r="A15" s="1" t="s">
        <v>97</v>
      </c>
      <c r="B15" s="1" t="s">
        <v>552</v>
      </c>
      <c r="C15" s="1" t="s">
        <v>98</v>
      </c>
      <c r="D15" s="1" t="s">
        <v>554</v>
      </c>
      <c r="E15" s="1">
        <f>VLOOKUP(A15,BOM!A:E,5,0)</f>
        <v>2.7</v>
      </c>
      <c r="F15" s="122">
        <v>10.47</v>
      </c>
      <c r="G15" s="10">
        <v>10.82</v>
      </c>
      <c r="H15" s="11" t="s">
        <v>1874</v>
      </c>
      <c r="I15" s="49">
        <f>SUMIFS(BOM!Q:Q,BOM!A:A,'All Products'!A15,BOM!I:I,'All Products'!I$3)</f>
        <v>3.4745000000000004</v>
      </c>
      <c r="J15" s="49">
        <f>SUMIFS(BOM!Q:Q,BOM!A:A,'All Products'!A15,BOM!I:I,'All Products'!J$3)+0.03</f>
        <v>0.75000000000000011</v>
      </c>
      <c r="K15" s="29">
        <f t="shared" si="0"/>
        <v>0.39043438077634018</v>
      </c>
      <c r="L15" s="49">
        <f>SUMIF(BOM!A:A,'All Products'!A15,BOM!S:S)</f>
        <v>3.3718361111111106</v>
      </c>
      <c r="M15" s="49">
        <f>SUMIF(BOM!A:A,'All Products'!A15,BOM!V:V)</f>
        <v>0.27079999999999999</v>
      </c>
      <c r="N15" s="29">
        <f t="shared" si="1"/>
        <v>0.33665768124871631</v>
      </c>
      <c r="O15" s="55">
        <v>0</v>
      </c>
      <c r="P15" s="49">
        <f t="shared" si="2"/>
        <v>7.8671361111111118</v>
      </c>
      <c r="Q15" s="11">
        <f t="shared" si="3"/>
        <v>2.9528638888888885</v>
      </c>
      <c r="R15" s="29">
        <f t="shared" si="4"/>
        <v>0.2729079379749435</v>
      </c>
      <c r="S15" s="91">
        <v>989.6</v>
      </c>
      <c r="T15" s="91">
        <f t="shared" si="5"/>
        <v>10361.112000000001</v>
      </c>
      <c r="U15" s="90">
        <f t="shared" si="8"/>
        <v>2922.1541044444443</v>
      </c>
      <c r="V15" s="90">
        <f t="shared" si="6"/>
        <v>2922.1541044444443</v>
      </c>
      <c r="W15" s="90">
        <f t="shared" si="9"/>
        <v>0</v>
      </c>
      <c r="X15" s="75"/>
      <c r="Y15" s="34">
        <f t="shared" si="7"/>
        <v>0.67888170055452857</v>
      </c>
      <c r="Z15" s="34"/>
      <c r="AA15" s="4"/>
      <c r="AB15" s="4"/>
      <c r="AE15" s="4"/>
    </row>
    <row r="16" spans="1:32" x14ac:dyDescent="0.25">
      <c r="A16" s="1" t="s">
        <v>562</v>
      </c>
      <c r="B16" s="1" t="s">
        <v>552</v>
      </c>
      <c r="C16" s="1" t="s">
        <v>563</v>
      </c>
      <c r="D16" s="1" t="s">
        <v>554</v>
      </c>
      <c r="E16" s="1">
        <f>VLOOKUP(A16,BOM!A:E,5,0)</f>
        <v>3</v>
      </c>
      <c r="F16" s="122">
        <v>20.46</v>
      </c>
      <c r="G16" s="10">
        <v>21.06</v>
      </c>
      <c r="H16" s="11" t="s">
        <v>1874</v>
      </c>
      <c r="I16" s="49">
        <f>SUMIFS(BOM!Q:Q,BOM!A:A,'All Products'!A16,BOM!I:I,'All Products'!I$3)</f>
        <v>2.5344021564629822</v>
      </c>
      <c r="J16" s="49">
        <f>SUMIFS(BOM!Q:Q,BOM!A:A,'All Products'!A16,BOM!I:I,'All Products'!J$3)+0.03</f>
        <v>0.79</v>
      </c>
      <c r="K16" s="29">
        <f t="shared" si="0"/>
        <v>0.15785385358323753</v>
      </c>
      <c r="L16" s="49">
        <f>SUMIF(BOM!A:A,'All Products'!A16,BOM!S:S)</f>
        <v>1.1874686166221131</v>
      </c>
      <c r="M16" s="49">
        <f>SUMIF(BOM!A:A,'All Products'!A16,BOM!V:V)</f>
        <v>0.8123999999999999</v>
      </c>
      <c r="N16" s="29">
        <f t="shared" si="1"/>
        <v>9.4960523106463121E-2</v>
      </c>
      <c r="O16" s="55">
        <v>0</v>
      </c>
      <c r="P16" s="49">
        <f t="shared" si="2"/>
        <v>5.3242707730850958</v>
      </c>
      <c r="Q16" s="11">
        <f t="shared" si="3"/>
        <v>15.735729226914902</v>
      </c>
      <c r="R16" s="29">
        <f t="shared" si="4"/>
        <v>0.74718562331029925</v>
      </c>
      <c r="S16" s="93">
        <v>0</v>
      </c>
      <c r="T16" s="91">
        <f t="shared" si="5"/>
        <v>0</v>
      </c>
      <c r="U16" s="90">
        <f t="shared" si="8"/>
        <v>0</v>
      </c>
      <c r="V16" s="90">
        <f t="shared" si="6"/>
        <v>0</v>
      </c>
      <c r="W16" s="90">
        <f t="shared" si="9"/>
        <v>0</v>
      </c>
      <c r="Y16" s="34">
        <f t="shared" si="7"/>
        <v>0.87965801726196668</v>
      </c>
      <c r="Z16" s="34"/>
      <c r="AA16" s="4"/>
      <c r="AB16" s="4"/>
      <c r="AE16" s="4"/>
    </row>
    <row r="17" spans="1:31" x14ac:dyDescent="0.25">
      <c r="A17" s="1" t="s">
        <v>27</v>
      </c>
      <c r="B17" s="1" t="s">
        <v>552</v>
      </c>
      <c r="C17" s="1" t="s">
        <v>28</v>
      </c>
      <c r="D17" s="1" t="s">
        <v>554</v>
      </c>
      <c r="E17" s="1">
        <f>VLOOKUP(A17,BOM!A:E,5,0)</f>
        <v>1.5</v>
      </c>
      <c r="F17" s="122">
        <v>6.84</v>
      </c>
      <c r="G17" s="10">
        <v>6.98</v>
      </c>
      <c r="H17" s="11" t="s">
        <v>1874</v>
      </c>
      <c r="I17" s="49" t="e">
        <f>SUMIFS(BOM!Q:Q,BOM!A:A,'All Products'!A17,BOM!I:I,'All Products'!I$3)</f>
        <v>#N/A</v>
      </c>
      <c r="J17" s="49">
        <f>SUMIFS(BOM!Q:Q,BOM!A:A,'All Products'!A17,BOM!I:I,'All Products'!J$3)+0.03</f>
        <v>0.4</v>
      </c>
      <c r="K17" s="29" t="e">
        <f t="shared" si="0"/>
        <v>#N/A</v>
      </c>
      <c r="L17" s="49">
        <f>SUMIF(BOM!A:A,'All Products'!A17,BOM!S:S)</f>
        <v>0.86058562010261186</v>
      </c>
      <c r="M17" s="49">
        <f>SUMIF(BOM!A:A,'All Products'!A17,BOM!V:V)</f>
        <v>0.21833249999999998</v>
      </c>
      <c r="N17" s="29">
        <f t="shared" si="1"/>
        <v>0.15457279657630543</v>
      </c>
      <c r="O17" s="55">
        <v>0</v>
      </c>
      <c r="P17" s="49" t="e">
        <f t="shared" si="2"/>
        <v>#N/A</v>
      </c>
      <c r="Q17" s="11" t="e">
        <f t="shared" si="3"/>
        <v>#N/A</v>
      </c>
      <c r="R17" s="29">
        <f t="shared" si="4"/>
        <v>0</v>
      </c>
      <c r="S17" s="91">
        <v>105.4</v>
      </c>
      <c r="T17" s="91">
        <f t="shared" si="5"/>
        <v>720.93600000000004</v>
      </c>
      <c r="U17" s="90">
        <f t="shared" si="8"/>
        <v>0</v>
      </c>
      <c r="V17" s="90" t="e">
        <f t="shared" si="6"/>
        <v>#N/A</v>
      </c>
      <c r="W17" s="90" t="e">
        <f t="shared" si="9"/>
        <v>#N/A</v>
      </c>
      <c r="Y17" s="34" t="e">
        <f t="shared" si="7"/>
        <v>#N/A</v>
      </c>
      <c r="Z17" s="34"/>
      <c r="AA17" s="4"/>
      <c r="AB17" s="4"/>
      <c r="AE17" s="4"/>
    </row>
    <row r="18" spans="1:31" x14ac:dyDescent="0.25">
      <c r="A18" s="1" t="s">
        <v>129</v>
      </c>
      <c r="B18" s="1" t="s">
        <v>552</v>
      </c>
      <c r="C18" s="59" t="s">
        <v>564</v>
      </c>
      <c r="D18" s="1" t="s">
        <v>554</v>
      </c>
      <c r="E18" s="1">
        <f>VLOOKUP(A18,BOM!A:E,5,0)</f>
        <v>2.5</v>
      </c>
      <c r="F18" s="122">
        <v>3.87</v>
      </c>
      <c r="G18" s="10">
        <v>3.95</v>
      </c>
      <c r="H18" s="11" t="s">
        <v>1874</v>
      </c>
      <c r="I18" s="49">
        <f>SUMIFS(BOM!Q:Q,BOM!A:A,'All Products'!A18,BOM!I:I,'All Products'!I$3)</f>
        <v>1.6636047390202089</v>
      </c>
      <c r="J18" s="49">
        <f>SUMIFS(BOM!Q:Q,BOM!A:A,'All Products'!A18,BOM!I:I,'All Products'!J$3)+0.03</f>
        <v>0.4</v>
      </c>
      <c r="K18" s="29">
        <f t="shared" si="0"/>
        <v>0.52243157949878705</v>
      </c>
      <c r="L18" s="49">
        <f>SUMIF(BOM!A:A,'All Products'!A18,BOM!S:S)</f>
        <v>0.6453635428842992</v>
      </c>
      <c r="M18" s="49">
        <f>SUMIF(BOM!A:A,'All Products'!A18,BOM!V:V)</f>
        <v>0.29618749999999999</v>
      </c>
      <c r="N18" s="29">
        <f t="shared" si="1"/>
        <v>0.23836735262893652</v>
      </c>
      <c r="O18" s="55">
        <v>0</v>
      </c>
      <c r="P18" s="49">
        <f t="shared" si="2"/>
        <v>3.0051557819045076</v>
      </c>
      <c r="Q18" s="11">
        <f t="shared" si="3"/>
        <v>0.94484421809549257</v>
      </c>
      <c r="R18" s="29">
        <f t="shared" si="4"/>
        <v>0.2392010678722766</v>
      </c>
      <c r="S18" s="91">
        <v>1063.8</v>
      </c>
      <c r="T18" s="91">
        <f t="shared" si="5"/>
        <v>4116.9059999999999</v>
      </c>
      <c r="U18" s="90">
        <f t="shared" si="8"/>
        <v>1005.1252792099849</v>
      </c>
      <c r="V18" s="90">
        <f t="shared" si="6"/>
        <v>1005.1252792099849</v>
      </c>
      <c r="W18" s="90">
        <f t="shared" si="9"/>
        <v>0</v>
      </c>
      <c r="Y18" s="34">
        <f t="shared" si="7"/>
        <v>0.57883424328602306</v>
      </c>
      <c r="Z18" s="47"/>
      <c r="AA18" s="4"/>
      <c r="AB18" s="4"/>
      <c r="AE18" s="4"/>
    </row>
    <row r="19" spans="1:31" x14ac:dyDescent="0.25">
      <c r="A19" s="1" t="s">
        <v>277</v>
      </c>
      <c r="B19" s="1" t="s">
        <v>552</v>
      </c>
      <c r="C19" s="1" t="s">
        <v>565</v>
      </c>
      <c r="D19" s="1" t="s">
        <v>554</v>
      </c>
      <c r="E19" s="1">
        <f>VLOOKUP(A19,BOM!A:E,5,0)</f>
        <v>2.5</v>
      </c>
      <c r="F19" s="122">
        <v>7.83</v>
      </c>
      <c r="G19" s="10">
        <v>7.81</v>
      </c>
      <c r="H19" s="11" t="s">
        <v>1874</v>
      </c>
      <c r="I19" s="49">
        <f>SUMIFS(BOM!Q:Q,BOM!A:A,'All Products'!A19,BOM!I:I,'All Products'!I$3)</f>
        <v>2.2569444444444446</v>
      </c>
      <c r="J19" s="49">
        <f>SUMIFS(BOM!Q:Q,BOM!A:A,'All Products'!A19,BOM!I:I,'All Products'!J$3)+0.03</f>
        <v>0.4</v>
      </c>
      <c r="K19" s="29">
        <f t="shared" si="0"/>
        <v>0.3401977521695832</v>
      </c>
      <c r="L19" s="49">
        <f>SUMIF(BOM!A:A,'All Products'!A19,BOM!S:S)</f>
        <v>2.4710499999999995</v>
      </c>
      <c r="M19" s="49">
        <f>SUMIF(BOM!A:A,'All Products'!A19,BOM!V:V)</f>
        <v>0.29618749999999999</v>
      </c>
      <c r="N19" s="29">
        <f t="shared" si="1"/>
        <v>0.35431978233034567</v>
      </c>
      <c r="O19" s="55">
        <v>0</v>
      </c>
      <c r="P19" s="49">
        <f t="shared" si="2"/>
        <v>5.4241819444444435</v>
      </c>
      <c r="Q19" s="11">
        <f t="shared" si="3"/>
        <v>2.3858180555555561</v>
      </c>
      <c r="R19" s="29">
        <f t="shared" si="4"/>
        <v>0.30548246550007124</v>
      </c>
      <c r="S19" s="91">
        <v>1086.8</v>
      </c>
      <c r="T19" s="91">
        <f t="shared" si="5"/>
        <v>8509.6440000000002</v>
      </c>
      <c r="U19" s="90">
        <f t="shared" si="8"/>
        <v>2592.9070627777783</v>
      </c>
      <c r="V19" s="90">
        <f t="shared" si="6"/>
        <v>2592.9070627777783</v>
      </c>
      <c r="W19" s="90">
        <f t="shared" si="9"/>
        <v>0</v>
      </c>
      <c r="Y19" s="34">
        <f t="shared" si="7"/>
        <v>0.71101863707497504</v>
      </c>
      <c r="Z19" s="34"/>
      <c r="AA19" s="4"/>
      <c r="AB19" s="4"/>
      <c r="AE19" s="4"/>
    </row>
    <row r="20" spans="1:31" x14ac:dyDescent="0.25">
      <c r="A20" s="1" t="s">
        <v>566</v>
      </c>
      <c r="B20" s="1" t="s">
        <v>552</v>
      </c>
      <c r="C20" s="1" t="s">
        <v>567</v>
      </c>
      <c r="D20" s="1" t="s">
        <v>554</v>
      </c>
      <c r="E20" s="1">
        <f>VLOOKUP(A20,BOM!A:E,5,0)</f>
        <v>1</v>
      </c>
      <c r="F20" s="122">
        <v>4.9800000000000004</v>
      </c>
      <c r="G20" s="10">
        <v>5.07</v>
      </c>
      <c r="H20" s="11" t="s">
        <v>1873</v>
      </c>
      <c r="I20" s="49">
        <f>SUMIFS(BOM!Q:Q,BOM!A:A,'All Products'!A20,BOM!I:I,'All Products'!I$3)</f>
        <v>0</v>
      </c>
      <c r="J20" s="49">
        <f>SUMIFS(BOM!Q:Q,BOM!A:A,'All Products'!A20,BOM!I:I,'All Products'!J$3)+0.03</f>
        <v>0.49</v>
      </c>
      <c r="K20" s="29">
        <f t="shared" si="0"/>
        <v>9.6646942800788949E-2</v>
      </c>
      <c r="L20" s="49">
        <f>SUMIF(BOM!A:A,'All Products'!A20,BOM!S:S)</f>
        <v>3.3849999999999998E-2</v>
      </c>
      <c r="M20" s="49">
        <f>SUMIF(BOM!A:A,'All Products'!A20,BOM!V:V)</f>
        <v>0.35542499999999988</v>
      </c>
      <c r="N20" s="29">
        <f t="shared" si="1"/>
        <v>7.6780078895463483E-2</v>
      </c>
      <c r="O20" s="55">
        <v>0</v>
      </c>
      <c r="P20" s="49">
        <f t="shared" si="2"/>
        <v>0.87927499999999992</v>
      </c>
      <c r="Q20" s="11">
        <f t="shared" si="3"/>
        <v>4.1907250000000005</v>
      </c>
      <c r="R20" s="29">
        <f t="shared" si="4"/>
        <v>0.82657297830374754</v>
      </c>
      <c r="S20" s="83"/>
      <c r="T20" s="83"/>
      <c r="U20" s="83"/>
      <c r="V20" s="83"/>
      <c r="W20" s="83"/>
      <c r="Y20" s="34">
        <f t="shared" si="7"/>
        <v>1</v>
      </c>
      <c r="Z20" s="34"/>
      <c r="AE20" s="4"/>
    </row>
    <row r="21" spans="1:31" x14ac:dyDescent="0.25">
      <c r="A21" s="1" t="s">
        <v>90</v>
      </c>
      <c r="B21" s="1" t="s">
        <v>552</v>
      </c>
      <c r="C21" s="1" t="s">
        <v>568</v>
      </c>
      <c r="D21" s="1" t="s">
        <v>554</v>
      </c>
      <c r="E21" s="1">
        <f>VLOOKUP(A21,BOM!A:E,5,0)</f>
        <v>2.5</v>
      </c>
      <c r="F21" s="122">
        <v>6.19</v>
      </c>
      <c r="G21" s="10">
        <v>6.24</v>
      </c>
      <c r="H21" s="11" t="s">
        <v>1874</v>
      </c>
      <c r="I21" s="49">
        <f>SUMIFS(BOM!Q:Q,BOM!A:A,'All Products'!A21,BOM!I:I,'All Products'!I$3)</f>
        <v>2.3774491909215825</v>
      </c>
      <c r="J21" s="49">
        <f>SUMIFS(BOM!Q:Q,BOM!A:A,'All Products'!A21,BOM!I:I,'All Products'!J$3)+0.03</f>
        <v>0.4</v>
      </c>
      <c r="K21" s="29">
        <f t="shared" si="0"/>
        <v>0.44510403700666384</v>
      </c>
      <c r="L21" s="49">
        <f>SUMIF(BOM!A:A,'All Products'!A21,BOM!S:S)</f>
        <v>1.576052369941868</v>
      </c>
      <c r="M21" s="49">
        <f>SUMIF(BOM!A:A,'All Products'!A21,BOM!V:V)</f>
        <v>0.29618749999999999</v>
      </c>
      <c r="N21" s="29">
        <f t="shared" si="1"/>
        <v>0.3000384406958122</v>
      </c>
      <c r="O21" s="55">
        <v>0</v>
      </c>
      <c r="P21" s="49">
        <f t="shared" si="2"/>
        <v>4.6496890608634498</v>
      </c>
      <c r="Q21" s="11">
        <f t="shared" si="3"/>
        <v>1.5903109391365504</v>
      </c>
      <c r="R21" s="29">
        <f t="shared" si="4"/>
        <v>0.25485752229752412</v>
      </c>
      <c r="S21" s="91">
        <v>418.6</v>
      </c>
      <c r="T21" s="91">
        <f t="shared" ref="T21:T52" si="10">S21*G21</f>
        <v>2612.0640000000003</v>
      </c>
      <c r="U21" s="90">
        <f t="shared" si="8"/>
        <v>665.70415912255999</v>
      </c>
      <c r="V21" s="90">
        <f t="shared" ref="V21:V52" si="11">(G21-P21)*S21</f>
        <v>665.70415912255999</v>
      </c>
      <c r="W21" s="90">
        <f t="shared" ref="W21:W84" si="12">V21-U21</f>
        <v>0</v>
      </c>
      <c r="Y21" s="34">
        <f t="shared" si="7"/>
        <v>0.61899852709590031</v>
      </c>
      <c r="Z21" s="34"/>
      <c r="AA21" s="4"/>
      <c r="AB21" s="4"/>
      <c r="AE21" s="4"/>
    </row>
    <row r="22" spans="1:31" x14ac:dyDescent="0.25">
      <c r="A22" s="1" t="s">
        <v>99</v>
      </c>
      <c r="B22" s="1" t="s">
        <v>552</v>
      </c>
      <c r="C22" s="1" t="s">
        <v>569</v>
      </c>
      <c r="D22" s="1" t="s">
        <v>554</v>
      </c>
      <c r="E22" s="1">
        <f>VLOOKUP(A22,BOM!A:E,5,0)</f>
        <v>2.5</v>
      </c>
      <c r="F22" s="122">
        <v>5.94</v>
      </c>
      <c r="G22" s="10">
        <v>5.98</v>
      </c>
      <c r="H22" s="11" t="s">
        <v>1874</v>
      </c>
      <c r="I22" s="49">
        <f>SUMIFS(BOM!Q:Q,BOM!A:A,'All Products'!A22,BOM!I:I,'All Products'!I$3)</f>
        <v>2.4369561514854508</v>
      </c>
      <c r="J22" s="49">
        <f>SUMIFS(BOM!Q:Q,BOM!A:A,'All Products'!A22,BOM!I:I,'All Products'!J$3)+0.03</f>
        <v>0.4</v>
      </c>
      <c r="K22" s="29">
        <f t="shared" si="0"/>
        <v>0.47440738319154691</v>
      </c>
      <c r="L22" s="49">
        <f>SUMIF(BOM!A:A,'All Products'!A22,BOM!S:S)</f>
        <v>0.61776249999999988</v>
      </c>
      <c r="M22" s="49">
        <f>SUMIF(BOM!A:A,'All Products'!A22,BOM!V:V)</f>
        <v>0.29618749999999999</v>
      </c>
      <c r="N22" s="29">
        <f t="shared" si="1"/>
        <v>0.15283444816053507</v>
      </c>
      <c r="O22" s="55">
        <v>0</v>
      </c>
      <c r="P22" s="49">
        <f t="shared" si="2"/>
        <v>3.7509061514854505</v>
      </c>
      <c r="Q22" s="11">
        <f t="shared" si="3"/>
        <v>2.2290938485145499</v>
      </c>
      <c r="R22" s="29">
        <f t="shared" si="4"/>
        <v>0.372758168647918</v>
      </c>
      <c r="S22" s="91">
        <v>751.2</v>
      </c>
      <c r="T22" s="91">
        <f t="shared" si="10"/>
        <v>4492.1760000000004</v>
      </c>
      <c r="U22" s="90">
        <f t="shared" si="8"/>
        <v>1674.4952990041299</v>
      </c>
      <c r="V22" s="90">
        <f t="shared" si="11"/>
        <v>1674.4952990041299</v>
      </c>
      <c r="W22" s="90">
        <f t="shared" si="12"/>
        <v>0</v>
      </c>
      <c r="Y22" s="34">
        <f t="shared" si="7"/>
        <v>0.59248224891547652</v>
      </c>
      <c r="Z22" s="34"/>
      <c r="AA22" s="4"/>
      <c r="AB22" s="4"/>
      <c r="AE22" s="4"/>
    </row>
    <row r="23" spans="1:31" x14ac:dyDescent="0.25">
      <c r="A23" s="12" t="s">
        <v>75</v>
      </c>
      <c r="B23" s="1" t="s">
        <v>552</v>
      </c>
      <c r="C23" s="1" t="s">
        <v>570</v>
      </c>
      <c r="D23" s="1" t="s">
        <v>554</v>
      </c>
      <c r="E23" s="1">
        <f>VLOOKUP(A23,BOM!A:E,5,0)</f>
        <v>2</v>
      </c>
      <c r="F23" s="122">
        <v>2.17</v>
      </c>
      <c r="G23" s="10">
        <v>2.33</v>
      </c>
      <c r="H23" s="11" t="s">
        <v>1874</v>
      </c>
      <c r="I23" s="49">
        <f>SUMIFS(BOM!Q:Q,BOM!A:A,'All Products'!A23,BOM!I:I,'All Products'!I$3)</f>
        <v>1.0693587484474705</v>
      </c>
      <c r="J23" s="49">
        <f>SUMIFS(BOM!Q:Q,BOM!A:A,'All Products'!A23,BOM!I:I,'All Products'!J$3)+0.03</f>
        <v>0.47000000000000008</v>
      </c>
      <c r="K23" s="29">
        <f t="shared" si="0"/>
        <v>0.66066899074998742</v>
      </c>
      <c r="L23" s="49">
        <f>SUMIF(BOM!A:A,'All Products'!A23,BOM!S:S)</f>
        <v>0.60690891712347139</v>
      </c>
      <c r="M23" s="49">
        <f>SUMIF(BOM!A:A,'All Products'!A23,BOM!V:V)</f>
        <v>0.29618749999999999</v>
      </c>
      <c r="N23" s="29">
        <f t="shared" si="1"/>
        <v>0.38759502880835683</v>
      </c>
      <c r="O23" s="55">
        <v>0</v>
      </c>
      <c r="P23" s="49">
        <f t="shared" si="2"/>
        <v>2.4424551655709421</v>
      </c>
      <c r="Q23" s="11">
        <f t="shared" si="3"/>
        <v>-0.11245516557094204</v>
      </c>
      <c r="R23" s="29">
        <f t="shared" si="4"/>
        <v>-4.8264019558344223E-2</v>
      </c>
      <c r="S23" s="91">
        <v>613.4</v>
      </c>
      <c r="T23" s="91">
        <f t="shared" si="10"/>
        <v>1429.222</v>
      </c>
      <c r="U23" s="90">
        <f t="shared" si="8"/>
        <v>-68.979998561215851</v>
      </c>
      <c r="V23" s="90">
        <f t="shared" si="11"/>
        <v>-68.979998561215851</v>
      </c>
      <c r="W23" s="90">
        <f t="shared" si="12"/>
        <v>0</v>
      </c>
      <c r="Y23" s="34">
        <f t="shared" si="7"/>
        <v>0.54104774744743755</v>
      </c>
      <c r="Z23" s="34"/>
      <c r="AA23" s="4"/>
      <c r="AB23" s="4"/>
      <c r="AE23" s="4"/>
    </row>
    <row r="24" spans="1:31" x14ac:dyDescent="0.25">
      <c r="A24" s="1" t="s">
        <v>289</v>
      </c>
      <c r="B24" s="1" t="s">
        <v>552</v>
      </c>
      <c r="C24" s="1" t="s">
        <v>290</v>
      </c>
      <c r="D24" s="1" t="s">
        <v>554</v>
      </c>
      <c r="E24" s="1">
        <f>VLOOKUP(A24,BOM!A:E,5,0)</f>
        <v>4</v>
      </c>
      <c r="F24" s="122">
        <v>10.32</v>
      </c>
      <c r="G24" s="10">
        <v>10.6</v>
      </c>
      <c r="H24" s="11" t="s">
        <v>1874</v>
      </c>
      <c r="I24" s="49">
        <f>SUMIFS(BOM!Q:Q,BOM!A:A,'All Products'!A24,BOM!I:I,'All Products'!I$3)</f>
        <v>2.0203658801826432</v>
      </c>
      <c r="J24" s="49">
        <f>SUMIFS(BOM!Q:Q,BOM!A:A,'All Products'!A24,BOM!I:I,'All Products'!J$3)+0.03</f>
        <v>0.95000000000000007</v>
      </c>
      <c r="K24" s="29">
        <f t="shared" si="0"/>
        <v>0.28022319624364561</v>
      </c>
      <c r="L24" s="49">
        <f>SUMIF(BOM!A:A,'All Products'!A24,BOM!S:S)</f>
        <v>1.1291918981372264</v>
      </c>
      <c r="M24" s="49">
        <f>SUMIF(BOM!A:A,'All Products'!A24,BOM!V:V)</f>
        <v>0.77854999999999985</v>
      </c>
      <c r="N24" s="29">
        <f t="shared" si="1"/>
        <v>0.17997565076766286</v>
      </c>
      <c r="O24" s="55">
        <v>0</v>
      </c>
      <c r="P24" s="49">
        <f t="shared" si="2"/>
        <v>4.8781077783198699</v>
      </c>
      <c r="Q24" s="11">
        <f t="shared" si="3"/>
        <v>5.7218922216801298</v>
      </c>
      <c r="R24" s="29">
        <f t="shared" si="4"/>
        <v>0.53980115298869147</v>
      </c>
      <c r="S24" s="91">
        <v>576.20000000000005</v>
      </c>
      <c r="T24" s="91">
        <f t="shared" si="10"/>
        <v>6107.72</v>
      </c>
      <c r="U24" s="90">
        <f t="shared" si="8"/>
        <v>3296.954298132091</v>
      </c>
      <c r="V24" s="90">
        <f t="shared" si="11"/>
        <v>3296.954298132091</v>
      </c>
      <c r="W24" s="90">
        <f t="shared" si="12"/>
        <v>0</v>
      </c>
      <c r="Y24" s="34">
        <f t="shared" si="7"/>
        <v>0.80939944526578833</v>
      </c>
      <c r="Z24" s="34"/>
      <c r="AA24" s="4"/>
      <c r="AB24" s="4"/>
      <c r="AE24" s="4"/>
    </row>
    <row r="25" spans="1:31" x14ac:dyDescent="0.25">
      <c r="A25" s="1" t="s">
        <v>112</v>
      </c>
      <c r="B25" s="1" t="s">
        <v>552</v>
      </c>
      <c r="C25" s="1" t="s">
        <v>113</v>
      </c>
      <c r="D25" s="1" t="s">
        <v>554</v>
      </c>
      <c r="E25" s="1">
        <f>VLOOKUP(A25,BOM!A:E,5,0)</f>
        <v>2.7</v>
      </c>
      <c r="F25" s="122">
        <v>15</v>
      </c>
      <c r="G25" s="10">
        <v>15.38</v>
      </c>
      <c r="H25" s="11" t="s">
        <v>1874</v>
      </c>
      <c r="I25" s="49">
        <f>SUMIFS(BOM!Q:Q,BOM!A:A,'All Products'!A25,BOM!I:I,'All Products'!I$3)</f>
        <v>4.6594846153846152</v>
      </c>
      <c r="J25" s="49">
        <f>SUMIFS(BOM!Q:Q,BOM!A:A,'All Products'!A25,BOM!I:I,'All Products'!J$3)+0.03</f>
        <v>0.75000000000000011</v>
      </c>
      <c r="K25" s="29">
        <f t="shared" si="0"/>
        <v>0.35172201660498148</v>
      </c>
      <c r="L25" s="49">
        <f>SUMIF(BOM!A:A,'All Products'!A25,BOM!S:S)</f>
        <v>3.2022264206514204</v>
      </c>
      <c r="M25" s="49">
        <f>SUMIF(BOM!A:A,'All Products'!A25,BOM!V:V)</f>
        <v>0.27079999999999999</v>
      </c>
      <c r="N25" s="29">
        <f t="shared" si="1"/>
        <v>0.22581446168084657</v>
      </c>
      <c r="O25" s="55">
        <v>0</v>
      </c>
      <c r="P25" s="49">
        <f t="shared" si="2"/>
        <v>8.8825110360360355</v>
      </c>
      <c r="Q25" s="11">
        <f t="shared" si="3"/>
        <v>6.4974889639639652</v>
      </c>
      <c r="R25" s="29">
        <f t="shared" si="4"/>
        <v>0.42246352171417195</v>
      </c>
      <c r="S25" s="91">
        <v>518</v>
      </c>
      <c r="T25" s="91">
        <f t="shared" si="10"/>
        <v>7966.84</v>
      </c>
      <c r="U25" s="90">
        <f t="shared" si="8"/>
        <v>3365.6992833333338</v>
      </c>
      <c r="V25" s="90">
        <f t="shared" si="11"/>
        <v>3365.6992833333338</v>
      </c>
      <c r="W25" s="90">
        <f t="shared" si="12"/>
        <v>0</v>
      </c>
      <c r="Y25" s="34">
        <f t="shared" si="7"/>
        <v>0.69704261278383517</v>
      </c>
      <c r="Z25" s="34"/>
      <c r="AA25" s="4"/>
      <c r="AB25" s="4"/>
      <c r="AE25" s="4"/>
    </row>
    <row r="26" spans="1:31" x14ac:dyDescent="0.25">
      <c r="A26" s="1" t="s">
        <v>253</v>
      </c>
      <c r="B26" s="1" t="s">
        <v>552</v>
      </c>
      <c r="C26" s="1" t="s">
        <v>254</v>
      </c>
      <c r="D26" s="1" t="s">
        <v>554</v>
      </c>
      <c r="E26" s="1">
        <f>VLOOKUP(A26,BOM!A:E,5,0)</f>
        <v>2</v>
      </c>
      <c r="F26" s="122">
        <v>6.32</v>
      </c>
      <c r="G26" s="10">
        <v>6.78</v>
      </c>
      <c r="H26" s="11" t="s">
        <v>1874</v>
      </c>
      <c r="I26" s="49">
        <f>SUMIFS(BOM!Q:Q,BOM!A:A,'All Products'!A26,BOM!I:I,'All Products'!I$3)</f>
        <v>2.2985454545454544</v>
      </c>
      <c r="J26" s="49">
        <f>SUMIFS(BOM!Q:Q,BOM!A:A,'All Products'!A26,BOM!I:I,'All Products'!J$3)+0.03</f>
        <v>0.75000000000000011</v>
      </c>
      <c r="K26" s="29">
        <f t="shared" si="0"/>
        <v>0.44963797264682215</v>
      </c>
      <c r="L26" s="49">
        <f>SUMIF(BOM!A:A,'All Products'!A26,BOM!S:S)</f>
        <v>2.3976211090496804</v>
      </c>
      <c r="M26" s="49">
        <f>SUMIF(BOM!A:A,'All Products'!A26,BOM!V:V)</f>
        <v>0.27079999999999999</v>
      </c>
      <c r="N26" s="29">
        <f t="shared" si="1"/>
        <v>0.3935724349630797</v>
      </c>
      <c r="O26" s="55">
        <v>0</v>
      </c>
      <c r="P26" s="49">
        <f t="shared" si="2"/>
        <v>5.7169665635951343</v>
      </c>
      <c r="Q26" s="11">
        <f t="shared" si="3"/>
        <v>1.0630334364048659</v>
      </c>
      <c r="R26" s="29">
        <f t="shared" si="4"/>
        <v>0.15678959239009821</v>
      </c>
      <c r="S26" s="91">
        <v>171.8</v>
      </c>
      <c r="T26" s="91">
        <f t="shared" si="10"/>
        <v>1164.8040000000001</v>
      </c>
      <c r="U26" s="90">
        <f t="shared" si="8"/>
        <v>182.62914437435597</v>
      </c>
      <c r="V26" s="90">
        <f t="shared" si="11"/>
        <v>182.62914437435597</v>
      </c>
      <c r="W26" s="90">
        <f t="shared" si="12"/>
        <v>0</v>
      </c>
      <c r="Y26" s="34">
        <f t="shared" si="7"/>
        <v>0.66098149637972647</v>
      </c>
      <c r="Z26" s="34"/>
      <c r="AA26" s="4"/>
      <c r="AB26" s="4"/>
      <c r="AE26" s="4"/>
    </row>
    <row r="27" spans="1:31" x14ac:dyDescent="0.25">
      <c r="A27" s="1" t="s">
        <v>367</v>
      </c>
      <c r="B27" s="1" t="s">
        <v>552</v>
      </c>
      <c r="C27" s="1" t="s">
        <v>368</v>
      </c>
      <c r="D27" s="1" t="s">
        <v>554</v>
      </c>
      <c r="E27" s="1">
        <f>VLOOKUP(A27,BOM!A:E,5,0)</f>
        <v>2.7</v>
      </c>
      <c r="F27" s="122">
        <v>10.06</v>
      </c>
      <c r="G27" s="10">
        <v>10.26</v>
      </c>
      <c r="H27" s="11" t="s">
        <v>1874</v>
      </c>
      <c r="I27" s="49">
        <f>SUMIFS(BOM!Q:Q,BOM!A:A,'All Products'!A27,BOM!I:I,'All Products'!I$3)</f>
        <v>3.5440999999999998</v>
      </c>
      <c r="J27" s="49">
        <f>SUMIFS(BOM!Q:Q,BOM!A:A,'All Products'!A27,BOM!I:I,'All Products'!J$3)+0.03</f>
        <v>0.75000000000000011</v>
      </c>
      <c r="K27" s="29">
        <f t="shared" si="0"/>
        <v>0.41852826510721253</v>
      </c>
      <c r="L27" s="49">
        <f>SUMIF(BOM!A:A,'All Products'!A27,BOM!S:S)</f>
        <v>1.0980320684072049</v>
      </c>
      <c r="M27" s="49">
        <f>SUMIF(BOM!A:A,'All Products'!A27,BOM!V:V)</f>
        <v>0.27079999999999999</v>
      </c>
      <c r="N27" s="29">
        <f t="shared" si="1"/>
        <v>0.13341443161863595</v>
      </c>
      <c r="O27" s="55">
        <v>0</v>
      </c>
      <c r="P27" s="49">
        <f t="shared" si="2"/>
        <v>5.6629320684072058</v>
      </c>
      <c r="Q27" s="11">
        <f t="shared" si="3"/>
        <v>4.597067931592794</v>
      </c>
      <c r="R27" s="29">
        <f t="shared" si="4"/>
        <v>0.4480573032741515</v>
      </c>
      <c r="S27" s="91">
        <v>143.80000000000001</v>
      </c>
      <c r="T27" s="91">
        <f t="shared" si="10"/>
        <v>1475.3880000000001</v>
      </c>
      <c r="U27" s="90">
        <f t="shared" si="8"/>
        <v>661.05836856304381</v>
      </c>
      <c r="V27" s="90">
        <f t="shared" si="11"/>
        <v>661.05836856304381</v>
      </c>
      <c r="W27" s="90">
        <f t="shared" si="12"/>
        <v>0</v>
      </c>
      <c r="Y27" s="34">
        <f t="shared" si="7"/>
        <v>0.6545711500974658</v>
      </c>
      <c r="Z27" s="34"/>
      <c r="AA27" s="4"/>
      <c r="AB27" s="4"/>
      <c r="AE27" s="4"/>
    </row>
    <row r="28" spans="1:31" x14ac:dyDescent="0.25">
      <c r="A28" s="1" t="s">
        <v>123</v>
      </c>
      <c r="B28" s="1" t="s">
        <v>552</v>
      </c>
      <c r="C28" s="1" t="s">
        <v>571</v>
      </c>
      <c r="D28" s="1" t="s">
        <v>554</v>
      </c>
      <c r="E28" s="1">
        <f>VLOOKUP(A28,BOM!A:E,5,0)</f>
        <v>4</v>
      </c>
      <c r="F28" s="122">
        <v>6.36</v>
      </c>
      <c r="G28" s="10">
        <v>6.56</v>
      </c>
      <c r="H28" s="11" t="s">
        <v>1874</v>
      </c>
      <c r="I28" s="49">
        <f>SUMIFS(BOM!Q:Q,BOM!A:A,'All Products'!A28,BOM!I:I,'All Products'!I$3)</f>
        <v>2.0177883977167128</v>
      </c>
      <c r="J28" s="49">
        <f>SUMIFS(BOM!Q:Q,BOM!A:A,'All Products'!A28,BOM!I:I,'All Products'!J$3)+0.03</f>
        <v>0.63000000000000012</v>
      </c>
      <c r="K28" s="29">
        <f t="shared" si="0"/>
        <v>0.40362628013974289</v>
      </c>
      <c r="L28" s="49">
        <f>SUMIF(BOM!A:A,'All Products'!A28,BOM!S:S)</f>
        <v>1.2258021276595745</v>
      </c>
      <c r="M28" s="49">
        <f>SUMIF(BOM!A:A,'All Products'!A28,BOM!V:V)</f>
        <v>0.59237499999999998</v>
      </c>
      <c r="N28" s="29">
        <f t="shared" si="1"/>
        <v>0.2771611475090815</v>
      </c>
      <c r="O28" s="55">
        <v>0</v>
      </c>
      <c r="P28" s="49">
        <f t="shared" si="2"/>
        <v>4.465965525376288</v>
      </c>
      <c r="Q28" s="11">
        <f t="shared" si="3"/>
        <v>2.0940344746237116</v>
      </c>
      <c r="R28" s="29">
        <f t="shared" si="4"/>
        <v>0.31921257235117556</v>
      </c>
      <c r="S28" s="91">
        <v>325.8</v>
      </c>
      <c r="T28" s="91">
        <f t="shared" si="10"/>
        <v>2137.248</v>
      </c>
      <c r="U28" s="90">
        <f t="shared" si="8"/>
        <v>682.23643183240529</v>
      </c>
      <c r="V28" s="90">
        <f t="shared" si="11"/>
        <v>682.23643183240529</v>
      </c>
      <c r="W28" s="90">
        <f t="shared" si="12"/>
        <v>0</v>
      </c>
      <c r="Y28" s="34">
        <f t="shared" si="7"/>
        <v>0.6924103052261108</v>
      </c>
      <c r="Z28" s="34"/>
      <c r="AA28" s="4"/>
      <c r="AB28" s="4"/>
      <c r="AE28" s="4"/>
    </row>
    <row r="29" spans="1:31" x14ac:dyDescent="0.25">
      <c r="A29" s="1" t="s">
        <v>114</v>
      </c>
      <c r="B29" s="1" t="s">
        <v>552</v>
      </c>
      <c r="C29" s="1" t="s">
        <v>115</v>
      </c>
      <c r="D29" s="1" t="s">
        <v>554</v>
      </c>
      <c r="E29" s="1">
        <f>VLOOKUP(A29,BOM!A:E,5,0)</f>
        <v>2.7</v>
      </c>
      <c r="F29" s="122">
        <v>11.75</v>
      </c>
      <c r="G29" s="10">
        <v>12.09</v>
      </c>
      <c r="H29" s="11" t="s">
        <v>1874</v>
      </c>
      <c r="I29" s="49">
        <f>SUMIFS(BOM!Q:Q,BOM!A:A,'All Products'!A29,BOM!I:I,'All Products'!I$3)</f>
        <v>5.5304569665515553</v>
      </c>
      <c r="J29" s="49">
        <f>SUMIFS(BOM!Q:Q,BOM!A:A,'All Products'!A29,BOM!I:I,'All Products'!J$3)+0.03</f>
        <v>0.75000000000000011</v>
      </c>
      <c r="K29" s="29">
        <f t="shared" si="0"/>
        <v>0.51947534876356949</v>
      </c>
      <c r="L29" s="49">
        <f>SUMIF(BOM!A:A,'All Products'!A29,BOM!S:S)</f>
        <v>3.090548207220039</v>
      </c>
      <c r="M29" s="49">
        <f>SUMIF(BOM!A:A,'All Products'!A29,BOM!V:V)</f>
        <v>0.60929999999999995</v>
      </c>
      <c r="N29" s="29">
        <f t="shared" si="1"/>
        <v>0.30602549273945728</v>
      </c>
      <c r="O29" s="55">
        <v>0</v>
      </c>
      <c r="P29" s="49">
        <f t="shared" si="2"/>
        <v>9.980305173771594</v>
      </c>
      <c r="Q29" s="11">
        <f t="shared" si="3"/>
        <v>2.1096948262284059</v>
      </c>
      <c r="R29" s="29">
        <f t="shared" si="4"/>
        <v>0.1744991584969732</v>
      </c>
      <c r="S29" s="91">
        <v>291.2</v>
      </c>
      <c r="T29" s="91">
        <f t="shared" si="10"/>
        <v>3520.6079999999997</v>
      </c>
      <c r="U29" s="90">
        <f t="shared" si="8"/>
        <v>614.34313339771177</v>
      </c>
      <c r="V29" s="90">
        <f t="shared" si="11"/>
        <v>614.34313339771177</v>
      </c>
      <c r="W29" s="90">
        <f t="shared" si="12"/>
        <v>0</v>
      </c>
      <c r="Y29" s="34">
        <f t="shared" si="7"/>
        <v>0.54255939069052483</v>
      </c>
      <c r="Z29" s="34"/>
      <c r="AA29" s="4"/>
      <c r="AB29" s="4"/>
      <c r="AE29" s="4"/>
    </row>
    <row r="30" spans="1:31" x14ac:dyDescent="0.25">
      <c r="A30" s="1" t="s">
        <v>224</v>
      </c>
      <c r="B30" s="1" t="s">
        <v>552</v>
      </c>
      <c r="C30" s="1" t="s">
        <v>572</v>
      </c>
      <c r="D30" s="1" t="s">
        <v>554</v>
      </c>
      <c r="E30" s="1">
        <f>VLOOKUP(A30,BOM!A:E,5,0)</f>
        <v>2.5</v>
      </c>
      <c r="F30" s="122">
        <v>8.09</v>
      </c>
      <c r="G30" s="10">
        <v>8.42</v>
      </c>
      <c r="H30" s="11" t="s">
        <v>1874</v>
      </c>
      <c r="I30" s="49">
        <f>SUMIFS(BOM!Q:Q,BOM!A:A,'All Products'!A30,BOM!I:I,'All Products'!I$3)</f>
        <v>2.1436438296075693</v>
      </c>
      <c r="J30" s="49">
        <f>SUMIFS(BOM!Q:Q,BOM!A:A,'All Products'!A30,BOM!I:I,'All Products'!J$3)+0.03</f>
        <v>0.4</v>
      </c>
      <c r="K30" s="29">
        <f t="shared" si="0"/>
        <v>0.30209546669923626</v>
      </c>
      <c r="L30" s="49">
        <f>SUMIF(BOM!A:A,'All Products'!A30,BOM!S:S)</f>
        <v>2.8236505919094279</v>
      </c>
      <c r="M30" s="49">
        <f>SUMIF(BOM!A:A,'All Products'!A30,BOM!V:V)</f>
        <v>0.29618749999999999</v>
      </c>
      <c r="N30" s="29">
        <f t="shared" si="1"/>
        <v>0.37052708930040712</v>
      </c>
      <c r="O30" s="55">
        <v>0</v>
      </c>
      <c r="P30" s="49">
        <f t="shared" si="2"/>
        <v>5.6634819215169969</v>
      </c>
      <c r="Q30" s="11">
        <f t="shared" si="3"/>
        <v>2.756518078483003</v>
      </c>
      <c r="R30" s="29">
        <f t="shared" si="4"/>
        <v>0.32737744400035668</v>
      </c>
      <c r="S30" s="91">
        <v>282.60000000000002</v>
      </c>
      <c r="T30" s="91">
        <f t="shared" si="10"/>
        <v>2379.4920000000002</v>
      </c>
      <c r="U30" s="90">
        <f t="shared" si="8"/>
        <v>778.99200897929666</v>
      </c>
      <c r="V30" s="90">
        <f t="shared" si="11"/>
        <v>778.99200897929666</v>
      </c>
      <c r="W30" s="90">
        <f t="shared" si="12"/>
        <v>0</v>
      </c>
      <c r="Y30" s="34">
        <f t="shared" si="7"/>
        <v>0.74541047154304407</v>
      </c>
      <c r="Z30" s="34"/>
      <c r="AA30" s="4"/>
      <c r="AB30" s="4"/>
      <c r="AE30" s="4"/>
    </row>
    <row r="31" spans="1:31" x14ac:dyDescent="0.25">
      <c r="A31" s="1" t="s">
        <v>100</v>
      </c>
      <c r="B31" s="1" t="s">
        <v>552</v>
      </c>
      <c r="C31" s="1" t="s">
        <v>573</v>
      </c>
      <c r="D31" s="1" t="s">
        <v>554</v>
      </c>
      <c r="E31" s="1">
        <f>VLOOKUP(A31,BOM!A:E,5,0)</f>
        <v>2.5</v>
      </c>
      <c r="F31" s="122">
        <v>6.48</v>
      </c>
      <c r="G31" s="10">
        <v>6.01</v>
      </c>
      <c r="H31" s="11" t="s">
        <v>1874</v>
      </c>
      <c r="I31" s="49">
        <f>SUMIFS(BOM!Q:Q,BOM!A:A,'All Products'!A31,BOM!I:I,'All Products'!I$3)</f>
        <v>3.1877446294005183</v>
      </c>
      <c r="J31" s="49">
        <f>SUMIFS(BOM!Q:Q,BOM!A:A,'All Products'!A31,BOM!I:I,'All Products'!J$3)+0.03</f>
        <v>0.4</v>
      </c>
      <c r="K31" s="29">
        <f t="shared" si="0"/>
        <v>0.59696250073219936</v>
      </c>
      <c r="L31" s="49">
        <f>SUMIF(BOM!A:A,'All Products'!A31,BOM!S:S)</f>
        <v>0.61776249999999988</v>
      </c>
      <c r="M31" s="49">
        <f>SUMIF(BOM!A:A,'All Products'!A31,BOM!V:V)</f>
        <v>0.29618749999999999</v>
      </c>
      <c r="N31" s="29">
        <f t="shared" si="1"/>
        <v>0.15207154742096504</v>
      </c>
      <c r="O31" s="55">
        <v>0</v>
      </c>
      <c r="P31" s="49">
        <f t="shared" si="2"/>
        <v>4.501694629400518</v>
      </c>
      <c r="Q31" s="11">
        <f t="shared" si="3"/>
        <v>1.5083053705994818</v>
      </c>
      <c r="R31" s="29">
        <f t="shared" si="4"/>
        <v>0.25096595184683557</v>
      </c>
      <c r="S31" s="91">
        <v>315.39999999999998</v>
      </c>
      <c r="T31" s="91">
        <f t="shared" si="10"/>
        <v>1895.5539999999999</v>
      </c>
      <c r="U31" s="90">
        <f t="shared" si="8"/>
        <v>475.71951388707652</v>
      </c>
      <c r="V31" s="90">
        <f t="shared" si="11"/>
        <v>475.71951388707652</v>
      </c>
      <c r="W31" s="90">
        <f t="shared" si="12"/>
        <v>0</v>
      </c>
      <c r="Y31" s="34">
        <f t="shared" si="7"/>
        <v>0.46959323970041289</v>
      </c>
      <c r="Z31" s="34"/>
      <c r="AA31" s="4"/>
      <c r="AB31" s="4"/>
      <c r="AE31" s="4"/>
    </row>
    <row r="32" spans="1:31" x14ac:dyDescent="0.25">
      <c r="A32" s="1" t="s">
        <v>228</v>
      </c>
      <c r="B32" s="1" t="s">
        <v>552</v>
      </c>
      <c r="C32" s="1" t="s">
        <v>574</v>
      </c>
      <c r="D32" s="1" t="s">
        <v>554</v>
      </c>
      <c r="E32" s="1">
        <f>VLOOKUP(A32,BOM!A:E,5,0)</f>
        <v>2.5</v>
      </c>
      <c r="F32" s="122">
        <v>7.01</v>
      </c>
      <c r="G32" s="10">
        <v>7.09</v>
      </c>
      <c r="H32" s="11" t="s">
        <v>1874</v>
      </c>
      <c r="I32" s="49">
        <f>SUMIFS(BOM!Q:Q,BOM!A:A,'All Products'!A32,BOM!I:I,'All Products'!I$3)</f>
        <v>2.43366368286445</v>
      </c>
      <c r="J32" s="49">
        <f>SUMIFS(BOM!Q:Q,BOM!A:A,'All Products'!A32,BOM!I:I,'All Products'!J$3)+0.03</f>
        <v>0.4</v>
      </c>
      <c r="K32" s="29">
        <f t="shared" si="0"/>
        <v>0.39967047713179832</v>
      </c>
      <c r="L32" s="49">
        <f>SUMIF(BOM!A:A,'All Products'!A32,BOM!S:S)</f>
        <v>0.42312499999999997</v>
      </c>
      <c r="M32" s="49">
        <f>SUMIF(BOM!A:A,'All Products'!A32,BOM!V:V)</f>
        <v>0.29618749999999999</v>
      </c>
      <c r="N32" s="29">
        <f t="shared" si="1"/>
        <v>0.10145451339915375</v>
      </c>
      <c r="O32" s="55">
        <v>0</v>
      </c>
      <c r="P32" s="49">
        <f t="shared" si="2"/>
        <v>3.5529761828644499</v>
      </c>
      <c r="Q32" s="11">
        <f t="shared" si="3"/>
        <v>3.5370238171355499</v>
      </c>
      <c r="R32" s="29">
        <f t="shared" si="4"/>
        <v>0.49887500946904795</v>
      </c>
      <c r="S32" s="91">
        <v>280.2</v>
      </c>
      <c r="T32" s="91">
        <f t="shared" si="10"/>
        <v>1986.6179999999999</v>
      </c>
      <c r="U32" s="90">
        <f t="shared" si="8"/>
        <v>991.07407356138106</v>
      </c>
      <c r="V32" s="90">
        <f t="shared" si="11"/>
        <v>991.07407356138106</v>
      </c>
      <c r="W32" s="90">
        <f t="shared" si="12"/>
        <v>0</v>
      </c>
      <c r="Y32" s="34">
        <f t="shared" si="7"/>
        <v>0.65674701228992238</v>
      </c>
      <c r="Z32" s="34"/>
      <c r="AA32" s="4"/>
      <c r="AB32" s="4"/>
      <c r="AE32" s="4"/>
    </row>
    <row r="33" spans="1:31" x14ac:dyDescent="0.25">
      <c r="A33" s="1" t="s">
        <v>369</v>
      </c>
      <c r="B33" s="1" t="s">
        <v>552</v>
      </c>
      <c r="C33" s="1" t="s">
        <v>370</v>
      </c>
      <c r="D33" s="1" t="s">
        <v>554</v>
      </c>
      <c r="E33" s="1">
        <f>VLOOKUP(A33,BOM!A:E,5,0)</f>
        <v>2.7</v>
      </c>
      <c r="F33" s="122">
        <v>14.92</v>
      </c>
      <c r="G33" s="10">
        <v>15.35</v>
      </c>
      <c r="H33" s="11" t="s">
        <v>1874</v>
      </c>
      <c r="I33" s="49">
        <f>SUMIFS(BOM!Q:Q,BOM!A:A,'All Products'!A33,BOM!I:I,'All Products'!I$3)</f>
        <v>3.1606380622837364</v>
      </c>
      <c r="J33" s="49">
        <f>SUMIFS(BOM!Q:Q,BOM!A:A,'All Products'!A33,BOM!I:I,'All Products'!J$3)+0.03</f>
        <v>0.75000000000000011</v>
      </c>
      <c r="K33" s="29">
        <f t="shared" si="0"/>
        <v>0.25476469461131834</v>
      </c>
      <c r="L33" s="49">
        <f>SUMIF(BOM!A:A,'All Products'!A33,BOM!S:S)</f>
        <v>1.4031147989409667</v>
      </c>
      <c r="M33" s="49">
        <f>SUMIF(BOM!A:A,'All Products'!A33,BOM!V:V)</f>
        <v>0.27079999999999999</v>
      </c>
      <c r="N33" s="29">
        <f t="shared" si="1"/>
        <v>0.10904982403524213</v>
      </c>
      <c r="O33" s="55">
        <v>0</v>
      </c>
      <c r="P33" s="49">
        <f t="shared" si="2"/>
        <v>5.5845528612247026</v>
      </c>
      <c r="Q33" s="11">
        <f t="shared" si="3"/>
        <v>9.765447138775297</v>
      </c>
      <c r="R33" s="29">
        <f t="shared" si="4"/>
        <v>0.63618548135343955</v>
      </c>
      <c r="S33" s="91">
        <v>77.2</v>
      </c>
      <c r="T33" s="91">
        <f t="shared" si="10"/>
        <v>1185.02</v>
      </c>
      <c r="U33" s="90">
        <f t="shared" si="8"/>
        <v>753.89251911345298</v>
      </c>
      <c r="V33" s="90">
        <f t="shared" si="11"/>
        <v>753.89251911345298</v>
      </c>
      <c r="W33" s="90">
        <f t="shared" si="12"/>
        <v>0</v>
      </c>
      <c r="Y33" s="34">
        <f t="shared" si="7"/>
        <v>0.79409524024210187</v>
      </c>
      <c r="Z33" s="34"/>
      <c r="AA33" s="4"/>
      <c r="AB33" s="4"/>
      <c r="AE33" s="4"/>
    </row>
    <row r="34" spans="1:31" x14ac:dyDescent="0.25">
      <c r="A34" s="1" t="s">
        <v>130</v>
      </c>
      <c r="B34" s="1" t="s">
        <v>552</v>
      </c>
      <c r="C34" s="59" t="s">
        <v>575</v>
      </c>
      <c r="D34" s="1" t="s">
        <v>554</v>
      </c>
      <c r="E34" s="1">
        <f>VLOOKUP(A34,BOM!A:E,5,0)</f>
        <v>2.5</v>
      </c>
      <c r="F34" s="122">
        <v>7.07</v>
      </c>
      <c r="G34" s="10">
        <v>7.22</v>
      </c>
      <c r="H34" s="11" t="s">
        <v>1874</v>
      </c>
      <c r="I34" s="49">
        <f>SUMIFS(BOM!Q:Q,BOM!A:A,'All Products'!A34,BOM!I:I,'All Products'!I$3)</f>
        <v>2.6388888888888888</v>
      </c>
      <c r="J34" s="49">
        <f>SUMIFS(BOM!Q:Q,BOM!A:A,'All Products'!A34,BOM!I:I,'All Products'!J$3)+0.03</f>
        <v>0.4</v>
      </c>
      <c r="K34" s="29">
        <f t="shared" si="0"/>
        <v>0.42089873807325329</v>
      </c>
      <c r="L34" s="49">
        <f>SUMIF(BOM!A:A,'All Products'!A34,BOM!S:S)</f>
        <v>0.73650690543071162</v>
      </c>
      <c r="M34" s="49">
        <f>SUMIF(BOM!A:A,'All Products'!A34,BOM!V:V)</f>
        <v>0.29618749999999999</v>
      </c>
      <c r="N34" s="29">
        <f t="shared" si="1"/>
        <v>0.14303246612613735</v>
      </c>
      <c r="O34" s="55">
        <v>0</v>
      </c>
      <c r="P34" s="49">
        <f t="shared" si="2"/>
        <v>4.0715832943196002</v>
      </c>
      <c r="Q34" s="11">
        <f t="shared" si="3"/>
        <v>3.1484167056803996</v>
      </c>
      <c r="R34" s="29">
        <f t="shared" si="4"/>
        <v>0.43606879580060937</v>
      </c>
      <c r="S34" s="91">
        <v>265.60000000000002</v>
      </c>
      <c r="T34" s="91">
        <f t="shared" si="10"/>
        <v>1917.6320000000001</v>
      </c>
      <c r="U34" s="90">
        <f t="shared" si="8"/>
        <v>836.21947702871421</v>
      </c>
      <c r="V34" s="90">
        <f t="shared" si="11"/>
        <v>836.21947702871421</v>
      </c>
      <c r="W34" s="90">
        <f t="shared" si="12"/>
        <v>0</v>
      </c>
      <c r="Y34" s="34">
        <f t="shared" si="7"/>
        <v>0.63450292397660824</v>
      </c>
      <c r="Z34" s="34"/>
      <c r="AA34" s="4"/>
      <c r="AB34" s="4"/>
      <c r="AE34" s="4"/>
    </row>
    <row r="35" spans="1:31" x14ac:dyDescent="0.25">
      <c r="A35" s="1" t="s">
        <v>576</v>
      </c>
      <c r="B35" s="1" t="s">
        <v>552</v>
      </c>
      <c r="C35" s="1" t="s">
        <v>577</v>
      </c>
      <c r="D35" s="1" t="s">
        <v>554</v>
      </c>
      <c r="E35" s="1">
        <f>VLOOKUP(A35,BOM!A:E,5,0)</f>
        <v>2</v>
      </c>
      <c r="F35" s="122">
        <v>6.22</v>
      </c>
      <c r="G35" s="10">
        <v>10.28</v>
      </c>
      <c r="H35" s="11" t="s">
        <v>1874</v>
      </c>
      <c r="I35" s="49">
        <f>SUMIFS(BOM!Q:Q,BOM!A:A,'All Products'!A35,BOM!I:I,'All Products'!I$3)</f>
        <v>3.4452502141038002</v>
      </c>
      <c r="J35" s="49">
        <f>SUMIFS(BOM!Q:Q,BOM!A:A,'All Products'!A35,BOM!I:I,'All Products'!J$3)+0.03</f>
        <v>0.49</v>
      </c>
      <c r="K35" s="29">
        <f t="shared" si="0"/>
        <v>0.38280644106068101</v>
      </c>
      <c r="L35" s="49">
        <f>SUMIF(BOM!A:A,'All Products'!A35,BOM!S:S)</f>
        <v>2.5081228937116582</v>
      </c>
      <c r="M35" s="49">
        <f>SUMIF(BOM!A:A,'All Products'!A35,BOM!V:V)</f>
        <v>0.48743999999999993</v>
      </c>
      <c r="N35" s="29">
        <f t="shared" si="1"/>
        <v>0.29139716864899401</v>
      </c>
      <c r="O35" s="55">
        <v>0</v>
      </c>
      <c r="P35" s="49">
        <f t="shared" si="2"/>
        <v>6.9308131078154585</v>
      </c>
      <c r="Q35" s="11">
        <f t="shared" si="3"/>
        <v>3.3491868921845409</v>
      </c>
      <c r="R35" s="29">
        <f t="shared" si="4"/>
        <v>0.32579639029032503</v>
      </c>
      <c r="S35" s="91">
        <v>0</v>
      </c>
      <c r="T35" s="91">
        <f t="shared" si="10"/>
        <v>0</v>
      </c>
      <c r="U35" s="90">
        <f t="shared" si="8"/>
        <v>0</v>
      </c>
      <c r="V35" s="90">
        <f t="shared" si="11"/>
        <v>0</v>
      </c>
      <c r="W35" s="90">
        <f t="shared" si="12"/>
        <v>0</v>
      </c>
      <c r="Y35" s="34">
        <f t="shared" si="7"/>
        <v>0.66485892858912443</v>
      </c>
      <c r="Z35" s="34"/>
      <c r="AA35" s="4"/>
      <c r="AB35" s="4"/>
      <c r="AE35" s="4"/>
    </row>
    <row r="36" spans="1:31" x14ac:dyDescent="0.25">
      <c r="A36" s="1" t="s">
        <v>88</v>
      </c>
      <c r="B36" s="1" t="s">
        <v>552</v>
      </c>
      <c r="C36" s="1" t="s">
        <v>578</v>
      </c>
      <c r="D36" s="1" t="s">
        <v>554</v>
      </c>
      <c r="E36" s="1">
        <f>VLOOKUP(A36,BOM!A:E,5,0)</f>
        <v>2.5</v>
      </c>
      <c r="F36" s="122">
        <v>11.78</v>
      </c>
      <c r="G36" s="10">
        <v>11.87</v>
      </c>
      <c r="H36" s="11" t="s">
        <v>1874</v>
      </c>
      <c r="I36" s="49">
        <f>SUMIFS(BOM!Q:Q,BOM!A:A,'All Products'!A36,BOM!I:I,'All Products'!I$3)</f>
        <v>4.4223116895078762</v>
      </c>
      <c r="J36" s="49">
        <f>SUMIFS(BOM!Q:Q,BOM!A:A,'All Products'!A36,BOM!I:I,'All Products'!J$3)+0.03</f>
        <v>0.4</v>
      </c>
      <c r="K36" s="29">
        <f t="shared" si="0"/>
        <v>0.40626046246907133</v>
      </c>
      <c r="L36" s="49">
        <f>SUMIF(BOM!A:A,'All Products'!A36,BOM!S:S)</f>
        <v>1.204624350411224</v>
      </c>
      <c r="M36" s="49">
        <f>SUMIF(BOM!A:A,'All Products'!A36,BOM!V:V)</f>
        <v>0.29618749999999999</v>
      </c>
      <c r="N36" s="29">
        <f t="shared" si="1"/>
        <v>0.12643739262099613</v>
      </c>
      <c r="O36" s="55">
        <v>0</v>
      </c>
      <c r="P36" s="49">
        <f t="shared" si="2"/>
        <v>6.3231235399191004</v>
      </c>
      <c r="Q36" s="11">
        <f t="shared" si="3"/>
        <v>5.5468764600808989</v>
      </c>
      <c r="R36" s="29">
        <f t="shared" si="4"/>
        <v>0.46730214490993255</v>
      </c>
      <c r="S36" s="91">
        <v>272</v>
      </c>
      <c r="T36" s="91">
        <f t="shared" si="10"/>
        <v>3228.64</v>
      </c>
      <c r="U36" s="90">
        <f t="shared" si="8"/>
        <v>1508.7503971420044</v>
      </c>
      <c r="V36" s="90">
        <f t="shared" si="11"/>
        <v>1508.7503971420044</v>
      </c>
      <c r="W36" s="90">
        <f t="shared" si="12"/>
        <v>0</v>
      </c>
      <c r="Y36" s="34">
        <f t="shared" si="7"/>
        <v>0.6274379368569607</v>
      </c>
      <c r="Z36" s="34"/>
      <c r="AA36" s="4"/>
      <c r="AB36" s="4"/>
      <c r="AE36" s="4"/>
    </row>
    <row r="37" spans="1:31" x14ac:dyDescent="0.25">
      <c r="A37" s="1" t="s">
        <v>131</v>
      </c>
      <c r="B37" s="1" t="s">
        <v>552</v>
      </c>
      <c r="C37" s="1" t="s">
        <v>579</v>
      </c>
      <c r="D37" s="1" t="s">
        <v>554</v>
      </c>
      <c r="E37" s="1">
        <f>VLOOKUP(A37,BOM!A:E,5,0)</f>
        <v>0.5</v>
      </c>
      <c r="F37" s="122">
        <v>1.88</v>
      </c>
      <c r="G37" s="10">
        <v>1.84</v>
      </c>
      <c r="H37" s="11" t="s">
        <v>1874</v>
      </c>
      <c r="I37" s="49">
        <f>SUMIFS(BOM!Q:Q,BOM!A:A,'All Products'!A37,BOM!I:I,'All Products'!I$3)</f>
        <v>0.33173348390739693</v>
      </c>
      <c r="J37" s="49">
        <f>SUMIFS(BOM!Q:Q,BOM!A:A,'All Products'!A37,BOM!I:I,'All Products'!J$3)+0.03</f>
        <v>0.4</v>
      </c>
      <c r="K37" s="29">
        <f t="shared" si="0"/>
        <v>0.3976812412540201</v>
      </c>
      <c r="L37" s="49">
        <f>SUMIF(BOM!A:A,'All Products'!A37,BOM!S:S)</f>
        <v>0.27079999999999993</v>
      </c>
      <c r="M37" s="49">
        <f>SUMIF(BOM!A:A,'All Products'!A37,BOM!V:V)</f>
        <v>0.18786749999999997</v>
      </c>
      <c r="N37" s="29">
        <f t="shared" si="1"/>
        <v>0.24927581521739123</v>
      </c>
      <c r="O37" s="55">
        <v>0</v>
      </c>
      <c r="P37" s="49">
        <f t="shared" si="2"/>
        <v>1.1904009839073968</v>
      </c>
      <c r="Q37" s="11">
        <f t="shared" si="3"/>
        <v>0.64959901609260329</v>
      </c>
      <c r="R37" s="29">
        <f t="shared" si="4"/>
        <v>0.35304294352858873</v>
      </c>
      <c r="S37" s="91">
        <v>366</v>
      </c>
      <c r="T37" s="91">
        <f t="shared" si="10"/>
        <v>673.44</v>
      </c>
      <c r="U37" s="90">
        <f t="shared" si="8"/>
        <v>237.7532398898928</v>
      </c>
      <c r="V37" s="90">
        <f t="shared" si="11"/>
        <v>237.7532398898928</v>
      </c>
      <c r="W37" s="90">
        <f t="shared" si="12"/>
        <v>0</v>
      </c>
      <c r="Y37" s="34">
        <f t="shared" si="7"/>
        <v>0.81971006309380601</v>
      </c>
      <c r="Z37" s="34"/>
      <c r="AA37" s="4"/>
      <c r="AB37" s="4"/>
      <c r="AE37" s="4"/>
    </row>
    <row r="38" spans="1:31" x14ac:dyDescent="0.25">
      <c r="A38" s="1" t="s">
        <v>395</v>
      </c>
      <c r="B38" s="1" t="s">
        <v>552</v>
      </c>
      <c r="C38" s="1" t="s">
        <v>580</v>
      </c>
      <c r="D38" s="1" t="s">
        <v>554</v>
      </c>
      <c r="E38" s="1">
        <f>VLOOKUP(A38,BOM!A:E,5,0)</f>
        <v>1</v>
      </c>
      <c r="F38" s="122">
        <v>3.05</v>
      </c>
      <c r="G38" s="10">
        <v>3.01</v>
      </c>
      <c r="H38" s="11" t="s">
        <v>1874</v>
      </c>
      <c r="I38" s="49">
        <f>SUMIFS(BOM!Q:Q,BOM!A:A,'All Products'!A38,BOM!I:I,'All Products'!I$3)</f>
        <v>0.89652023952071624</v>
      </c>
      <c r="J38" s="49">
        <f>SUMIFS(BOM!Q:Q,BOM!A:A,'All Products'!A38,BOM!I:I,'All Products'!J$3)+0.03</f>
        <v>0.4</v>
      </c>
      <c r="K38" s="29">
        <f t="shared" si="0"/>
        <v>0.43073762110322805</v>
      </c>
      <c r="L38" s="49">
        <f>SUMIF(BOM!A:A,'All Products'!A38,BOM!S:S)</f>
        <v>0.57639525370895051</v>
      </c>
      <c r="M38" s="49">
        <f>SUMIF(BOM!A:A,'All Products'!A38,BOM!V:V)</f>
        <v>0.21833249999999998</v>
      </c>
      <c r="N38" s="29">
        <f t="shared" si="1"/>
        <v>0.26402915405612976</v>
      </c>
      <c r="O38" s="55">
        <v>0</v>
      </c>
      <c r="P38" s="49">
        <f t="shared" si="2"/>
        <v>2.0912479932296666</v>
      </c>
      <c r="Q38" s="11">
        <f t="shared" si="3"/>
        <v>0.9187520067703332</v>
      </c>
      <c r="R38" s="29">
        <f t="shared" si="4"/>
        <v>0.3052332248406423</v>
      </c>
      <c r="S38" s="91">
        <v>217.2</v>
      </c>
      <c r="T38" s="91">
        <f t="shared" si="10"/>
        <v>653.77199999999993</v>
      </c>
      <c r="U38" s="90">
        <f t="shared" si="8"/>
        <v>199.55293587051636</v>
      </c>
      <c r="V38" s="90">
        <f t="shared" si="11"/>
        <v>199.55293587051636</v>
      </c>
      <c r="W38" s="90">
        <f t="shared" si="12"/>
        <v>0</v>
      </c>
      <c r="Y38" s="34">
        <f t="shared" si="7"/>
        <v>0.70215274434527697</v>
      </c>
      <c r="Z38" s="34"/>
      <c r="AA38" s="4"/>
      <c r="AB38" s="4"/>
      <c r="AE38" s="4"/>
    </row>
    <row r="39" spans="1:31" x14ac:dyDescent="0.25">
      <c r="A39" s="134" t="s">
        <v>86</v>
      </c>
      <c r="B39" s="1" t="s">
        <v>552</v>
      </c>
      <c r="C39" s="1" t="s">
        <v>581</v>
      </c>
      <c r="D39" s="1" t="s">
        <v>554</v>
      </c>
      <c r="E39" s="1">
        <f>VLOOKUP(A39,BOM!A:E,5,0)</f>
        <v>2.5</v>
      </c>
      <c r="F39" s="122">
        <v>6.68</v>
      </c>
      <c r="G39" s="10">
        <v>6.09</v>
      </c>
      <c r="H39" s="11" t="s">
        <v>1874</v>
      </c>
      <c r="I39" s="49">
        <f>SUMIFS(BOM!Q:Q,BOM!A:A,'All Products'!A39,BOM!I:I,'All Products'!I$3)</f>
        <v>2.6983784417238059</v>
      </c>
      <c r="J39" s="49">
        <f>SUMIFS(BOM!Q:Q,BOM!A:A,'All Products'!A39,BOM!I:I,'All Products'!J$3)+0.03</f>
        <v>0.4</v>
      </c>
      <c r="K39" s="29">
        <f t="shared" si="0"/>
        <v>0.50876493295957403</v>
      </c>
      <c r="L39" s="49">
        <f>SUMIF(BOM!A:A,'All Products'!A39,BOM!S:S)</f>
        <v>1.1022468510140422</v>
      </c>
      <c r="M39" s="49">
        <f>SUMIF(BOM!A:A,'All Products'!A39,BOM!V:V)</f>
        <v>0.29618749999999999</v>
      </c>
      <c r="N39" s="29">
        <f t="shared" si="1"/>
        <v>0.22962797225189527</v>
      </c>
      <c r="O39" s="55">
        <v>0</v>
      </c>
      <c r="P39" s="49">
        <f t="shared" si="2"/>
        <v>4.4968127927378481</v>
      </c>
      <c r="Q39" s="11">
        <f t="shared" si="3"/>
        <v>1.5931872072621518</v>
      </c>
      <c r="R39" s="29">
        <f t="shared" si="4"/>
        <v>0.26160709478853067</v>
      </c>
      <c r="S39" s="91">
        <v>228.8</v>
      </c>
      <c r="T39" s="91">
        <f t="shared" si="10"/>
        <v>1393.3920000000001</v>
      </c>
      <c r="U39" s="90">
        <f t="shared" si="8"/>
        <v>364.52123302158037</v>
      </c>
      <c r="V39" s="90">
        <f t="shared" si="11"/>
        <v>364.52123302158037</v>
      </c>
      <c r="W39" s="90">
        <f t="shared" si="12"/>
        <v>0</v>
      </c>
      <c r="Y39" s="34">
        <f t="shared" si="7"/>
        <v>0.55691651203221582</v>
      </c>
      <c r="Z39" s="34"/>
      <c r="AA39" s="4"/>
      <c r="AB39" s="4"/>
      <c r="AE39" s="4"/>
    </row>
    <row r="40" spans="1:31" x14ac:dyDescent="0.25">
      <c r="A40" s="1" t="s">
        <v>91</v>
      </c>
      <c r="B40" s="1" t="s">
        <v>552</v>
      </c>
      <c r="C40" s="1" t="s">
        <v>582</v>
      </c>
      <c r="D40" s="1" t="s">
        <v>554</v>
      </c>
      <c r="E40" s="1">
        <f>VLOOKUP(A40,BOM!A:E,5,0)</f>
        <v>1</v>
      </c>
      <c r="F40" s="122">
        <v>4.7300000000000004</v>
      </c>
      <c r="G40" s="10">
        <v>4.78</v>
      </c>
      <c r="H40" s="11" t="s">
        <v>1874</v>
      </c>
      <c r="I40" s="49">
        <f>SUMIFS(BOM!Q:Q,BOM!A:A,'All Products'!A40,BOM!I:I,'All Products'!I$3)</f>
        <v>1.8600333657588632</v>
      </c>
      <c r="J40" s="49">
        <f>SUMIFS(BOM!Q:Q,BOM!A:A,'All Products'!A40,BOM!I:I,'All Products'!J$3)+0.03</f>
        <v>0.12</v>
      </c>
      <c r="K40" s="29">
        <f t="shared" si="0"/>
        <v>0.41423292170687515</v>
      </c>
      <c r="L40" s="49">
        <f>SUMIF(BOM!A:A,'All Products'!A40,BOM!S:S)</f>
        <v>1.1602167994072523</v>
      </c>
      <c r="M40" s="49">
        <f>SUMIF(BOM!A:A,'All Products'!A40,BOM!V:V)</f>
        <v>0.21833249999999998</v>
      </c>
      <c r="N40" s="29">
        <f t="shared" si="1"/>
        <v>0.2883994350224377</v>
      </c>
      <c r="O40" s="55">
        <v>0</v>
      </c>
      <c r="P40" s="49">
        <f t="shared" si="2"/>
        <v>3.3585826651661153</v>
      </c>
      <c r="Q40" s="11">
        <f t="shared" si="3"/>
        <v>1.421417334833885</v>
      </c>
      <c r="R40" s="29">
        <f t="shared" si="4"/>
        <v>0.29736764327068721</v>
      </c>
      <c r="S40" s="91">
        <v>586</v>
      </c>
      <c r="T40" s="91">
        <f t="shared" si="10"/>
        <v>2801.08</v>
      </c>
      <c r="U40" s="90">
        <f t="shared" si="8"/>
        <v>832.95055821265657</v>
      </c>
      <c r="V40" s="90">
        <f t="shared" si="11"/>
        <v>832.95055821265657</v>
      </c>
      <c r="W40" s="90">
        <f t="shared" si="12"/>
        <v>0</v>
      </c>
      <c r="Y40" s="34">
        <f t="shared" si="7"/>
        <v>0.61087168080358512</v>
      </c>
      <c r="Z40" s="34"/>
      <c r="AA40" s="4"/>
      <c r="AB40" s="4"/>
      <c r="AE40" s="4"/>
    </row>
    <row r="41" spans="1:31" x14ac:dyDescent="0.25">
      <c r="A41" s="1" t="s">
        <v>103</v>
      </c>
      <c r="B41" s="1" t="s">
        <v>552</v>
      </c>
      <c r="C41" s="1" t="s">
        <v>583</v>
      </c>
      <c r="D41" s="1" t="s">
        <v>554</v>
      </c>
      <c r="E41" s="1">
        <f>VLOOKUP(A41,BOM!A:E,5,0)</f>
        <v>1</v>
      </c>
      <c r="F41" s="122">
        <v>3.59</v>
      </c>
      <c r="G41" s="10">
        <v>3.62</v>
      </c>
      <c r="H41" s="11" t="s">
        <v>1874</v>
      </c>
      <c r="I41" s="49">
        <f>SUMIFS(BOM!Q:Q,BOM!A:A,'All Products'!A41,BOM!I:I,'All Products'!I$3)</f>
        <v>1.0591709796708513</v>
      </c>
      <c r="J41" s="49">
        <f>SUMIFS(BOM!Q:Q,BOM!A:A,'All Products'!A41,BOM!I:I,'All Products'!J$3)+0.03</f>
        <v>0.4</v>
      </c>
      <c r="K41" s="29">
        <f t="shared" si="0"/>
        <v>0.40308590598642302</v>
      </c>
      <c r="L41" s="49">
        <f>SUMIF(BOM!A:A,'All Products'!A41,BOM!S:S)</f>
        <v>0.220025</v>
      </c>
      <c r="M41" s="49">
        <f>SUMIF(BOM!A:A,'All Products'!A41,BOM!V:V)</f>
        <v>0.21833249999999998</v>
      </c>
      <c r="N41" s="29">
        <f t="shared" si="1"/>
        <v>0.12109323204419888</v>
      </c>
      <c r="O41" s="55">
        <v>0</v>
      </c>
      <c r="P41" s="49">
        <f t="shared" si="2"/>
        <v>1.8975284796708514</v>
      </c>
      <c r="Q41" s="11">
        <f t="shared" si="3"/>
        <v>1.7224715203291487</v>
      </c>
      <c r="R41" s="29">
        <f t="shared" si="4"/>
        <v>0.47582086196937812</v>
      </c>
      <c r="S41" s="91">
        <v>154.19999999999999</v>
      </c>
      <c r="T41" s="91">
        <f t="shared" si="10"/>
        <v>558.20399999999995</v>
      </c>
      <c r="U41" s="90">
        <f t="shared" si="8"/>
        <v>265.6051084347547</v>
      </c>
      <c r="V41" s="90">
        <f t="shared" si="11"/>
        <v>265.6051084347547</v>
      </c>
      <c r="W41" s="90">
        <f t="shared" si="12"/>
        <v>0</v>
      </c>
      <c r="Y41" s="34">
        <f t="shared" si="7"/>
        <v>0.7074113315826378</v>
      </c>
      <c r="Z41" s="34"/>
      <c r="AA41" s="4"/>
      <c r="AB41" s="4"/>
      <c r="AE41" s="4"/>
    </row>
    <row r="42" spans="1:31" x14ac:dyDescent="0.25">
      <c r="A42" s="1" t="s">
        <v>128</v>
      </c>
      <c r="B42" s="1" t="s">
        <v>552</v>
      </c>
      <c r="C42" s="1" t="s">
        <v>584</v>
      </c>
      <c r="D42" s="1" t="s">
        <v>554</v>
      </c>
      <c r="E42" s="1">
        <f>VLOOKUP(A42,BOM!A:E,5,0)</f>
        <v>2.5</v>
      </c>
      <c r="F42" s="122">
        <v>3.53</v>
      </c>
      <c r="G42" s="10">
        <v>3.6</v>
      </c>
      <c r="H42" s="11" t="s">
        <v>1874</v>
      </c>
      <c r="I42" s="49">
        <f>SUMIFS(BOM!Q:Q,BOM!A:A,'All Products'!A42,BOM!I:I,'All Products'!I$3)</f>
        <v>1.4568326456395553</v>
      </c>
      <c r="J42" s="49">
        <f>SUMIFS(BOM!Q:Q,BOM!A:A,'All Products'!A42,BOM!I:I,'All Products'!J$3)+0.03</f>
        <v>0.4</v>
      </c>
      <c r="K42" s="29">
        <f t="shared" si="0"/>
        <v>0.51578684601098757</v>
      </c>
      <c r="L42" s="49">
        <f>SUMIF(BOM!A:A,'All Products'!A42,BOM!S:S)</f>
        <v>0.70047058011049723</v>
      </c>
      <c r="M42" s="49">
        <f>SUMIF(BOM!A:A,'All Products'!A42,BOM!V:V)</f>
        <v>0.29618749999999999</v>
      </c>
      <c r="N42" s="29">
        <f t="shared" si="1"/>
        <v>0.27684946669736032</v>
      </c>
      <c r="O42" s="55">
        <v>0</v>
      </c>
      <c r="P42" s="49">
        <f t="shared" si="2"/>
        <v>2.8534907257500524</v>
      </c>
      <c r="Q42" s="11">
        <f t="shared" si="3"/>
        <v>0.74650927424994773</v>
      </c>
      <c r="R42" s="29">
        <f t="shared" si="4"/>
        <v>0.20736368729165214</v>
      </c>
      <c r="S42" s="91">
        <v>286.39999999999998</v>
      </c>
      <c r="T42" s="91">
        <f t="shared" si="10"/>
        <v>1031.04</v>
      </c>
      <c r="U42" s="90">
        <f t="shared" si="8"/>
        <v>213.80025614518502</v>
      </c>
      <c r="V42" s="90">
        <f t="shared" si="11"/>
        <v>213.80025614518502</v>
      </c>
      <c r="W42" s="90">
        <f t="shared" si="12"/>
        <v>0</v>
      </c>
      <c r="Y42" s="34">
        <f t="shared" si="7"/>
        <v>0.5953242651001236</v>
      </c>
      <c r="Z42" s="47"/>
      <c r="AA42" s="4">
        <v>2.86</v>
      </c>
      <c r="AB42" s="4">
        <v>2.44</v>
      </c>
      <c r="AE42" s="4"/>
    </row>
    <row r="43" spans="1:31" x14ac:dyDescent="0.25">
      <c r="A43" s="1" t="s">
        <v>226</v>
      </c>
      <c r="B43" s="1" t="s">
        <v>552</v>
      </c>
      <c r="C43" s="1" t="s">
        <v>585</v>
      </c>
      <c r="D43" s="1" t="s">
        <v>554</v>
      </c>
      <c r="E43" s="1">
        <f>VLOOKUP(A43,BOM!A:E,5,0)</f>
        <v>5</v>
      </c>
      <c r="F43" s="122">
        <v>9.26</v>
      </c>
      <c r="G43" s="10">
        <v>8.18</v>
      </c>
      <c r="H43" s="11" t="s">
        <v>1874</v>
      </c>
      <c r="I43" s="49">
        <f>SUMIFS(BOM!Q:Q,BOM!A:A,'All Products'!A43,BOM!I:I,'All Products'!I$3)</f>
        <v>2.1049715213525424</v>
      </c>
      <c r="J43" s="49">
        <f>SUMIFS(BOM!Q:Q,BOM!A:A,'All Products'!A43,BOM!I:I,'All Products'!J$3)+0.03</f>
        <v>0.4</v>
      </c>
      <c r="K43" s="29">
        <f t="shared" si="0"/>
        <v>0.30623123732916169</v>
      </c>
      <c r="L43" s="49">
        <f>SUMIF(BOM!A:A,'All Products'!A43,BOM!S:S)</f>
        <v>4.5181649764181335</v>
      </c>
      <c r="M43" s="49">
        <f>SUMIF(BOM!A:A,'All Products'!A43,BOM!V:V)</f>
        <v>0.40112249999999999</v>
      </c>
      <c r="N43" s="29">
        <f t="shared" si="1"/>
        <v>0.60137988709268131</v>
      </c>
      <c r="O43" s="55">
        <v>0</v>
      </c>
      <c r="P43" s="49">
        <f t="shared" si="2"/>
        <v>7.4242589977706759</v>
      </c>
      <c r="Q43" s="11">
        <f t="shared" si="3"/>
        <v>0.75574100222932383</v>
      </c>
      <c r="R43" s="29">
        <f t="shared" si="4"/>
        <v>9.2388875578156948E-2</v>
      </c>
      <c r="S43" s="91">
        <v>121.4</v>
      </c>
      <c r="T43" s="91">
        <f t="shared" si="10"/>
        <v>993.05200000000002</v>
      </c>
      <c r="U43" s="90">
        <f t="shared" si="8"/>
        <v>91.746957670639915</v>
      </c>
      <c r="V43" s="90">
        <f t="shared" si="11"/>
        <v>91.746957670639915</v>
      </c>
      <c r="W43" s="90">
        <f t="shared" si="12"/>
        <v>0</v>
      </c>
      <c r="Y43" s="34">
        <f t="shared" si="7"/>
        <v>0.74266851817206081</v>
      </c>
      <c r="Z43" s="34"/>
      <c r="AA43" s="4"/>
      <c r="AB43" s="4"/>
      <c r="AE43" s="4"/>
    </row>
    <row r="44" spans="1:31" x14ac:dyDescent="0.25">
      <c r="A44" s="1" t="s">
        <v>85</v>
      </c>
      <c r="B44" s="1" t="s">
        <v>552</v>
      </c>
      <c r="C44" s="1" t="s">
        <v>586</v>
      </c>
      <c r="D44" s="1" t="s">
        <v>554</v>
      </c>
      <c r="E44" s="1">
        <f>VLOOKUP(A44,BOM!A:E,5,0)</f>
        <v>2.5</v>
      </c>
      <c r="F44" s="122">
        <v>6.99</v>
      </c>
      <c r="G44" s="10">
        <v>6.41</v>
      </c>
      <c r="H44" s="11" t="s">
        <v>1874</v>
      </c>
      <c r="I44" s="49">
        <f>SUMIFS(BOM!Q:Q,BOM!A:A,'All Products'!A44,BOM!I:I,'All Products'!I$3)</f>
        <v>2.6748397426153918</v>
      </c>
      <c r="J44" s="49">
        <f>SUMIFS(BOM!Q:Q,BOM!A:A,'All Products'!A44,BOM!I:I,'All Products'!J$3)+0.03</f>
        <v>0.4</v>
      </c>
      <c r="K44" s="29">
        <f t="shared" si="0"/>
        <v>0.4796941876155057</v>
      </c>
      <c r="L44" s="49">
        <f>SUMIF(BOM!A:A,'All Products'!A44,BOM!S:S)</f>
        <v>1.0250871459694986</v>
      </c>
      <c r="M44" s="49">
        <f>SUMIF(BOM!A:A,'All Products'!A44,BOM!V:V)</f>
        <v>0.29618749999999999</v>
      </c>
      <c r="N44" s="29">
        <f t="shared" si="1"/>
        <v>0.20612708985483597</v>
      </c>
      <c r="O44" s="55">
        <v>0</v>
      </c>
      <c r="P44" s="49">
        <f t="shared" si="2"/>
        <v>4.3961143885848903</v>
      </c>
      <c r="Q44" s="11">
        <f t="shared" si="3"/>
        <v>2.0138856114151098</v>
      </c>
      <c r="R44" s="29">
        <f t="shared" si="4"/>
        <v>0.31417872252965828</v>
      </c>
      <c r="S44" s="91">
        <v>23.8</v>
      </c>
      <c r="T44" s="91">
        <f t="shared" si="10"/>
        <v>152.55800000000002</v>
      </c>
      <c r="U44" s="90">
        <f t="shared" si="8"/>
        <v>47.930477551679616</v>
      </c>
      <c r="V44" s="90">
        <f t="shared" si="11"/>
        <v>47.930477551679616</v>
      </c>
      <c r="W44" s="90">
        <f t="shared" si="12"/>
        <v>0</v>
      </c>
      <c r="Y44" s="34">
        <f t="shared" si="7"/>
        <v>0.5827083084843383</v>
      </c>
      <c r="Z44" s="34"/>
      <c r="AA44" s="4"/>
      <c r="AB44" s="4"/>
      <c r="AE44" s="4"/>
    </row>
    <row r="45" spans="1:31" x14ac:dyDescent="0.25">
      <c r="A45" s="1" t="s">
        <v>225</v>
      </c>
      <c r="B45" s="1" t="s">
        <v>552</v>
      </c>
      <c r="C45" s="1" t="s">
        <v>587</v>
      </c>
      <c r="D45" s="1" t="s">
        <v>554</v>
      </c>
      <c r="E45" s="1">
        <f>VLOOKUP(A45,BOM!A:E,5,0)</f>
        <v>2.5</v>
      </c>
      <c r="F45" s="122">
        <v>4.04</v>
      </c>
      <c r="G45" s="10">
        <v>4.37</v>
      </c>
      <c r="H45" s="11" t="s">
        <v>1874</v>
      </c>
      <c r="I45" s="49">
        <f>SUMIFS(BOM!Q:Q,BOM!A:A,'All Products'!A45,BOM!I:I,'All Products'!I$3)</f>
        <v>1.322180656459695</v>
      </c>
      <c r="J45" s="49">
        <f>SUMIFS(BOM!Q:Q,BOM!A:A,'All Products'!A45,BOM!I:I,'All Products'!J$3)+0.03</f>
        <v>0.4</v>
      </c>
      <c r="K45" s="29">
        <f t="shared" si="0"/>
        <v>0.39409168340038786</v>
      </c>
      <c r="L45" s="49">
        <f>SUMIF(BOM!A:A,'All Products'!A45,BOM!S:S)</f>
        <v>1.4480148164122626</v>
      </c>
      <c r="M45" s="49">
        <f>SUMIF(BOM!A:A,'All Products'!A45,BOM!V:V)</f>
        <v>0.29618749999999999</v>
      </c>
      <c r="N45" s="29">
        <f t="shared" si="1"/>
        <v>0.39913096485406468</v>
      </c>
      <c r="O45" s="55">
        <v>0</v>
      </c>
      <c r="P45" s="49">
        <f t="shared" si="2"/>
        <v>3.4663829728719575</v>
      </c>
      <c r="Q45" s="11">
        <f t="shared" si="3"/>
        <v>0.90361702712804259</v>
      </c>
      <c r="R45" s="29">
        <f t="shared" si="4"/>
        <v>0.20677735174554751</v>
      </c>
      <c r="S45" s="91">
        <v>123.8</v>
      </c>
      <c r="T45" s="91">
        <f t="shared" si="10"/>
        <v>541.00599999999997</v>
      </c>
      <c r="U45" s="90">
        <f t="shared" si="8"/>
        <v>111.86778795845167</v>
      </c>
      <c r="V45" s="90">
        <f t="shared" si="11"/>
        <v>111.86778795845167</v>
      </c>
      <c r="W45" s="90">
        <f t="shared" si="12"/>
        <v>0</v>
      </c>
      <c r="Y45" s="34">
        <f t="shared" si="7"/>
        <v>0.69744149737764416</v>
      </c>
      <c r="Z45" s="34"/>
      <c r="AA45" s="4"/>
      <c r="AB45" s="4"/>
      <c r="AE45" s="4"/>
    </row>
    <row r="46" spans="1:31" x14ac:dyDescent="0.25">
      <c r="A46" s="1" t="s">
        <v>230</v>
      </c>
      <c r="B46" s="1" t="s">
        <v>552</v>
      </c>
      <c r="C46" s="1" t="s">
        <v>588</v>
      </c>
      <c r="D46" s="1" t="s">
        <v>554</v>
      </c>
      <c r="E46" s="1">
        <f>VLOOKUP(A46,BOM!A:E,5,0)</f>
        <v>1</v>
      </c>
      <c r="F46" s="122">
        <v>2.33</v>
      </c>
      <c r="G46" s="10">
        <v>2.31</v>
      </c>
      <c r="H46" s="11" t="s">
        <v>1874</v>
      </c>
      <c r="I46" s="49">
        <f>SUMIFS(BOM!Q:Q,BOM!A:A,'All Products'!A46,BOM!I:I,'All Products'!I$3)</f>
        <v>0.89652023952071624</v>
      </c>
      <c r="J46" s="49">
        <f>SUMIFS(BOM!Q:Q,BOM!A:A,'All Products'!A46,BOM!I:I,'All Products'!J$3)+0.03</f>
        <v>0.4</v>
      </c>
      <c r="K46" s="29">
        <f t="shared" si="0"/>
        <v>0.56126417295269104</v>
      </c>
      <c r="L46" s="49">
        <f>SUMIF(BOM!A:A,'All Products'!A46,BOM!S:S)</f>
        <v>0.57639525370895051</v>
      </c>
      <c r="M46" s="49">
        <f>SUMIF(BOM!A:A,'All Products'!A46,BOM!V:V)</f>
        <v>0.21833249999999998</v>
      </c>
      <c r="N46" s="29">
        <f t="shared" si="1"/>
        <v>0.3440379886185933</v>
      </c>
      <c r="O46" s="55">
        <v>0</v>
      </c>
      <c r="P46" s="49">
        <f t="shared" si="2"/>
        <v>2.0912479932296666</v>
      </c>
      <c r="Q46" s="11">
        <f t="shared" si="3"/>
        <v>0.21875200677033346</v>
      </c>
      <c r="R46" s="29">
        <f t="shared" si="4"/>
        <v>9.4697838428715778E-2</v>
      </c>
      <c r="S46" s="91">
        <v>101.8</v>
      </c>
      <c r="T46" s="91">
        <f t="shared" si="10"/>
        <v>235.15799999999999</v>
      </c>
      <c r="U46" s="90">
        <f t="shared" si="8"/>
        <v>22.268954289219945</v>
      </c>
      <c r="V46" s="90">
        <f t="shared" si="11"/>
        <v>22.268954289219945</v>
      </c>
      <c r="W46" s="90">
        <f t="shared" si="12"/>
        <v>0</v>
      </c>
      <c r="Y46" s="34">
        <f t="shared" si="7"/>
        <v>0.61189600020748214</v>
      </c>
      <c r="Z46" s="34"/>
      <c r="AA46" s="4" t="s">
        <v>4886</v>
      </c>
      <c r="AB46" s="4"/>
      <c r="AE46" s="4"/>
    </row>
    <row r="47" spans="1:31" x14ac:dyDescent="0.25">
      <c r="A47" s="1" t="s">
        <v>445</v>
      </c>
      <c r="B47" s="1" t="s">
        <v>552</v>
      </c>
      <c r="C47" s="1" t="s">
        <v>589</v>
      </c>
      <c r="D47" s="1" t="s">
        <v>554</v>
      </c>
      <c r="E47" s="1">
        <f>VLOOKUP(A47,BOM!A:E,5,0)</f>
        <v>5</v>
      </c>
      <c r="F47" s="122">
        <v>7.74</v>
      </c>
      <c r="G47" s="10">
        <v>7.28</v>
      </c>
      <c r="H47" s="11" t="s">
        <v>1874</v>
      </c>
      <c r="I47" s="49">
        <f>SUMIFS(BOM!Q:Q,BOM!A:A,'All Products'!A47,BOM!I:I,'All Products'!I$3)</f>
        <v>4.6556129032258067</v>
      </c>
      <c r="J47" s="49">
        <f>SUMIFS(BOM!Q:Q,BOM!A:A,'All Products'!A47,BOM!I:I,'All Products'!J$3)+0.03</f>
        <v>0.4</v>
      </c>
      <c r="K47" s="29">
        <f t="shared" si="0"/>
        <v>0.69445232187167671</v>
      </c>
      <c r="L47" s="49">
        <f>SUMIF(BOM!A:A,'All Products'!A47,BOM!S:S)</f>
        <v>3.4814543010752681</v>
      </c>
      <c r="M47" s="49">
        <f>SUMIF(BOM!A:A,'All Products'!A47,BOM!V:V)</f>
        <v>0.40112249999999999</v>
      </c>
      <c r="N47" s="29">
        <f t="shared" si="1"/>
        <v>0.53332098915869064</v>
      </c>
      <c r="O47" s="55">
        <v>0</v>
      </c>
      <c r="P47" s="49">
        <f t="shared" si="2"/>
        <v>8.9381897043010738</v>
      </c>
      <c r="Q47" s="11">
        <f t="shared" si="3"/>
        <v>-1.6581897043010736</v>
      </c>
      <c r="R47" s="29">
        <f t="shared" si="4"/>
        <v>-0.22777331103036724</v>
      </c>
      <c r="S47" s="91">
        <v>41</v>
      </c>
      <c r="T47" s="91">
        <f t="shared" si="10"/>
        <v>298.48</v>
      </c>
      <c r="U47" s="90">
        <f t="shared" si="8"/>
        <v>-67.985777876344017</v>
      </c>
      <c r="V47" s="90">
        <f t="shared" si="11"/>
        <v>-67.985777876344017</v>
      </c>
      <c r="W47" s="90">
        <f t="shared" si="12"/>
        <v>0</v>
      </c>
      <c r="Y47" s="34">
        <f t="shared" si="7"/>
        <v>0.3604927330733782</v>
      </c>
      <c r="Z47" s="34"/>
      <c r="AA47" s="4" t="s">
        <v>4887</v>
      </c>
      <c r="AB47" s="4"/>
      <c r="AE47" s="4"/>
    </row>
    <row r="48" spans="1:31" x14ac:dyDescent="0.25">
      <c r="A48" s="1" t="s">
        <v>173</v>
      </c>
      <c r="B48" s="1" t="s">
        <v>552</v>
      </c>
      <c r="C48" s="1" t="s">
        <v>174</v>
      </c>
      <c r="D48" s="1" t="s">
        <v>554</v>
      </c>
      <c r="E48" s="1">
        <f>VLOOKUP(A48,BOM!A:E,5,0)</f>
        <v>5.2</v>
      </c>
      <c r="F48" s="122">
        <v>17.239999999999998</v>
      </c>
      <c r="G48" s="10">
        <v>17.39</v>
      </c>
      <c r="H48" s="11" t="s">
        <v>1874</v>
      </c>
      <c r="I48" s="49">
        <f>SUMIFS(BOM!Q:Q,BOM!A:A,'All Products'!A48,BOM!I:I,'All Products'!I$3)</f>
        <v>10.397028571428574</v>
      </c>
      <c r="J48" s="49">
        <f>SUMIFS(BOM!Q:Q,BOM!A:A,'All Products'!A48,BOM!I:I,'All Products'!J$3)+0.03</f>
        <v>0.71000000000000008</v>
      </c>
      <c r="K48" s="29">
        <f t="shared" si="0"/>
        <v>0.63870204551055632</v>
      </c>
      <c r="L48" s="49">
        <f>SUMIF(BOM!A:A,'All Products'!A48,BOM!S:S)</f>
        <v>2.0633734952380953</v>
      </c>
      <c r="M48" s="49">
        <f>SUMIF(BOM!A:A,'All Products'!A48,BOM!V:V)</f>
        <v>0.82255499999999981</v>
      </c>
      <c r="N48" s="29">
        <f t="shared" si="1"/>
        <v>0.1659533349763137</v>
      </c>
      <c r="O48" s="55">
        <v>0</v>
      </c>
      <c r="P48" s="49">
        <f t="shared" si="2"/>
        <v>13.992957066666669</v>
      </c>
      <c r="Q48" s="11">
        <f t="shared" si="3"/>
        <v>3.3970429333333314</v>
      </c>
      <c r="R48" s="29">
        <f t="shared" si="4"/>
        <v>0.19534461951313004</v>
      </c>
      <c r="S48" s="91">
        <v>159.6</v>
      </c>
      <c r="T48" s="91">
        <f t="shared" si="10"/>
        <v>2775.444</v>
      </c>
      <c r="U48" s="90">
        <f t="shared" si="8"/>
        <v>542.16805215999966</v>
      </c>
      <c r="V48" s="90">
        <f t="shared" si="11"/>
        <v>542.16805215999966</v>
      </c>
      <c r="W48" s="90">
        <f t="shared" si="12"/>
        <v>0</v>
      </c>
      <c r="Y48" s="34">
        <f t="shared" si="7"/>
        <v>0.40212601659410158</v>
      </c>
      <c r="Z48" s="34"/>
      <c r="AA48" s="4"/>
      <c r="AB48" s="4"/>
      <c r="AE48" s="4"/>
    </row>
    <row r="49" spans="1:31" x14ac:dyDescent="0.25">
      <c r="A49" s="1" t="s">
        <v>446</v>
      </c>
      <c r="B49" s="1" t="s">
        <v>552</v>
      </c>
      <c r="C49" s="1" t="s">
        <v>590</v>
      </c>
      <c r="D49" s="1" t="s">
        <v>554</v>
      </c>
      <c r="E49" s="1">
        <f>VLOOKUP(A49,BOM!A:E,5,0)</f>
        <v>2.5</v>
      </c>
      <c r="F49" s="122">
        <v>6.33</v>
      </c>
      <c r="G49" s="10">
        <v>6.39</v>
      </c>
      <c r="H49" s="11" t="s">
        <v>1874</v>
      </c>
      <c r="I49" s="49">
        <f>SUMIFS(BOM!Q:Q,BOM!A:A,'All Products'!A49,BOM!I:I,'All Products'!I$3)</f>
        <v>2.6479274491771281</v>
      </c>
      <c r="J49" s="49">
        <f>SUMIFS(BOM!Q:Q,BOM!A:A,'All Products'!A49,BOM!I:I,'All Products'!J$3)+0.03</f>
        <v>0.4</v>
      </c>
      <c r="K49" s="29">
        <f t="shared" si="0"/>
        <v>0.47698395135792304</v>
      </c>
      <c r="L49" s="49">
        <f>SUMIF(BOM!A:A,'All Products'!A49,BOM!S:S)</f>
        <v>0.5500624999999999</v>
      </c>
      <c r="M49" s="49">
        <f>SUMIF(BOM!A:A,'All Products'!A49,BOM!V:V)</f>
        <v>0.29618749999999999</v>
      </c>
      <c r="N49" s="29">
        <f t="shared" si="1"/>
        <v>0.13243348982785602</v>
      </c>
      <c r="O49" s="55">
        <v>0</v>
      </c>
      <c r="P49" s="49">
        <f t="shared" si="2"/>
        <v>3.8941774491771275</v>
      </c>
      <c r="Q49" s="11">
        <f t="shared" si="3"/>
        <v>2.4958225508228722</v>
      </c>
      <c r="R49" s="29">
        <f t="shared" si="4"/>
        <v>0.39058255881422099</v>
      </c>
      <c r="S49" s="91">
        <v>26.4</v>
      </c>
      <c r="T49" s="91">
        <f t="shared" si="10"/>
        <v>168.69599999999997</v>
      </c>
      <c r="U49" s="90">
        <f t="shared" si="8"/>
        <v>65.889715341723829</v>
      </c>
      <c r="V49" s="90">
        <f t="shared" si="11"/>
        <v>65.889715341723829</v>
      </c>
      <c r="W49" s="90">
        <f t="shared" si="12"/>
        <v>0</v>
      </c>
      <c r="Y49" s="34">
        <f t="shared" si="7"/>
        <v>0.58561385771875929</v>
      </c>
      <c r="Z49" s="34"/>
      <c r="AA49" s="4"/>
      <c r="AB49" s="4"/>
      <c r="AE49" s="4"/>
    </row>
    <row r="50" spans="1:31" x14ac:dyDescent="0.25">
      <c r="A50" s="1" t="s">
        <v>232</v>
      </c>
      <c r="B50" s="1" t="s">
        <v>552</v>
      </c>
      <c r="C50" s="1" t="s">
        <v>591</v>
      </c>
      <c r="D50" s="1" t="s">
        <v>554</v>
      </c>
      <c r="E50" s="1">
        <f>VLOOKUP(A50,BOM!A:E,5,0)</f>
        <v>1</v>
      </c>
      <c r="F50" s="122">
        <v>1.77</v>
      </c>
      <c r="G50" s="10">
        <v>1.89</v>
      </c>
      <c r="H50" s="11" t="s">
        <v>1874</v>
      </c>
      <c r="I50" s="49">
        <f>SUMIFS(BOM!Q:Q,BOM!A:A,'All Products'!A50,BOM!I:I,'All Products'!I$3)</f>
        <v>0.5044470994291782</v>
      </c>
      <c r="J50" s="49">
        <f>SUMIFS(BOM!Q:Q,BOM!A:A,'All Products'!A50,BOM!I:I,'All Products'!J$3)+0.03</f>
        <v>0.39</v>
      </c>
      <c r="K50" s="29">
        <f t="shared" si="0"/>
        <v>0.4732524335604118</v>
      </c>
      <c r="L50" s="49">
        <f>SUMIF(BOM!A:A,'All Products'!A50,BOM!S:S)</f>
        <v>0.30645053191489363</v>
      </c>
      <c r="M50" s="49">
        <f>SUMIF(BOM!A:A,'All Products'!A50,BOM!V:V)</f>
        <v>0.18617500000000001</v>
      </c>
      <c r="N50" s="29">
        <f t="shared" si="1"/>
        <v>0.26064842958459983</v>
      </c>
      <c r="O50" s="55">
        <v>0</v>
      </c>
      <c r="P50" s="49">
        <f t="shared" si="2"/>
        <v>1.3870726313440718</v>
      </c>
      <c r="Q50" s="11">
        <f t="shared" si="3"/>
        <v>0.50292736865592813</v>
      </c>
      <c r="R50" s="29">
        <f t="shared" si="4"/>
        <v>0.26609913685498843</v>
      </c>
      <c r="S50" s="91">
        <v>46.4</v>
      </c>
      <c r="T50" s="91">
        <f t="shared" si="10"/>
        <v>87.695999999999998</v>
      </c>
      <c r="U50" s="90">
        <f t="shared" si="8"/>
        <v>23.335829905635066</v>
      </c>
      <c r="V50" s="90">
        <f t="shared" si="11"/>
        <v>23.335829905635066</v>
      </c>
      <c r="W50" s="90">
        <f t="shared" si="12"/>
        <v>0</v>
      </c>
      <c r="Y50" s="34">
        <f t="shared" si="7"/>
        <v>0.73309677278879448</v>
      </c>
      <c r="Z50" s="34"/>
      <c r="AA50" s="4"/>
      <c r="AB50" s="4"/>
      <c r="AE50" s="4"/>
    </row>
    <row r="51" spans="1:31" x14ac:dyDescent="0.25">
      <c r="A51" s="1" t="s">
        <v>229</v>
      </c>
      <c r="B51" s="1" t="s">
        <v>552</v>
      </c>
      <c r="C51" s="1" t="s">
        <v>592</v>
      </c>
      <c r="D51" s="1" t="s">
        <v>554</v>
      </c>
      <c r="E51" s="1">
        <f>VLOOKUP(A51,BOM!A:E,5,0)</f>
        <v>2.5</v>
      </c>
      <c r="F51" s="122">
        <v>4.0199999999999996</v>
      </c>
      <c r="G51" s="10">
        <v>4.37</v>
      </c>
      <c r="H51" s="11" t="s">
        <v>1874</v>
      </c>
      <c r="I51" s="49">
        <f>SUMIFS(BOM!Q:Q,BOM!A:A,'All Products'!A51,BOM!I:I,'All Products'!I$3)</f>
        <v>1.3338469563696336</v>
      </c>
      <c r="J51" s="49">
        <f>SUMIFS(BOM!Q:Q,BOM!A:A,'All Products'!A51,BOM!I:I,'All Products'!J$3)+0.03</f>
        <v>0.4</v>
      </c>
      <c r="K51" s="29">
        <f t="shared" si="0"/>
        <v>0.39676131724705571</v>
      </c>
      <c r="L51" s="49">
        <f>SUMIF(BOM!A:A,'All Products'!A51,BOM!S:S)</f>
        <v>1.0599462641984716</v>
      </c>
      <c r="M51" s="49">
        <f>SUMIF(BOM!A:A,'All Products'!A51,BOM!V:V)</f>
        <v>0.29618749999999999</v>
      </c>
      <c r="N51" s="29">
        <f t="shared" si="1"/>
        <v>0.31032809249392945</v>
      </c>
      <c r="O51" s="55">
        <v>0</v>
      </c>
      <c r="P51" s="49">
        <f t="shared" si="2"/>
        <v>3.0899807205681049</v>
      </c>
      <c r="Q51" s="11">
        <f t="shared" si="3"/>
        <v>1.2800192794318952</v>
      </c>
      <c r="R51" s="29">
        <f t="shared" si="4"/>
        <v>0.29291059025901489</v>
      </c>
      <c r="S51" s="91">
        <v>35.4</v>
      </c>
      <c r="T51" s="91">
        <f t="shared" si="10"/>
        <v>154.69800000000001</v>
      </c>
      <c r="U51" s="90">
        <f t="shared" si="8"/>
        <v>45.312682491889085</v>
      </c>
      <c r="V51" s="90">
        <f t="shared" si="11"/>
        <v>45.312682491889085</v>
      </c>
      <c r="W51" s="90">
        <f t="shared" si="12"/>
        <v>0</v>
      </c>
      <c r="Y51" s="34">
        <f t="shared" si="7"/>
        <v>0.69477186353097631</v>
      </c>
      <c r="Z51" s="34"/>
      <c r="AA51" s="4"/>
      <c r="AB51" s="4"/>
      <c r="AE51" s="4"/>
    </row>
    <row r="52" spans="1:31" x14ac:dyDescent="0.25">
      <c r="A52" s="1" t="s">
        <v>495</v>
      </c>
      <c r="B52" s="1" t="s">
        <v>552</v>
      </c>
      <c r="C52" s="1" t="s">
        <v>593</v>
      </c>
      <c r="D52" s="1" t="s">
        <v>554</v>
      </c>
      <c r="E52" s="1">
        <f>VLOOKUP(A52,BOM!A:E,5,0)</f>
        <v>1</v>
      </c>
      <c r="F52" s="122">
        <v>6.21</v>
      </c>
      <c r="G52" s="10">
        <v>6.34</v>
      </c>
      <c r="H52" s="11" t="s">
        <v>1874</v>
      </c>
      <c r="I52" s="49">
        <f>SUMIFS(BOM!Q:Q,BOM!A:A,'All Products'!A52,BOM!I:I,'All Products'!I$3)</f>
        <v>1.7586206896551726</v>
      </c>
      <c r="J52" s="49">
        <f>SUMIFS(BOM!Q:Q,BOM!A:A,'All Products'!A52,BOM!I:I,'All Products'!J$3)+0.03</f>
        <v>0.4</v>
      </c>
      <c r="K52" s="29">
        <f t="shared" si="0"/>
        <v>0.34047644947242467</v>
      </c>
      <c r="L52" s="49">
        <f>SUMIF(BOM!A:A,'All Products'!A52,BOM!S:S)</f>
        <v>0.91394999999999993</v>
      </c>
      <c r="M52" s="49">
        <f>SUMIF(BOM!A:A,'All Products'!A52,BOM!V:V)</f>
        <v>0.21833249999999998</v>
      </c>
      <c r="N52" s="29">
        <f t="shared" si="1"/>
        <v>0.17859345425867507</v>
      </c>
      <c r="O52" s="55">
        <v>0</v>
      </c>
      <c r="P52" s="49">
        <f t="shared" si="2"/>
        <v>3.2909031896551721</v>
      </c>
      <c r="Q52" s="11">
        <f t="shared" si="3"/>
        <v>3.0490968103448277</v>
      </c>
      <c r="R52" s="29">
        <f t="shared" si="4"/>
        <v>0.48093009626890026</v>
      </c>
      <c r="S52" s="91">
        <v>271.8</v>
      </c>
      <c r="T52" s="91">
        <f t="shared" si="10"/>
        <v>1723.212</v>
      </c>
      <c r="U52" s="90">
        <f t="shared" si="8"/>
        <v>828.7445130517242</v>
      </c>
      <c r="V52" s="90">
        <f t="shared" si="11"/>
        <v>828.7445130517242</v>
      </c>
      <c r="W52" s="90">
        <f t="shared" si="12"/>
        <v>0</v>
      </c>
      <c r="Y52" s="34">
        <f t="shared" si="7"/>
        <v>0.7226150331774176</v>
      </c>
      <c r="Z52" s="34"/>
      <c r="AA52" s="4"/>
      <c r="AB52" s="4"/>
      <c r="AE52" s="4"/>
    </row>
    <row r="53" spans="1:31" x14ac:dyDescent="0.25">
      <c r="A53" s="1" t="s">
        <v>94</v>
      </c>
      <c r="B53" s="1" t="s">
        <v>552</v>
      </c>
      <c r="C53" s="1" t="s">
        <v>594</v>
      </c>
      <c r="D53" s="1" t="s">
        <v>595</v>
      </c>
      <c r="E53" s="1">
        <f>VLOOKUP(A53,BOM!A:E,5,0)</f>
        <v>2.21</v>
      </c>
      <c r="F53" s="122">
        <v>21.01</v>
      </c>
      <c r="G53" s="10">
        <v>20.170000000000002</v>
      </c>
      <c r="H53" s="11" t="s">
        <v>1874</v>
      </c>
      <c r="I53" s="49">
        <f>SUMIFS(BOM!Q:Q,BOM!A:A,'All Products'!A53,BOM!I:I,'All Products'!I$3)</f>
        <v>4.6433544034090914</v>
      </c>
      <c r="J53" s="49">
        <f>SUMIFS(BOM!Q:Q,BOM!A:A,'All Products'!A53,BOM!I:I,'All Products'!J$3)+0.03</f>
        <v>0.4</v>
      </c>
      <c r="K53" s="29">
        <f t="shared" si="0"/>
        <v>0.25004236010952363</v>
      </c>
      <c r="L53" s="49">
        <f>SUMIF(BOM!A:A,'All Products'!A53,BOM!S:S)</f>
        <v>1.9875258295454543</v>
      </c>
      <c r="M53" s="49">
        <f>SUMIF(BOM!A:A,'All Products'!A53,BOM!V:V)</f>
        <v>0.27079999999999999</v>
      </c>
      <c r="N53" s="29">
        <f t="shared" si="1"/>
        <v>0.11196459244151978</v>
      </c>
      <c r="O53" s="55">
        <v>0</v>
      </c>
      <c r="P53" s="49">
        <f t="shared" si="2"/>
        <v>7.3016802329545465</v>
      </c>
      <c r="Q53" s="11">
        <f t="shared" si="3"/>
        <v>12.868319767045456</v>
      </c>
      <c r="R53" s="29">
        <f t="shared" si="4"/>
        <v>0.63799304744895657</v>
      </c>
      <c r="S53" s="91">
        <v>56.4</v>
      </c>
      <c r="T53" s="91">
        <f t="shared" ref="T53:T84" si="13">S53*G53</f>
        <v>1137.588</v>
      </c>
      <c r="U53" s="90">
        <f t="shared" si="8"/>
        <v>725.77323486136368</v>
      </c>
      <c r="V53" s="90">
        <f t="shared" ref="V53:V84" si="14">(G53-P53)*S53</f>
        <v>725.77323486136368</v>
      </c>
      <c r="W53" s="90">
        <f t="shared" si="12"/>
        <v>0</v>
      </c>
      <c r="Y53" s="34">
        <f t="shared" si="7"/>
        <v>0.76978907271149777</v>
      </c>
      <c r="Z53" s="34"/>
      <c r="AA53" s="4"/>
      <c r="AB53" s="4"/>
      <c r="AE53" s="4"/>
    </row>
    <row r="54" spans="1:31" x14ac:dyDescent="0.25">
      <c r="A54" s="1" t="s">
        <v>101</v>
      </c>
      <c r="B54" s="1" t="s">
        <v>552</v>
      </c>
      <c r="C54" s="1" t="s">
        <v>596</v>
      </c>
      <c r="D54" s="1" t="s">
        <v>554</v>
      </c>
      <c r="E54" s="1">
        <f>VLOOKUP(A54,BOM!A:E,5,0)</f>
        <v>2.5</v>
      </c>
      <c r="F54" s="122">
        <v>8.6</v>
      </c>
      <c r="G54" s="10">
        <v>8.16</v>
      </c>
      <c r="H54" s="11" t="s">
        <v>1874</v>
      </c>
      <c r="I54" s="49">
        <f>SUMIFS(BOM!Q:Q,BOM!A:A,'All Products'!A54,BOM!I:I,'All Products'!I$3)</f>
        <v>3.322353536556323</v>
      </c>
      <c r="J54" s="49">
        <f>SUMIFS(BOM!Q:Q,BOM!A:A,'All Products'!A54,BOM!I:I,'All Products'!J$3)+0.03</f>
        <v>0.4</v>
      </c>
      <c r="K54" s="29">
        <f t="shared" si="0"/>
        <v>0.45617077653876503</v>
      </c>
      <c r="L54" s="49">
        <f>SUMIF(BOM!A:A,'All Products'!A54,BOM!S:S)</f>
        <v>0.74261007085020247</v>
      </c>
      <c r="M54" s="49">
        <f>SUMIF(BOM!A:A,'All Products'!A54,BOM!V:V)</f>
        <v>0.29618749999999999</v>
      </c>
      <c r="N54" s="29">
        <f t="shared" si="1"/>
        <v>0.12730362387870128</v>
      </c>
      <c r="O54" s="55">
        <v>0</v>
      </c>
      <c r="P54" s="49">
        <f t="shared" si="2"/>
        <v>4.7611511074065254</v>
      </c>
      <c r="Q54" s="11">
        <f t="shared" si="3"/>
        <v>3.3988488925934748</v>
      </c>
      <c r="R54" s="29">
        <f t="shared" si="4"/>
        <v>0.41652559958253366</v>
      </c>
      <c r="S54" s="91">
        <v>75.400000000000006</v>
      </c>
      <c r="T54" s="91">
        <f t="shared" si="13"/>
        <v>615.26400000000001</v>
      </c>
      <c r="U54" s="90">
        <f t="shared" si="8"/>
        <v>256.27320650154803</v>
      </c>
      <c r="V54" s="90">
        <f t="shared" si="14"/>
        <v>256.27320650154803</v>
      </c>
      <c r="W54" s="90">
        <f t="shared" si="12"/>
        <v>0</v>
      </c>
      <c r="Y54" s="34">
        <f t="shared" si="7"/>
        <v>0.59284883130437227</v>
      </c>
      <c r="Z54" s="34"/>
      <c r="AA54" s="4"/>
      <c r="AB54" s="4"/>
      <c r="AE54" s="4"/>
    </row>
    <row r="55" spans="1:31" x14ac:dyDescent="0.25">
      <c r="A55" s="1" t="s">
        <v>234</v>
      </c>
      <c r="B55" s="1" t="s">
        <v>552</v>
      </c>
      <c r="C55" s="59" t="s">
        <v>597</v>
      </c>
      <c r="D55" s="1" t="s">
        <v>554</v>
      </c>
      <c r="E55" s="1">
        <f>VLOOKUP(A55,BOM!A:E,5,0)</f>
        <v>2.5</v>
      </c>
      <c r="F55" s="122">
        <v>7.07</v>
      </c>
      <c r="G55" s="10">
        <v>7.64</v>
      </c>
      <c r="H55" s="11" t="s">
        <v>1874</v>
      </c>
      <c r="I55" s="49">
        <f>SUMIFS(BOM!Q:Q,BOM!A:A,'All Products'!A55,BOM!I:I,'All Products'!I$3)</f>
        <v>2.6388888888888888</v>
      </c>
      <c r="J55" s="49">
        <f>SUMIFS(BOM!Q:Q,BOM!A:A,'All Products'!A55,BOM!I:I,'All Products'!J$3)+0.03</f>
        <v>0.45000000000000007</v>
      </c>
      <c r="K55" s="29">
        <f t="shared" si="0"/>
        <v>0.40430482838859805</v>
      </c>
      <c r="L55" s="49">
        <f>SUMIF(BOM!A:A,'All Products'!A55,BOM!S:S)</f>
        <v>0.73650690543071162</v>
      </c>
      <c r="M55" s="49">
        <f>SUMIF(BOM!A:A,'All Products'!A55,BOM!V:V)</f>
        <v>0.29618749999999999</v>
      </c>
      <c r="N55" s="29">
        <f t="shared" si="1"/>
        <v>0.13516942479459576</v>
      </c>
      <c r="O55" s="55">
        <v>0</v>
      </c>
      <c r="P55" s="49">
        <f t="shared" si="2"/>
        <v>4.1215832943196009</v>
      </c>
      <c r="Q55" s="11">
        <f t="shared" si="3"/>
        <v>3.5184167056803988</v>
      </c>
      <c r="R55" s="29">
        <f t="shared" si="4"/>
        <v>0.46052574681680614</v>
      </c>
      <c r="S55" s="91">
        <v>72.400000000000006</v>
      </c>
      <c r="T55" s="91">
        <f t="shared" si="13"/>
        <v>553.13599999999997</v>
      </c>
      <c r="U55" s="90">
        <f t="shared" si="8"/>
        <v>254.7333694912609</v>
      </c>
      <c r="V55" s="90">
        <f t="shared" si="14"/>
        <v>254.7333694912609</v>
      </c>
      <c r="W55" s="90">
        <f t="shared" si="12"/>
        <v>0</v>
      </c>
      <c r="Y55" s="34">
        <f t="shared" si="7"/>
        <v>0.65459569517161142</v>
      </c>
      <c r="Z55" s="34"/>
      <c r="AA55" s="4"/>
      <c r="AB55" s="4"/>
      <c r="AE55" s="4"/>
    </row>
    <row r="56" spans="1:31" x14ac:dyDescent="0.25">
      <c r="A56" s="1" t="s">
        <v>95</v>
      </c>
      <c r="B56" s="1" t="s">
        <v>552</v>
      </c>
      <c r="C56" s="1" t="s">
        <v>96</v>
      </c>
      <c r="D56" s="1" t="s">
        <v>554</v>
      </c>
      <c r="E56" s="1">
        <f>VLOOKUP(A56,BOM!A:E,5,0)</f>
        <v>2.7</v>
      </c>
      <c r="F56" s="122">
        <v>10.42</v>
      </c>
      <c r="G56" s="10">
        <v>10.63</v>
      </c>
      <c r="H56" s="11" t="s">
        <v>1874</v>
      </c>
      <c r="I56" s="49">
        <f>SUMIFS(BOM!Q:Q,BOM!A:A,'All Products'!A56,BOM!I:I,'All Products'!I$3)</f>
        <v>3.5440999999999998</v>
      </c>
      <c r="J56" s="49">
        <f>SUMIFS(BOM!Q:Q,BOM!A:A,'All Products'!A56,BOM!I:I,'All Products'!J$3)+0.03</f>
        <v>0.75000000000000011</v>
      </c>
      <c r="K56" s="29">
        <f t="shared" si="0"/>
        <v>0.40396048918156163</v>
      </c>
      <c r="L56" s="49">
        <f>SUMIF(BOM!A:A,'All Products'!A56,BOM!S:S)</f>
        <v>1.0980320684072049</v>
      </c>
      <c r="M56" s="49">
        <f>SUMIF(BOM!A:A,'All Products'!A56,BOM!V:V)</f>
        <v>0.27079999999999999</v>
      </c>
      <c r="N56" s="29">
        <f t="shared" si="1"/>
        <v>0.12877065554159969</v>
      </c>
      <c r="O56" s="55">
        <v>0</v>
      </c>
      <c r="P56" s="49">
        <f t="shared" si="2"/>
        <v>5.6629320684072058</v>
      </c>
      <c r="Q56" s="11">
        <f t="shared" si="3"/>
        <v>4.967067931592795</v>
      </c>
      <c r="R56" s="29">
        <f t="shared" si="4"/>
        <v>0.46726885527683865</v>
      </c>
      <c r="S56" s="91">
        <v>168.8</v>
      </c>
      <c r="T56" s="91">
        <f t="shared" si="13"/>
        <v>1794.3440000000003</v>
      </c>
      <c r="U56" s="90">
        <f t="shared" si="8"/>
        <v>838.44106685286386</v>
      </c>
      <c r="V56" s="90">
        <f t="shared" si="14"/>
        <v>838.44106685286386</v>
      </c>
      <c r="W56" s="90">
        <f t="shared" si="12"/>
        <v>0</v>
      </c>
      <c r="Y56" s="34">
        <f t="shared" si="7"/>
        <v>0.66659454374412042</v>
      </c>
      <c r="Z56" s="34"/>
      <c r="AA56" s="4"/>
      <c r="AB56" s="4"/>
      <c r="AE56" s="4"/>
    </row>
    <row r="57" spans="1:31" x14ac:dyDescent="0.25">
      <c r="A57" s="1" t="s">
        <v>89</v>
      </c>
      <c r="B57" s="1" t="s">
        <v>552</v>
      </c>
      <c r="C57" s="1" t="s">
        <v>598</v>
      </c>
      <c r="D57" s="1" t="s">
        <v>554</v>
      </c>
      <c r="E57" s="1">
        <f>VLOOKUP(A57,BOM!A:E,5,0)</f>
        <v>2.5</v>
      </c>
      <c r="F57" s="122">
        <v>8.19</v>
      </c>
      <c r="G57" s="10">
        <v>8.35</v>
      </c>
      <c r="H57" s="11" t="s">
        <v>1874</v>
      </c>
      <c r="I57" s="49">
        <f>SUMIFS(BOM!Q:Q,BOM!A:A,'All Products'!A57,BOM!I:I,'All Products'!I$3)</f>
        <v>2.9227058067595131</v>
      </c>
      <c r="J57" s="49">
        <f>SUMIFS(BOM!Q:Q,BOM!A:A,'All Products'!A57,BOM!I:I,'All Products'!J$3)+0.03</f>
        <v>0.4</v>
      </c>
      <c r="K57" s="29">
        <f t="shared" si="0"/>
        <v>0.3979288391328758</v>
      </c>
      <c r="L57" s="49">
        <f>SUMIF(BOM!A:A,'All Products'!A57,BOM!S:S)</f>
        <v>0.88736100438643217</v>
      </c>
      <c r="M57" s="49">
        <f>SUMIF(BOM!A:A,'All Products'!A57,BOM!V:V)</f>
        <v>0.29618749999999999</v>
      </c>
      <c r="N57" s="29">
        <f t="shared" si="1"/>
        <v>0.14174233585466256</v>
      </c>
      <c r="O57" s="55">
        <v>0</v>
      </c>
      <c r="P57" s="49">
        <f t="shared" si="2"/>
        <v>4.5062543111459448</v>
      </c>
      <c r="Q57" s="11">
        <f t="shared" si="3"/>
        <v>3.8437456888540549</v>
      </c>
      <c r="R57" s="29">
        <f t="shared" si="4"/>
        <v>0.4603288250124617</v>
      </c>
      <c r="S57" s="91">
        <v>6.4</v>
      </c>
      <c r="T57" s="91">
        <f t="shared" si="13"/>
        <v>53.44</v>
      </c>
      <c r="U57" s="90">
        <f t="shared" si="8"/>
        <v>24.599972408665952</v>
      </c>
      <c r="V57" s="90">
        <f t="shared" si="14"/>
        <v>24.599972408665952</v>
      </c>
      <c r="W57" s="90">
        <f t="shared" si="12"/>
        <v>0</v>
      </c>
      <c r="Y57" s="34">
        <f t="shared" si="7"/>
        <v>0.6499753524838906</v>
      </c>
      <c r="Z57" s="34"/>
      <c r="AA57" s="4"/>
      <c r="AB57" s="4"/>
      <c r="AE57" s="4"/>
    </row>
    <row r="58" spans="1:31" x14ac:dyDescent="0.25">
      <c r="A58" s="1" t="s">
        <v>599</v>
      </c>
      <c r="B58" s="1" t="s">
        <v>552</v>
      </c>
      <c r="C58" s="1" t="s">
        <v>600</v>
      </c>
      <c r="D58" s="1" t="s">
        <v>554</v>
      </c>
      <c r="E58" s="1">
        <f>VLOOKUP(A58,BOM!A:E,5,0)</f>
        <v>2.5</v>
      </c>
      <c r="F58" s="122">
        <v>9.56</v>
      </c>
      <c r="G58" s="10">
        <v>9.98</v>
      </c>
      <c r="H58" s="11" t="s">
        <v>1874</v>
      </c>
      <c r="I58" s="49">
        <f>SUMIFS(BOM!Q:Q,BOM!A:A,'All Products'!A58,BOM!I:I,'All Products'!I$3)</f>
        <v>2.7957142857142858</v>
      </c>
      <c r="J58" s="49">
        <f>SUMIFS(BOM!Q:Q,BOM!A:A,'All Products'!A58,BOM!I:I,'All Products'!J$3)+0.03</f>
        <v>0.4</v>
      </c>
      <c r="K58" s="29">
        <f t="shared" si="0"/>
        <v>0.32021185227598054</v>
      </c>
      <c r="L58" s="49">
        <f>SUMIF(BOM!A:A,'All Products'!A58,BOM!S:S)</f>
        <v>2.2909196428571428</v>
      </c>
      <c r="M58" s="49">
        <f>SUMIF(BOM!A:A,'All Products'!A58,BOM!V:V)</f>
        <v>0.29618749999999999</v>
      </c>
      <c r="N58" s="29">
        <f t="shared" si="1"/>
        <v>0.25922917263097622</v>
      </c>
      <c r="O58" s="55">
        <v>0</v>
      </c>
      <c r="P58" s="49">
        <f t="shared" si="2"/>
        <v>5.7828214285714283</v>
      </c>
      <c r="Q58" s="11">
        <f t="shared" si="3"/>
        <v>4.1971785714285721</v>
      </c>
      <c r="R58" s="29">
        <f t="shared" si="4"/>
        <v>0.4205589750930433</v>
      </c>
      <c r="S58" s="91">
        <v>9.1999999999999993</v>
      </c>
      <c r="T58" s="91">
        <f t="shared" si="13"/>
        <v>91.816000000000003</v>
      </c>
      <c r="U58" s="90">
        <f t="shared" si="8"/>
        <v>38.614042857142863</v>
      </c>
      <c r="V58" s="90">
        <f t="shared" si="14"/>
        <v>38.614042857142863</v>
      </c>
      <c r="W58" s="90">
        <f t="shared" si="12"/>
        <v>0</v>
      </c>
      <c r="Y58" s="34">
        <f t="shared" si="7"/>
        <v>0.71986830804466073</v>
      </c>
      <c r="Z58" s="34"/>
      <c r="AA58" s="4"/>
      <c r="AB58" s="4"/>
      <c r="AE58" s="4"/>
    </row>
    <row r="59" spans="1:31" x14ac:dyDescent="0.25">
      <c r="A59" s="1" t="s">
        <v>452</v>
      </c>
      <c r="B59" s="1" t="s">
        <v>552</v>
      </c>
      <c r="C59" s="1" t="s">
        <v>601</v>
      </c>
      <c r="D59" s="1" t="s">
        <v>554</v>
      </c>
      <c r="E59" s="1">
        <f>VLOOKUP(A59,BOM!A:E,5,0)</f>
        <v>2.5</v>
      </c>
      <c r="F59" s="122">
        <v>7.17</v>
      </c>
      <c r="G59" s="10">
        <v>6.68</v>
      </c>
      <c r="H59" s="11" t="s">
        <v>1874</v>
      </c>
      <c r="I59" s="49">
        <f>SUMIFS(BOM!Q:Q,BOM!A:A,'All Products'!A59,BOM!I:I,'All Products'!I$3)</f>
        <v>1.0564352948709739</v>
      </c>
      <c r="J59" s="49">
        <f>SUMIFS(BOM!Q:Q,BOM!A:A,'All Products'!A59,BOM!I:I,'All Products'!J$3)+0.03</f>
        <v>0.4</v>
      </c>
      <c r="K59" s="29">
        <f t="shared" si="0"/>
        <v>0.21802923575912783</v>
      </c>
      <c r="L59" s="49">
        <f>SUMIF(BOM!A:A,'All Products'!A59,BOM!S:S)</f>
        <v>2.2309383257561204</v>
      </c>
      <c r="M59" s="49">
        <f>SUMIF(BOM!A:A,'All Products'!A59,BOM!V:V)</f>
        <v>0.29618749999999999</v>
      </c>
      <c r="N59" s="29">
        <f t="shared" si="1"/>
        <v>0.37831224936468866</v>
      </c>
      <c r="O59" s="55">
        <v>0</v>
      </c>
      <c r="P59" s="49">
        <f t="shared" si="2"/>
        <v>3.983561120627094</v>
      </c>
      <c r="Q59" s="11">
        <f t="shared" si="3"/>
        <v>2.6964388793729057</v>
      </c>
      <c r="R59" s="29">
        <f t="shared" si="4"/>
        <v>0.40365851487618348</v>
      </c>
      <c r="S59" s="91">
        <v>29.6</v>
      </c>
      <c r="T59" s="91">
        <f t="shared" si="13"/>
        <v>197.72800000000001</v>
      </c>
      <c r="U59" s="90">
        <f t="shared" si="8"/>
        <v>79.814590829438018</v>
      </c>
      <c r="V59" s="90">
        <f t="shared" si="14"/>
        <v>79.814590829438018</v>
      </c>
      <c r="W59" s="90">
        <f t="shared" si="12"/>
        <v>0</v>
      </c>
      <c r="Y59" s="34">
        <f t="shared" si="7"/>
        <v>0.8418510037618302</v>
      </c>
      <c r="Z59" s="34"/>
      <c r="AA59" s="4"/>
      <c r="AB59" s="4"/>
      <c r="AE59" s="4"/>
    </row>
    <row r="60" spans="1:31" x14ac:dyDescent="0.25">
      <c r="A60" s="1" t="s">
        <v>535</v>
      </c>
      <c r="B60" s="1" t="s">
        <v>552</v>
      </c>
      <c r="C60" s="1" t="s">
        <v>602</v>
      </c>
      <c r="D60" s="1" t="s">
        <v>554</v>
      </c>
      <c r="E60" s="1">
        <f>VLOOKUP(A60,BOM!A:E,5,0)</f>
        <v>2.5</v>
      </c>
      <c r="F60" s="122">
        <v>11.78</v>
      </c>
      <c r="G60" s="10">
        <v>11.87</v>
      </c>
      <c r="H60" s="11" t="s">
        <v>1874</v>
      </c>
      <c r="I60" s="49">
        <f>SUMIFS(BOM!Q:Q,BOM!A:A,'All Products'!A60,BOM!I:I,'All Products'!I$3)</f>
        <v>4.4099055096119653</v>
      </c>
      <c r="J60" s="49">
        <f>SUMIFS(BOM!Q:Q,BOM!A:A,'All Products'!A60,BOM!I:I,'All Products'!J$3)+0.03</f>
        <v>0.12</v>
      </c>
      <c r="K60" s="29">
        <f t="shared" si="0"/>
        <v>0.38162641193024144</v>
      </c>
      <c r="L60" s="49">
        <f>SUMIF(BOM!A:A,'All Products'!A60,BOM!S:S)</f>
        <v>1.0805076837445573</v>
      </c>
      <c r="M60" s="49">
        <f>SUMIF(BOM!A:A,'All Products'!A60,BOM!V:V)</f>
        <v>0.29618749999999999</v>
      </c>
      <c r="N60" s="29">
        <f t="shared" si="1"/>
        <v>0.11598106013012278</v>
      </c>
      <c r="O60" s="55">
        <v>0</v>
      </c>
      <c r="P60" s="49">
        <f t="shared" si="2"/>
        <v>5.9066006933565234</v>
      </c>
      <c r="Q60" s="11">
        <f t="shared" si="3"/>
        <v>5.9633993066434758</v>
      </c>
      <c r="R60" s="29">
        <f t="shared" si="4"/>
        <v>0.50239252793963574</v>
      </c>
      <c r="S60" s="91">
        <v>13.8</v>
      </c>
      <c r="T60" s="91">
        <f t="shared" si="13"/>
        <v>163.80600000000001</v>
      </c>
      <c r="U60" s="90">
        <f t="shared" si="8"/>
        <v>82.294910431679966</v>
      </c>
      <c r="V60" s="90">
        <f t="shared" si="14"/>
        <v>82.294910431679966</v>
      </c>
      <c r="W60" s="90">
        <f t="shared" si="12"/>
        <v>0</v>
      </c>
      <c r="Y60" s="34">
        <f t="shared" si="7"/>
        <v>0.62848310786756822</v>
      </c>
      <c r="Z60" s="34"/>
      <c r="AA60" s="4"/>
      <c r="AB60" s="4"/>
      <c r="AE60" s="4"/>
    </row>
    <row r="61" spans="1:31" x14ac:dyDescent="0.25">
      <c r="A61" s="1" t="s">
        <v>542</v>
      </c>
      <c r="B61" s="1" t="s">
        <v>552</v>
      </c>
      <c r="C61" s="1" t="s">
        <v>603</v>
      </c>
      <c r="D61" s="1" t="s">
        <v>554</v>
      </c>
      <c r="E61" s="1">
        <f>VLOOKUP(A61,BOM!A:E,5,0)</f>
        <v>1</v>
      </c>
      <c r="F61" s="122">
        <v>10.08</v>
      </c>
      <c r="G61" s="10">
        <v>10.42</v>
      </c>
      <c r="H61" s="11" t="s">
        <v>1874</v>
      </c>
      <c r="I61" s="49">
        <f>SUMIFS(BOM!Q:Q,BOM!A:A,'All Products'!A61,BOM!I:I,'All Products'!I$3)</f>
        <v>3.848245614035088</v>
      </c>
      <c r="J61" s="49">
        <f>SUMIFS(BOM!Q:Q,BOM!A:A,'All Products'!A61,BOM!I:I,'All Products'!J$3)+0.03</f>
        <v>0.4</v>
      </c>
      <c r="K61" s="29">
        <f t="shared" si="0"/>
        <v>0.40770111459069946</v>
      </c>
      <c r="L61" s="49">
        <f>SUMIF(BOM!A:A,'All Products'!A61,BOM!S:S)</f>
        <v>4.8102631578947364</v>
      </c>
      <c r="M61" s="49">
        <f>SUMIF(BOM!A:A,'All Products'!A61,BOM!V:V)</f>
        <v>0.21833249999999998</v>
      </c>
      <c r="N61" s="29">
        <f t="shared" si="1"/>
        <v>0.48259075411657737</v>
      </c>
      <c r="O61" s="55">
        <v>0</v>
      </c>
      <c r="P61" s="49">
        <f t="shared" si="2"/>
        <v>9.2768412719298254</v>
      </c>
      <c r="Q61" s="11">
        <f t="shared" si="3"/>
        <v>1.1431587280701745</v>
      </c>
      <c r="R61" s="29">
        <f t="shared" si="4"/>
        <v>0.10970813129272308</v>
      </c>
      <c r="S61" s="91">
        <v>7.4</v>
      </c>
      <c r="T61" s="91">
        <f t="shared" si="13"/>
        <v>77.108000000000004</v>
      </c>
      <c r="U61" s="90">
        <f t="shared" si="8"/>
        <v>8.4593745877192923</v>
      </c>
      <c r="V61" s="90">
        <f t="shared" si="14"/>
        <v>8.4593745877192923</v>
      </c>
      <c r="W61" s="90">
        <f t="shared" si="12"/>
        <v>0</v>
      </c>
      <c r="Y61" s="34">
        <f t="shared" si="7"/>
        <v>0.63068660134020271</v>
      </c>
      <c r="Z61" s="34"/>
      <c r="AA61" s="4"/>
      <c r="AB61" s="4"/>
      <c r="AE61" s="4"/>
    </row>
    <row r="62" spans="1:31" x14ac:dyDescent="0.25">
      <c r="A62" s="1" t="s">
        <v>496</v>
      </c>
      <c r="B62" s="1" t="s">
        <v>552</v>
      </c>
      <c r="C62" s="1" t="s">
        <v>604</v>
      </c>
      <c r="D62" s="1" t="s">
        <v>554</v>
      </c>
      <c r="E62" s="1">
        <f>VLOOKUP(A62,BOM!A:E,5,0)</f>
        <v>2.5</v>
      </c>
      <c r="F62" s="122">
        <v>9.4</v>
      </c>
      <c r="G62" s="10">
        <v>9.82</v>
      </c>
      <c r="H62" s="11" t="s">
        <v>1874</v>
      </c>
      <c r="I62" s="49">
        <f>SUMIFS(BOM!Q:Q,BOM!A:A,'All Products'!A62,BOM!I:I,'All Products'!I$3)</f>
        <v>2.7957142857142858</v>
      </c>
      <c r="J62" s="49">
        <f>SUMIFS(BOM!Q:Q,BOM!A:A,'All Products'!A62,BOM!I:I,'All Products'!J$3)+0.03</f>
        <v>0.4</v>
      </c>
      <c r="K62" s="29">
        <f t="shared" si="0"/>
        <v>0.32542915333139366</v>
      </c>
      <c r="L62" s="49">
        <f>SUMIF(BOM!A:A,'All Products'!A62,BOM!S:S)</f>
        <v>2.4823333333333331</v>
      </c>
      <c r="M62" s="49">
        <f>SUMIF(BOM!A:A,'All Products'!A62,BOM!V:V)</f>
        <v>0.29618749999999999</v>
      </c>
      <c r="N62" s="29">
        <f t="shared" si="1"/>
        <v>0.28294509504412757</v>
      </c>
      <c r="O62" s="55">
        <v>0</v>
      </c>
      <c r="P62" s="49">
        <f t="shared" si="2"/>
        <v>5.9742351190476182</v>
      </c>
      <c r="Q62" s="11">
        <f t="shared" si="3"/>
        <v>3.8457648809523821</v>
      </c>
      <c r="R62" s="29">
        <f t="shared" si="4"/>
        <v>0.39162575162447882</v>
      </c>
      <c r="S62" s="91">
        <v>48.4</v>
      </c>
      <c r="T62" s="91">
        <f t="shared" si="13"/>
        <v>475.28800000000001</v>
      </c>
      <c r="U62" s="90">
        <f t="shared" si="8"/>
        <v>186.13502023809528</v>
      </c>
      <c r="V62" s="90">
        <f t="shared" si="14"/>
        <v>186.13502023809528</v>
      </c>
      <c r="W62" s="90">
        <f t="shared" si="12"/>
        <v>0</v>
      </c>
      <c r="Y62" s="34">
        <f t="shared" si="7"/>
        <v>0.71530404422461447</v>
      </c>
      <c r="Z62" s="34"/>
      <c r="AA62" s="4"/>
      <c r="AB62" s="4"/>
      <c r="AE62" s="4"/>
    </row>
    <row r="63" spans="1:31" x14ac:dyDescent="0.25">
      <c r="A63" s="1" t="s">
        <v>84</v>
      </c>
      <c r="B63" s="1" t="s">
        <v>552</v>
      </c>
      <c r="C63" s="1" t="s">
        <v>605</v>
      </c>
      <c r="D63" s="1" t="s">
        <v>554</v>
      </c>
      <c r="E63" s="1">
        <f>VLOOKUP(A63,BOM!A:E,5,0)</f>
        <v>4</v>
      </c>
      <c r="F63" s="122">
        <v>5.73</v>
      </c>
      <c r="G63" s="10">
        <v>5.89</v>
      </c>
      <c r="H63" s="11" t="s">
        <v>1874</v>
      </c>
      <c r="I63" s="49">
        <f>SUMIFS(BOM!Q:Q,BOM!A:A,'All Products'!A63,BOM!I:I,'All Products'!I$3)</f>
        <v>2.133233387845455</v>
      </c>
      <c r="J63" s="49">
        <f>SUMIFS(BOM!Q:Q,BOM!A:A,'All Products'!A63,BOM!I:I,'All Products'!J$3)+0.03</f>
        <v>0.67</v>
      </c>
      <c r="K63" s="29">
        <f t="shared" si="0"/>
        <v>0.47593096567834553</v>
      </c>
      <c r="L63" s="49">
        <f>SUMIF(BOM!A:A,'All Products'!A63,BOM!S:S)</f>
        <v>1.1542554752556717</v>
      </c>
      <c r="M63" s="49">
        <f>SUMIF(BOM!A:A,'All Products'!A63,BOM!V:V)</f>
        <v>0.87332999999999994</v>
      </c>
      <c r="N63" s="29">
        <f t="shared" si="1"/>
        <v>0.34424201617243999</v>
      </c>
      <c r="O63" s="55">
        <v>0</v>
      </c>
      <c r="P63" s="49">
        <f t="shared" si="2"/>
        <v>4.8308188631011273</v>
      </c>
      <c r="Q63" s="11">
        <f t="shared" si="3"/>
        <v>1.0591811368988724</v>
      </c>
      <c r="R63" s="29">
        <f t="shared" si="4"/>
        <v>0.17982701814921434</v>
      </c>
      <c r="S63" s="91">
        <v>24.8</v>
      </c>
      <c r="T63" s="91">
        <f t="shared" si="13"/>
        <v>146.072</v>
      </c>
      <c r="U63" s="90">
        <f t="shared" si="8"/>
        <v>26.267692195092035</v>
      </c>
      <c r="V63" s="90">
        <f t="shared" si="14"/>
        <v>26.267692195092035</v>
      </c>
      <c r="W63" s="90">
        <f t="shared" si="12"/>
        <v>0</v>
      </c>
      <c r="Y63" s="34">
        <f t="shared" si="7"/>
        <v>0.63782115656274108</v>
      </c>
      <c r="Z63" s="34"/>
      <c r="AA63" s="4"/>
      <c r="AB63" s="4"/>
      <c r="AE63" s="4"/>
    </row>
    <row r="64" spans="1:31" x14ac:dyDescent="0.25">
      <c r="A64" s="1" t="s">
        <v>227</v>
      </c>
      <c r="B64" s="1" t="s">
        <v>552</v>
      </c>
      <c r="C64" s="1" t="s">
        <v>606</v>
      </c>
      <c r="D64" s="1" t="s">
        <v>554</v>
      </c>
      <c r="E64" s="1">
        <f>VLOOKUP(A64,BOM!A:E,5,0)</f>
        <v>2.5</v>
      </c>
      <c r="F64" s="122">
        <v>6.18</v>
      </c>
      <c r="G64" s="10">
        <v>6.57</v>
      </c>
      <c r="H64" s="11" t="s">
        <v>1874</v>
      </c>
      <c r="I64" s="49">
        <f>SUMIFS(BOM!Q:Q,BOM!A:A,'All Products'!A64,BOM!I:I,'All Products'!I$3)</f>
        <v>1.6017929569445053</v>
      </c>
      <c r="J64" s="49">
        <f>SUMIFS(BOM!Q:Q,BOM!A:A,'All Products'!A64,BOM!I:I,'All Products'!J$3)+0.03</f>
        <v>0.4</v>
      </c>
      <c r="K64" s="29">
        <f t="shared" si="0"/>
        <v>0.30468690364452133</v>
      </c>
      <c r="L64" s="49">
        <f>SUMIF(BOM!A:A,'All Products'!A64,BOM!S:S)</f>
        <v>0.84624999999999995</v>
      </c>
      <c r="M64" s="49">
        <f>SUMIF(BOM!A:A,'All Products'!A64,BOM!V:V)</f>
        <v>0.29618749999999999</v>
      </c>
      <c r="N64" s="29">
        <f t="shared" si="1"/>
        <v>0.17388698630136987</v>
      </c>
      <c r="O64" s="55">
        <v>0</v>
      </c>
      <c r="P64" s="49">
        <f t="shared" si="2"/>
        <v>3.1442304569445052</v>
      </c>
      <c r="Q64" s="11">
        <f t="shared" si="3"/>
        <v>3.4257695430554951</v>
      </c>
      <c r="R64" s="29">
        <f t="shared" si="4"/>
        <v>0.52142611005410877</v>
      </c>
      <c r="S64" s="91">
        <v>32.200000000000003</v>
      </c>
      <c r="T64" s="91">
        <f t="shared" si="13"/>
        <v>211.55400000000003</v>
      </c>
      <c r="U64" s="90">
        <f t="shared" si="8"/>
        <v>110.30977928638696</v>
      </c>
      <c r="V64" s="90">
        <f t="shared" si="14"/>
        <v>110.30977928638696</v>
      </c>
      <c r="W64" s="90">
        <f t="shared" si="12"/>
        <v>0</v>
      </c>
      <c r="Y64" s="34">
        <f t="shared" si="7"/>
        <v>0.75619589696430667</v>
      </c>
      <c r="Z64" s="34"/>
      <c r="AA64" s="4"/>
      <c r="AB64" s="4"/>
      <c r="AE64" s="4"/>
    </row>
    <row r="65" spans="1:31" x14ac:dyDescent="0.25">
      <c r="A65" s="1" t="s">
        <v>442</v>
      </c>
      <c r="B65" s="1" t="s">
        <v>552</v>
      </c>
      <c r="C65" s="1" t="s">
        <v>607</v>
      </c>
      <c r="D65" s="1" t="s">
        <v>554</v>
      </c>
      <c r="E65" s="1">
        <f>VLOOKUP(A65,BOM!A:E,5,0)</f>
        <v>2.5</v>
      </c>
      <c r="F65" s="122">
        <v>9.4</v>
      </c>
      <c r="G65" s="10">
        <v>9.82</v>
      </c>
      <c r="H65" s="11" t="s">
        <v>1874</v>
      </c>
      <c r="I65" s="49">
        <f>SUMIFS(BOM!Q:Q,BOM!A:A,'All Products'!A65,BOM!I:I,'All Products'!I$3)</f>
        <v>2.7957142857142858</v>
      </c>
      <c r="J65" s="49">
        <f>SUMIFS(BOM!Q:Q,BOM!A:A,'All Products'!A65,BOM!I:I,'All Products'!J$3)+0.03</f>
        <v>0.4</v>
      </c>
      <c r="K65" s="29">
        <f t="shared" si="0"/>
        <v>0.32542915333139366</v>
      </c>
      <c r="L65" s="49">
        <f>SUMIF(BOM!A:A,'All Products'!A65,BOM!S:S)</f>
        <v>2.4823333333333331</v>
      </c>
      <c r="M65" s="49">
        <f>SUMIF(BOM!A:A,'All Products'!A65,BOM!V:V)</f>
        <v>0.29618749999999999</v>
      </c>
      <c r="N65" s="29">
        <f t="shared" si="1"/>
        <v>0.28294509504412757</v>
      </c>
      <c r="O65" s="55">
        <v>0</v>
      </c>
      <c r="P65" s="49">
        <f t="shared" si="2"/>
        <v>5.9742351190476182</v>
      </c>
      <c r="Q65" s="11">
        <f t="shared" si="3"/>
        <v>3.8457648809523821</v>
      </c>
      <c r="R65" s="29">
        <f t="shared" si="4"/>
        <v>0.39162575162447882</v>
      </c>
      <c r="S65" s="91">
        <v>16.8</v>
      </c>
      <c r="T65" s="91">
        <f t="shared" si="13"/>
        <v>164.976</v>
      </c>
      <c r="U65" s="90">
        <f t="shared" si="8"/>
        <v>64.608850000000018</v>
      </c>
      <c r="V65" s="90">
        <f t="shared" si="14"/>
        <v>64.608850000000018</v>
      </c>
      <c r="W65" s="90">
        <f t="shared" si="12"/>
        <v>0</v>
      </c>
      <c r="Y65" s="34">
        <f t="shared" si="7"/>
        <v>0.71530404422461447</v>
      </c>
      <c r="Z65" s="34"/>
      <c r="AA65" s="4"/>
      <c r="AB65" s="4"/>
      <c r="AE65" s="4"/>
    </row>
    <row r="66" spans="1:31" x14ac:dyDescent="0.25">
      <c r="A66" s="1" t="s">
        <v>74</v>
      </c>
      <c r="B66" s="1" t="s">
        <v>552</v>
      </c>
      <c r="C66" s="1" t="s">
        <v>608</v>
      </c>
      <c r="D66" s="1" t="s">
        <v>554</v>
      </c>
      <c r="E66" s="1">
        <f>VLOOKUP(A66,BOM!A:E,5,0)</f>
        <v>1</v>
      </c>
      <c r="F66" s="122">
        <v>2.62</v>
      </c>
      <c r="G66" s="10">
        <v>2.58</v>
      </c>
      <c r="H66" s="11" t="s">
        <v>1874</v>
      </c>
      <c r="I66" s="49">
        <f>SUMIFS(BOM!Q:Q,BOM!A:A,'All Products'!A66,BOM!I:I,'All Products'!I$3)</f>
        <v>1.2421788737578212</v>
      </c>
      <c r="J66" s="49">
        <f>SUMIFS(BOM!Q:Q,BOM!A:A,'All Products'!A66,BOM!I:I,'All Products'!J$3)+0.03</f>
        <v>0.51</v>
      </c>
      <c r="K66" s="29">
        <f t="shared" si="0"/>
        <v>0.6791390983557446</v>
      </c>
      <c r="L66" s="49">
        <f>SUMIF(BOM!A:A,'All Products'!A66,BOM!S:S)</f>
        <v>0.31141999999999992</v>
      </c>
      <c r="M66" s="49">
        <f>SUMIF(BOM!A:A,'All Products'!A66,BOM!V:V)</f>
        <v>0.59237499999999998</v>
      </c>
      <c r="N66" s="29">
        <f t="shared" si="1"/>
        <v>0.35030813953488366</v>
      </c>
      <c r="O66" s="55">
        <v>0</v>
      </c>
      <c r="P66" s="49">
        <f t="shared" si="2"/>
        <v>2.6559738737578211</v>
      </c>
      <c r="Q66" s="11">
        <f t="shared" si="3"/>
        <v>-7.5973873757821053E-2</v>
      </c>
      <c r="R66" s="29">
        <f t="shared" si="4"/>
        <v>-2.9447237890628315E-2</v>
      </c>
      <c r="S66" s="91">
        <v>128.4</v>
      </c>
      <c r="T66" s="91">
        <f t="shared" si="13"/>
        <v>331.27200000000005</v>
      </c>
      <c r="U66" s="90">
        <f t="shared" si="8"/>
        <v>-9.7550453905042236</v>
      </c>
      <c r="V66" s="90">
        <f t="shared" si="14"/>
        <v>-9.7550453905042236</v>
      </c>
      <c r="W66" s="90">
        <f t="shared" si="12"/>
        <v>0</v>
      </c>
      <c r="Y66" s="34">
        <f t="shared" si="7"/>
        <v>0.51853532024890647</v>
      </c>
      <c r="Z66" s="34"/>
      <c r="AA66" s="4"/>
      <c r="AB66" s="4"/>
      <c r="AE66" s="4"/>
    </row>
    <row r="67" spans="1:31" x14ac:dyDescent="0.25">
      <c r="A67" s="1" t="s">
        <v>87</v>
      </c>
      <c r="B67" s="1" t="s">
        <v>552</v>
      </c>
      <c r="C67" s="1" t="s">
        <v>609</v>
      </c>
      <c r="D67" s="1" t="s">
        <v>554</v>
      </c>
      <c r="E67" s="1">
        <f>VLOOKUP(A67,BOM!A:E,5,0)</f>
        <v>2.5</v>
      </c>
      <c r="F67" s="122">
        <v>4.8899999999999997</v>
      </c>
      <c r="G67" s="10">
        <v>4.43</v>
      </c>
      <c r="H67" s="11" t="s">
        <v>1874</v>
      </c>
      <c r="I67" s="49">
        <f>SUMIFS(BOM!Q:Q,BOM!A:A,'All Products'!A67,BOM!I:I,'All Products'!I$3)</f>
        <v>1.5676470588235296</v>
      </c>
      <c r="J67" s="49">
        <f>SUMIFS(BOM!Q:Q,BOM!A:A,'All Products'!A67,BOM!I:I,'All Products'!J$3)+0.03</f>
        <v>0.4</v>
      </c>
      <c r="K67" s="29">
        <f t="shared" si="0"/>
        <v>0.4441641216305936</v>
      </c>
      <c r="L67" s="49">
        <f>SUMIF(BOM!A:A,'All Products'!A67,BOM!S:S)</f>
        <v>1.6064080704745667</v>
      </c>
      <c r="M67" s="49">
        <f>SUMIF(BOM!A:A,'All Products'!A67,BOM!V:V)</f>
        <v>0.29618749999999999</v>
      </c>
      <c r="N67" s="29">
        <f t="shared" si="1"/>
        <v>0.42947981274820923</v>
      </c>
      <c r="O67" s="55">
        <v>0</v>
      </c>
      <c r="P67" s="49">
        <f t="shared" si="2"/>
        <v>3.870242629298096</v>
      </c>
      <c r="Q67" s="11">
        <f t="shared" si="3"/>
        <v>0.55975737070190368</v>
      </c>
      <c r="R67" s="29">
        <f t="shared" si="4"/>
        <v>0.12635606562119722</v>
      </c>
      <c r="S67" s="91">
        <v>8.1999999999999993</v>
      </c>
      <c r="T67" s="91">
        <f t="shared" si="13"/>
        <v>36.325999999999993</v>
      </c>
      <c r="U67" s="90">
        <f t="shared" si="8"/>
        <v>4.5900104397556101</v>
      </c>
      <c r="V67" s="90">
        <f t="shared" si="14"/>
        <v>4.5900104397556101</v>
      </c>
      <c r="W67" s="90">
        <f t="shared" si="12"/>
        <v>0</v>
      </c>
      <c r="Y67" s="34">
        <f t="shared" si="7"/>
        <v>0.64612933209401135</v>
      </c>
      <c r="Z67" s="34"/>
      <c r="AA67" s="4"/>
      <c r="AB67" s="4"/>
      <c r="AE67" s="4"/>
    </row>
    <row r="68" spans="1:31" x14ac:dyDescent="0.25">
      <c r="A68" s="1" t="s">
        <v>231</v>
      </c>
      <c r="B68" s="1" t="s">
        <v>552</v>
      </c>
      <c r="C68" s="1" t="s">
        <v>610</v>
      </c>
      <c r="D68" s="1" t="s">
        <v>554</v>
      </c>
      <c r="E68" s="1">
        <f>VLOOKUP(A68,BOM!A:E,5,0)</f>
        <v>2.5</v>
      </c>
      <c r="F68" s="122">
        <v>3.29</v>
      </c>
      <c r="G68" s="10">
        <v>3.45</v>
      </c>
      <c r="H68" s="11" t="s">
        <v>1874</v>
      </c>
      <c r="I68" s="49">
        <f>SUMIFS(BOM!Q:Q,BOM!A:A,'All Products'!A68,BOM!I:I,'All Products'!I$3)</f>
        <v>1.1488379238212487</v>
      </c>
      <c r="J68" s="49">
        <f>SUMIFS(BOM!Q:Q,BOM!A:A,'All Products'!A68,BOM!I:I,'All Products'!J$3)+0.03</f>
        <v>0.4</v>
      </c>
      <c r="K68" s="29">
        <f t="shared" ref="K68:K131" si="15">(I68+J68)/G68</f>
        <v>0.44893852864384015</v>
      </c>
      <c r="L68" s="49">
        <f>SUMIF(BOM!A:A,'All Products'!A68,BOM!S:S)</f>
        <v>0.72016730501351822</v>
      </c>
      <c r="M68" s="49">
        <f>SUMIF(BOM!A:A,'All Products'!A68,BOM!V:V)</f>
        <v>0.29618749999999999</v>
      </c>
      <c r="N68" s="29">
        <f t="shared" ref="N68:N131" si="16">(L68+M68)/G68</f>
        <v>0.29459559565609222</v>
      </c>
      <c r="O68" s="55">
        <v>0</v>
      </c>
      <c r="P68" s="49">
        <f t="shared" ref="P68:P131" si="17">I68+J68+M68+L68+O68</f>
        <v>2.5651927288347669</v>
      </c>
      <c r="Q68" s="11">
        <f t="shared" ref="Q68:Q131" si="18">G68-P68</f>
        <v>0.88480727116523328</v>
      </c>
      <c r="R68" s="29">
        <f t="shared" ref="R68:R131" si="19">IFERROR((G68-P68)/G68,0)</f>
        <v>0.25646587570006762</v>
      </c>
      <c r="S68" s="91">
        <v>22.2</v>
      </c>
      <c r="T68" s="91">
        <f t="shared" si="13"/>
        <v>76.59</v>
      </c>
      <c r="U68" s="90">
        <f t="shared" si="8"/>
        <v>19.642721419868177</v>
      </c>
      <c r="V68" s="90">
        <f t="shared" si="14"/>
        <v>19.642721419868177</v>
      </c>
      <c r="W68" s="90">
        <f t="shared" si="12"/>
        <v>0</v>
      </c>
      <c r="Y68" s="34">
        <f t="shared" ref="Y68:Y131" si="20">(G68-I68)/G68</f>
        <v>0.66700350034166711</v>
      </c>
      <c r="Z68" s="34"/>
      <c r="AA68" s="4"/>
      <c r="AB68" s="4"/>
      <c r="AE68" s="4"/>
    </row>
    <row r="69" spans="1:31" x14ac:dyDescent="0.25">
      <c r="A69" s="1" t="s">
        <v>453</v>
      </c>
      <c r="B69" s="1" t="s">
        <v>552</v>
      </c>
      <c r="C69" s="1" t="s">
        <v>611</v>
      </c>
      <c r="D69" s="1" t="s">
        <v>554</v>
      </c>
      <c r="E69" s="1">
        <f>VLOOKUP(A69,BOM!A:E,5,0)</f>
        <v>2.5</v>
      </c>
      <c r="F69" s="122">
        <v>6.74</v>
      </c>
      <c r="G69" s="10">
        <v>6.87</v>
      </c>
      <c r="H69" s="11" t="s">
        <v>1874</v>
      </c>
      <c r="I69" s="49">
        <f>SUMIFS(BOM!Q:Q,BOM!A:A,'All Products'!A69,BOM!I:I,'All Products'!I$3)</f>
        <v>1.8952953913034649</v>
      </c>
      <c r="J69" s="49">
        <f>SUMIFS(BOM!Q:Q,BOM!A:A,'All Products'!A69,BOM!I:I,'All Products'!J$3)+0.03</f>
        <v>0.4</v>
      </c>
      <c r="K69" s="29">
        <f t="shared" si="15"/>
        <v>0.33410413264970379</v>
      </c>
      <c r="L69" s="49">
        <f>SUMIF(BOM!A:A,'All Products'!A69,BOM!S:S)</f>
        <v>0.81878935686879739</v>
      </c>
      <c r="M69" s="49">
        <f>SUMIF(BOM!A:A,'All Products'!A69,BOM!V:V)</f>
        <v>0.29618749999999999</v>
      </c>
      <c r="N69" s="29">
        <f t="shared" si="16"/>
        <v>0.16229648571598215</v>
      </c>
      <c r="O69" s="55">
        <v>0</v>
      </c>
      <c r="P69" s="49">
        <f t="shared" si="17"/>
        <v>3.4102722481722623</v>
      </c>
      <c r="Q69" s="11">
        <f t="shared" si="18"/>
        <v>3.4597277518277378</v>
      </c>
      <c r="R69" s="29">
        <f t="shared" si="19"/>
        <v>0.50359938163431406</v>
      </c>
      <c r="S69" s="91">
        <v>13.4</v>
      </c>
      <c r="T69" s="91">
        <f t="shared" si="13"/>
        <v>92.058000000000007</v>
      </c>
      <c r="U69" s="90">
        <f t="shared" ref="U69:U93" si="21">IFERROR(S69*Q69,0)</f>
        <v>46.360351874491691</v>
      </c>
      <c r="V69" s="90">
        <f t="shared" si="14"/>
        <v>46.360351874491691</v>
      </c>
      <c r="W69" s="90">
        <f t="shared" si="12"/>
        <v>0</v>
      </c>
      <c r="Y69" s="34">
        <f t="shared" si="20"/>
        <v>0.72412003037795269</v>
      </c>
      <c r="Z69" s="34"/>
      <c r="AA69" s="4"/>
      <c r="AB69" s="4"/>
      <c r="AE69" s="4"/>
    </row>
    <row r="70" spans="1:31" x14ac:dyDescent="0.25">
      <c r="A70" s="1" t="s">
        <v>514</v>
      </c>
      <c r="B70" s="1" t="s">
        <v>552</v>
      </c>
      <c r="C70" s="1" t="s">
        <v>612</v>
      </c>
      <c r="D70" s="1" t="s">
        <v>554</v>
      </c>
      <c r="E70" s="1">
        <f>VLOOKUP(A70,BOM!A:E,5,0)</f>
        <v>2</v>
      </c>
      <c r="F70" s="122">
        <v>4.8600000000000003</v>
      </c>
      <c r="G70" s="10">
        <v>4.91</v>
      </c>
      <c r="H70" s="11" t="s">
        <v>1874</v>
      </c>
      <c r="I70" s="49">
        <f>SUMIFS(BOM!Q:Q,BOM!A:A,'All Products'!A70,BOM!I:I,'All Products'!I$3)</f>
        <v>2.1183419593417026</v>
      </c>
      <c r="J70" s="49">
        <f>SUMIFS(BOM!Q:Q,BOM!A:A,'All Products'!A70,BOM!I:I,'All Products'!J$3)+0.03</f>
        <v>0.4</v>
      </c>
      <c r="K70" s="29">
        <f t="shared" si="15"/>
        <v>0.51290060271725102</v>
      </c>
      <c r="L70" s="49">
        <f>SUMIF(BOM!A:A,'All Products'!A70,BOM!S:S)</f>
        <v>0.44005</v>
      </c>
      <c r="M70" s="49">
        <f>SUMIF(BOM!A:A,'All Products'!A70,BOM!V:V)</f>
        <v>0.27079999999999999</v>
      </c>
      <c r="N70" s="29">
        <f t="shared" si="16"/>
        <v>0.14477596741344195</v>
      </c>
      <c r="O70" s="55">
        <v>0</v>
      </c>
      <c r="P70" s="49">
        <f t="shared" si="17"/>
        <v>3.2291919593417022</v>
      </c>
      <c r="Q70" s="11">
        <f t="shared" si="18"/>
        <v>1.6808080406582979</v>
      </c>
      <c r="R70" s="29">
        <f t="shared" si="19"/>
        <v>0.34232342986930708</v>
      </c>
      <c r="S70" s="91">
        <v>5.8</v>
      </c>
      <c r="T70" s="91">
        <f t="shared" si="13"/>
        <v>28.478000000000002</v>
      </c>
      <c r="U70" s="90">
        <f t="shared" si="21"/>
        <v>9.7486866358181281</v>
      </c>
      <c r="V70" s="90">
        <f t="shared" si="14"/>
        <v>9.7486866358181281</v>
      </c>
      <c r="W70" s="90">
        <f t="shared" si="12"/>
        <v>0</v>
      </c>
      <c r="Y70" s="34">
        <f t="shared" si="20"/>
        <v>0.56856579239476523</v>
      </c>
      <c r="Z70" s="34"/>
      <c r="AA70" s="4"/>
      <c r="AB70" s="4"/>
      <c r="AE70" s="4"/>
    </row>
    <row r="71" spans="1:31" x14ac:dyDescent="0.25">
      <c r="A71" s="1" t="s">
        <v>223</v>
      </c>
      <c r="B71" s="1" t="s">
        <v>552</v>
      </c>
      <c r="C71" s="1" t="s">
        <v>613</v>
      </c>
      <c r="D71" s="1" t="s">
        <v>554</v>
      </c>
      <c r="E71" s="1">
        <f>VLOOKUP(A71,BOM!A:E,5,0)</f>
        <v>2.5</v>
      </c>
      <c r="F71" s="122">
        <v>5.47</v>
      </c>
      <c r="G71" s="10">
        <v>5.84</v>
      </c>
      <c r="H71" s="11" t="s">
        <v>1874</v>
      </c>
      <c r="I71" s="49">
        <f>SUMIFS(BOM!Q:Q,BOM!A:A,'All Products'!A71,BOM!I:I,'All Products'!I$3)</f>
        <v>1.2957370433305011</v>
      </c>
      <c r="J71" s="49">
        <f>SUMIFS(BOM!Q:Q,BOM!A:A,'All Products'!A71,BOM!I:I,'All Products'!J$3)+0.03</f>
        <v>0.4</v>
      </c>
      <c r="K71" s="29">
        <f t="shared" si="15"/>
        <v>0.29036593207714062</v>
      </c>
      <c r="L71" s="49">
        <f>SUMIF(BOM!A:A,'All Products'!A71,BOM!S:S)</f>
        <v>0.97154381136127599</v>
      </c>
      <c r="M71" s="49">
        <f>SUMIF(BOM!A:A,'All Products'!A71,BOM!V:V)</f>
        <v>0.29618749999999999</v>
      </c>
      <c r="N71" s="29">
        <f t="shared" si="16"/>
        <v>0.21707727934268425</v>
      </c>
      <c r="O71" s="55">
        <v>0</v>
      </c>
      <c r="P71" s="49">
        <f t="shared" si="17"/>
        <v>2.9634683546917771</v>
      </c>
      <c r="Q71" s="11">
        <f t="shared" si="18"/>
        <v>2.8765316453082228</v>
      </c>
      <c r="R71" s="29">
        <f t="shared" si="19"/>
        <v>0.49255678858017515</v>
      </c>
      <c r="S71" s="91">
        <v>17.399999999999999</v>
      </c>
      <c r="T71" s="91">
        <f t="shared" si="13"/>
        <v>101.61599999999999</v>
      </c>
      <c r="U71" s="90">
        <f t="shared" si="21"/>
        <v>50.05165062836307</v>
      </c>
      <c r="V71" s="90">
        <f t="shared" si="14"/>
        <v>50.05165062836307</v>
      </c>
      <c r="W71" s="90">
        <f t="shared" si="12"/>
        <v>0</v>
      </c>
      <c r="Y71" s="34">
        <f t="shared" si="20"/>
        <v>0.77812721860779099</v>
      </c>
      <c r="Z71" s="34"/>
      <c r="AA71" s="4"/>
      <c r="AB71" s="4"/>
      <c r="AE71" s="4"/>
    </row>
    <row r="72" spans="1:31" x14ac:dyDescent="0.25">
      <c r="A72" s="1" t="s">
        <v>376</v>
      </c>
      <c r="B72" s="1" t="s">
        <v>552</v>
      </c>
      <c r="C72" s="1" t="s">
        <v>614</v>
      </c>
      <c r="D72" s="1" t="s">
        <v>554</v>
      </c>
      <c r="E72" s="1">
        <f>VLOOKUP(A72,BOM!A:E,5,0)</f>
        <v>1</v>
      </c>
      <c r="F72" s="122">
        <v>5.35</v>
      </c>
      <c r="G72" s="10">
        <v>5.16</v>
      </c>
      <c r="H72" s="11" t="s">
        <v>1874</v>
      </c>
      <c r="I72" s="49">
        <f>SUMIFS(BOM!Q:Q,BOM!A:A,'All Products'!A72,BOM!I:I,'All Products'!I$3)</f>
        <v>1.7368421052631582</v>
      </c>
      <c r="J72" s="49">
        <f>SUMIFS(BOM!Q:Q,BOM!A:A,'All Products'!A72,BOM!I:I,'All Products'!J$3)+0.03</f>
        <v>0.94000000000000006</v>
      </c>
      <c r="K72" s="29">
        <f t="shared" si="15"/>
        <v>0.51876784985720126</v>
      </c>
      <c r="L72" s="49">
        <f>SUMIF(BOM!A:A,'All Products'!A72,BOM!S:S)</f>
        <v>0.49511834381551351</v>
      </c>
      <c r="M72" s="49">
        <f>SUMIF(BOM!A:A,'All Products'!A72,BOM!V:V)</f>
        <v>0.21833249999999998</v>
      </c>
      <c r="N72" s="29">
        <f t="shared" si="16"/>
        <v>0.13826566740610727</v>
      </c>
      <c r="O72" s="55">
        <v>0</v>
      </c>
      <c r="P72" s="49">
        <f t="shared" si="17"/>
        <v>3.3902929490786717</v>
      </c>
      <c r="Q72" s="11">
        <f t="shared" si="18"/>
        <v>1.7697070509213284</v>
      </c>
      <c r="R72" s="29">
        <f t="shared" si="19"/>
        <v>0.34296648273669156</v>
      </c>
      <c r="S72" s="91">
        <v>312.60000000000002</v>
      </c>
      <c r="T72" s="91">
        <f t="shared" si="13"/>
        <v>1613.0160000000001</v>
      </c>
      <c r="U72" s="90">
        <f t="shared" si="21"/>
        <v>553.21042411800727</v>
      </c>
      <c r="V72" s="90">
        <f t="shared" si="14"/>
        <v>553.21042411800727</v>
      </c>
      <c r="W72" s="90">
        <f t="shared" si="12"/>
        <v>0</v>
      </c>
      <c r="Y72" s="34">
        <f t="shared" si="20"/>
        <v>0.66340269277845765</v>
      </c>
      <c r="Z72" s="34"/>
      <c r="AA72" s="4"/>
      <c r="AB72" s="4"/>
      <c r="AE72" s="4"/>
    </row>
    <row r="73" spans="1:31" x14ac:dyDescent="0.25">
      <c r="A73" s="1" t="s">
        <v>296</v>
      </c>
      <c r="B73" s="1" t="s">
        <v>552</v>
      </c>
      <c r="C73" s="1" t="s">
        <v>615</v>
      </c>
      <c r="D73" s="1" t="s">
        <v>554</v>
      </c>
      <c r="E73" s="1">
        <f>VLOOKUP(A73,BOM!A:E,5,0)</f>
        <v>1</v>
      </c>
      <c r="F73" s="122">
        <v>4.04</v>
      </c>
      <c r="G73" s="10">
        <v>4.17</v>
      </c>
      <c r="H73" s="11" t="s">
        <v>1874</v>
      </c>
      <c r="I73" s="49">
        <f>SUMIFS(BOM!Q:Q,BOM!A:A,'All Products'!A73,BOM!I:I,'All Products'!I$3)</f>
        <v>1.8597570850202432</v>
      </c>
      <c r="J73" s="49">
        <f>SUMIFS(BOM!Q:Q,BOM!A:A,'All Products'!A73,BOM!I:I,'All Products'!J$3)+0.03</f>
        <v>0.94000000000000006</v>
      </c>
      <c r="K73" s="29">
        <f t="shared" si="15"/>
        <v>0.67140457674346365</v>
      </c>
      <c r="L73" s="49">
        <f>SUMIF(BOM!A:A,'All Products'!A73,BOM!S:S)</f>
        <v>0.2710893162393162</v>
      </c>
      <c r="M73" s="49">
        <f>SUMIF(BOM!A:A,'All Products'!A73,BOM!V:V)</f>
        <v>0.21833249999999998</v>
      </c>
      <c r="N73" s="29">
        <f t="shared" si="16"/>
        <v>0.11736734202381684</v>
      </c>
      <c r="O73" s="55">
        <v>0</v>
      </c>
      <c r="P73" s="49">
        <f t="shared" si="17"/>
        <v>3.2891789012595591</v>
      </c>
      <c r="Q73" s="11">
        <f t="shared" si="18"/>
        <v>0.88082109874044079</v>
      </c>
      <c r="R73" s="29">
        <f t="shared" si="19"/>
        <v>0.21122808123271961</v>
      </c>
      <c r="S73" s="91">
        <v>20.399999999999999</v>
      </c>
      <c r="T73" s="91">
        <f t="shared" si="13"/>
        <v>85.067999999999998</v>
      </c>
      <c r="U73" s="90">
        <f t="shared" si="21"/>
        <v>17.968750414304992</v>
      </c>
      <c r="V73" s="90">
        <f t="shared" si="14"/>
        <v>17.968750414304992</v>
      </c>
      <c r="W73" s="90">
        <f t="shared" si="12"/>
        <v>0</v>
      </c>
      <c r="Y73" s="34">
        <f t="shared" si="20"/>
        <v>0.55401508752512152</v>
      </c>
      <c r="Z73" s="34"/>
      <c r="AA73" s="4"/>
      <c r="AB73" s="4"/>
      <c r="AE73" s="4"/>
    </row>
    <row r="74" spans="1:31" x14ac:dyDescent="0.25">
      <c r="A74" s="1" t="s">
        <v>119</v>
      </c>
      <c r="B74" s="1" t="s">
        <v>552</v>
      </c>
      <c r="C74" s="1" t="s">
        <v>616</v>
      </c>
      <c r="D74" s="1" t="s">
        <v>554</v>
      </c>
      <c r="E74" s="1">
        <f>VLOOKUP(A74,BOM!A:E,5,0)</f>
        <v>2.5</v>
      </c>
      <c r="F74" s="122">
        <v>16.62</v>
      </c>
      <c r="G74" s="10">
        <v>19.690000000000001</v>
      </c>
      <c r="H74" s="11" t="s">
        <v>1874</v>
      </c>
      <c r="I74" s="49">
        <f>SUMIFS(BOM!Q:Q,BOM!A:A,'All Products'!A74,BOM!I:I,'All Products'!I$3)</f>
        <v>3.6971830985915495</v>
      </c>
      <c r="J74" s="49">
        <f>SUMIFS(BOM!Q:Q,BOM!A:A,'All Products'!A74,BOM!I:I,'All Products'!J$3)+0.03</f>
        <v>0.4</v>
      </c>
      <c r="K74" s="29">
        <f t="shared" si="15"/>
        <v>0.20808446412349157</v>
      </c>
      <c r="L74" s="49">
        <f>SUMIF(BOM!A:A,'All Products'!A74,BOM!S:S)</f>
        <v>5.5820715962441314</v>
      </c>
      <c r="M74" s="49">
        <f>SUMIF(BOM!A:A,'All Products'!A74,BOM!V:V)</f>
        <v>0.29618749999999999</v>
      </c>
      <c r="N74" s="29">
        <f t="shared" si="16"/>
        <v>0.2985403299260605</v>
      </c>
      <c r="O74" s="55">
        <v>0</v>
      </c>
      <c r="P74" s="49">
        <f t="shared" si="17"/>
        <v>9.9754421948356811</v>
      </c>
      <c r="Q74" s="11">
        <f t="shared" si="18"/>
        <v>9.7145578051643202</v>
      </c>
      <c r="R74" s="29">
        <f t="shared" si="19"/>
        <v>0.49337520595044793</v>
      </c>
      <c r="S74" s="91">
        <v>364</v>
      </c>
      <c r="T74" s="91">
        <f t="shared" si="13"/>
        <v>7167.1600000000008</v>
      </c>
      <c r="U74" s="90">
        <f t="shared" si="21"/>
        <v>3536.0990410798127</v>
      </c>
      <c r="V74" s="90">
        <f t="shared" si="14"/>
        <v>3536.0990410798127</v>
      </c>
      <c r="W74" s="90">
        <f t="shared" si="12"/>
        <v>0</v>
      </c>
      <c r="Y74" s="34">
        <f t="shared" si="20"/>
        <v>0.81223041652658456</v>
      </c>
      <c r="Z74" s="34"/>
      <c r="AA74" s="4"/>
      <c r="AB74" s="4"/>
      <c r="AE74" s="4">
        <v>5.792253521126761</v>
      </c>
    </row>
    <row r="75" spans="1:31" x14ac:dyDescent="0.25">
      <c r="A75" s="1" t="s">
        <v>617</v>
      </c>
      <c r="B75" s="1" t="s">
        <v>552</v>
      </c>
      <c r="C75" s="1" t="s">
        <v>618</v>
      </c>
      <c r="D75" s="1" t="s">
        <v>554</v>
      </c>
      <c r="E75" s="1">
        <f>VLOOKUP(A75,BOM!A:E,5,0)</f>
        <v>2.5</v>
      </c>
      <c r="F75" s="122">
        <v>8.93</v>
      </c>
      <c r="G75" s="10">
        <v>9.32</v>
      </c>
      <c r="H75" s="11" t="s">
        <v>1874</v>
      </c>
      <c r="I75" s="49">
        <f>SUMIFS(BOM!Q:Q,BOM!A:A,'All Products'!A75,BOM!I:I,'All Products'!I$3)</f>
        <v>4.7258689277702626</v>
      </c>
      <c r="J75" s="49">
        <f>SUMIFS(BOM!Q:Q,BOM!A:A,'All Products'!A75,BOM!I:I,'All Products'!J$3)+0.03</f>
        <v>0.4</v>
      </c>
      <c r="K75" s="29">
        <f t="shared" si="15"/>
        <v>0.54998593645603677</v>
      </c>
      <c r="L75" s="49">
        <f>SUMIF(BOM!A:A,'All Products'!A75,BOM!S:S)</f>
        <v>2.5992719905765691</v>
      </c>
      <c r="M75" s="49">
        <f>SUMIF(BOM!A:A,'All Products'!A75,BOM!V:V)</f>
        <v>0.29618749999999999</v>
      </c>
      <c r="N75" s="29">
        <f t="shared" si="16"/>
        <v>0.31067161916057606</v>
      </c>
      <c r="O75" s="55">
        <v>0</v>
      </c>
      <c r="P75" s="49">
        <f t="shared" si="17"/>
        <v>8.0213284183468332</v>
      </c>
      <c r="Q75" s="11">
        <f t="shared" si="18"/>
        <v>1.2986715816531671</v>
      </c>
      <c r="R75" s="29">
        <f t="shared" si="19"/>
        <v>0.13934244438338703</v>
      </c>
      <c r="S75" s="91">
        <v>13.2</v>
      </c>
      <c r="T75" s="91">
        <f t="shared" si="13"/>
        <v>123.024</v>
      </c>
      <c r="U75" s="90">
        <f t="shared" si="21"/>
        <v>17.142464877821805</v>
      </c>
      <c r="V75" s="90">
        <f t="shared" si="14"/>
        <v>17.142464877821805</v>
      </c>
      <c r="W75" s="90">
        <f t="shared" si="12"/>
        <v>0</v>
      </c>
      <c r="Y75" s="34">
        <f t="shared" si="20"/>
        <v>0.49293251847958558</v>
      </c>
      <c r="Z75" s="34"/>
      <c r="AA75" s="4"/>
      <c r="AB75" s="4"/>
      <c r="AE75" s="4"/>
    </row>
    <row r="76" spans="1:31" x14ac:dyDescent="0.25">
      <c r="A76" s="1" t="s">
        <v>104</v>
      </c>
      <c r="B76" s="1" t="s">
        <v>552</v>
      </c>
      <c r="C76" s="1" t="s">
        <v>105</v>
      </c>
      <c r="D76" s="1" t="s">
        <v>554</v>
      </c>
      <c r="E76" s="1">
        <f>VLOOKUP(A76,BOM!A:E,5,0)</f>
        <v>2.7</v>
      </c>
      <c r="F76" s="122">
        <v>16.3</v>
      </c>
      <c r="G76" s="10">
        <v>17.170000000000002</v>
      </c>
      <c r="H76" s="11" t="s">
        <v>1874</v>
      </c>
      <c r="I76" s="49">
        <f>SUMIFS(BOM!Q:Q,BOM!A:A,'All Products'!A76,BOM!I:I,'All Products'!I$3)</f>
        <v>6.265975000000001</v>
      </c>
      <c r="J76" s="49">
        <f>SUMIFS(BOM!Q:Q,BOM!A:A,'All Products'!A76,BOM!I:I,'All Products'!J$3)+0.03</f>
        <v>0.75000000000000011</v>
      </c>
      <c r="K76" s="29">
        <f t="shared" si="15"/>
        <v>0.40861822947000587</v>
      </c>
      <c r="L76" s="49">
        <f>SUMIF(BOM!A:A,'All Products'!A76,BOM!S:S)</f>
        <v>2.3093222222222223</v>
      </c>
      <c r="M76" s="49">
        <f>SUMIF(BOM!A:A,'All Products'!A76,BOM!V:V)</f>
        <v>0.27079999999999999</v>
      </c>
      <c r="N76" s="29">
        <f t="shared" si="16"/>
        <v>0.15026920339092731</v>
      </c>
      <c r="O76" s="55">
        <v>0</v>
      </c>
      <c r="P76" s="49">
        <f t="shared" si="17"/>
        <v>9.5960972222222232</v>
      </c>
      <c r="Q76" s="11">
        <f t="shared" si="18"/>
        <v>7.5739027777777785</v>
      </c>
      <c r="R76" s="29">
        <f t="shared" si="19"/>
        <v>0.44111256713906682</v>
      </c>
      <c r="S76" s="91">
        <v>39.4</v>
      </c>
      <c r="T76" s="91">
        <f t="shared" si="13"/>
        <v>676.49800000000005</v>
      </c>
      <c r="U76" s="90">
        <f t="shared" si="21"/>
        <v>298.41176944444447</v>
      </c>
      <c r="V76" s="90">
        <f t="shared" si="14"/>
        <v>298.41176944444447</v>
      </c>
      <c r="W76" s="90">
        <f t="shared" si="12"/>
        <v>0</v>
      </c>
      <c r="Y76" s="34">
        <f t="shared" si="20"/>
        <v>0.63506260920209667</v>
      </c>
      <c r="Z76" s="34"/>
      <c r="AA76" s="4"/>
      <c r="AB76" s="4"/>
      <c r="AE76" s="4"/>
    </row>
    <row r="77" spans="1:31" x14ac:dyDescent="0.25">
      <c r="A77" s="1" t="s">
        <v>619</v>
      </c>
      <c r="B77" s="1" t="s">
        <v>552</v>
      </c>
      <c r="C77" s="1" t="s">
        <v>620</v>
      </c>
      <c r="D77" s="1" t="s">
        <v>554</v>
      </c>
      <c r="E77" s="1">
        <f>VLOOKUP(A77,BOM!A:E,5,0)</f>
        <v>1</v>
      </c>
      <c r="F77" s="122">
        <v>1.79</v>
      </c>
      <c r="G77" s="10">
        <v>2.02</v>
      </c>
      <c r="H77" s="11" t="s">
        <v>1874</v>
      </c>
      <c r="I77" s="49">
        <f>SUMIFS(BOM!Q:Q,BOM!A:A,'All Products'!A77,BOM!I:I,'All Products'!I$3)</f>
        <v>0.5044470994291782</v>
      </c>
      <c r="J77" s="49">
        <f>SUMIFS(BOM!Q:Q,BOM!A:A,'All Products'!A77,BOM!I:I,'All Products'!J$3)+0.03</f>
        <v>0.51</v>
      </c>
      <c r="K77" s="29">
        <f t="shared" si="15"/>
        <v>0.50220153437088033</v>
      </c>
      <c r="L77" s="49">
        <f>SUMIF(BOM!A:A,'All Products'!A77,BOM!S:S)</f>
        <v>0.30645053191489363</v>
      </c>
      <c r="M77" s="49">
        <f>SUMIF(BOM!A:A,'All Products'!A77,BOM!V:V)</f>
        <v>0.59237499999999998</v>
      </c>
      <c r="N77" s="29">
        <f t="shared" si="16"/>
        <v>0.44496313461133352</v>
      </c>
      <c r="O77" s="55">
        <v>0</v>
      </c>
      <c r="P77" s="49">
        <f t="shared" si="17"/>
        <v>1.913272631344072</v>
      </c>
      <c r="Q77" s="11">
        <f t="shared" si="18"/>
        <v>0.10672736865592802</v>
      </c>
      <c r="R77" s="29">
        <f t="shared" si="19"/>
        <v>5.2835331017786147E-2</v>
      </c>
      <c r="S77" s="93">
        <v>0</v>
      </c>
      <c r="T77" s="91">
        <f t="shared" si="13"/>
        <v>0</v>
      </c>
      <c r="U77" s="90">
        <f t="shared" si="21"/>
        <v>0</v>
      </c>
      <c r="V77" s="90">
        <f t="shared" si="14"/>
        <v>0</v>
      </c>
      <c r="W77" s="90">
        <f t="shared" si="12"/>
        <v>0</v>
      </c>
      <c r="Y77" s="34">
        <f t="shared" si="20"/>
        <v>0.75027371315387226</v>
      </c>
      <c r="Z77" s="34"/>
      <c r="AA77" s="4"/>
      <c r="AB77" s="4"/>
      <c r="AE77" s="4"/>
    </row>
    <row r="78" spans="1:31" x14ac:dyDescent="0.25">
      <c r="A78" s="12" t="s">
        <v>29</v>
      </c>
      <c r="B78" s="1" t="s">
        <v>552</v>
      </c>
      <c r="C78" s="1" t="s">
        <v>621</v>
      </c>
      <c r="D78" s="1" t="s">
        <v>554</v>
      </c>
      <c r="E78" s="1">
        <f>VLOOKUP(A78,BOM!A:E,5,0)</f>
        <v>1</v>
      </c>
      <c r="F78" s="122">
        <v>9.85</v>
      </c>
      <c r="G78" s="10">
        <v>10.56</v>
      </c>
      <c r="H78" s="11" t="s">
        <v>1874</v>
      </c>
      <c r="I78" s="49">
        <f>SUMIFS(BOM!Q:Q,BOM!A:A,'All Products'!A78,BOM!I:I,'All Products'!I$3)</f>
        <v>4.2753333333333341</v>
      </c>
      <c r="J78" s="49">
        <f>SUMIFS(BOM!Q:Q,BOM!A:A,'All Products'!A78,BOM!I:I,'All Products'!J$3)+0.03</f>
        <v>0.51</v>
      </c>
      <c r="K78" s="29">
        <f t="shared" si="15"/>
        <v>0.4531565656565657</v>
      </c>
      <c r="L78" s="49">
        <f>SUMIF(BOM!A:A,'All Products'!A78,BOM!S:S)</f>
        <v>5.319285714285714</v>
      </c>
      <c r="M78" s="49">
        <f>SUMIF(BOM!A:A,'All Products'!A78,BOM!V:V)</f>
        <v>0.59237499999999998</v>
      </c>
      <c r="N78" s="29">
        <f t="shared" si="16"/>
        <v>0.55981635551948039</v>
      </c>
      <c r="O78" s="55">
        <v>0</v>
      </c>
      <c r="P78" s="49">
        <f t="shared" si="17"/>
        <v>10.696994047619047</v>
      </c>
      <c r="Q78" s="11">
        <f t="shared" si="18"/>
        <v>-0.1369940476190461</v>
      </c>
      <c r="R78" s="29">
        <f t="shared" si="19"/>
        <v>-1.2972921176046032E-2</v>
      </c>
      <c r="S78" s="91">
        <v>131.6</v>
      </c>
      <c r="T78" s="91">
        <f t="shared" si="13"/>
        <v>1389.6959999999999</v>
      </c>
      <c r="U78" s="90">
        <f t="shared" si="21"/>
        <v>-18.028416666666466</v>
      </c>
      <c r="V78" s="90">
        <f t="shared" si="14"/>
        <v>-18.028416666666466</v>
      </c>
      <c r="W78" s="90">
        <f t="shared" si="12"/>
        <v>0</v>
      </c>
      <c r="X78" s="4" t="s">
        <v>4336</v>
      </c>
      <c r="Y78" s="34">
        <f t="shared" si="20"/>
        <v>0.59513888888888888</v>
      </c>
      <c r="Z78" s="34"/>
      <c r="AA78" s="4"/>
      <c r="AB78" s="4"/>
      <c r="AE78" s="4"/>
    </row>
    <row r="79" spans="1:31" x14ac:dyDescent="0.25">
      <c r="A79" s="1" t="s">
        <v>402</v>
      </c>
      <c r="B79" s="1" t="s">
        <v>552</v>
      </c>
      <c r="C79" s="1" t="s">
        <v>622</v>
      </c>
      <c r="D79" s="1" t="s">
        <v>554</v>
      </c>
      <c r="E79" s="1">
        <f>VLOOKUP(A79,BOM!A:E,5,0)</f>
        <v>2</v>
      </c>
      <c r="F79" s="122">
        <v>3.8</v>
      </c>
      <c r="G79" s="10">
        <v>4.08</v>
      </c>
      <c r="H79" s="11" t="s">
        <v>1874</v>
      </c>
      <c r="I79" s="49" t="e">
        <f>SUMIFS(BOM!Q:Q,BOM!A:A,'All Products'!A79,BOM!I:I,'All Products'!I$3)</f>
        <v>#N/A</v>
      </c>
      <c r="J79" s="49">
        <f>SUMIFS(BOM!Q:Q,BOM!A:A,'All Products'!A79,BOM!I:I,'All Products'!J$3)+0.03</f>
        <v>0.49</v>
      </c>
      <c r="K79" s="29" t="e">
        <f t="shared" si="15"/>
        <v>#N/A</v>
      </c>
      <c r="L79" s="49">
        <f>SUMIF(BOM!A:A,'All Products'!A79,BOM!S:S)</f>
        <v>0.58818338095389622</v>
      </c>
      <c r="M79" s="49">
        <f>SUMIF(BOM!A:A,'All Products'!A79,BOM!V:V)</f>
        <v>0.48743999999999993</v>
      </c>
      <c r="N79" s="29">
        <f t="shared" si="16"/>
        <v>0.26363318160634708</v>
      </c>
      <c r="O79" s="55">
        <v>0</v>
      </c>
      <c r="P79" s="49" t="e">
        <f t="shared" si="17"/>
        <v>#N/A</v>
      </c>
      <c r="Q79" s="11" t="e">
        <f t="shared" si="18"/>
        <v>#N/A</v>
      </c>
      <c r="R79" s="29">
        <f t="shared" si="19"/>
        <v>0</v>
      </c>
      <c r="S79" s="91">
        <v>209.4</v>
      </c>
      <c r="T79" s="91">
        <f t="shared" si="13"/>
        <v>854.35200000000009</v>
      </c>
      <c r="U79" s="90">
        <f t="shared" si="21"/>
        <v>0</v>
      </c>
      <c r="V79" s="90" t="e">
        <f t="shared" si="14"/>
        <v>#N/A</v>
      </c>
      <c r="W79" s="90" t="e">
        <f t="shared" si="12"/>
        <v>#N/A</v>
      </c>
      <c r="Y79" s="34" t="e">
        <f t="shared" si="20"/>
        <v>#N/A</v>
      </c>
      <c r="Z79" s="34"/>
      <c r="AA79" s="4"/>
      <c r="AB79" s="4"/>
      <c r="AE79" s="4"/>
    </row>
    <row r="80" spans="1:31" x14ac:dyDescent="0.25">
      <c r="A80" s="1" t="s">
        <v>393</v>
      </c>
      <c r="B80" s="1" t="s">
        <v>552</v>
      </c>
      <c r="C80" s="1" t="s">
        <v>394</v>
      </c>
      <c r="D80" s="1" t="s">
        <v>554</v>
      </c>
      <c r="E80" s="1">
        <f>VLOOKUP(A80,BOM!A:E,5,0)</f>
        <v>1.35</v>
      </c>
      <c r="F80" s="122">
        <v>7.93</v>
      </c>
      <c r="G80" s="10">
        <v>8.16</v>
      </c>
      <c r="H80" s="11" t="s">
        <v>1874</v>
      </c>
      <c r="I80" s="49">
        <f>SUMIFS(BOM!Q:Q,BOM!A:A,'All Products'!A80,BOM!I:I,'All Products'!I$3)</f>
        <v>4.0496074112734863</v>
      </c>
      <c r="J80" s="49">
        <f>SUMIFS(BOM!Q:Q,BOM!A:A,'All Products'!A80,BOM!I:I,'All Products'!J$3)+0.03</f>
        <v>0.73000000000000009</v>
      </c>
      <c r="K80" s="29">
        <f t="shared" si="15"/>
        <v>0.5857362023619469</v>
      </c>
      <c r="L80" s="49">
        <f>SUMIF(BOM!A:A,'All Products'!A80,BOM!S:S)</f>
        <v>1.4537472463380687</v>
      </c>
      <c r="M80" s="49">
        <f>SUMIF(BOM!A:A,'All Products'!A80,BOM!V:V)</f>
        <v>0.21833249999999998</v>
      </c>
      <c r="N80" s="29">
        <f t="shared" si="16"/>
        <v>0.20491173361986137</v>
      </c>
      <c r="O80" s="55">
        <v>0</v>
      </c>
      <c r="P80" s="49">
        <f t="shared" si="17"/>
        <v>6.4516871576115555</v>
      </c>
      <c r="Q80" s="11">
        <f t="shared" si="18"/>
        <v>1.7083128423884446</v>
      </c>
      <c r="R80" s="29">
        <f t="shared" si="19"/>
        <v>0.20935206401819173</v>
      </c>
      <c r="S80" s="91">
        <v>20.8</v>
      </c>
      <c r="T80" s="91">
        <f t="shared" si="13"/>
        <v>169.72800000000001</v>
      </c>
      <c r="U80" s="90">
        <f t="shared" si="21"/>
        <v>35.532907121679649</v>
      </c>
      <c r="V80" s="90">
        <f t="shared" si="14"/>
        <v>35.532907121679649</v>
      </c>
      <c r="W80" s="90">
        <f t="shared" si="12"/>
        <v>0</v>
      </c>
      <c r="Y80" s="34">
        <f t="shared" si="20"/>
        <v>0.5037245819517786</v>
      </c>
      <c r="Z80" s="34"/>
      <c r="AA80" s="4"/>
      <c r="AB80" s="4"/>
      <c r="AE80" s="4"/>
    </row>
    <row r="81" spans="1:31" x14ac:dyDescent="0.25">
      <c r="A81" s="1" t="s">
        <v>623</v>
      </c>
      <c r="B81" s="1" t="s">
        <v>552</v>
      </c>
      <c r="C81" s="1" t="s">
        <v>624</v>
      </c>
      <c r="D81" s="1" t="s">
        <v>554</v>
      </c>
      <c r="E81" s="1">
        <f>VLOOKUP(A81,BOM!A:E,5,0)</f>
        <v>3</v>
      </c>
      <c r="F81" s="122">
        <v>15.13</v>
      </c>
      <c r="G81" s="10">
        <v>14.55</v>
      </c>
      <c r="H81" s="11" t="s">
        <v>1874</v>
      </c>
      <c r="I81" s="49">
        <f>SUMIFS(BOM!Q:Q,BOM!A:A,'All Products'!A81,BOM!I:I,'All Products'!I$3)</f>
        <v>1.5127052238805969</v>
      </c>
      <c r="J81" s="49">
        <f>SUMIFS(BOM!Q:Q,BOM!A:A,'All Products'!A81,BOM!I:I,'All Products'!J$3)+0.03</f>
        <v>0.4</v>
      </c>
      <c r="K81" s="29">
        <f t="shared" si="15"/>
        <v>0.1314574037031338</v>
      </c>
      <c r="L81" s="49">
        <f>SUMIF(BOM!A:A,'All Products'!A81,BOM!S:S)</f>
        <v>3.6628731343283576</v>
      </c>
      <c r="M81" s="49">
        <f>SUMIF(BOM!A:A,'All Products'!A81,BOM!V:V)</f>
        <v>0.27079999999999999</v>
      </c>
      <c r="N81" s="29">
        <f t="shared" si="16"/>
        <v>0.27035554187823763</v>
      </c>
      <c r="O81" s="55">
        <v>0</v>
      </c>
      <c r="P81" s="49">
        <f t="shared" si="17"/>
        <v>5.8463783582089546</v>
      </c>
      <c r="Q81" s="11">
        <f t="shared" si="18"/>
        <v>8.7036216417910452</v>
      </c>
      <c r="R81" s="29">
        <f t="shared" si="19"/>
        <v>0.59818705441862852</v>
      </c>
      <c r="S81" s="93">
        <v>0</v>
      </c>
      <c r="T81" s="91">
        <f t="shared" si="13"/>
        <v>0</v>
      </c>
      <c r="U81" s="90">
        <f t="shared" si="21"/>
        <v>0</v>
      </c>
      <c r="V81" s="90">
        <f t="shared" si="14"/>
        <v>0</v>
      </c>
      <c r="W81" s="90">
        <f t="shared" si="12"/>
        <v>0</v>
      </c>
      <c r="Y81" s="34">
        <f t="shared" si="20"/>
        <v>0.89603400523157417</v>
      </c>
      <c r="Z81" s="34"/>
      <c r="AA81" s="4"/>
      <c r="AB81" s="4"/>
      <c r="AE81" s="4"/>
    </row>
    <row r="82" spans="1:31" x14ac:dyDescent="0.25">
      <c r="A82" s="1" t="s">
        <v>625</v>
      </c>
      <c r="B82" s="1" t="s">
        <v>552</v>
      </c>
      <c r="C82" s="1" t="s">
        <v>626</v>
      </c>
      <c r="D82" s="1" t="s">
        <v>554</v>
      </c>
      <c r="E82" s="1">
        <f>VLOOKUP(A82,BOM!A:E,5,0)</f>
        <v>1</v>
      </c>
      <c r="F82" s="122">
        <v>3.59</v>
      </c>
      <c r="G82" s="10">
        <v>3.64</v>
      </c>
      <c r="H82" s="11" t="s">
        <v>1874</v>
      </c>
      <c r="I82" s="49">
        <f>SUMIFS(BOM!Q:Q,BOM!A:A,'All Products'!A82,BOM!I:I,'All Products'!I$3)</f>
        <v>1.0591709796708513</v>
      </c>
      <c r="J82" s="49">
        <f>SUMIFS(BOM!Q:Q,BOM!A:A,'All Products'!A82,BOM!I:I,'All Products'!J$3)+0.03</f>
        <v>0.4</v>
      </c>
      <c r="K82" s="29">
        <f t="shared" si="15"/>
        <v>0.40087114826122289</v>
      </c>
      <c r="L82" s="49">
        <f>SUMIF(BOM!A:A,'All Products'!A82,BOM!S:S)</f>
        <v>0.220025</v>
      </c>
      <c r="M82" s="49">
        <f>SUMIF(BOM!A:A,'All Products'!A82,BOM!V:V)</f>
        <v>0.21833249999999998</v>
      </c>
      <c r="N82" s="29">
        <f t="shared" si="16"/>
        <v>0.1204278846153846</v>
      </c>
      <c r="O82" s="55">
        <v>0</v>
      </c>
      <c r="P82" s="49">
        <f t="shared" si="17"/>
        <v>1.8975284796708514</v>
      </c>
      <c r="Q82" s="11">
        <f t="shared" si="18"/>
        <v>1.7424715203291488</v>
      </c>
      <c r="R82" s="29">
        <f t="shared" si="19"/>
        <v>0.4787009671233925</v>
      </c>
      <c r="S82" s="91">
        <v>0</v>
      </c>
      <c r="T82" s="91">
        <f t="shared" si="13"/>
        <v>0</v>
      </c>
      <c r="U82" s="90">
        <f t="shared" si="21"/>
        <v>0</v>
      </c>
      <c r="V82" s="90">
        <f t="shared" si="14"/>
        <v>0</v>
      </c>
      <c r="W82" s="90">
        <f t="shared" si="12"/>
        <v>0</v>
      </c>
      <c r="Y82" s="34">
        <f t="shared" si="20"/>
        <v>0.709018961628887</v>
      </c>
      <c r="Z82" s="34"/>
      <c r="AA82" s="4"/>
      <c r="AB82" s="4"/>
      <c r="AE82" s="4"/>
    </row>
    <row r="83" spans="1:31" x14ac:dyDescent="0.25">
      <c r="A83" s="1" t="s">
        <v>627</v>
      </c>
      <c r="B83" s="1" t="s">
        <v>552</v>
      </c>
      <c r="C83" s="1" t="s">
        <v>628</v>
      </c>
      <c r="D83" s="1" t="s">
        <v>554</v>
      </c>
      <c r="E83" s="1">
        <f>VLOOKUP(A83,BOM!A:E,5,0)</f>
        <v>1</v>
      </c>
      <c r="F83" s="122">
        <v>1.94</v>
      </c>
      <c r="G83" s="10">
        <v>1.93</v>
      </c>
      <c r="H83" s="11" t="s">
        <v>1873</v>
      </c>
      <c r="I83" s="49">
        <f>SUMIFS(BOM!Q:Q,BOM!A:A,'All Products'!A83,BOM!I:I,'All Products'!I$3)</f>
        <v>0.66346696781479386</v>
      </c>
      <c r="J83" s="49">
        <f>SUMIFS(BOM!Q:Q,BOM!A:A,'All Products'!A83,BOM!I:I,'All Products'!J$3)+0.03</f>
        <v>0.51</v>
      </c>
      <c r="K83" s="29">
        <f t="shared" si="15"/>
        <v>0.60801397296103321</v>
      </c>
      <c r="L83" s="49">
        <f>SUMIF(BOM!A:A,'All Products'!A83,BOM!S:S)</f>
        <v>0.54159999999999986</v>
      </c>
      <c r="M83" s="49">
        <f>SUMIF(BOM!A:A,'All Products'!A83,BOM!V:V)</f>
        <v>0.59237499999999998</v>
      </c>
      <c r="N83" s="29">
        <f t="shared" si="16"/>
        <v>0.58755181347150254</v>
      </c>
      <c r="O83" s="55">
        <v>0</v>
      </c>
      <c r="P83" s="49">
        <f t="shared" si="17"/>
        <v>2.3074419678147939</v>
      </c>
      <c r="Q83" s="11">
        <f t="shared" si="18"/>
        <v>-0.377441967814794</v>
      </c>
      <c r="R83" s="29">
        <f t="shared" si="19"/>
        <v>-0.19556578643253575</v>
      </c>
      <c r="S83" s="93">
        <v>0</v>
      </c>
      <c r="T83" s="91">
        <f t="shared" si="13"/>
        <v>0</v>
      </c>
      <c r="U83" s="90">
        <f t="shared" si="21"/>
        <v>0</v>
      </c>
      <c r="V83" s="90">
        <f t="shared" si="14"/>
        <v>0</v>
      </c>
      <c r="W83" s="90">
        <f t="shared" si="12"/>
        <v>0</v>
      </c>
      <c r="Y83" s="34">
        <f t="shared" si="20"/>
        <v>0.65623473170217927</v>
      </c>
      <c r="Z83" s="34"/>
      <c r="AA83" s="4"/>
      <c r="AB83" s="4">
        <f>P83*1.57</f>
        <v>3.6226838894692266</v>
      </c>
      <c r="AC83" s="4">
        <f>AB83-P83</f>
        <v>1.3152419216544327</v>
      </c>
      <c r="AD83" s="34">
        <f>AC83/AB83</f>
        <v>0.36305732484076436</v>
      </c>
      <c r="AE83" s="4"/>
    </row>
    <row r="84" spans="1:31" x14ac:dyDescent="0.25">
      <c r="A84" s="1" t="s">
        <v>233</v>
      </c>
      <c r="B84" s="1" t="s">
        <v>552</v>
      </c>
      <c r="C84" s="59" t="s">
        <v>629</v>
      </c>
      <c r="D84" s="1" t="s">
        <v>554</v>
      </c>
      <c r="E84" s="1">
        <f>VLOOKUP(A84,BOM!A:E,5,0)</f>
        <v>2.5</v>
      </c>
      <c r="F84" s="122">
        <v>3.88</v>
      </c>
      <c r="G84" s="10">
        <v>4</v>
      </c>
      <c r="H84" s="11" t="s">
        <v>1874</v>
      </c>
      <c r="I84" s="49">
        <f>SUMIFS(BOM!Q:Q,BOM!A:A,'All Products'!A84,BOM!I:I,'All Products'!I$3)</f>
        <v>1.355593607305936</v>
      </c>
      <c r="J84" s="49">
        <f>SUMIFS(BOM!Q:Q,BOM!A:A,'All Products'!A84,BOM!I:I,'All Products'!J$3)+0.03</f>
        <v>0.4</v>
      </c>
      <c r="K84" s="29">
        <f t="shared" si="15"/>
        <v>0.43889840182648399</v>
      </c>
      <c r="L84" s="49">
        <f>SUMIF(BOM!A:A,'All Products'!A84,BOM!S:S)</f>
        <v>0.75676360055861547</v>
      </c>
      <c r="M84" s="49">
        <f>SUMIF(BOM!A:A,'All Products'!A84,BOM!V:V)</f>
        <v>0.29618749999999999</v>
      </c>
      <c r="N84" s="29">
        <f t="shared" si="16"/>
        <v>0.26323777513965385</v>
      </c>
      <c r="O84" s="55">
        <v>0</v>
      </c>
      <c r="P84" s="49">
        <f t="shared" si="17"/>
        <v>2.8085447078645513</v>
      </c>
      <c r="Q84" s="11">
        <f t="shared" si="18"/>
        <v>1.1914552921354487</v>
      </c>
      <c r="R84" s="29">
        <f t="shared" si="19"/>
        <v>0.29786382303386216</v>
      </c>
      <c r="S84" s="91">
        <v>8.6</v>
      </c>
      <c r="T84" s="91">
        <f t="shared" si="13"/>
        <v>34.4</v>
      </c>
      <c r="U84" s="90">
        <f t="shared" si="21"/>
        <v>10.246515512364859</v>
      </c>
      <c r="V84" s="90">
        <f t="shared" si="14"/>
        <v>10.246515512364859</v>
      </c>
      <c r="W84" s="90">
        <f t="shared" si="12"/>
        <v>0</v>
      </c>
      <c r="Y84" s="34">
        <f t="shared" si="20"/>
        <v>0.66110159817351599</v>
      </c>
      <c r="Z84" s="34"/>
      <c r="AA84" s="4"/>
      <c r="AB84" s="4"/>
      <c r="AE84" s="4"/>
    </row>
    <row r="85" spans="1:31" x14ac:dyDescent="0.25">
      <c r="A85" s="1" t="s">
        <v>630</v>
      </c>
      <c r="B85" s="1" t="s">
        <v>552</v>
      </c>
      <c r="C85" s="1" t="s">
        <v>631</v>
      </c>
      <c r="D85" s="1" t="s">
        <v>554</v>
      </c>
      <c r="E85" s="1">
        <f>VLOOKUP(A85,BOM!A:E,5,0)</f>
        <v>2.5</v>
      </c>
      <c r="F85" s="122">
        <v>4.75</v>
      </c>
      <c r="G85" s="10">
        <v>4.28</v>
      </c>
      <c r="H85" s="11" t="s">
        <v>1874</v>
      </c>
      <c r="I85" s="49">
        <f>SUMIFS(BOM!Q:Q,BOM!A:A,'All Products'!A85,BOM!I:I,'All Products'!I$3)</f>
        <v>1.5784797630799605</v>
      </c>
      <c r="J85" s="49">
        <f>SUMIFS(BOM!Q:Q,BOM!A:A,'All Products'!A85,BOM!I:I,'All Products'!J$3)+0.03</f>
        <v>0.4</v>
      </c>
      <c r="K85" s="29">
        <f t="shared" si="15"/>
        <v>0.46226162688784123</v>
      </c>
      <c r="L85" s="49">
        <f>SUMIF(BOM!A:A,'All Products'!A85,BOM!S:S)</f>
        <v>1.6453549508562599</v>
      </c>
      <c r="M85" s="49">
        <f>SUMIF(BOM!A:A,'All Products'!A85,BOM!V:V)</f>
        <v>0.29618749999999999</v>
      </c>
      <c r="N85" s="29">
        <f t="shared" si="16"/>
        <v>0.4536314137514626</v>
      </c>
      <c r="O85" s="55">
        <v>0</v>
      </c>
      <c r="P85" s="49">
        <f t="shared" si="17"/>
        <v>3.9200222139362202</v>
      </c>
      <c r="Q85" s="11">
        <f t="shared" si="18"/>
        <v>0.35997778606378006</v>
      </c>
      <c r="R85" s="29">
        <f t="shared" si="19"/>
        <v>8.4106959360696273E-2</v>
      </c>
      <c r="S85" s="93">
        <v>0</v>
      </c>
      <c r="T85" s="91">
        <f t="shared" ref="T85:T93" si="22">S85*G85</f>
        <v>0</v>
      </c>
      <c r="U85" s="90">
        <f t="shared" si="21"/>
        <v>0</v>
      </c>
      <c r="V85" s="90">
        <f t="shared" ref="V85:V93" si="23">(G85-P85)*S85</f>
        <v>0</v>
      </c>
      <c r="W85" s="90">
        <f t="shared" ref="W85:W93" si="24">V85-U85</f>
        <v>0</v>
      </c>
      <c r="Y85" s="34">
        <f t="shared" si="20"/>
        <v>0.63119631703739232</v>
      </c>
      <c r="Z85" s="34"/>
      <c r="AA85" s="4"/>
      <c r="AB85" s="4"/>
      <c r="AE85" s="4"/>
    </row>
    <row r="86" spans="1:31" x14ac:dyDescent="0.25">
      <c r="A86" s="1" t="s">
        <v>632</v>
      </c>
      <c r="B86" s="1" t="s">
        <v>552</v>
      </c>
      <c r="C86" s="59" t="s">
        <v>633</v>
      </c>
      <c r="D86" s="1" t="s">
        <v>554</v>
      </c>
      <c r="E86" s="1">
        <f>VLOOKUP(A86,BOM!A:E,5,0)</f>
        <v>5</v>
      </c>
      <c r="F86" s="122">
        <v>19.149999999999999</v>
      </c>
      <c r="G86" s="10">
        <v>20.37</v>
      </c>
      <c r="H86" s="11" t="s">
        <v>1874</v>
      </c>
      <c r="I86" s="49">
        <f>SUMIFS(BOM!Q:Q,BOM!A:A,'All Products'!A86,BOM!I:I,'All Products'!I$3)</f>
        <v>5.1630434782608692</v>
      </c>
      <c r="J86" s="49">
        <f>SUMIFS(BOM!Q:Q,BOM!A:A,'All Products'!A86,BOM!I:I,'All Products'!J$3)+0.03</f>
        <v>0.4</v>
      </c>
      <c r="K86" s="29">
        <f t="shared" si="15"/>
        <v>0.27309982711148106</v>
      </c>
      <c r="L86" s="49">
        <f>SUMIF(BOM!A:A,'All Products'!A86,BOM!S:S)</f>
        <v>1.1988541666666663</v>
      </c>
      <c r="M86" s="49">
        <f>SUMIF(BOM!A:A,'All Products'!A86,BOM!V:V)</f>
        <v>0.40112249999999999</v>
      </c>
      <c r="N86" s="29">
        <f t="shared" si="16"/>
        <v>7.8545737195221718E-2</v>
      </c>
      <c r="O86" s="55">
        <v>0</v>
      </c>
      <c r="P86" s="49">
        <f t="shared" si="17"/>
        <v>7.1630201449275352</v>
      </c>
      <c r="Q86" s="11">
        <f t="shared" si="18"/>
        <v>13.206979855072465</v>
      </c>
      <c r="R86" s="29">
        <f t="shared" si="19"/>
        <v>0.6483544356932972</v>
      </c>
      <c r="S86" s="93">
        <v>0</v>
      </c>
      <c r="T86" s="91">
        <f t="shared" si="22"/>
        <v>0</v>
      </c>
      <c r="U86" s="90">
        <f t="shared" si="21"/>
        <v>0</v>
      </c>
      <c r="V86" s="90">
        <f t="shared" si="23"/>
        <v>0</v>
      </c>
      <c r="W86" s="90">
        <f t="shared" si="24"/>
        <v>0</v>
      </c>
      <c r="Y86" s="34">
        <f t="shared" si="20"/>
        <v>0.74653689355616748</v>
      </c>
      <c r="Z86" s="34"/>
      <c r="AA86" s="4"/>
      <c r="AB86" s="4"/>
      <c r="AE86" s="4"/>
    </row>
    <row r="87" spans="1:31" x14ac:dyDescent="0.25">
      <c r="A87" s="1" t="s">
        <v>634</v>
      </c>
      <c r="B87" s="1" t="s">
        <v>552</v>
      </c>
      <c r="C87" s="1" t="s">
        <v>635</v>
      </c>
      <c r="D87" s="1" t="s">
        <v>554</v>
      </c>
      <c r="E87" s="1">
        <f>VLOOKUP(A87,BOM!A:E,5,0)</f>
        <v>2.5</v>
      </c>
      <c r="F87" s="122">
        <v>6</v>
      </c>
      <c r="G87" s="10">
        <v>4.24</v>
      </c>
      <c r="H87" s="11" t="s">
        <v>1874</v>
      </c>
      <c r="I87" s="49">
        <f>SUMIFS(BOM!Q:Q,BOM!A:A,'All Products'!A87,BOM!I:I,'All Products'!I$3)</f>
        <v>3.2792787286063572</v>
      </c>
      <c r="J87" s="49">
        <f>SUMIFS(BOM!Q:Q,BOM!A:A,'All Products'!A87,BOM!I:I,'All Products'!J$3)+0.03</f>
        <v>0.4</v>
      </c>
      <c r="K87" s="29">
        <f t="shared" si="15"/>
        <v>0.86775441712414081</v>
      </c>
      <c r="L87" s="49">
        <f>SUMIF(BOM!A:A,'All Products'!A87,BOM!S:S)</f>
        <v>0.42312499999999997</v>
      </c>
      <c r="M87" s="49">
        <f>SUMIF(BOM!A:A,'All Products'!A87,BOM!V:V)</f>
        <v>0.29618749999999999</v>
      </c>
      <c r="N87" s="29">
        <f t="shared" si="16"/>
        <v>0.16964917452830189</v>
      </c>
      <c r="O87" s="55">
        <v>0</v>
      </c>
      <c r="P87" s="49">
        <f t="shared" si="17"/>
        <v>4.3985912286063567</v>
      </c>
      <c r="Q87" s="11">
        <f t="shared" si="18"/>
        <v>-0.15859122860635644</v>
      </c>
      <c r="R87" s="29">
        <f t="shared" si="19"/>
        <v>-3.7403591652442551E-2</v>
      </c>
      <c r="S87" s="93">
        <v>0</v>
      </c>
      <c r="T87" s="91">
        <f t="shared" si="22"/>
        <v>0</v>
      </c>
      <c r="U87" s="90">
        <f t="shared" si="21"/>
        <v>0</v>
      </c>
      <c r="V87" s="90">
        <f t="shared" si="23"/>
        <v>0</v>
      </c>
      <c r="W87" s="90">
        <f t="shared" si="24"/>
        <v>0</v>
      </c>
      <c r="Y87" s="34">
        <f t="shared" si="20"/>
        <v>0.22658520551736863</v>
      </c>
      <c r="Z87" s="34"/>
      <c r="AA87" s="4"/>
      <c r="AB87" s="4"/>
      <c r="AE87" s="4"/>
    </row>
    <row r="88" spans="1:31" x14ac:dyDescent="0.25">
      <c r="A88" s="1" t="s">
        <v>371</v>
      </c>
      <c r="B88" s="1" t="s">
        <v>552</v>
      </c>
      <c r="C88" s="1" t="s">
        <v>636</v>
      </c>
      <c r="D88" s="1" t="s">
        <v>554</v>
      </c>
      <c r="E88" s="1">
        <f>VLOOKUP(A88,BOM!A:E,5,0)</f>
        <v>1.35</v>
      </c>
      <c r="F88" s="122">
        <v>7.93</v>
      </c>
      <c r="G88" s="10">
        <v>8.16</v>
      </c>
      <c r="H88" s="11" t="s">
        <v>1874</v>
      </c>
      <c r="I88" s="49">
        <f>SUMIFS(BOM!Q:Q,BOM!A:A,'All Products'!A88,BOM!I:I,'All Products'!I$3)</f>
        <v>4.0496074112734863</v>
      </c>
      <c r="J88" s="49">
        <f>SUMIFS(BOM!Q:Q,BOM!A:A,'All Products'!A88,BOM!I:I,'All Products'!J$3)+0.03</f>
        <v>0.73000000000000009</v>
      </c>
      <c r="K88" s="29">
        <f t="shared" si="15"/>
        <v>0.5857362023619469</v>
      </c>
      <c r="L88" s="49">
        <f>SUMIF(BOM!A:A,'All Products'!A88,BOM!S:S)</f>
        <v>1.4537472463380687</v>
      </c>
      <c r="M88" s="49">
        <f>SUMIF(BOM!A:A,'All Products'!A88,BOM!V:V)</f>
        <v>0.21833249999999998</v>
      </c>
      <c r="N88" s="29">
        <f t="shared" si="16"/>
        <v>0.20491173361986137</v>
      </c>
      <c r="O88" s="55">
        <v>0</v>
      </c>
      <c r="P88" s="49">
        <f t="shared" si="17"/>
        <v>6.4516871576115555</v>
      </c>
      <c r="Q88" s="11">
        <f t="shared" si="18"/>
        <v>1.7083128423884446</v>
      </c>
      <c r="R88" s="29">
        <f t="shared" si="19"/>
        <v>0.20935206401819173</v>
      </c>
      <c r="S88" s="91">
        <v>39</v>
      </c>
      <c r="T88" s="91">
        <f t="shared" si="22"/>
        <v>318.24</v>
      </c>
      <c r="U88" s="90">
        <f t="shared" si="21"/>
        <v>66.624200853149347</v>
      </c>
      <c r="V88" s="90">
        <f t="shared" si="23"/>
        <v>66.624200853149347</v>
      </c>
      <c r="W88" s="90">
        <f t="shared" si="24"/>
        <v>0</v>
      </c>
      <c r="Y88" s="34">
        <f t="shared" si="20"/>
        <v>0.5037245819517786</v>
      </c>
      <c r="Z88" s="34"/>
      <c r="AA88" s="4"/>
      <c r="AB88" s="4"/>
      <c r="AE88" s="4"/>
    </row>
    <row r="89" spans="1:31" x14ac:dyDescent="0.25">
      <c r="A89" s="1" t="s">
        <v>440</v>
      </c>
      <c r="B89" s="1" t="s">
        <v>552</v>
      </c>
      <c r="C89" s="1" t="s">
        <v>637</v>
      </c>
      <c r="D89" s="1" t="s">
        <v>554</v>
      </c>
      <c r="E89" s="1">
        <f>VLOOKUP(A89,BOM!A:E,5,0)</f>
        <v>5</v>
      </c>
      <c r="F89" s="122">
        <v>16.57</v>
      </c>
      <c r="G89" s="10">
        <v>17.11</v>
      </c>
      <c r="H89" s="11" t="s">
        <v>1874</v>
      </c>
      <c r="I89" s="49">
        <f>SUMIFS(BOM!Q:Q,BOM!A:A,'All Products'!A89,BOM!I:I,'All Products'!I$3)</f>
        <v>3.8376587956669059</v>
      </c>
      <c r="J89" s="49">
        <f>SUMIFS(BOM!Q:Q,BOM!A:A,'All Products'!A89,BOM!I:I,'All Products'!J$3)+0.03</f>
        <v>0.45000000000000007</v>
      </c>
      <c r="K89" s="29">
        <f t="shared" si="15"/>
        <v>0.2505937344048455</v>
      </c>
      <c r="L89" s="49">
        <f>SUMIF(BOM!A:A,'All Products'!A89,BOM!S:S)</f>
        <v>4.4859913815820924</v>
      </c>
      <c r="M89" s="49">
        <f>SUMIF(BOM!A:A,'All Products'!A89,BOM!V:V)</f>
        <v>0.40112249999999999</v>
      </c>
      <c r="N89" s="29">
        <f t="shared" si="16"/>
        <v>0.28562909886511351</v>
      </c>
      <c r="O89" s="55">
        <v>0</v>
      </c>
      <c r="P89" s="49">
        <f t="shared" si="17"/>
        <v>9.174772677248999</v>
      </c>
      <c r="Q89" s="11">
        <f t="shared" si="18"/>
        <v>7.9352273227510004</v>
      </c>
      <c r="R89" s="29">
        <f t="shared" si="19"/>
        <v>0.46377716673004094</v>
      </c>
      <c r="S89" s="91">
        <v>19.2</v>
      </c>
      <c r="T89" s="91">
        <f t="shared" si="22"/>
        <v>328.512</v>
      </c>
      <c r="U89" s="90">
        <f t="shared" si="21"/>
        <v>152.35636459681919</v>
      </c>
      <c r="V89" s="90">
        <f t="shared" si="23"/>
        <v>152.35636459681919</v>
      </c>
      <c r="W89" s="90">
        <f t="shared" si="24"/>
        <v>0</v>
      </c>
      <c r="Y89" s="34">
        <f t="shared" si="20"/>
        <v>0.77570667471262966</v>
      </c>
      <c r="Z89" s="34"/>
      <c r="AA89" s="4"/>
      <c r="AB89" s="4"/>
      <c r="AE89" s="4"/>
    </row>
    <row r="90" spans="1:31" x14ac:dyDescent="0.25">
      <c r="A90" s="1" t="s">
        <v>638</v>
      </c>
      <c r="B90" s="1" t="s">
        <v>552</v>
      </c>
      <c r="C90" s="1" t="s">
        <v>639</v>
      </c>
      <c r="D90" s="1" t="s">
        <v>554</v>
      </c>
      <c r="E90" s="1">
        <f>VLOOKUP(A90,BOM!A:E,5,0)</f>
        <v>1</v>
      </c>
      <c r="F90" s="122">
        <v>1.76</v>
      </c>
      <c r="G90" s="10">
        <v>1.83</v>
      </c>
      <c r="H90" s="11" t="s">
        <v>1874</v>
      </c>
      <c r="I90" s="49">
        <f>SUMIFS(BOM!Q:Q,BOM!A:A,'All Products'!A90,BOM!I:I,'All Products'!I$3)</f>
        <v>0.45953516952849938</v>
      </c>
      <c r="J90" s="49">
        <f>SUMIFS(BOM!Q:Q,BOM!A:A,'All Products'!A90,BOM!I:I,'All Products'!J$3)+0.03</f>
        <v>0.4</v>
      </c>
      <c r="K90" s="29">
        <f t="shared" si="15"/>
        <v>0.46969134946912533</v>
      </c>
      <c r="L90" s="49">
        <f>SUMIF(BOM!A:A,'All Products'!A90,BOM!S:S)</f>
        <v>0.28806692200540729</v>
      </c>
      <c r="M90" s="49">
        <f>SUMIF(BOM!A:A,'All Products'!A90,BOM!V:V)</f>
        <v>0.21833249999999998</v>
      </c>
      <c r="N90" s="29">
        <f t="shared" si="16"/>
        <v>0.27672099563137009</v>
      </c>
      <c r="O90" s="55">
        <v>0</v>
      </c>
      <c r="P90" s="49">
        <f t="shared" si="17"/>
        <v>1.3659345915339067</v>
      </c>
      <c r="Q90" s="11">
        <f t="shared" si="18"/>
        <v>0.46406540846609334</v>
      </c>
      <c r="R90" s="29">
        <f t="shared" si="19"/>
        <v>0.25358765489950452</v>
      </c>
      <c r="S90" s="93">
        <v>0</v>
      </c>
      <c r="T90" s="91">
        <f t="shared" si="22"/>
        <v>0</v>
      </c>
      <c r="U90" s="90">
        <f t="shared" si="21"/>
        <v>0</v>
      </c>
      <c r="V90" s="90">
        <f t="shared" si="23"/>
        <v>0</v>
      </c>
      <c r="W90" s="90">
        <f t="shared" si="24"/>
        <v>0</v>
      </c>
      <c r="Y90" s="34">
        <f t="shared" si="20"/>
        <v>0.74888788550355223</v>
      </c>
      <c r="Z90" s="34"/>
      <c r="AA90" s="4"/>
      <c r="AB90" s="4"/>
      <c r="AE90" s="4"/>
    </row>
    <row r="91" spans="1:31" x14ac:dyDescent="0.25">
      <c r="A91" s="1" t="s">
        <v>640</v>
      </c>
      <c r="B91" s="1" t="s">
        <v>552</v>
      </c>
      <c r="C91" s="1" t="s">
        <v>641</v>
      </c>
      <c r="D91" s="1" t="s">
        <v>554</v>
      </c>
      <c r="E91" s="1">
        <f>VLOOKUP(A91,BOM!A:E,5,0)</f>
        <v>5</v>
      </c>
      <c r="F91" s="122">
        <v>18.96</v>
      </c>
      <c r="G91" s="10">
        <v>20.21</v>
      </c>
      <c r="H91" s="11" t="s">
        <v>1874</v>
      </c>
      <c r="I91" s="49">
        <f>SUMIFS(BOM!Q:Q,BOM!A:A,'All Products'!A91,BOM!I:I,'All Products'!I$3)</f>
        <v>5.2777777777777777</v>
      </c>
      <c r="J91" s="49">
        <f>SUMIFS(BOM!Q:Q,BOM!A:A,'All Products'!A91,BOM!I:I,'All Products'!J$3)+0.03</f>
        <v>0.45000000000000007</v>
      </c>
      <c r="K91" s="29">
        <f t="shared" si="15"/>
        <v>0.28341305184452142</v>
      </c>
      <c r="L91" s="49">
        <f>SUMIF(BOM!A:A,'All Products'!A91,BOM!S:S)</f>
        <v>1.4730138108614232</v>
      </c>
      <c r="M91" s="49">
        <f>SUMIF(BOM!A:A,'All Products'!A91,BOM!V:V)</f>
        <v>0.40112249999999999</v>
      </c>
      <c r="N91" s="29">
        <f t="shared" si="16"/>
        <v>9.2733117806107032E-2</v>
      </c>
      <c r="O91" s="55">
        <v>0</v>
      </c>
      <c r="P91" s="49">
        <f t="shared" si="17"/>
        <v>7.6019140886392007</v>
      </c>
      <c r="Q91" s="11">
        <f t="shared" si="18"/>
        <v>12.608085911360799</v>
      </c>
      <c r="R91" s="29">
        <f t="shared" si="19"/>
        <v>0.62385383034937159</v>
      </c>
      <c r="S91" s="91">
        <v>8.6</v>
      </c>
      <c r="T91" s="91">
        <f t="shared" si="22"/>
        <v>173.80600000000001</v>
      </c>
      <c r="U91" s="90">
        <f t="shared" si="21"/>
        <v>108.42953883770286</v>
      </c>
      <c r="V91" s="90">
        <f t="shared" si="23"/>
        <v>108.42953883770286</v>
      </c>
      <c r="W91" s="90">
        <f t="shared" si="24"/>
        <v>0</v>
      </c>
      <c r="Y91" s="34">
        <f t="shared" si="20"/>
        <v>0.73885315300456322</v>
      </c>
      <c r="Z91" s="34"/>
      <c r="AA91" s="4"/>
      <c r="AB91" s="4"/>
      <c r="AE91" s="4"/>
    </row>
    <row r="92" spans="1:31" x14ac:dyDescent="0.25">
      <c r="A92" s="1" t="s">
        <v>110</v>
      </c>
      <c r="B92" s="1" t="s">
        <v>552</v>
      </c>
      <c r="C92" s="1" t="s">
        <v>111</v>
      </c>
      <c r="D92" s="1" t="s">
        <v>554</v>
      </c>
      <c r="E92" s="1">
        <f>VLOOKUP(A92,BOM!A:E,5,0)</f>
        <v>2.7</v>
      </c>
      <c r="F92" s="122">
        <v>16.690000000000001</v>
      </c>
      <c r="G92" s="10">
        <v>16.91</v>
      </c>
      <c r="H92" s="11" t="s">
        <v>1874</v>
      </c>
      <c r="I92" s="49">
        <f>SUMIFS(BOM!Q:Q,BOM!A:A,'All Products'!A92,BOM!I:I,'All Products'!I$3)</f>
        <v>5.6748692307692306</v>
      </c>
      <c r="J92" s="49">
        <f>SUMIFS(BOM!Q:Q,BOM!A:A,'All Products'!A92,BOM!I:I,'All Products'!J$3)+0.03</f>
        <v>0.75000000000000011</v>
      </c>
      <c r="K92" s="29">
        <f t="shared" si="15"/>
        <v>0.37994495746713369</v>
      </c>
      <c r="L92" s="49">
        <f>SUMIF(BOM!A:A,'All Products'!A92,BOM!S:S)</f>
        <v>3.2022264206514204</v>
      </c>
      <c r="M92" s="49">
        <f>SUMIF(BOM!A:A,'All Products'!A92,BOM!V:V)</f>
        <v>0.27079999999999999</v>
      </c>
      <c r="N92" s="29">
        <f t="shared" si="16"/>
        <v>0.20538299353349618</v>
      </c>
      <c r="O92" s="55">
        <v>0</v>
      </c>
      <c r="P92" s="49">
        <f t="shared" si="17"/>
        <v>9.8978956514206509</v>
      </c>
      <c r="Q92" s="11">
        <f t="shared" si="18"/>
        <v>7.0121043485793493</v>
      </c>
      <c r="R92" s="29">
        <f t="shared" si="19"/>
        <v>0.41467204899937016</v>
      </c>
      <c r="S92" s="91">
        <v>8.1999999999999993</v>
      </c>
      <c r="T92" s="91">
        <f t="shared" si="22"/>
        <v>138.66199999999998</v>
      </c>
      <c r="U92" s="90">
        <f t="shared" si="21"/>
        <v>57.499255658350656</v>
      </c>
      <c r="V92" s="90">
        <f t="shared" si="23"/>
        <v>57.499255658350656</v>
      </c>
      <c r="W92" s="90">
        <f t="shared" si="24"/>
        <v>0</v>
      </c>
      <c r="Y92" s="34">
        <f t="shared" si="20"/>
        <v>0.66440749670199706</v>
      </c>
      <c r="Z92" s="34"/>
      <c r="AA92" s="4"/>
      <c r="AB92" s="4"/>
      <c r="AE92" s="4"/>
    </row>
    <row r="93" spans="1:31" x14ac:dyDescent="0.25">
      <c r="A93" s="1" t="s">
        <v>642</v>
      </c>
      <c r="B93" s="1" t="s">
        <v>552</v>
      </c>
      <c r="C93" s="1" t="s">
        <v>643</v>
      </c>
      <c r="D93" s="1" t="s">
        <v>554</v>
      </c>
      <c r="E93" s="1">
        <f>VLOOKUP(A93,BOM!A:E,5,0)</f>
        <v>2.7</v>
      </c>
      <c r="F93" s="122">
        <v>6.93</v>
      </c>
      <c r="G93" s="10">
        <v>7.25</v>
      </c>
      <c r="H93" s="11" t="s">
        <v>1874</v>
      </c>
      <c r="I93" s="49">
        <f>SUMIFS(BOM!Q:Q,BOM!A:A,'All Products'!A93,BOM!I:I,'All Products'!I$3)</f>
        <v>2.9703295081967211</v>
      </c>
      <c r="J93" s="49">
        <f>SUMIFS(BOM!Q:Q,BOM!A:A,'All Products'!A93,BOM!I:I,'All Products'!J$3)+0.03</f>
        <v>0.75000000000000011</v>
      </c>
      <c r="K93" s="29">
        <f t="shared" si="15"/>
        <v>0.51314889768230632</v>
      </c>
      <c r="L93" s="49">
        <f>SUMIF(BOM!A:A,'All Products'!A93,BOM!S:S)</f>
        <v>1.6553590277777774</v>
      </c>
      <c r="M93" s="49">
        <f>SUMIF(BOM!A:A,'All Products'!A93,BOM!V:V)</f>
        <v>0.27079999999999999</v>
      </c>
      <c r="N93" s="29">
        <f t="shared" si="16"/>
        <v>0.2656771072796934</v>
      </c>
      <c r="O93" s="55">
        <v>0</v>
      </c>
      <c r="P93" s="49">
        <f t="shared" si="17"/>
        <v>5.6464885359744983</v>
      </c>
      <c r="Q93" s="11">
        <f t="shared" si="18"/>
        <v>1.6035114640255017</v>
      </c>
      <c r="R93" s="29">
        <f t="shared" si="19"/>
        <v>0.22117399503800023</v>
      </c>
      <c r="S93" s="91">
        <v>21.6</v>
      </c>
      <c r="T93" s="91">
        <f t="shared" si="22"/>
        <v>156.60000000000002</v>
      </c>
      <c r="U93" s="90">
        <f t="shared" si="21"/>
        <v>34.635847622950841</v>
      </c>
      <c r="V93" s="90">
        <f t="shared" si="23"/>
        <v>34.635847622950841</v>
      </c>
      <c r="W93" s="90">
        <f t="shared" si="24"/>
        <v>0</v>
      </c>
      <c r="Y93" s="34">
        <f t="shared" si="20"/>
        <v>0.59029937817976252</v>
      </c>
      <c r="Z93" s="34"/>
      <c r="AA93" s="4"/>
      <c r="AB93" s="4"/>
      <c r="AE93" s="4"/>
    </row>
    <row r="94" spans="1:31" x14ac:dyDescent="0.25">
      <c r="A94" s="1" t="s">
        <v>644</v>
      </c>
      <c r="B94" s="1" t="s">
        <v>552</v>
      </c>
      <c r="C94" s="1" t="s">
        <v>645</v>
      </c>
      <c r="D94" s="1" t="s">
        <v>554</v>
      </c>
      <c r="E94" s="1">
        <f>VLOOKUP(A94,BOM!A:E,5,0)</f>
        <v>2</v>
      </c>
      <c r="F94" s="122">
        <v>15.87</v>
      </c>
      <c r="G94" s="10">
        <v>16.18</v>
      </c>
      <c r="H94" s="11" t="s">
        <v>1873</v>
      </c>
      <c r="I94" s="49">
        <f>SUMIFS(BOM!Q:Q,BOM!A:A,'All Products'!A94,BOM!I:I,'All Products'!I$3)</f>
        <v>0</v>
      </c>
      <c r="J94" s="49">
        <f>SUMIFS(BOM!Q:Q,BOM!A:A,'All Products'!A94,BOM!I:I,'All Products'!J$3)+0.03</f>
        <v>0.67</v>
      </c>
      <c r="K94" s="29">
        <f t="shared" si="15"/>
        <v>4.140914709517924E-2</v>
      </c>
      <c r="L94" s="49">
        <f>SUMIF(BOM!A:A,'All Products'!A94,BOM!S:S)</f>
        <v>6.7699999999999996E-2</v>
      </c>
      <c r="M94" s="49">
        <f>SUMIF(BOM!A:A,'All Products'!A94,BOM!V:V)</f>
        <v>0.82255499999999981</v>
      </c>
      <c r="N94" s="29">
        <f t="shared" si="16"/>
        <v>5.5021940667490721E-2</v>
      </c>
      <c r="O94" s="55">
        <v>0</v>
      </c>
      <c r="P94" s="49">
        <f t="shared" si="17"/>
        <v>1.5602549999999999</v>
      </c>
      <c r="Q94" s="11">
        <f t="shared" si="18"/>
        <v>14.619745</v>
      </c>
      <c r="R94" s="29">
        <f t="shared" si="19"/>
        <v>0.90356891223733005</v>
      </c>
      <c r="S94" s="83"/>
      <c r="T94" s="83"/>
      <c r="U94" s="83"/>
      <c r="V94" s="83"/>
      <c r="W94" s="83"/>
      <c r="Y94" s="34">
        <f t="shared" si="20"/>
        <v>1</v>
      </c>
      <c r="Z94" s="34"/>
      <c r="AD94" t="e">
        <f>_xlfn.XLOOKUP(A94,AF:AF,AF:AF)</f>
        <v>#N/A</v>
      </c>
      <c r="AE94" s="4"/>
    </row>
    <row r="95" spans="1:31" x14ac:dyDescent="0.25">
      <c r="A95" s="1" t="s">
        <v>646</v>
      </c>
      <c r="B95" s="1" t="s">
        <v>552</v>
      </c>
      <c r="C95" s="1" t="s">
        <v>647</v>
      </c>
      <c r="D95" s="1" t="s">
        <v>554</v>
      </c>
      <c r="E95" s="1">
        <f>VLOOKUP(A95,BOM!A:E,5,0)</f>
        <v>2.4</v>
      </c>
      <c r="F95" s="122">
        <v>10.99</v>
      </c>
      <c r="G95" s="10">
        <v>10.99</v>
      </c>
      <c r="H95" s="11" t="s">
        <v>1874</v>
      </c>
      <c r="I95" s="49">
        <f>SUMIFS(BOM!Q:Q,BOM!A:A,'All Products'!A95,BOM!I:I,'All Products'!I$3)</f>
        <v>4.7179089505233254</v>
      </c>
      <c r="J95" s="49">
        <f>SUMIFS(BOM!Q:Q,BOM!A:A,'All Products'!A95,BOM!I:I,'All Products'!J$3)+0.03</f>
        <v>0.63000000000000012</v>
      </c>
      <c r="K95" s="29">
        <f t="shared" si="15"/>
        <v>0.48661591906490675</v>
      </c>
      <c r="L95" s="49">
        <f>SUMIF(BOM!A:A,'All Products'!A95,BOM!S:S)</f>
        <v>1.6849060255088326</v>
      </c>
      <c r="M95" s="49">
        <f>SUMIF(BOM!A:A,'All Products'!A95,BOM!V:V)</f>
        <v>0.59237499999999998</v>
      </c>
      <c r="N95" s="29">
        <f t="shared" si="16"/>
        <v>0.20721392406813763</v>
      </c>
      <c r="O95" s="55">
        <v>0</v>
      </c>
      <c r="P95" s="49">
        <f t="shared" si="17"/>
        <v>7.6251899760321571</v>
      </c>
      <c r="Q95" s="11">
        <f t="shared" si="18"/>
        <v>3.3648100239678431</v>
      </c>
      <c r="R95" s="29">
        <f t="shared" si="19"/>
        <v>0.3061701568669557</v>
      </c>
      <c r="S95" s="93">
        <v>0</v>
      </c>
      <c r="T95" s="91">
        <f t="shared" ref="T95:T110" si="25">S95*G95</f>
        <v>0</v>
      </c>
      <c r="U95" s="90">
        <f t="shared" ref="U95:U110" si="26">IFERROR(S95*Q95,0)</f>
        <v>0</v>
      </c>
      <c r="V95" s="90">
        <f t="shared" ref="V95:V110" si="27">(G95-P95)*S95</f>
        <v>0</v>
      </c>
      <c r="W95" s="90">
        <f t="shared" ref="W95:W110" si="28">V95-U95</f>
        <v>0</v>
      </c>
      <c r="Y95" s="34">
        <f t="shared" si="20"/>
        <v>0.57070892169942444</v>
      </c>
      <c r="Z95" s="34"/>
      <c r="AE95" s="4"/>
    </row>
    <row r="96" spans="1:31" x14ac:dyDescent="0.25">
      <c r="A96" s="1" t="s">
        <v>543</v>
      </c>
      <c r="B96" s="1" t="s">
        <v>552</v>
      </c>
      <c r="C96" s="1" t="s">
        <v>648</v>
      </c>
      <c r="D96" s="1" t="s">
        <v>554</v>
      </c>
      <c r="E96" s="1">
        <f>VLOOKUP(A96,BOM!A:E,5,0)</f>
        <v>1.5</v>
      </c>
      <c r="F96" s="122">
        <v>3.27</v>
      </c>
      <c r="G96" s="10">
        <v>3.37</v>
      </c>
      <c r="H96" s="11" t="s">
        <v>1874</v>
      </c>
      <c r="I96" s="49">
        <f>SUMIFS(BOM!Q:Q,BOM!A:A,'All Products'!A96,BOM!I:I,'All Products'!I$3)</f>
        <v>0.79330839387581709</v>
      </c>
      <c r="J96" s="49">
        <f>SUMIFS(BOM!Q:Q,BOM!A:A,'All Products'!A96,BOM!I:I,'All Products'!J$3)+0.03</f>
        <v>0.4</v>
      </c>
      <c r="K96" s="29">
        <f t="shared" si="15"/>
        <v>0.35409744625395168</v>
      </c>
      <c r="L96" s="49">
        <f>SUMIF(BOM!A:A,'All Products'!A96,BOM!S:S)</f>
        <v>0.6304053582987994</v>
      </c>
      <c r="M96" s="49">
        <f>SUMIF(BOM!A:A,'All Products'!A96,BOM!V:V)</f>
        <v>0.27079999999999999</v>
      </c>
      <c r="N96" s="29">
        <f t="shared" si="16"/>
        <v>0.26741998762575647</v>
      </c>
      <c r="O96" s="55">
        <v>0</v>
      </c>
      <c r="P96" s="49">
        <f t="shared" si="17"/>
        <v>2.0945137521746164</v>
      </c>
      <c r="Q96" s="11">
        <f t="shared" si="18"/>
        <v>1.2754862478253837</v>
      </c>
      <c r="R96" s="29">
        <f t="shared" si="19"/>
        <v>0.37848256612029185</v>
      </c>
      <c r="S96" s="91">
        <v>11.6</v>
      </c>
      <c r="T96" s="91">
        <f t="shared" si="25"/>
        <v>39.091999999999999</v>
      </c>
      <c r="U96" s="90">
        <f t="shared" si="26"/>
        <v>14.79564047477445</v>
      </c>
      <c r="V96" s="90">
        <f t="shared" si="27"/>
        <v>14.79564047477445</v>
      </c>
      <c r="W96" s="90">
        <f t="shared" si="28"/>
        <v>0</v>
      </c>
      <c r="Y96" s="34">
        <f t="shared" si="20"/>
        <v>0.76459691576385258</v>
      </c>
      <c r="Z96" s="34"/>
      <c r="AA96" s="4"/>
      <c r="AB96" s="4"/>
      <c r="AE96" s="4"/>
    </row>
    <row r="97" spans="1:31" x14ac:dyDescent="0.25">
      <c r="A97" s="1" t="s">
        <v>441</v>
      </c>
      <c r="B97" s="1" t="s">
        <v>552</v>
      </c>
      <c r="C97" s="1" t="s">
        <v>649</v>
      </c>
      <c r="D97" s="1" t="s">
        <v>595</v>
      </c>
      <c r="E97" s="1">
        <f>VLOOKUP(A97,BOM!A:E,5,0)</f>
        <v>2.84</v>
      </c>
      <c r="F97" s="122">
        <v>27.18</v>
      </c>
      <c r="G97" s="10">
        <v>26.59</v>
      </c>
      <c r="H97" s="11" t="s">
        <v>1874</v>
      </c>
      <c r="I97" s="49">
        <f>SUMIFS(BOM!Q:Q,BOM!A:A,'All Products'!A97,BOM!I:I,'All Products'!I$3)</f>
        <v>5.2757548746518106</v>
      </c>
      <c r="J97" s="49">
        <f>SUMIFS(BOM!Q:Q,BOM!A:A,'All Products'!A97,BOM!I:I,'All Products'!J$3)+0.03</f>
        <v>0.4</v>
      </c>
      <c r="K97" s="29">
        <f t="shared" si="15"/>
        <v>0.21345448945663073</v>
      </c>
      <c r="L97" s="49">
        <f>SUMIF(BOM!A:A,'All Products'!A97,BOM!S:S)</f>
        <v>2.7739612980501391</v>
      </c>
      <c r="M97" s="49">
        <f>SUMIF(BOM!A:A,'All Products'!A97,BOM!V:V)</f>
        <v>0.27079999999999999</v>
      </c>
      <c r="N97" s="29">
        <f t="shared" si="16"/>
        <v>0.11450775848251746</v>
      </c>
      <c r="O97" s="55">
        <v>0</v>
      </c>
      <c r="P97" s="49">
        <f t="shared" si="17"/>
        <v>8.7205161727019505</v>
      </c>
      <c r="Q97" s="11">
        <f t="shared" si="18"/>
        <v>17.869483827298048</v>
      </c>
      <c r="R97" s="29">
        <f t="shared" si="19"/>
        <v>0.6720377520608517</v>
      </c>
      <c r="S97" s="91">
        <v>38.4</v>
      </c>
      <c r="T97" s="91">
        <f t="shared" si="25"/>
        <v>1021.0559999999999</v>
      </c>
      <c r="U97" s="90">
        <f t="shared" si="26"/>
        <v>686.18817896824498</v>
      </c>
      <c r="V97" s="90">
        <f t="shared" si="27"/>
        <v>686.18817896824498</v>
      </c>
      <c r="W97" s="90">
        <f t="shared" si="28"/>
        <v>0</v>
      </c>
      <c r="Y97" s="34">
        <f t="shared" si="20"/>
        <v>0.80158875988522715</v>
      </c>
      <c r="Z97" s="34"/>
      <c r="AA97" s="4"/>
      <c r="AB97" s="4"/>
      <c r="AE97" s="4"/>
    </row>
    <row r="98" spans="1:31" x14ac:dyDescent="0.25">
      <c r="A98" s="1" t="s">
        <v>650</v>
      </c>
      <c r="B98" s="1" t="s">
        <v>552</v>
      </c>
      <c r="C98" s="1" t="s">
        <v>651</v>
      </c>
      <c r="D98" s="1" t="s">
        <v>554</v>
      </c>
      <c r="E98" s="1">
        <f>VLOOKUP(A98,BOM!A:E,5,0)</f>
        <v>2.5</v>
      </c>
      <c r="F98" s="122">
        <v>7.9</v>
      </c>
      <c r="G98" s="10">
        <v>8.23</v>
      </c>
      <c r="H98" s="11" t="s">
        <v>1874</v>
      </c>
      <c r="I98" s="49">
        <f>SUMIFS(BOM!Q:Q,BOM!A:A,'All Products'!A98,BOM!I:I,'All Products'!I$3)</f>
        <v>2.1436438296075693</v>
      </c>
      <c r="J98" s="49">
        <f>SUMIFS(BOM!Q:Q,BOM!A:A,'All Products'!A98,BOM!I:I,'All Products'!J$3)+0.03</f>
        <v>0.4</v>
      </c>
      <c r="K98" s="29">
        <f t="shared" si="15"/>
        <v>0.30906972413214689</v>
      </c>
      <c r="L98" s="49">
        <f>SUMIF(BOM!A:A,'All Products'!A98,BOM!S:S)</f>
        <v>2.8236505919094279</v>
      </c>
      <c r="M98" s="49">
        <f>SUMIF(BOM!A:A,'All Products'!A98,BOM!V:V)</f>
        <v>0.29618749999999999</v>
      </c>
      <c r="N98" s="29">
        <f t="shared" si="16"/>
        <v>0.37908117763176519</v>
      </c>
      <c r="O98" s="55">
        <v>0</v>
      </c>
      <c r="P98" s="49">
        <f t="shared" si="17"/>
        <v>5.6634819215169969</v>
      </c>
      <c r="Q98" s="11">
        <f t="shared" si="18"/>
        <v>2.5665180784830035</v>
      </c>
      <c r="R98" s="29">
        <f t="shared" si="19"/>
        <v>0.31184909823608792</v>
      </c>
      <c r="S98" s="93">
        <v>0</v>
      </c>
      <c r="T98" s="91">
        <f t="shared" si="25"/>
        <v>0</v>
      </c>
      <c r="U98" s="90">
        <f t="shared" si="26"/>
        <v>0</v>
      </c>
      <c r="V98" s="90">
        <f t="shared" si="27"/>
        <v>0</v>
      </c>
      <c r="W98" s="90">
        <f t="shared" si="28"/>
        <v>0</v>
      </c>
      <c r="Y98" s="34">
        <f t="shared" si="20"/>
        <v>0.73953294901487621</v>
      </c>
      <c r="Z98" s="34"/>
      <c r="AA98" s="4"/>
      <c r="AB98" s="4"/>
      <c r="AE98" s="4"/>
    </row>
    <row r="99" spans="1:31" x14ac:dyDescent="0.25">
      <c r="A99" s="1" t="s">
        <v>262</v>
      </c>
      <c r="B99" s="1" t="s">
        <v>552</v>
      </c>
      <c r="C99" s="1" t="s">
        <v>652</v>
      </c>
      <c r="D99" s="1" t="s">
        <v>554</v>
      </c>
      <c r="E99" s="1">
        <f>VLOOKUP(A99,BOM!A:E,5,0)</f>
        <v>0.3</v>
      </c>
      <c r="F99" s="122">
        <v>1.61</v>
      </c>
      <c r="G99" s="10">
        <v>1.78</v>
      </c>
      <c r="H99" s="11" t="s">
        <v>1874</v>
      </c>
      <c r="I99" s="49">
        <f>SUMIFS(BOM!Q:Q,BOM!A:A,'All Products'!A99,BOM!I:I,'All Products'!I$3)</f>
        <v>0.7143894293596631</v>
      </c>
      <c r="J99" s="49">
        <f>SUMIFS(BOM!Q:Q,BOM!A:A,'All Products'!A99,BOM!I:I,'All Products'!J$3)+0.03</f>
        <v>0.14500000000000002</v>
      </c>
      <c r="K99" s="29">
        <f t="shared" si="15"/>
        <v>0.48280305020205794</v>
      </c>
      <c r="L99" s="49">
        <f>SUMIF(BOM!A:A,'All Products'!A99,BOM!S:S)</f>
        <v>7.616249999999998E-2</v>
      </c>
      <c r="M99" s="49">
        <f>SUMIF(BOM!A:A,'All Products'!A99,BOM!V:V)</f>
        <v>0.16078749999999997</v>
      </c>
      <c r="N99" s="29">
        <f t="shared" si="16"/>
        <v>0.13311797752808985</v>
      </c>
      <c r="O99" s="55">
        <v>0</v>
      </c>
      <c r="P99" s="49">
        <f t="shared" si="17"/>
        <v>1.0963394293596631</v>
      </c>
      <c r="Q99" s="11">
        <f t="shared" si="18"/>
        <v>0.68366057064033692</v>
      </c>
      <c r="R99" s="29">
        <f t="shared" si="19"/>
        <v>0.38407897226985221</v>
      </c>
      <c r="S99" s="91">
        <v>4487.6000000000004</v>
      </c>
      <c r="T99" s="91">
        <f t="shared" si="25"/>
        <v>7987.9280000000008</v>
      </c>
      <c r="U99" s="90">
        <f t="shared" si="26"/>
        <v>3067.9951768055762</v>
      </c>
      <c r="V99" s="90">
        <f t="shared" si="27"/>
        <v>3067.9951768055762</v>
      </c>
      <c r="W99" s="90">
        <f t="shared" si="28"/>
        <v>0</v>
      </c>
      <c r="Y99" s="34">
        <f t="shared" si="20"/>
        <v>0.59865762395524547</v>
      </c>
      <c r="Z99" s="34"/>
      <c r="AA99" s="4"/>
      <c r="AB99" s="4"/>
      <c r="AE99" s="4"/>
    </row>
    <row r="100" spans="1:31" x14ac:dyDescent="0.25">
      <c r="A100" s="1" t="s">
        <v>653</v>
      </c>
      <c r="B100" s="1" t="s">
        <v>552</v>
      </c>
      <c r="C100" s="1" t="s">
        <v>654</v>
      </c>
      <c r="D100" s="1" t="s">
        <v>554</v>
      </c>
      <c r="E100" s="1">
        <f>VLOOKUP(A100,BOM!A:E,5,0)</f>
        <v>5</v>
      </c>
      <c r="F100" s="122">
        <v>12.38</v>
      </c>
      <c r="G100" s="10">
        <v>13.65</v>
      </c>
      <c r="H100" s="11" t="s">
        <v>1874</v>
      </c>
      <c r="I100" s="49">
        <f>SUMIFS(BOM!Q:Q,BOM!A:A,'All Products'!A100,BOM!I:I,'All Products'!I$3)</f>
        <v>3.9398995458923909</v>
      </c>
      <c r="J100" s="49">
        <f>SUMIFS(BOM!Q:Q,BOM!A:A,'All Products'!A100,BOM!I:I,'All Products'!J$3)+0.03</f>
        <v>0.45000000000000007</v>
      </c>
      <c r="K100" s="29">
        <f t="shared" si="15"/>
        <v>0.32160436233643885</v>
      </c>
      <c r="L100" s="49">
        <f>SUMIF(BOM!A:A,'All Products'!A100,BOM!S:S)</f>
        <v>1.398455846826598</v>
      </c>
      <c r="M100" s="49">
        <f>SUMIF(BOM!A:A,'All Products'!A100,BOM!V:V)</f>
        <v>0.40112249999999999</v>
      </c>
      <c r="N100" s="29">
        <f t="shared" si="16"/>
        <v>0.1318372415257581</v>
      </c>
      <c r="O100" s="55">
        <v>0</v>
      </c>
      <c r="P100" s="49">
        <f t="shared" si="17"/>
        <v>6.1894778927189886</v>
      </c>
      <c r="Q100" s="11">
        <f t="shared" si="18"/>
        <v>7.4605221072810117</v>
      </c>
      <c r="R100" s="29">
        <f t="shared" si="19"/>
        <v>0.54655839613780299</v>
      </c>
      <c r="S100" s="93">
        <v>0</v>
      </c>
      <c r="T100" s="91">
        <f t="shared" si="25"/>
        <v>0</v>
      </c>
      <c r="U100" s="90">
        <f t="shared" si="26"/>
        <v>0</v>
      </c>
      <c r="V100" s="90">
        <f t="shared" si="27"/>
        <v>0</v>
      </c>
      <c r="W100" s="90">
        <f t="shared" si="28"/>
        <v>0</v>
      </c>
      <c r="Y100" s="34">
        <f t="shared" si="20"/>
        <v>0.711362670630594</v>
      </c>
      <c r="Z100" s="34"/>
      <c r="AA100" s="4"/>
      <c r="AB100" s="4"/>
      <c r="AE100" s="4"/>
    </row>
    <row r="101" spans="1:31" x14ac:dyDescent="0.25">
      <c r="A101" s="1" t="s">
        <v>126</v>
      </c>
      <c r="B101" s="1" t="s">
        <v>552</v>
      </c>
      <c r="C101" s="1" t="s">
        <v>127</v>
      </c>
      <c r="D101" s="1" t="s">
        <v>554</v>
      </c>
      <c r="E101" s="1">
        <f>VLOOKUP(A101,BOM!A:E,5,0)</f>
        <v>1</v>
      </c>
      <c r="F101" s="122">
        <v>2.0699999999999998</v>
      </c>
      <c r="G101" s="10">
        <v>2.21</v>
      </c>
      <c r="H101" s="11" t="s">
        <v>1874</v>
      </c>
      <c r="I101" s="49">
        <f>SUMIFS(BOM!Q:Q,BOM!A:A,'All Products'!A101,BOM!I:I,'All Products'!I$3)</f>
        <v>0.6407171827778021</v>
      </c>
      <c r="J101" s="49">
        <f>SUMIFS(BOM!Q:Q,BOM!A:A,'All Products'!A101,BOM!I:I,'All Products'!J$3)+0.03</f>
        <v>0.4</v>
      </c>
      <c r="K101" s="29">
        <f t="shared" si="15"/>
        <v>0.47091275238814578</v>
      </c>
      <c r="L101" s="49">
        <f>SUMIF(BOM!A:A,'All Products'!A101,BOM!S:S)</f>
        <v>0.33849999999999997</v>
      </c>
      <c r="M101" s="49">
        <f>SUMIF(BOM!A:A,'All Products'!A101,BOM!V:V)</f>
        <v>0.21833249999999998</v>
      </c>
      <c r="N101" s="29">
        <f t="shared" si="16"/>
        <v>0.251960407239819</v>
      </c>
      <c r="O101" s="55">
        <v>0</v>
      </c>
      <c r="P101" s="49">
        <f t="shared" si="17"/>
        <v>1.5975496827778022</v>
      </c>
      <c r="Q101" s="11">
        <f t="shared" si="18"/>
        <v>0.61245031722219778</v>
      </c>
      <c r="R101" s="29">
        <f t="shared" si="19"/>
        <v>0.27712684037203522</v>
      </c>
      <c r="S101" s="91">
        <v>796.8</v>
      </c>
      <c r="T101" s="91">
        <f t="shared" si="25"/>
        <v>1760.9279999999999</v>
      </c>
      <c r="U101" s="90">
        <f t="shared" si="26"/>
        <v>488.00041276264716</v>
      </c>
      <c r="V101" s="90">
        <f t="shared" si="27"/>
        <v>488.00041276264716</v>
      </c>
      <c r="W101" s="90">
        <f t="shared" si="28"/>
        <v>0</v>
      </c>
      <c r="Y101" s="34">
        <f t="shared" si="20"/>
        <v>0.71008272272497641</v>
      </c>
      <c r="Z101" s="34"/>
      <c r="AA101" s="4"/>
      <c r="AB101" s="4"/>
      <c r="AE101" s="4"/>
    </row>
    <row r="102" spans="1:31" x14ac:dyDescent="0.25">
      <c r="A102" s="1" t="s">
        <v>124</v>
      </c>
      <c r="B102" s="1" t="s">
        <v>552</v>
      </c>
      <c r="C102" s="1" t="s">
        <v>125</v>
      </c>
      <c r="D102" s="1" t="s">
        <v>554</v>
      </c>
      <c r="E102" s="1">
        <f>VLOOKUP(A102,BOM!A:E,5,0)</f>
        <v>2.5</v>
      </c>
      <c r="F102" s="122">
        <v>4.13</v>
      </c>
      <c r="G102" s="10">
        <v>4.26</v>
      </c>
      <c r="H102" s="11" t="s">
        <v>1874</v>
      </c>
      <c r="I102" s="49">
        <f>SUMIFS(BOM!Q:Q,BOM!A:A,'All Products'!A102,BOM!I:I,'All Products'!I$3)</f>
        <v>1.6017929569445053</v>
      </c>
      <c r="J102" s="49">
        <f>SUMIFS(BOM!Q:Q,BOM!A:A,'All Products'!A102,BOM!I:I,'All Products'!J$3)+0.03</f>
        <v>0.4</v>
      </c>
      <c r="K102" s="29">
        <f t="shared" si="15"/>
        <v>0.46990444998697312</v>
      </c>
      <c r="L102" s="49">
        <f>SUMIF(BOM!A:A,'All Products'!A102,BOM!S:S)</f>
        <v>0.84624999999999995</v>
      </c>
      <c r="M102" s="49">
        <f>SUMIF(BOM!A:A,'All Products'!A102,BOM!V:V)</f>
        <v>0.29618749999999999</v>
      </c>
      <c r="N102" s="29">
        <f t="shared" si="16"/>
        <v>0.26817781690140846</v>
      </c>
      <c r="O102" s="55">
        <v>0</v>
      </c>
      <c r="P102" s="49">
        <f t="shared" si="17"/>
        <v>3.1442304569445052</v>
      </c>
      <c r="Q102" s="11">
        <f t="shared" si="18"/>
        <v>1.1157695430554946</v>
      </c>
      <c r="R102" s="29">
        <f t="shared" si="19"/>
        <v>0.26191773311161848</v>
      </c>
      <c r="S102" s="91">
        <v>703.8</v>
      </c>
      <c r="T102" s="91">
        <f t="shared" si="25"/>
        <v>2998.1879999999996</v>
      </c>
      <c r="U102" s="90">
        <f t="shared" si="26"/>
        <v>785.27860440245706</v>
      </c>
      <c r="V102" s="90">
        <f t="shared" si="27"/>
        <v>785.27860440245706</v>
      </c>
      <c r="W102" s="90">
        <f t="shared" si="28"/>
        <v>0</v>
      </c>
      <c r="Y102" s="34">
        <f t="shared" si="20"/>
        <v>0.62399226362805038</v>
      </c>
      <c r="Z102" s="34"/>
      <c r="AA102" s="4"/>
      <c r="AB102" s="4"/>
      <c r="AE102" s="4"/>
    </row>
    <row r="103" spans="1:31" x14ac:dyDescent="0.25">
      <c r="A103" s="1" t="s">
        <v>454</v>
      </c>
      <c r="B103" s="1" t="s">
        <v>552</v>
      </c>
      <c r="C103" s="1" t="s">
        <v>455</v>
      </c>
      <c r="D103" s="1" t="s">
        <v>554</v>
      </c>
      <c r="E103" s="1">
        <f>VLOOKUP(A103,BOM!A:E,5,0)</f>
        <v>2.5</v>
      </c>
      <c r="F103" s="122">
        <v>3.59</v>
      </c>
      <c r="G103" s="10">
        <v>3.73</v>
      </c>
      <c r="H103" s="11" t="s">
        <v>1874</v>
      </c>
      <c r="I103" s="49">
        <f>SUMIFS(BOM!Q:Q,BOM!A:A,'All Products'!A103,BOM!I:I,'All Products'!I$3)</f>
        <v>1.322180656459695</v>
      </c>
      <c r="J103" s="49">
        <f>SUMIFS(BOM!Q:Q,BOM!A:A,'All Products'!A103,BOM!I:I,'All Products'!J$3)+0.03</f>
        <v>0.4</v>
      </c>
      <c r="K103" s="29">
        <f t="shared" si="15"/>
        <v>0.46171063175863131</v>
      </c>
      <c r="L103" s="49">
        <f>SUMIF(BOM!A:A,'All Products'!A103,BOM!S:S)</f>
        <v>1.4480148164122626</v>
      </c>
      <c r="M103" s="49">
        <f>SUMIF(BOM!A:A,'All Products'!A103,BOM!V:V)</f>
        <v>0.29618749999999999</v>
      </c>
      <c r="N103" s="29">
        <f t="shared" si="16"/>
        <v>0.46761456204082108</v>
      </c>
      <c r="O103" s="55">
        <v>0</v>
      </c>
      <c r="P103" s="49">
        <f t="shared" si="17"/>
        <v>3.4663829728719575</v>
      </c>
      <c r="Q103" s="11">
        <f t="shared" si="18"/>
        <v>0.26361702712804247</v>
      </c>
      <c r="R103" s="29">
        <f t="shared" si="19"/>
        <v>7.0674806200547585E-2</v>
      </c>
      <c r="S103" s="91">
        <v>133.6</v>
      </c>
      <c r="T103" s="91">
        <f t="shared" si="25"/>
        <v>498.32799999999997</v>
      </c>
      <c r="U103" s="90">
        <f t="shared" si="26"/>
        <v>35.219234824306476</v>
      </c>
      <c r="V103" s="90">
        <f t="shared" si="27"/>
        <v>35.219234824306476</v>
      </c>
      <c r="W103" s="90">
        <f t="shared" si="28"/>
        <v>0</v>
      </c>
      <c r="Y103" s="34">
        <f t="shared" si="20"/>
        <v>0.64552797413949192</v>
      </c>
      <c r="Z103" s="34"/>
      <c r="AA103" s="4"/>
      <c r="AB103" s="4"/>
      <c r="AE103" s="4"/>
    </row>
    <row r="104" spans="1:31" x14ac:dyDescent="0.25">
      <c r="A104" s="1" t="s">
        <v>120</v>
      </c>
      <c r="B104" s="1" t="s">
        <v>552</v>
      </c>
      <c r="C104" s="1" t="s">
        <v>121</v>
      </c>
      <c r="D104" s="1" t="s">
        <v>554</v>
      </c>
      <c r="E104" s="1">
        <f>VLOOKUP(A104,BOM!A:E,5,0)</f>
        <v>2.5</v>
      </c>
      <c r="F104" s="122">
        <v>3.87</v>
      </c>
      <c r="G104" s="10">
        <v>4.04</v>
      </c>
      <c r="H104" s="11" t="s">
        <v>1874</v>
      </c>
      <c r="I104" s="49">
        <f>SUMIFS(BOM!Q:Q,BOM!A:A,'All Products'!A104,BOM!I:I,'All Products'!I$3)</f>
        <v>1.2957370433305011</v>
      </c>
      <c r="J104" s="49">
        <f>SUMIFS(BOM!Q:Q,BOM!A:A,'All Products'!A104,BOM!I:I,'All Products'!J$3)+0.03</f>
        <v>0.4</v>
      </c>
      <c r="K104" s="29">
        <f t="shared" si="15"/>
        <v>0.4197368919134904</v>
      </c>
      <c r="L104" s="49">
        <f>SUMIF(BOM!A:A,'All Products'!A104,BOM!S:S)</f>
        <v>0.97154381136127599</v>
      </c>
      <c r="M104" s="49">
        <f>SUMIF(BOM!A:A,'All Products'!A104,BOM!V:V)</f>
        <v>0.29618749999999999</v>
      </c>
      <c r="N104" s="29">
        <f t="shared" si="16"/>
        <v>0.31379487904982079</v>
      </c>
      <c r="O104" s="55">
        <v>0</v>
      </c>
      <c r="P104" s="49">
        <f t="shared" si="17"/>
        <v>2.9634683546917771</v>
      </c>
      <c r="Q104" s="11">
        <f t="shared" si="18"/>
        <v>1.076531645308223</v>
      </c>
      <c r="R104" s="29">
        <f t="shared" si="19"/>
        <v>0.26646822903668888</v>
      </c>
      <c r="S104" s="91">
        <v>637.79999999999995</v>
      </c>
      <c r="T104" s="91">
        <f t="shared" si="25"/>
        <v>2576.712</v>
      </c>
      <c r="U104" s="90">
        <f t="shared" si="26"/>
        <v>686.6118833775846</v>
      </c>
      <c r="V104" s="90">
        <f t="shared" si="27"/>
        <v>686.6118833775846</v>
      </c>
      <c r="W104" s="90">
        <f t="shared" si="28"/>
        <v>0</v>
      </c>
      <c r="Y104" s="34">
        <f t="shared" si="20"/>
        <v>0.6792730090766087</v>
      </c>
      <c r="Z104" s="34"/>
      <c r="AA104" s="4"/>
      <c r="AB104" s="4"/>
      <c r="AE104" s="4"/>
    </row>
    <row r="105" spans="1:31" x14ac:dyDescent="0.25">
      <c r="A105" s="1" t="s">
        <v>432</v>
      </c>
      <c r="B105" s="1" t="s">
        <v>552</v>
      </c>
      <c r="C105" s="1" t="s">
        <v>433</v>
      </c>
      <c r="D105" s="1" t="s">
        <v>554</v>
      </c>
      <c r="E105" s="1">
        <f>VLOOKUP(A105,BOM!A:E,5,0)</f>
        <v>2</v>
      </c>
      <c r="F105" s="122">
        <v>10.7</v>
      </c>
      <c r="G105" s="10">
        <v>10.55</v>
      </c>
      <c r="H105" s="11" t="s">
        <v>1874</v>
      </c>
      <c r="I105" s="49">
        <f>SUMIFS(BOM!Q:Q,BOM!A:A,'All Products'!A105,BOM!I:I,'All Products'!I$3)</f>
        <v>3.4736842105263164</v>
      </c>
      <c r="J105" s="49">
        <f>SUMIFS(BOM!Q:Q,BOM!A:A,'All Products'!A105,BOM!I:I,'All Products'!J$3)+0.03</f>
        <v>1.57</v>
      </c>
      <c r="K105" s="29">
        <f t="shared" si="15"/>
        <v>0.47807433275130956</v>
      </c>
      <c r="L105" s="49">
        <f>SUMIF(BOM!A:A,'All Products'!A105,BOM!S:S)</f>
        <v>0.99023668763102701</v>
      </c>
      <c r="M105" s="49">
        <f>SUMIF(BOM!A:A,'All Products'!A105,BOM!V:V)</f>
        <v>0.48743999999999993</v>
      </c>
      <c r="N105" s="29">
        <f t="shared" si="16"/>
        <v>0.14006414100768028</v>
      </c>
      <c r="O105" s="55">
        <v>0</v>
      </c>
      <c r="P105" s="49">
        <f t="shared" si="17"/>
        <v>6.5213608981573437</v>
      </c>
      <c r="Q105" s="11">
        <f t="shared" si="18"/>
        <v>4.0286391018426571</v>
      </c>
      <c r="R105" s="29">
        <f t="shared" si="19"/>
        <v>0.38186152624101011</v>
      </c>
      <c r="S105" s="91">
        <v>387.6</v>
      </c>
      <c r="T105" s="91">
        <f t="shared" si="25"/>
        <v>4089.1800000000003</v>
      </c>
      <c r="U105" s="90">
        <f t="shared" si="26"/>
        <v>1561.500515874214</v>
      </c>
      <c r="V105" s="90">
        <f t="shared" si="27"/>
        <v>1561.500515874214</v>
      </c>
      <c r="W105" s="90">
        <f t="shared" si="28"/>
        <v>0</v>
      </c>
      <c r="Y105" s="34">
        <f t="shared" si="20"/>
        <v>0.67074083312546762</v>
      </c>
      <c r="Z105" s="34"/>
      <c r="AA105" s="4"/>
      <c r="AB105" s="4"/>
      <c r="AE105" s="4"/>
    </row>
    <row r="106" spans="1:31" x14ac:dyDescent="0.25">
      <c r="A106" s="1" t="s">
        <v>279</v>
      </c>
      <c r="B106" s="1" t="s">
        <v>552</v>
      </c>
      <c r="C106" s="1" t="s">
        <v>655</v>
      </c>
      <c r="D106" s="1" t="s">
        <v>554</v>
      </c>
      <c r="E106" s="1">
        <f>VLOOKUP(A106,BOM!A:E,5,0)</f>
        <v>1</v>
      </c>
      <c r="F106" s="122">
        <v>5.22</v>
      </c>
      <c r="G106" s="10">
        <v>5.13</v>
      </c>
      <c r="H106" s="11" t="s">
        <v>1874</v>
      </c>
      <c r="I106" s="49">
        <f>SUMIFS(BOM!Q:Q,BOM!A:A,'All Products'!A106,BOM!I:I,'All Products'!I$3)</f>
        <v>1.4666666666666666</v>
      </c>
      <c r="J106" s="49">
        <f>SUMIFS(BOM!Q:Q,BOM!A:A,'All Products'!A106,BOM!I:I,'All Products'!J$3)+0.03</f>
        <v>0.77</v>
      </c>
      <c r="K106" s="29">
        <f t="shared" si="15"/>
        <v>0.43599740090968159</v>
      </c>
      <c r="L106" s="49">
        <f>SUMIF(BOM!A:A,'All Products'!A106,BOM!S:S)</f>
        <v>0.40620000000000001</v>
      </c>
      <c r="M106" s="49">
        <f>SUMIF(BOM!A:A,'All Products'!A106,BOM!V:V)</f>
        <v>0.35542499999999988</v>
      </c>
      <c r="N106" s="29">
        <f t="shared" si="16"/>
        <v>0.14846491228070174</v>
      </c>
      <c r="O106" s="55">
        <v>0</v>
      </c>
      <c r="P106" s="49">
        <f t="shared" si="17"/>
        <v>2.9982916666666664</v>
      </c>
      <c r="Q106" s="11">
        <f t="shared" si="18"/>
        <v>2.1317083333333335</v>
      </c>
      <c r="R106" s="29">
        <f t="shared" si="19"/>
        <v>0.41553768680961667</v>
      </c>
      <c r="S106" s="91">
        <v>1333.6</v>
      </c>
      <c r="T106" s="91">
        <f t="shared" si="25"/>
        <v>6841.3679999999995</v>
      </c>
      <c r="U106" s="90">
        <f t="shared" si="26"/>
        <v>2842.8462333333332</v>
      </c>
      <c r="V106" s="90">
        <f t="shared" si="27"/>
        <v>2842.8462333333332</v>
      </c>
      <c r="W106" s="90">
        <f t="shared" si="28"/>
        <v>0</v>
      </c>
      <c r="Y106" s="34">
        <f t="shared" si="20"/>
        <v>0.71410006497725798</v>
      </c>
      <c r="Z106" s="34"/>
      <c r="AA106" s="4"/>
      <c r="AB106" s="4"/>
      <c r="AE106" s="4"/>
    </row>
    <row r="107" spans="1:31" x14ac:dyDescent="0.25">
      <c r="A107" s="1" t="s">
        <v>512</v>
      </c>
      <c r="B107" s="1" t="s">
        <v>552</v>
      </c>
      <c r="C107" s="1" t="s">
        <v>513</v>
      </c>
      <c r="D107" s="1" t="s">
        <v>554</v>
      </c>
      <c r="E107" s="1">
        <f>VLOOKUP(A107,BOM!A:E,5,0)</f>
        <v>5</v>
      </c>
      <c r="F107" s="122">
        <v>9.07</v>
      </c>
      <c r="G107" s="10">
        <v>8.42</v>
      </c>
      <c r="H107" s="11" t="s">
        <v>1874</v>
      </c>
      <c r="I107" s="49">
        <f>SUMIFS(BOM!Q:Q,BOM!A:A,'All Products'!A107,BOM!I:I,'All Products'!I$3)</f>
        <v>2.0688311688311689</v>
      </c>
      <c r="J107" s="49">
        <f>SUMIFS(BOM!Q:Q,BOM!A:A,'All Products'!A107,BOM!I:I,'All Products'!J$3)+0.03</f>
        <v>0.45000000000000007</v>
      </c>
      <c r="K107" s="29">
        <f t="shared" si="15"/>
        <v>0.29914859487306045</v>
      </c>
      <c r="L107" s="49">
        <f>SUMIF(BOM!A:A,'All Products'!A107,BOM!S:S)</f>
        <v>4.6386222943722935</v>
      </c>
      <c r="M107" s="49">
        <f>SUMIF(BOM!A:A,'All Products'!A107,BOM!V:V)</f>
        <v>0.40112249999999999</v>
      </c>
      <c r="N107" s="29">
        <f t="shared" si="16"/>
        <v>0.59854451239575923</v>
      </c>
      <c r="O107" s="55">
        <v>0</v>
      </c>
      <c r="P107" s="49">
        <f t="shared" si="17"/>
        <v>7.558575963203463</v>
      </c>
      <c r="Q107" s="11">
        <f t="shared" si="18"/>
        <v>0.8614240367965369</v>
      </c>
      <c r="R107" s="29">
        <f t="shared" si="19"/>
        <v>0.10230689273118015</v>
      </c>
      <c r="S107" s="91">
        <v>6.2</v>
      </c>
      <c r="T107" s="91">
        <f t="shared" si="25"/>
        <v>52.204000000000001</v>
      </c>
      <c r="U107" s="90">
        <f t="shared" si="26"/>
        <v>5.3408290281385291</v>
      </c>
      <c r="V107" s="90">
        <f t="shared" si="27"/>
        <v>5.3408290281385291</v>
      </c>
      <c r="W107" s="90">
        <f t="shared" si="28"/>
        <v>0</v>
      </c>
      <c r="Y107" s="34">
        <f t="shared" si="20"/>
        <v>0.75429558564950483</v>
      </c>
      <c r="Z107" s="34"/>
      <c r="AA107" s="4"/>
      <c r="AB107" s="4"/>
      <c r="AE107" s="4"/>
    </row>
    <row r="108" spans="1:31" x14ac:dyDescent="0.25">
      <c r="A108" s="1" t="s">
        <v>92</v>
      </c>
      <c r="B108" s="1" t="s">
        <v>552</v>
      </c>
      <c r="C108" s="1" t="s">
        <v>93</v>
      </c>
      <c r="D108" s="1" t="s">
        <v>554</v>
      </c>
      <c r="E108" s="1">
        <f>VLOOKUP(A108,BOM!A:E,5,0)</f>
        <v>5</v>
      </c>
      <c r="F108" s="122">
        <v>9.36</v>
      </c>
      <c r="G108" s="10">
        <v>8.32</v>
      </c>
      <c r="H108" s="11" t="s">
        <v>1874</v>
      </c>
      <c r="I108" s="49">
        <f>SUMIFS(BOM!Q:Q,BOM!A:A,'All Products'!A108,BOM!I:I,'All Products'!I$3)</f>
        <v>2.0527821447900827</v>
      </c>
      <c r="J108" s="49">
        <f>SUMIFS(BOM!Q:Q,BOM!A:A,'All Products'!A108,BOM!I:I,'All Products'!J$3)+0.03</f>
        <v>0.45000000000000007</v>
      </c>
      <c r="K108" s="29">
        <f t="shared" si="15"/>
        <v>0.30081516163342342</v>
      </c>
      <c r="L108" s="49">
        <f>SUMIF(BOM!A:A,'All Products'!A108,BOM!S:S)</f>
        <v>4.7362650253859426</v>
      </c>
      <c r="M108" s="49">
        <f>SUMIF(BOM!A:A,'All Products'!A108,BOM!V:V)</f>
        <v>0.40112249999999999</v>
      </c>
      <c r="N108" s="29">
        <f t="shared" si="16"/>
        <v>0.61747446218581037</v>
      </c>
      <c r="O108" s="55">
        <v>0</v>
      </c>
      <c r="P108" s="49">
        <f t="shared" si="17"/>
        <v>7.6401696701760251</v>
      </c>
      <c r="Q108" s="11">
        <f t="shared" si="18"/>
        <v>0.67983032982397518</v>
      </c>
      <c r="R108" s="29">
        <f t="shared" si="19"/>
        <v>8.171037618076625E-2</v>
      </c>
      <c r="S108" s="91">
        <v>122.4</v>
      </c>
      <c r="T108" s="91">
        <f t="shared" si="25"/>
        <v>1018.3680000000001</v>
      </c>
      <c r="U108" s="90">
        <f t="shared" si="26"/>
        <v>83.211232370454567</v>
      </c>
      <c r="V108" s="90">
        <f t="shared" si="27"/>
        <v>83.211232370454567</v>
      </c>
      <c r="W108" s="90">
        <f t="shared" si="28"/>
        <v>0</v>
      </c>
      <c r="Y108" s="34">
        <f t="shared" si="20"/>
        <v>0.75327137682811507</v>
      </c>
      <c r="Z108" s="34"/>
      <c r="AA108" s="4"/>
      <c r="AB108" s="4"/>
      <c r="AE108" s="4"/>
    </row>
    <row r="109" spans="1:31" x14ac:dyDescent="0.25">
      <c r="A109" s="1" t="s">
        <v>657</v>
      </c>
      <c r="B109" s="1" t="s">
        <v>656</v>
      </c>
      <c r="C109" s="1" t="s">
        <v>658</v>
      </c>
      <c r="D109" s="1" t="s">
        <v>554</v>
      </c>
      <c r="E109" s="1">
        <f>VLOOKUP(A109,BOM!A:E,5,0)</f>
        <v>1</v>
      </c>
      <c r="F109" s="122">
        <v>4.87</v>
      </c>
      <c r="G109" s="10">
        <v>5.12</v>
      </c>
      <c r="H109" s="11" t="s">
        <v>1874</v>
      </c>
      <c r="I109" s="49">
        <f>SUMIFS(BOM!Q:Q,BOM!A:A,'All Products'!A109,BOM!I:I,'All Products'!I$3)</f>
        <v>1.1623529411764706</v>
      </c>
      <c r="J109" s="49">
        <f>SUMIFS(BOM!Q:Q,BOM!A:A,'All Products'!A109,BOM!I:I,'All Products'!J$3)+0.03</f>
        <v>0.17</v>
      </c>
      <c r="K109" s="29">
        <f t="shared" si="15"/>
        <v>0.26022518382352938</v>
      </c>
      <c r="L109" s="49">
        <f>SUMIF(BOM!A:A,'All Products'!A109,BOM!S:S)</f>
        <v>0.75067352941176468</v>
      </c>
      <c r="M109" s="49">
        <f>SUMIF(BOM!A:A,'All Products'!A109,BOM!V:V)</f>
        <v>0.21720416666666661</v>
      </c>
      <c r="N109" s="29">
        <f t="shared" si="16"/>
        <v>0.18903861251531862</v>
      </c>
      <c r="O109" s="55">
        <v>0</v>
      </c>
      <c r="P109" s="49">
        <f t="shared" si="17"/>
        <v>2.3002306372549017</v>
      </c>
      <c r="Q109" s="11">
        <f t="shared" si="18"/>
        <v>2.8197693627450984</v>
      </c>
      <c r="R109" s="29">
        <f t="shared" si="19"/>
        <v>0.55073620366115206</v>
      </c>
      <c r="S109" s="91">
        <v>0</v>
      </c>
      <c r="T109" s="91">
        <f t="shared" si="25"/>
        <v>0</v>
      </c>
      <c r="U109" s="90">
        <f t="shared" si="26"/>
        <v>0</v>
      </c>
      <c r="V109" s="90">
        <f t="shared" si="27"/>
        <v>0</v>
      </c>
      <c r="W109" s="90">
        <f t="shared" si="28"/>
        <v>0</v>
      </c>
      <c r="Y109" s="34">
        <f t="shared" si="20"/>
        <v>0.77297794117647067</v>
      </c>
      <c r="Z109" s="34"/>
      <c r="AA109" s="4"/>
      <c r="AB109" s="4"/>
      <c r="AE109" s="4"/>
    </row>
    <row r="110" spans="1:31" x14ac:dyDescent="0.25">
      <c r="A110" s="1" t="s">
        <v>201</v>
      </c>
      <c r="B110" s="1" t="s">
        <v>656</v>
      </c>
      <c r="C110" s="1" t="s">
        <v>659</v>
      </c>
      <c r="D110" s="1" t="s">
        <v>554</v>
      </c>
      <c r="E110" s="1">
        <f>VLOOKUP(A110,BOM!A:E,5,0)</f>
        <v>1</v>
      </c>
      <c r="F110" s="122">
        <v>5.94</v>
      </c>
      <c r="G110" s="10">
        <v>5.23</v>
      </c>
      <c r="H110" s="11" t="s">
        <v>1874</v>
      </c>
      <c r="I110" s="49">
        <f>SUMIFS(BOM!Q:Q,BOM!A:A,'All Products'!A110,BOM!I:I,'All Products'!I$3)</f>
        <v>2.6905405405405407</v>
      </c>
      <c r="J110" s="49">
        <f>SUMIFS(BOM!Q:Q,BOM!A:A,'All Products'!A110,BOM!I:I,'All Products'!J$3)+0.03</f>
        <v>0.17</v>
      </c>
      <c r="K110" s="29">
        <f t="shared" si="15"/>
        <v>0.54694847811482605</v>
      </c>
      <c r="L110" s="49">
        <f>SUMIF(BOM!A:A,'All Products'!A110,BOM!S:S)</f>
        <v>1.1969481981981982</v>
      </c>
      <c r="M110" s="49">
        <f>SUMIF(BOM!A:A,'All Products'!A110,BOM!V:V)</f>
        <v>0.21720416666666661</v>
      </c>
      <c r="N110" s="29">
        <f t="shared" si="16"/>
        <v>0.27039242158028004</v>
      </c>
      <c r="O110" s="55">
        <v>0</v>
      </c>
      <c r="P110" s="49">
        <f t="shared" si="17"/>
        <v>4.2746929054054057</v>
      </c>
      <c r="Q110" s="11">
        <f t="shared" si="18"/>
        <v>0.95530709459459473</v>
      </c>
      <c r="R110" s="29">
        <f t="shared" si="19"/>
        <v>0.18265910030489382</v>
      </c>
      <c r="S110" s="91">
        <v>2.2000000000000002</v>
      </c>
      <c r="T110" s="91">
        <f t="shared" si="25"/>
        <v>11.506000000000002</v>
      </c>
      <c r="U110" s="90">
        <f t="shared" si="26"/>
        <v>2.1016756081081085</v>
      </c>
      <c r="V110" s="90">
        <f t="shared" si="27"/>
        <v>2.1016756081081085</v>
      </c>
      <c r="W110" s="90">
        <f t="shared" si="28"/>
        <v>0</v>
      </c>
      <c r="Y110" s="34">
        <f t="shared" si="20"/>
        <v>0.48555630199989663</v>
      </c>
      <c r="Z110" s="34"/>
      <c r="AA110" s="4"/>
      <c r="AB110" s="4"/>
      <c r="AE110" s="4"/>
    </row>
    <row r="111" spans="1:31" x14ac:dyDescent="0.25">
      <c r="A111" s="1" t="s">
        <v>660</v>
      </c>
      <c r="B111" s="1" t="s">
        <v>656</v>
      </c>
      <c r="C111" s="1" t="s">
        <v>661</v>
      </c>
      <c r="D111" s="1" t="s">
        <v>554</v>
      </c>
      <c r="E111" s="1">
        <f>VLOOKUP(A111,BOM!A:E,5,0)</f>
        <v>1</v>
      </c>
      <c r="F111" s="122">
        <v>5.62</v>
      </c>
      <c r="G111" s="10">
        <v>5.63</v>
      </c>
      <c r="H111" s="11" t="s">
        <v>1873</v>
      </c>
      <c r="I111" s="49">
        <f>SUMIFS(BOM!Q:Q,BOM!A:A,'All Products'!A111,BOM!I:I,'All Products'!I$3)</f>
        <v>0</v>
      </c>
      <c r="J111" s="49">
        <f>SUMIFS(BOM!Q:Q,BOM!A:A,'All Products'!A111,BOM!I:I,'All Products'!J$3)+0.03</f>
        <v>0.17</v>
      </c>
      <c r="K111" s="29">
        <f t="shared" si="15"/>
        <v>3.0195381882770874E-2</v>
      </c>
      <c r="L111" s="49">
        <f>SUMIF(BOM!A:A,'All Products'!A111,BOM!S:S)</f>
        <v>3.3849999999999998E-2</v>
      </c>
      <c r="M111" s="49">
        <f>SUMIF(BOM!A:A,'All Products'!A111,BOM!V:V)</f>
        <v>0.21720416666666661</v>
      </c>
      <c r="N111" s="29">
        <f t="shared" si="16"/>
        <v>4.4592214328004733E-2</v>
      </c>
      <c r="O111" s="55">
        <v>0</v>
      </c>
      <c r="P111" s="49">
        <f t="shared" si="17"/>
        <v>0.42105416666666662</v>
      </c>
      <c r="Q111" s="11">
        <f t="shared" si="18"/>
        <v>5.2089458333333329</v>
      </c>
      <c r="R111" s="29">
        <f t="shared" si="19"/>
        <v>0.92521240378922431</v>
      </c>
      <c r="S111" s="83"/>
      <c r="T111" s="83"/>
      <c r="U111" s="83"/>
      <c r="V111" s="83"/>
      <c r="W111" s="83"/>
      <c r="Y111" s="34">
        <f t="shared" si="20"/>
        <v>1</v>
      </c>
      <c r="Z111" s="34"/>
      <c r="AD111" t="e">
        <f>_xlfn.XLOOKUP(A111,AF:AF,AF:AF)</f>
        <v>#N/A</v>
      </c>
      <c r="AE111" s="4"/>
    </row>
    <row r="112" spans="1:31" x14ac:dyDescent="0.25">
      <c r="A112" s="1" t="s">
        <v>662</v>
      </c>
      <c r="B112" s="1" t="s">
        <v>656</v>
      </c>
      <c r="C112" s="1" t="s">
        <v>663</v>
      </c>
      <c r="D112" s="1" t="s">
        <v>554</v>
      </c>
      <c r="E112" s="1">
        <f>VLOOKUP(A112,BOM!A:E,5,0)</f>
        <v>1</v>
      </c>
      <c r="F112" s="122">
        <v>1.86</v>
      </c>
      <c r="G112" s="10">
        <v>1.85</v>
      </c>
      <c r="H112" s="11" t="s">
        <v>1874</v>
      </c>
      <c r="I112" s="49">
        <f>SUMIFS(BOM!Q:Q,BOM!A:A,'All Products'!A112,BOM!I:I,'All Products'!I$3)</f>
        <v>0.63527156396025908</v>
      </c>
      <c r="J112" s="49">
        <f>SUMIFS(BOM!Q:Q,BOM!A:A,'All Products'!A112,BOM!I:I,'All Products'!J$3)+0.03</f>
        <v>0.17</v>
      </c>
      <c r="K112" s="29">
        <f t="shared" si="15"/>
        <v>0.43528192646500491</v>
      </c>
      <c r="L112" s="49">
        <f>SUMIF(BOM!A:A,'All Products'!A112,BOM!S:S)</f>
        <v>0.77445490664839389</v>
      </c>
      <c r="M112" s="49">
        <f>SUMIF(BOM!A:A,'All Products'!A112,BOM!V:V)</f>
        <v>0.21720416666666661</v>
      </c>
      <c r="N112" s="29">
        <f t="shared" si="16"/>
        <v>0.53603193152165429</v>
      </c>
      <c r="O112" s="55">
        <v>0</v>
      </c>
      <c r="P112" s="49">
        <f t="shared" si="17"/>
        <v>1.7969306372753195</v>
      </c>
      <c r="Q112" s="11">
        <f t="shared" si="18"/>
        <v>5.3069362724680547E-2</v>
      </c>
      <c r="R112" s="29">
        <f t="shared" si="19"/>
        <v>2.8686142013340833E-2</v>
      </c>
      <c r="S112" s="91">
        <v>0.4</v>
      </c>
      <c r="T112" s="91">
        <f t="shared" ref="T112:T121" si="29">S112*G112</f>
        <v>0.7400000000000001</v>
      </c>
      <c r="U112" s="90">
        <f t="shared" ref="U112:U121" si="30">IFERROR(S112*Q112,0)</f>
        <v>2.122774508987222E-2</v>
      </c>
      <c r="V112" s="90">
        <f t="shared" ref="V112:V121" si="31">(G112-P112)*S112</f>
        <v>2.122774508987222E-2</v>
      </c>
      <c r="W112" s="90">
        <f t="shared" ref="W112:W121" si="32">V112-U112</f>
        <v>0</v>
      </c>
      <c r="Y112" s="34">
        <f t="shared" si="20"/>
        <v>0.65660996542688699</v>
      </c>
      <c r="Z112" s="34"/>
      <c r="AA112" s="4"/>
      <c r="AB112" s="4"/>
      <c r="AE112" s="4"/>
    </row>
    <row r="113" spans="1:31" x14ac:dyDescent="0.25">
      <c r="A113" s="1" t="s">
        <v>664</v>
      </c>
      <c r="B113" s="1" t="s">
        <v>656</v>
      </c>
      <c r="C113" s="1" t="s">
        <v>665</v>
      </c>
      <c r="D113" s="1" t="s">
        <v>554</v>
      </c>
      <c r="E113" s="1">
        <f>VLOOKUP(A113,BOM!A:E,5,0)</f>
        <v>2.5</v>
      </c>
      <c r="F113" s="122">
        <v>3.42</v>
      </c>
      <c r="G113" s="10">
        <v>3.33</v>
      </c>
      <c r="H113" s="11" t="s">
        <v>1874</v>
      </c>
      <c r="I113" s="49">
        <f>SUMIFS(BOM!Q:Q,BOM!A:A,'All Products'!A113,BOM!I:I,'All Products'!I$3)</f>
        <v>1.5881789099006476</v>
      </c>
      <c r="J113" s="49">
        <f>SUMIFS(BOM!Q:Q,BOM!A:A,'All Products'!A113,BOM!I:I,'All Products'!J$3)+0.03</f>
        <v>0.17</v>
      </c>
      <c r="K113" s="29">
        <f t="shared" si="15"/>
        <v>0.52798165462481905</v>
      </c>
      <c r="L113" s="49">
        <f>SUMIF(BOM!A:A,'All Products'!A113,BOM!S:S)</f>
        <v>1.9361372666209848</v>
      </c>
      <c r="M113" s="49">
        <f>SUMIF(BOM!A:A,'All Products'!A113,BOM!V:V)</f>
        <v>0.29618749999999999</v>
      </c>
      <c r="N113" s="29">
        <f t="shared" si="16"/>
        <v>0.67036779778407951</v>
      </c>
      <c r="O113" s="55">
        <v>0</v>
      </c>
      <c r="P113" s="49">
        <f t="shared" si="17"/>
        <v>3.9905036765216324</v>
      </c>
      <c r="Q113" s="11">
        <f t="shared" si="18"/>
        <v>-0.66050367652163233</v>
      </c>
      <c r="R113" s="29">
        <f t="shared" si="19"/>
        <v>-0.19834945240889859</v>
      </c>
      <c r="S113" s="91">
        <v>0</v>
      </c>
      <c r="T113" s="91">
        <f t="shared" si="29"/>
        <v>0</v>
      </c>
      <c r="U113" s="90">
        <f t="shared" si="30"/>
        <v>0</v>
      </c>
      <c r="V113" s="90">
        <f t="shared" si="31"/>
        <v>0</v>
      </c>
      <c r="W113" s="90">
        <f t="shared" si="32"/>
        <v>0</v>
      </c>
      <c r="Y113" s="34">
        <f t="shared" si="20"/>
        <v>0.52306939642623196</v>
      </c>
      <c r="Z113" s="34"/>
      <c r="AA113" s="4"/>
      <c r="AB113" s="4"/>
      <c r="AE113" s="4"/>
    </row>
    <row r="114" spans="1:31" x14ac:dyDescent="0.25">
      <c r="A114" s="1" t="s">
        <v>533</v>
      </c>
      <c r="B114" s="1" t="s">
        <v>656</v>
      </c>
      <c r="C114" s="1" t="s">
        <v>534</v>
      </c>
      <c r="D114" s="1" t="s">
        <v>554</v>
      </c>
      <c r="E114" s="1">
        <f>VLOOKUP(A114,BOM!A:E,5,0)</f>
        <v>2.5</v>
      </c>
      <c r="F114" s="122">
        <v>35.75</v>
      </c>
      <c r="G114" s="10">
        <v>36.61</v>
      </c>
      <c r="H114" s="11" t="s">
        <v>1874</v>
      </c>
      <c r="I114" s="49" t="e">
        <f>SUMIFS(BOM!Q:Q,BOM!A:A,'All Products'!A114,BOM!I:I,'All Products'!I$3)</f>
        <v>#N/A</v>
      </c>
      <c r="J114" s="49">
        <f>SUMIFS(BOM!Q:Q,BOM!A:A,'All Products'!A114,BOM!I:I,'All Products'!J$3)+0.03</f>
        <v>0.17</v>
      </c>
      <c r="K114" s="29" t="e">
        <f t="shared" si="15"/>
        <v>#N/A</v>
      </c>
      <c r="L114" s="49">
        <f>SUMIF(BOM!A:A,'All Products'!A114,BOM!S:S)</f>
        <v>15.595178571428571</v>
      </c>
      <c r="M114" s="49">
        <f>SUMIF(BOM!A:A,'All Products'!A114,BOM!V:V)</f>
        <v>0.29618749999999999</v>
      </c>
      <c r="N114" s="29">
        <f t="shared" si="16"/>
        <v>0.43407173098684981</v>
      </c>
      <c r="O114" s="55">
        <v>0</v>
      </c>
      <c r="P114" s="49" t="e">
        <f t="shared" si="17"/>
        <v>#N/A</v>
      </c>
      <c r="Q114" s="11" t="e">
        <f t="shared" si="18"/>
        <v>#N/A</v>
      </c>
      <c r="R114" s="29">
        <f t="shared" si="19"/>
        <v>0</v>
      </c>
      <c r="S114" s="91">
        <v>8.1999999999999993</v>
      </c>
      <c r="T114" s="91">
        <f t="shared" si="29"/>
        <v>300.20199999999994</v>
      </c>
      <c r="U114" s="90">
        <f t="shared" si="30"/>
        <v>0</v>
      </c>
      <c r="V114" s="90" t="e">
        <f t="shared" si="31"/>
        <v>#N/A</v>
      </c>
      <c r="W114" s="90" t="e">
        <f t="shared" si="32"/>
        <v>#N/A</v>
      </c>
      <c r="Y114" s="34" t="e">
        <f t="shared" si="20"/>
        <v>#N/A</v>
      </c>
      <c r="Z114" s="34"/>
      <c r="AA114" s="4"/>
      <c r="AB114" s="4"/>
      <c r="AE114" s="4"/>
    </row>
    <row r="115" spans="1:31" x14ac:dyDescent="0.25">
      <c r="A115" s="1" t="s">
        <v>666</v>
      </c>
      <c r="B115" s="1" t="s">
        <v>656</v>
      </c>
      <c r="C115" s="1" t="s">
        <v>667</v>
      </c>
      <c r="D115" s="1" t="s">
        <v>554</v>
      </c>
      <c r="E115" s="1">
        <f>VLOOKUP(A115,BOM!A:E,5,0)</f>
        <v>1</v>
      </c>
      <c r="F115" s="122">
        <v>8.0500000000000007</v>
      </c>
      <c r="G115" s="10">
        <v>8.4600000000000009</v>
      </c>
      <c r="H115" s="11" t="s">
        <v>1874</v>
      </c>
      <c r="I115" s="49">
        <f>SUMIFS(BOM!Q:Q,BOM!A:A,'All Products'!A115,BOM!I:I,'All Products'!I$3)</f>
        <v>3.8719999999999994</v>
      </c>
      <c r="J115" s="49">
        <f>SUMIFS(BOM!Q:Q,BOM!A:A,'All Products'!A115,BOM!I:I,'All Products'!J$3)+0.03</f>
        <v>0.17</v>
      </c>
      <c r="K115" s="29">
        <f t="shared" si="15"/>
        <v>0.47777777777777769</v>
      </c>
      <c r="L115" s="49">
        <f>SUMIF(BOM!A:A,'All Products'!A115,BOM!S:S)</f>
        <v>2.284875</v>
      </c>
      <c r="M115" s="49">
        <f>SUMIF(BOM!A:A,'All Products'!A115,BOM!V:V)</f>
        <v>0.21720416666666661</v>
      </c>
      <c r="N115" s="29">
        <f t="shared" si="16"/>
        <v>0.29575403861308108</v>
      </c>
      <c r="O115" s="55">
        <v>0</v>
      </c>
      <c r="P115" s="49">
        <f t="shared" si="17"/>
        <v>6.5440791666666662</v>
      </c>
      <c r="Q115" s="11">
        <f t="shared" si="18"/>
        <v>1.9159208333333346</v>
      </c>
      <c r="R115" s="29">
        <f t="shared" si="19"/>
        <v>0.2264681836091412</v>
      </c>
      <c r="S115" s="91">
        <v>0</v>
      </c>
      <c r="T115" s="91">
        <f t="shared" si="29"/>
        <v>0</v>
      </c>
      <c r="U115" s="90">
        <f t="shared" si="30"/>
        <v>0</v>
      </c>
      <c r="V115" s="90">
        <f t="shared" si="31"/>
        <v>0</v>
      </c>
      <c r="W115" s="90">
        <f t="shared" si="32"/>
        <v>0</v>
      </c>
      <c r="Y115" s="34">
        <f t="shared" si="20"/>
        <v>0.54231678486997636</v>
      </c>
      <c r="Z115" s="34"/>
      <c r="AA115" s="4"/>
      <c r="AB115" s="4"/>
      <c r="AE115" s="4"/>
    </row>
    <row r="116" spans="1:31" x14ac:dyDescent="0.25">
      <c r="A116" s="1" t="s">
        <v>668</v>
      </c>
      <c r="B116" s="1" t="s">
        <v>656</v>
      </c>
      <c r="C116" s="1" t="s">
        <v>669</v>
      </c>
      <c r="D116" s="1" t="s">
        <v>554</v>
      </c>
      <c r="E116" s="1">
        <f>VLOOKUP(A116,BOM!A:E,5,0)</f>
        <v>2.5</v>
      </c>
      <c r="F116" s="122">
        <v>20.11</v>
      </c>
      <c r="G116" s="10">
        <v>21.11</v>
      </c>
      <c r="H116" s="11" t="s">
        <v>1874</v>
      </c>
      <c r="I116" s="49">
        <f>SUMIFS(BOM!Q:Q,BOM!A:A,'All Products'!A116,BOM!I:I,'All Products'!I$3)</f>
        <v>9.6799999999999979</v>
      </c>
      <c r="J116" s="49">
        <f>SUMIFS(BOM!Q:Q,BOM!A:A,'All Products'!A116,BOM!I:I,'All Products'!J$3)+0.03</f>
        <v>0.17</v>
      </c>
      <c r="K116" s="29">
        <f t="shared" si="15"/>
        <v>0.46660350544765505</v>
      </c>
      <c r="L116" s="49">
        <f>SUMIF(BOM!A:A,'All Products'!A116,BOM!S:S)</f>
        <v>5.7121874999999998</v>
      </c>
      <c r="M116" s="49">
        <f>SUMIF(BOM!A:A,'All Products'!A116,BOM!V:V)</f>
        <v>0.29618749999999999</v>
      </c>
      <c r="N116" s="29">
        <f t="shared" si="16"/>
        <v>0.28462221695878731</v>
      </c>
      <c r="O116" s="55">
        <v>0</v>
      </c>
      <c r="P116" s="49">
        <f t="shared" si="17"/>
        <v>15.858374999999999</v>
      </c>
      <c r="Q116" s="11">
        <f t="shared" si="18"/>
        <v>5.2516250000000007</v>
      </c>
      <c r="R116" s="29">
        <f t="shared" si="19"/>
        <v>0.24877427759355758</v>
      </c>
      <c r="S116" s="91">
        <v>0.4</v>
      </c>
      <c r="T116" s="91">
        <f t="shared" si="29"/>
        <v>8.4440000000000008</v>
      </c>
      <c r="U116" s="90">
        <f t="shared" si="30"/>
        <v>2.1006500000000004</v>
      </c>
      <c r="V116" s="90">
        <f t="shared" si="31"/>
        <v>2.1006500000000004</v>
      </c>
      <c r="W116" s="90">
        <f t="shared" si="32"/>
        <v>0</v>
      </c>
      <c r="Y116" s="34">
        <f t="shared" si="20"/>
        <v>0.54144954997631467</v>
      </c>
      <c r="Z116" s="34"/>
      <c r="AA116" s="4"/>
      <c r="AB116" s="4"/>
      <c r="AE116" s="4"/>
    </row>
    <row r="117" spans="1:31" x14ac:dyDescent="0.25">
      <c r="A117" s="1" t="s">
        <v>320</v>
      </c>
      <c r="B117" s="1" t="s">
        <v>656</v>
      </c>
      <c r="C117" s="1" t="s">
        <v>670</v>
      </c>
      <c r="D117" s="1" t="s">
        <v>554</v>
      </c>
      <c r="E117" s="1">
        <f>VLOOKUP(A117,BOM!A:E,5,0)</f>
        <v>1</v>
      </c>
      <c r="F117" s="122">
        <v>2.11</v>
      </c>
      <c r="G117" s="10">
        <v>2.2799999999999998</v>
      </c>
      <c r="H117" s="11" t="s">
        <v>1874</v>
      </c>
      <c r="I117" s="49">
        <f>SUMIFS(BOM!Q:Q,BOM!A:A,'All Products'!A117,BOM!I:I,'All Products'!I$3)</f>
        <v>0.69105975644293383</v>
      </c>
      <c r="J117" s="49">
        <f>SUMIFS(BOM!Q:Q,BOM!A:A,'All Products'!A117,BOM!I:I,'All Products'!J$3)+0.03</f>
        <v>0.17</v>
      </c>
      <c r="K117" s="29">
        <f t="shared" si="15"/>
        <v>0.37765778791356752</v>
      </c>
      <c r="L117" s="49">
        <f>SUMIF(BOM!A:A,'All Products'!A117,BOM!S:S)</f>
        <v>0.77414765725793744</v>
      </c>
      <c r="M117" s="49">
        <f>SUMIF(BOM!A:A,'All Products'!A117,BOM!V:V)</f>
        <v>0.21720416666666661</v>
      </c>
      <c r="N117" s="29">
        <f t="shared" si="16"/>
        <v>0.43480343154587903</v>
      </c>
      <c r="O117" s="55">
        <v>0</v>
      </c>
      <c r="P117" s="49">
        <f t="shared" si="17"/>
        <v>1.8524115803675381</v>
      </c>
      <c r="Q117" s="11">
        <f t="shared" si="18"/>
        <v>0.42758841963246175</v>
      </c>
      <c r="R117" s="29">
        <f t="shared" si="19"/>
        <v>0.18753878054055342</v>
      </c>
      <c r="S117" s="91">
        <v>7.8</v>
      </c>
      <c r="T117" s="91">
        <f t="shared" si="29"/>
        <v>17.783999999999999</v>
      </c>
      <c r="U117" s="90">
        <f t="shared" si="30"/>
        <v>3.3351896731332014</v>
      </c>
      <c r="V117" s="90">
        <f t="shared" si="31"/>
        <v>3.3351896731332014</v>
      </c>
      <c r="W117" s="90">
        <f t="shared" si="32"/>
        <v>0</v>
      </c>
      <c r="Y117" s="34">
        <f t="shared" si="20"/>
        <v>0.69690361559520453</v>
      </c>
      <c r="Z117" s="34"/>
      <c r="AA117" s="4"/>
      <c r="AB117" s="4"/>
      <c r="AE117" s="4"/>
    </row>
    <row r="118" spans="1:31" x14ac:dyDescent="0.25">
      <c r="A118" s="1" t="s">
        <v>671</v>
      </c>
      <c r="B118" s="1" t="s">
        <v>656</v>
      </c>
      <c r="C118" s="1" t="s">
        <v>672</v>
      </c>
      <c r="D118" s="1" t="s">
        <v>554</v>
      </c>
      <c r="E118" s="1">
        <f>VLOOKUP(A118,BOM!A:E,5,0)</f>
        <v>2.5</v>
      </c>
      <c r="F118" s="122">
        <v>5.26</v>
      </c>
      <c r="G118" s="10">
        <v>5.69</v>
      </c>
      <c r="H118" s="11" t="s">
        <v>1874</v>
      </c>
      <c r="I118" s="49">
        <f>SUMIFS(BOM!Q:Q,BOM!A:A,'All Products'!A118,BOM!I:I,'All Products'!I$3)</f>
        <v>1.7276493911073347</v>
      </c>
      <c r="J118" s="49">
        <f>SUMIFS(BOM!Q:Q,BOM!A:A,'All Products'!A118,BOM!I:I,'All Products'!J$3)+0.03</f>
        <v>0.17</v>
      </c>
      <c r="K118" s="29">
        <f t="shared" si="15"/>
        <v>0.33350604413134177</v>
      </c>
      <c r="L118" s="49">
        <f>SUMIF(BOM!A:A,'All Products'!A118,BOM!S:S)</f>
        <v>1.9353691431448437</v>
      </c>
      <c r="M118" s="49">
        <f>SUMIF(BOM!A:A,'All Products'!A118,BOM!V:V)</f>
        <v>0.29618749999999999</v>
      </c>
      <c r="N118" s="29">
        <f t="shared" si="16"/>
        <v>0.3921892167214136</v>
      </c>
      <c r="O118" s="55">
        <v>0</v>
      </c>
      <c r="P118" s="49">
        <f t="shared" si="17"/>
        <v>4.1292060342521779</v>
      </c>
      <c r="Q118" s="11">
        <f t="shared" si="18"/>
        <v>1.5607939657478225</v>
      </c>
      <c r="R118" s="29">
        <f t="shared" si="19"/>
        <v>0.27430473914724468</v>
      </c>
      <c r="S118" s="91">
        <v>6.8</v>
      </c>
      <c r="T118" s="91">
        <f t="shared" si="29"/>
        <v>38.692</v>
      </c>
      <c r="U118" s="90">
        <f t="shared" si="30"/>
        <v>10.613398967085192</v>
      </c>
      <c r="V118" s="90">
        <f t="shared" si="31"/>
        <v>10.613398967085192</v>
      </c>
      <c r="W118" s="90">
        <f t="shared" si="32"/>
        <v>0</v>
      </c>
      <c r="Y118" s="34">
        <f t="shared" si="20"/>
        <v>0.69637093302155806</v>
      </c>
      <c r="Z118" s="34"/>
      <c r="AA118" s="4"/>
      <c r="AB118" s="4"/>
      <c r="AE118" s="4"/>
    </row>
    <row r="119" spans="1:31" x14ac:dyDescent="0.25">
      <c r="A119" s="1" t="s">
        <v>319</v>
      </c>
      <c r="B119" s="1" t="s">
        <v>656</v>
      </c>
      <c r="C119" s="1" t="s">
        <v>673</v>
      </c>
      <c r="D119" s="1" t="s">
        <v>554</v>
      </c>
      <c r="E119" s="1">
        <f>VLOOKUP(A119,BOM!A:E,5,0)</f>
        <v>0.25</v>
      </c>
      <c r="F119" s="122">
        <v>0.53</v>
      </c>
      <c r="G119" s="10">
        <v>0.63</v>
      </c>
      <c r="H119" s="11" t="s">
        <v>1874</v>
      </c>
      <c r="I119" s="49">
        <f>SUMIFS(BOM!Q:Q,BOM!A:A,'All Products'!A119,BOM!I:I,'All Products'!I$3)</f>
        <v>0.17276493911073346</v>
      </c>
      <c r="J119" s="49">
        <f>SUMIFS(BOM!Q:Q,BOM!A:A,'All Products'!A119,BOM!I:I,'All Products'!J$3)+0.03</f>
        <v>0.08</v>
      </c>
      <c r="K119" s="29">
        <f t="shared" si="15"/>
        <v>0.40121418906465628</v>
      </c>
      <c r="L119" s="49">
        <f>SUMIF(BOM!A:A,'All Products'!A119,BOM!S:S)</f>
        <v>0.19353691431448436</v>
      </c>
      <c r="M119" s="49">
        <f>SUMIF(BOM!A:A,'All Products'!A119,BOM!V:V)</f>
        <v>0.16078749999999997</v>
      </c>
      <c r="N119" s="29">
        <f t="shared" si="16"/>
        <v>0.56241970526108631</v>
      </c>
      <c r="O119" s="55">
        <v>0</v>
      </c>
      <c r="P119" s="49">
        <f t="shared" si="17"/>
        <v>0.60708935342521775</v>
      </c>
      <c r="Q119" s="11">
        <f t="shared" si="18"/>
        <v>2.2910646574782256E-2</v>
      </c>
      <c r="R119" s="29">
        <f t="shared" si="19"/>
        <v>3.6366105674257548E-2</v>
      </c>
      <c r="S119" s="91">
        <v>11.6</v>
      </c>
      <c r="T119" s="91">
        <f t="shared" si="29"/>
        <v>7.3079999999999998</v>
      </c>
      <c r="U119" s="90">
        <f t="shared" si="30"/>
        <v>0.26576350026747414</v>
      </c>
      <c r="V119" s="90">
        <f t="shared" si="31"/>
        <v>0.26576350026747414</v>
      </c>
      <c r="W119" s="90">
        <f t="shared" si="32"/>
        <v>0</v>
      </c>
      <c r="Y119" s="34">
        <f t="shared" si="20"/>
        <v>0.72576993791947075</v>
      </c>
      <c r="Z119" s="34"/>
      <c r="AA119" s="4"/>
      <c r="AB119" s="4"/>
      <c r="AE119" s="4"/>
    </row>
    <row r="120" spans="1:31" x14ac:dyDescent="0.25">
      <c r="A120" s="1" t="s">
        <v>292</v>
      </c>
      <c r="B120" s="1" t="s">
        <v>656</v>
      </c>
      <c r="C120" s="1" t="s">
        <v>674</v>
      </c>
      <c r="D120" s="1" t="s">
        <v>554</v>
      </c>
      <c r="E120" s="1">
        <f>VLOOKUP(A120,BOM!A:E,5,0)</f>
        <v>1</v>
      </c>
      <c r="F120" s="122">
        <v>18.57</v>
      </c>
      <c r="G120" s="10">
        <v>18.96</v>
      </c>
      <c r="H120" s="11" t="s">
        <v>1874</v>
      </c>
      <c r="I120" s="49">
        <f>SUMIFS(BOM!Q:Q,BOM!A:A,'All Products'!A120,BOM!I:I,'All Products'!I$3)</f>
        <v>3.5183084098939936</v>
      </c>
      <c r="J120" s="49">
        <f>SUMIFS(BOM!Q:Q,BOM!A:A,'All Products'!A120,BOM!I:I,'All Products'!J$3)+0.03</f>
        <v>0.17</v>
      </c>
      <c r="K120" s="29">
        <f t="shared" si="15"/>
        <v>0.19453103427710935</v>
      </c>
      <c r="L120" s="49">
        <f>SUMIF(BOM!A:A,'All Products'!A120,BOM!S:S)</f>
        <v>1.6473666666666664</v>
      </c>
      <c r="M120" s="49">
        <f>SUMIF(BOM!A:A,'All Products'!A120,BOM!V:V)</f>
        <v>0.21720416666666661</v>
      </c>
      <c r="N120" s="29">
        <f t="shared" si="16"/>
        <v>9.8342343530239087E-2</v>
      </c>
      <c r="O120" s="55">
        <v>0</v>
      </c>
      <c r="P120" s="49">
        <f t="shared" si="17"/>
        <v>5.5528792432273262</v>
      </c>
      <c r="Q120" s="11">
        <f t="shared" si="18"/>
        <v>13.407120756772674</v>
      </c>
      <c r="R120" s="29">
        <f t="shared" si="19"/>
        <v>0.70712662219265154</v>
      </c>
      <c r="S120" s="91">
        <v>13</v>
      </c>
      <c r="T120" s="91">
        <f t="shared" si="29"/>
        <v>246.48000000000002</v>
      </c>
      <c r="U120" s="90">
        <f t="shared" si="30"/>
        <v>174.29256983804476</v>
      </c>
      <c r="V120" s="90">
        <f t="shared" si="31"/>
        <v>174.29256983804476</v>
      </c>
      <c r="W120" s="90">
        <f t="shared" si="32"/>
        <v>0</v>
      </c>
      <c r="Y120" s="34">
        <f t="shared" si="20"/>
        <v>0.81443521044862899</v>
      </c>
      <c r="Z120" s="34"/>
      <c r="AA120" s="4"/>
      <c r="AB120" s="4"/>
      <c r="AE120" s="4"/>
    </row>
    <row r="121" spans="1:31" x14ac:dyDescent="0.25">
      <c r="A121" s="1" t="s">
        <v>675</v>
      </c>
      <c r="B121" s="1" t="s">
        <v>656</v>
      </c>
      <c r="C121" s="1" t="s">
        <v>676</v>
      </c>
      <c r="D121" s="1" t="s">
        <v>554</v>
      </c>
      <c r="E121" s="1">
        <f>VLOOKUP(A121,BOM!A:E,5,0)</f>
        <v>2.5</v>
      </c>
      <c r="F121" s="122">
        <v>46.75</v>
      </c>
      <c r="G121" s="10">
        <v>47.86</v>
      </c>
      <c r="H121" s="11" t="s">
        <v>1874</v>
      </c>
      <c r="I121" s="49">
        <f>SUMIFS(BOM!Q:Q,BOM!A:A,'All Products'!A121,BOM!I:I,'All Products'!I$3)</f>
        <v>8.7957710247349823</v>
      </c>
      <c r="J121" s="49">
        <f>SUMIFS(BOM!Q:Q,BOM!A:A,'All Products'!A121,BOM!I:I,'All Products'!J$3)+0.03</f>
        <v>0.17</v>
      </c>
      <c r="K121" s="29">
        <f t="shared" si="15"/>
        <v>0.1873332850968446</v>
      </c>
      <c r="L121" s="49">
        <f>SUMIF(BOM!A:A,'All Products'!A121,BOM!S:S)</f>
        <v>4.1184166666666657</v>
      </c>
      <c r="M121" s="49">
        <f>SUMIF(BOM!A:A,'All Products'!A121,BOM!V:V)</f>
        <v>0.29618749999999999</v>
      </c>
      <c r="N121" s="29">
        <f t="shared" si="16"/>
        <v>9.2239953336119229E-2</v>
      </c>
      <c r="O121" s="55">
        <v>0</v>
      </c>
      <c r="P121" s="49">
        <f t="shared" si="17"/>
        <v>13.380375191401647</v>
      </c>
      <c r="Q121" s="11">
        <f t="shared" si="18"/>
        <v>34.479624808598352</v>
      </c>
      <c r="R121" s="29">
        <f t="shared" si="19"/>
        <v>0.72042676156703622</v>
      </c>
      <c r="S121" s="91">
        <v>0</v>
      </c>
      <c r="T121" s="91">
        <f t="shared" si="29"/>
        <v>0</v>
      </c>
      <c r="U121" s="90">
        <f t="shared" si="30"/>
        <v>0</v>
      </c>
      <c r="V121" s="90">
        <f t="shared" si="31"/>
        <v>0</v>
      </c>
      <c r="W121" s="90">
        <f t="shared" si="32"/>
        <v>0</v>
      </c>
      <c r="Y121" s="34">
        <f t="shared" si="20"/>
        <v>0.81621874164782737</v>
      </c>
      <c r="Z121" s="34"/>
      <c r="AA121" s="4"/>
      <c r="AB121" s="4"/>
      <c r="AE121" s="4"/>
    </row>
    <row r="122" spans="1:31" x14ac:dyDescent="0.25">
      <c r="A122" s="1" t="s">
        <v>677</v>
      </c>
      <c r="B122" s="1" t="s">
        <v>656</v>
      </c>
      <c r="C122" s="1" t="s">
        <v>678</v>
      </c>
      <c r="D122" s="1" t="s">
        <v>554</v>
      </c>
      <c r="E122" s="1">
        <f>VLOOKUP(A122,BOM!A:E,5,0)</f>
        <v>1</v>
      </c>
      <c r="F122" s="122">
        <v>1.49</v>
      </c>
      <c r="G122" s="10">
        <v>1.52</v>
      </c>
      <c r="H122" s="11" t="s">
        <v>1873</v>
      </c>
      <c r="I122" s="49">
        <f>SUMIFS(BOM!Q:Q,BOM!A:A,'All Products'!A122,BOM!I:I,'All Products'!I$3)</f>
        <v>0</v>
      </c>
      <c r="J122" s="49">
        <f>SUMIFS(BOM!Q:Q,BOM!A:A,'All Products'!A122,BOM!I:I,'All Products'!J$3)+0.03</f>
        <v>0.17</v>
      </c>
      <c r="K122" s="29">
        <f t="shared" si="15"/>
        <v>0.1118421052631579</v>
      </c>
      <c r="L122" s="49">
        <f>SUMIF(BOM!A:A,'All Products'!A122,BOM!S:S)</f>
        <v>0</v>
      </c>
      <c r="M122" s="49">
        <f>SUMIF(BOM!A:A,'All Products'!A122,BOM!V:V)</f>
        <v>0.21720416666666661</v>
      </c>
      <c r="N122" s="29">
        <f t="shared" si="16"/>
        <v>0.14289747807017542</v>
      </c>
      <c r="O122" s="55">
        <v>0</v>
      </c>
      <c r="P122" s="49">
        <f t="shared" si="17"/>
        <v>0.38720416666666663</v>
      </c>
      <c r="Q122" s="11">
        <f t="shared" si="18"/>
        <v>1.1327958333333334</v>
      </c>
      <c r="R122" s="29">
        <f t="shared" si="19"/>
        <v>0.74526041666666676</v>
      </c>
      <c r="S122" s="83"/>
      <c r="T122" s="83"/>
      <c r="U122" s="83"/>
      <c r="V122" s="83"/>
      <c r="W122" s="83"/>
      <c r="Y122" s="34">
        <f t="shared" si="20"/>
        <v>1</v>
      </c>
      <c r="Z122" s="34"/>
      <c r="AD122" t="e">
        <f>_xlfn.XLOOKUP(A122,AF:AF,AF:AF)</f>
        <v>#N/A</v>
      </c>
      <c r="AE122" s="4"/>
    </row>
    <row r="123" spans="1:31" x14ac:dyDescent="0.25">
      <c r="A123" s="1" t="s">
        <v>679</v>
      </c>
      <c r="B123" s="1" t="s">
        <v>656</v>
      </c>
      <c r="C123" s="1" t="s">
        <v>680</v>
      </c>
      <c r="D123" s="1" t="s">
        <v>554</v>
      </c>
      <c r="E123" s="1">
        <f>VLOOKUP(A123,BOM!A:E,5,0)</f>
        <v>2.5</v>
      </c>
      <c r="F123" s="122">
        <v>5.81</v>
      </c>
      <c r="G123" s="10">
        <v>5.93</v>
      </c>
      <c r="H123" s="11" t="s">
        <v>1873</v>
      </c>
      <c r="I123" s="49">
        <f>SUMIFS(BOM!Q:Q,BOM!A:A,'All Products'!A123,BOM!I:I,'All Products'!I$3)</f>
        <v>0</v>
      </c>
      <c r="J123" s="49">
        <f>SUMIFS(BOM!Q:Q,BOM!A:A,'All Products'!A123,BOM!I:I,'All Products'!J$3)+0.03</f>
        <v>0.17</v>
      </c>
      <c r="K123" s="29">
        <f t="shared" si="15"/>
        <v>2.8667790893760543E-2</v>
      </c>
      <c r="L123" s="49">
        <f>SUMIF(BOM!A:A,'All Products'!A123,BOM!S:S)</f>
        <v>0</v>
      </c>
      <c r="M123" s="49">
        <f>SUMIF(BOM!A:A,'All Products'!A123,BOM!V:V)</f>
        <v>0.29618749999999999</v>
      </c>
      <c r="N123" s="29">
        <f t="shared" si="16"/>
        <v>4.9947301854974709E-2</v>
      </c>
      <c r="O123" s="55">
        <v>0</v>
      </c>
      <c r="P123" s="49">
        <f t="shared" si="17"/>
        <v>0.46618749999999998</v>
      </c>
      <c r="Q123" s="11">
        <f t="shared" si="18"/>
        <v>5.4638124999999995</v>
      </c>
      <c r="R123" s="29">
        <f t="shared" si="19"/>
        <v>0.92138490725126476</v>
      </c>
      <c r="S123" s="83"/>
      <c r="T123" s="83"/>
      <c r="U123" s="83"/>
      <c r="V123" s="83"/>
      <c r="W123" s="83"/>
      <c r="Y123" s="34">
        <f t="shared" si="20"/>
        <v>1</v>
      </c>
      <c r="Z123" s="34"/>
      <c r="AD123" t="e">
        <f>_xlfn.XLOOKUP(A123,AF:AF,AF:AF)</f>
        <v>#N/A</v>
      </c>
      <c r="AE123" s="4"/>
    </row>
    <row r="124" spans="1:31" x14ac:dyDescent="0.25">
      <c r="A124" s="1" t="s">
        <v>681</v>
      </c>
      <c r="B124" s="1" t="s">
        <v>656</v>
      </c>
      <c r="C124" s="1" t="s">
        <v>682</v>
      </c>
      <c r="D124" s="1" t="s">
        <v>554</v>
      </c>
      <c r="E124" s="1">
        <f>VLOOKUP(A124,BOM!A:E,5,0)</f>
        <v>2.5</v>
      </c>
      <c r="F124" s="122">
        <v>3.67</v>
      </c>
      <c r="G124" s="10">
        <v>3.96</v>
      </c>
      <c r="H124" s="11" t="s">
        <v>1874</v>
      </c>
      <c r="I124" s="49">
        <f>SUMIFS(BOM!Q:Q,BOM!A:A,'All Products'!A124,BOM!I:I,'All Products'!I$3)</f>
        <v>1.2957370433305011</v>
      </c>
      <c r="J124" s="49">
        <f>SUMIFS(BOM!Q:Q,BOM!A:A,'All Products'!A124,BOM!I:I,'All Products'!J$3)+0.03</f>
        <v>0.17</v>
      </c>
      <c r="K124" s="29">
        <f t="shared" si="15"/>
        <v>0.3701356170026518</v>
      </c>
      <c r="L124" s="49">
        <f>SUMIF(BOM!A:A,'All Products'!A124,BOM!S:S)</f>
        <v>1.0561688113612762</v>
      </c>
      <c r="M124" s="49">
        <f>SUMIF(BOM!A:A,'All Products'!A124,BOM!V:V)</f>
        <v>0.29618749999999999</v>
      </c>
      <c r="N124" s="29">
        <f t="shared" si="16"/>
        <v>0.34150411903062533</v>
      </c>
      <c r="O124" s="55">
        <v>0</v>
      </c>
      <c r="P124" s="49">
        <f t="shared" si="17"/>
        <v>2.8180933546917775</v>
      </c>
      <c r="Q124" s="11">
        <f t="shared" si="18"/>
        <v>1.1419066453082225</v>
      </c>
      <c r="R124" s="29">
        <f t="shared" si="19"/>
        <v>0.28836026396672287</v>
      </c>
      <c r="S124" s="91">
        <v>0</v>
      </c>
      <c r="T124" s="91">
        <f>S124*G124</f>
        <v>0</v>
      </c>
      <c r="U124" s="90">
        <f>IFERROR(S124*Q124,0)</f>
        <v>0</v>
      </c>
      <c r="V124" s="90">
        <f>(G124-P124)*S124</f>
        <v>0</v>
      </c>
      <c r="W124" s="90">
        <f>V124-U124</f>
        <v>0</v>
      </c>
      <c r="Y124" s="34">
        <f t="shared" si="20"/>
        <v>0.67279367592664119</v>
      </c>
      <c r="Z124" s="34"/>
      <c r="AA124" s="4"/>
      <c r="AB124" s="4"/>
      <c r="AE124" s="4"/>
    </row>
    <row r="125" spans="1:31" x14ac:dyDescent="0.25">
      <c r="A125" s="1" t="s">
        <v>683</v>
      </c>
      <c r="B125" s="1" t="s">
        <v>656</v>
      </c>
      <c r="C125" s="1" t="s">
        <v>684</v>
      </c>
      <c r="D125" s="1" t="s">
        <v>554</v>
      </c>
      <c r="E125" s="1">
        <f>VLOOKUP(A125,BOM!A:E,5,0)</f>
        <v>1</v>
      </c>
      <c r="F125" s="122">
        <v>51.91</v>
      </c>
      <c r="G125" s="10">
        <v>52.35</v>
      </c>
      <c r="H125" s="11" t="s">
        <v>1874</v>
      </c>
      <c r="I125" s="49">
        <f>SUMIFS(BOM!Q:Q,BOM!A:A,'All Products'!A125,BOM!I:I,'All Products'!I$3)</f>
        <v>22.6</v>
      </c>
      <c r="J125" s="49">
        <f>SUMIFS(BOM!Q:Q,BOM!A:A,'All Products'!A125,BOM!I:I,'All Products'!J$3)+0.03</f>
        <v>0.17</v>
      </c>
      <c r="K125" s="29">
        <f t="shared" si="15"/>
        <v>0.43495702005730663</v>
      </c>
      <c r="L125" s="49">
        <f>SUMIF(BOM!A:A,'All Products'!A125,BOM!S:S)</f>
        <v>14.555499999999999</v>
      </c>
      <c r="M125" s="49">
        <f>SUMIF(BOM!A:A,'All Products'!A125,BOM!V:V)</f>
        <v>0.21720416666666661</v>
      </c>
      <c r="N125" s="29">
        <f t="shared" si="16"/>
        <v>0.2821911015600127</v>
      </c>
      <c r="O125" s="55">
        <v>0</v>
      </c>
      <c r="P125" s="49">
        <f t="shared" si="17"/>
        <v>37.542704166666667</v>
      </c>
      <c r="Q125" s="11">
        <f t="shared" si="18"/>
        <v>14.807295833333335</v>
      </c>
      <c r="R125" s="29">
        <f t="shared" si="19"/>
        <v>0.28285187838268067</v>
      </c>
      <c r="S125" s="83"/>
      <c r="T125" s="83"/>
      <c r="U125" s="83"/>
      <c r="V125" s="83"/>
      <c r="W125" s="83"/>
      <c r="Y125" s="34">
        <f t="shared" si="20"/>
        <v>0.56829035339063994</v>
      </c>
      <c r="Z125" s="34"/>
      <c r="AE125" s="4"/>
    </row>
    <row r="126" spans="1:31" x14ac:dyDescent="0.25">
      <c r="A126" s="1" t="s">
        <v>685</v>
      </c>
      <c r="B126" s="1" t="s">
        <v>656</v>
      </c>
      <c r="C126" s="1" t="s">
        <v>686</v>
      </c>
      <c r="D126" s="1" t="s">
        <v>554</v>
      </c>
      <c r="E126" s="1">
        <f>VLOOKUP(A126,BOM!A:E,5,0)</f>
        <v>2.5</v>
      </c>
      <c r="F126" s="122">
        <v>129.75</v>
      </c>
      <c r="G126" s="10">
        <v>130.84</v>
      </c>
      <c r="H126" s="11" t="s">
        <v>1874</v>
      </c>
      <c r="I126" s="49">
        <f>SUMIFS(BOM!Q:Q,BOM!A:A,'All Products'!A126,BOM!I:I,'All Products'!I$3)</f>
        <v>56.500000000000007</v>
      </c>
      <c r="J126" s="49">
        <f>SUMIFS(BOM!Q:Q,BOM!A:A,'All Products'!A126,BOM!I:I,'All Products'!J$3)+0.03</f>
        <v>0.17</v>
      </c>
      <c r="K126" s="29">
        <f t="shared" si="15"/>
        <v>0.43312442678080104</v>
      </c>
      <c r="L126" s="49">
        <f>SUMIF(BOM!A:A,'All Products'!A126,BOM!S:S)</f>
        <v>36.388749999999995</v>
      </c>
      <c r="M126" s="49">
        <f>SUMIF(BOM!A:A,'All Products'!A126,BOM!V:V)</f>
        <v>0.29618749999999999</v>
      </c>
      <c r="N126" s="29">
        <f t="shared" si="16"/>
        <v>0.28038013986548455</v>
      </c>
      <c r="O126" s="55">
        <v>0</v>
      </c>
      <c r="P126" s="49">
        <f t="shared" si="17"/>
        <v>93.354937500000005</v>
      </c>
      <c r="Q126" s="11">
        <f t="shared" si="18"/>
        <v>37.485062499999998</v>
      </c>
      <c r="R126" s="29">
        <f t="shared" si="19"/>
        <v>0.28649543335371441</v>
      </c>
      <c r="S126" s="83"/>
      <c r="T126" s="83"/>
      <c r="U126" s="83"/>
      <c r="V126" s="83"/>
      <c r="W126" s="83"/>
      <c r="Y126" s="34">
        <f t="shared" si="20"/>
        <v>0.56817487007031486</v>
      </c>
      <c r="Z126" s="34"/>
      <c r="AE126" s="4"/>
    </row>
    <row r="127" spans="1:31" x14ac:dyDescent="0.25">
      <c r="A127" s="1" t="s">
        <v>493</v>
      </c>
      <c r="B127" s="1" t="s">
        <v>656</v>
      </c>
      <c r="C127" s="1" t="s">
        <v>494</v>
      </c>
      <c r="D127" s="1" t="s">
        <v>554</v>
      </c>
      <c r="E127" s="1">
        <f>VLOOKUP(A127,BOM!A:E,5,0)</f>
        <v>1</v>
      </c>
      <c r="F127" s="122">
        <v>6.97</v>
      </c>
      <c r="G127" s="10">
        <v>7.12</v>
      </c>
      <c r="H127" s="11" t="s">
        <v>1874</v>
      </c>
      <c r="I127" s="49">
        <f>SUMIFS(BOM!Q:Q,BOM!A:A,'All Products'!A127,BOM!I:I,'All Products'!I$3)</f>
        <v>1.7866666666666666</v>
      </c>
      <c r="J127" s="49">
        <f>SUMIFS(BOM!Q:Q,BOM!A:A,'All Products'!A127,BOM!I:I,'All Products'!J$3)+0.03</f>
        <v>0.17</v>
      </c>
      <c r="K127" s="29">
        <f t="shared" si="15"/>
        <v>0.27481273408239698</v>
      </c>
      <c r="L127" s="49">
        <f>SUMIF(BOM!A:A,'All Products'!A127,BOM!S:S)</f>
        <v>0.59801666666666664</v>
      </c>
      <c r="M127" s="49">
        <f>SUMIF(BOM!A:A,'All Products'!A127,BOM!V:V)</f>
        <v>0.21720416666666661</v>
      </c>
      <c r="N127" s="29">
        <f t="shared" si="16"/>
        <v>0.11449730805243445</v>
      </c>
      <c r="O127" s="55">
        <v>0</v>
      </c>
      <c r="P127" s="49">
        <f t="shared" si="17"/>
        <v>2.7718874999999996</v>
      </c>
      <c r="Q127" s="11">
        <f t="shared" si="18"/>
        <v>4.3481125000000009</v>
      </c>
      <c r="R127" s="29">
        <f t="shared" si="19"/>
        <v>0.61068995786516866</v>
      </c>
      <c r="S127" s="91">
        <v>0.4</v>
      </c>
      <c r="T127" s="91">
        <f>S127*G127</f>
        <v>2.8480000000000003</v>
      </c>
      <c r="U127" s="90">
        <f>IFERROR(S127*Q127,0)</f>
        <v>1.7392450000000004</v>
      </c>
      <c r="V127" s="90">
        <f>(G127-P127)*S127</f>
        <v>1.7392450000000004</v>
      </c>
      <c r="W127" s="90">
        <f>V127-U127</f>
        <v>0</v>
      </c>
      <c r="Y127" s="34">
        <f t="shared" si="20"/>
        <v>0.74906367041198507</v>
      </c>
      <c r="Z127" s="34"/>
      <c r="AA127" s="4"/>
      <c r="AB127" s="4"/>
      <c r="AE127" s="4"/>
    </row>
    <row r="128" spans="1:31" x14ac:dyDescent="0.25">
      <c r="A128" s="1" t="s">
        <v>687</v>
      </c>
      <c r="B128" s="1" t="s">
        <v>656</v>
      </c>
      <c r="C128" s="1" t="s">
        <v>688</v>
      </c>
      <c r="D128" s="1" t="s">
        <v>554</v>
      </c>
      <c r="E128" s="1">
        <f>VLOOKUP(A128,BOM!A:E,5,0)</f>
        <v>2.5</v>
      </c>
      <c r="F128" s="122">
        <v>17.52</v>
      </c>
      <c r="G128" s="10">
        <v>17.97</v>
      </c>
      <c r="H128" s="11" t="s">
        <v>1874</v>
      </c>
      <c r="I128" s="49">
        <f>SUMIFS(BOM!Q:Q,BOM!A:A,'All Products'!A128,BOM!I:I,'All Products'!I$3)</f>
        <v>4.4666666666666668</v>
      </c>
      <c r="J128" s="49">
        <f>SUMIFS(BOM!Q:Q,BOM!A:A,'All Products'!A128,BOM!I:I,'All Products'!J$3)+0.03</f>
        <v>0.17</v>
      </c>
      <c r="K128" s="29">
        <f t="shared" si="15"/>
        <v>0.25802263030977557</v>
      </c>
      <c r="L128" s="49">
        <f>SUMIF(BOM!A:A,'All Products'!A128,BOM!S:S)</f>
        <v>1.4950416666666666</v>
      </c>
      <c r="M128" s="49">
        <f>SUMIF(BOM!A:A,'All Products'!A128,BOM!V:V)</f>
        <v>0.29618749999999999</v>
      </c>
      <c r="N128" s="29">
        <f t="shared" si="16"/>
        <v>9.9678862919680949E-2</v>
      </c>
      <c r="O128" s="55">
        <v>0</v>
      </c>
      <c r="P128" s="49">
        <f t="shared" si="17"/>
        <v>6.4278958333333334</v>
      </c>
      <c r="Q128" s="11">
        <f t="shared" si="18"/>
        <v>11.542104166666665</v>
      </c>
      <c r="R128" s="29">
        <f t="shared" si="19"/>
        <v>0.64229850677054345</v>
      </c>
      <c r="S128" s="91">
        <v>0</v>
      </c>
      <c r="T128" s="91">
        <f>S128*G128</f>
        <v>0</v>
      </c>
      <c r="U128" s="90">
        <f>IFERROR(S128*Q128,0)</f>
        <v>0</v>
      </c>
      <c r="V128" s="90">
        <f>(G128-P128)*S128</f>
        <v>0</v>
      </c>
      <c r="W128" s="90">
        <f>V128-U128</f>
        <v>0</v>
      </c>
      <c r="Y128" s="34">
        <f t="shared" si="20"/>
        <v>0.75143758115377479</v>
      </c>
      <c r="Z128" s="34"/>
      <c r="AA128" s="4"/>
      <c r="AB128" s="4"/>
      <c r="AE128" s="4"/>
    </row>
    <row r="129" spans="1:31" x14ac:dyDescent="0.25">
      <c r="A129" s="1" t="s">
        <v>689</v>
      </c>
      <c r="B129" s="1" t="s">
        <v>656</v>
      </c>
      <c r="C129" s="1" t="s">
        <v>690</v>
      </c>
      <c r="D129" s="1" t="s">
        <v>554</v>
      </c>
      <c r="E129" s="1">
        <f>VLOOKUP(A129,BOM!A:E,5,0)</f>
        <v>1</v>
      </c>
      <c r="F129" s="122">
        <v>3.69</v>
      </c>
      <c r="G129" s="10">
        <v>3.77</v>
      </c>
      <c r="H129" s="11" t="s">
        <v>1874</v>
      </c>
      <c r="I129" s="49">
        <f>SUMIFS(BOM!Q:Q,BOM!A:A,'All Products'!A129,BOM!I:I,'All Products'!I$3)</f>
        <v>1.7866666666666666</v>
      </c>
      <c r="J129" s="49">
        <f>SUMIFS(BOM!Q:Q,BOM!A:A,'All Products'!A129,BOM!I:I,'All Products'!J$3)+0.03</f>
        <v>0.17</v>
      </c>
      <c r="K129" s="29">
        <f t="shared" si="15"/>
        <v>0.51900972590627759</v>
      </c>
      <c r="L129" s="49">
        <f>SUMIF(BOM!A:A,'All Products'!A129,BOM!S:S)</f>
        <v>0.78607222222222217</v>
      </c>
      <c r="M129" s="49">
        <f>SUMIF(BOM!A:A,'All Products'!A129,BOM!V:V)</f>
        <v>0.21720416666666661</v>
      </c>
      <c r="N129" s="29">
        <f t="shared" si="16"/>
        <v>0.26612105806071318</v>
      </c>
      <c r="O129" s="55">
        <v>0</v>
      </c>
      <c r="P129" s="49">
        <f t="shared" si="17"/>
        <v>2.9599430555555553</v>
      </c>
      <c r="Q129" s="11">
        <f t="shared" si="18"/>
        <v>0.81005694444444476</v>
      </c>
      <c r="R129" s="29">
        <f t="shared" si="19"/>
        <v>0.21486921603300921</v>
      </c>
      <c r="S129" s="91">
        <v>1</v>
      </c>
      <c r="T129" s="91">
        <f>S129*G129</f>
        <v>3.77</v>
      </c>
      <c r="U129" s="90">
        <f>IFERROR(S129*Q129,0)</f>
        <v>0.81005694444444476</v>
      </c>
      <c r="V129" s="90">
        <f>(G129-P129)*S129</f>
        <v>0.81005694444444476</v>
      </c>
      <c r="W129" s="90">
        <f>V129-U129</f>
        <v>0</v>
      </c>
      <c r="Y129" s="34">
        <f t="shared" si="20"/>
        <v>0.52608311229000881</v>
      </c>
      <c r="Z129" s="34"/>
      <c r="AA129" s="4"/>
      <c r="AB129" s="4"/>
      <c r="AE129" s="4"/>
    </row>
    <row r="130" spans="1:31" x14ac:dyDescent="0.25">
      <c r="A130" s="1" t="s">
        <v>381</v>
      </c>
      <c r="B130" s="1" t="s">
        <v>656</v>
      </c>
      <c r="C130" s="1" t="s">
        <v>382</v>
      </c>
      <c r="D130" s="1" t="s">
        <v>554</v>
      </c>
      <c r="E130" s="1">
        <f>VLOOKUP(A130,BOM!A:E,5,0)</f>
        <v>2.5</v>
      </c>
      <c r="F130" s="122">
        <v>9.2100000000000009</v>
      </c>
      <c r="G130" s="10">
        <v>9.39</v>
      </c>
      <c r="H130" s="11" t="s">
        <v>1874</v>
      </c>
      <c r="I130" s="49">
        <f>SUMIFS(BOM!Q:Q,BOM!A:A,'All Products'!A130,BOM!I:I,'All Products'!I$3)</f>
        <v>4.4666666666666668</v>
      </c>
      <c r="J130" s="49">
        <f>SUMIFS(BOM!Q:Q,BOM!A:A,'All Products'!A130,BOM!I:I,'All Products'!J$3)+0.03</f>
        <v>0.17</v>
      </c>
      <c r="K130" s="29">
        <f t="shared" si="15"/>
        <v>0.49378771742988992</v>
      </c>
      <c r="L130" s="49">
        <f>SUMIF(BOM!A:A,'All Products'!A130,BOM!S:S)</f>
        <v>1.9651805555555557</v>
      </c>
      <c r="M130" s="49">
        <f>SUMIF(BOM!A:A,'All Products'!A130,BOM!V:V)</f>
        <v>0.29618749999999999</v>
      </c>
      <c r="N130" s="29">
        <f t="shared" si="16"/>
        <v>0.24082726896225298</v>
      </c>
      <c r="O130" s="55">
        <v>0</v>
      </c>
      <c r="P130" s="49">
        <f t="shared" si="17"/>
        <v>6.8980347222222225</v>
      </c>
      <c r="Q130" s="11">
        <f t="shared" si="18"/>
        <v>2.4919652777777781</v>
      </c>
      <c r="R130" s="29">
        <f t="shared" si="19"/>
        <v>0.2653850136078571</v>
      </c>
      <c r="S130" s="91">
        <v>21.4</v>
      </c>
      <c r="T130" s="91">
        <f>S130*G130</f>
        <v>200.946</v>
      </c>
      <c r="U130" s="90">
        <f>IFERROR(S130*Q130,0)</f>
        <v>53.328056944444448</v>
      </c>
      <c r="V130" s="90">
        <f>(G130-P130)*S130</f>
        <v>53.328056944444448</v>
      </c>
      <c r="W130" s="90">
        <f>V130-U130</f>
        <v>0</v>
      </c>
      <c r="Y130" s="34">
        <f t="shared" si="20"/>
        <v>0.52431664891728791</v>
      </c>
      <c r="Z130" s="34"/>
      <c r="AA130" s="4"/>
      <c r="AB130" s="4"/>
      <c r="AE130" s="4"/>
    </row>
    <row r="131" spans="1:31" x14ac:dyDescent="0.25">
      <c r="A131" s="1" t="s">
        <v>691</v>
      </c>
      <c r="B131" s="1" t="s">
        <v>656</v>
      </c>
      <c r="C131" s="1" t="s">
        <v>692</v>
      </c>
      <c r="D131" s="1" t="s">
        <v>554</v>
      </c>
      <c r="E131" s="1">
        <f>VLOOKUP(A131,BOM!A:E,5,0)</f>
        <v>1</v>
      </c>
      <c r="F131" s="122">
        <v>6.19</v>
      </c>
      <c r="G131" s="10">
        <v>6.31</v>
      </c>
      <c r="H131" s="11" t="s">
        <v>1873</v>
      </c>
      <c r="I131" s="49">
        <f>SUMIFS(BOM!Q:Q,BOM!A:A,'All Products'!A131,BOM!I:I,'All Products'!I$3)</f>
        <v>0</v>
      </c>
      <c r="J131" s="49">
        <f>SUMIFS(BOM!Q:Q,BOM!A:A,'All Products'!A131,BOM!I:I,'All Products'!J$3)+0.03</f>
        <v>0.17</v>
      </c>
      <c r="K131" s="29">
        <f t="shared" si="15"/>
        <v>2.6941362916006344E-2</v>
      </c>
      <c r="L131" s="49">
        <f>SUMIF(BOM!A:A,'All Products'!A131,BOM!S:S)</f>
        <v>3.3849999999999998E-2</v>
      </c>
      <c r="M131" s="49">
        <f>SUMIF(BOM!A:A,'All Products'!A131,BOM!V:V)</f>
        <v>0.21720416666666661</v>
      </c>
      <c r="N131" s="29">
        <f t="shared" si="16"/>
        <v>3.9786714210248278E-2</v>
      </c>
      <c r="O131" s="55">
        <v>0</v>
      </c>
      <c r="P131" s="49">
        <f t="shared" si="17"/>
        <v>0.42105416666666662</v>
      </c>
      <c r="Q131" s="11">
        <f t="shared" si="18"/>
        <v>5.8889458333333327</v>
      </c>
      <c r="R131" s="29">
        <f t="shared" si="19"/>
        <v>0.93327192287374527</v>
      </c>
      <c r="S131" s="83"/>
      <c r="T131" s="83"/>
      <c r="U131" s="83"/>
      <c r="V131" s="83"/>
      <c r="W131" s="83"/>
      <c r="Y131" s="34">
        <f t="shared" si="20"/>
        <v>1</v>
      </c>
      <c r="Z131" s="34"/>
      <c r="AD131" t="e">
        <f>_xlfn.XLOOKUP(A131,AF:AF,AF:AF)</f>
        <v>#N/A</v>
      </c>
      <c r="AE131" s="4"/>
    </row>
    <row r="132" spans="1:31" x14ac:dyDescent="0.25">
      <c r="A132" s="1" t="s">
        <v>693</v>
      </c>
      <c r="B132" s="1" t="s">
        <v>656</v>
      </c>
      <c r="C132" s="1" t="s">
        <v>694</v>
      </c>
      <c r="D132" s="1" t="s">
        <v>554</v>
      </c>
      <c r="E132" s="1">
        <f>VLOOKUP(A132,BOM!A:E,5,0)</f>
        <v>2.5</v>
      </c>
      <c r="F132" s="122">
        <v>15.48</v>
      </c>
      <c r="G132" s="10">
        <v>15.79</v>
      </c>
      <c r="H132" s="11" t="s">
        <v>1873</v>
      </c>
      <c r="I132" s="49">
        <f>SUMIFS(BOM!Q:Q,BOM!A:A,'All Products'!A132,BOM!I:I,'All Products'!I$3)</f>
        <v>0</v>
      </c>
      <c r="J132" s="49">
        <f>SUMIFS(BOM!Q:Q,BOM!A:A,'All Products'!A132,BOM!I:I,'All Products'!J$3)+0.03</f>
        <v>0.17</v>
      </c>
      <c r="K132" s="29">
        <f t="shared" ref="K132:K195" si="33">(I132+J132)/G132</f>
        <v>1.0766307789740344E-2</v>
      </c>
      <c r="L132" s="49">
        <f>SUMIF(BOM!A:A,'All Products'!A132,BOM!S:S)</f>
        <v>8.4624999999999992E-2</v>
      </c>
      <c r="M132" s="49">
        <f>SUMIF(BOM!A:A,'All Products'!A132,BOM!V:V)</f>
        <v>0.29618749999999999</v>
      </c>
      <c r="N132" s="29">
        <f t="shared" ref="N132:N195" si="34">(L132+M132)/G132</f>
        <v>2.4117321089297025E-2</v>
      </c>
      <c r="O132" s="55">
        <v>0</v>
      </c>
      <c r="P132" s="49">
        <f t="shared" ref="P132:P195" si="35">I132+J132+M132+L132+O132</f>
        <v>0.55081249999999993</v>
      </c>
      <c r="Q132" s="11">
        <f t="shared" ref="Q132:Q195" si="36">G132-P132</f>
        <v>15.2391875</v>
      </c>
      <c r="R132" s="29">
        <f t="shared" ref="R132:R195" si="37">IFERROR((G132-P132)/G132,0)</f>
        <v>0.96511637112096271</v>
      </c>
      <c r="S132" s="83"/>
      <c r="T132" s="83"/>
      <c r="U132" s="83"/>
      <c r="V132" s="83"/>
      <c r="W132" s="83"/>
      <c r="Y132" s="34">
        <f t="shared" ref="Y132:Y195" si="38">(G132-I132)/G132</f>
        <v>1</v>
      </c>
      <c r="Z132" s="34"/>
      <c r="AD132" t="e">
        <f>_xlfn.XLOOKUP(A132,AF:AF,AF:AF)</f>
        <v>#N/A</v>
      </c>
      <c r="AE132" s="4"/>
    </row>
    <row r="133" spans="1:31" x14ac:dyDescent="0.25">
      <c r="A133" s="1" t="s">
        <v>363</v>
      </c>
      <c r="B133" s="1" t="s">
        <v>656</v>
      </c>
      <c r="C133" s="1" t="s">
        <v>364</v>
      </c>
      <c r="D133" s="1" t="s">
        <v>554</v>
      </c>
      <c r="E133" s="1">
        <f>VLOOKUP(A133,BOM!A:E,5,0)</f>
        <v>1</v>
      </c>
      <c r="F133" s="122">
        <v>5.46</v>
      </c>
      <c r="G133" s="10">
        <v>5.55</v>
      </c>
      <c r="H133" s="11" t="s">
        <v>1874</v>
      </c>
      <c r="I133" s="49">
        <f>SUMIFS(BOM!Q:Q,BOM!A:A,'All Products'!A133,BOM!I:I,'All Products'!I$3)</f>
        <v>1.7586206896551726</v>
      </c>
      <c r="J133" s="49">
        <f>SUMIFS(BOM!Q:Q,BOM!A:A,'All Products'!A133,BOM!I:I,'All Products'!J$3)+0.03</f>
        <v>0.17</v>
      </c>
      <c r="K133" s="29">
        <f t="shared" si="33"/>
        <v>0.34749922336129235</v>
      </c>
      <c r="L133" s="49">
        <f>SUMIF(BOM!A:A,'All Products'!A133,BOM!S:S)</f>
        <v>0.91394999999999993</v>
      </c>
      <c r="M133" s="49">
        <f>SUMIF(BOM!A:A,'All Products'!A133,BOM!V:V)</f>
        <v>0.21720416666666661</v>
      </c>
      <c r="N133" s="29">
        <f t="shared" si="34"/>
        <v>0.20381156156156152</v>
      </c>
      <c r="O133" s="55">
        <v>0</v>
      </c>
      <c r="P133" s="49">
        <f t="shared" si="35"/>
        <v>3.0597748563218388</v>
      </c>
      <c r="Q133" s="11">
        <f t="shared" si="36"/>
        <v>2.4902251436781611</v>
      </c>
      <c r="R133" s="29">
        <f t="shared" si="37"/>
        <v>0.44868921507714615</v>
      </c>
      <c r="S133" s="91">
        <v>102.4</v>
      </c>
      <c r="T133" s="91">
        <f>S133*G133</f>
        <v>568.32000000000005</v>
      </c>
      <c r="U133" s="90">
        <f>IFERROR(S133*Q133,0)</f>
        <v>254.9990547126437</v>
      </c>
      <c r="V133" s="90">
        <f>(G133-P133)*S133</f>
        <v>254.9990547126437</v>
      </c>
      <c r="W133" s="90">
        <f>V133-U133</f>
        <v>0</v>
      </c>
      <c r="Y133" s="34">
        <f t="shared" si="38"/>
        <v>0.6831314072693383</v>
      </c>
      <c r="Z133" s="34"/>
      <c r="AA133" s="4"/>
      <c r="AB133" s="4"/>
      <c r="AE133" s="4"/>
    </row>
    <row r="134" spans="1:31" x14ac:dyDescent="0.25">
      <c r="A134" s="1" t="s">
        <v>361</v>
      </c>
      <c r="B134" s="1" t="s">
        <v>656</v>
      </c>
      <c r="C134" s="1" t="s">
        <v>362</v>
      </c>
      <c r="D134" s="1" t="s">
        <v>554</v>
      </c>
      <c r="E134" s="1">
        <f>VLOOKUP(A134,BOM!A:E,5,0)</f>
        <v>2.5</v>
      </c>
      <c r="F134" s="122">
        <v>13.65</v>
      </c>
      <c r="G134" s="10">
        <v>13.86</v>
      </c>
      <c r="H134" s="11" t="s">
        <v>1874</v>
      </c>
      <c r="I134" s="49">
        <f>SUMIFS(BOM!Q:Q,BOM!A:A,'All Products'!A134,BOM!I:I,'All Products'!I$3)</f>
        <v>4.3965517241379315</v>
      </c>
      <c r="J134" s="49">
        <f>SUMIFS(BOM!Q:Q,BOM!A:A,'All Products'!A134,BOM!I:I,'All Products'!J$3)+0.03</f>
        <v>0.17</v>
      </c>
      <c r="K134" s="29">
        <f t="shared" si="33"/>
        <v>0.32947703637358816</v>
      </c>
      <c r="L134" s="49">
        <f>SUMIF(BOM!A:A,'All Products'!A134,BOM!S:S)</f>
        <v>2.284875</v>
      </c>
      <c r="M134" s="49">
        <f>SUMIF(BOM!A:A,'All Products'!A134,BOM!V:V)</f>
        <v>0.29618749999999999</v>
      </c>
      <c r="N134" s="29">
        <f t="shared" si="34"/>
        <v>0.18622384559884558</v>
      </c>
      <c r="O134" s="55">
        <v>0</v>
      </c>
      <c r="P134" s="49">
        <f t="shared" si="35"/>
        <v>7.1476142241379321</v>
      </c>
      <c r="Q134" s="11">
        <f t="shared" si="36"/>
        <v>6.7123857758620673</v>
      </c>
      <c r="R134" s="29">
        <f t="shared" si="37"/>
        <v>0.4842991180275662</v>
      </c>
      <c r="S134" s="91">
        <v>333.8</v>
      </c>
      <c r="T134" s="91">
        <f>S134*G134</f>
        <v>4626.4679999999998</v>
      </c>
      <c r="U134" s="90">
        <f>IFERROR(S134*Q134,0)</f>
        <v>2240.5943719827583</v>
      </c>
      <c r="V134" s="90">
        <f>(G134-P134)*S134</f>
        <v>2240.5943719827583</v>
      </c>
      <c r="W134" s="90">
        <f>V134-U134</f>
        <v>0</v>
      </c>
      <c r="Y134" s="34">
        <f t="shared" si="38"/>
        <v>0.68278847589192404</v>
      </c>
      <c r="Z134" s="34"/>
      <c r="AA134" s="4"/>
      <c r="AB134" s="4"/>
      <c r="AE134" s="4"/>
    </row>
    <row r="135" spans="1:31" x14ac:dyDescent="0.25">
      <c r="A135" s="1" t="s">
        <v>695</v>
      </c>
      <c r="B135" s="1" t="s">
        <v>656</v>
      </c>
      <c r="C135" s="1" t="s">
        <v>696</v>
      </c>
      <c r="D135" s="1" t="s">
        <v>554</v>
      </c>
      <c r="E135" s="1">
        <f>VLOOKUP(A135,BOM!A:E,5,0)</f>
        <v>1</v>
      </c>
      <c r="F135" s="122">
        <v>4.74</v>
      </c>
      <c r="G135" s="10">
        <v>4.7699999999999996</v>
      </c>
      <c r="H135" s="11" t="s">
        <v>1874</v>
      </c>
      <c r="I135" s="49">
        <f>SUMIFS(BOM!Q:Q,BOM!A:A,'All Products'!A135,BOM!I:I,'All Products'!I$3)</f>
        <v>0</v>
      </c>
      <c r="J135" s="49">
        <f>SUMIFS(BOM!Q:Q,BOM!A:A,'All Products'!A135,BOM!I:I,'All Products'!J$3)+0.03</f>
        <v>0.17</v>
      </c>
      <c r="K135" s="29">
        <f t="shared" si="33"/>
        <v>3.5639412997903568E-2</v>
      </c>
      <c r="L135" s="49">
        <f>SUMIF(BOM!A:A,'All Products'!A135,BOM!S:S)</f>
        <v>0.14555499999999999</v>
      </c>
      <c r="M135" s="49">
        <f>SUMIF(BOM!A:A,'All Products'!A135,BOM!V:V)</f>
        <v>0.21720416666666661</v>
      </c>
      <c r="N135" s="29">
        <f t="shared" si="34"/>
        <v>7.6050139762403907E-2</v>
      </c>
      <c r="O135" s="55">
        <v>0</v>
      </c>
      <c r="P135" s="49">
        <f t="shared" si="35"/>
        <v>0.53275916666666667</v>
      </c>
      <c r="Q135" s="11">
        <f t="shared" si="36"/>
        <v>4.2372408333333329</v>
      </c>
      <c r="R135" s="29">
        <f t="shared" si="37"/>
        <v>0.88831044723969255</v>
      </c>
      <c r="S135" s="83"/>
      <c r="T135" s="83"/>
      <c r="U135" s="83"/>
      <c r="V135" s="83"/>
      <c r="W135" s="83"/>
      <c r="Y135" s="34">
        <f t="shared" si="38"/>
        <v>1</v>
      </c>
      <c r="Z135" s="34"/>
      <c r="AE135" s="4"/>
    </row>
    <row r="136" spans="1:31" x14ac:dyDescent="0.25">
      <c r="A136" s="1" t="s">
        <v>697</v>
      </c>
      <c r="B136" s="1" t="s">
        <v>656</v>
      </c>
      <c r="C136" s="1" t="s">
        <v>698</v>
      </c>
      <c r="D136" s="1" t="s">
        <v>554</v>
      </c>
      <c r="E136" s="1">
        <f>VLOOKUP(A136,BOM!A:E,5,0)</f>
        <v>2.5</v>
      </c>
      <c r="F136" s="122">
        <v>11.83</v>
      </c>
      <c r="G136" s="10">
        <v>11.89</v>
      </c>
      <c r="H136" s="11" t="s">
        <v>1874</v>
      </c>
      <c r="I136" s="49">
        <f>SUMIFS(BOM!Q:Q,BOM!A:A,'All Products'!A136,BOM!I:I,'All Products'!I$3)</f>
        <v>0</v>
      </c>
      <c r="J136" s="49">
        <f>SUMIFS(BOM!Q:Q,BOM!A:A,'All Products'!A136,BOM!I:I,'All Products'!J$3)+0.03</f>
        <v>0.17</v>
      </c>
      <c r="K136" s="29">
        <f t="shared" si="33"/>
        <v>1.4297729184188394E-2</v>
      </c>
      <c r="L136" s="49">
        <f>SUMIF(BOM!A:A,'All Products'!A136,BOM!S:S)</f>
        <v>0.36388749999999997</v>
      </c>
      <c r="M136" s="49">
        <f>SUMIF(BOM!A:A,'All Products'!A136,BOM!V:V)</f>
        <v>0.29618749999999999</v>
      </c>
      <c r="N136" s="29">
        <f t="shared" si="34"/>
        <v>5.5515138772077373E-2</v>
      </c>
      <c r="O136" s="55">
        <v>0</v>
      </c>
      <c r="P136" s="49">
        <f t="shared" si="35"/>
        <v>0.8300749999999999</v>
      </c>
      <c r="Q136" s="11">
        <f t="shared" si="36"/>
        <v>11.059925</v>
      </c>
      <c r="R136" s="29">
        <f t="shared" si="37"/>
        <v>0.93018713204373416</v>
      </c>
      <c r="S136" s="83"/>
      <c r="T136" s="83"/>
      <c r="U136" s="83"/>
      <c r="V136" s="83"/>
      <c r="W136" s="83"/>
      <c r="Y136" s="34">
        <f t="shared" si="38"/>
        <v>1</v>
      </c>
      <c r="Z136" s="34"/>
      <c r="AE136" s="4"/>
    </row>
    <row r="137" spans="1:31" x14ac:dyDescent="0.25">
      <c r="A137" s="1" t="s">
        <v>359</v>
      </c>
      <c r="B137" s="1" t="s">
        <v>656</v>
      </c>
      <c r="C137" s="1" t="s">
        <v>360</v>
      </c>
      <c r="D137" s="1" t="s">
        <v>554</v>
      </c>
      <c r="E137" s="1">
        <f>VLOOKUP(A137,BOM!A:E,5,0)</f>
        <v>1</v>
      </c>
      <c r="F137" s="122">
        <v>4.13</v>
      </c>
      <c r="G137" s="10">
        <v>4.1100000000000003</v>
      </c>
      <c r="H137" s="11" t="s">
        <v>1874</v>
      </c>
      <c r="I137" s="49">
        <f>SUMIFS(BOM!Q:Q,BOM!A:A,'All Products'!A137,BOM!I:I,'All Products'!I$3)</f>
        <v>1.0348258698210104</v>
      </c>
      <c r="J137" s="49">
        <f>SUMIFS(BOM!Q:Q,BOM!A:A,'All Products'!A137,BOM!I:I,'All Products'!J$3)+0.03</f>
        <v>0.17</v>
      </c>
      <c r="K137" s="29">
        <f t="shared" si="33"/>
        <v>0.29314498049172999</v>
      </c>
      <c r="L137" s="49">
        <f>SUMIF(BOM!A:A,'All Products'!A137,BOM!S:S)</f>
        <v>0.76637596453848544</v>
      </c>
      <c r="M137" s="49">
        <f>SUMIF(BOM!A:A,'All Products'!A137,BOM!V:V)</f>
        <v>0.21720416666666661</v>
      </c>
      <c r="N137" s="29">
        <f t="shared" si="34"/>
        <v>0.23931390053653334</v>
      </c>
      <c r="O137" s="55">
        <v>0</v>
      </c>
      <c r="P137" s="49">
        <f t="shared" si="35"/>
        <v>2.1884060010261623</v>
      </c>
      <c r="Q137" s="11">
        <f t="shared" si="36"/>
        <v>1.921593998973838</v>
      </c>
      <c r="R137" s="29">
        <f t="shared" si="37"/>
        <v>0.46754111897173672</v>
      </c>
      <c r="S137" s="91">
        <v>12.8</v>
      </c>
      <c r="T137" s="91">
        <f t="shared" ref="T137:T183" si="39">S137*G137</f>
        <v>52.608000000000004</v>
      </c>
      <c r="U137" s="90">
        <f t="shared" ref="U137:U183" si="40">IFERROR(S137*Q137,0)</f>
        <v>24.596403186865128</v>
      </c>
      <c r="V137" s="90">
        <f t="shared" ref="V137:V183" si="41">(G137-P137)*S137</f>
        <v>24.596403186865128</v>
      </c>
      <c r="W137" s="90">
        <f t="shared" ref="W137:W183" si="42">V137-U137</f>
        <v>0</v>
      </c>
      <c r="Y137" s="34">
        <f t="shared" si="38"/>
        <v>0.74821754992189526</v>
      </c>
      <c r="Z137" s="34"/>
      <c r="AA137" s="4"/>
      <c r="AB137" s="4"/>
      <c r="AE137" s="4"/>
    </row>
    <row r="138" spans="1:31" x14ac:dyDescent="0.25">
      <c r="A138" s="1" t="s">
        <v>357</v>
      </c>
      <c r="B138" s="1" t="s">
        <v>656</v>
      </c>
      <c r="C138" s="1" t="s">
        <v>358</v>
      </c>
      <c r="D138" s="1" t="s">
        <v>554</v>
      </c>
      <c r="E138" s="1">
        <f>VLOOKUP(A138,BOM!A:E,5,0)</f>
        <v>2.5</v>
      </c>
      <c r="F138" s="122">
        <v>10.32</v>
      </c>
      <c r="G138" s="10">
        <v>10.26</v>
      </c>
      <c r="H138" s="11" t="s">
        <v>1874</v>
      </c>
      <c r="I138" s="49">
        <f>SUMIFS(BOM!Q:Q,BOM!A:A,'All Products'!A138,BOM!I:I,'All Products'!I$3)</f>
        <v>2.5870646745525261</v>
      </c>
      <c r="J138" s="49">
        <f>SUMIFS(BOM!Q:Q,BOM!A:A,'All Products'!A138,BOM!I:I,'All Products'!J$3)+0.03</f>
        <v>0.17</v>
      </c>
      <c r="K138" s="29">
        <f t="shared" si="33"/>
        <v>0.26871975385502206</v>
      </c>
      <c r="L138" s="49">
        <f>SUMIF(BOM!A:A,'All Products'!A138,BOM!S:S)</f>
        <v>1.9159399113462134</v>
      </c>
      <c r="M138" s="49">
        <f>SUMIF(BOM!A:A,'All Products'!A138,BOM!V:V)</f>
        <v>0.29618749999999999</v>
      </c>
      <c r="N138" s="29">
        <f t="shared" si="34"/>
        <v>0.21560696017019623</v>
      </c>
      <c r="O138" s="55">
        <v>0</v>
      </c>
      <c r="P138" s="49">
        <f t="shared" si="35"/>
        <v>4.9691920858987393</v>
      </c>
      <c r="Q138" s="11">
        <f t="shared" si="36"/>
        <v>5.2908079141012605</v>
      </c>
      <c r="R138" s="29">
        <f t="shared" si="37"/>
        <v>0.51567328597478168</v>
      </c>
      <c r="S138" s="91">
        <v>52.2</v>
      </c>
      <c r="T138" s="91">
        <f t="shared" si="39"/>
        <v>535.572</v>
      </c>
      <c r="U138" s="90">
        <f t="shared" si="40"/>
        <v>276.18017311608583</v>
      </c>
      <c r="V138" s="90">
        <f t="shared" si="41"/>
        <v>276.18017311608583</v>
      </c>
      <c r="W138" s="90">
        <f t="shared" si="42"/>
        <v>0</v>
      </c>
      <c r="Y138" s="34">
        <f t="shared" si="38"/>
        <v>0.74784944692470512</v>
      </c>
      <c r="Z138" s="34"/>
      <c r="AA138" s="4"/>
      <c r="AB138" s="4"/>
      <c r="AE138" s="4"/>
    </row>
    <row r="139" spans="1:31" x14ac:dyDescent="0.25">
      <c r="A139" s="1" t="s">
        <v>699</v>
      </c>
      <c r="B139" s="1" t="s">
        <v>656</v>
      </c>
      <c r="C139" s="1" t="s">
        <v>700</v>
      </c>
      <c r="D139" s="1" t="s">
        <v>554</v>
      </c>
      <c r="E139" s="1">
        <f>VLOOKUP(A139,BOM!A:E,5,0)</f>
        <v>1</v>
      </c>
      <c r="F139" s="122">
        <v>4.6399999999999997</v>
      </c>
      <c r="G139" s="10">
        <v>4.63</v>
      </c>
      <c r="H139" s="11" t="s">
        <v>1874</v>
      </c>
      <c r="I139" s="49">
        <f>SUMIFS(BOM!Q:Q,BOM!A:A,'All Products'!A139,BOM!I:I,'All Products'!I$3)</f>
        <v>0.90277777777777779</v>
      </c>
      <c r="J139" s="49">
        <f>SUMIFS(BOM!Q:Q,BOM!A:A,'All Products'!A139,BOM!I:I,'All Products'!J$3)+0.03</f>
        <v>0.17</v>
      </c>
      <c r="K139" s="29">
        <f t="shared" si="33"/>
        <v>0.2317014638828894</v>
      </c>
      <c r="L139" s="49">
        <f>SUMIF(BOM!A:A,'All Products'!A139,BOM!S:S)</f>
        <v>0.98841999999999985</v>
      </c>
      <c r="M139" s="49">
        <f>SUMIF(BOM!A:A,'All Products'!A139,BOM!V:V)</f>
        <v>0.21720416666666661</v>
      </c>
      <c r="N139" s="29">
        <f t="shared" si="34"/>
        <v>0.26039398848092149</v>
      </c>
      <c r="O139" s="55">
        <v>0</v>
      </c>
      <c r="P139" s="49">
        <f t="shared" si="35"/>
        <v>2.2784019444444441</v>
      </c>
      <c r="Q139" s="11">
        <f t="shared" si="36"/>
        <v>2.3515980555555558</v>
      </c>
      <c r="R139" s="29">
        <f t="shared" si="37"/>
        <v>0.5079045476361892</v>
      </c>
      <c r="S139" s="91">
        <v>3.6</v>
      </c>
      <c r="T139" s="91">
        <f t="shared" si="39"/>
        <v>16.667999999999999</v>
      </c>
      <c r="U139" s="90">
        <f t="shared" si="40"/>
        <v>8.4657530000000012</v>
      </c>
      <c r="V139" s="90">
        <f t="shared" si="41"/>
        <v>8.4657530000000012</v>
      </c>
      <c r="W139" s="90">
        <f t="shared" si="42"/>
        <v>0</v>
      </c>
      <c r="Y139" s="34">
        <f t="shared" si="38"/>
        <v>0.80501559875209983</v>
      </c>
      <c r="Z139" s="34"/>
      <c r="AA139" s="4"/>
      <c r="AB139" s="4"/>
      <c r="AE139" s="4"/>
    </row>
    <row r="140" spans="1:31" x14ac:dyDescent="0.25">
      <c r="A140" s="1" t="s">
        <v>355</v>
      </c>
      <c r="B140" s="1" t="s">
        <v>656</v>
      </c>
      <c r="C140" s="1" t="s">
        <v>356</v>
      </c>
      <c r="D140" s="1" t="s">
        <v>554</v>
      </c>
      <c r="E140" s="1">
        <f>VLOOKUP(A140,BOM!A:E,5,0)</f>
        <v>2.5</v>
      </c>
      <c r="F140" s="122">
        <v>11.59</v>
      </c>
      <c r="G140" s="10">
        <v>11.53</v>
      </c>
      <c r="H140" s="11" t="s">
        <v>1874</v>
      </c>
      <c r="I140" s="49">
        <f>SUMIFS(BOM!Q:Q,BOM!A:A,'All Products'!A140,BOM!I:I,'All Products'!I$3)</f>
        <v>2.2569444444444446</v>
      </c>
      <c r="J140" s="49">
        <f>SUMIFS(BOM!Q:Q,BOM!A:A,'All Products'!A140,BOM!I:I,'All Products'!J$3)+0.03</f>
        <v>0.17</v>
      </c>
      <c r="K140" s="29">
        <f t="shared" si="33"/>
        <v>0.21048954418425367</v>
      </c>
      <c r="L140" s="49">
        <f>SUMIF(BOM!A:A,'All Products'!A140,BOM!S:S)</f>
        <v>2.4710499999999995</v>
      </c>
      <c r="M140" s="49">
        <f>SUMIF(BOM!A:A,'All Products'!A140,BOM!V:V)</f>
        <v>0.29618749999999999</v>
      </c>
      <c r="N140" s="29">
        <f t="shared" si="34"/>
        <v>0.24000325238508236</v>
      </c>
      <c r="O140" s="55">
        <v>0</v>
      </c>
      <c r="P140" s="49">
        <f t="shared" si="35"/>
        <v>5.1941819444444439</v>
      </c>
      <c r="Q140" s="11">
        <f t="shared" si="36"/>
        <v>6.3358180555555554</v>
      </c>
      <c r="R140" s="29">
        <f t="shared" si="37"/>
        <v>0.54950720343066395</v>
      </c>
      <c r="S140" s="91">
        <v>156.80000000000001</v>
      </c>
      <c r="T140" s="91">
        <f t="shared" si="39"/>
        <v>1807.904</v>
      </c>
      <c r="U140" s="90">
        <f t="shared" si="40"/>
        <v>993.45627111111116</v>
      </c>
      <c r="V140" s="90">
        <f t="shared" si="41"/>
        <v>993.45627111111116</v>
      </c>
      <c r="W140" s="90">
        <f t="shared" si="42"/>
        <v>0</v>
      </c>
      <c r="Y140" s="34">
        <f t="shared" si="38"/>
        <v>0.80425460152259798</v>
      </c>
      <c r="Z140" s="34"/>
      <c r="AA140" s="4"/>
      <c r="AB140" s="4"/>
      <c r="AE140" s="4"/>
    </row>
    <row r="141" spans="1:31" x14ac:dyDescent="0.25">
      <c r="A141" s="1" t="s">
        <v>491</v>
      </c>
      <c r="B141" s="1" t="s">
        <v>656</v>
      </c>
      <c r="C141" s="1" t="s">
        <v>492</v>
      </c>
      <c r="D141" s="1" t="s">
        <v>554</v>
      </c>
      <c r="E141" s="1">
        <f>VLOOKUP(A141,BOM!A:E,5,0)</f>
        <v>1</v>
      </c>
      <c r="F141" s="122">
        <v>3.04</v>
      </c>
      <c r="G141" s="10">
        <v>2.98</v>
      </c>
      <c r="H141" s="11" t="s">
        <v>1874</v>
      </c>
      <c r="I141" s="49">
        <f>SUMIFS(BOM!Q:Q,BOM!A:A,'All Products'!A141,BOM!I:I,'All Products'!I$3)</f>
        <v>0.88932007697241822</v>
      </c>
      <c r="J141" s="49">
        <f>SUMIFS(BOM!Q:Q,BOM!A:A,'All Products'!A141,BOM!I:I,'All Products'!J$3)+0.03</f>
        <v>0.17</v>
      </c>
      <c r="K141" s="29">
        <f t="shared" si="33"/>
        <v>0.35547653589678463</v>
      </c>
      <c r="L141" s="49">
        <f>SUMIF(BOM!A:A,'All Products'!A141,BOM!S:S)</f>
        <v>0.56090977122086805</v>
      </c>
      <c r="M141" s="49">
        <f>SUMIF(BOM!A:A,'All Products'!A141,BOM!V:V)</f>
        <v>0.21720416666666661</v>
      </c>
      <c r="N141" s="29">
        <f t="shared" si="34"/>
        <v>0.26111205969380358</v>
      </c>
      <c r="O141" s="55">
        <v>0</v>
      </c>
      <c r="P141" s="49">
        <f t="shared" si="35"/>
        <v>1.8374340148599528</v>
      </c>
      <c r="Q141" s="11">
        <f t="shared" si="36"/>
        <v>1.1425659851400471</v>
      </c>
      <c r="R141" s="29">
        <f t="shared" si="37"/>
        <v>0.38341140440941179</v>
      </c>
      <c r="S141" s="91">
        <v>2.8</v>
      </c>
      <c r="T141" s="91">
        <f t="shared" si="39"/>
        <v>8.3439999999999994</v>
      </c>
      <c r="U141" s="90">
        <f t="shared" si="40"/>
        <v>3.199184758392132</v>
      </c>
      <c r="V141" s="90">
        <f t="shared" si="41"/>
        <v>3.199184758392132</v>
      </c>
      <c r="W141" s="90">
        <f t="shared" si="42"/>
        <v>0</v>
      </c>
      <c r="Y141" s="34">
        <f t="shared" si="38"/>
        <v>0.70157044396898716</v>
      </c>
      <c r="Z141" s="34"/>
      <c r="AA141" s="4"/>
      <c r="AB141" s="4"/>
      <c r="AE141" s="4"/>
    </row>
    <row r="142" spans="1:31" x14ac:dyDescent="0.25">
      <c r="A142" s="1" t="s">
        <v>701</v>
      </c>
      <c r="B142" s="1" t="s">
        <v>656</v>
      </c>
      <c r="C142" s="1" t="s">
        <v>702</v>
      </c>
      <c r="D142" s="1" t="s">
        <v>554</v>
      </c>
      <c r="E142" s="1">
        <f>VLOOKUP(A142,BOM!A:E,5,0)</f>
        <v>2.5</v>
      </c>
      <c r="F142" s="122">
        <v>7.58</v>
      </c>
      <c r="G142" s="10">
        <v>7.43</v>
      </c>
      <c r="H142" s="11" t="s">
        <v>1874</v>
      </c>
      <c r="I142" s="49">
        <f>SUMIFS(BOM!Q:Q,BOM!A:A,'All Products'!A142,BOM!I:I,'All Products'!I$3)</f>
        <v>2.2233001924310454</v>
      </c>
      <c r="J142" s="49">
        <f>SUMIFS(BOM!Q:Q,BOM!A:A,'All Products'!A142,BOM!I:I,'All Products'!J$3)+0.03</f>
        <v>0.17</v>
      </c>
      <c r="K142" s="29">
        <f t="shared" si="33"/>
        <v>0.32211308108089443</v>
      </c>
      <c r="L142" s="49">
        <f>SUMIF(BOM!A:A,'All Products'!A142,BOM!S:S)</f>
        <v>1.4022744280521702</v>
      </c>
      <c r="M142" s="49">
        <f>SUMIF(BOM!A:A,'All Products'!A142,BOM!V:V)</f>
        <v>0.29618749999999999</v>
      </c>
      <c r="N142" s="29">
        <f t="shared" si="34"/>
        <v>0.22859514509450474</v>
      </c>
      <c r="O142" s="55">
        <v>0</v>
      </c>
      <c r="P142" s="49">
        <f t="shared" si="35"/>
        <v>4.0917621204832155</v>
      </c>
      <c r="Q142" s="11">
        <f t="shared" si="36"/>
        <v>3.3382378795167842</v>
      </c>
      <c r="R142" s="29">
        <f t="shared" si="37"/>
        <v>0.44929177382460084</v>
      </c>
      <c r="S142" s="91">
        <v>3</v>
      </c>
      <c r="T142" s="91">
        <f t="shared" si="39"/>
        <v>22.29</v>
      </c>
      <c r="U142" s="90">
        <f t="shared" si="40"/>
        <v>10.014713638550353</v>
      </c>
      <c r="V142" s="90">
        <f t="shared" si="41"/>
        <v>10.014713638550353</v>
      </c>
      <c r="W142" s="90">
        <f t="shared" si="42"/>
        <v>0</v>
      </c>
      <c r="Y142" s="34">
        <f t="shared" si="38"/>
        <v>0.70076713426230886</v>
      </c>
      <c r="Z142" s="34"/>
      <c r="AA142" s="4"/>
      <c r="AB142" s="4"/>
      <c r="AE142" s="4"/>
    </row>
    <row r="143" spans="1:31" x14ac:dyDescent="0.25">
      <c r="A143" s="1" t="s">
        <v>427</v>
      </c>
      <c r="B143" s="1" t="s">
        <v>656</v>
      </c>
      <c r="C143" s="1" t="s">
        <v>428</v>
      </c>
      <c r="D143" s="1" t="s">
        <v>554</v>
      </c>
      <c r="E143" s="1">
        <f>VLOOKUP(A143,BOM!A:E,5,0)</f>
        <v>1</v>
      </c>
      <c r="F143" s="122">
        <v>3.11</v>
      </c>
      <c r="G143" s="10">
        <v>3.17</v>
      </c>
      <c r="H143" s="11" t="s">
        <v>1874</v>
      </c>
      <c r="I143" s="49">
        <f>SUMIFS(BOM!Q:Q,BOM!A:A,'All Products'!A143,BOM!I:I,'All Products'!I$3)</f>
        <v>0.42257242543440149</v>
      </c>
      <c r="J143" s="49">
        <f>SUMIFS(BOM!Q:Q,BOM!A:A,'All Products'!A143,BOM!I:I,'All Products'!J$3)+0.03</f>
        <v>0.17</v>
      </c>
      <c r="K143" s="29">
        <f t="shared" si="33"/>
        <v>0.18693136449034747</v>
      </c>
      <c r="L143" s="49">
        <f>SUMIF(BOM!A:A,'All Products'!A143,BOM!S:S)</f>
        <v>0.19990199127269953</v>
      </c>
      <c r="M143" s="49">
        <f>SUMIF(BOM!A:A,'All Products'!A143,BOM!V:V)</f>
        <v>0.21720416666666661</v>
      </c>
      <c r="N143" s="29">
        <f t="shared" si="34"/>
        <v>0.13157922963386945</v>
      </c>
      <c r="O143" s="55">
        <v>0</v>
      </c>
      <c r="P143" s="49">
        <f t="shared" si="35"/>
        <v>1.0096785833737676</v>
      </c>
      <c r="Q143" s="11">
        <f t="shared" si="36"/>
        <v>2.1603214166262323</v>
      </c>
      <c r="R143" s="29">
        <f t="shared" si="37"/>
        <v>0.68148940587578311</v>
      </c>
      <c r="S143" s="91">
        <v>62.8</v>
      </c>
      <c r="T143" s="91">
        <f t="shared" si="39"/>
        <v>199.07599999999999</v>
      </c>
      <c r="U143" s="90">
        <f t="shared" si="40"/>
        <v>135.66818496412739</v>
      </c>
      <c r="V143" s="90">
        <f t="shared" si="41"/>
        <v>135.66818496412739</v>
      </c>
      <c r="W143" s="90">
        <f t="shared" si="42"/>
        <v>0</v>
      </c>
      <c r="Y143" s="34">
        <f t="shared" si="38"/>
        <v>0.8666963957620184</v>
      </c>
      <c r="Z143" s="34"/>
      <c r="AA143" s="4"/>
      <c r="AB143" s="4"/>
      <c r="AE143" s="4"/>
    </row>
    <row r="144" spans="1:31" x14ac:dyDescent="0.25">
      <c r="A144" s="1" t="s">
        <v>351</v>
      </c>
      <c r="B144" s="1" t="s">
        <v>656</v>
      </c>
      <c r="C144" s="1" t="s">
        <v>352</v>
      </c>
      <c r="D144" s="1" t="s">
        <v>554</v>
      </c>
      <c r="E144" s="1">
        <f>VLOOKUP(A144,BOM!A:E,5,0)</f>
        <v>2.5</v>
      </c>
      <c r="F144" s="122">
        <v>7.78</v>
      </c>
      <c r="G144" s="10">
        <v>7.93</v>
      </c>
      <c r="H144" s="11" t="s">
        <v>1874</v>
      </c>
      <c r="I144" s="49">
        <f>SUMIFS(BOM!Q:Q,BOM!A:A,'All Products'!A144,BOM!I:I,'All Products'!I$3)</f>
        <v>1.0564310635860037</v>
      </c>
      <c r="J144" s="49">
        <f>SUMIFS(BOM!Q:Q,BOM!A:A,'All Products'!A144,BOM!I:I,'All Products'!J$3)+0.03</f>
        <v>0.17</v>
      </c>
      <c r="K144" s="29">
        <f t="shared" si="33"/>
        <v>0.15465713286078231</v>
      </c>
      <c r="L144" s="49">
        <f>SUMIF(BOM!A:A,'All Products'!A144,BOM!S:S)</f>
        <v>0.4997549781817488</v>
      </c>
      <c r="M144" s="49">
        <f>SUMIF(BOM!A:A,'All Products'!A144,BOM!V:V)</f>
        <v>0.29618749999999999</v>
      </c>
      <c r="N144" s="29">
        <f t="shared" si="34"/>
        <v>0.1003710565172445</v>
      </c>
      <c r="O144" s="55">
        <v>0</v>
      </c>
      <c r="P144" s="49">
        <f t="shared" si="35"/>
        <v>2.0223735417677524</v>
      </c>
      <c r="Q144" s="11">
        <f t="shared" si="36"/>
        <v>5.9076264582322473</v>
      </c>
      <c r="R144" s="29">
        <f t="shared" si="37"/>
        <v>0.74497181062197315</v>
      </c>
      <c r="S144" s="91">
        <v>311.60000000000002</v>
      </c>
      <c r="T144" s="91">
        <f t="shared" si="39"/>
        <v>2470.9880000000003</v>
      </c>
      <c r="U144" s="90">
        <f t="shared" si="40"/>
        <v>1840.8164043851684</v>
      </c>
      <c r="V144" s="90">
        <f t="shared" si="41"/>
        <v>1840.8164043851684</v>
      </c>
      <c r="W144" s="90">
        <f t="shared" si="42"/>
        <v>0</v>
      </c>
      <c r="Y144" s="34">
        <f t="shared" si="38"/>
        <v>0.86678044595384562</v>
      </c>
      <c r="Z144" s="34"/>
      <c r="AA144" s="4"/>
      <c r="AB144" s="4"/>
      <c r="AE144" s="4"/>
    </row>
    <row r="145" spans="1:31" x14ac:dyDescent="0.25">
      <c r="A145" s="1" t="s">
        <v>703</v>
      </c>
      <c r="B145" s="1" t="s">
        <v>656</v>
      </c>
      <c r="C145" s="1" t="s">
        <v>704</v>
      </c>
      <c r="D145" s="1" t="s">
        <v>554</v>
      </c>
      <c r="E145" s="1">
        <f>VLOOKUP(A145,BOM!A:E,5,0)</f>
        <v>1</v>
      </c>
      <c r="F145" s="122">
        <v>4.6100000000000003</v>
      </c>
      <c r="G145" s="10">
        <v>4.29</v>
      </c>
      <c r="H145" s="11" t="s">
        <v>1874</v>
      </c>
      <c r="I145" s="49">
        <f>SUMIFS(BOM!Q:Q,BOM!A:A,'All Products'!A145,BOM!I:I,'All Products'!I$3)</f>
        <v>1.5011764705882353</v>
      </c>
      <c r="J145" s="49">
        <f>SUMIFS(BOM!Q:Q,BOM!A:A,'All Products'!A145,BOM!I:I,'All Products'!J$3)+0.03</f>
        <v>0.17</v>
      </c>
      <c r="K145" s="29">
        <f t="shared" si="33"/>
        <v>0.38955162484574246</v>
      </c>
      <c r="L145" s="49">
        <f>SUMIF(BOM!A:A,'All Products'!A145,BOM!S:S)</f>
        <v>0.54520308123249295</v>
      </c>
      <c r="M145" s="49">
        <f>SUMIF(BOM!A:A,'All Products'!A145,BOM!V:V)</f>
        <v>0.21720416666666661</v>
      </c>
      <c r="N145" s="29">
        <f t="shared" si="34"/>
        <v>0.17771730720260129</v>
      </c>
      <c r="O145" s="55">
        <v>0</v>
      </c>
      <c r="P145" s="49">
        <f t="shared" si="35"/>
        <v>2.433583718487395</v>
      </c>
      <c r="Q145" s="11">
        <f t="shared" si="36"/>
        <v>1.8564162815126051</v>
      </c>
      <c r="R145" s="29">
        <f t="shared" si="37"/>
        <v>0.43273106795165617</v>
      </c>
      <c r="S145" s="91">
        <v>0</v>
      </c>
      <c r="T145" s="91">
        <f t="shared" si="39"/>
        <v>0</v>
      </c>
      <c r="U145" s="90">
        <f t="shared" si="40"/>
        <v>0</v>
      </c>
      <c r="V145" s="90">
        <f t="shared" si="41"/>
        <v>0</v>
      </c>
      <c r="W145" s="90">
        <f t="shared" si="42"/>
        <v>0</v>
      </c>
      <c r="Y145" s="34">
        <f t="shared" si="38"/>
        <v>0.65007541478129716</v>
      </c>
      <c r="Z145" s="34"/>
      <c r="AA145" s="4"/>
      <c r="AB145" s="4"/>
      <c r="AE145" s="4"/>
    </row>
    <row r="146" spans="1:31" x14ac:dyDescent="0.25">
      <c r="A146" s="1" t="s">
        <v>705</v>
      </c>
      <c r="B146" s="1" t="s">
        <v>656</v>
      </c>
      <c r="C146" s="1" t="s">
        <v>706</v>
      </c>
      <c r="D146" s="1" t="s">
        <v>554</v>
      </c>
      <c r="E146" s="1">
        <f>VLOOKUP(A146,BOM!A:E,5,0)</f>
        <v>2.5</v>
      </c>
      <c r="F146" s="122">
        <v>11.28</v>
      </c>
      <c r="G146" s="10">
        <v>10.85</v>
      </c>
      <c r="H146" s="11" t="s">
        <v>1874</v>
      </c>
      <c r="I146" s="49">
        <f>SUMIFS(BOM!Q:Q,BOM!A:A,'All Products'!A146,BOM!I:I,'All Products'!I$3)</f>
        <v>3.7529411764705882</v>
      </c>
      <c r="J146" s="49">
        <f>SUMIFS(BOM!Q:Q,BOM!A:A,'All Products'!A146,BOM!I:I,'All Products'!J$3)+0.03</f>
        <v>0.17</v>
      </c>
      <c r="K146" s="29">
        <f t="shared" si="33"/>
        <v>0.3615613987530496</v>
      </c>
      <c r="L146" s="49">
        <f>SUMIF(BOM!A:A,'All Products'!A146,BOM!S:S)</f>
        <v>1.3630077030812324</v>
      </c>
      <c r="M146" s="49">
        <f>SUMIF(BOM!A:A,'All Products'!A146,BOM!V:V)</f>
        <v>0.29618749999999999</v>
      </c>
      <c r="N146" s="29">
        <f t="shared" si="34"/>
        <v>0.15292121687384633</v>
      </c>
      <c r="O146" s="55">
        <v>0</v>
      </c>
      <c r="P146" s="49">
        <f t="shared" si="35"/>
        <v>5.5821363795518213</v>
      </c>
      <c r="Q146" s="11">
        <f t="shared" si="36"/>
        <v>5.2678636204481784</v>
      </c>
      <c r="R146" s="29">
        <f t="shared" si="37"/>
        <v>0.48551738437310399</v>
      </c>
      <c r="S146" s="91">
        <v>21.8</v>
      </c>
      <c r="T146" s="91">
        <f t="shared" si="39"/>
        <v>236.53</v>
      </c>
      <c r="U146" s="90">
        <f t="shared" si="40"/>
        <v>114.8394269257703</v>
      </c>
      <c r="V146" s="90">
        <f t="shared" si="41"/>
        <v>114.8394269257703</v>
      </c>
      <c r="W146" s="90">
        <f t="shared" si="42"/>
        <v>0</v>
      </c>
      <c r="Y146" s="34">
        <f t="shared" si="38"/>
        <v>0.65410680401192733</v>
      </c>
      <c r="Z146" s="34"/>
      <c r="AA146" s="4"/>
      <c r="AB146" s="4"/>
      <c r="AE146" s="4"/>
    </row>
    <row r="147" spans="1:31" x14ac:dyDescent="0.25">
      <c r="A147" s="1" t="s">
        <v>707</v>
      </c>
      <c r="B147" s="1" t="s">
        <v>656</v>
      </c>
      <c r="C147" s="59" t="s">
        <v>708</v>
      </c>
      <c r="D147" s="1" t="s">
        <v>554</v>
      </c>
      <c r="E147" s="1">
        <f>VLOOKUP(A147,BOM!A:E,5,0)</f>
        <v>1</v>
      </c>
      <c r="F147" s="122">
        <v>3.31</v>
      </c>
      <c r="G147" s="10">
        <v>3.38</v>
      </c>
      <c r="H147" s="11" t="s">
        <v>1874</v>
      </c>
      <c r="I147" s="49">
        <f>SUMIFS(BOM!Q:Q,BOM!A:A,'All Products'!A147,BOM!I:I,'All Products'!I$3)</f>
        <v>0.5057358406621435</v>
      </c>
      <c r="J147" s="49">
        <f>SUMIFS(BOM!Q:Q,BOM!A:A,'All Products'!A147,BOM!I:I,'All Products'!J$3)+0.03</f>
        <v>0.17</v>
      </c>
      <c r="K147" s="29">
        <f t="shared" si="33"/>
        <v>0.19992184634974661</v>
      </c>
      <c r="L147" s="49">
        <f>SUMIF(BOM!A:A,'All Products'!A147,BOM!S:S)</f>
        <v>0.25814541715371964</v>
      </c>
      <c r="M147" s="49">
        <f>SUMIF(BOM!A:A,'All Products'!A147,BOM!V:V)</f>
        <v>0.21720416666666661</v>
      </c>
      <c r="N147" s="29">
        <f t="shared" si="34"/>
        <v>0.14063597154449298</v>
      </c>
      <c r="O147" s="55">
        <v>0</v>
      </c>
      <c r="P147" s="49">
        <f t="shared" si="35"/>
        <v>1.1510854244825297</v>
      </c>
      <c r="Q147" s="11">
        <f t="shared" si="36"/>
        <v>2.2289145755174702</v>
      </c>
      <c r="R147" s="29">
        <f t="shared" si="37"/>
        <v>0.65944218210576044</v>
      </c>
      <c r="S147" s="91">
        <v>0.4</v>
      </c>
      <c r="T147" s="91">
        <f t="shared" si="39"/>
        <v>1.3520000000000001</v>
      </c>
      <c r="U147" s="90">
        <f t="shared" si="40"/>
        <v>0.8915658302069881</v>
      </c>
      <c r="V147" s="90">
        <f t="shared" si="41"/>
        <v>0.8915658302069881</v>
      </c>
      <c r="W147" s="90">
        <f t="shared" si="42"/>
        <v>0</v>
      </c>
      <c r="Y147" s="34">
        <f t="shared" si="38"/>
        <v>0.85037401163841908</v>
      </c>
      <c r="Z147" s="34"/>
      <c r="AA147" s="4"/>
      <c r="AB147" s="4"/>
      <c r="AE147" s="4"/>
    </row>
    <row r="148" spans="1:31" x14ac:dyDescent="0.25">
      <c r="A148" s="1" t="s">
        <v>349</v>
      </c>
      <c r="B148" s="1" t="s">
        <v>656</v>
      </c>
      <c r="C148" s="1" t="s">
        <v>350</v>
      </c>
      <c r="D148" s="1" t="s">
        <v>554</v>
      </c>
      <c r="E148" s="1">
        <f>VLOOKUP(A148,BOM!A:E,5,0)</f>
        <v>2.5</v>
      </c>
      <c r="F148" s="122">
        <v>8.26</v>
      </c>
      <c r="G148" s="10">
        <v>8.43</v>
      </c>
      <c r="H148" s="11" t="s">
        <v>1874</v>
      </c>
      <c r="I148" s="49">
        <f>SUMIFS(BOM!Q:Q,BOM!A:A,'All Products'!A148,BOM!I:I,'All Products'!I$3)</f>
        <v>1.2643396016553587</v>
      </c>
      <c r="J148" s="49">
        <f>SUMIFS(BOM!Q:Q,BOM!A:A,'All Products'!A148,BOM!I:I,'All Products'!J$3)+0.03</f>
        <v>0.17</v>
      </c>
      <c r="K148" s="29">
        <f t="shared" si="33"/>
        <v>0.1701470464597104</v>
      </c>
      <c r="L148" s="49">
        <f>SUMIF(BOM!A:A,'All Products'!A148,BOM!S:S)</f>
        <v>0.6453635428842992</v>
      </c>
      <c r="M148" s="49">
        <f>SUMIF(BOM!A:A,'All Products'!A148,BOM!V:V)</f>
        <v>0.29618749999999999</v>
      </c>
      <c r="N148" s="29">
        <f t="shared" si="34"/>
        <v>0.11169051517014227</v>
      </c>
      <c r="O148" s="55">
        <v>0</v>
      </c>
      <c r="P148" s="49">
        <f t="shared" si="35"/>
        <v>2.3758906445396581</v>
      </c>
      <c r="Q148" s="11">
        <f t="shared" si="36"/>
        <v>6.0541093554603416</v>
      </c>
      <c r="R148" s="29">
        <f t="shared" si="37"/>
        <v>0.71816243837014726</v>
      </c>
      <c r="S148" s="91">
        <v>284</v>
      </c>
      <c r="T148" s="91">
        <f t="shared" si="39"/>
        <v>2394.12</v>
      </c>
      <c r="U148" s="90">
        <f t="shared" si="40"/>
        <v>1719.3670569507369</v>
      </c>
      <c r="V148" s="90">
        <f t="shared" si="41"/>
        <v>1719.3670569507369</v>
      </c>
      <c r="W148" s="90">
        <f t="shared" si="42"/>
        <v>0</v>
      </c>
      <c r="Y148" s="34">
        <f t="shared" si="38"/>
        <v>0.85001902708714605</v>
      </c>
      <c r="Z148" s="34"/>
      <c r="AA148" s="4"/>
      <c r="AB148" s="4"/>
      <c r="AE148" s="4"/>
    </row>
    <row r="149" spans="1:31" x14ac:dyDescent="0.25">
      <c r="A149" s="1" t="s">
        <v>425</v>
      </c>
      <c r="B149" s="1" t="s">
        <v>656</v>
      </c>
      <c r="C149" s="1" t="s">
        <v>426</v>
      </c>
      <c r="D149" s="1" t="s">
        <v>554</v>
      </c>
      <c r="E149" s="1">
        <f>VLOOKUP(A149,BOM!A:E,5,0)</f>
        <v>1</v>
      </c>
      <c r="F149" s="122">
        <v>2.82</v>
      </c>
      <c r="G149" s="10">
        <v>3.12</v>
      </c>
      <c r="H149" s="11" t="s">
        <v>1874</v>
      </c>
      <c r="I149" s="49">
        <f>SUMIFS(BOM!Q:Q,BOM!A:A,'All Products'!A149,BOM!I:I,'All Products'!I$3)</f>
        <v>0.73459107968343385</v>
      </c>
      <c r="J149" s="49">
        <f>SUMIFS(BOM!Q:Q,BOM!A:A,'All Products'!A149,BOM!I:I,'All Products'!J$3)+0.03</f>
        <v>0.17</v>
      </c>
      <c r="K149" s="29">
        <f t="shared" si="33"/>
        <v>0.28993303836007495</v>
      </c>
      <c r="L149" s="49">
        <f>SUMIF(BOM!A:A,'All Products'!A149,BOM!S:S)</f>
        <v>1.8110935482576145</v>
      </c>
      <c r="M149" s="49">
        <f>SUMIF(BOM!A:A,'All Products'!A149,BOM!V:V)</f>
        <v>0.21720416666666661</v>
      </c>
      <c r="N149" s="29">
        <f t="shared" si="34"/>
        <v>0.65009542145009003</v>
      </c>
      <c r="O149" s="55">
        <v>0</v>
      </c>
      <c r="P149" s="49">
        <f t="shared" si="35"/>
        <v>2.9328887946077149</v>
      </c>
      <c r="Q149" s="11">
        <f t="shared" si="36"/>
        <v>0.18711120539228521</v>
      </c>
      <c r="R149" s="29">
        <f t="shared" si="37"/>
        <v>5.9971540189834999E-2</v>
      </c>
      <c r="S149" s="91">
        <v>9.1999999999999993</v>
      </c>
      <c r="T149" s="91">
        <f t="shared" si="39"/>
        <v>28.703999999999997</v>
      </c>
      <c r="U149" s="90">
        <f t="shared" si="40"/>
        <v>1.7214230896090237</v>
      </c>
      <c r="V149" s="90">
        <f t="shared" si="41"/>
        <v>1.7214230896090237</v>
      </c>
      <c r="W149" s="90">
        <f t="shared" si="42"/>
        <v>0</v>
      </c>
      <c r="Y149" s="34">
        <f t="shared" si="38"/>
        <v>0.76455414112710451</v>
      </c>
      <c r="Z149" s="34"/>
      <c r="AA149" s="4"/>
      <c r="AB149" s="4"/>
      <c r="AE149" s="4"/>
    </row>
    <row r="150" spans="1:31" x14ac:dyDescent="0.25">
      <c r="A150" s="1" t="s">
        <v>345</v>
      </c>
      <c r="B150" s="1" t="s">
        <v>656</v>
      </c>
      <c r="C150" s="1" t="s">
        <v>346</v>
      </c>
      <c r="D150" s="1" t="s">
        <v>554</v>
      </c>
      <c r="E150" s="1">
        <f>VLOOKUP(A150,BOM!A:E,5,0)</f>
        <v>2.5</v>
      </c>
      <c r="F150" s="122">
        <v>6.74</v>
      </c>
      <c r="G150" s="10">
        <v>7.46</v>
      </c>
      <c r="H150" s="11" t="s">
        <v>1874</v>
      </c>
      <c r="I150" s="49">
        <f>SUMIFS(BOM!Q:Q,BOM!A:A,'All Products'!A150,BOM!I:I,'All Products'!I$3)</f>
        <v>1.8364776992085845</v>
      </c>
      <c r="J150" s="49">
        <f>SUMIFS(BOM!Q:Q,BOM!A:A,'All Products'!A150,BOM!I:I,'All Products'!J$3)+0.03</f>
        <v>0.17</v>
      </c>
      <c r="K150" s="29">
        <f t="shared" si="33"/>
        <v>0.26896483903600332</v>
      </c>
      <c r="L150" s="49">
        <f>SUMIF(BOM!A:A,'All Products'!A150,BOM!S:S)</f>
        <v>4.5277338706440364</v>
      </c>
      <c r="M150" s="49">
        <f>SUMIF(BOM!A:A,'All Products'!A150,BOM!V:V)</f>
        <v>0.29618749999999999</v>
      </c>
      <c r="N150" s="29">
        <f t="shared" si="34"/>
        <v>0.64663825343753845</v>
      </c>
      <c r="O150" s="55">
        <v>0</v>
      </c>
      <c r="P150" s="49">
        <f t="shared" si="35"/>
        <v>6.8303990698526214</v>
      </c>
      <c r="Q150" s="11">
        <f t="shared" si="36"/>
        <v>0.62960093014737861</v>
      </c>
      <c r="R150" s="29">
        <f t="shared" si="37"/>
        <v>8.4396907526458259E-2</v>
      </c>
      <c r="S150" s="91">
        <v>143.4</v>
      </c>
      <c r="T150" s="91">
        <f t="shared" si="39"/>
        <v>1069.7640000000001</v>
      </c>
      <c r="U150" s="90">
        <f t="shared" si="40"/>
        <v>90.284773383134095</v>
      </c>
      <c r="V150" s="90">
        <f t="shared" si="41"/>
        <v>90.284773383134095</v>
      </c>
      <c r="W150" s="90">
        <f t="shared" si="42"/>
        <v>0</v>
      </c>
      <c r="Y150" s="34">
        <f t="shared" si="38"/>
        <v>0.7538233647173479</v>
      </c>
      <c r="Z150" s="34"/>
      <c r="AA150" s="4"/>
      <c r="AB150" s="4"/>
      <c r="AE150" s="4"/>
    </row>
    <row r="151" spans="1:31" x14ac:dyDescent="0.25">
      <c r="A151" s="1" t="s">
        <v>423</v>
      </c>
      <c r="B151" s="1" t="s">
        <v>656</v>
      </c>
      <c r="C151" s="1" t="s">
        <v>424</v>
      </c>
      <c r="D151" s="1" t="s">
        <v>554</v>
      </c>
      <c r="E151" s="1">
        <f>VLOOKUP(A151,BOM!A:E,5,0)</f>
        <v>1</v>
      </c>
      <c r="F151" s="122">
        <v>2.85</v>
      </c>
      <c r="G151" s="10">
        <v>2.93</v>
      </c>
      <c r="H151" s="11" t="s">
        <v>1874</v>
      </c>
      <c r="I151" s="49">
        <f>SUMIFS(BOM!Q:Q,BOM!A:A,'All Products'!A151,BOM!I:I,'All Products'!I$3)</f>
        <v>0.6407171827778021</v>
      </c>
      <c r="J151" s="49">
        <f>SUMIFS(BOM!Q:Q,BOM!A:A,'All Products'!A151,BOM!I:I,'All Products'!J$3)+0.03</f>
        <v>0.17</v>
      </c>
      <c r="K151" s="29">
        <f t="shared" si="33"/>
        <v>0.27669528422450584</v>
      </c>
      <c r="L151" s="49">
        <f>SUMIF(BOM!A:A,'All Products'!A151,BOM!S:S)</f>
        <v>0.33849999999999997</v>
      </c>
      <c r="M151" s="49">
        <f>SUMIF(BOM!A:A,'All Products'!A151,BOM!V:V)</f>
        <v>0.21720416666666661</v>
      </c>
      <c r="N151" s="29">
        <f t="shared" si="34"/>
        <v>0.18966012514220701</v>
      </c>
      <c r="O151" s="55">
        <v>0</v>
      </c>
      <c r="P151" s="49">
        <f t="shared" si="35"/>
        <v>1.3664213494444688</v>
      </c>
      <c r="Q151" s="11">
        <f t="shared" si="36"/>
        <v>1.5635786505555314</v>
      </c>
      <c r="R151" s="29">
        <f t="shared" si="37"/>
        <v>0.53364459063328717</v>
      </c>
      <c r="S151" s="91">
        <v>9.8000000000000007</v>
      </c>
      <c r="T151" s="91">
        <f t="shared" si="39"/>
        <v>28.714000000000002</v>
      </c>
      <c r="U151" s="90">
        <f t="shared" si="40"/>
        <v>15.323070775444208</v>
      </c>
      <c r="V151" s="90">
        <f t="shared" si="41"/>
        <v>15.323070775444208</v>
      </c>
      <c r="W151" s="90">
        <f t="shared" si="42"/>
        <v>0</v>
      </c>
      <c r="Y151" s="34">
        <f t="shared" si="38"/>
        <v>0.78132519359119379</v>
      </c>
      <c r="Z151" s="34"/>
      <c r="AA151" s="4"/>
      <c r="AB151" s="4"/>
      <c r="AE151" s="4"/>
    </row>
    <row r="152" spans="1:31" x14ac:dyDescent="0.25">
      <c r="A152" s="1" t="s">
        <v>343</v>
      </c>
      <c r="B152" s="1" t="s">
        <v>656</v>
      </c>
      <c r="C152" s="1" t="s">
        <v>344</v>
      </c>
      <c r="D152" s="1" t="s">
        <v>554</v>
      </c>
      <c r="E152" s="1">
        <f>VLOOKUP(A152,BOM!A:E,5,0)</f>
        <v>2.5</v>
      </c>
      <c r="F152" s="122">
        <v>7.11</v>
      </c>
      <c r="G152" s="10">
        <v>7.31</v>
      </c>
      <c r="H152" s="11" t="s">
        <v>1874</v>
      </c>
      <c r="I152" s="49">
        <f>SUMIFS(BOM!Q:Q,BOM!A:A,'All Products'!A152,BOM!I:I,'All Products'!I$3)</f>
        <v>1.6017929569445053</v>
      </c>
      <c r="J152" s="49">
        <f>SUMIFS(BOM!Q:Q,BOM!A:A,'All Products'!A152,BOM!I:I,'All Products'!J$3)+0.03</f>
        <v>0.17</v>
      </c>
      <c r="K152" s="29">
        <f t="shared" si="33"/>
        <v>0.24237933747530852</v>
      </c>
      <c r="L152" s="49">
        <f>SUMIF(BOM!A:A,'All Products'!A152,BOM!S:S)</f>
        <v>0.84624999999999995</v>
      </c>
      <c r="M152" s="49">
        <f>SUMIF(BOM!A:A,'All Products'!A152,BOM!V:V)</f>
        <v>0.29618749999999999</v>
      </c>
      <c r="N152" s="29">
        <f t="shared" si="34"/>
        <v>0.1562841997264022</v>
      </c>
      <c r="O152" s="55">
        <v>0</v>
      </c>
      <c r="P152" s="49">
        <f t="shared" si="35"/>
        <v>2.9142304569445052</v>
      </c>
      <c r="Q152" s="11">
        <f t="shared" si="36"/>
        <v>4.3957695430554944</v>
      </c>
      <c r="R152" s="29">
        <f t="shared" si="37"/>
        <v>0.60133646279828923</v>
      </c>
      <c r="S152" s="91">
        <v>175.6</v>
      </c>
      <c r="T152" s="91">
        <f t="shared" si="39"/>
        <v>1283.636</v>
      </c>
      <c r="U152" s="90">
        <f t="shared" si="40"/>
        <v>771.89713176054477</v>
      </c>
      <c r="V152" s="90">
        <f t="shared" si="41"/>
        <v>771.89713176054477</v>
      </c>
      <c r="W152" s="90">
        <f t="shared" si="42"/>
        <v>0</v>
      </c>
      <c r="Y152" s="34">
        <f t="shared" si="38"/>
        <v>0.78087647647817982</v>
      </c>
      <c r="Z152" s="34"/>
      <c r="AA152" s="4"/>
      <c r="AB152" s="4"/>
      <c r="AE152" s="4"/>
    </row>
    <row r="153" spans="1:31" x14ac:dyDescent="0.25">
      <c r="A153" s="1" t="s">
        <v>709</v>
      </c>
      <c r="B153" s="1" t="s">
        <v>656</v>
      </c>
      <c r="C153" s="1" t="s">
        <v>710</v>
      </c>
      <c r="D153" s="1" t="s">
        <v>554</v>
      </c>
      <c r="E153" s="1">
        <f>VLOOKUP(A153,BOM!A:E,5,0)</f>
        <v>1</v>
      </c>
      <c r="F153" s="122">
        <v>2.4500000000000002</v>
      </c>
      <c r="G153" s="10">
        <v>2.57</v>
      </c>
      <c r="H153" s="11" t="s">
        <v>1874</v>
      </c>
      <c r="I153" s="49">
        <f>SUMIFS(BOM!Q:Q,BOM!A:A,'All Products'!A153,BOM!I:I,'All Products'!I$3)</f>
        <v>0.60577073586928076</v>
      </c>
      <c r="J153" s="49">
        <f>SUMIFS(BOM!Q:Q,BOM!A:A,'All Products'!A153,BOM!I:I,'All Products'!J$3)+0.03</f>
        <v>0.17</v>
      </c>
      <c r="K153" s="29">
        <f t="shared" si="33"/>
        <v>0.30185631745886415</v>
      </c>
      <c r="L153" s="49">
        <f>SUMIF(BOM!A:A,'All Products'!A153,BOM!S:S)</f>
        <v>1.4046982437998421</v>
      </c>
      <c r="M153" s="49">
        <f>SUMIF(BOM!A:A,'All Products'!A153,BOM!V:V)</f>
        <v>0.21720416666666661</v>
      </c>
      <c r="N153" s="29">
        <f t="shared" si="34"/>
        <v>0.63109043208813576</v>
      </c>
      <c r="O153" s="55">
        <v>0</v>
      </c>
      <c r="P153" s="49">
        <f t="shared" si="35"/>
        <v>2.3976731463357894</v>
      </c>
      <c r="Q153" s="11">
        <f t="shared" si="36"/>
        <v>0.17232685366421041</v>
      </c>
      <c r="R153" s="29">
        <f t="shared" si="37"/>
        <v>6.705325045300016E-2</v>
      </c>
      <c r="S153" s="91">
        <v>0.2</v>
      </c>
      <c r="T153" s="91">
        <f t="shared" si="39"/>
        <v>0.51400000000000001</v>
      </c>
      <c r="U153" s="90">
        <f t="shared" si="40"/>
        <v>3.4465370732842081E-2</v>
      </c>
      <c r="V153" s="90">
        <f t="shared" si="41"/>
        <v>3.4465370732842081E-2</v>
      </c>
      <c r="W153" s="90">
        <f t="shared" si="42"/>
        <v>0</v>
      </c>
      <c r="Y153" s="34">
        <f t="shared" si="38"/>
        <v>0.76429154246331488</v>
      </c>
      <c r="Z153" s="34"/>
      <c r="AA153" s="4"/>
      <c r="AB153" s="4"/>
      <c r="AE153" s="4"/>
    </row>
    <row r="154" spans="1:31" x14ac:dyDescent="0.25">
      <c r="A154" s="1" t="s">
        <v>711</v>
      </c>
      <c r="B154" s="1" t="s">
        <v>656</v>
      </c>
      <c r="C154" s="1" t="s">
        <v>712</v>
      </c>
      <c r="D154" s="1" t="s">
        <v>554</v>
      </c>
      <c r="E154" s="1">
        <f>VLOOKUP(A154,BOM!A:E,5,0)</f>
        <v>2.5</v>
      </c>
      <c r="F154" s="122">
        <v>6.12</v>
      </c>
      <c r="G154" s="10">
        <v>6.4</v>
      </c>
      <c r="H154" s="11" t="s">
        <v>1874</v>
      </c>
      <c r="I154" s="49">
        <f>SUMIFS(BOM!Q:Q,BOM!A:A,'All Products'!A154,BOM!I:I,'All Products'!I$3)</f>
        <v>1.5144268396732019</v>
      </c>
      <c r="J154" s="49">
        <f>SUMIFS(BOM!Q:Q,BOM!A:A,'All Products'!A154,BOM!I:I,'All Products'!J$3)+0.03</f>
        <v>0.17</v>
      </c>
      <c r="K154" s="29">
        <f t="shared" si="33"/>
        <v>0.26319169369893775</v>
      </c>
      <c r="L154" s="49">
        <f>SUMIF(BOM!A:A,'All Products'!A154,BOM!S:S)</f>
        <v>3.5117456094996053</v>
      </c>
      <c r="M154" s="49">
        <f>SUMIF(BOM!A:A,'All Products'!A154,BOM!V:V)</f>
        <v>0.29618749999999999</v>
      </c>
      <c r="N154" s="29">
        <f t="shared" si="34"/>
        <v>0.59498954835931328</v>
      </c>
      <c r="O154" s="55">
        <v>0</v>
      </c>
      <c r="P154" s="49">
        <f t="shared" si="35"/>
        <v>5.4923599491728075</v>
      </c>
      <c r="Q154" s="11">
        <f t="shared" si="36"/>
        <v>0.9076400508271929</v>
      </c>
      <c r="R154" s="29">
        <f t="shared" si="37"/>
        <v>0.14181875794174889</v>
      </c>
      <c r="S154" s="91">
        <v>114.2</v>
      </c>
      <c r="T154" s="91">
        <f t="shared" si="39"/>
        <v>730.88000000000011</v>
      </c>
      <c r="U154" s="90">
        <f t="shared" si="40"/>
        <v>103.65249380446544</v>
      </c>
      <c r="V154" s="90">
        <f t="shared" si="41"/>
        <v>103.65249380446544</v>
      </c>
      <c r="W154" s="90">
        <f t="shared" si="42"/>
        <v>0</v>
      </c>
      <c r="Y154" s="34">
        <f t="shared" si="38"/>
        <v>0.76337080630106213</v>
      </c>
      <c r="Z154" s="34"/>
      <c r="AA154" s="4"/>
      <c r="AB154" s="4"/>
      <c r="AE154" s="4"/>
    </row>
    <row r="155" spans="1:31" x14ac:dyDescent="0.25">
      <c r="A155" s="1" t="s">
        <v>713</v>
      </c>
      <c r="B155" s="1" t="s">
        <v>656</v>
      </c>
      <c r="C155" s="1" t="s">
        <v>714</v>
      </c>
      <c r="D155" s="1" t="s">
        <v>554</v>
      </c>
      <c r="E155" s="1">
        <f>VLOOKUP(A155,BOM!A:E,5,0)</f>
        <v>1</v>
      </c>
      <c r="F155" s="122">
        <v>1.72</v>
      </c>
      <c r="G155" s="10">
        <v>1.78</v>
      </c>
      <c r="H155" s="11" t="s">
        <v>1874</v>
      </c>
      <c r="I155" s="49">
        <f>SUMIFS(BOM!Q:Q,BOM!A:A,'All Products'!A155,BOM!I:I,'All Products'!I$3)</f>
        <v>0.50993022007514754</v>
      </c>
      <c r="J155" s="49">
        <f>SUMIFS(BOM!Q:Q,BOM!A:A,'All Products'!A155,BOM!I:I,'All Products'!J$3)+0.03</f>
        <v>0.17</v>
      </c>
      <c r="K155" s="29">
        <f t="shared" si="33"/>
        <v>0.38198326970513907</v>
      </c>
      <c r="L155" s="49">
        <f>SUMIF(BOM!A:A,'All Products'!A155,BOM!S:S)</f>
        <v>0.30645053191489363</v>
      </c>
      <c r="M155" s="49">
        <f>SUMIF(BOM!A:A,'All Products'!A155,BOM!V:V)</f>
        <v>0.21720416666666661</v>
      </c>
      <c r="N155" s="29">
        <f t="shared" si="34"/>
        <v>0.29418803291098888</v>
      </c>
      <c r="O155" s="55">
        <v>0</v>
      </c>
      <c r="P155" s="49">
        <f t="shared" si="35"/>
        <v>1.2035849186567078</v>
      </c>
      <c r="Q155" s="11">
        <f t="shared" si="36"/>
        <v>0.57641508134329222</v>
      </c>
      <c r="R155" s="29">
        <f t="shared" si="37"/>
        <v>0.32382869738387204</v>
      </c>
      <c r="S155" s="91">
        <v>12.4</v>
      </c>
      <c r="T155" s="91">
        <f t="shared" si="39"/>
        <v>22.072000000000003</v>
      </c>
      <c r="U155" s="90">
        <f t="shared" si="40"/>
        <v>7.147547008656824</v>
      </c>
      <c r="V155" s="90">
        <f t="shared" si="41"/>
        <v>7.147547008656824</v>
      </c>
      <c r="W155" s="90">
        <f t="shared" si="42"/>
        <v>0</v>
      </c>
      <c r="Y155" s="34">
        <f t="shared" si="38"/>
        <v>0.71352234827238914</v>
      </c>
      <c r="Z155" s="34"/>
      <c r="AA155" s="4"/>
      <c r="AB155" s="4"/>
      <c r="AE155" s="4"/>
    </row>
    <row r="156" spans="1:31" x14ac:dyDescent="0.25">
      <c r="A156" s="1" t="s">
        <v>341</v>
      </c>
      <c r="B156" s="1" t="s">
        <v>656</v>
      </c>
      <c r="C156" s="1" t="s">
        <v>342</v>
      </c>
      <c r="D156" s="1" t="s">
        <v>554</v>
      </c>
      <c r="E156" s="1">
        <f>VLOOKUP(A156,BOM!A:E,5,0)</f>
        <v>2.5</v>
      </c>
      <c r="F156" s="122">
        <v>4</v>
      </c>
      <c r="G156" s="10">
        <v>4.13</v>
      </c>
      <c r="H156" s="11" t="s">
        <v>1874</v>
      </c>
      <c r="I156" s="49">
        <f>SUMIFS(BOM!Q:Q,BOM!A:A,'All Products'!A156,BOM!I:I,'All Products'!I$3)</f>
        <v>1.2748255501878689</v>
      </c>
      <c r="J156" s="49">
        <f>SUMIFS(BOM!Q:Q,BOM!A:A,'All Products'!A156,BOM!I:I,'All Products'!J$3)+0.03</f>
        <v>0.17</v>
      </c>
      <c r="K156" s="29">
        <f t="shared" si="33"/>
        <v>0.34983669496074304</v>
      </c>
      <c r="L156" s="49">
        <f>SUMIF(BOM!A:A,'All Products'!A156,BOM!S:S)</f>
        <v>0.76612632978723405</v>
      </c>
      <c r="M156" s="49">
        <f>SUMIF(BOM!A:A,'All Products'!A156,BOM!V:V)</f>
        <v>0.29618749999999999</v>
      </c>
      <c r="N156" s="29">
        <f t="shared" si="34"/>
        <v>0.25721884498480246</v>
      </c>
      <c r="O156" s="55">
        <v>0</v>
      </c>
      <c r="P156" s="49">
        <f t="shared" si="35"/>
        <v>2.5071393799751029</v>
      </c>
      <c r="Q156" s="11">
        <f t="shared" si="36"/>
        <v>1.6228606200248969</v>
      </c>
      <c r="R156" s="29">
        <f t="shared" si="37"/>
        <v>0.39294446005445449</v>
      </c>
      <c r="S156" s="91">
        <v>294.2</v>
      </c>
      <c r="T156" s="91">
        <f t="shared" si="39"/>
        <v>1215.0459999999998</v>
      </c>
      <c r="U156" s="90">
        <f t="shared" si="40"/>
        <v>477.44559441132469</v>
      </c>
      <c r="V156" s="90">
        <f t="shared" si="41"/>
        <v>477.44559441132469</v>
      </c>
      <c r="W156" s="90">
        <f t="shared" si="42"/>
        <v>0</v>
      </c>
      <c r="Y156" s="34">
        <f t="shared" si="38"/>
        <v>0.69132553264216245</v>
      </c>
      <c r="Z156" s="34"/>
      <c r="AA156" s="4"/>
      <c r="AB156" s="4"/>
      <c r="AE156" s="4"/>
    </row>
    <row r="157" spans="1:31" x14ac:dyDescent="0.25">
      <c r="A157" s="1" t="s">
        <v>715</v>
      </c>
      <c r="B157" s="1" t="s">
        <v>656</v>
      </c>
      <c r="C157" s="1" t="s">
        <v>716</v>
      </c>
      <c r="D157" s="1" t="s">
        <v>554</v>
      </c>
      <c r="E157" s="1">
        <f>VLOOKUP(A157,BOM!A:E,5,0)</f>
        <v>1</v>
      </c>
      <c r="F157" s="122">
        <v>5.2</v>
      </c>
      <c r="G157" s="10">
        <v>5.64</v>
      </c>
      <c r="H157" s="11" t="s">
        <v>1874</v>
      </c>
      <c r="I157" s="49">
        <f>SUMIFS(BOM!Q:Q,BOM!A:A,'All Products'!A157,BOM!I:I,'All Products'!I$3)</f>
        <v>1.505048411868505</v>
      </c>
      <c r="J157" s="49">
        <f>SUMIFS(BOM!Q:Q,BOM!A:A,'All Products'!A157,BOM!I:I,'All Products'!J$3)+0.03</f>
        <v>0.17</v>
      </c>
      <c r="K157" s="29">
        <f t="shared" si="33"/>
        <v>0.29699439926746546</v>
      </c>
      <c r="L157" s="49">
        <f>SUMIF(BOM!A:A,'All Products'!A157,BOM!S:S)</f>
        <v>3.3112959352466058</v>
      </c>
      <c r="M157" s="49">
        <f>SUMIF(BOM!A:A,'All Products'!A157,BOM!V:V)</f>
        <v>0.21720416666666661</v>
      </c>
      <c r="N157" s="29">
        <f t="shared" si="34"/>
        <v>0.62562058544561572</v>
      </c>
      <c r="O157" s="55">
        <v>0</v>
      </c>
      <c r="P157" s="49">
        <f t="shared" si="35"/>
        <v>5.2035485137817776</v>
      </c>
      <c r="Q157" s="11">
        <f t="shared" si="36"/>
        <v>0.43645148621822205</v>
      </c>
      <c r="R157" s="29">
        <f t="shared" si="37"/>
        <v>7.738501528691881E-2</v>
      </c>
      <c r="S157" s="91">
        <v>0.6</v>
      </c>
      <c r="T157" s="91">
        <f t="shared" si="39"/>
        <v>3.3839999999999999</v>
      </c>
      <c r="U157" s="90">
        <f t="shared" si="40"/>
        <v>0.2618708917309332</v>
      </c>
      <c r="V157" s="90">
        <f t="shared" si="41"/>
        <v>0.2618708917309332</v>
      </c>
      <c r="W157" s="90">
        <f t="shared" si="42"/>
        <v>0</v>
      </c>
      <c r="Y157" s="34">
        <f t="shared" si="38"/>
        <v>0.73314744470416571</v>
      </c>
      <c r="Z157" s="34"/>
      <c r="AA157" s="4"/>
      <c r="AB157" s="4"/>
      <c r="AE157" s="4"/>
    </row>
    <row r="158" spans="1:31" x14ac:dyDescent="0.25">
      <c r="A158" s="1" t="s">
        <v>717</v>
      </c>
      <c r="B158" s="1" t="s">
        <v>656</v>
      </c>
      <c r="C158" s="1" t="s">
        <v>718</v>
      </c>
      <c r="D158" s="1" t="s">
        <v>554</v>
      </c>
      <c r="E158" s="1">
        <f>VLOOKUP(A158,BOM!A:E,5,0)</f>
        <v>2.5</v>
      </c>
      <c r="F158" s="122">
        <v>12.18</v>
      </c>
      <c r="G158" s="10">
        <v>13.25</v>
      </c>
      <c r="H158" s="11" t="s">
        <v>1874</v>
      </c>
      <c r="I158" s="49">
        <f>SUMIFS(BOM!Q:Q,BOM!A:A,'All Products'!A158,BOM!I:I,'All Products'!I$3)</f>
        <v>3.7626210296712626</v>
      </c>
      <c r="J158" s="49">
        <f>SUMIFS(BOM!Q:Q,BOM!A:A,'All Products'!A158,BOM!I:I,'All Products'!J$3)+0.03</f>
        <v>0.17</v>
      </c>
      <c r="K158" s="29">
        <f t="shared" si="33"/>
        <v>0.29680158714500093</v>
      </c>
      <c r="L158" s="49">
        <f>SUMIF(BOM!A:A,'All Products'!A158,BOM!S:S)</f>
        <v>8.2782398381165159</v>
      </c>
      <c r="M158" s="49">
        <f>SUMIF(BOM!A:A,'All Products'!A158,BOM!V:V)</f>
        <v>0.29618749999999999</v>
      </c>
      <c r="N158" s="29">
        <f t="shared" si="34"/>
        <v>0.64712659155596353</v>
      </c>
      <c r="O158" s="55">
        <v>0</v>
      </c>
      <c r="P158" s="49">
        <f t="shared" si="35"/>
        <v>12.507048367787778</v>
      </c>
      <c r="Q158" s="11">
        <f t="shared" si="36"/>
        <v>0.74295163221222182</v>
      </c>
      <c r="R158" s="29">
        <f t="shared" si="37"/>
        <v>5.607182129903561E-2</v>
      </c>
      <c r="S158" s="91">
        <v>0</v>
      </c>
      <c r="T158" s="91">
        <f t="shared" si="39"/>
        <v>0</v>
      </c>
      <c r="U158" s="90">
        <f t="shared" si="40"/>
        <v>0</v>
      </c>
      <c r="V158" s="90">
        <f t="shared" si="41"/>
        <v>0</v>
      </c>
      <c r="W158" s="90">
        <f t="shared" si="42"/>
        <v>0</v>
      </c>
      <c r="Y158" s="34">
        <f t="shared" si="38"/>
        <v>0.71602860153424441</v>
      </c>
      <c r="Z158" s="34"/>
      <c r="AA158" s="4"/>
      <c r="AB158" s="4"/>
      <c r="AE158" s="4"/>
    </row>
    <row r="159" spans="1:31" x14ac:dyDescent="0.25">
      <c r="A159" s="1" t="s">
        <v>719</v>
      </c>
      <c r="B159" s="1" t="s">
        <v>656</v>
      </c>
      <c r="C159" s="1" t="s">
        <v>720</v>
      </c>
      <c r="D159" s="1" t="s">
        <v>554</v>
      </c>
      <c r="E159" s="1">
        <f>VLOOKUP(A159,BOM!A:E,5,0)</f>
        <v>1</v>
      </c>
      <c r="F159" s="122">
        <v>3.33</v>
      </c>
      <c r="G159" s="10">
        <v>3.46</v>
      </c>
      <c r="H159" s="11" t="s">
        <v>1874</v>
      </c>
      <c r="I159" s="49">
        <f>SUMIFS(BOM!Q:Q,BOM!A:A,'All Products'!A159,BOM!I:I,'All Products'!I$3)</f>
        <v>0.5182948173322004</v>
      </c>
      <c r="J159" s="49">
        <f>SUMIFS(BOM!Q:Q,BOM!A:A,'All Products'!A159,BOM!I:I,'All Products'!J$3)+0.03</f>
        <v>0.17</v>
      </c>
      <c r="K159" s="29">
        <f t="shared" si="33"/>
        <v>0.19892913795728337</v>
      </c>
      <c r="L159" s="49">
        <f>SUMIF(BOM!A:A,'All Products'!A159,BOM!S:S)</f>
        <v>0.38861752454451043</v>
      </c>
      <c r="M159" s="49">
        <f>SUMIF(BOM!A:A,'All Products'!A159,BOM!V:V)</f>
        <v>0.21720416666666661</v>
      </c>
      <c r="N159" s="29">
        <f t="shared" si="34"/>
        <v>0.17509297433849047</v>
      </c>
      <c r="O159" s="55">
        <v>0</v>
      </c>
      <c r="P159" s="49">
        <f t="shared" si="35"/>
        <v>1.2941165085433775</v>
      </c>
      <c r="Q159" s="11">
        <f t="shared" si="36"/>
        <v>2.1658834914566225</v>
      </c>
      <c r="R159" s="29">
        <f t="shared" si="37"/>
        <v>0.62597788770422613</v>
      </c>
      <c r="S159" s="91">
        <v>19.600000000000001</v>
      </c>
      <c r="T159" s="91">
        <f t="shared" si="39"/>
        <v>67.816000000000003</v>
      </c>
      <c r="U159" s="90">
        <f t="shared" si="40"/>
        <v>42.451316432549802</v>
      </c>
      <c r="V159" s="90">
        <f t="shared" si="41"/>
        <v>42.451316432549802</v>
      </c>
      <c r="W159" s="90">
        <f t="shared" si="42"/>
        <v>0</v>
      </c>
      <c r="Y159" s="34">
        <f t="shared" si="38"/>
        <v>0.85020381001959533</v>
      </c>
      <c r="Z159" s="34"/>
      <c r="AE159" s="4"/>
    </row>
    <row r="160" spans="1:31" x14ac:dyDescent="0.25">
      <c r="A160" s="1" t="s">
        <v>721</v>
      </c>
      <c r="B160" s="1" t="s">
        <v>656</v>
      </c>
      <c r="C160" s="1" t="s">
        <v>722</v>
      </c>
      <c r="D160" s="1" t="s">
        <v>554</v>
      </c>
      <c r="E160" s="1">
        <f>VLOOKUP(A160,BOM!A:E,5,0)</f>
        <v>2.5</v>
      </c>
      <c r="F160" s="122">
        <v>8.32</v>
      </c>
      <c r="G160" s="10">
        <v>8.6300000000000008</v>
      </c>
      <c r="H160" s="11" t="s">
        <v>1874</v>
      </c>
      <c r="I160" s="49">
        <f>SUMIFS(BOM!Q:Q,BOM!A:A,'All Products'!A160,BOM!I:I,'All Products'!I$3)</f>
        <v>1.2957370433305011</v>
      </c>
      <c r="J160" s="49">
        <f>SUMIFS(BOM!Q:Q,BOM!A:A,'All Products'!A160,BOM!I:I,'All Products'!J$3)+0.03</f>
        <v>0.17</v>
      </c>
      <c r="K160" s="29">
        <f t="shared" si="33"/>
        <v>0.16984206759333731</v>
      </c>
      <c r="L160" s="49">
        <f>SUMIF(BOM!A:A,'All Products'!A160,BOM!S:S)</f>
        <v>0.97154381136127599</v>
      </c>
      <c r="M160" s="49">
        <f>SUMIF(BOM!A:A,'All Products'!A160,BOM!V:V)</f>
        <v>0.29618749999999999</v>
      </c>
      <c r="N160" s="29">
        <f t="shared" si="34"/>
        <v>0.14689818208126024</v>
      </c>
      <c r="O160" s="55">
        <v>0</v>
      </c>
      <c r="P160" s="49">
        <f t="shared" si="35"/>
        <v>2.7334683546917771</v>
      </c>
      <c r="Q160" s="11">
        <f t="shared" si="36"/>
        <v>5.8965316453082242</v>
      </c>
      <c r="R160" s="29">
        <f t="shared" si="37"/>
        <v>0.68325975032540254</v>
      </c>
      <c r="S160" s="91">
        <v>1</v>
      </c>
      <c r="T160" s="91">
        <f t="shared" si="39"/>
        <v>8.6300000000000008</v>
      </c>
      <c r="U160" s="90">
        <f t="shared" si="40"/>
        <v>5.8965316453082242</v>
      </c>
      <c r="V160" s="90">
        <f t="shared" si="41"/>
        <v>5.8965316453082242</v>
      </c>
      <c r="W160" s="90">
        <f t="shared" si="42"/>
        <v>0</v>
      </c>
      <c r="Y160" s="34">
        <f t="shared" si="38"/>
        <v>0.84985665778325603</v>
      </c>
      <c r="Z160" s="34"/>
      <c r="AE160" s="4"/>
    </row>
    <row r="161" spans="1:31" x14ac:dyDescent="0.25">
      <c r="A161" s="1" t="s">
        <v>337</v>
      </c>
      <c r="B161" s="1" t="s">
        <v>656</v>
      </c>
      <c r="C161" s="1" t="s">
        <v>338</v>
      </c>
      <c r="D161" s="1" t="s">
        <v>554</v>
      </c>
      <c r="E161" s="1">
        <f>VLOOKUP(A161,BOM!A:E,5,0)</f>
        <v>1</v>
      </c>
      <c r="F161" s="122">
        <v>1.67</v>
      </c>
      <c r="G161" s="10">
        <v>1.85</v>
      </c>
      <c r="H161" s="11" t="s">
        <v>1874</v>
      </c>
      <c r="I161" s="49">
        <f>SUMIFS(BOM!Q:Q,BOM!A:A,'All Products'!A161,BOM!I:I,'All Products'!I$3)</f>
        <v>0.68713328055405365</v>
      </c>
      <c r="J161" s="49">
        <f>SUMIFS(BOM!Q:Q,BOM!A:A,'All Products'!A161,BOM!I:I,'All Products'!J$3)+0.03</f>
        <v>0.17</v>
      </c>
      <c r="K161" s="29">
        <f t="shared" si="33"/>
        <v>0.46331528678597494</v>
      </c>
      <c r="L161" s="49">
        <f>SUMIF(BOM!A:A,'All Products'!A161,BOM!S:S)</f>
        <v>0.62462468067820642</v>
      </c>
      <c r="M161" s="49">
        <f>SUMIF(BOM!A:A,'All Products'!A161,BOM!V:V)</f>
        <v>0.21720416666666661</v>
      </c>
      <c r="N161" s="29">
        <f t="shared" si="34"/>
        <v>0.45504262018641783</v>
      </c>
      <c r="O161" s="55">
        <v>0</v>
      </c>
      <c r="P161" s="49">
        <f t="shared" si="35"/>
        <v>1.6989621278989269</v>
      </c>
      <c r="Q161" s="11">
        <f t="shared" si="36"/>
        <v>0.15103787210107322</v>
      </c>
      <c r="R161" s="29">
        <f t="shared" si="37"/>
        <v>8.1642093027607138E-2</v>
      </c>
      <c r="S161" s="91">
        <v>73.2</v>
      </c>
      <c r="T161" s="91">
        <f t="shared" si="39"/>
        <v>135.42000000000002</v>
      </c>
      <c r="U161" s="90">
        <f t="shared" si="40"/>
        <v>11.05597223779856</v>
      </c>
      <c r="V161" s="90">
        <f t="shared" si="41"/>
        <v>11.05597223779856</v>
      </c>
      <c r="W161" s="90">
        <f t="shared" si="42"/>
        <v>0</v>
      </c>
      <c r="Y161" s="34">
        <f t="shared" si="38"/>
        <v>0.62857660510591706</v>
      </c>
      <c r="Z161" s="34"/>
      <c r="AA161" s="4"/>
      <c r="AB161" s="4"/>
      <c r="AE161" s="4"/>
    </row>
    <row r="162" spans="1:31" x14ac:dyDescent="0.25">
      <c r="A162" s="1" t="s">
        <v>335</v>
      </c>
      <c r="B162" s="1" t="s">
        <v>656</v>
      </c>
      <c r="C162" s="1" t="s">
        <v>336</v>
      </c>
      <c r="D162" s="1" t="s">
        <v>554</v>
      </c>
      <c r="E162" s="1">
        <f>VLOOKUP(A162,BOM!A:E,5,0)</f>
        <v>2.5</v>
      </c>
      <c r="F162" s="122">
        <v>4.1900000000000004</v>
      </c>
      <c r="G162" s="10">
        <v>4.4000000000000004</v>
      </c>
      <c r="H162" s="11" t="s">
        <v>1874</v>
      </c>
      <c r="I162" s="49">
        <f>SUMIFS(BOM!Q:Q,BOM!A:A,'All Products'!A162,BOM!I:I,'All Products'!I$3)</f>
        <v>1.7178332013851341</v>
      </c>
      <c r="J162" s="49">
        <f>SUMIFS(BOM!Q:Q,BOM!A:A,'All Products'!A162,BOM!I:I,'All Products'!J$3)+0.03</f>
        <v>0.17</v>
      </c>
      <c r="K162" s="29">
        <f t="shared" si="33"/>
        <v>0.42905300031480315</v>
      </c>
      <c r="L162" s="49">
        <f>SUMIF(BOM!A:A,'All Products'!A162,BOM!S:S)</f>
        <v>1.5615617016955161</v>
      </c>
      <c r="M162" s="49">
        <f>SUMIF(BOM!A:A,'All Products'!A162,BOM!V:V)</f>
        <v>0.29618749999999999</v>
      </c>
      <c r="N162" s="29">
        <f t="shared" si="34"/>
        <v>0.4222157276580718</v>
      </c>
      <c r="O162" s="55">
        <v>0</v>
      </c>
      <c r="P162" s="49">
        <f t="shared" si="35"/>
        <v>3.7455824030806499</v>
      </c>
      <c r="Q162" s="11">
        <f t="shared" si="36"/>
        <v>0.65441759691935042</v>
      </c>
      <c r="R162" s="29">
        <f t="shared" si="37"/>
        <v>0.14873127202712508</v>
      </c>
      <c r="S162" s="91">
        <v>305</v>
      </c>
      <c r="T162" s="91">
        <f t="shared" si="39"/>
        <v>1342</v>
      </c>
      <c r="U162" s="90">
        <f t="shared" si="40"/>
        <v>199.59736706040187</v>
      </c>
      <c r="V162" s="90">
        <f t="shared" si="41"/>
        <v>199.59736706040187</v>
      </c>
      <c r="W162" s="90">
        <f t="shared" si="42"/>
        <v>0</v>
      </c>
      <c r="Y162" s="34">
        <f t="shared" si="38"/>
        <v>0.60958336332156049</v>
      </c>
      <c r="Z162" s="34"/>
      <c r="AA162" s="4"/>
      <c r="AB162" s="4"/>
      <c r="AE162" s="4"/>
    </row>
    <row r="163" spans="1:31" x14ac:dyDescent="0.25">
      <c r="A163" s="2" t="s">
        <v>334</v>
      </c>
      <c r="B163" s="2" t="s">
        <v>656</v>
      </c>
      <c r="C163" s="2" t="s">
        <v>723</v>
      </c>
      <c r="D163" s="2" t="s">
        <v>554</v>
      </c>
      <c r="E163" s="2">
        <f>VLOOKUP(A163,BOM!A:E,5,0)</f>
        <v>1</v>
      </c>
      <c r="F163" s="122">
        <v>3.06</v>
      </c>
      <c r="G163" s="10">
        <v>3.17</v>
      </c>
      <c r="H163" s="11" t="s">
        <v>1874</v>
      </c>
      <c r="I163" s="49">
        <f>SUMIFS(BOM!Q:Q,BOM!A:A,'All Products'!A163,BOM!I:I,'All Products'!I$3)</f>
        <v>0.71200678465546996</v>
      </c>
      <c r="J163" s="49">
        <f>SUMIFS(BOM!Q:Q,BOM!A:A,'All Products'!A163,BOM!I:I,'All Products'!J$3)+0.03</f>
        <v>0.17</v>
      </c>
      <c r="K163" s="29">
        <f t="shared" si="33"/>
        <v>0.27823557875566879</v>
      </c>
      <c r="L163" s="49">
        <f>SUMIF(BOM!A:A,'All Products'!A163,BOM!S:S)</f>
        <v>0.62008987373422331</v>
      </c>
      <c r="M163" s="49">
        <f>SUMIF(BOM!A:A,'All Products'!A163,BOM!V:V)</f>
        <v>0.21720416666666661</v>
      </c>
      <c r="N163" s="29">
        <f t="shared" si="34"/>
        <v>0.26413061211384542</v>
      </c>
      <c r="O163" s="55">
        <v>0</v>
      </c>
      <c r="P163" s="49">
        <f t="shared" si="35"/>
        <v>1.7193008250563599</v>
      </c>
      <c r="Q163" s="11">
        <f t="shared" si="36"/>
        <v>1.45069917494364</v>
      </c>
      <c r="R163" s="29">
        <f t="shared" si="37"/>
        <v>0.45763380913048579</v>
      </c>
      <c r="S163" s="91">
        <v>64.8</v>
      </c>
      <c r="T163" s="91">
        <f t="shared" si="39"/>
        <v>205.416</v>
      </c>
      <c r="U163" s="90">
        <f t="shared" si="40"/>
        <v>94.005306536347859</v>
      </c>
      <c r="V163" s="90">
        <f t="shared" si="41"/>
        <v>94.005306536347859</v>
      </c>
      <c r="W163" s="90">
        <f t="shared" si="42"/>
        <v>0</v>
      </c>
      <c r="Y163" s="34">
        <f t="shared" si="38"/>
        <v>0.77539218149669709</v>
      </c>
      <c r="Z163" s="34"/>
      <c r="AA163" s="4"/>
      <c r="AB163" s="4"/>
      <c r="AE163" s="4"/>
    </row>
    <row r="164" spans="1:31" x14ac:dyDescent="0.25">
      <c r="A164" s="2" t="s">
        <v>333</v>
      </c>
      <c r="B164" s="2" t="s">
        <v>656</v>
      </c>
      <c r="C164" s="2" t="s">
        <v>724</v>
      </c>
      <c r="D164" s="2" t="s">
        <v>554</v>
      </c>
      <c r="E164" s="2">
        <f>VLOOKUP(A164,BOM!A:E,5,0)</f>
        <v>2.5</v>
      </c>
      <c r="F164" s="122">
        <v>7.65</v>
      </c>
      <c r="G164" s="10">
        <v>7.93</v>
      </c>
      <c r="H164" s="11" t="s">
        <v>1874</v>
      </c>
      <c r="I164" s="49">
        <f>SUMIFS(BOM!Q:Q,BOM!A:A,'All Products'!A164,BOM!I:I,'All Products'!I$3)</f>
        <v>1.780016961638675</v>
      </c>
      <c r="J164" s="49">
        <f>SUMIFS(BOM!Q:Q,BOM!A:A,'All Products'!A164,BOM!I:I,'All Products'!J$3)+0.03</f>
        <v>0.17</v>
      </c>
      <c r="K164" s="29">
        <f t="shared" si="33"/>
        <v>0.24590377826465007</v>
      </c>
      <c r="L164" s="49">
        <f>SUMIF(BOM!A:A,'All Products'!A164,BOM!S:S)</f>
        <v>1.5502246843355585</v>
      </c>
      <c r="M164" s="49">
        <f>SUMIF(BOM!A:A,'All Products'!A164,BOM!V:V)</f>
        <v>0.29618749999999999</v>
      </c>
      <c r="N164" s="29">
        <f t="shared" si="34"/>
        <v>0.23283886309401747</v>
      </c>
      <c r="O164" s="55">
        <v>0</v>
      </c>
      <c r="P164" s="49">
        <f t="shared" si="35"/>
        <v>3.7964291459742334</v>
      </c>
      <c r="Q164" s="11">
        <f t="shared" si="36"/>
        <v>4.1335708540257663</v>
      </c>
      <c r="R164" s="29">
        <f t="shared" si="37"/>
        <v>0.52125735864133249</v>
      </c>
      <c r="S164" s="91">
        <v>369.4</v>
      </c>
      <c r="T164" s="91">
        <f t="shared" si="39"/>
        <v>2929.3419999999996</v>
      </c>
      <c r="U164" s="90">
        <f t="shared" si="40"/>
        <v>1526.9410734771179</v>
      </c>
      <c r="V164" s="90">
        <f t="shared" si="41"/>
        <v>1526.9410734771179</v>
      </c>
      <c r="W164" s="90">
        <f t="shared" si="42"/>
        <v>0</v>
      </c>
      <c r="Y164" s="34">
        <f t="shared" si="38"/>
        <v>0.77553380054997789</v>
      </c>
      <c r="Z164" s="34"/>
      <c r="AA164" s="4"/>
      <c r="AB164" s="4"/>
      <c r="AE164" s="4"/>
    </row>
    <row r="165" spans="1:31" x14ac:dyDescent="0.25">
      <c r="A165" s="1" t="s">
        <v>725</v>
      </c>
      <c r="B165" s="1" t="s">
        <v>656</v>
      </c>
      <c r="C165" s="1" t="s">
        <v>726</v>
      </c>
      <c r="D165" s="1" t="s">
        <v>554</v>
      </c>
      <c r="E165" s="1">
        <f>VLOOKUP(A165,BOM!A:E,5,0)</f>
        <v>1</v>
      </c>
      <c r="F165" s="122">
        <v>1.72</v>
      </c>
      <c r="G165" s="10">
        <v>1.85</v>
      </c>
      <c r="H165" s="11" t="s">
        <v>1874</v>
      </c>
      <c r="I165" s="49">
        <f>SUMIFS(BOM!Q:Q,BOM!A:A,'All Products'!A165,BOM!I:I,'All Products'!I$3)</f>
        <v>0.5182948173322004</v>
      </c>
      <c r="J165" s="49">
        <f>SUMIFS(BOM!Q:Q,BOM!A:A,'All Products'!A165,BOM!I:I,'All Products'!J$3)+0.03</f>
        <v>0.17</v>
      </c>
      <c r="K165" s="29">
        <f t="shared" si="33"/>
        <v>0.37205125261200023</v>
      </c>
      <c r="L165" s="49">
        <f>SUMIF(BOM!A:A,'All Products'!A165,BOM!S:S)</f>
        <v>0.42246752454451048</v>
      </c>
      <c r="M165" s="49">
        <f>SUMIF(BOM!A:A,'All Products'!A165,BOM!V:V)</f>
        <v>0.21720416666666661</v>
      </c>
      <c r="N165" s="29">
        <f t="shared" si="34"/>
        <v>0.34576848173577135</v>
      </c>
      <c r="O165" s="55">
        <v>0</v>
      </c>
      <c r="P165" s="49">
        <f t="shared" si="35"/>
        <v>1.3279665085433776</v>
      </c>
      <c r="Q165" s="11">
        <f t="shared" si="36"/>
        <v>0.52203349145662248</v>
      </c>
      <c r="R165" s="29">
        <f t="shared" si="37"/>
        <v>0.28218026565222837</v>
      </c>
      <c r="S165" s="91">
        <v>0</v>
      </c>
      <c r="T165" s="91">
        <f t="shared" si="39"/>
        <v>0</v>
      </c>
      <c r="U165" s="90">
        <f t="shared" si="40"/>
        <v>0</v>
      </c>
      <c r="V165" s="90">
        <f t="shared" si="41"/>
        <v>0</v>
      </c>
      <c r="W165" s="90">
        <f t="shared" si="42"/>
        <v>0</v>
      </c>
      <c r="Y165" s="34">
        <f t="shared" si="38"/>
        <v>0.71984063927989173</v>
      </c>
      <c r="Z165" s="34"/>
      <c r="AA165" s="4"/>
      <c r="AB165" s="4"/>
      <c r="AE165" s="4"/>
    </row>
    <row r="166" spans="1:31" x14ac:dyDescent="0.25">
      <c r="A166" s="1" t="s">
        <v>727</v>
      </c>
      <c r="B166" s="1" t="s">
        <v>656</v>
      </c>
      <c r="C166" s="1" t="s">
        <v>728</v>
      </c>
      <c r="D166" s="1" t="s">
        <v>554</v>
      </c>
      <c r="E166" s="1">
        <f>VLOOKUP(A166,BOM!A:E,5,0)</f>
        <v>2.5</v>
      </c>
      <c r="F166" s="122">
        <v>4.28</v>
      </c>
      <c r="G166" s="10">
        <v>4.5999999999999996</v>
      </c>
      <c r="H166" s="11" t="s">
        <v>1874</v>
      </c>
      <c r="I166" s="49">
        <f>SUMIFS(BOM!Q:Q,BOM!A:A,'All Products'!A166,BOM!I:I,'All Products'!I$3)</f>
        <v>1.2957370433305011</v>
      </c>
      <c r="J166" s="49">
        <f>SUMIFS(BOM!Q:Q,BOM!A:A,'All Products'!A166,BOM!I:I,'All Products'!J$3)+0.03</f>
        <v>0.17</v>
      </c>
      <c r="K166" s="29">
        <f t="shared" si="33"/>
        <v>0.3186384876805437</v>
      </c>
      <c r="L166" s="49">
        <f>SUMIF(BOM!A:A,'All Products'!A166,BOM!S:S)</f>
        <v>1.0561688113612762</v>
      </c>
      <c r="M166" s="49">
        <f>SUMIF(BOM!A:A,'All Products'!A166,BOM!V:V)</f>
        <v>0.29618749999999999</v>
      </c>
      <c r="N166" s="29">
        <f t="shared" si="34"/>
        <v>0.29399050246984265</v>
      </c>
      <c r="O166" s="55">
        <v>0</v>
      </c>
      <c r="P166" s="49">
        <f t="shared" si="35"/>
        <v>2.8180933546917775</v>
      </c>
      <c r="Q166" s="11">
        <f t="shared" si="36"/>
        <v>1.7819066453082222</v>
      </c>
      <c r="R166" s="29">
        <f t="shared" si="37"/>
        <v>0.38737100984961353</v>
      </c>
      <c r="S166" s="91">
        <v>5.2</v>
      </c>
      <c r="T166" s="91">
        <f t="shared" si="39"/>
        <v>23.919999999999998</v>
      </c>
      <c r="U166" s="90">
        <f t="shared" si="40"/>
        <v>9.2659145556027553</v>
      </c>
      <c r="V166" s="90">
        <f t="shared" si="41"/>
        <v>9.2659145556027553</v>
      </c>
      <c r="W166" s="90">
        <f t="shared" si="42"/>
        <v>0</v>
      </c>
      <c r="Y166" s="34">
        <f t="shared" si="38"/>
        <v>0.71831803405858674</v>
      </c>
      <c r="Z166" s="34"/>
      <c r="AA166" s="4"/>
      <c r="AB166" s="4"/>
      <c r="AE166" s="4"/>
    </row>
    <row r="167" spans="1:31" x14ac:dyDescent="0.25">
      <c r="A167" s="1" t="s">
        <v>327</v>
      </c>
      <c r="B167" s="1" t="s">
        <v>656</v>
      </c>
      <c r="C167" s="1" t="s">
        <v>328</v>
      </c>
      <c r="D167" s="1" t="s">
        <v>554</v>
      </c>
      <c r="E167" s="1">
        <f>VLOOKUP(A167,BOM!A:E,5,0)</f>
        <v>1</v>
      </c>
      <c r="F167" s="122">
        <v>1.47</v>
      </c>
      <c r="G167" s="10">
        <v>1.52</v>
      </c>
      <c r="H167" s="11" t="s">
        <v>1874</v>
      </c>
      <c r="I167" s="49">
        <f>SUMIFS(BOM!Q:Q,BOM!A:A,'All Products'!A167,BOM!I:I,'All Products'!I$3)</f>
        <v>0.5182948173322004</v>
      </c>
      <c r="J167" s="49">
        <f>SUMIFS(BOM!Q:Q,BOM!A:A,'All Products'!A167,BOM!I:I,'All Products'!J$3)+0.03</f>
        <v>0.17</v>
      </c>
      <c r="K167" s="29">
        <f t="shared" si="33"/>
        <v>0.45282553771855294</v>
      </c>
      <c r="L167" s="49">
        <f>SUMIF(BOM!A:A,'All Products'!A167,BOM!S:S)</f>
        <v>0.42246752454451048</v>
      </c>
      <c r="M167" s="49">
        <f>SUMIF(BOM!A:A,'All Products'!A167,BOM!V:V)</f>
        <v>0.21720416666666661</v>
      </c>
      <c r="N167" s="29">
        <f t="shared" si="34"/>
        <v>0.42083663895472173</v>
      </c>
      <c r="O167" s="55">
        <v>0</v>
      </c>
      <c r="P167" s="49">
        <f t="shared" si="35"/>
        <v>1.3279665085433776</v>
      </c>
      <c r="Q167" s="11">
        <f t="shared" si="36"/>
        <v>0.19203349145662241</v>
      </c>
      <c r="R167" s="29">
        <f t="shared" si="37"/>
        <v>0.12633782332672527</v>
      </c>
      <c r="S167" s="91">
        <v>102.2</v>
      </c>
      <c r="T167" s="91">
        <f t="shared" si="39"/>
        <v>155.34399999999999</v>
      </c>
      <c r="U167" s="90">
        <f t="shared" si="40"/>
        <v>19.625822826866809</v>
      </c>
      <c r="V167" s="90">
        <f t="shared" si="41"/>
        <v>19.625822826866809</v>
      </c>
      <c r="W167" s="90">
        <f t="shared" si="42"/>
        <v>0</v>
      </c>
      <c r="Y167" s="34">
        <f t="shared" si="38"/>
        <v>0.65901656754460503</v>
      </c>
      <c r="Z167" s="34"/>
      <c r="AA167" s="4"/>
      <c r="AB167" s="4"/>
      <c r="AE167" s="4"/>
    </row>
    <row r="168" spans="1:31" x14ac:dyDescent="0.25">
      <c r="A168" s="1" t="s">
        <v>325</v>
      </c>
      <c r="B168" s="1" t="s">
        <v>656</v>
      </c>
      <c r="C168" s="1" t="s">
        <v>326</v>
      </c>
      <c r="D168" s="1" t="s">
        <v>554</v>
      </c>
      <c r="E168" s="1">
        <f>VLOOKUP(A168,BOM!A:E,5,0)</f>
        <v>2.5</v>
      </c>
      <c r="F168" s="122">
        <v>3.68</v>
      </c>
      <c r="G168" s="10">
        <v>3.82</v>
      </c>
      <c r="H168" s="11" t="s">
        <v>1874</v>
      </c>
      <c r="I168" s="49">
        <f>SUMIFS(BOM!Q:Q,BOM!A:A,'All Products'!A168,BOM!I:I,'All Products'!I$3)</f>
        <v>1.2957370433305011</v>
      </c>
      <c r="J168" s="49">
        <f>SUMIFS(BOM!Q:Q,BOM!A:A,'All Products'!A168,BOM!I:I,'All Products'!J$3)+0.03</f>
        <v>0.17</v>
      </c>
      <c r="K168" s="29">
        <f t="shared" si="33"/>
        <v>0.38370079668337725</v>
      </c>
      <c r="L168" s="49">
        <f>SUMIF(BOM!A:A,'All Products'!A168,BOM!S:S)</f>
        <v>1.0561688113612762</v>
      </c>
      <c r="M168" s="49">
        <f>SUMIF(BOM!A:A,'All Products'!A168,BOM!V:V)</f>
        <v>0.29618749999999999</v>
      </c>
      <c r="N168" s="29">
        <f t="shared" si="34"/>
        <v>0.35401997679614561</v>
      </c>
      <c r="O168" s="55">
        <v>0</v>
      </c>
      <c r="P168" s="49">
        <f t="shared" si="35"/>
        <v>2.8180933546917775</v>
      </c>
      <c r="Q168" s="11">
        <f t="shared" si="36"/>
        <v>1.0019066453082224</v>
      </c>
      <c r="R168" s="29">
        <f t="shared" si="37"/>
        <v>0.26227922652047708</v>
      </c>
      <c r="S168" s="91">
        <v>513.6</v>
      </c>
      <c r="T168" s="91">
        <f t="shared" si="39"/>
        <v>1961.952</v>
      </c>
      <c r="U168" s="90">
        <f t="shared" si="40"/>
        <v>514.57925303030299</v>
      </c>
      <c r="V168" s="90">
        <f t="shared" si="41"/>
        <v>514.57925303030299</v>
      </c>
      <c r="W168" s="90">
        <f t="shared" si="42"/>
        <v>0</v>
      </c>
      <c r="Y168" s="34">
        <f t="shared" si="38"/>
        <v>0.66080182111766983</v>
      </c>
      <c r="Z168" s="34"/>
      <c r="AA168" s="4"/>
      <c r="AB168" s="4"/>
      <c r="AE168" s="4"/>
    </row>
    <row r="169" spans="1:31" x14ac:dyDescent="0.25">
      <c r="A169" s="1" t="s">
        <v>729</v>
      </c>
      <c r="B169" s="1" t="s">
        <v>656</v>
      </c>
      <c r="C169" s="1" t="s">
        <v>730</v>
      </c>
      <c r="D169" s="1" t="s">
        <v>554</v>
      </c>
      <c r="E169" s="1">
        <f>VLOOKUP(A169,BOM!A:E,5,0)</f>
        <v>1</v>
      </c>
      <c r="F169" s="122">
        <v>2.7</v>
      </c>
      <c r="G169" s="10">
        <v>3.08</v>
      </c>
      <c r="H169" s="11" t="s">
        <v>1874</v>
      </c>
      <c r="I169" s="49">
        <f>SUMIFS(BOM!Q:Q,BOM!A:A,'All Products'!A169,BOM!I:I,'All Products'!I$3)</f>
        <v>0.68864346358823836</v>
      </c>
      <c r="J169" s="49">
        <f>SUMIFS(BOM!Q:Q,BOM!A:A,'All Products'!A169,BOM!I:I,'All Products'!J$3)+0.03</f>
        <v>0.17</v>
      </c>
      <c r="K169" s="29">
        <f t="shared" si="33"/>
        <v>0.2787803453208566</v>
      </c>
      <c r="L169" s="49">
        <f>SUMIF(BOM!A:A,'All Products'!A169,BOM!S:S)</f>
        <v>1.8723296403516239</v>
      </c>
      <c r="M169" s="49">
        <f>SUMIF(BOM!A:A,'All Products'!A169,BOM!V:V)</f>
        <v>0.21720416666666661</v>
      </c>
      <c r="N169" s="29">
        <f t="shared" si="34"/>
        <v>0.6784200672137306</v>
      </c>
      <c r="O169" s="55">
        <v>0</v>
      </c>
      <c r="P169" s="49">
        <f t="shared" si="35"/>
        <v>2.9481772706065286</v>
      </c>
      <c r="Q169" s="11">
        <f t="shared" si="36"/>
        <v>0.1318227293934715</v>
      </c>
      <c r="R169" s="29">
        <f t="shared" si="37"/>
        <v>4.2799587465412826E-2</v>
      </c>
      <c r="S169" s="91">
        <v>0.4</v>
      </c>
      <c r="T169" s="91">
        <f t="shared" si="39"/>
        <v>1.2320000000000002</v>
      </c>
      <c r="U169" s="90">
        <f t="shared" si="40"/>
        <v>5.2729091757388602E-2</v>
      </c>
      <c r="V169" s="90">
        <f t="shared" si="41"/>
        <v>5.2729091757388602E-2</v>
      </c>
      <c r="W169" s="90">
        <f t="shared" si="42"/>
        <v>0</v>
      </c>
      <c r="Y169" s="34">
        <f t="shared" si="38"/>
        <v>0.77641445987394864</v>
      </c>
      <c r="Z169" s="34"/>
      <c r="AA169" s="4"/>
      <c r="AB169" s="4"/>
      <c r="AE169" s="4"/>
    </row>
    <row r="170" spans="1:31" x14ac:dyDescent="0.25">
      <c r="A170" s="1" t="s">
        <v>321</v>
      </c>
      <c r="B170" s="1" t="s">
        <v>656</v>
      </c>
      <c r="C170" s="1" t="s">
        <v>322</v>
      </c>
      <c r="D170" s="1" t="s">
        <v>554</v>
      </c>
      <c r="E170" s="1">
        <f>VLOOKUP(A170,BOM!A:E,5,0)</f>
        <v>2.5</v>
      </c>
      <c r="F170" s="122">
        <v>6.45</v>
      </c>
      <c r="G170" s="10">
        <v>7.14</v>
      </c>
      <c r="H170" s="11" t="s">
        <v>1874</v>
      </c>
      <c r="I170" s="49">
        <f>SUMIFS(BOM!Q:Q,BOM!A:A,'All Products'!A170,BOM!I:I,'All Products'!I$3)</f>
        <v>1.7216086589705961</v>
      </c>
      <c r="J170" s="49">
        <f>SUMIFS(BOM!Q:Q,BOM!A:A,'All Products'!A170,BOM!I:I,'All Products'!J$3)+0.03</f>
        <v>0.17</v>
      </c>
      <c r="K170" s="29">
        <f t="shared" si="33"/>
        <v>0.26493118472977539</v>
      </c>
      <c r="L170" s="49">
        <f>SUMIF(BOM!A:A,'All Products'!A170,BOM!S:S)</f>
        <v>4.6808241008790592</v>
      </c>
      <c r="M170" s="49">
        <f>SUMIF(BOM!A:A,'All Products'!A170,BOM!V:V)</f>
        <v>0.29618749999999999</v>
      </c>
      <c r="N170" s="29">
        <f t="shared" si="34"/>
        <v>0.69706044830238933</v>
      </c>
      <c r="O170" s="55">
        <v>0</v>
      </c>
      <c r="P170" s="49">
        <f t="shared" si="35"/>
        <v>6.8686202598496546</v>
      </c>
      <c r="Q170" s="11">
        <f t="shared" si="36"/>
        <v>0.27137974015034505</v>
      </c>
      <c r="R170" s="29">
        <f t="shared" si="37"/>
        <v>3.8008366967835445E-2</v>
      </c>
      <c r="S170" s="91">
        <v>110.8</v>
      </c>
      <c r="T170" s="91">
        <f t="shared" si="39"/>
        <v>791.11199999999997</v>
      </c>
      <c r="U170" s="90">
        <f t="shared" si="40"/>
        <v>30.06887520865823</v>
      </c>
      <c r="V170" s="90">
        <f t="shared" si="41"/>
        <v>30.06887520865823</v>
      </c>
      <c r="W170" s="90">
        <f t="shared" si="42"/>
        <v>0</v>
      </c>
      <c r="Y170" s="34">
        <f t="shared" si="38"/>
        <v>0.75887833907974844</v>
      </c>
      <c r="Z170" s="34"/>
      <c r="AA170" s="4"/>
      <c r="AB170" s="4"/>
      <c r="AE170" s="4"/>
    </row>
    <row r="171" spans="1:31" x14ac:dyDescent="0.25">
      <c r="A171" s="1" t="s">
        <v>490</v>
      </c>
      <c r="B171" s="1" t="s">
        <v>656</v>
      </c>
      <c r="C171" s="1" t="s">
        <v>731</v>
      </c>
      <c r="D171" s="1" t="s">
        <v>554</v>
      </c>
      <c r="E171" s="1">
        <f>VLOOKUP(A171,BOM!A:E,5,0)</f>
        <v>1</v>
      </c>
      <c r="F171" s="122">
        <v>1.67</v>
      </c>
      <c r="G171" s="10">
        <v>1.76</v>
      </c>
      <c r="H171" s="11" t="s">
        <v>1874</v>
      </c>
      <c r="I171" s="49">
        <f>SUMIFS(BOM!Q:Q,BOM!A:A,'All Products'!A171,BOM!I:I,'All Products'!I$3)</f>
        <v>0.68713328055405365</v>
      </c>
      <c r="J171" s="49">
        <f>SUMIFS(BOM!Q:Q,BOM!A:A,'All Products'!A171,BOM!I:I,'All Products'!J$3)+0.03</f>
        <v>0.17</v>
      </c>
      <c r="K171" s="29">
        <f t="shared" si="33"/>
        <v>0.48700754576934868</v>
      </c>
      <c r="L171" s="49">
        <f>SUMIF(BOM!A:A,'All Products'!A171,BOM!S:S)</f>
        <v>0.62462468067820642</v>
      </c>
      <c r="M171" s="49">
        <f>SUMIF(BOM!A:A,'All Products'!A171,BOM!V:V)</f>
        <v>0.21720416666666661</v>
      </c>
      <c r="N171" s="29">
        <f t="shared" si="34"/>
        <v>0.47831184508231422</v>
      </c>
      <c r="O171" s="55">
        <v>0</v>
      </c>
      <c r="P171" s="49">
        <f t="shared" si="35"/>
        <v>1.6989621278989269</v>
      </c>
      <c r="Q171" s="11">
        <f t="shared" si="36"/>
        <v>6.1037872101073143E-2</v>
      </c>
      <c r="R171" s="29">
        <f t="shared" si="37"/>
        <v>3.468060914833701E-2</v>
      </c>
      <c r="S171" s="91">
        <v>2</v>
      </c>
      <c r="T171" s="91">
        <f t="shared" si="39"/>
        <v>3.52</v>
      </c>
      <c r="U171" s="90">
        <f t="shared" si="40"/>
        <v>0.12207574420214629</v>
      </c>
      <c r="V171" s="90">
        <f t="shared" si="41"/>
        <v>0.12207574420214629</v>
      </c>
      <c r="W171" s="90">
        <f t="shared" si="42"/>
        <v>0</v>
      </c>
      <c r="Y171" s="34">
        <f t="shared" si="38"/>
        <v>0.60958336332156038</v>
      </c>
      <c r="Z171" s="34"/>
      <c r="AA171" s="4"/>
      <c r="AB171" s="4"/>
      <c r="AE171" s="4"/>
    </row>
    <row r="172" spans="1:31" x14ac:dyDescent="0.25">
      <c r="A172" s="1" t="s">
        <v>489</v>
      </c>
      <c r="B172" s="1" t="s">
        <v>656</v>
      </c>
      <c r="C172" s="1" t="s">
        <v>732</v>
      </c>
      <c r="D172" s="1" t="s">
        <v>554</v>
      </c>
      <c r="E172" s="1">
        <f>VLOOKUP(A172,BOM!A:E,5,0)</f>
        <v>2.5</v>
      </c>
      <c r="F172" s="122">
        <v>4.1900000000000004</v>
      </c>
      <c r="G172" s="10">
        <v>4.4000000000000004</v>
      </c>
      <c r="H172" s="11" t="s">
        <v>1874</v>
      </c>
      <c r="I172" s="49">
        <f>SUMIFS(BOM!Q:Q,BOM!A:A,'All Products'!A172,BOM!I:I,'All Products'!I$3)</f>
        <v>1.7178332013851341</v>
      </c>
      <c r="J172" s="49">
        <f>SUMIFS(BOM!Q:Q,BOM!A:A,'All Products'!A172,BOM!I:I,'All Products'!J$3)+0.03</f>
        <v>0.17</v>
      </c>
      <c r="K172" s="29">
        <f t="shared" si="33"/>
        <v>0.42905300031480315</v>
      </c>
      <c r="L172" s="49">
        <f>SUMIF(BOM!A:A,'All Products'!A172,BOM!S:S)</f>
        <v>1.5615617016955161</v>
      </c>
      <c r="M172" s="49">
        <f>SUMIF(BOM!A:A,'All Products'!A172,BOM!V:V)</f>
        <v>0.29618749999999999</v>
      </c>
      <c r="N172" s="29">
        <f t="shared" si="34"/>
        <v>0.4222157276580718</v>
      </c>
      <c r="O172" s="55">
        <v>0</v>
      </c>
      <c r="P172" s="49">
        <f t="shared" si="35"/>
        <v>3.7455824030806499</v>
      </c>
      <c r="Q172" s="11">
        <f t="shared" si="36"/>
        <v>0.65441759691935042</v>
      </c>
      <c r="R172" s="29">
        <f t="shared" si="37"/>
        <v>0.14873127202712508</v>
      </c>
      <c r="S172" s="91">
        <v>28.2</v>
      </c>
      <c r="T172" s="91">
        <f t="shared" si="39"/>
        <v>124.08000000000001</v>
      </c>
      <c r="U172" s="90">
        <f t="shared" si="40"/>
        <v>18.454576233125682</v>
      </c>
      <c r="V172" s="90">
        <f t="shared" si="41"/>
        <v>18.454576233125682</v>
      </c>
      <c r="W172" s="90">
        <f t="shared" si="42"/>
        <v>0</v>
      </c>
      <c r="Y172" s="34">
        <f t="shared" si="38"/>
        <v>0.60958336332156049</v>
      </c>
      <c r="Z172" s="34"/>
      <c r="AA172" s="4"/>
      <c r="AB172" s="4"/>
      <c r="AE172" s="4"/>
    </row>
    <row r="173" spans="1:31" x14ac:dyDescent="0.25">
      <c r="A173" s="1" t="s">
        <v>733</v>
      </c>
      <c r="B173" s="1" t="s">
        <v>656</v>
      </c>
      <c r="C173" s="1" t="s">
        <v>734</v>
      </c>
      <c r="D173" s="1" t="s">
        <v>554</v>
      </c>
      <c r="E173" s="1">
        <f>VLOOKUP(A173,BOM!A:E,5,0)</f>
        <v>2.5</v>
      </c>
      <c r="F173" s="122">
        <v>3.67</v>
      </c>
      <c r="G173" s="10">
        <v>3.98</v>
      </c>
      <c r="H173" s="11" t="s">
        <v>1874</v>
      </c>
      <c r="I173" s="49">
        <f>SUMIFS(BOM!Q:Q,BOM!A:A,'All Products'!A173,BOM!I:I,'All Products'!I$3)</f>
        <v>1.2957370433305011</v>
      </c>
      <c r="J173" s="49">
        <f>SUMIFS(BOM!Q:Q,BOM!A:A,'All Products'!A173,BOM!I:I,'All Products'!J$3)+0.03</f>
        <v>0.17</v>
      </c>
      <c r="K173" s="29">
        <f t="shared" si="33"/>
        <v>0.36827563902776406</v>
      </c>
      <c r="L173" s="49">
        <f>SUMIF(BOM!A:A,'All Products'!A173,BOM!S:S)</f>
        <v>1.0561688113612762</v>
      </c>
      <c r="M173" s="49">
        <f>SUMIF(BOM!A:A,'All Products'!A173,BOM!V:V)</f>
        <v>0.29618749999999999</v>
      </c>
      <c r="N173" s="29">
        <f t="shared" si="34"/>
        <v>0.33978801792996888</v>
      </c>
      <c r="O173" s="55">
        <v>0</v>
      </c>
      <c r="P173" s="49">
        <f t="shared" si="35"/>
        <v>2.8180933546917775</v>
      </c>
      <c r="Q173" s="11">
        <f t="shared" si="36"/>
        <v>1.1619066453082225</v>
      </c>
      <c r="R173" s="29">
        <f t="shared" si="37"/>
        <v>0.29193634304226695</v>
      </c>
      <c r="S173" s="91">
        <v>0</v>
      </c>
      <c r="T173" s="91">
        <f t="shared" si="39"/>
        <v>0</v>
      </c>
      <c r="U173" s="90">
        <f t="shared" si="40"/>
        <v>0</v>
      </c>
      <c r="V173" s="90">
        <f t="shared" si="41"/>
        <v>0</v>
      </c>
      <c r="W173" s="90">
        <f t="shared" si="42"/>
        <v>0</v>
      </c>
      <c r="Y173" s="34">
        <f t="shared" si="38"/>
        <v>0.67443792881143183</v>
      </c>
      <c r="Z173" s="34"/>
      <c r="AA173" s="4"/>
      <c r="AB173" s="4"/>
      <c r="AE173" s="4"/>
    </row>
    <row r="174" spans="1:31" x14ac:dyDescent="0.25">
      <c r="A174" s="1" t="s">
        <v>487</v>
      </c>
      <c r="B174" s="1" t="s">
        <v>656</v>
      </c>
      <c r="C174" s="1" t="s">
        <v>488</v>
      </c>
      <c r="D174" s="1" t="s">
        <v>554</v>
      </c>
      <c r="E174" s="1">
        <f>VLOOKUP(A174,BOM!A:E,5,0)</f>
        <v>1</v>
      </c>
      <c r="F174" s="122">
        <v>6.21</v>
      </c>
      <c r="G174" s="10">
        <v>7.13</v>
      </c>
      <c r="H174" s="11" t="s">
        <v>1874</v>
      </c>
      <c r="I174" s="49">
        <f>SUMIFS(BOM!Q:Q,BOM!A:A,'All Products'!A174,BOM!I:I,'All Products'!I$3)</f>
        <v>1.2052980132450328</v>
      </c>
      <c r="J174" s="49">
        <f>SUMIFS(BOM!Q:Q,BOM!A:A,'All Products'!A174,BOM!I:I,'All Products'!J$3)+0.03</f>
        <v>0.17</v>
      </c>
      <c r="K174" s="29">
        <f t="shared" si="33"/>
        <v>0.19288892191374934</v>
      </c>
      <c r="L174" s="49">
        <f>SUMIF(BOM!A:A,'All Products'!A174,BOM!S:S)</f>
        <v>0.99258462104488576</v>
      </c>
      <c r="M174" s="49">
        <f>SUMIF(BOM!A:A,'All Products'!A174,BOM!V:V)</f>
        <v>0.21720416666666661</v>
      </c>
      <c r="N174" s="29">
        <f t="shared" si="34"/>
        <v>0.16967584680386427</v>
      </c>
      <c r="O174" s="55">
        <v>0</v>
      </c>
      <c r="P174" s="49">
        <f t="shared" si="35"/>
        <v>2.5850868009565851</v>
      </c>
      <c r="Q174" s="11">
        <f t="shared" si="36"/>
        <v>4.5449131990434148</v>
      </c>
      <c r="R174" s="29">
        <f t="shared" si="37"/>
        <v>0.63743523128238633</v>
      </c>
      <c r="S174" s="91">
        <v>11</v>
      </c>
      <c r="T174" s="91">
        <f t="shared" si="39"/>
        <v>78.429999999999993</v>
      </c>
      <c r="U174" s="90">
        <f t="shared" si="40"/>
        <v>49.994045189477561</v>
      </c>
      <c r="V174" s="90">
        <f t="shared" si="41"/>
        <v>49.994045189477561</v>
      </c>
      <c r="W174" s="90">
        <f t="shared" si="42"/>
        <v>0</v>
      </c>
      <c r="Y174" s="34">
        <f t="shared" si="38"/>
        <v>0.83095399533730263</v>
      </c>
      <c r="Z174" s="34"/>
      <c r="AA174" s="4"/>
      <c r="AB174" s="4"/>
      <c r="AE174" s="4">
        <v>1.8883002207505515</v>
      </c>
    </row>
    <row r="175" spans="1:31" x14ac:dyDescent="0.25">
      <c r="A175" s="1" t="s">
        <v>317</v>
      </c>
      <c r="B175" s="1" t="s">
        <v>656</v>
      </c>
      <c r="C175" s="1" t="s">
        <v>318</v>
      </c>
      <c r="D175" s="1" t="s">
        <v>554</v>
      </c>
      <c r="E175" s="1">
        <f>VLOOKUP(A175,BOM!A:E,5,0)</f>
        <v>2.5</v>
      </c>
      <c r="F175" s="122">
        <v>15.51</v>
      </c>
      <c r="G175" s="10">
        <v>17.89</v>
      </c>
      <c r="H175" s="11" t="s">
        <v>1874</v>
      </c>
      <c r="I175" s="49">
        <f>SUMIFS(BOM!Q:Q,BOM!A:A,'All Products'!A175,BOM!I:I,'All Products'!I$3)</f>
        <v>3.0132450331125824</v>
      </c>
      <c r="J175" s="49">
        <f>SUMIFS(BOM!Q:Q,BOM!A:A,'All Products'!A175,BOM!I:I,'All Products'!J$3)+0.03</f>
        <v>0.17</v>
      </c>
      <c r="K175" s="29">
        <f t="shared" si="33"/>
        <v>0.17793432270053561</v>
      </c>
      <c r="L175" s="49">
        <f>SUMIF(BOM!A:A,'All Products'!A175,BOM!S:S)</f>
        <v>2.4814615526122146</v>
      </c>
      <c r="M175" s="49">
        <f>SUMIF(BOM!A:A,'All Products'!A175,BOM!V:V)</f>
        <v>0.29618749999999999</v>
      </c>
      <c r="N175" s="29">
        <f t="shared" si="34"/>
        <v>0.15526266364517688</v>
      </c>
      <c r="O175" s="55">
        <v>0</v>
      </c>
      <c r="P175" s="49">
        <f t="shared" si="35"/>
        <v>5.9608940857247967</v>
      </c>
      <c r="Q175" s="11">
        <f t="shared" si="36"/>
        <v>11.929105914275205</v>
      </c>
      <c r="R175" s="29">
        <f t="shared" si="37"/>
        <v>0.66680301365428751</v>
      </c>
      <c r="S175" s="91">
        <v>16.399999999999999</v>
      </c>
      <c r="T175" s="91">
        <f t="shared" si="39"/>
        <v>293.39599999999996</v>
      </c>
      <c r="U175" s="90">
        <f t="shared" si="40"/>
        <v>195.63733699411335</v>
      </c>
      <c r="V175" s="90">
        <f t="shared" si="41"/>
        <v>195.63733699411335</v>
      </c>
      <c r="W175" s="90">
        <f t="shared" si="42"/>
        <v>0</v>
      </c>
      <c r="Y175" s="34">
        <f t="shared" si="38"/>
        <v>0.83156819267118043</v>
      </c>
      <c r="Z175" s="34"/>
      <c r="AA175" s="4"/>
      <c r="AB175" s="4"/>
      <c r="AE175" s="4">
        <v>4.720750551876379</v>
      </c>
    </row>
    <row r="176" spans="1:31" x14ac:dyDescent="0.25">
      <c r="A176" s="1" t="s">
        <v>315</v>
      </c>
      <c r="B176" s="1" t="s">
        <v>656</v>
      </c>
      <c r="C176" s="1" t="s">
        <v>316</v>
      </c>
      <c r="D176" s="1" t="s">
        <v>554</v>
      </c>
      <c r="E176" s="1">
        <f>VLOOKUP(A176,BOM!A:E,5,0)</f>
        <v>1</v>
      </c>
      <c r="F176" s="122">
        <v>5.85</v>
      </c>
      <c r="G176" s="10">
        <v>7.16</v>
      </c>
      <c r="H176" s="11" t="s">
        <v>1874</v>
      </c>
      <c r="I176" s="49">
        <f>SUMIFS(BOM!Q:Q,BOM!A:A,'All Products'!A176,BOM!I:I,'All Products'!I$3)</f>
        <v>1.6996587030716723</v>
      </c>
      <c r="J176" s="49">
        <f>SUMIFS(BOM!Q:Q,BOM!A:A,'All Products'!A176,BOM!I:I,'All Products'!J$3)+0.03</f>
        <v>0.17</v>
      </c>
      <c r="K176" s="29">
        <f t="shared" si="33"/>
        <v>0.26112551718878102</v>
      </c>
      <c r="L176" s="49">
        <f>SUMIF(BOM!A:A,'All Products'!A176,BOM!S:S)</f>
        <v>1.6366609783845276</v>
      </c>
      <c r="M176" s="49">
        <f>SUMIF(BOM!A:A,'All Products'!A176,BOM!V:V)</f>
        <v>0.21720416666666661</v>
      </c>
      <c r="N176" s="29">
        <f t="shared" si="34"/>
        <v>0.25891971299597683</v>
      </c>
      <c r="O176" s="55">
        <v>0</v>
      </c>
      <c r="P176" s="49">
        <f t="shared" si="35"/>
        <v>3.7235238481228663</v>
      </c>
      <c r="Q176" s="11">
        <f t="shared" si="36"/>
        <v>3.4364761518771338</v>
      </c>
      <c r="R176" s="29">
        <f t="shared" si="37"/>
        <v>0.47995476981524215</v>
      </c>
      <c r="S176" s="91">
        <v>75</v>
      </c>
      <c r="T176" s="91">
        <f t="shared" si="39"/>
        <v>537</v>
      </c>
      <c r="U176" s="90">
        <f t="shared" si="40"/>
        <v>257.73571139078501</v>
      </c>
      <c r="V176" s="90">
        <f t="shared" si="41"/>
        <v>257.73571139078501</v>
      </c>
      <c r="W176" s="90">
        <f t="shared" si="42"/>
        <v>0</v>
      </c>
      <c r="Y176" s="34">
        <f t="shared" si="38"/>
        <v>0.76261749957099545</v>
      </c>
      <c r="Z176" s="34"/>
      <c r="AA176" s="4"/>
      <c r="AB176" s="4"/>
      <c r="AE176" s="4">
        <v>2.6627986348122863</v>
      </c>
    </row>
    <row r="177" spans="1:31" x14ac:dyDescent="0.25">
      <c r="A177" s="1" t="s">
        <v>313</v>
      </c>
      <c r="B177" s="1" t="s">
        <v>656</v>
      </c>
      <c r="C177" s="1" t="s">
        <v>314</v>
      </c>
      <c r="D177" s="1" t="s">
        <v>554</v>
      </c>
      <c r="E177" s="1">
        <f>VLOOKUP(A177,BOM!A:E,5,0)</f>
        <v>2.5</v>
      </c>
      <c r="F177" s="122">
        <v>14.3</v>
      </c>
      <c r="G177" s="10">
        <v>17.55</v>
      </c>
      <c r="H177" s="11" t="s">
        <v>1874</v>
      </c>
      <c r="I177" s="49">
        <f>SUMIFS(BOM!Q:Q,BOM!A:A,'All Products'!A177,BOM!I:I,'All Products'!I$3)</f>
        <v>4.2491467576791804</v>
      </c>
      <c r="J177" s="49">
        <f>SUMIFS(BOM!Q:Q,BOM!A:A,'All Products'!A177,BOM!I:I,'All Products'!J$3)+0.03</f>
        <v>0.17</v>
      </c>
      <c r="K177" s="29">
        <f t="shared" si="33"/>
        <v>0.25180323405579375</v>
      </c>
      <c r="L177" s="49">
        <f>SUMIF(BOM!A:A,'All Products'!A177,BOM!S:S)</f>
        <v>4.0916524459613193</v>
      </c>
      <c r="M177" s="49">
        <f>SUMIF(BOM!A:A,'All Products'!A177,BOM!V:V)</f>
        <v>0.29618749999999999</v>
      </c>
      <c r="N177" s="29">
        <f t="shared" si="34"/>
        <v>0.25001937014024611</v>
      </c>
      <c r="O177" s="55">
        <v>0</v>
      </c>
      <c r="P177" s="49">
        <f t="shared" si="35"/>
        <v>8.8069867036405007</v>
      </c>
      <c r="Q177" s="11">
        <f t="shared" si="36"/>
        <v>8.7430132963595</v>
      </c>
      <c r="R177" s="29">
        <f t="shared" si="37"/>
        <v>0.49817739580396009</v>
      </c>
      <c r="S177" s="91">
        <v>229.6</v>
      </c>
      <c r="T177" s="91">
        <f t="shared" si="39"/>
        <v>4029.48</v>
      </c>
      <c r="U177" s="90">
        <f t="shared" si="40"/>
        <v>2007.3958528441412</v>
      </c>
      <c r="V177" s="90">
        <f t="shared" si="41"/>
        <v>2007.3958528441412</v>
      </c>
      <c r="W177" s="90">
        <f t="shared" si="42"/>
        <v>0</v>
      </c>
      <c r="Y177" s="34">
        <f t="shared" si="38"/>
        <v>0.75788337563081587</v>
      </c>
      <c r="Z177" s="34"/>
      <c r="AA177" s="4"/>
      <c r="AB177" s="4"/>
      <c r="AE177" s="4">
        <v>6.656996587030716</v>
      </c>
    </row>
    <row r="178" spans="1:31" x14ac:dyDescent="0.25">
      <c r="A178" s="1" t="s">
        <v>419</v>
      </c>
      <c r="B178" s="1" t="s">
        <v>656</v>
      </c>
      <c r="C178" s="1" t="s">
        <v>420</v>
      </c>
      <c r="D178" s="1" t="s">
        <v>554</v>
      </c>
      <c r="E178" s="1">
        <f>VLOOKUP(A178,BOM!A:E,5,0)</f>
        <v>1</v>
      </c>
      <c r="F178" s="122">
        <v>5.56</v>
      </c>
      <c r="G178" s="10">
        <v>6.6</v>
      </c>
      <c r="H178" s="11" t="s">
        <v>1874</v>
      </c>
      <c r="I178" s="49">
        <f>SUMIFS(BOM!Q:Q,BOM!A:A,'All Products'!A178,BOM!I:I,'All Products'!I$3)</f>
        <v>1.2052980132450328</v>
      </c>
      <c r="J178" s="49">
        <f>SUMIFS(BOM!Q:Q,BOM!A:A,'All Products'!A178,BOM!I:I,'All Products'!J$3)+0.03</f>
        <v>0.17</v>
      </c>
      <c r="K178" s="29">
        <f t="shared" si="33"/>
        <v>0.20837848685530799</v>
      </c>
      <c r="L178" s="49">
        <f>SUMIF(BOM!A:A,'All Products'!A178,BOM!S:S)</f>
        <v>0.99258462104488576</v>
      </c>
      <c r="M178" s="49">
        <f>SUMIF(BOM!A:A,'All Products'!A178,BOM!V:V)</f>
        <v>0.21720416666666661</v>
      </c>
      <c r="N178" s="29">
        <f t="shared" si="34"/>
        <v>0.18330133147144734</v>
      </c>
      <c r="O178" s="55">
        <v>0</v>
      </c>
      <c r="P178" s="49">
        <f t="shared" si="35"/>
        <v>2.5850868009565851</v>
      </c>
      <c r="Q178" s="11">
        <f t="shared" si="36"/>
        <v>4.0149131990434146</v>
      </c>
      <c r="R178" s="29">
        <f t="shared" si="37"/>
        <v>0.60832018167324464</v>
      </c>
      <c r="S178" s="91">
        <v>4.5999999999999996</v>
      </c>
      <c r="T178" s="91">
        <f t="shared" si="39"/>
        <v>30.359999999999996</v>
      </c>
      <c r="U178" s="90">
        <f t="shared" si="40"/>
        <v>18.468600715599706</v>
      </c>
      <c r="V178" s="90">
        <f t="shared" si="41"/>
        <v>18.468600715599706</v>
      </c>
      <c r="W178" s="90">
        <f t="shared" si="42"/>
        <v>0</v>
      </c>
      <c r="Y178" s="34">
        <f t="shared" si="38"/>
        <v>0.81737908890226774</v>
      </c>
      <c r="Z178" s="34"/>
      <c r="AA178" s="4"/>
      <c r="AB178" s="4"/>
      <c r="AE178" s="4">
        <v>1.8883002207505515</v>
      </c>
    </row>
    <row r="179" spans="1:31" x14ac:dyDescent="0.25">
      <c r="A179" s="1" t="s">
        <v>418</v>
      </c>
      <c r="B179" s="1" t="s">
        <v>656</v>
      </c>
      <c r="C179" s="1" t="s">
        <v>735</v>
      </c>
      <c r="D179" s="1" t="s">
        <v>554</v>
      </c>
      <c r="E179" s="1">
        <f>VLOOKUP(A179,BOM!A:E,5,0)</f>
        <v>2.5</v>
      </c>
      <c r="F179" s="122">
        <v>13.88</v>
      </c>
      <c r="G179" s="10">
        <v>16.16</v>
      </c>
      <c r="H179" s="11" t="s">
        <v>1874</v>
      </c>
      <c r="I179" s="49">
        <f>SUMIFS(BOM!Q:Q,BOM!A:A,'All Products'!A179,BOM!I:I,'All Products'!I$3)</f>
        <v>3.0132450331125824</v>
      </c>
      <c r="J179" s="49">
        <f>SUMIFS(BOM!Q:Q,BOM!A:A,'All Products'!A179,BOM!I:I,'All Products'!J$3)+0.03</f>
        <v>0.17</v>
      </c>
      <c r="K179" s="29">
        <f t="shared" si="33"/>
        <v>0.19698298472231326</v>
      </c>
      <c r="L179" s="49">
        <f>SUMIF(BOM!A:A,'All Products'!A179,BOM!S:S)</f>
        <v>2.4814615526122146</v>
      </c>
      <c r="M179" s="49">
        <f>SUMIF(BOM!A:A,'All Products'!A179,BOM!V:V)</f>
        <v>0.29618749999999999</v>
      </c>
      <c r="N179" s="29">
        <f t="shared" si="34"/>
        <v>0.17188422355273603</v>
      </c>
      <c r="O179" s="55">
        <v>0</v>
      </c>
      <c r="P179" s="49">
        <f t="shared" si="35"/>
        <v>5.9608940857247967</v>
      </c>
      <c r="Q179" s="11">
        <f t="shared" si="36"/>
        <v>10.199105914275204</v>
      </c>
      <c r="R179" s="29">
        <f t="shared" si="37"/>
        <v>0.63113279172495074</v>
      </c>
      <c r="S179" s="91">
        <v>16.600000000000001</v>
      </c>
      <c r="T179" s="91">
        <f t="shared" si="39"/>
        <v>268.25600000000003</v>
      </c>
      <c r="U179" s="90">
        <f t="shared" si="40"/>
        <v>169.3051581769684</v>
      </c>
      <c r="V179" s="90">
        <f t="shared" si="41"/>
        <v>169.3051581769684</v>
      </c>
      <c r="W179" s="90">
        <f t="shared" si="42"/>
        <v>0</v>
      </c>
      <c r="Y179" s="34">
        <f t="shared" si="38"/>
        <v>0.81353681725788474</v>
      </c>
      <c r="Z179" s="34"/>
      <c r="AA179" s="4"/>
      <c r="AB179" s="4"/>
      <c r="AE179" s="4">
        <v>4.720750551876379</v>
      </c>
    </row>
    <row r="180" spans="1:31" x14ac:dyDescent="0.25">
      <c r="A180" s="1" t="s">
        <v>311</v>
      </c>
      <c r="B180" s="1" t="s">
        <v>656</v>
      </c>
      <c r="C180" s="1" t="s">
        <v>312</v>
      </c>
      <c r="D180" s="1" t="s">
        <v>554</v>
      </c>
      <c r="E180" s="1">
        <f>VLOOKUP(A180,BOM!A:E,5,0)</f>
        <v>1</v>
      </c>
      <c r="F180" s="122">
        <v>3.67</v>
      </c>
      <c r="G180" s="10">
        <v>3.85</v>
      </c>
      <c r="H180" s="11" t="s">
        <v>1874</v>
      </c>
      <c r="I180" s="49">
        <f>SUMIFS(BOM!Q:Q,BOM!A:A,'All Products'!A180,BOM!I:I,'All Products'!I$3)</f>
        <v>1.1855579096045201</v>
      </c>
      <c r="J180" s="49">
        <f>SUMIFS(BOM!Q:Q,BOM!A:A,'All Products'!A180,BOM!I:I,'All Products'!J$3)+0.03</f>
        <v>0.17</v>
      </c>
      <c r="K180" s="29">
        <f t="shared" si="33"/>
        <v>0.35209296353364156</v>
      </c>
      <c r="L180" s="49">
        <f>SUMIF(BOM!A:A,'All Products'!A180,BOM!S:S)</f>
        <v>0.83739632126348218</v>
      </c>
      <c r="M180" s="49">
        <f>SUMIF(BOM!A:A,'All Products'!A180,BOM!V:V)</f>
        <v>0.21720416666666661</v>
      </c>
      <c r="N180" s="29">
        <f t="shared" si="34"/>
        <v>0.27392220465718148</v>
      </c>
      <c r="O180" s="55">
        <v>0</v>
      </c>
      <c r="P180" s="49">
        <f t="shared" si="35"/>
        <v>2.4101583975346688</v>
      </c>
      <c r="Q180" s="11">
        <f t="shared" si="36"/>
        <v>1.4398416024653313</v>
      </c>
      <c r="R180" s="29">
        <f t="shared" si="37"/>
        <v>0.37398483180917697</v>
      </c>
      <c r="S180" s="91">
        <v>21.2</v>
      </c>
      <c r="T180" s="91">
        <f t="shared" si="39"/>
        <v>81.62</v>
      </c>
      <c r="U180" s="90">
        <f t="shared" si="40"/>
        <v>30.524641972265023</v>
      </c>
      <c r="V180" s="90">
        <f t="shared" si="41"/>
        <v>30.524641972265023</v>
      </c>
      <c r="W180" s="90">
        <f t="shared" si="42"/>
        <v>0</v>
      </c>
      <c r="Y180" s="34">
        <f t="shared" si="38"/>
        <v>0.69206288062220256</v>
      </c>
      <c r="Z180" s="34"/>
      <c r="AA180" s="4"/>
      <c r="AB180" s="4"/>
      <c r="AE180" s="4"/>
    </row>
    <row r="181" spans="1:31" x14ac:dyDescent="0.25">
      <c r="A181" s="1" t="s">
        <v>309</v>
      </c>
      <c r="B181" s="1" t="s">
        <v>656</v>
      </c>
      <c r="C181" s="1" t="s">
        <v>310</v>
      </c>
      <c r="D181" s="1" t="s">
        <v>554</v>
      </c>
      <c r="E181" s="1">
        <f>VLOOKUP(A181,BOM!A:E,5,0)</f>
        <v>2.5</v>
      </c>
      <c r="F181" s="122">
        <v>9.17</v>
      </c>
      <c r="G181" s="10">
        <v>9.6199999999999992</v>
      </c>
      <c r="H181" s="11" t="s">
        <v>1874</v>
      </c>
      <c r="I181" s="49">
        <f>SUMIFS(BOM!Q:Q,BOM!A:A,'All Products'!A181,BOM!I:I,'All Products'!I$3)</f>
        <v>2.9638947740113002</v>
      </c>
      <c r="J181" s="49">
        <f>SUMIFS(BOM!Q:Q,BOM!A:A,'All Products'!A181,BOM!I:I,'All Products'!J$3)+0.03</f>
        <v>0.17</v>
      </c>
      <c r="K181" s="29">
        <f t="shared" si="33"/>
        <v>0.3257686875271622</v>
      </c>
      <c r="L181" s="49">
        <f>SUMIF(BOM!A:A,'All Products'!A181,BOM!S:S)</f>
        <v>2.0934908031587054</v>
      </c>
      <c r="M181" s="49">
        <f>SUMIF(BOM!A:A,'All Products'!A181,BOM!V:V)</f>
        <v>0.29618749999999999</v>
      </c>
      <c r="N181" s="29">
        <f t="shared" si="34"/>
        <v>0.24840730802065544</v>
      </c>
      <c r="O181" s="55">
        <v>0</v>
      </c>
      <c r="P181" s="49">
        <f t="shared" si="35"/>
        <v>5.5235730771700053</v>
      </c>
      <c r="Q181" s="11">
        <f t="shared" si="36"/>
        <v>4.0964269228299939</v>
      </c>
      <c r="R181" s="29">
        <f t="shared" si="37"/>
        <v>0.42582400445218233</v>
      </c>
      <c r="S181" s="91">
        <v>14.6</v>
      </c>
      <c r="T181" s="91">
        <f t="shared" si="39"/>
        <v>140.452</v>
      </c>
      <c r="U181" s="90">
        <f t="shared" si="40"/>
        <v>59.807833073317909</v>
      </c>
      <c r="V181" s="90">
        <f t="shared" si="41"/>
        <v>59.807833073317909</v>
      </c>
      <c r="W181" s="90">
        <f t="shared" si="42"/>
        <v>0</v>
      </c>
      <c r="Y181" s="34">
        <f t="shared" si="38"/>
        <v>0.6919028301443555</v>
      </c>
      <c r="Z181" s="34"/>
      <c r="AA181" s="4"/>
      <c r="AB181" s="4"/>
      <c r="AE181" s="4"/>
    </row>
    <row r="182" spans="1:31" x14ac:dyDescent="0.25">
      <c r="A182" s="1" t="s">
        <v>305</v>
      </c>
      <c r="B182" s="1" t="s">
        <v>656</v>
      </c>
      <c r="C182" s="1" t="s">
        <v>306</v>
      </c>
      <c r="D182" s="1" t="s">
        <v>554</v>
      </c>
      <c r="E182" s="1">
        <f>VLOOKUP(A182,BOM!A:E,5,0)</f>
        <v>1</v>
      </c>
      <c r="F182" s="122">
        <v>4.87</v>
      </c>
      <c r="G182" s="10">
        <v>4.72</v>
      </c>
      <c r="H182" s="11" t="s">
        <v>1874</v>
      </c>
      <c r="I182" s="49">
        <f>SUMIFS(BOM!Q:Q,BOM!A:A,'All Products'!A182,BOM!I:I,'All Products'!I$3)</f>
        <v>1.0667620239585196</v>
      </c>
      <c r="J182" s="49">
        <f>SUMIFS(BOM!Q:Q,BOM!A:A,'All Products'!A182,BOM!I:I,'All Products'!J$3)+0.03</f>
        <v>0.17</v>
      </c>
      <c r="K182" s="29">
        <f t="shared" si="33"/>
        <v>0.26202585253358468</v>
      </c>
      <c r="L182" s="49">
        <f>SUMIF(BOM!A:A,'All Products'!A182,BOM!S:S)</f>
        <v>0.61176526610644255</v>
      </c>
      <c r="M182" s="49">
        <f>SUMIF(BOM!A:A,'All Products'!A182,BOM!V:V)</f>
        <v>0.21720416666666661</v>
      </c>
      <c r="N182" s="29">
        <f t="shared" si="34"/>
        <v>0.17562911711294688</v>
      </c>
      <c r="O182" s="55">
        <v>0</v>
      </c>
      <c r="P182" s="49">
        <f t="shared" si="35"/>
        <v>2.0657314567316289</v>
      </c>
      <c r="Q182" s="11">
        <f t="shared" si="36"/>
        <v>2.6542685432683708</v>
      </c>
      <c r="R182" s="29">
        <f t="shared" si="37"/>
        <v>0.56234503035346839</v>
      </c>
      <c r="S182" s="91">
        <v>4.2</v>
      </c>
      <c r="T182" s="91">
        <f t="shared" si="39"/>
        <v>19.823999999999998</v>
      </c>
      <c r="U182" s="90">
        <f t="shared" si="40"/>
        <v>11.147927881727158</v>
      </c>
      <c r="V182" s="90">
        <f t="shared" si="41"/>
        <v>11.147927881727158</v>
      </c>
      <c r="W182" s="90">
        <f t="shared" si="42"/>
        <v>0</v>
      </c>
      <c r="Y182" s="34">
        <f t="shared" si="38"/>
        <v>0.77399109661895771</v>
      </c>
      <c r="Z182" s="34"/>
      <c r="AA182" s="4"/>
      <c r="AB182" s="4"/>
      <c r="AE182" s="4"/>
    </row>
    <row r="183" spans="1:31" x14ac:dyDescent="0.25">
      <c r="A183" s="1" t="s">
        <v>736</v>
      </c>
      <c r="B183" s="1" t="s">
        <v>656</v>
      </c>
      <c r="C183" s="1" t="s">
        <v>737</v>
      </c>
      <c r="D183" s="1" t="s">
        <v>554</v>
      </c>
      <c r="E183" s="1">
        <f>VLOOKUP(A183,BOM!A:E,5,0)</f>
        <v>2.5</v>
      </c>
      <c r="F183" s="122">
        <v>11.85</v>
      </c>
      <c r="G183" s="10">
        <v>11.48</v>
      </c>
      <c r="H183" s="11" t="s">
        <v>1874</v>
      </c>
      <c r="I183" s="49">
        <f>SUMIFS(BOM!Q:Q,BOM!A:A,'All Products'!A183,BOM!I:I,'All Products'!I$3)</f>
        <v>2.6669050598962989</v>
      </c>
      <c r="J183" s="49">
        <f>SUMIFS(BOM!Q:Q,BOM!A:A,'All Products'!A183,BOM!I:I,'All Products'!J$3)+0.03</f>
        <v>0.17</v>
      </c>
      <c r="K183" s="29">
        <f t="shared" si="33"/>
        <v>0.24711716549619328</v>
      </c>
      <c r="L183" s="49">
        <f>SUMIF(BOM!A:A,'All Products'!A183,BOM!S:S)</f>
        <v>1.5294131652661063</v>
      </c>
      <c r="M183" s="49">
        <f>SUMIF(BOM!A:A,'All Products'!A183,BOM!V:V)</f>
        <v>0.29618749999999999</v>
      </c>
      <c r="N183" s="29">
        <f t="shared" si="34"/>
        <v>0.1590244481939117</v>
      </c>
      <c r="O183" s="55">
        <v>0</v>
      </c>
      <c r="P183" s="49">
        <f t="shared" si="35"/>
        <v>4.6625057251624051</v>
      </c>
      <c r="Q183" s="11">
        <f t="shared" si="36"/>
        <v>6.8174942748375953</v>
      </c>
      <c r="R183" s="29">
        <f t="shared" si="37"/>
        <v>0.59385838630989507</v>
      </c>
      <c r="S183" s="91">
        <v>21.8</v>
      </c>
      <c r="T183" s="91">
        <f t="shared" si="39"/>
        <v>250.26400000000001</v>
      </c>
      <c r="U183" s="90">
        <f t="shared" si="40"/>
        <v>148.62137519145958</v>
      </c>
      <c r="V183" s="90">
        <f t="shared" si="41"/>
        <v>148.62137519145958</v>
      </c>
      <c r="W183" s="90">
        <f t="shared" si="42"/>
        <v>0</v>
      </c>
      <c r="Y183" s="34">
        <f t="shared" si="38"/>
        <v>0.76769119687314469</v>
      </c>
      <c r="Z183" s="34"/>
      <c r="AA183" s="4"/>
      <c r="AB183" s="4"/>
      <c r="AE183" s="4"/>
    </row>
    <row r="184" spans="1:31" x14ac:dyDescent="0.25">
      <c r="A184" s="1" t="s">
        <v>738</v>
      </c>
      <c r="B184" s="1" t="s">
        <v>656</v>
      </c>
      <c r="C184" s="1" t="s">
        <v>739</v>
      </c>
      <c r="D184" s="1" t="s">
        <v>554</v>
      </c>
      <c r="E184" s="1">
        <f>VLOOKUP(A184,BOM!A:E,5,0)</f>
        <v>1</v>
      </c>
      <c r="F184" s="122">
        <v>5.93</v>
      </c>
      <c r="G184" s="10">
        <v>5.94</v>
      </c>
      <c r="H184" s="11" t="s">
        <v>1873</v>
      </c>
      <c r="I184" s="49">
        <f>SUMIFS(BOM!Q:Q,BOM!A:A,'All Products'!A184,BOM!I:I,'All Products'!I$3)</f>
        <v>0</v>
      </c>
      <c r="J184" s="49">
        <f>SUMIFS(BOM!Q:Q,BOM!A:A,'All Products'!A184,BOM!I:I,'All Products'!J$3)+0.03</f>
        <v>0.17</v>
      </c>
      <c r="K184" s="29">
        <f t="shared" si="33"/>
        <v>2.8619528619528621E-2</v>
      </c>
      <c r="L184" s="49">
        <f>SUMIF(BOM!A:A,'All Products'!A184,BOM!S:S)</f>
        <v>0</v>
      </c>
      <c r="M184" s="49">
        <f>SUMIF(BOM!A:A,'All Products'!A184,BOM!V:V)</f>
        <v>0.21720416666666661</v>
      </c>
      <c r="N184" s="29">
        <f t="shared" si="34"/>
        <v>3.6566358024691346E-2</v>
      </c>
      <c r="O184" s="55">
        <v>0</v>
      </c>
      <c r="P184" s="49">
        <f t="shared" si="35"/>
        <v>0.38720416666666663</v>
      </c>
      <c r="Q184" s="11">
        <f t="shared" si="36"/>
        <v>5.5527958333333336</v>
      </c>
      <c r="R184" s="29">
        <f t="shared" si="37"/>
        <v>0.93481411335578002</v>
      </c>
      <c r="S184" s="83"/>
      <c r="T184" s="83"/>
      <c r="U184" s="83"/>
      <c r="V184" s="83"/>
      <c r="W184" s="83"/>
      <c r="Y184" s="34">
        <f t="shared" si="38"/>
        <v>1</v>
      </c>
      <c r="Z184" s="34"/>
      <c r="AD184" t="e">
        <f>_xlfn.XLOOKUP(A184,AF:AF,AF:AF)</f>
        <v>#N/A</v>
      </c>
      <c r="AE184" s="4"/>
    </row>
    <row r="185" spans="1:31" x14ac:dyDescent="0.25">
      <c r="A185" s="1" t="s">
        <v>740</v>
      </c>
      <c r="B185" s="1" t="s">
        <v>656</v>
      </c>
      <c r="C185" s="1" t="s">
        <v>741</v>
      </c>
      <c r="D185" s="1" t="s">
        <v>554</v>
      </c>
      <c r="E185" s="1">
        <f>VLOOKUP(A185,BOM!A:E,5,0)</f>
        <v>2.5</v>
      </c>
      <c r="F185" s="122">
        <v>14.8</v>
      </c>
      <c r="G185" s="10">
        <v>14.81</v>
      </c>
      <c r="H185" s="11" t="s">
        <v>1873</v>
      </c>
      <c r="I185" s="49">
        <f>SUMIFS(BOM!Q:Q,BOM!A:A,'All Products'!A185,BOM!I:I,'All Products'!I$3)</f>
        <v>0</v>
      </c>
      <c r="J185" s="49">
        <f>SUMIFS(BOM!Q:Q,BOM!A:A,'All Products'!A185,BOM!I:I,'All Products'!J$3)+0.03</f>
        <v>0.17</v>
      </c>
      <c r="K185" s="29">
        <f t="shared" si="33"/>
        <v>1.1478730587440918E-2</v>
      </c>
      <c r="L185" s="49">
        <f>SUMIF(BOM!A:A,'All Products'!A185,BOM!S:S)</f>
        <v>0</v>
      </c>
      <c r="M185" s="49">
        <f>SUMIF(BOM!A:A,'All Products'!A185,BOM!V:V)</f>
        <v>0.29618749999999999</v>
      </c>
      <c r="N185" s="29">
        <f t="shared" si="34"/>
        <v>1.9999155975692098E-2</v>
      </c>
      <c r="O185" s="55">
        <v>0</v>
      </c>
      <c r="P185" s="49">
        <f t="shared" si="35"/>
        <v>0.46618749999999998</v>
      </c>
      <c r="Q185" s="11">
        <f t="shared" si="36"/>
        <v>14.3438125</v>
      </c>
      <c r="R185" s="29">
        <f t="shared" si="37"/>
        <v>0.968522113436867</v>
      </c>
      <c r="S185" s="83"/>
      <c r="T185" s="83"/>
      <c r="U185" s="83"/>
      <c r="V185" s="83"/>
      <c r="W185" s="83"/>
      <c r="Y185" s="34">
        <f t="shared" si="38"/>
        <v>1</v>
      </c>
      <c r="Z185" s="34"/>
      <c r="AD185" t="e">
        <f>_xlfn.XLOOKUP(A185,AF:AF,AF:AF)</f>
        <v>#N/A</v>
      </c>
      <c r="AE185" s="4"/>
    </row>
    <row r="186" spans="1:31" x14ac:dyDescent="0.25">
      <c r="A186" s="1" t="s">
        <v>742</v>
      </c>
      <c r="B186" s="1" t="s">
        <v>656</v>
      </c>
      <c r="C186" s="1" t="s">
        <v>743</v>
      </c>
      <c r="D186" s="1" t="s">
        <v>554</v>
      </c>
      <c r="E186" s="1">
        <f>VLOOKUP(A186,BOM!A:E,5,0)</f>
        <v>1</v>
      </c>
      <c r="F186" s="122">
        <v>5.81</v>
      </c>
      <c r="G186" s="10">
        <v>5.82</v>
      </c>
      <c r="H186" s="11" t="s">
        <v>1873</v>
      </c>
      <c r="I186" s="49">
        <f>SUMIFS(BOM!Q:Q,BOM!A:A,'All Products'!A186,BOM!I:I,'All Products'!I$3)</f>
        <v>0</v>
      </c>
      <c r="J186" s="49">
        <f>SUMIFS(BOM!Q:Q,BOM!A:A,'All Products'!A186,BOM!I:I,'All Products'!J$3)+0.03</f>
        <v>0.17</v>
      </c>
      <c r="K186" s="29">
        <f t="shared" si="33"/>
        <v>2.9209621993127148E-2</v>
      </c>
      <c r="L186" s="49">
        <f>SUMIF(BOM!A:A,'All Products'!A186,BOM!S:S)</f>
        <v>0</v>
      </c>
      <c r="M186" s="49">
        <f>SUMIF(BOM!A:A,'All Products'!A186,BOM!V:V)</f>
        <v>0.21720416666666661</v>
      </c>
      <c r="N186" s="29">
        <f t="shared" si="34"/>
        <v>3.7320303550973641E-2</v>
      </c>
      <c r="O186" s="55">
        <v>0</v>
      </c>
      <c r="P186" s="49">
        <f t="shared" si="35"/>
        <v>0.38720416666666663</v>
      </c>
      <c r="Q186" s="11">
        <f t="shared" si="36"/>
        <v>5.4327958333333335</v>
      </c>
      <c r="R186" s="29">
        <f t="shared" si="37"/>
        <v>0.93347007445589913</v>
      </c>
      <c r="S186" s="83"/>
      <c r="T186" s="83"/>
      <c r="U186" s="83"/>
      <c r="V186" s="83"/>
      <c r="W186" s="83"/>
      <c r="Y186" s="34">
        <f t="shared" si="38"/>
        <v>1</v>
      </c>
      <c r="Z186" s="34"/>
      <c r="AD186" t="e">
        <f>_xlfn.XLOOKUP(A186,AF:AF,AF:AF)</f>
        <v>#N/A</v>
      </c>
      <c r="AE186" s="4"/>
    </row>
    <row r="187" spans="1:31" x14ac:dyDescent="0.25">
      <c r="A187" s="1" t="s">
        <v>744</v>
      </c>
      <c r="B187" s="1" t="s">
        <v>656</v>
      </c>
      <c r="C187" s="1" t="s">
        <v>745</v>
      </c>
      <c r="D187" s="1" t="s">
        <v>554</v>
      </c>
      <c r="E187" s="1">
        <f>VLOOKUP(A187,BOM!A:E,5,0)</f>
        <v>2.5</v>
      </c>
      <c r="F187" s="122">
        <v>14.51</v>
      </c>
      <c r="G187" s="10">
        <v>14.52</v>
      </c>
      <c r="H187" s="11" t="s">
        <v>1873</v>
      </c>
      <c r="I187" s="49">
        <f>SUMIFS(BOM!Q:Q,BOM!A:A,'All Products'!A187,BOM!I:I,'All Products'!I$3)</f>
        <v>0</v>
      </c>
      <c r="J187" s="49">
        <f>SUMIFS(BOM!Q:Q,BOM!A:A,'All Products'!A187,BOM!I:I,'All Products'!J$3)+0.03</f>
        <v>0.17</v>
      </c>
      <c r="K187" s="29">
        <f t="shared" si="33"/>
        <v>1.1707988980716254E-2</v>
      </c>
      <c r="L187" s="49">
        <f>SUMIF(BOM!A:A,'All Products'!A187,BOM!S:S)</f>
        <v>0</v>
      </c>
      <c r="M187" s="49">
        <f>SUMIF(BOM!A:A,'All Products'!A187,BOM!V:V)</f>
        <v>0.29618749999999999</v>
      </c>
      <c r="N187" s="29">
        <f t="shared" si="34"/>
        <v>2.0398588154269974E-2</v>
      </c>
      <c r="O187" s="55">
        <v>0</v>
      </c>
      <c r="P187" s="49">
        <f t="shared" si="35"/>
        <v>0.46618749999999998</v>
      </c>
      <c r="Q187" s="11">
        <f t="shared" si="36"/>
        <v>14.053812499999999</v>
      </c>
      <c r="R187" s="29">
        <f t="shared" si="37"/>
        <v>0.96789342286501379</v>
      </c>
      <c r="S187" s="83"/>
      <c r="T187" s="83"/>
      <c r="U187" s="83"/>
      <c r="V187" s="83"/>
      <c r="W187" s="83"/>
      <c r="Y187" s="34">
        <f t="shared" si="38"/>
        <v>1</v>
      </c>
      <c r="Z187" s="34"/>
      <c r="AD187" t="e">
        <f>_xlfn.XLOOKUP(A187,AF:AF,AF:AF)</f>
        <v>#N/A</v>
      </c>
      <c r="AE187" s="4"/>
    </row>
    <row r="188" spans="1:31" x14ac:dyDescent="0.25">
      <c r="A188" s="1" t="s">
        <v>304</v>
      </c>
      <c r="B188" s="1" t="s">
        <v>656</v>
      </c>
      <c r="C188" s="1" t="s">
        <v>746</v>
      </c>
      <c r="D188" s="1" t="s">
        <v>554</v>
      </c>
      <c r="E188" s="1">
        <f>VLOOKUP(A188,BOM!A:E,5,0)</f>
        <v>1</v>
      </c>
      <c r="F188" s="122">
        <v>3.44</v>
      </c>
      <c r="G188" s="10">
        <v>3.54</v>
      </c>
      <c r="H188" s="11" t="s">
        <v>1874</v>
      </c>
      <c r="I188" s="49">
        <f>SUMIFS(BOM!Q:Q,BOM!A:A,'All Products'!A188,BOM!I:I,'All Products'!I$3)</f>
        <v>1.3104</v>
      </c>
      <c r="J188" s="49">
        <f>SUMIFS(BOM!Q:Q,BOM!A:A,'All Products'!A188,BOM!I:I,'All Products'!J$3)+0.03</f>
        <v>0.17</v>
      </c>
      <c r="K188" s="29">
        <f t="shared" si="33"/>
        <v>0.41819209039548022</v>
      </c>
      <c r="L188" s="49">
        <f>SUMIF(BOM!A:A,'All Products'!A188,BOM!S:S)</f>
        <v>0.54159999999999997</v>
      </c>
      <c r="M188" s="49">
        <f>SUMIF(BOM!A:A,'All Products'!A188,BOM!V:V)</f>
        <v>0.21720416666666661</v>
      </c>
      <c r="N188" s="29">
        <f t="shared" si="34"/>
        <v>0.21435145951035781</v>
      </c>
      <c r="O188" s="55">
        <v>0</v>
      </c>
      <c r="P188" s="49">
        <f t="shared" si="35"/>
        <v>2.2392041666666667</v>
      </c>
      <c r="Q188" s="11">
        <f t="shared" si="36"/>
        <v>1.3007958333333334</v>
      </c>
      <c r="R188" s="29">
        <f t="shared" si="37"/>
        <v>0.36745645009416195</v>
      </c>
      <c r="S188" s="91">
        <v>25.8</v>
      </c>
      <c r="T188" s="91">
        <f t="shared" ref="T188:T219" si="43">S188*G188</f>
        <v>91.332000000000008</v>
      </c>
      <c r="U188" s="90">
        <f t="shared" ref="U188:U251" si="44">IFERROR(S188*Q188,0)</f>
        <v>33.560532500000001</v>
      </c>
      <c r="V188" s="90">
        <f t="shared" ref="V188:V219" si="45">(G188-P188)*S188</f>
        <v>33.560532500000001</v>
      </c>
      <c r="W188" s="90">
        <f t="shared" ref="W188:W251" si="46">V188-U188</f>
        <v>0</v>
      </c>
      <c r="Y188" s="34">
        <f t="shared" si="38"/>
        <v>0.62983050847457622</v>
      </c>
      <c r="Z188" s="34"/>
      <c r="AA188" s="4"/>
      <c r="AB188" s="4"/>
      <c r="AE188" s="4"/>
    </row>
    <row r="189" spans="1:31" x14ac:dyDescent="0.25">
      <c r="A189" s="1" t="s">
        <v>303</v>
      </c>
      <c r="B189" s="1" t="s">
        <v>656</v>
      </c>
      <c r="C189" s="1" t="s">
        <v>747</v>
      </c>
      <c r="D189" s="1" t="s">
        <v>554</v>
      </c>
      <c r="E189" s="1">
        <f>VLOOKUP(A189,BOM!A:E,5,0)</f>
        <v>2.5</v>
      </c>
      <c r="F189" s="122">
        <v>8.6</v>
      </c>
      <c r="G189" s="10">
        <v>8.86</v>
      </c>
      <c r="H189" s="11" t="s">
        <v>1874</v>
      </c>
      <c r="I189" s="49">
        <f>SUMIFS(BOM!Q:Q,BOM!A:A,'All Products'!A189,BOM!I:I,'All Products'!I$3)</f>
        <v>3.2760000000000002</v>
      </c>
      <c r="J189" s="49">
        <f>SUMIFS(BOM!Q:Q,BOM!A:A,'All Products'!A189,BOM!I:I,'All Products'!J$3)+0.03</f>
        <v>0.17</v>
      </c>
      <c r="K189" s="29">
        <f t="shared" si="33"/>
        <v>0.38893905191873596</v>
      </c>
      <c r="L189" s="49">
        <f>SUMIF(BOM!A:A,'All Products'!A189,BOM!S:S)</f>
        <v>1.3539999999999999</v>
      </c>
      <c r="M189" s="49">
        <f>SUMIF(BOM!A:A,'All Products'!A189,BOM!V:V)</f>
        <v>0.29618749999999999</v>
      </c>
      <c r="N189" s="29">
        <f t="shared" si="34"/>
        <v>0.18625141083521446</v>
      </c>
      <c r="O189" s="55">
        <v>0</v>
      </c>
      <c r="P189" s="49">
        <f t="shared" si="35"/>
        <v>5.0961875000000001</v>
      </c>
      <c r="Q189" s="11">
        <f t="shared" si="36"/>
        <v>3.7638124999999993</v>
      </c>
      <c r="R189" s="29">
        <f t="shared" si="37"/>
        <v>0.42480953724604964</v>
      </c>
      <c r="S189" s="91">
        <v>117</v>
      </c>
      <c r="T189" s="91">
        <f t="shared" si="43"/>
        <v>1036.6199999999999</v>
      </c>
      <c r="U189" s="90">
        <f t="shared" si="44"/>
        <v>440.36606249999994</v>
      </c>
      <c r="V189" s="90">
        <f t="shared" si="45"/>
        <v>440.36606249999994</v>
      </c>
      <c r="W189" s="90">
        <f t="shared" si="46"/>
        <v>0</v>
      </c>
      <c r="Y189" s="34">
        <f t="shared" si="38"/>
        <v>0.6302483069977427</v>
      </c>
      <c r="Z189" s="34"/>
      <c r="AA189" s="4"/>
      <c r="AB189" s="4"/>
      <c r="AE189" s="4"/>
    </row>
    <row r="190" spans="1:31" x14ac:dyDescent="0.25">
      <c r="A190" s="1" t="s">
        <v>748</v>
      </c>
      <c r="B190" s="1" t="s">
        <v>656</v>
      </c>
      <c r="C190" s="1" t="s">
        <v>749</v>
      </c>
      <c r="D190" s="1" t="s">
        <v>554</v>
      </c>
      <c r="E190" s="1">
        <f>VLOOKUP(A190,BOM!A:E,5,0)</f>
        <v>0.25</v>
      </c>
      <c r="F190" s="122">
        <v>3.43</v>
      </c>
      <c r="G190" s="10">
        <v>3.52</v>
      </c>
      <c r="H190" s="11" t="s">
        <v>1874</v>
      </c>
      <c r="I190" s="49">
        <f>SUMIFS(BOM!Q:Q,BOM!A:A,'All Products'!A190,BOM!I:I,'All Products'!I$3)</f>
        <v>0.3276</v>
      </c>
      <c r="J190" s="49">
        <f>SUMIFS(BOM!Q:Q,BOM!A:A,'All Products'!A190,BOM!I:I,'All Products'!J$3)+0.03</f>
        <v>0.08</v>
      </c>
      <c r="K190" s="29">
        <f t="shared" si="33"/>
        <v>0.11579545454545455</v>
      </c>
      <c r="L190" s="49">
        <f>SUMIF(BOM!A:A,'All Products'!A190,BOM!S:S)</f>
        <v>0.13539999999999999</v>
      </c>
      <c r="M190" s="49">
        <f>SUMIF(BOM!A:A,'All Products'!A190,BOM!V:V)</f>
        <v>0.16078749999999997</v>
      </c>
      <c r="N190" s="29">
        <f t="shared" si="34"/>
        <v>8.4144176136363616E-2</v>
      </c>
      <c r="O190" s="55">
        <v>0</v>
      </c>
      <c r="P190" s="49">
        <f t="shared" si="35"/>
        <v>0.70378750000000001</v>
      </c>
      <c r="Q190" s="11">
        <f t="shared" si="36"/>
        <v>2.8162124999999998</v>
      </c>
      <c r="R190" s="29">
        <f t="shared" si="37"/>
        <v>0.80006036931818181</v>
      </c>
      <c r="S190" s="91">
        <v>2</v>
      </c>
      <c r="T190" s="91">
        <f t="shared" si="43"/>
        <v>7.04</v>
      </c>
      <c r="U190" s="90">
        <f t="shared" si="44"/>
        <v>5.6324249999999996</v>
      </c>
      <c r="V190" s="90">
        <f t="shared" si="45"/>
        <v>5.6324249999999996</v>
      </c>
      <c r="W190" s="90">
        <f t="shared" si="46"/>
        <v>0</v>
      </c>
      <c r="Y190" s="34">
        <f t="shared" si="38"/>
        <v>0.90693181818181823</v>
      </c>
      <c r="Z190" s="34"/>
      <c r="AA190" s="4"/>
      <c r="AB190" s="4"/>
      <c r="AE190" s="4"/>
    </row>
    <row r="191" spans="1:31" x14ac:dyDescent="0.25">
      <c r="A191" s="1" t="s">
        <v>750</v>
      </c>
      <c r="B191" s="1" t="s">
        <v>656</v>
      </c>
      <c r="C191" s="1" t="s">
        <v>751</v>
      </c>
      <c r="D191" s="1" t="s">
        <v>554</v>
      </c>
      <c r="E191" s="1">
        <f>VLOOKUP(A191,BOM!A:E,5,0)</f>
        <v>1</v>
      </c>
      <c r="F191" s="122">
        <v>6.28</v>
      </c>
      <c r="G191" s="10">
        <v>6.58</v>
      </c>
      <c r="H191" s="11" t="s">
        <v>1874</v>
      </c>
      <c r="I191" s="49">
        <f>SUMIFS(BOM!Q:Q,BOM!A:A,'All Products'!A191,BOM!I:I,'All Products'!I$3)</f>
        <v>1.3276890308839195</v>
      </c>
      <c r="J191" s="49">
        <f>SUMIFS(BOM!Q:Q,BOM!A:A,'All Products'!A191,BOM!I:I,'All Products'!J$3)+0.03</f>
        <v>0.17</v>
      </c>
      <c r="K191" s="29">
        <f t="shared" si="33"/>
        <v>0.22761231472399993</v>
      </c>
      <c r="L191" s="49">
        <f>SUMIF(BOM!A:A,'All Products'!A191,BOM!S:S)</f>
        <v>3.9353478878239256</v>
      </c>
      <c r="M191" s="49">
        <f>SUMIF(BOM!A:A,'All Products'!A191,BOM!V:V)</f>
        <v>0.21720416666666661</v>
      </c>
      <c r="N191" s="29">
        <f t="shared" si="34"/>
        <v>0.63108693837243046</v>
      </c>
      <c r="O191" s="55">
        <v>0</v>
      </c>
      <c r="P191" s="49">
        <f t="shared" si="35"/>
        <v>5.6502410853745122</v>
      </c>
      <c r="Q191" s="11">
        <f t="shared" si="36"/>
        <v>0.92975891462548788</v>
      </c>
      <c r="R191" s="29">
        <f t="shared" si="37"/>
        <v>0.14130074690356959</v>
      </c>
      <c r="S191" s="91">
        <v>0.8</v>
      </c>
      <c r="T191" s="91">
        <f t="shared" si="43"/>
        <v>5.2640000000000002</v>
      </c>
      <c r="U191" s="90">
        <f t="shared" si="44"/>
        <v>0.74380713170039037</v>
      </c>
      <c r="V191" s="90">
        <f t="shared" si="45"/>
        <v>0.74380713170039037</v>
      </c>
      <c r="W191" s="90">
        <f t="shared" si="46"/>
        <v>0</v>
      </c>
      <c r="Y191" s="34">
        <f t="shared" si="38"/>
        <v>0.79822355153739821</v>
      </c>
      <c r="Z191" s="34"/>
      <c r="AA191" s="4"/>
      <c r="AB191" s="4"/>
      <c r="AE191" s="4"/>
    </row>
    <row r="192" spans="1:31" x14ac:dyDescent="0.25">
      <c r="A192" s="1" t="s">
        <v>752</v>
      </c>
      <c r="B192" s="1" t="s">
        <v>656</v>
      </c>
      <c r="C192" s="1" t="s">
        <v>753</v>
      </c>
      <c r="D192" s="1" t="s">
        <v>554</v>
      </c>
      <c r="E192" s="1">
        <f>VLOOKUP(A192,BOM!A:E,5,0)</f>
        <v>2.5</v>
      </c>
      <c r="F192" s="122">
        <v>15.18</v>
      </c>
      <c r="G192" s="10">
        <v>15.93</v>
      </c>
      <c r="H192" s="11" t="s">
        <v>1874</v>
      </c>
      <c r="I192" s="49">
        <f>SUMIFS(BOM!Q:Q,BOM!A:A,'All Products'!A192,BOM!I:I,'All Products'!I$3)</f>
        <v>3.3192225772097985</v>
      </c>
      <c r="J192" s="49">
        <f>SUMIFS(BOM!Q:Q,BOM!A:A,'All Products'!A192,BOM!I:I,'All Products'!J$3)+0.03</f>
        <v>0.17</v>
      </c>
      <c r="K192" s="29">
        <f t="shared" si="33"/>
        <v>0.21903468783489005</v>
      </c>
      <c r="L192" s="49">
        <f>SUMIF(BOM!A:A,'All Products'!A192,BOM!S:S)</f>
        <v>9.8383697195598145</v>
      </c>
      <c r="M192" s="49">
        <f>SUMIF(BOM!A:A,'All Products'!A192,BOM!V:V)</f>
        <v>0.29618749999999999</v>
      </c>
      <c r="N192" s="29">
        <f t="shared" si="34"/>
        <v>0.63619317134713216</v>
      </c>
      <c r="O192" s="55">
        <v>0</v>
      </c>
      <c r="P192" s="49">
        <f t="shared" si="35"/>
        <v>13.623779796769613</v>
      </c>
      <c r="Q192" s="11">
        <f t="shared" si="36"/>
        <v>2.3062202032303869</v>
      </c>
      <c r="R192" s="29">
        <f t="shared" si="37"/>
        <v>0.14477214081797785</v>
      </c>
      <c r="S192" s="91">
        <v>0</v>
      </c>
      <c r="T192" s="91">
        <f t="shared" si="43"/>
        <v>0</v>
      </c>
      <c r="U192" s="90">
        <f t="shared" si="44"/>
        <v>0</v>
      </c>
      <c r="V192" s="90">
        <f t="shared" si="45"/>
        <v>0</v>
      </c>
      <c r="W192" s="90">
        <f t="shared" si="46"/>
        <v>0</v>
      </c>
      <c r="Y192" s="34">
        <f t="shared" si="38"/>
        <v>0.79163700080290034</v>
      </c>
      <c r="Z192" s="34"/>
      <c r="AA192" s="4"/>
      <c r="AB192" s="4"/>
      <c r="AE192" s="4"/>
    </row>
    <row r="193" spans="1:31" x14ac:dyDescent="0.25">
      <c r="A193" s="1" t="s">
        <v>301</v>
      </c>
      <c r="B193" s="1" t="s">
        <v>656</v>
      </c>
      <c r="C193" s="1" t="s">
        <v>302</v>
      </c>
      <c r="D193" s="1" t="s">
        <v>554</v>
      </c>
      <c r="E193" s="1">
        <f>VLOOKUP(A193,BOM!A:E,5,0)</f>
        <v>1</v>
      </c>
      <c r="F193" s="122">
        <v>3.93</v>
      </c>
      <c r="G193" s="10">
        <v>4.04</v>
      </c>
      <c r="H193" s="11" t="s">
        <v>1874</v>
      </c>
      <c r="I193" s="49">
        <f>SUMIFS(BOM!Q:Q,BOM!A:A,'All Products'!A193,BOM!I:I,'All Products'!I$3)</f>
        <v>1.3315100952757073</v>
      </c>
      <c r="J193" s="49">
        <f>SUMIFS(BOM!Q:Q,BOM!A:A,'All Products'!A193,BOM!I:I,'All Products'!J$3)+0.03</f>
        <v>0.17</v>
      </c>
      <c r="K193" s="29">
        <f t="shared" si="33"/>
        <v>0.37166091467220475</v>
      </c>
      <c r="L193" s="49">
        <f>SUMIF(BOM!A:A,'All Products'!A193,BOM!S:S)</f>
        <v>0.68480230496453898</v>
      </c>
      <c r="M193" s="49">
        <f>SUMIF(BOM!A:A,'All Products'!A193,BOM!V:V)</f>
        <v>0.21720416666666661</v>
      </c>
      <c r="N193" s="29">
        <f t="shared" si="34"/>
        <v>0.22326892862158554</v>
      </c>
      <c r="O193" s="55">
        <v>0</v>
      </c>
      <c r="P193" s="49">
        <f t="shared" si="35"/>
        <v>2.4035165669069127</v>
      </c>
      <c r="Q193" s="11">
        <f t="shared" si="36"/>
        <v>1.6364834330930873</v>
      </c>
      <c r="R193" s="29">
        <f t="shared" si="37"/>
        <v>0.40507015670620972</v>
      </c>
      <c r="S193" s="91">
        <v>41.6</v>
      </c>
      <c r="T193" s="91">
        <f t="shared" si="43"/>
        <v>168.06400000000002</v>
      </c>
      <c r="U193" s="90">
        <f t="shared" si="44"/>
        <v>68.077710816672436</v>
      </c>
      <c r="V193" s="90">
        <f t="shared" si="45"/>
        <v>68.077710816672436</v>
      </c>
      <c r="W193" s="90">
        <f t="shared" si="46"/>
        <v>0</v>
      </c>
      <c r="Y193" s="34">
        <f t="shared" si="38"/>
        <v>0.67041829324858737</v>
      </c>
      <c r="Z193" s="34"/>
      <c r="AA193" s="4"/>
      <c r="AB193" s="4"/>
      <c r="AE193" s="4"/>
    </row>
    <row r="194" spans="1:31" x14ac:dyDescent="0.25">
      <c r="A194" s="1" t="s">
        <v>299</v>
      </c>
      <c r="B194" s="1" t="s">
        <v>656</v>
      </c>
      <c r="C194" s="1" t="s">
        <v>300</v>
      </c>
      <c r="D194" s="1" t="s">
        <v>554</v>
      </c>
      <c r="E194" s="1">
        <f>VLOOKUP(A194,BOM!A:E,5,0)</f>
        <v>2.5</v>
      </c>
      <c r="F194" s="122">
        <v>9.83</v>
      </c>
      <c r="G194" s="10">
        <v>10.08</v>
      </c>
      <c r="H194" s="11" t="s">
        <v>1874</v>
      </c>
      <c r="I194" s="49">
        <f>SUMIFS(BOM!Q:Q,BOM!A:A,'All Products'!A194,BOM!I:I,'All Products'!I$3)</f>
        <v>3.3287752381892681</v>
      </c>
      <c r="J194" s="49">
        <f>SUMIFS(BOM!Q:Q,BOM!A:A,'All Products'!A194,BOM!I:I,'All Products'!J$3)+0.03</f>
        <v>0.17</v>
      </c>
      <c r="K194" s="29">
        <f t="shared" si="33"/>
        <v>0.34710071807433213</v>
      </c>
      <c r="L194" s="49">
        <f>SUMIF(BOM!A:A,'All Products'!A194,BOM!S:S)</f>
        <v>1.7120057624113474</v>
      </c>
      <c r="M194" s="49">
        <f>SUMIF(BOM!A:A,'All Products'!A194,BOM!V:V)</f>
        <v>0.29618749999999999</v>
      </c>
      <c r="N194" s="29">
        <f t="shared" si="34"/>
        <v>0.19922552206461777</v>
      </c>
      <c r="O194" s="55">
        <v>0</v>
      </c>
      <c r="P194" s="49">
        <f t="shared" si="35"/>
        <v>5.5069685006006157</v>
      </c>
      <c r="Q194" s="11">
        <f t="shared" si="36"/>
        <v>4.5730314993993844</v>
      </c>
      <c r="R194" s="29">
        <f t="shared" si="37"/>
        <v>0.45367375986105002</v>
      </c>
      <c r="S194" s="91">
        <v>95</v>
      </c>
      <c r="T194" s="91">
        <f t="shared" si="43"/>
        <v>957.6</v>
      </c>
      <c r="U194" s="90">
        <f t="shared" si="44"/>
        <v>434.43799244294149</v>
      </c>
      <c r="V194" s="90">
        <f t="shared" si="45"/>
        <v>434.43799244294149</v>
      </c>
      <c r="W194" s="90">
        <f t="shared" si="46"/>
        <v>0</v>
      </c>
      <c r="Y194" s="34">
        <f t="shared" si="38"/>
        <v>0.66976436129074723</v>
      </c>
      <c r="Z194" s="34"/>
      <c r="AA194" s="4"/>
      <c r="AB194" s="4"/>
      <c r="AE194" s="4"/>
    </row>
    <row r="195" spans="1:31" x14ac:dyDescent="0.25">
      <c r="A195" s="1" t="s">
        <v>754</v>
      </c>
      <c r="B195" s="1" t="s">
        <v>656</v>
      </c>
      <c r="C195" s="1" t="s">
        <v>755</v>
      </c>
      <c r="D195" s="1" t="s">
        <v>554</v>
      </c>
      <c r="E195" s="1">
        <f>VLOOKUP(A195,BOM!A:E,5,0)</f>
        <v>0.25</v>
      </c>
      <c r="F195" s="122">
        <v>3.91</v>
      </c>
      <c r="G195" s="10">
        <v>4.01</v>
      </c>
      <c r="H195" s="11" t="s">
        <v>1874</v>
      </c>
      <c r="I195" s="49">
        <f>SUMIFS(BOM!Q:Q,BOM!A:A,'All Products'!A195,BOM!I:I,'All Products'!I$3)</f>
        <v>0.33287752381892682</v>
      </c>
      <c r="J195" s="49">
        <f>SUMIFS(BOM!Q:Q,BOM!A:A,'All Products'!A195,BOM!I:I,'All Products'!J$3)+0.03</f>
        <v>0.08</v>
      </c>
      <c r="K195" s="29">
        <f t="shared" si="33"/>
        <v>0.10296197601469498</v>
      </c>
      <c r="L195" s="49">
        <f>SUMIF(BOM!A:A,'All Products'!A195,BOM!S:S)</f>
        <v>0.17120057624113474</v>
      </c>
      <c r="M195" s="49">
        <f>SUMIF(BOM!A:A,'All Products'!A195,BOM!V:V)</f>
        <v>0.16078749999999997</v>
      </c>
      <c r="N195" s="29">
        <f t="shared" si="34"/>
        <v>8.2790043950407663E-2</v>
      </c>
      <c r="O195" s="55">
        <v>0</v>
      </c>
      <c r="P195" s="49">
        <f t="shared" si="35"/>
        <v>0.74486560006006153</v>
      </c>
      <c r="Q195" s="11">
        <f t="shared" si="36"/>
        <v>3.2651343999399383</v>
      </c>
      <c r="R195" s="29">
        <f t="shared" si="37"/>
        <v>0.8142479800348974</v>
      </c>
      <c r="S195" s="91">
        <v>4.8</v>
      </c>
      <c r="T195" s="91">
        <f t="shared" si="43"/>
        <v>19.247999999999998</v>
      </c>
      <c r="U195" s="90">
        <f t="shared" si="44"/>
        <v>15.672645119711703</v>
      </c>
      <c r="V195" s="90">
        <f t="shared" si="45"/>
        <v>15.672645119711703</v>
      </c>
      <c r="W195" s="90">
        <f t="shared" si="46"/>
        <v>0</v>
      </c>
      <c r="Y195" s="34">
        <f t="shared" si="38"/>
        <v>0.91698814867358436</v>
      </c>
      <c r="Z195" s="34"/>
      <c r="AA195" s="4"/>
      <c r="AB195" s="4"/>
      <c r="AE195" s="4"/>
    </row>
    <row r="196" spans="1:31" x14ac:dyDescent="0.25">
      <c r="A196" s="1" t="s">
        <v>298</v>
      </c>
      <c r="B196" s="1" t="s">
        <v>656</v>
      </c>
      <c r="C196" s="1" t="s">
        <v>756</v>
      </c>
      <c r="D196" s="1" t="s">
        <v>554</v>
      </c>
      <c r="E196" s="1">
        <f>VLOOKUP(A196,BOM!A:E,5,0)</f>
        <v>1</v>
      </c>
      <c r="F196" s="122">
        <v>4.37</v>
      </c>
      <c r="G196" s="10">
        <v>4.57</v>
      </c>
      <c r="H196" s="11" t="s">
        <v>1874</v>
      </c>
      <c r="I196" s="49">
        <f>SUMIFS(BOM!Q:Q,BOM!A:A,'All Products'!A196,BOM!I:I,'All Products'!I$3)</f>
        <v>1.82</v>
      </c>
      <c r="J196" s="49">
        <f>SUMIFS(BOM!Q:Q,BOM!A:A,'All Products'!A196,BOM!I:I,'All Products'!J$3)+0.03</f>
        <v>0.17</v>
      </c>
      <c r="K196" s="29">
        <f t="shared" ref="K196:K259" si="47">(I196+J196)/G196</f>
        <v>0.43544857768052514</v>
      </c>
      <c r="L196" s="49">
        <f>SUMIF(BOM!A:A,'All Products'!A196,BOM!S:S)</f>
        <v>1.04935</v>
      </c>
      <c r="M196" s="49">
        <f>SUMIF(BOM!A:A,'All Products'!A196,BOM!V:V)</f>
        <v>0.21720416666666661</v>
      </c>
      <c r="N196" s="29">
        <f t="shared" ref="N196:N259" si="48">(L196+M196)/G196</f>
        <v>0.2771453318745441</v>
      </c>
      <c r="O196" s="55">
        <v>0</v>
      </c>
      <c r="P196" s="49">
        <f t="shared" ref="P196:P259" si="49">I196+J196+M196+L196+O196</f>
        <v>3.2565541666666666</v>
      </c>
      <c r="Q196" s="11">
        <f t="shared" ref="Q196:Q259" si="50">G196-P196</f>
        <v>1.3134458333333336</v>
      </c>
      <c r="R196" s="29">
        <f t="shared" ref="R196:R259" si="51">IFERROR((G196-P196)/G196,0)</f>
        <v>0.28740609044493076</v>
      </c>
      <c r="S196" s="91">
        <v>9</v>
      </c>
      <c r="T196" s="91">
        <f t="shared" si="43"/>
        <v>41.13</v>
      </c>
      <c r="U196" s="90">
        <f t="shared" si="44"/>
        <v>11.821012500000002</v>
      </c>
      <c r="V196" s="90">
        <f t="shared" si="45"/>
        <v>11.821012500000002</v>
      </c>
      <c r="W196" s="90">
        <f t="shared" si="46"/>
        <v>0</v>
      </c>
      <c r="Y196" s="34">
        <f t="shared" ref="Y196:Y259" si="52">(G196-I196)/G196</f>
        <v>0.60175054704595188</v>
      </c>
      <c r="Z196" s="34"/>
      <c r="AA196" s="4"/>
      <c r="AB196" s="4"/>
      <c r="AE196" s="4"/>
    </row>
    <row r="197" spans="1:31" x14ac:dyDescent="0.25">
      <c r="A197" s="1" t="s">
        <v>486</v>
      </c>
      <c r="B197" s="1" t="s">
        <v>656</v>
      </c>
      <c r="C197" s="1" t="s">
        <v>757</v>
      </c>
      <c r="D197" s="1" t="s">
        <v>554</v>
      </c>
      <c r="E197" s="1">
        <f>VLOOKUP(A197,BOM!A:E,5,0)</f>
        <v>2.5</v>
      </c>
      <c r="F197" s="122">
        <v>10.94</v>
      </c>
      <c r="G197" s="10">
        <v>11.44</v>
      </c>
      <c r="H197" s="11" t="s">
        <v>1874</v>
      </c>
      <c r="I197" s="49">
        <f>SUMIFS(BOM!Q:Q,BOM!A:A,'All Products'!A197,BOM!I:I,'All Products'!I$3)</f>
        <v>4.55</v>
      </c>
      <c r="J197" s="49">
        <f>SUMIFS(BOM!Q:Q,BOM!A:A,'All Products'!A197,BOM!I:I,'All Products'!J$3)+0.03</f>
        <v>0.17</v>
      </c>
      <c r="K197" s="29">
        <f t="shared" si="47"/>
        <v>0.41258741258741261</v>
      </c>
      <c r="L197" s="49">
        <f>SUMIF(BOM!A:A,'All Products'!A197,BOM!S:S)</f>
        <v>2.6233749999999998</v>
      </c>
      <c r="M197" s="49">
        <f>SUMIF(BOM!A:A,'All Products'!A197,BOM!V:V)</f>
        <v>0.29618749999999999</v>
      </c>
      <c r="N197" s="29">
        <f t="shared" si="48"/>
        <v>0.2552065122377622</v>
      </c>
      <c r="O197" s="55">
        <v>0</v>
      </c>
      <c r="P197" s="49">
        <f t="shared" si="49"/>
        <v>7.6395625000000003</v>
      </c>
      <c r="Q197" s="11">
        <f t="shared" si="50"/>
        <v>3.8004374999999992</v>
      </c>
      <c r="R197" s="29">
        <f t="shared" si="51"/>
        <v>0.33220607517482514</v>
      </c>
      <c r="S197" s="91">
        <v>8.4</v>
      </c>
      <c r="T197" s="91">
        <f t="shared" si="43"/>
        <v>96.096000000000004</v>
      </c>
      <c r="U197" s="90">
        <f t="shared" si="44"/>
        <v>31.923674999999996</v>
      </c>
      <c r="V197" s="90">
        <f t="shared" si="45"/>
        <v>31.923674999999996</v>
      </c>
      <c r="W197" s="90">
        <f t="shared" si="46"/>
        <v>0</v>
      </c>
      <c r="Y197" s="34">
        <f t="shared" si="52"/>
        <v>0.60227272727272729</v>
      </c>
      <c r="Z197" s="34"/>
      <c r="AA197" s="4"/>
      <c r="AB197" s="4"/>
      <c r="AE197" s="4"/>
    </row>
    <row r="198" spans="1:31" x14ac:dyDescent="0.25">
      <c r="A198" s="1" t="s">
        <v>297</v>
      </c>
      <c r="B198" s="1" t="s">
        <v>656</v>
      </c>
      <c r="C198" s="1" t="s">
        <v>758</v>
      </c>
      <c r="D198" s="1" t="s">
        <v>554</v>
      </c>
      <c r="E198" s="1">
        <f>VLOOKUP(A198,BOM!A:E,5,0)</f>
        <v>0.25</v>
      </c>
      <c r="F198" s="122">
        <v>1.38</v>
      </c>
      <c r="G198" s="10">
        <v>1.44</v>
      </c>
      <c r="H198" s="11" t="s">
        <v>1874</v>
      </c>
      <c r="I198" s="49">
        <f>SUMIFS(BOM!Q:Q,BOM!A:A,'All Products'!A198,BOM!I:I,'All Products'!I$3)</f>
        <v>0.45500000000000002</v>
      </c>
      <c r="J198" s="49">
        <f>SUMIFS(BOM!Q:Q,BOM!A:A,'All Products'!A198,BOM!I:I,'All Products'!J$3)+0.03</f>
        <v>0.08</v>
      </c>
      <c r="K198" s="29">
        <f t="shared" si="47"/>
        <v>0.37152777777777779</v>
      </c>
      <c r="L198" s="49">
        <f>SUMIF(BOM!A:A,'All Products'!A198,BOM!S:S)</f>
        <v>0.2623375</v>
      </c>
      <c r="M198" s="49">
        <f>SUMIF(BOM!A:A,'All Products'!A198,BOM!V:V)</f>
        <v>0.16078749999999997</v>
      </c>
      <c r="N198" s="29">
        <f t="shared" si="48"/>
        <v>0.29383680555555552</v>
      </c>
      <c r="O198" s="55">
        <v>0</v>
      </c>
      <c r="P198" s="49">
        <f t="shared" si="49"/>
        <v>0.958125</v>
      </c>
      <c r="Q198" s="11">
        <f t="shared" si="50"/>
        <v>0.48187499999999994</v>
      </c>
      <c r="R198" s="29">
        <f t="shared" si="51"/>
        <v>0.33463541666666663</v>
      </c>
      <c r="S198" s="91">
        <v>13.6</v>
      </c>
      <c r="T198" s="91">
        <f t="shared" si="43"/>
        <v>19.584</v>
      </c>
      <c r="U198" s="90">
        <f t="shared" si="44"/>
        <v>6.5534999999999988</v>
      </c>
      <c r="V198" s="90">
        <f t="shared" si="45"/>
        <v>6.5534999999999988</v>
      </c>
      <c r="W198" s="90">
        <f t="shared" si="46"/>
        <v>0</v>
      </c>
      <c r="Y198" s="34">
        <f t="shared" si="52"/>
        <v>0.68402777777777768</v>
      </c>
      <c r="Z198" s="34"/>
      <c r="AA198" s="4"/>
      <c r="AB198" s="4"/>
      <c r="AE198" s="4"/>
    </row>
    <row r="199" spans="1:31" x14ac:dyDescent="0.25">
      <c r="A199" s="1" t="s">
        <v>759</v>
      </c>
      <c r="B199" s="1" t="s">
        <v>656</v>
      </c>
      <c r="C199" s="1" t="s">
        <v>760</v>
      </c>
      <c r="D199" s="1" t="s">
        <v>554</v>
      </c>
      <c r="E199" s="1">
        <f>VLOOKUP(A199,BOM!A:E,5,0)</f>
        <v>2.5</v>
      </c>
      <c r="F199" s="122">
        <v>51.27</v>
      </c>
      <c r="G199" s="10">
        <v>52.87</v>
      </c>
      <c r="H199" s="11" t="s">
        <v>1874</v>
      </c>
      <c r="I199" s="49">
        <f>SUMIFS(BOM!Q:Q,BOM!A:A,'All Products'!A199,BOM!I:I,'All Products'!I$3)</f>
        <v>20.285714285714285</v>
      </c>
      <c r="J199" s="49">
        <f>SUMIFS(BOM!Q:Q,BOM!A:A,'All Products'!A199,BOM!I:I,'All Products'!J$3)+0.03</f>
        <v>0.17</v>
      </c>
      <c r="K199" s="29">
        <f t="shared" si="47"/>
        <v>0.38690588775703211</v>
      </c>
      <c r="L199" s="49">
        <f>SUMIF(BOM!A:A,'All Products'!A199,BOM!S:S)</f>
        <v>15.814296874999998</v>
      </c>
      <c r="M199" s="49">
        <f>SUMIF(BOM!A:A,'All Products'!A199,BOM!V:V)</f>
        <v>0.29618749999999999</v>
      </c>
      <c r="N199" s="29">
        <f t="shared" si="48"/>
        <v>0.30471882683941742</v>
      </c>
      <c r="O199" s="55">
        <v>0</v>
      </c>
      <c r="P199" s="49">
        <f t="shared" si="49"/>
        <v>36.566198660714285</v>
      </c>
      <c r="Q199" s="11">
        <f t="shared" si="50"/>
        <v>16.303801339285712</v>
      </c>
      <c r="R199" s="29">
        <f t="shared" si="51"/>
        <v>0.30837528540355047</v>
      </c>
      <c r="S199" s="91">
        <v>0.2</v>
      </c>
      <c r="T199" s="91">
        <f t="shared" si="43"/>
        <v>10.574</v>
      </c>
      <c r="U199" s="90">
        <f t="shared" si="44"/>
        <v>3.2607602678571426</v>
      </c>
      <c r="V199" s="90">
        <f t="shared" si="45"/>
        <v>3.2607602678571426</v>
      </c>
      <c r="W199" s="90">
        <f t="shared" si="46"/>
        <v>0</v>
      </c>
      <c r="Y199" s="34">
        <f t="shared" si="52"/>
        <v>0.6163095463265692</v>
      </c>
      <c r="Z199" s="34"/>
      <c r="AA199" s="4"/>
      <c r="AB199" s="4"/>
      <c r="AE199" s="4"/>
    </row>
    <row r="200" spans="1:31" x14ac:dyDescent="0.25">
      <c r="A200" s="1" t="s">
        <v>483</v>
      </c>
      <c r="B200" s="1" t="s">
        <v>656</v>
      </c>
      <c r="C200" s="1" t="s">
        <v>761</v>
      </c>
      <c r="D200" s="1" t="s">
        <v>554</v>
      </c>
      <c r="E200" s="1">
        <f>VLOOKUP(A200,BOM!A:E,5,0)</f>
        <v>1</v>
      </c>
      <c r="F200" s="122">
        <v>20.66</v>
      </c>
      <c r="G200" s="10">
        <v>21.17</v>
      </c>
      <c r="H200" s="11" t="s">
        <v>1874</v>
      </c>
      <c r="I200" s="49">
        <f>SUMIFS(BOM!Q:Q,BOM!A:A,'All Products'!A200,BOM!I:I,'All Products'!I$3)</f>
        <v>8.9714285714285715</v>
      </c>
      <c r="J200" s="49">
        <f>SUMIFS(BOM!Q:Q,BOM!A:A,'All Products'!A200,BOM!I:I,'All Products'!J$3)+0.03</f>
        <v>0.17</v>
      </c>
      <c r="K200" s="29">
        <f t="shared" si="47"/>
        <v>0.43181051352992778</v>
      </c>
      <c r="L200" s="49">
        <f>SUMIF(BOM!A:A,'All Products'!A200,BOM!S:S)</f>
        <v>6.3257187499999992</v>
      </c>
      <c r="M200" s="49">
        <f>SUMIF(BOM!A:A,'All Products'!A200,BOM!V:V)</f>
        <v>0.21720416666666661</v>
      </c>
      <c r="N200" s="29">
        <f t="shared" si="48"/>
        <v>0.30906579672492518</v>
      </c>
      <c r="O200" s="55">
        <v>0</v>
      </c>
      <c r="P200" s="49">
        <f t="shared" si="49"/>
        <v>15.684351488095238</v>
      </c>
      <c r="Q200" s="11">
        <f t="shared" si="50"/>
        <v>5.4856485119047633</v>
      </c>
      <c r="R200" s="29">
        <f t="shared" si="51"/>
        <v>0.25912368974514705</v>
      </c>
      <c r="S200" s="91">
        <v>9.6</v>
      </c>
      <c r="T200" s="91">
        <f t="shared" si="43"/>
        <v>203.232</v>
      </c>
      <c r="U200" s="90">
        <f t="shared" si="44"/>
        <v>52.662225714285725</v>
      </c>
      <c r="V200" s="90">
        <f t="shared" si="45"/>
        <v>52.662225714285725</v>
      </c>
      <c r="W200" s="90">
        <f t="shared" si="46"/>
        <v>0</v>
      </c>
      <c r="Y200" s="34">
        <f t="shared" si="52"/>
        <v>0.57621971792968485</v>
      </c>
      <c r="Z200" s="34"/>
      <c r="AA200" s="4"/>
      <c r="AB200" s="4"/>
      <c r="AE200" s="4"/>
    </row>
    <row r="201" spans="1:31" x14ac:dyDescent="0.25">
      <c r="A201" s="1" t="s">
        <v>762</v>
      </c>
      <c r="B201" s="1" t="s">
        <v>656</v>
      </c>
      <c r="C201" s="1" t="s">
        <v>763</v>
      </c>
      <c r="D201" s="1" t="s">
        <v>554</v>
      </c>
      <c r="E201" s="1">
        <f>VLOOKUP(A201,BOM!A:E,5,0)</f>
        <v>2.5</v>
      </c>
      <c r="F201" s="122">
        <v>51.65</v>
      </c>
      <c r="G201" s="10">
        <v>52.94</v>
      </c>
      <c r="H201" s="11" t="s">
        <v>1874</v>
      </c>
      <c r="I201" s="49">
        <f>SUMIFS(BOM!Q:Q,BOM!A:A,'All Products'!A201,BOM!I:I,'All Products'!I$3)</f>
        <v>22.428571428571431</v>
      </c>
      <c r="J201" s="49">
        <f>SUMIFS(BOM!Q:Q,BOM!A:A,'All Products'!A201,BOM!I:I,'All Products'!J$3)+0.03</f>
        <v>0.17</v>
      </c>
      <c r="K201" s="29">
        <f t="shared" si="47"/>
        <v>0.42687139079281133</v>
      </c>
      <c r="L201" s="49">
        <f>SUMIF(BOM!A:A,'All Products'!A201,BOM!S:S)</f>
        <v>15.814296874999998</v>
      </c>
      <c r="M201" s="49">
        <f>SUMIF(BOM!A:A,'All Products'!A201,BOM!V:V)</f>
        <v>0.29618749999999999</v>
      </c>
      <c r="N201" s="29">
        <f t="shared" si="48"/>
        <v>0.30431591188137513</v>
      </c>
      <c r="O201" s="55">
        <v>0</v>
      </c>
      <c r="P201" s="49">
        <f t="shared" si="49"/>
        <v>38.709055803571431</v>
      </c>
      <c r="Q201" s="11">
        <f t="shared" si="50"/>
        <v>14.230944196428567</v>
      </c>
      <c r="R201" s="29">
        <f t="shared" si="51"/>
        <v>0.26881269732581353</v>
      </c>
      <c r="S201" s="91">
        <v>3.2</v>
      </c>
      <c r="T201" s="91">
        <f t="shared" si="43"/>
        <v>169.40800000000002</v>
      </c>
      <c r="U201" s="90">
        <f t="shared" si="44"/>
        <v>45.539021428571417</v>
      </c>
      <c r="V201" s="90">
        <f t="shared" si="45"/>
        <v>45.539021428571417</v>
      </c>
      <c r="W201" s="90">
        <f t="shared" si="46"/>
        <v>0</v>
      </c>
      <c r="Y201" s="34">
        <f t="shared" si="52"/>
        <v>0.57633979167791027</v>
      </c>
      <c r="Z201" s="34"/>
      <c r="AA201" s="4"/>
      <c r="AB201" s="4"/>
      <c r="AE201" s="4"/>
    </row>
    <row r="202" spans="1:31" x14ac:dyDescent="0.25">
      <c r="A202" s="1" t="s">
        <v>294</v>
      </c>
      <c r="B202" s="1" t="s">
        <v>656</v>
      </c>
      <c r="C202" s="1" t="s">
        <v>764</v>
      </c>
      <c r="D202" s="1" t="s">
        <v>554</v>
      </c>
      <c r="E202" s="1">
        <f>VLOOKUP(A202,BOM!A:E,5,0)</f>
        <v>0.25</v>
      </c>
      <c r="F202" s="122">
        <v>5.16</v>
      </c>
      <c r="G202" s="10">
        <v>5.4</v>
      </c>
      <c r="H202" s="11" t="s">
        <v>1874</v>
      </c>
      <c r="I202" s="49">
        <f>SUMIFS(BOM!Q:Q,BOM!A:A,'All Products'!A202,BOM!I:I,'All Products'!I$3)</f>
        <v>2.2428571428571429</v>
      </c>
      <c r="J202" s="49">
        <f>SUMIFS(BOM!Q:Q,BOM!A:A,'All Products'!A202,BOM!I:I,'All Products'!J$3)+0.03</f>
        <v>0.08</v>
      </c>
      <c r="K202" s="29">
        <f t="shared" si="47"/>
        <v>0.43015873015873013</v>
      </c>
      <c r="L202" s="49">
        <f>SUMIF(BOM!A:A,'All Products'!A202,BOM!S:S)</f>
        <v>1.5814296874999998</v>
      </c>
      <c r="M202" s="49">
        <f>SUMIF(BOM!A:A,'All Products'!A202,BOM!V:V)</f>
        <v>0.16078749999999997</v>
      </c>
      <c r="N202" s="29">
        <f t="shared" si="48"/>
        <v>0.32263281249999992</v>
      </c>
      <c r="O202" s="55">
        <v>0</v>
      </c>
      <c r="P202" s="49">
        <f t="shared" si="49"/>
        <v>4.0650743303571426</v>
      </c>
      <c r="Q202" s="11">
        <f t="shared" si="50"/>
        <v>1.3349256696428577</v>
      </c>
      <c r="R202" s="29">
        <f t="shared" si="51"/>
        <v>0.24720845734126995</v>
      </c>
      <c r="S202" s="91">
        <v>7.4</v>
      </c>
      <c r="T202" s="91">
        <f t="shared" si="43"/>
        <v>39.960000000000008</v>
      </c>
      <c r="U202" s="90">
        <f t="shared" si="44"/>
        <v>9.8784499553571479</v>
      </c>
      <c r="V202" s="90">
        <f t="shared" si="45"/>
        <v>9.8784499553571479</v>
      </c>
      <c r="W202" s="90">
        <f t="shared" si="46"/>
        <v>0</v>
      </c>
      <c r="Y202" s="34">
        <f t="shared" si="52"/>
        <v>0.58465608465608465</v>
      </c>
      <c r="Z202" s="34"/>
      <c r="AA202" s="4"/>
      <c r="AB202" s="4"/>
      <c r="AE202" s="4"/>
    </row>
    <row r="203" spans="1:31" x14ac:dyDescent="0.25">
      <c r="A203" s="1" t="s">
        <v>293</v>
      </c>
      <c r="B203" s="1" t="s">
        <v>656</v>
      </c>
      <c r="C203" s="1" t="s">
        <v>765</v>
      </c>
      <c r="D203" s="1" t="s">
        <v>554</v>
      </c>
      <c r="E203" s="1">
        <f>VLOOKUP(A203,BOM!A:E,5,0)</f>
        <v>1</v>
      </c>
      <c r="F203" s="122">
        <v>18.52</v>
      </c>
      <c r="G203" s="10">
        <v>18.91</v>
      </c>
      <c r="H203" s="11" t="s">
        <v>1874</v>
      </c>
      <c r="I203" s="49">
        <f>SUMIFS(BOM!Q:Q,BOM!A:A,'All Products'!A203,BOM!I:I,'All Products'!I$3)</f>
        <v>3.8647781052631585</v>
      </c>
      <c r="J203" s="49">
        <f>SUMIFS(BOM!Q:Q,BOM!A:A,'All Products'!A203,BOM!I:I,'All Products'!J$3)+0.03</f>
        <v>0.17</v>
      </c>
      <c r="K203" s="29">
        <f t="shared" si="47"/>
        <v>0.21336743020958002</v>
      </c>
      <c r="L203" s="49">
        <f>SUMIF(BOM!A:A,'All Products'!A203,BOM!S:S)</f>
        <v>1.6473666666666664</v>
      </c>
      <c r="M203" s="49">
        <f>SUMIF(BOM!A:A,'All Products'!A203,BOM!V:V)</f>
        <v>0.21720416666666661</v>
      </c>
      <c r="N203" s="29">
        <f t="shared" si="48"/>
        <v>9.8602370879605133E-2</v>
      </c>
      <c r="O203" s="55">
        <v>0</v>
      </c>
      <c r="P203" s="49">
        <f t="shared" si="49"/>
        <v>5.8993489385964919</v>
      </c>
      <c r="Q203" s="11">
        <f t="shared" si="50"/>
        <v>13.010651061403507</v>
      </c>
      <c r="R203" s="29">
        <f t="shared" si="51"/>
        <v>0.68803019891081474</v>
      </c>
      <c r="S203" s="91">
        <v>16.2</v>
      </c>
      <c r="T203" s="91">
        <f t="shared" si="43"/>
        <v>306.34199999999998</v>
      </c>
      <c r="U203" s="90">
        <f t="shared" si="44"/>
        <v>210.7725471947368</v>
      </c>
      <c r="V203" s="90">
        <f t="shared" si="45"/>
        <v>210.7725471947368</v>
      </c>
      <c r="W203" s="90">
        <f t="shared" si="46"/>
        <v>0</v>
      </c>
      <c r="Y203" s="34">
        <f t="shared" si="52"/>
        <v>0.79562252219655427</v>
      </c>
      <c r="Z203" s="34"/>
      <c r="AA203" s="4"/>
      <c r="AB203" s="4"/>
      <c r="AE203" s="4"/>
    </row>
    <row r="204" spans="1:31" x14ac:dyDescent="0.25">
      <c r="A204" s="1" t="s">
        <v>538</v>
      </c>
      <c r="B204" s="1" t="s">
        <v>656</v>
      </c>
      <c r="C204" s="1" t="s">
        <v>766</v>
      </c>
      <c r="D204" s="1" t="s">
        <v>554</v>
      </c>
      <c r="E204" s="1">
        <f>VLOOKUP(A204,BOM!A:E,5,0)</f>
        <v>2.5</v>
      </c>
      <c r="F204" s="122">
        <v>46.3</v>
      </c>
      <c r="G204" s="10">
        <v>47.26</v>
      </c>
      <c r="H204" s="11" t="s">
        <v>1874</v>
      </c>
      <c r="I204" s="49">
        <f>SUMIFS(BOM!Q:Q,BOM!A:A,'All Products'!A204,BOM!I:I,'All Products'!I$3)</f>
        <v>9.6619452631578948</v>
      </c>
      <c r="J204" s="49">
        <f>SUMIFS(BOM!Q:Q,BOM!A:A,'All Products'!A204,BOM!I:I,'All Products'!J$3)+0.03</f>
        <v>0.17</v>
      </c>
      <c r="K204" s="29">
        <f t="shared" si="47"/>
        <v>0.20803946811590976</v>
      </c>
      <c r="L204" s="49">
        <f>SUMIF(BOM!A:A,'All Products'!A204,BOM!S:S)</f>
        <v>4.1184166666666657</v>
      </c>
      <c r="M204" s="49">
        <f>SUMIF(BOM!A:A,'All Products'!A204,BOM!V:V)</f>
        <v>0.29618749999999999</v>
      </c>
      <c r="N204" s="29">
        <f t="shared" si="48"/>
        <v>9.3411006488926501E-2</v>
      </c>
      <c r="O204" s="55">
        <v>0</v>
      </c>
      <c r="P204" s="49">
        <f t="shared" si="49"/>
        <v>14.246549429824562</v>
      </c>
      <c r="Q204" s="11">
        <f t="shared" si="50"/>
        <v>33.013450570175436</v>
      </c>
      <c r="R204" s="29">
        <f t="shared" si="51"/>
        <v>0.69854952539516368</v>
      </c>
      <c r="S204" s="91">
        <v>13.6</v>
      </c>
      <c r="T204" s="91">
        <f t="shared" si="43"/>
        <v>642.73599999999999</v>
      </c>
      <c r="U204" s="90">
        <f t="shared" si="44"/>
        <v>448.98292775438591</v>
      </c>
      <c r="V204" s="90">
        <f t="shared" si="45"/>
        <v>448.98292775438591</v>
      </c>
      <c r="W204" s="90">
        <f t="shared" si="46"/>
        <v>0</v>
      </c>
      <c r="Y204" s="34">
        <f t="shared" si="52"/>
        <v>0.79555765418624846</v>
      </c>
      <c r="Z204" s="34"/>
      <c r="AA204" s="4"/>
      <c r="AB204" s="4"/>
      <c r="AE204" s="4"/>
    </row>
    <row r="205" spans="1:31" x14ac:dyDescent="0.25">
      <c r="A205" s="1" t="s">
        <v>484</v>
      </c>
      <c r="B205" s="1" t="s">
        <v>656</v>
      </c>
      <c r="C205" s="1" t="s">
        <v>485</v>
      </c>
      <c r="D205" s="1" t="s">
        <v>554</v>
      </c>
      <c r="E205" s="1">
        <f>VLOOKUP(A205,BOM!A:E,5,0)</f>
        <v>1</v>
      </c>
      <c r="F205" s="122">
        <v>20.5</v>
      </c>
      <c r="G205" s="10">
        <v>21.03</v>
      </c>
      <c r="H205" s="11" t="s">
        <v>1874</v>
      </c>
      <c r="I205" s="49">
        <f>SUMIFS(BOM!Q:Q,BOM!A:A,'All Products'!A205,BOM!I:I,'All Products'!I$3)</f>
        <v>8.1142857142857139</v>
      </c>
      <c r="J205" s="49">
        <f>SUMIFS(BOM!Q:Q,BOM!A:A,'All Products'!A205,BOM!I:I,'All Products'!J$3)+0.03</f>
        <v>0.17</v>
      </c>
      <c r="K205" s="29">
        <f t="shared" si="47"/>
        <v>0.39392704299979614</v>
      </c>
      <c r="L205" s="49">
        <f>SUMIF(BOM!A:A,'All Products'!A205,BOM!S:S)</f>
        <v>6.3257187499999992</v>
      </c>
      <c r="M205" s="49">
        <f>SUMIF(BOM!A:A,'All Products'!A205,BOM!V:V)</f>
        <v>0.21720416666666661</v>
      </c>
      <c r="N205" s="29">
        <f t="shared" si="48"/>
        <v>0.31112329608495792</v>
      </c>
      <c r="O205" s="55">
        <v>0</v>
      </c>
      <c r="P205" s="49">
        <f t="shared" si="49"/>
        <v>14.827208630952381</v>
      </c>
      <c r="Q205" s="11">
        <f t="shared" si="50"/>
        <v>6.2027913690476204</v>
      </c>
      <c r="R205" s="29">
        <f t="shared" si="51"/>
        <v>0.29494966091524583</v>
      </c>
      <c r="S205" s="91">
        <v>12.8</v>
      </c>
      <c r="T205" s="91">
        <f t="shared" si="43"/>
        <v>269.18400000000003</v>
      </c>
      <c r="U205" s="90">
        <f t="shared" si="44"/>
        <v>79.39572952380955</v>
      </c>
      <c r="V205" s="90">
        <f t="shared" si="45"/>
        <v>79.39572952380955</v>
      </c>
      <c r="W205" s="90">
        <f t="shared" si="46"/>
        <v>0</v>
      </c>
      <c r="Y205" s="34">
        <f t="shared" si="52"/>
        <v>0.61415664696691807</v>
      </c>
      <c r="Z205" s="34"/>
      <c r="AA205" s="4"/>
      <c r="AB205" s="4"/>
      <c r="AE205" s="4"/>
    </row>
    <row r="206" spans="1:31" x14ac:dyDescent="0.25">
      <c r="A206" s="1" t="s">
        <v>295</v>
      </c>
      <c r="B206" s="1" t="s">
        <v>656</v>
      </c>
      <c r="C206" s="1" t="s">
        <v>767</v>
      </c>
      <c r="D206" s="1" t="s">
        <v>554</v>
      </c>
      <c r="E206" s="1">
        <f>VLOOKUP(A206,BOM!A:E,5,0)</f>
        <v>0.25</v>
      </c>
      <c r="F206" s="122">
        <v>5.13</v>
      </c>
      <c r="G206" s="10">
        <v>5.29</v>
      </c>
      <c r="H206" s="11" t="s">
        <v>1874</v>
      </c>
      <c r="I206" s="49">
        <f>SUMIFS(BOM!Q:Q,BOM!A:A,'All Products'!A206,BOM!I:I,'All Products'!I$3)</f>
        <v>2.0285714285714285</v>
      </c>
      <c r="J206" s="49">
        <f>SUMIFS(BOM!Q:Q,BOM!A:A,'All Products'!A206,BOM!I:I,'All Products'!J$3)+0.03</f>
        <v>0.08</v>
      </c>
      <c r="K206" s="29">
        <f t="shared" si="47"/>
        <v>0.39859573318930597</v>
      </c>
      <c r="L206" s="49">
        <f>SUMIF(BOM!A:A,'All Products'!A206,BOM!S:S)</f>
        <v>1.5814296874999998</v>
      </c>
      <c r="M206" s="49">
        <f>SUMIF(BOM!A:A,'All Products'!A206,BOM!V:V)</f>
        <v>0.16078749999999997</v>
      </c>
      <c r="N206" s="29">
        <f t="shared" si="48"/>
        <v>0.32934162334593564</v>
      </c>
      <c r="O206" s="55">
        <v>0</v>
      </c>
      <c r="P206" s="49">
        <f t="shared" si="49"/>
        <v>3.8507886160714282</v>
      </c>
      <c r="Q206" s="11">
        <f t="shared" si="50"/>
        <v>1.4392113839285718</v>
      </c>
      <c r="R206" s="29">
        <f t="shared" si="51"/>
        <v>0.27206264346475839</v>
      </c>
      <c r="S206" s="91">
        <v>6.2</v>
      </c>
      <c r="T206" s="91">
        <f t="shared" si="43"/>
        <v>32.798000000000002</v>
      </c>
      <c r="U206" s="90">
        <f t="shared" si="44"/>
        <v>8.9231105803571449</v>
      </c>
      <c r="V206" s="90">
        <f t="shared" si="45"/>
        <v>8.9231105803571449</v>
      </c>
      <c r="W206" s="90">
        <f t="shared" si="46"/>
        <v>0</v>
      </c>
      <c r="Y206" s="34">
        <f t="shared" si="52"/>
        <v>0.61652714015662979</v>
      </c>
      <c r="Z206" s="34"/>
      <c r="AA206" s="4"/>
      <c r="AB206" s="4"/>
      <c r="AE206" s="4"/>
    </row>
    <row r="207" spans="1:31" x14ac:dyDescent="0.25">
      <c r="A207" s="1" t="s">
        <v>481</v>
      </c>
      <c r="B207" s="1" t="s">
        <v>656</v>
      </c>
      <c r="C207" s="1" t="s">
        <v>482</v>
      </c>
      <c r="D207" s="1" t="s">
        <v>554</v>
      </c>
      <c r="E207" s="1">
        <f>VLOOKUP(A207,BOM!A:E,5,0)</f>
        <v>1</v>
      </c>
      <c r="F207" s="122">
        <v>3.15</v>
      </c>
      <c r="G207" s="10">
        <v>3.01</v>
      </c>
      <c r="H207" s="11" t="s">
        <v>1874</v>
      </c>
      <c r="I207" s="49">
        <f>SUMIFS(BOM!Q:Q,BOM!A:A,'All Products'!A207,BOM!I:I,'All Products'!I$3)</f>
        <v>1.6296296296296298</v>
      </c>
      <c r="J207" s="49">
        <f>SUMIFS(BOM!Q:Q,BOM!A:A,'All Products'!A207,BOM!I:I,'All Products'!J$3)+0.03</f>
        <v>0.17</v>
      </c>
      <c r="K207" s="29">
        <f t="shared" si="47"/>
        <v>0.59788359788359791</v>
      </c>
      <c r="L207" s="49">
        <f>SUMIF(BOM!A:A,'All Products'!A207,BOM!S:S)</f>
        <v>0.3641710758377425</v>
      </c>
      <c r="M207" s="49">
        <f>SUMIF(BOM!A:A,'All Products'!A207,BOM!V:V)</f>
        <v>0.21720416666666661</v>
      </c>
      <c r="N207" s="29">
        <f t="shared" si="48"/>
        <v>0.19314792109781034</v>
      </c>
      <c r="O207" s="55">
        <v>0</v>
      </c>
      <c r="P207" s="49">
        <f t="shared" si="49"/>
        <v>2.3810048721340387</v>
      </c>
      <c r="Q207" s="11">
        <f t="shared" si="50"/>
        <v>0.62899512786596112</v>
      </c>
      <c r="R207" s="29">
        <f t="shared" si="51"/>
        <v>0.20896848101859175</v>
      </c>
      <c r="S207" s="91">
        <v>14.6</v>
      </c>
      <c r="T207" s="91">
        <f t="shared" si="43"/>
        <v>43.945999999999998</v>
      </c>
      <c r="U207" s="90">
        <f t="shared" si="44"/>
        <v>9.1833288668430324</v>
      </c>
      <c r="V207" s="90">
        <f t="shared" si="45"/>
        <v>9.1833288668430324</v>
      </c>
      <c r="W207" s="90">
        <f t="shared" si="46"/>
        <v>0</v>
      </c>
      <c r="Y207" s="34">
        <f t="shared" si="52"/>
        <v>0.45859480743201664</v>
      </c>
      <c r="Z207" s="34"/>
      <c r="AA207" s="4"/>
      <c r="AB207" s="4"/>
      <c r="AE207" s="4"/>
    </row>
    <row r="208" spans="1:31" x14ac:dyDescent="0.25">
      <c r="A208" s="1" t="s">
        <v>287</v>
      </c>
      <c r="B208" s="1" t="s">
        <v>656</v>
      </c>
      <c r="C208" s="1" t="s">
        <v>288</v>
      </c>
      <c r="D208" s="1" t="s">
        <v>554</v>
      </c>
      <c r="E208" s="1">
        <f>VLOOKUP(A208,BOM!A:E,5,0)</f>
        <v>2.5</v>
      </c>
      <c r="F208" s="122">
        <v>7.88</v>
      </c>
      <c r="G208" s="10">
        <v>7.52</v>
      </c>
      <c r="H208" s="11" t="s">
        <v>1874</v>
      </c>
      <c r="I208" s="49">
        <f>SUMIFS(BOM!Q:Q,BOM!A:A,'All Products'!A208,BOM!I:I,'All Products'!I$3)</f>
        <v>4.0740740740740735</v>
      </c>
      <c r="J208" s="49">
        <f>SUMIFS(BOM!Q:Q,BOM!A:A,'All Products'!A208,BOM!I:I,'All Products'!J$3)+0.03</f>
        <v>0.17</v>
      </c>
      <c r="K208" s="29">
        <f t="shared" si="47"/>
        <v>0.56437155240346726</v>
      </c>
      <c r="L208" s="49">
        <f>SUMIF(BOM!A:A,'All Products'!A208,BOM!S:S)</f>
        <v>0.91042768959435616</v>
      </c>
      <c r="M208" s="49">
        <f>SUMIF(BOM!A:A,'All Products'!A208,BOM!V:V)</f>
        <v>0.29618749999999999</v>
      </c>
      <c r="N208" s="29">
        <f t="shared" si="48"/>
        <v>0.160454147552441</v>
      </c>
      <c r="O208" s="55">
        <v>0</v>
      </c>
      <c r="P208" s="49">
        <f t="shared" si="49"/>
        <v>5.4506892636684299</v>
      </c>
      <c r="Q208" s="11">
        <f t="shared" si="50"/>
        <v>2.0693107363315697</v>
      </c>
      <c r="R208" s="29">
        <f t="shared" si="51"/>
        <v>0.27517430004409171</v>
      </c>
      <c r="S208" s="91">
        <v>35.4</v>
      </c>
      <c r="T208" s="91">
        <f t="shared" si="43"/>
        <v>266.20799999999997</v>
      </c>
      <c r="U208" s="90">
        <f t="shared" si="44"/>
        <v>73.253600066137565</v>
      </c>
      <c r="V208" s="90">
        <f t="shared" si="45"/>
        <v>73.253600066137565</v>
      </c>
      <c r="W208" s="90">
        <f t="shared" si="46"/>
        <v>0</v>
      </c>
      <c r="Y208" s="34">
        <f t="shared" si="52"/>
        <v>0.45823483057525616</v>
      </c>
      <c r="Z208" s="34"/>
      <c r="AA208" s="4"/>
      <c r="AB208" s="4"/>
      <c r="AE208" s="4"/>
    </row>
    <row r="209" spans="1:31" x14ac:dyDescent="0.25">
      <c r="A209" s="1" t="s">
        <v>768</v>
      </c>
      <c r="B209" s="1" t="s">
        <v>656</v>
      </c>
      <c r="C209" s="1" t="s">
        <v>769</v>
      </c>
      <c r="D209" s="1" t="s">
        <v>554</v>
      </c>
      <c r="E209" s="1">
        <f>VLOOKUP(A209,BOM!A:E,5,0)</f>
        <v>1</v>
      </c>
      <c r="F209" s="122">
        <v>7.97</v>
      </c>
      <c r="G209" s="10">
        <v>7.97</v>
      </c>
      <c r="H209" s="11" t="s">
        <v>1874</v>
      </c>
      <c r="I209" s="49">
        <f>SUMIFS(BOM!Q:Q,BOM!A:A,'All Products'!A209,BOM!I:I,'All Products'!I$3)</f>
        <v>1.6296296296296298</v>
      </c>
      <c r="J209" s="49">
        <f>SUMIFS(BOM!Q:Q,BOM!A:A,'All Products'!A209,BOM!I:I,'All Products'!J$3)+0.03</f>
        <v>0.17</v>
      </c>
      <c r="K209" s="29">
        <f t="shared" si="47"/>
        <v>0.22580045541149682</v>
      </c>
      <c r="L209" s="49">
        <f>SUMIF(BOM!A:A,'All Products'!A209,BOM!S:S)</f>
        <v>0.3641710758377425</v>
      </c>
      <c r="M209" s="49">
        <f>SUMIF(BOM!A:A,'All Products'!A209,BOM!V:V)</f>
        <v>0.21720416666666661</v>
      </c>
      <c r="N209" s="29">
        <f t="shared" si="48"/>
        <v>7.2945450753376301E-2</v>
      </c>
      <c r="O209" s="55">
        <v>0</v>
      </c>
      <c r="P209" s="49">
        <f t="shared" si="49"/>
        <v>2.3810048721340387</v>
      </c>
      <c r="Q209" s="11">
        <f t="shared" si="50"/>
        <v>5.5889951278659611</v>
      </c>
      <c r="R209" s="29">
        <f t="shared" si="51"/>
        <v>0.70125409383512693</v>
      </c>
      <c r="S209" s="91">
        <v>0.6</v>
      </c>
      <c r="T209" s="91">
        <f t="shared" si="43"/>
        <v>4.782</v>
      </c>
      <c r="U209" s="90">
        <f t="shared" si="44"/>
        <v>3.3533970767195767</v>
      </c>
      <c r="V209" s="90">
        <f t="shared" si="45"/>
        <v>3.3533970767195767</v>
      </c>
      <c r="W209" s="90">
        <f t="shared" si="46"/>
        <v>0</v>
      </c>
      <c r="Y209" s="34">
        <f t="shared" si="52"/>
        <v>0.79552953204145171</v>
      </c>
      <c r="Z209" s="34"/>
      <c r="AA209" s="4"/>
      <c r="AB209" s="4"/>
      <c r="AE209" s="4"/>
    </row>
    <row r="210" spans="1:31" x14ac:dyDescent="0.25">
      <c r="A210" s="1" t="s">
        <v>770</v>
      </c>
      <c r="B210" s="1" t="s">
        <v>656</v>
      </c>
      <c r="C210" s="1" t="s">
        <v>771</v>
      </c>
      <c r="D210" s="1" t="s">
        <v>554</v>
      </c>
      <c r="E210" s="1">
        <f>VLOOKUP(A210,BOM!A:E,5,0)</f>
        <v>2.5</v>
      </c>
      <c r="F210" s="122">
        <v>8.7100000000000009</v>
      </c>
      <c r="G210" s="10">
        <v>8.48</v>
      </c>
      <c r="H210" s="11" t="s">
        <v>1874</v>
      </c>
      <c r="I210" s="49">
        <f>SUMIFS(BOM!Q:Q,BOM!A:A,'All Products'!A210,BOM!I:I,'All Products'!I$3)</f>
        <v>4.0740740740740735</v>
      </c>
      <c r="J210" s="49">
        <f>SUMIFS(BOM!Q:Q,BOM!A:A,'All Products'!A210,BOM!I:I,'All Products'!J$3)+0.03</f>
        <v>0.17</v>
      </c>
      <c r="K210" s="29">
        <f t="shared" si="47"/>
        <v>0.50048043326345204</v>
      </c>
      <c r="L210" s="49">
        <f>SUMIF(BOM!A:A,'All Products'!A210,BOM!S:S)</f>
        <v>0.91042768959435616</v>
      </c>
      <c r="M210" s="49">
        <f>SUMIF(BOM!A:A,'All Products'!A210,BOM!V:V)</f>
        <v>0.29618749999999999</v>
      </c>
      <c r="N210" s="29">
        <f t="shared" si="48"/>
        <v>0.14228952707480616</v>
      </c>
      <c r="O210" s="55">
        <v>0</v>
      </c>
      <c r="P210" s="49">
        <f t="shared" si="49"/>
        <v>5.4506892636684299</v>
      </c>
      <c r="Q210" s="11">
        <f t="shared" si="50"/>
        <v>3.0293107363315706</v>
      </c>
      <c r="R210" s="29">
        <f t="shared" si="51"/>
        <v>0.35723003966174177</v>
      </c>
      <c r="S210" s="91">
        <v>5.4</v>
      </c>
      <c r="T210" s="91">
        <f t="shared" si="43"/>
        <v>45.792000000000009</v>
      </c>
      <c r="U210" s="90">
        <f t="shared" si="44"/>
        <v>16.358277976190482</v>
      </c>
      <c r="V210" s="90">
        <f t="shared" si="45"/>
        <v>16.358277976190482</v>
      </c>
      <c r="W210" s="90">
        <f t="shared" si="46"/>
        <v>0</v>
      </c>
      <c r="Y210" s="34">
        <f t="shared" si="52"/>
        <v>0.51956673654786867</v>
      </c>
      <c r="Z210" s="34"/>
      <c r="AA210" s="4"/>
      <c r="AB210" s="4"/>
      <c r="AE210" s="4"/>
    </row>
    <row r="211" spans="1:31" x14ac:dyDescent="0.25">
      <c r="A211" s="1" t="s">
        <v>479</v>
      </c>
      <c r="B211" s="1" t="s">
        <v>656</v>
      </c>
      <c r="C211" s="1" t="s">
        <v>480</v>
      </c>
      <c r="D211" s="1" t="s">
        <v>554</v>
      </c>
      <c r="E211" s="1">
        <f>VLOOKUP(A211,BOM!A:E,5,0)</f>
        <v>1</v>
      </c>
      <c r="F211" s="122">
        <v>6.43</v>
      </c>
      <c r="G211" s="10">
        <v>6.38</v>
      </c>
      <c r="H211" s="11" t="s">
        <v>1874</v>
      </c>
      <c r="I211" s="49">
        <f>SUMIFS(BOM!Q:Q,BOM!A:A,'All Products'!A211,BOM!I:I,'All Products'!I$3)</f>
        <v>1.7600000000000002</v>
      </c>
      <c r="J211" s="49">
        <f>SUMIFS(BOM!Q:Q,BOM!A:A,'All Products'!A211,BOM!I:I,'All Products'!J$3)+0.03</f>
        <v>0.17</v>
      </c>
      <c r="K211" s="29">
        <f t="shared" si="47"/>
        <v>0.30250783699059564</v>
      </c>
      <c r="L211" s="49">
        <f>SUMIF(BOM!A:A,'All Products'!A211,BOM!S:S)</f>
        <v>0.32947333333333328</v>
      </c>
      <c r="M211" s="49">
        <f>SUMIF(BOM!A:A,'All Products'!A211,BOM!V:V)</f>
        <v>0.21720416666666661</v>
      </c>
      <c r="N211" s="29">
        <f t="shared" si="48"/>
        <v>8.5686128526645755E-2</v>
      </c>
      <c r="O211" s="55">
        <v>0</v>
      </c>
      <c r="P211" s="49">
        <f t="shared" si="49"/>
        <v>2.4766775000000001</v>
      </c>
      <c r="Q211" s="11">
        <f t="shared" si="50"/>
        <v>3.9033224999999998</v>
      </c>
      <c r="R211" s="29">
        <f t="shared" si="51"/>
        <v>0.61180603448275861</v>
      </c>
      <c r="S211" s="91">
        <v>9</v>
      </c>
      <c r="T211" s="91">
        <f t="shared" si="43"/>
        <v>57.42</v>
      </c>
      <c r="U211" s="90">
        <f t="shared" si="44"/>
        <v>35.1299025</v>
      </c>
      <c r="V211" s="90">
        <f t="shared" si="45"/>
        <v>35.1299025</v>
      </c>
      <c r="W211" s="90">
        <f t="shared" si="46"/>
        <v>0</v>
      </c>
      <c r="Y211" s="34">
        <f t="shared" si="52"/>
        <v>0.72413793103448265</v>
      </c>
      <c r="Z211" s="34"/>
      <c r="AA211" s="4"/>
      <c r="AB211" s="4"/>
      <c r="AE211" s="4"/>
    </row>
    <row r="212" spans="1:31" x14ac:dyDescent="0.25">
      <c r="A212" s="1" t="s">
        <v>772</v>
      </c>
      <c r="B212" s="1" t="s">
        <v>656</v>
      </c>
      <c r="C212" s="1" t="s">
        <v>773</v>
      </c>
      <c r="D212" s="1" t="s">
        <v>554</v>
      </c>
      <c r="E212" s="1">
        <f>VLOOKUP(A212,BOM!A:E,5,0)</f>
        <v>2.5</v>
      </c>
      <c r="F212" s="122">
        <v>16.079999999999998</v>
      </c>
      <c r="G212" s="10">
        <v>15.96</v>
      </c>
      <c r="H212" s="11" t="s">
        <v>1874</v>
      </c>
      <c r="I212" s="49">
        <f>SUMIFS(BOM!Q:Q,BOM!A:A,'All Products'!A212,BOM!I:I,'All Products'!I$3)</f>
        <v>4.4000000000000004</v>
      </c>
      <c r="J212" s="49">
        <f>SUMIFS(BOM!Q:Q,BOM!A:A,'All Products'!A212,BOM!I:I,'All Products'!J$3)+0.03</f>
        <v>0.17</v>
      </c>
      <c r="K212" s="29">
        <f t="shared" si="47"/>
        <v>0.28634085213032584</v>
      </c>
      <c r="L212" s="49">
        <f>SUMIF(BOM!A:A,'All Products'!A212,BOM!S:S)</f>
        <v>0.82368333333333321</v>
      </c>
      <c r="M212" s="49">
        <f>SUMIF(BOM!A:A,'All Products'!A212,BOM!V:V)</f>
        <v>0.29618749999999999</v>
      </c>
      <c r="N212" s="29">
        <f t="shared" si="48"/>
        <v>7.0167345446950691E-2</v>
      </c>
      <c r="O212" s="55">
        <v>0</v>
      </c>
      <c r="P212" s="49">
        <f t="shared" si="49"/>
        <v>5.6898708333333339</v>
      </c>
      <c r="Q212" s="11">
        <f t="shared" si="50"/>
        <v>10.270129166666667</v>
      </c>
      <c r="R212" s="29">
        <f t="shared" si="51"/>
        <v>0.64349180242272341</v>
      </c>
      <c r="S212" s="91">
        <v>3.8</v>
      </c>
      <c r="T212" s="91">
        <f t="shared" si="43"/>
        <v>60.648000000000003</v>
      </c>
      <c r="U212" s="90">
        <f t="shared" si="44"/>
        <v>39.026490833333334</v>
      </c>
      <c r="V212" s="90">
        <f t="shared" si="45"/>
        <v>39.026490833333334</v>
      </c>
      <c r="W212" s="90">
        <f t="shared" si="46"/>
        <v>0</v>
      </c>
      <c r="Y212" s="34">
        <f t="shared" si="52"/>
        <v>0.72431077694235591</v>
      </c>
      <c r="Z212" s="34"/>
      <c r="AA212" s="4"/>
      <c r="AB212" s="4"/>
      <c r="AE212" s="4"/>
    </row>
    <row r="213" spans="1:31" x14ac:dyDescent="0.25">
      <c r="A213" s="1" t="s">
        <v>285</v>
      </c>
      <c r="B213" s="1" t="s">
        <v>656</v>
      </c>
      <c r="C213" s="1" t="s">
        <v>286</v>
      </c>
      <c r="D213" s="1" t="s">
        <v>554</v>
      </c>
      <c r="E213" s="1">
        <f>VLOOKUP(A213,BOM!A:E,5,0)</f>
        <v>1</v>
      </c>
      <c r="F213" s="122">
        <v>4.8</v>
      </c>
      <c r="G213" s="10">
        <v>4.92</v>
      </c>
      <c r="H213" s="11" t="s">
        <v>1874</v>
      </c>
      <c r="I213" s="49">
        <f>SUMIFS(BOM!Q:Q,BOM!A:A,'All Products'!A213,BOM!I:I,'All Products'!I$3)</f>
        <v>1.4621808510638299</v>
      </c>
      <c r="J213" s="49">
        <f>SUMIFS(BOM!Q:Q,BOM!A:A,'All Products'!A213,BOM!I:I,'All Products'!J$3)+0.03</f>
        <v>0.17</v>
      </c>
      <c r="K213" s="29">
        <f t="shared" si="47"/>
        <v>0.33174407541947759</v>
      </c>
      <c r="L213" s="49">
        <f>SUMIF(BOM!A:A,'All Products'!A213,BOM!S:S)</f>
        <v>0.75232225177304957</v>
      </c>
      <c r="M213" s="49">
        <f>SUMIF(BOM!A:A,'All Products'!A213,BOM!V:V)</f>
        <v>0.21720416666666661</v>
      </c>
      <c r="N213" s="29">
        <f t="shared" si="48"/>
        <v>0.19705821513002361</v>
      </c>
      <c r="O213" s="55">
        <v>0</v>
      </c>
      <c r="P213" s="49">
        <f t="shared" si="49"/>
        <v>2.6017072695035459</v>
      </c>
      <c r="Q213" s="11">
        <f t="shared" si="50"/>
        <v>2.318292730496454</v>
      </c>
      <c r="R213" s="29">
        <f t="shared" si="51"/>
        <v>0.47119770945049877</v>
      </c>
      <c r="S213" s="91">
        <v>1.4</v>
      </c>
      <c r="T213" s="91">
        <f t="shared" si="43"/>
        <v>6.8879999999999999</v>
      </c>
      <c r="U213" s="90">
        <f t="shared" si="44"/>
        <v>3.2456098226950356</v>
      </c>
      <c r="V213" s="90">
        <f t="shared" si="45"/>
        <v>3.2456098226950356</v>
      </c>
      <c r="W213" s="90">
        <f t="shared" si="46"/>
        <v>0</v>
      </c>
      <c r="Y213" s="34">
        <f t="shared" si="52"/>
        <v>0.70280877010897758</v>
      </c>
      <c r="Z213" s="34"/>
      <c r="AA213" s="4"/>
      <c r="AB213" s="4"/>
      <c r="AE213" s="4"/>
    </row>
    <row r="214" spans="1:31" x14ac:dyDescent="0.25">
      <c r="A214" s="1" t="s">
        <v>774</v>
      </c>
      <c r="B214" s="1" t="s">
        <v>656</v>
      </c>
      <c r="C214" s="1" t="s">
        <v>775</v>
      </c>
      <c r="D214" s="1" t="s">
        <v>554</v>
      </c>
      <c r="E214" s="1">
        <f>VLOOKUP(A214,BOM!A:E,5,0)</f>
        <v>2.5</v>
      </c>
      <c r="F214" s="122">
        <v>12.01</v>
      </c>
      <c r="G214" s="10">
        <v>11.7</v>
      </c>
      <c r="H214" s="11" t="s">
        <v>1874</v>
      </c>
      <c r="I214" s="49">
        <f>SUMIFS(BOM!Q:Q,BOM!A:A,'All Products'!A214,BOM!I:I,'All Products'!I$3)</f>
        <v>3.6554521276595753</v>
      </c>
      <c r="J214" s="49">
        <f>SUMIFS(BOM!Q:Q,BOM!A:A,'All Products'!A214,BOM!I:I,'All Products'!J$3)+0.03</f>
        <v>0.17</v>
      </c>
      <c r="K214" s="29">
        <f t="shared" si="47"/>
        <v>0.3269617203127842</v>
      </c>
      <c r="L214" s="49">
        <f>SUMIF(BOM!A:A,'All Products'!A214,BOM!S:S)</f>
        <v>1.8808056294326239</v>
      </c>
      <c r="M214" s="49">
        <f>SUMIF(BOM!A:A,'All Products'!A214,BOM!V:V)</f>
        <v>0.29618749999999999</v>
      </c>
      <c r="N214" s="29">
        <f t="shared" si="48"/>
        <v>0.18606778884039521</v>
      </c>
      <c r="O214" s="55">
        <v>0</v>
      </c>
      <c r="P214" s="49">
        <f t="shared" si="49"/>
        <v>6.0024452570921989</v>
      </c>
      <c r="Q214" s="11">
        <f t="shared" si="50"/>
        <v>5.6975547429078004</v>
      </c>
      <c r="R214" s="29">
        <f t="shared" si="51"/>
        <v>0.48697049084682059</v>
      </c>
      <c r="S214" s="91">
        <v>5.2</v>
      </c>
      <c r="T214" s="91">
        <f t="shared" si="43"/>
        <v>60.839999999999996</v>
      </c>
      <c r="U214" s="90">
        <f t="shared" si="44"/>
        <v>29.627284663120562</v>
      </c>
      <c r="V214" s="90">
        <f t="shared" si="45"/>
        <v>29.627284663120562</v>
      </c>
      <c r="W214" s="90">
        <f t="shared" si="46"/>
        <v>0</v>
      </c>
      <c r="Y214" s="34">
        <f t="shared" si="52"/>
        <v>0.68756819421713022</v>
      </c>
      <c r="Z214" s="34"/>
      <c r="AA214" s="4"/>
      <c r="AB214" s="4"/>
      <c r="AE214" s="4"/>
    </row>
    <row r="215" spans="1:31" x14ac:dyDescent="0.25">
      <c r="A215" s="1" t="s">
        <v>776</v>
      </c>
      <c r="B215" s="1" t="s">
        <v>656</v>
      </c>
      <c r="C215" s="1" t="s">
        <v>777</v>
      </c>
      <c r="D215" s="1" t="s">
        <v>554</v>
      </c>
      <c r="E215" s="1">
        <f>VLOOKUP(A215,BOM!A:E,5,0)</f>
        <v>1</v>
      </c>
      <c r="F215" s="122">
        <v>3.15</v>
      </c>
      <c r="G215" s="10">
        <v>3.08</v>
      </c>
      <c r="H215" s="11" t="s">
        <v>1874</v>
      </c>
      <c r="I215" s="49">
        <f>SUMIFS(BOM!Q:Q,BOM!A:A,'All Products'!A215,BOM!I:I,'All Products'!I$3)</f>
        <v>1.3933333333333331</v>
      </c>
      <c r="J215" s="49">
        <f>SUMIFS(BOM!Q:Q,BOM!A:A,'All Products'!A215,BOM!I:I,'All Products'!J$3)+0.03</f>
        <v>0.17</v>
      </c>
      <c r="K215" s="29">
        <f t="shared" si="47"/>
        <v>0.50757575757575746</v>
      </c>
      <c r="L215" s="49">
        <f>SUMIF(BOM!A:A,'All Products'!A215,BOM!S:S)</f>
        <v>0.40954320987654314</v>
      </c>
      <c r="M215" s="49">
        <f>SUMIF(BOM!A:A,'All Products'!A215,BOM!V:V)</f>
        <v>0.21720416666666661</v>
      </c>
      <c r="N215" s="29">
        <f t="shared" si="48"/>
        <v>0.20348940796857459</v>
      </c>
      <c r="O215" s="55">
        <v>0</v>
      </c>
      <c r="P215" s="49">
        <f t="shared" si="49"/>
        <v>2.1900807098765429</v>
      </c>
      <c r="Q215" s="11">
        <f t="shared" si="50"/>
        <v>0.88991929012345716</v>
      </c>
      <c r="R215" s="29">
        <f t="shared" si="51"/>
        <v>0.28893483445566792</v>
      </c>
      <c r="S215" s="91">
        <v>0.2</v>
      </c>
      <c r="T215" s="91">
        <f t="shared" si="43"/>
        <v>0.6160000000000001</v>
      </c>
      <c r="U215" s="90">
        <f t="shared" si="44"/>
        <v>0.17798385802469144</v>
      </c>
      <c r="V215" s="90">
        <f t="shared" si="45"/>
        <v>0.17798385802469144</v>
      </c>
      <c r="W215" s="90">
        <f t="shared" si="46"/>
        <v>0</v>
      </c>
      <c r="Y215" s="34">
        <f t="shared" si="52"/>
        <v>0.54761904761904767</v>
      </c>
      <c r="Z215" s="34"/>
      <c r="AA215" s="4"/>
      <c r="AB215" s="4"/>
      <c r="AE215" s="4"/>
    </row>
    <row r="216" spans="1:31" x14ac:dyDescent="0.25">
      <c r="A216" s="1" t="s">
        <v>283</v>
      </c>
      <c r="B216" s="1" t="s">
        <v>656</v>
      </c>
      <c r="C216" s="1" t="s">
        <v>284</v>
      </c>
      <c r="D216" s="1" t="s">
        <v>554</v>
      </c>
      <c r="E216" s="1">
        <f>VLOOKUP(A216,BOM!A:E,5,0)</f>
        <v>2.5</v>
      </c>
      <c r="F216" s="122">
        <v>7.86</v>
      </c>
      <c r="G216" s="10">
        <v>7.68</v>
      </c>
      <c r="H216" s="11" t="s">
        <v>1874</v>
      </c>
      <c r="I216" s="49">
        <f>SUMIFS(BOM!Q:Q,BOM!A:A,'All Products'!A216,BOM!I:I,'All Products'!I$3)</f>
        <v>3.4833333333333329</v>
      </c>
      <c r="J216" s="49">
        <f>SUMIFS(BOM!Q:Q,BOM!A:A,'All Products'!A216,BOM!I:I,'All Products'!J$3)+0.03</f>
        <v>0.17</v>
      </c>
      <c r="K216" s="29">
        <f t="shared" si="47"/>
        <v>0.47569444444444442</v>
      </c>
      <c r="L216" s="49">
        <f>SUMIF(BOM!A:A,'All Products'!A216,BOM!S:S)</f>
        <v>1.0238580246913578</v>
      </c>
      <c r="M216" s="49">
        <f>SUMIF(BOM!A:A,'All Products'!A216,BOM!V:V)</f>
        <v>0.29618749999999999</v>
      </c>
      <c r="N216" s="29">
        <f t="shared" si="48"/>
        <v>0.17188092769418722</v>
      </c>
      <c r="O216" s="55">
        <v>0</v>
      </c>
      <c r="P216" s="49">
        <f t="shared" si="49"/>
        <v>4.9733788580246907</v>
      </c>
      <c r="Q216" s="11">
        <f t="shared" si="50"/>
        <v>2.706621141975309</v>
      </c>
      <c r="R216" s="29">
        <f t="shared" si="51"/>
        <v>0.35242462786136836</v>
      </c>
      <c r="S216" s="91">
        <v>6.6</v>
      </c>
      <c r="T216" s="91">
        <f t="shared" si="43"/>
        <v>50.687999999999995</v>
      </c>
      <c r="U216" s="90">
        <f t="shared" si="44"/>
        <v>17.863699537037039</v>
      </c>
      <c r="V216" s="90">
        <f t="shared" si="45"/>
        <v>17.863699537037039</v>
      </c>
      <c r="W216" s="90">
        <f t="shared" si="46"/>
        <v>0</v>
      </c>
      <c r="Y216" s="34">
        <f t="shared" si="52"/>
        <v>0.54644097222222232</v>
      </c>
      <c r="Z216" s="34"/>
      <c r="AA216" s="4"/>
      <c r="AB216" s="4"/>
      <c r="AE216" s="4"/>
    </row>
    <row r="217" spans="1:31" x14ac:dyDescent="0.25">
      <c r="A217" s="1" t="s">
        <v>778</v>
      </c>
      <c r="B217" s="1" t="s">
        <v>656</v>
      </c>
      <c r="C217" s="1" t="s">
        <v>779</v>
      </c>
      <c r="D217" s="1" t="s">
        <v>554</v>
      </c>
      <c r="E217" s="1">
        <f>VLOOKUP(A217,BOM!A:E,5,0)</f>
        <v>1</v>
      </c>
      <c r="F217" s="122">
        <v>4.54</v>
      </c>
      <c r="G217" s="10">
        <v>4.46</v>
      </c>
      <c r="H217" s="11" t="s">
        <v>1874</v>
      </c>
      <c r="I217" s="49">
        <f>SUMIFS(BOM!Q:Q,BOM!A:A,'All Products'!A217,BOM!I:I,'All Products'!I$3)</f>
        <v>1.375</v>
      </c>
      <c r="J217" s="49">
        <f>SUMIFS(BOM!Q:Q,BOM!A:A,'All Products'!A217,BOM!I:I,'All Products'!J$3)+0.03</f>
        <v>0.17</v>
      </c>
      <c r="K217" s="29">
        <f t="shared" si="47"/>
        <v>0.34641255605381166</v>
      </c>
      <c r="L217" s="49">
        <f>SUMIF(BOM!A:A,'All Products'!A217,BOM!S:S)</f>
        <v>0.56416666666666659</v>
      </c>
      <c r="M217" s="49">
        <f>SUMIF(BOM!A:A,'All Products'!A217,BOM!V:V)</f>
        <v>0.21720416666666661</v>
      </c>
      <c r="N217" s="29">
        <f t="shared" si="48"/>
        <v>0.17519525411061285</v>
      </c>
      <c r="O217" s="55">
        <v>0</v>
      </c>
      <c r="P217" s="49">
        <f t="shared" si="49"/>
        <v>2.3263708333333333</v>
      </c>
      <c r="Q217" s="11">
        <f t="shared" si="50"/>
        <v>2.1336291666666667</v>
      </c>
      <c r="R217" s="29">
        <f t="shared" si="51"/>
        <v>0.47839218983557552</v>
      </c>
      <c r="S217" s="91">
        <v>43.8</v>
      </c>
      <c r="T217" s="91">
        <f t="shared" si="43"/>
        <v>195.34799999999998</v>
      </c>
      <c r="U217" s="90">
        <f t="shared" si="44"/>
        <v>93.452957499999997</v>
      </c>
      <c r="V217" s="90">
        <f t="shared" si="45"/>
        <v>93.452957499999997</v>
      </c>
      <c r="W217" s="90">
        <f t="shared" si="46"/>
        <v>0</v>
      </c>
      <c r="Y217" s="34">
        <f t="shared" si="52"/>
        <v>0.6917040358744394</v>
      </c>
      <c r="Z217" s="34"/>
      <c r="AA217" s="4"/>
      <c r="AB217" s="4"/>
      <c r="AE217" s="4"/>
    </row>
    <row r="218" spans="1:31" x14ac:dyDescent="0.25">
      <c r="A218" s="1" t="s">
        <v>281</v>
      </c>
      <c r="B218" s="1" t="s">
        <v>656</v>
      </c>
      <c r="C218" s="1" t="s">
        <v>282</v>
      </c>
      <c r="D218" s="1" t="s">
        <v>554</v>
      </c>
      <c r="E218" s="1">
        <f>VLOOKUP(A218,BOM!A:E,5,0)</f>
        <v>2.5</v>
      </c>
      <c r="F218" s="122">
        <v>11.37</v>
      </c>
      <c r="G218" s="10">
        <v>11.18</v>
      </c>
      <c r="H218" s="11" t="s">
        <v>1874</v>
      </c>
      <c r="I218" s="49">
        <f>SUMIFS(BOM!Q:Q,BOM!A:A,'All Products'!A218,BOM!I:I,'All Products'!I$3)</f>
        <v>3.4375000000000004</v>
      </c>
      <c r="J218" s="49">
        <f>SUMIFS(BOM!Q:Q,BOM!A:A,'All Products'!A218,BOM!I:I,'All Products'!J$3)+0.03</f>
        <v>0.17</v>
      </c>
      <c r="K218" s="29">
        <f t="shared" si="47"/>
        <v>0.32267441860465118</v>
      </c>
      <c r="L218" s="49">
        <f>SUMIF(BOM!A:A,'All Products'!A218,BOM!S:S)</f>
        <v>1.4104166666666664</v>
      </c>
      <c r="M218" s="49">
        <f>SUMIF(BOM!A:A,'All Products'!A218,BOM!V:V)</f>
        <v>0.29618749999999999</v>
      </c>
      <c r="N218" s="29">
        <f t="shared" si="48"/>
        <v>0.15264795766249253</v>
      </c>
      <c r="O218" s="55">
        <v>0</v>
      </c>
      <c r="P218" s="49">
        <f t="shared" si="49"/>
        <v>5.3141041666666666</v>
      </c>
      <c r="Q218" s="11">
        <f t="shared" si="50"/>
        <v>5.8658958333333331</v>
      </c>
      <c r="R218" s="29">
        <f t="shared" si="51"/>
        <v>0.52467762373285631</v>
      </c>
      <c r="S218" s="91">
        <v>146.4</v>
      </c>
      <c r="T218" s="91">
        <f t="shared" si="43"/>
        <v>1636.752</v>
      </c>
      <c r="U218" s="90">
        <f t="shared" si="44"/>
        <v>858.76715000000002</v>
      </c>
      <c r="V218" s="90">
        <f t="shared" si="45"/>
        <v>858.76715000000002</v>
      </c>
      <c r="W218" s="90">
        <f t="shared" si="46"/>
        <v>0</v>
      </c>
      <c r="Y218" s="34">
        <f t="shared" si="52"/>
        <v>0.69253130590339895</v>
      </c>
      <c r="Z218" s="34"/>
      <c r="AA218" s="4"/>
      <c r="AB218" s="4"/>
      <c r="AE218" s="4"/>
    </row>
    <row r="219" spans="1:31" x14ac:dyDescent="0.25">
      <c r="A219" s="1" t="s">
        <v>478</v>
      </c>
      <c r="B219" s="1" t="s">
        <v>656</v>
      </c>
      <c r="C219" s="1" t="s">
        <v>780</v>
      </c>
      <c r="D219" s="1" t="s">
        <v>554</v>
      </c>
      <c r="E219" s="1">
        <f>VLOOKUP(A219,BOM!A:E,5,0)</f>
        <v>1</v>
      </c>
      <c r="F219" s="122">
        <v>6.31</v>
      </c>
      <c r="G219" s="10">
        <v>6.44</v>
      </c>
      <c r="H219" s="11" t="s">
        <v>1874</v>
      </c>
      <c r="I219" s="49">
        <f>SUMIFS(BOM!Q:Q,BOM!A:A,'All Products'!A219,BOM!I:I,'All Products'!I$3)</f>
        <v>2.0247947454844009</v>
      </c>
      <c r="J219" s="49">
        <f>SUMIFS(BOM!Q:Q,BOM!A:A,'All Products'!A219,BOM!I:I,'All Products'!J$3)+0.03</f>
        <v>0.17</v>
      </c>
      <c r="K219" s="29">
        <f t="shared" si="47"/>
        <v>0.34080663749757772</v>
      </c>
      <c r="L219" s="49">
        <f>SUMIF(BOM!A:A,'All Products'!A219,BOM!S:S)</f>
        <v>1.3949924055829228</v>
      </c>
      <c r="M219" s="49">
        <f>SUMIF(BOM!A:A,'All Products'!A219,BOM!V:V)</f>
        <v>0.21720416666666661</v>
      </c>
      <c r="N219" s="29">
        <f t="shared" si="48"/>
        <v>0.25034108264745175</v>
      </c>
      <c r="O219" s="55">
        <v>0</v>
      </c>
      <c r="P219" s="49">
        <f t="shared" si="49"/>
        <v>3.8069913177339902</v>
      </c>
      <c r="Q219" s="11">
        <f t="shared" si="50"/>
        <v>2.6330086822660101</v>
      </c>
      <c r="R219" s="29">
        <f t="shared" si="51"/>
        <v>0.40885227985497047</v>
      </c>
      <c r="S219" s="91">
        <v>1.6</v>
      </c>
      <c r="T219" s="91">
        <f t="shared" si="43"/>
        <v>10.304000000000002</v>
      </c>
      <c r="U219" s="90">
        <f t="shared" si="44"/>
        <v>4.2128138916256166</v>
      </c>
      <c r="V219" s="90">
        <f t="shared" si="45"/>
        <v>4.2128138916256166</v>
      </c>
      <c r="W219" s="90">
        <f t="shared" si="46"/>
        <v>0</v>
      </c>
      <c r="Y219" s="34">
        <f t="shared" si="52"/>
        <v>0.68559087803037266</v>
      </c>
      <c r="Z219" s="34"/>
      <c r="AA219" s="4"/>
      <c r="AB219" s="4"/>
      <c r="AE219" s="4"/>
    </row>
    <row r="220" spans="1:31" x14ac:dyDescent="0.25">
      <c r="A220" s="1" t="s">
        <v>278</v>
      </c>
      <c r="B220" s="1" t="s">
        <v>656</v>
      </c>
      <c r="C220" s="1" t="s">
        <v>781</v>
      </c>
      <c r="D220" s="1" t="s">
        <v>554</v>
      </c>
      <c r="E220" s="1">
        <f>VLOOKUP(A220,BOM!A:E,5,0)</f>
        <v>2.5</v>
      </c>
      <c r="F220" s="122">
        <v>15.76</v>
      </c>
      <c r="G220" s="10">
        <v>16.079999999999998</v>
      </c>
      <c r="H220" s="11" t="s">
        <v>1874</v>
      </c>
      <c r="I220" s="49">
        <f>SUMIFS(BOM!Q:Q,BOM!A:A,'All Products'!A220,BOM!I:I,'All Products'!I$3)</f>
        <v>5.0619868637110015</v>
      </c>
      <c r="J220" s="49">
        <f>SUMIFS(BOM!Q:Q,BOM!A:A,'All Products'!A220,BOM!I:I,'All Products'!J$3)+0.03</f>
        <v>0.17</v>
      </c>
      <c r="K220" s="29">
        <f t="shared" si="47"/>
        <v>0.32537231739496281</v>
      </c>
      <c r="L220" s="49">
        <f>SUMIF(BOM!A:A,'All Products'!A220,BOM!S:S)</f>
        <v>3.4874810139573067</v>
      </c>
      <c r="M220" s="49">
        <f>SUMIF(BOM!A:A,'All Products'!A220,BOM!V:V)</f>
        <v>0.29618749999999999</v>
      </c>
      <c r="N220" s="29">
        <f t="shared" si="48"/>
        <v>0.23530276828092705</v>
      </c>
      <c r="O220" s="55">
        <v>0</v>
      </c>
      <c r="P220" s="49">
        <f t="shared" si="49"/>
        <v>9.0156553776683079</v>
      </c>
      <c r="Q220" s="11">
        <f t="shared" si="50"/>
        <v>7.0643446223316904</v>
      </c>
      <c r="R220" s="29">
        <f t="shared" si="51"/>
        <v>0.43932491432411014</v>
      </c>
      <c r="S220" s="91">
        <v>124.8</v>
      </c>
      <c r="T220" s="91">
        <f t="shared" ref="T220:T251" si="53">S220*G220</f>
        <v>2006.7839999999997</v>
      </c>
      <c r="U220" s="90">
        <f t="shared" si="44"/>
        <v>881.63020886699496</v>
      </c>
      <c r="V220" s="90">
        <f t="shared" ref="V220:V251" si="54">(G220-P220)*S220</f>
        <v>881.63020886699496</v>
      </c>
      <c r="W220" s="90">
        <f t="shared" si="46"/>
        <v>0</v>
      </c>
      <c r="Y220" s="34">
        <f t="shared" si="52"/>
        <v>0.68519982190851969</v>
      </c>
      <c r="Z220" s="34"/>
      <c r="AA220" s="4"/>
      <c r="AB220" s="4"/>
      <c r="AE220" s="4"/>
    </row>
    <row r="221" spans="1:31" x14ac:dyDescent="0.25">
      <c r="A221" s="1" t="s">
        <v>782</v>
      </c>
      <c r="B221" s="1" t="s">
        <v>656</v>
      </c>
      <c r="C221" s="1" t="s">
        <v>783</v>
      </c>
      <c r="D221" s="1" t="s">
        <v>554</v>
      </c>
      <c r="E221" s="1">
        <f>VLOOKUP(A221,BOM!A:E,5,0)</f>
        <v>1</v>
      </c>
      <c r="F221" s="122">
        <v>14.02</v>
      </c>
      <c r="G221" s="10">
        <v>14.11</v>
      </c>
      <c r="H221" s="11" t="s">
        <v>1874</v>
      </c>
      <c r="I221" s="49">
        <f>SUMIFS(BOM!Q:Q,BOM!A:A,'All Products'!A221,BOM!I:I,'All Products'!I$3)</f>
        <v>2.4842105263157892</v>
      </c>
      <c r="J221" s="49">
        <f>SUMIFS(BOM!Q:Q,BOM!A:A,'All Products'!A221,BOM!I:I,'All Products'!J$3)+0.03</f>
        <v>0.17</v>
      </c>
      <c r="K221" s="29">
        <f t="shared" si="47"/>
        <v>0.18810847103584616</v>
      </c>
      <c r="L221" s="49">
        <f>SUMIF(BOM!A:A,'All Products'!A221,BOM!S:S)</f>
        <v>1.5283967836257308</v>
      </c>
      <c r="M221" s="49">
        <f>SUMIF(BOM!A:A,'All Products'!A221,BOM!V:V)</f>
        <v>0.21720416666666661</v>
      </c>
      <c r="N221" s="29">
        <f t="shared" si="48"/>
        <v>0.12371374559124008</v>
      </c>
      <c r="O221" s="55">
        <v>0</v>
      </c>
      <c r="P221" s="49">
        <f t="shared" si="49"/>
        <v>4.3998114766081864</v>
      </c>
      <c r="Q221" s="11">
        <f t="shared" si="50"/>
        <v>9.7101885233918139</v>
      </c>
      <c r="R221" s="29">
        <f t="shared" si="51"/>
        <v>0.6881777833729138</v>
      </c>
      <c r="S221" s="91">
        <v>4.8</v>
      </c>
      <c r="T221" s="91">
        <f t="shared" si="53"/>
        <v>67.727999999999994</v>
      </c>
      <c r="U221" s="90">
        <f t="shared" si="44"/>
        <v>46.608904912280707</v>
      </c>
      <c r="V221" s="90">
        <f t="shared" si="54"/>
        <v>46.608904912280707</v>
      </c>
      <c r="W221" s="90">
        <f t="shared" si="46"/>
        <v>0</v>
      </c>
      <c r="Y221" s="34">
        <f t="shared" si="52"/>
        <v>0.82393972173523822</v>
      </c>
      <c r="Z221" s="34"/>
      <c r="AA221" s="4"/>
      <c r="AB221" s="4"/>
      <c r="AE221" s="4"/>
    </row>
    <row r="222" spans="1:31" x14ac:dyDescent="0.25">
      <c r="A222" s="1" t="s">
        <v>415</v>
      </c>
      <c r="B222" s="1" t="s">
        <v>656</v>
      </c>
      <c r="C222" s="1" t="s">
        <v>784</v>
      </c>
      <c r="D222" s="1" t="s">
        <v>554</v>
      </c>
      <c r="E222" s="1">
        <f>VLOOKUP(A222,BOM!A:E,5,0)</f>
        <v>2.5</v>
      </c>
      <c r="F222" s="122">
        <v>35.020000000000003</v>
      </c>
      <c r="G222" s="10">
        <v>35.24</v>
      </c>
      <c r="H222" s="11" t="s">
        <v>1874</v>
      </c>
      <c r="I222" s="49">
        <f>SUMIFS(BOM!Q:Q,BOM!A:A,'All Products'!A222,BOM!I:I,'All Products'!I$3)</f>
        <v>6.2105263157894735</v>
      </c>
      <c r="J222" s="49">
        <f>SUMIFS(BOM!Q:Q,BOM!A:A,'All Products'!A222,BOM!I:I,'All Products'!J$3)+0.03</f>
        <v>0.17</v>
      </c>
      <c r="K222" s="29">
        <f t="shared" si="47"/>
        <v>0.18105920305872511</v>
      </c>
      <c r="L222" s="49">
        <f>SUMIF(BOM!A:A,'All Products'!A222,BOM!S:S)</f>
        <v>3.8209919590643269</v>
      </c>
      <c r="M222" s="49">
        <f>SUMIF(BOM!A:A,'All Products'!A222,BOM!V:V)</f>
        <v>0.29618749999999999</v>
      </c>
      <c r="N222" s="29">
        <f t="shared" si="48"/>
        <v>0.11683256126743266</v>
      </c>
      <c r="O222" s="55">
        <v>0</v>
      </c>
      <c r="P222" s="49">
        <f t="shared" si="49"/>
        <v>10.497705774853801</v>
      </c>
      <c r="Q222" s="11">
        <f t="shared" si="50"/>
        <v>24.742294225146203</v>
      </c>
      <c r="R222" s="29">
        <f t="shared" si="51"/>
        <v>0.70210823567384228</v>
      </c>
      <c r="S222" s="91">
        <v>44.6</v>
      </c>
      <c r="T222" s="91">
        <f t="shared" si="53"/>
        <v>1571.7040000000002</v>
      </c>
      <c r="U222" s="90">
        <f t="shared" si="44"/>
        <v>1103.5063224415208</v>
      </c>
      <c r="V222" s="90">
        <f t="shared" si="54"/>
        <v>1103.5063224415208</v>
      </c>
      <c r="W222" s="90">
        <f t="shared" si="46"/>
        <v>0</v>
      </c>
      <c r="Y222" s="34">
        <f t="shared" si="52"/>
        <v>0.82376486050540654</v>
      </c>
      <c r="Z222" s="34"/>
      <c r="AA222" s="4"/>
      <c r="AB222" s="4"/>
      <c r="AE222" s="4"/>
    </row>
    <row r="223" spans="1:31" x14ac:dyDescent="0.25">
      <c r="A223" s="1" t="s">
        <v>274</v>
      </c>
      <c r="B223" s="1" t="s">
        <v>656</v>
      </c>
      <c r="C223" s="1" t="s">
        <v>275</v>
      </c>
      <c r="D223" s="1" t="s">
        <v>554</v>
      </c>
      <c r="E223" s="1">
        <f>VLOOKUP(A223,BOM!A:E,5,0)</f>
        <v>1</v>
      </c>
      <c r="F223" s="122">
        <v>4.9800000000000004</v>
      </c>
      <c r="G223" s="10">
        <v>5.01</v>
      </c>
      <c r="H223" s="11" t="s">
        <v>1874</v>
      </c>
      <c r="I223" s="49">
        <f>SUMIFS(BOM!Q:Q,BOM!A:A,'All Products'!A223,BOM!I:I,'All Products'!I$3)</f>
        <v>3.2302405498281783</v>
      </c>
      <c r="J223" s="49">
        <f>SUMIFS(BOM!Q:Q,BOM!A:A,'All Products'!A223,BOM!I:I,'All Products'!J$3)+0.03</f>
        <v>0.17</v>
      </c>
      <c r="K223" s="29">
        <f t="shared" si="47"/>
        <v>0.67869072850861845</v>
      </c>
      <c r="L223" s="49">
        <f>SUMIF(BOM!A:A,'All Products'!A223,BOM!S:S)</f>
        <v>1.3641782646048108</v>
      </c>
      <c r="M223" s="49">
        <f>SUMIF(BOM!A:A,'All Products'!A223,BOM!V:V)</f>
        <v>0.21720416666666661</v>
      </c>
      <c r="N223" s="29">
        <f t="shared" si="48"/>
        <v>0.31564519586257039</v>
      </c>
      <c r="O223" s="55">
        <v>0</v>
      </c>
      <c r="P223" s="49">
        <f t="shared" si="49"/>
        <v>4.9816229810996555</v>
      </c>
      <c r="Q223" s="11">
        <f t="shared" si="50"/>
        <v>2.8377018900344275E-2</v>
      </c>
      <c r="R223" s="29">
        <f t="shared" si="51"/>
        <v>5.6640756288112324E-3</v>
      </c>
      <c r="S223" s="91">
        <v>6.2</v>
      </c>
      <c r="T223" s="91">
        <f t="shared" si="53"/>
        <v>31.062000000000001</v>
      </c>
      <c r="U223" s="90">
        <f t="shared" si="44"/>
        <v>0.17593751718213452</v>
      </c>
      <c r="V223" s="90">
        <f t="shared" si="54"/>
        <v>0.17593751718213452</v>
      </c>
      <c r="W223" s="90">
        <f t="shared" si="46"/>
        <v>0</v>
      </c>
      <c r="Y223" s="34">
        <f t="shared" si="52"/>
        <v>0.35524140721992448</v>
      </c>
      <c r="Z223" s="34"/>
      <c r="AA223" s="4"/>
      <c r="AB223" s="4"/>
      <c r="AE223" s="4"/>
    </row>
    <row r="224" spans="1:31" x14ac:dyDescent="0.25">
      <c r="A224" s="1" t="s">
        <v>785</v>
      </c>
      <c r="B224" s="1" t="s">
        <v>656</v>
      </c>
      <c r="C224" s="1" t="s">
        <v>786</v>
      </c>
      <c r="D224" s="1" t="s">
        <v>554</v>
      </c>
      <c r="E224" s="1">
        <f>VLOOKUP(A224,BOM!A:E,5,0)</f>
        <v>2.5</v>
      </c>
      <c r="F224" s="122">
        <v>12.14</v>
      </c>
      <c r="G224" s="10">
        <v>12.27</v>
      </c>
      <c r="H224" s="11" t="s">
        <v>1874</v>
      </c>
      <c r="I224" s="49">
        <f>SUMIFS(BOM!Q:Q,BOM!A:A,'All Products'!A224,BOM!I:I,'All Products'!I$3)</f>
        <v>8.0756013745704465</v>
      </c>
      <c r="J224" s="49">
        <f>SUMIFS(BOM!Q:Q,BOM!A:A,'All Products'!A224,BOM!I:I,'All Products'!J$3)+0.03</f>
        <v>0.17</v>
      </c>
      <c r="K224" s="29">
        <f t="shared" si="47"/>
        <v>0.67201315196173161</v>
      </c>
      <c r="L224" s="49">
        <f>SUMIF(BOM!A:A,'All Products'!A224,BOM!S:S)</f>
        <v>3.4104456615120271</v>
      </c>
      <c r="M224" s="49">
        <f>SUMIF(BOM!A:A,'All Products'!A224,BOM!V:V)</f>
        <v>0.29618749999999999</v>
      </c>
      <c r="N224" s="29">
        <f t="shared" si="48"/>
        <v>0.30208909221776914</v>
      </c>
      <c r="O224" s="55">
        <v>0</v>
      </c>
      <c r="P224" s="49">
        <f t="shared" si="49"/>
        <v>11.952234536082473</v>
      </c>
      <c r="Q224" s="11">
        <f t="shared" si="50"/>
        <v>0.31776546391752625</v>
      </c>
      <c r="R224" s="29">
        <f t="shared" si="51"/>
        <v>2.5897755820499288E-2</v>
      </c>
      <c r="S224" s="91">
        <v>1.8</v>
      </c>
      <c r="T224" s="91">
        <f t="shared" si="53"/>
        <v>22.085999999999999</v>
      </c>
      <c r="U224" s="90">
        <f t="shared" si="44"/>
        <v>0.57197783505154731</v>
      </c>
      <c r="V224" s="90">
        <f t="shared" si="54"/>
        <v>0.57197783505154731</v>
      </c>
      <c r="W224" s="90">
        <f t="shared" si="46"/>
        <v>0</v>
      </c>
      <c r="Y224" s="34">
        <f t="shared" si="52"/>
        <v>0.34184177876361477</v>
      </c>
      <c r="Z224" s="34"/>
      <c r="AA224" s="4"/>
      <c r="AB224" s="4"/>
      <c r="AE224" s="4"/>
    </row>
    <row r="225" spans="1:31" x14ac:dyDescent="0.25">
      <c r="A225" s="1" t="s">
        <v>787</v>
      </c>
      <c r="B225" s="1" t="s">
        <v>656</v>
      </c>
      <c r="C225" s="1" t="s">
        <v>788</v>
      </c>
      <c r="D225" s="1" t="s">
        <v>554</v>
      </c>
      <c r="E225" s="1">
        <f>VLOOKUP(A225,BOM!A:E,5,0)</f>
        <v>1</v>
      </c>
      <c r="F225" s="122">
        <v>6.46</v>
      </c>
      <c r="G225" s="10">
        <v>6.56</v>
      </c>
      <c r="H225" s="11" t="s">
        <v>1874</v>
      </c>
      <c r="I225" s="49">
        <f>SUMIFS(BOM!Q:Q,BOM!A:A,'All Products'!A225,BOM!I:I,'All Products'!I$3)</f>
        <v>2.6111111111111107</v>
      </c>
      <c r="J225" s="49">
        <f>SUMIFS(BOM!Q:Q,BOM!A:A,'All Products'!A225,BOM!I:I,'All Products'!J$3)+0.03</f>
        <v>0.17</v>
      </c>
      <c r="K225" s="29">
        <f t="shared" si="47"/>
        <v>0.42394986449864497</v>
      </c>
      <c r="L225" s="49">
        <f>SUMIF(BOM!A:A,'All Products'!A225,BOM!S:S)</f>
        <v>1.6595902777777776</v>
      </c>
      <c r="M225" s="49">
        <f>SUMIF(BOM!A:A,'All Products'!A225,BOM!V:V)</f>
        <v>0.21720416666666661</v>
      </c>
      <c r="N225" s="29">
        <f t="shared" si="48"/>
        <v>0.28609671409214088</v>
      </c>
      <c r="O225" s="55">
        <v>0</v>
      </c>
      <c r="P225" s="49">
        <f t="shared" si="49"/>
        <v>4.6579055555555549</v>
      </c>
      <c r="Q225" s="11">
        <f t="shared" si="50"/>
        <v>1.9020944444444448</v>
      </c>
      <c r="R225" s="29">
        <f t="shared" si="51"/>
        <v>0.28995342140921415</v>
      </c>
      <c r="S225" s="91">
        <v>0.8</v>
      </c>
      <c r="T225" s="91">
        <f t="shared" si="53"/>
        <v>5.2480000000000002</v>
      </c>
      <c r="U225" s="90">
        <f t="shared" si="44"/>
        <v>1.5216755555555559</v>
      </c>
      <c r="V225" s="90">
        <f t="shared" si="54"/>
        <v>1.5216755555555559</v>
      </c>
      <c r="W225" s="90">
        <f t="shared" si="46"/>
        <v>0</v>
      </c>
      <c r="Y225" s="34">
        <f t="shared" si="52"/>
        <v>0.60196476964769652</v>
      </c>
      <c r="Z225" s="34"/>
      <c r="AA225" s="4"/>
      <c r="AB225" s="4"/>
      <c r="AE225" s="4"/>
    </row>
    <row r="226" spans="1:31" x14ac:dyDescent="0.25">
      <c r="A226" s="1" t="s">
        <v>789</v>
      </c>
      <c r="B226" s="1" t="s">
        <v>656</v>
      </c>
      <c r="C226" s="1" t="s">
        <v>790</v>
      </c>
      <c r="D226" s="1" t="s">
        <v>554</v>
      </c>
      <c r="E226" s="1">
        <f>VLOOKUP(A226,BOM!A:E,5,0)</f>
        <v>2.5</v>
      </c>
      <c r="F226" s="122">
        <v>16.13</v>
      </c>
      <c r="G226" s="10">
        <v>16.350000000000001</v>
      </c>
      <c r="H226" s="11" t="s">
        <v>1874</v>
      </c>
      <c r="I226" s="49">
        <f>SUMIFS(BOM!Q:Q,BOM!A:A,'All Products'!A226,BOM!I:I,'All Products'!I$3)</f>
        <v>6.5277777777777777</v>
      </c>
      <c r="J226" s="49">
        <f>SUMIFS(BOM!Q:Q,BOM!A:A,'All Products'!A226,BOM!I:I,'All Products'!J$3)+0.03</f>
        <v>0.17</v>
      </c>
      <c r="K226" s="29">
        <f t="shared" si="47"/>
        <v>0.40965001698946646</v>
      </c>
      <c r="L226" s="49">
        <f>SUMIF(BOM!A:A,'All Products'!A226,BOM!S:S)</f>
        <v>4.1489756944444443</v>
      </c>
      <c r="M226" s="49">
        <f>SUMIF(BOM!A:A,'All Products'!A226,BOM!V:V)</f>
        <v>0.29618749999999999</v>
      </c>
      <c r="N226" s="29">
        <f t="shared" si="48"/>
        <v>0.27187542473666326</v>
      </c>
      <c r="O226" s="55">
        <v>0</v>
      </c>
      <c r="P226" s="49">
        <f t="shared" si="49"/>
        <v>11.142940972222222</v>
      </c>
      <c r="Q226" s="11">
        <f t="shared" si="50"/>
        <v>5.2070590277777793</v>
      </c>
      <c r="R226" s="29">
        <f t="shared" si="51"/>
        <v>0.31847455827387028</v>
      </c>
      <c r="S226" s="91">
        <v>61.8</v>
      </c>
      <c r="T226" s="91">
        <f t="shared" si="53"/>
        <v>1010.4300000000001</v>
      </c>
      <c r="U226" s="90">
        <f t="shared" si="44"/>
        <v>321.79624791666674</v>
      </c>
      <c r="V226" s="90">
        <f t="shared" si="54"/>
        <v>321.79624791666674</v>
      </c>
      <c r="W226" s="90">
        <f t="shared" si="46"/>
        <v>0</v>
      </c>
      <c r="Y226" s="34">
        <f t="shared" si="52"/>
        <v>0.60074753652735302</v>
      </c>
      <c r="Z226" s="34"/>
      <c r="AA226" s="4"/>
      <c r="AB226" s="4"/>
      <c r="AE226" s="4"/>
    </row>
    <row r="227" spans="1:31" x14ac:dyDescent="0.25">
      <c r="A227" s="1" t="s">
        <v>265</v>
      </c>
      <c r="B227" s="1" t="s">
        <v>656</v>
      </c>
      <c r="C227" s="1" t="s">
        <v>266</v>
      </c>
      <c r="D227" s="1" t="s">
        <v>554</v>
      </c>
      <c r="E227" s="1">
        <f>VLOOKUP(A227,BOM!A:E,5,0)</f>
        <v>1</v>
      </c>
      <c r="F227" s="122">
        <v>9.56</v>
      </c>
      <c r="G227" s="10">
        <v>9.5500000000000007</v>
      </c>
      <c r="H227" s="11" t="s">
        <v>1874</v>
      </c>
      <c r="I227" s="49">
        <f>SUMIFS(BOM!Q:Q,BOM!A:A,'All Products'!A227,BOM!I:I,'All Products'!I$3)</f>
        <v>2.8527022900763357</v>
      </c>
      <c r="J227" s="49">
        <f>SUMIFS(BOM!Q:Q,BOM!A:A,'All Products'!A227,BOM!I:I,'All Products'!J$3)+0.03</f>
        <v>0.17</v>
      </c>
      <c r="K227" s="29">
        <f t="shared" si="47"/>
        <v>0.31651332880380473</v>
      </c>
      <c r="L227" s="49">
        <f>SUMIF(BOM!A:A,'All Products'!A227,BOM!S:S)</f>
        <v>0.16924999999999998</v>
      </c>
      <c r="M227" s="49">
        <f>SUMIF(BOM!A:A,'All Products'!A227,BOM!V:V)</f>
        <v>0.21720416666666661</v>
      </c>
      <c r="N227" s="29">
        <f t="shared" si="48"/>
        <v>4.0466404886561946E-2</v>
      </c>
      <c r="O227" s="55">
        <v>0</v>
      </c>
      <c r="P227" s="49">
        <f t="shared" si="49"/>
        <v>3.4091564567430019</v>
      </c>
      <c r="Q227" s="11">
        <f t="shared" si="50"/>
        <v>6.1408435432569988</v>
      </c>
      <c r="R227" s="29">
        <f t="shared" si="51"/>
        <v>0.64302026630963338</v>
      </c>
      <c r="S227" s="91">
        <v>2.2000000000000002</v>
      </c>
      <c r="T227" s="91">
        <f t="shared" si="53"/>
        <v>21.01</v>
      </c>
      <c r="U227" s="90">
        <f t="shared" si="44"/>
        <v>13.509855795165398</v>
      </c>
      <c r="V227" s="90">
        <f t="shared" si="54"/>
        <v>13.509855795165398</v>
      </c>
      <c r="W227" s="90">
        <f t="shared" si="46"/>
        <v>0</v>
      </c>
      <c r="Y227" s="34">
        <f t="shared" si="52"/>
        <v>0.70128771831661418</v>
      </c>
      <c r="Z227" s="34"/>
      <c r="AA227" s="4"/>
      <c r="AB227" s="4"/>
      <c r="AE227" s="4"/>
    </row>
    <row r="228" spans="1:31" x14ac:dyDescent="0.25">
      <c r="A228" s="1" t="s">
        <v>263</v>
      </c>
      <c r="B228" s="1" t="s">
        <v>656</v>
      </c>
      <c r="C228" s="1" t="s">
        <v>264</v>
      </c>
      <c r="D228" s="1" t="s">
        <v>554</v>
      </c>
      <c r="E228" s="1">
        <f>VLOOKUP(A228,BOM!A:E,5,0)</f>
        <v>2.5</v>
      </c>
      <c r="F228" s="122">
        <v>23.89</v>
      </c>
      <c r="G228" s="10">
        <v>23.85</v>
      </c>
      <c r="H228" s="11" t="s">
        <v>1874</v>
      </c>
      <c r="I228" s="49">
        <f>SUMIFS(BOM!Q:Q,BOM!A:A,'All Products'!A228,BOM!I:I,'All Products'!I$3)</f>
        <v>7.131755725190839</v>
      </c>
      <c r="J228" s="49">
        <f>SUMIFS(BOM!Q:Q,BOM!A:A,'All Products'!A228,BOM!I:I,'All Products'!J$3)+0.03</f>
        <v>0.17</v>
      </c>
      <c r="K228" s="29">
        <f t="shared" si="47"/>
        <v>0.30615327988221547</v>
      </c>
      <c r="L228" s="49">
        <f>SUMIF(BOM!A:A,'All Products'!A228,BOM!S:S)</f>
        <v>0.42312499999999997</v>
      </c>
      <c r="M228" s="49">
        <f>SUMIF(BOM!A:A,'All Products'!A228,BOM!V:V)</f>
        <v>0.29618749999999999</v>
      </c>
      <c r="N228" s="29">
        <f t="shared" si="48"/>
        <v>3.0159853249475892E-2</v>
      </c>
      <c r="O228" s="55">
        <v>0</v>
      </c>
      <c r="P228" s="49">
        <f t="shared" si="49"/>
        <v>8.0210682251908398</v>
      </c>
      <c r="Q228" s="11">
        <f t="shared" si="50"/>
        <v>15.828931774809162</v>
      </c>
      <c r="R228" s="29">
        <f t="shared" si="51"/>
        <v>0.66368686686830858</v>
      </c>
      <c r="S228" s="91">
        <v>2.6</v>
      </c>
      <c r="T228" s="91">
        <f t="shared" si="53"/>
        <v>62.010000000000005</v>
      </c>
      <c r="U228" s="90">
        <f t="shared" si="44"/>
        <v>41.15522261450382</v>
      </c>
      <c r="V228" s="90">
        <f t="shared" si="54"/>
        <v>41.15522261450382</v>
      </c>
      <c r="W228" s="90">
        <f t="shared" si="46"/>
        <v>0</v>
      </c>
      <c r="Y228" s="34">
        <f t="shared" si="52"/>
        <v>0.70097460271736522</v>
      </c>
      <c r="Z228" s="34"/>
      <c r="AA228" s="4"/>
      <c r="AB228" s="4"/>
      <c r="AE228" s="4"/>
    </row>
    <row r="229" spans="1:31" x14ac:dyDescent="0.25">
      <c r="A229" s="1" t="s">
        <v>791</v>
      </c>
      <c r="B229" s="1" t="s">
        <v>656</v>
      </c>
      <c r="C229" s="1" t="s">
        <v>792</v>
      </c>
      <c r="D229" s="1" t="s">
        <v>554</v>
      </c>
      <c r="E229" s="1">
        <f>VLOOKUP(A229,BOM!A:E,5,0)</f>
        <v>0.25</v>
      </c>
      <c r="F229" s="122">
        <v>9.3800000000000008</v>
      </c>
      <c r="G229" s="10">
        <v>9.5299999999999994</v>
      </c>
      <c r="H229" s="11" t="s">
        <v>1874</v>
      </c>
      <c r="I229" s="49">
        <f>SUMIFS(BOM!Q:Q,BOM!A:A,'All Products'!A229,BOM!I:I,'All Products'!I$3)</f>
        <v>0.71317557251908392</v>
      </c>
      <c r="J229" s="49">
        <f>SUMIFS(BOM!Q:Q,BOM!A:A,'All Products'!A229,BOM!I:I,'All Products'!J$3)+0.03</f>
        <v>0.08</v>
      </c>
      <c r="K229" s="29">
        <f t="shared" si="47"/>
        <v>8.3229336046073868E-2</v>
      </c>
      <c r="L229" s="49">
        <f>SUMIF(BOM!A:A,'All Products'!A229,BOM!S:S)</f>
        <v>4.2312499999999996E-2</v>
      </c>
      <c r="M229" s="49">
        <f>SUMIF(BOM!A:A,'All Products'!A229,BOM!V:V)</f>
        <v>0.16078749999999997</v>
      </c>
      <c r="N229" s="29">
        <f t="shared" si="48"/>
        <v>2.1311647429171039E-2</v>
      </c>
      <c r="O229" s="55">
        <v>0</v>
      </c>
      <c r="P229" s="49">
        <f t="shared" si="49"/>
        <v>0.99627557251908383</v>
      </c>
      <c r="Q229" s="11">
        <f t="shared" si="50"/>
        <v>8.5337244274809159</v>
      </c>
      <c r="R229" s="29">
        <f t="shared" si="51"/>
        <v>0.89545901652475512</v>
      </c>
      <c r="S229" s="91">
        <v>0</v>
      </c>
      <c r="T229" s="91">
        <f t="shared" si="53"/>
        <v>0</v>
      </c>
      <c r="U229" s="90">
        <f t="shared" si="44"/>
        <v>0</v>
      </c>
      <c r="V229" s="90">
        <f t="shared" si="54"/>
        <v>0</v>
      </c>
      <c r="W229" s="90">
        <f t="shared" si="46"/>
        <v>0</v>
      </c>
      <c r="Y229" s="34">
        <f t="shared" si="52"/>
        <v>0.9251652075006207</v>
      </c>
      <c r="Z229" s="34"/>
      <c r="AA229" s="4"/>
      <c r="AB229" s="4"/>
      <c r="AE229" s="4"/>
    </row>
    <row r="230" spans="1:31" x14ac:dyDescent="0.25">
      <c r="A230" s="1" t="s">
        <v>476</v>
      </c>
      <c r="B230" s="1" t="s">
        <v>656</v>
      </c>
      <c r="C230" s="1" t="s">
        <v>477</v>
      </c>
      <c r="D230" s="1" t="s">
        <v>554</v>
      </c>
      <c r="E230" s="1">
        <f>VLOOKUP(A230,BOM!A:E,5,0)</f>
        <v>1</v>
      </c>
      <c r="F230" s="122">
        <v>22.59</v>
      </c>
      <c r="G230" s="10">
        <v>23.98</v>
      </c>
      <c r="H230" s="11" t="s">
        <v>1874</v>
      </c>
      <c r="I230" s="49">
        <f>SUMIFS(BOM!Q:Q,BOM!A:A,'All Products'!A230,BOM!I:I,'All Products'!I$3)</f>
        <v>5.2226190476190482</v>
      </c>
      <c r="J230" s="49">
        <f>SUMIFS(BOM!Q:Q,BOM!A:A,'All Products'!A230,BOM!I:I,'All Products'!J$3)+0.03</f>
        <v>0.17</v>
      </c>
      <c r="K230" s="29">
        <f t="shared" si="47"/>
        <v>0.22487986020096112</v>
      </c>
      <c r="L230" s="49">
        <f>SUMIF(BOM!A:A,'All Products'!A230,BOM!S:S)</f>
        <v>16.401130952380953</v>
      </c>
      <c r="M230" s="49">
        <f>SUMIF(BOM!A:A,'All Products'!A230,BOM!V:V)</f>
        <v>0.21720416666666661</v>
      </c>
      <c r="N230" s="29">
        <f t="shared" si="48"/>
        <v>0.69300813674093487</v>
      </c>
      <c r="O230" s="55">
        <v>0</v>
      </c>
      <c r="P230" s="49">
        <f t="shared" si="49"/>
        <v>22.010954166666668</v>
      </c>
      <c r="Q230" s="11">
        <f t="shared" si="50"/>
        <v>1.9690458333333325</v>
      </c>
      <c r="R230" s="29">
        <f t="shared" si="51"/>
        <v>8.2112003058103941E-2</v>
      </c>
      <c r="S230" s="91">
        <v>3.2</v>
      </c>
      <c r="T230" s="91">
        <f t="shared" si="53"/>
        <v>76.736000000000004</v>
      </c>
      <c r="U230" s="90">
        <f t="shared" si="44"/>
        <v>6.3009466666666647</v>
      </c>
      <c r="V230" s="90">
        <f t="shared" si="54"/>
        <v>6.3009466666666647</v>
      </c>
      <c r="W230" s="90">
        <f t="shared" si="46"/>
        <v>0</v>
      </c>
      <c r="Y230" s="34">
        <f t="shared" si="52"/>
        <v>0.78220938083323399</v>
      </c>
      <c r="Z230" s="34"/>
      <c r="AA230" s="4"/>
      <c r="AB230" s="4"/>
      <c r="AE230" s="4"/>
    </row>
    <row r="231" spans="1:31" x14ac:dyDescent="0.25">
      <c r="A231" s="1" t="s">
        <v>793</v>
      </c>
      <c r="B231" s="1" t="s">
        <v>656</v>
      </c>
      <c r="C231" s="1" t="s">
        <v>794</v>
      </c>
      <c r="D231" s="1" t="s">
        <v>554</v>
      </c>
      <c r="E231" s="1">
        <f>VLOOKUP(A231,BOM!A:E,5,0)</f>
        <v>2.5</v>
      </c>
      <c r="F231" s="122">
        <v>51.84</v>
      </c>
      <c r="G231" s="10">
        <v>55.07</v>
      </c>
      <c r="H231" s="11" t="s">
        <v>1874</v>
      </c>
      <c r="I231" s="49">
        <f>SUMIFS(BOM!Q:Q,BOM!A:A,'All Products'!A231,BOM!I:I,'All Products'!I$3)</f>
        <v>13.056547619047619</v>
      </c>
      <c r="J231" s="49">
        <f>SUMIFS(BOM!Q:Q,BOM!A:A,'All Products'!A231,BOM!I:I,'All Products'!J$3)+0.03</f>
        <v>0.17</v>
      </c>
      <c r="K231" s="29">
        <f t="shared" si="47"/>
        <v>0.24017700415920862</v>
      </c>
      <c r="L231" s="49">
        <f>SUMIF(BOM!A:A,'All Products'!A231,BOM!S:S)</f>
        <v>41.002827380952382</v>
      </c>
      <c r="M231" s="49">
        <f>SUMIF(BOM!A:A,'All Products'!A231,BOM!V:V)</f>
        <v>0.29618749999999999</v>
      </c>
      <c r="N231" s="29">
        <f t="shared" si="48"/>
        <v>0.74993671474400547</v>
      </c>
      <c r="O231" s="55">
        <v>0</v>
      </c>
      <c r="P231" s="49">
        <f t="shared" si="49"/>
        <v>54.525562499999999</v>
      </c>
      <c r="Q231" s="11">
        <f t="shared" si="50"/>
        <v>0.5444375000000008</v>
      </c>
      <c r="R231" s="29">
        <f t="shared" si="51"/>
        <v>9.8862810967859233E-3</v>
      </c>
      <c r="S231" s="91">
        <v>0.6</v>
      </c>
      <c r="T231" s="91">
        <f t="shared" si="53"/>
        <v>33.042000000000002</v>
      </c>
      <c r="U231" s="90">
        <f t="shared" si="44"/>
        <v>0.32666250000000047</v>
      </c>
      <c r="V231" s="90">
        <f t="shared" si="54"/>
        <v>0.32666250000000047</v>
      </c>
      <c r="W231" s="90">
        <f t="shared" si="46"/>
        <v>0</v>
      </c>
      <c r="Y231" s="34">
        <f t="shared" si="52"/>
        <v>0.76290997604780064</v>
      </c>
      <c r="Z231" s="34"/>
      <c r="AA231" s="4"/>
      <c r="AB231" s="4"/>
      <c r="AE231" s="4"/>
    </row>
    <row r="232" spans="1:31" x14ac:dyDescent="0.25">
      <c r="A232" s="1" t="s">
        <v>261</v>
      </c>
      <c r="B232" s="1" t="s">
        <v>656</v>
      </c>
      <c r="C232" s="1" t="s">
        <v>795</v>
      </c>
      <c r="D232" s="1" t="s">
        <v>554</v>
      </c>
      <c r="E232" s="1">
        <f>VLOOKUP(A232,BOM!A:E,5,0)</f>
        <v>1</v>
      </c>
      <c r="F232" s="122">
        <v>16.489999999999998</v>
      </c>
      <c r="G232" s="10">
        <v>16.64</v>
      </c>
      <c r="H232" s="11" t="s">
        <v>1874</v>
      </c>
      <c r="I232" s="49">
        <f>SUMIFS(BOM!Q:Q,BOM!A:A,'All Products'!A232,BOM!I:I,'All Products'!I$3)</f>
        <v>2.5465838509316767</v>
      </c>
      <c r="J232" s="49">
        <f>SUMIFS(BOM!Q:Q,BOM!A:A,'All Products'!A232,BOM!I:I,'All Products'!J$3)+0.03</f>
        <v>0.17</v>
      </c>
      <c r="K232" s="29">
        <f t="shared" si="47"/>
        <v>0.16325624104156711</v>
      </c>
      <c r="L232" s="49">
        <f>SUMIF(BOM!A:A,'All Products'!A232,BOM!S:S)</f>
        <v>0.60849404761904757</v>
      </c>
      <c r="M232" s="49">
        <f>SUMIF(BOM!A:A,'All Products'!A232,BOM!V:V)</f>
        <v>0.21720416666666661</v>
      </c>
      <c r="N232" s="29">
        <f t="shared" si="48"/>
        <v>4.9621286916208783E-2</v>
      </c>
      <c r="O232" s="55">
        <v>0</v>
      </c>
      <c r="P232" s="49">
        <f t="shared" si="49"/>
        <v>3.5422820652173908</v>
      </c>
      <c r="Q232" s="11">
        <f t="shared" si="50"/>
        <v>13.09771793478261</v>
      </c>
      <c r="R232" s="29">
        <f t="shared" si="51"/>
        <v>0.78712247204222408</v>
      </c>
      <c r="S232" s="91">
        <v>37.200000000000003</v>
      </c>
      <c r="T232" s="91">
        <f t="shared" si="53"/>
        <v>619.00800000000004</v>
      </c>
      <c r="U232" s="90">
        <f t="shared" si="44"/>
        <v>487.23510717391315</v>
      </c>
      <c r="V232" s="90">
        <f t="shared" si="54"/>
        <v>487.23510717391315</v>
      </c>
      <c r="W232" s="90">
        <f t="shared" si="46"/>
        <v>0</v>
      </c>
      <c r="Y232" s="34">
        <f t="shared" si="52"/>
        <v>0.84696010511227904</v>
      </c>
      <c r="Z232" s="34"/>
      <c r="AA232" s="4"/>
      <c r="AB232" s="4"/>
      <c r="AE232" s="4"/>
    </row>
    <row r="233" spans="1:31" x14ac:dyDescent="0.25">
      <c r="A233" s="1" t="s">
        <v>260</v>
      </c>
      <c r="B233" s="1" t="s">
        <v>656</v>
      </c>
      <c r="C233" s="1" t="s">
        <v>796</v>
      </c>
      <c r="D233" s="1" t="s">
        <v>554</v>
      </c>
      <c r="E233" s="1">
        <f>VLOOKUP(A233,BOM!A:E,5,0)</f>
        <v>2.5</v>
      </c>
      <c r="F233" s="122">
        <v>41.21</v>
      </c>
      <c r="G233" s="10">
        <v>41.58</v>
      </c>
      <c r="H233" s="11" t="s">
        <v>1874</v>
      </c>
      <c r="I233" s="49">
        <f>SUMIFS(BOM!Q:Q,BOM!A:A,'All Products'!A233,BOM!I:I,'All Products'!I$3)</f>
        <v>6.366459627329192</v>
      </c>
      <c r="J233" s="49">
        <f>SUMIFS(BOM!Q:Q,BOM!A:A,'All Products'!A233,BOM!I:I,'All Products'!J$3)+0.03</f>
        <v>0.17</v>
      </c>
      <c r="K233" s="29">
        <f t="shared" si="47"/>
        <v>0.15720201123927832</v>
      </c>
      <c r="L233" s="49">
        <f>SUMIF(BOM!A:A,'All Products'!A233,BOM!S:S)</f>
        <v>1.521235119047619</v>
      </c>
      <c r="M233" s="49">
        <f>SUMIF(BOM!A:A,'All Products'!A233,BOM!V:V)</f>
        <v>0.29618749999999999</v>
      </c>
      <c r="N233" s="29">
        <f t="shared" si="48"/>
        <v>4.3709057697152935E-2</v>
      </c>
      <c r="O233" s="55">
        <v>0</v>
      </c>
      <c r="P233" s="49">
        <f t="shared" si="49"/>
        <v>8.353882246376811</v>
      </c>
      <c r="Q233" s="11">
        <f t="shared" si="50"/>
        <v>33.226117753623186</v>
      </c>
      <c r="R233" s="29">
        <f t="shared" si="51"/>
        <v>0.79908893106356871</v>
      </c>
      <c r="S233" s="91">
        <v>52.4</v>
      </c>
      <c r="T233" s="91">
        <f t="shared" si="53"/>
        <v>2178.7919999999999</v>
      </c>
      <c r="U233" s="90">
        <f t="shared" si="44"/>
        <v>1741.048570289855</v>
      </c>
      <c r="V233" s="90">
        <f t="shared" si="54"/>
        <v>1741.048570289855</v>
      </c>
      <c r="W233" s="90">
        <f t="shared" si="46"/>
        <v>0</v>
      </c>
      <c r="Y233" s="34">
        <f t="shared" si="52"/>
        <v>0.84688649284922579</v>
      </c>
      <c r="Z233" s="34"/>
      <c r="AA233" s="4"/>
      <c r="AB233" s="4"/>
      <c r="AE233" s="4"/>
    </row>
    <row r="234" spans="1:31" x14ac:dyDescent="0.25">
      <c r="A234" s="1" t="s">
        <v>259</v>
      </c>
      <c r="B234" s="1" t="s">
        <v>656</v>
      </c>
      <c r="C234" s="1" t="s">
        <v>797</v>
      </c>
      <c r="D234" s="1" t="s">
        <v>554</v>
      </c>
      <c r="E234" s="1">
        <f>VLOOKUP(A234,BOM!A:E,5,0)</f>
        <v>0.25</v>
      </c>
      <c r="F234" s="122">
        <v>4.1399999999999997</v>
      </c>
      <c r="G234" s="10">
        <v>4.28</v>
      </c>
      <c r="H234" s="11" t="s">
        <v>1874</v>
      </c>
      <c r="I234" s="49">
        <f>SUMIFS(BOM!Q:Q,BOM!A:A,'All Products'!A234,BOM!I:I,'All Products'!I$3)</f>
        <v>0.63664596273291918</v>
      </c>
      <c r="J234" s="49">
        <f>SUMIFS(BOM!Q:Q,BOM!A:A,'All Products'!A234,BOM!I:I,'All Products'!J$3)+0.03</f>
        <v>0.08</v>
      </c>
      <c r="K234" s="29">
        <f t="shared" si="47"/>
        <v>0.16744064549834559</v>
      </c>
      <c r="L234" s="49">
        <f>SUMIF(BOM!A:A,'All Products'!A234,BOM!S:S)</f>
        <v>0.15212351190476189</v>
      </c>
      <c r="M234" s="49">
        <f>SUMIF(BOM!A:A,'All Products'!A234,BOM!V:V)</f>
        <v>0.16078749999999997</v>
      </c>
      <c r="N234" s="29">
        <f t="shared" si="48"/>
        <v>7.311004951045838E-2</v>
      </c>
      <c r="O234" s="55">
        <v>0</v>
      </c>
      <c r="P234" s="49">
        <f t="shared" si="49"/>
        <v>1.0295569746376809</v>
      </c>
      <c r="Q234" s="11">
        <f t="shared" si="50"/>
        <v>3.2504430253623191</v>
      </c>
      <c r="R234" s="29">
        <f t="shared" si="51"/>
        <v>0.75944930499119601</v>
      </c>
      <c r="S234" s="91">
        <v>15.8</v>
      </c>
      <c r="T234" s="91">
        <f t="shared" si="53"/>
        <v>67.624000000000009</v>
      </c>
      <c r="U234" s="90">
        <f t="shared" si="44"/>
        <v>51.356999800724644</v>
      </c>
      <c r="V234" s="90">
        <f t="shared" si="54"/>
        <v>51.356999800724644</v>
      </c>
      <c r="W234" s="90">
        <f t="shared" si="46"/>
        <v>0</v>
      </c>
      <c r="Y234" s="34">
        <f t="shared" si="52"/>
        <v>0.85125094328670114</v>
      </c>
      <c r="Z234" s="34"/>
      <c r="AA234" s="4"/>
      <c r="AB234" s="4"/>
      <c r="AE234" s="4"/>
    </row>
    <row r="235" spans="1:31" x14ac:dyDescent="0.25">
      <c r="A235" s="1" t="s">
        <v>474</v>
      </c>
      <c r="B235" s="1" t="s">
        <v>656</v>
      </c>
      <c r="C235" s="1" t="s">
        <v>475</v>
      </c>
      <c r="D235" s="1" t="s">
        <v>554</v>
      </c>
      <c r="E235" s="1">
        <f>VLOOKUP(A235,BOM!A:E,5,0)</f>
        <v>1</v>
      </c>
      <c r="F235" s="122">
        <v>13.89</v>
      </c>
      <c r="G235" s="10">
        <v>13.79</v>
      </c>
      <c r="H235" s="11" t="s">
        <v>1874</v>
      </c>
      <c r="I235" s="49">
        <f>SUMIFS(BOM!Q:Q,BOM!A:A,'All Products'!A235,BOM!I:I,'All Products'!I$3)</f>
        <v>3.848245614035088</v>
      </c>
      <c r="J235" s="49">
        <f>SUMIFS(BOM!Q:Q,BOM!A:A,'All Products'!A235,BOM!I:I,'All Products'!J$3)+0.03</f>
        <v>0.17</v>
      </c>
      <c r="K235" s="29">
        <f t="shared" si="47"/>
        <v>0.29138836940065904</v>
      </c>
      <c r="L235" s="49">
        <f>SUMIF(BOM!A:A,'All Products'!A235,BOM!S:S)</f>
        <v>4.8441131578947365</v>
      </c>
      <c r="M235" s="49">
        <f>SUMIF(BOM!A:A,'All Products'!A235,BOM!V:V)</f>
        <v>0.21720416666666661</v>
      </c>
      <c r="N235" s="29">
        <f t="shared" si="48"/>
        <v>0.36702808735035558</v>
      </c>
      <c r="O235" s="55">
        <v>0</v>
      </c>
      <c r="P235" s="49">
        <f t="shared" si="49"/>
        <v>9.0795629385964922</v>
      </c>
      <c r="Q235" s="11">
        <f t="shared" si="50"/>
        <v>4.7104370614035069</v>
      </c>
      <c r="R235" s="29">
        <f t="shared" si="51"/>
        <v>0.34158354324898532</v>
      </c>
      <c r="S235" s="91">
        <v>10.4</v>
      </c>
      <c r="T235" s="91">
        <f t="shared" si="53"/>
        <v>143.416</v>
      </c>
      <c r="U235" s="90">
        <f t="shared" si="44"/>
        <v>48.988545438596475</v>
      </c>
      <c r="V235" s="90">
        <f t="shared" si="54"/>
        <v>48.988545438596475</v>
      </c>
      <c r="W235" s="90">
        <f t="shared" si="46"/>
        <v>0</v>
      </c>
      <c r="Y235" s="34">
        <f t="shared" si="52"/>
        <v>0.72093940434843451</v>
      </c>
      <c r="Z235" s="34"/>
      <c r="AA235" s="4"/>
      <c r="AB235" s="4"/>
      <c r="AE235" s="4"/>
    </row>
    <row r="236" spans="1:31" x14ac:dyDescent="0.25">
      <c r="A236" s="1" t="s">
        <v>411</v>
      </c>
      <c r="B236" s="1" t="s">
        <v>656</v>
      </c>
      <c r="C236" s="1" t="s">
        <v>412</v>
      </c>
      <c r="D236" s="1" t="s">
        <v>554</v>
      </c>
      <c r="E236" s="1">
        <f>VLOOKUP(A236,BOM!A:E,5,0)</f>
        <v>2.5</v>
      </c>
      <c r="F236" s="122">
        <v>34.72</v>
      </c>
      <c r="G236" s="10">
        <v>34.450000000000003</v>
      </c>
      <c r="H236" s="11" t="s">
        <v>1874</v>
      </c>
      <c r="I236" s="49">
        <f>SUMIFS(BOM!Q:Q,BOM!A:A,'All Products'!A236,BOM!I:I,'All Products'!I$3)</f>
        <v>9.6206140350877192</v>
      </c>
      <c r="J236" s="49">
        <f>SUMIFS(BOM!Q:Q,BOM!A:A,'All Products'!A236,BOM!I:I,'All Products'!J$3)+0.03</f>
        <v>0.17</v>
      </c>
      <c r="K236" s="29">
        <f t="shared" si="47"/>
        <v>0.2841977949227204</v>
      </c>
      <c r="L236" s="49">
        <f>SUMIF(BOM!A:A,'All Products'!A236,BOM!S:S)</f>
        <v>12.110282894736841</v>
      </c>
      <c r="M236" s="49">
        <f>SUMIF(BOM!A:A,'All Products'!A236,BOM!V:V)</f>
        <v>0.29618749999999999</v>
      </c>
      <c r="N236" s="29">
        <f t="shared" si="48"/>
        <v>0.36012976472385605</v>
      </c>
      <c r="O236" s="55">
        <v>0</v>
      </c>
      <c r="P236" s="49">
        <f t="shared" si="49"/>
        <v>22.19708442982456</v>
      </c>
      <c r="Q236" s="11">
        <f t="shared" si="50"/>
        <v>12.252915570175443</v>
      </c>
      <c r="R236" s="29">
        <f t="shared" si="51"/>
        <v>0.35567244035342355</v>
      </c>
      <c r="S236" s="91">
        <v>20.399999999999999</v>
      </c>
      <c r="T236" s="91">
        <f t="shared" si="53"/>
        <v>702.78</v>
      </c>
      <c r="U236" s="90">
        <f t="shared" si="44"/>
        <v>249.95947763157901</v>
      </c>
      <c r="V236" s="90">
        <f t="shared" si="54"/>
        <v>249.95947763157901</v>
      </c>
      <c r="W236" s="90">
        <f t="shared" si="46"/>
        <v>0</v>
      </c>
      <c r="Y236" s="34">
        <f t="shared" si="52"/>
        <v>0.72073689303083543</v>
      </c>
      <c r="Z236" s="34"/>
      <c r="AA236" s="4"/>
      <c r="AB236" s="4"/>
      <c r="AE236" s="4"/>
    </row>
    <row r="237" spans="1:31" x14ac:dyDescent="0.25">
      <c r="A237" s="1" t="s">
        <v>798</v>
      </c>
      <c r="B237" s="1" t="s">
        <v>656</v>
      </c>
      <c r="C237" s="1" t="s">
        <v>799</v>
      </c>
      <c r="D237" s="1" t="s">
        <v>554</v>
      </c>
      <c r="E237" s="1">
        <f>VLOOKUP(A237,BOM!A:E,5,0)</f>
        <v>1</v>
      </c>
      <c r="F237" s="122">
        <v>15.82</v>
      </c>
      <c r="G237" s="10">
        <v>15.97</v>
      </c>
      <c r="H237" s="11" t="s">
        <v>1874</v>
      </c>
      <c r="I237" s="49">
        <f>SUMIFS(BOM!Q:Q,BOM!A:A,'All Products'!A237,BOM!I:I,'All Products'!I$3)</f>
        <v>11.682758620689656</v>
      </c>
      <c r="J237" s="49">
        <f>SUMIFS(BOM!Q:Q,BOM!A:A,'All Products'!A237,BOM!I:I,'All Products'!J$3)+0.03</f>
        <v>0.17</v>
      </c>
      <c r="K237" s="29">
        <f t="shared" si="47"/>
        <v>0.7421890182022326</v>
      </c>
      <c r="L237" s="49">
        <f>SUMIF(BOM!A:A,'All Products'!A237,BOM!S:S)</f>
        <v>1.9463749999999997</v>
      </c>
      <c r="M237" s="49">
        <f>SUMIF(BOM!A:A,'All Products'!A237,BOM!V:V)</f>
        <v>0.21720416666666661</v>
      </c>
      <c r="N237" s="29">
        <f t="shared" si="48"/>
        <v>0.13547771863911498</v>
      </c>
      <c r="O237" s="55">
        <v>0</v>
      </c>
      <c r="P237" s="49">
        <f t="shared" si="49"/>
        <v>14.016337787356322</v>
      </c>
      <c r="Q237" s="11">
        <f t="shared" si="50"/>
        <v>1.9536622126436782</v>
      </c>
      <c r="R237" s="29">
        <f t="shared" si="51"/>
        <v>0.12233326315865235</v>
      </c>
      <c r="S237" s="91">
        <v>0.6</v>
      </c>
      <c r="T237" s="91">
        <f t="shared" si="53"/>
        <v>9.5820000000000007</v>
      </c>
      <c r="U237" s="90">
        <f t="shared" si="44"/>
        <v>1.172197327586207</v>
      </c>
      <c r="V237" s="90">
        <f t="shared" si="54"/>
        <v>1.172197327586207</v>
      </c>
      <c r="W237" s="90">
        <f t="shared" si="46"/>
        <v>0</v>
      </c>
      <c r="Y237" s="34">
        <f t="shared" si="52"/>
        <v>0.26845594109645238</v>
      </c>
      <c r="Z237" s="34"/>
      <c r="AA237" s="4"/>
      <c r="AB237" s="4"/>
      <c r="AE237" s="4"/>
    </row>
    <row r="238" spans="1:31" x14ac:dyDescent="0.25">
      <c r="A238" s="1" t="s">
        <v>800</v>
      </c>
      <c r="B238" s="1" t="s">
        <v>656</v>
      </c>
      <c r="C238" s="1" t="s">
        <v>801</v>
      </c>
      <c r="D238" s="1" t="s">
        <v>554</v>
      </c>
      <c r="E238" s="1">
        <f>VLOOKUP(A238,BOM!A:E,5,0)</f>
        <v>2.5</v>
      </c>
      <c r="F238" s="122">
        <v>39.56</v>
      </c>
      <c r="G238" s="10">
        <v>39.94</v>
      </c>
      <c r="H238" s="11" t="s">
        <v>1874</v>
      </c>
      <c r="I238" s="49">
        <f>SUMIFS(BOM!Q:Q,BOM!A:A,'All Products'!A238,BOM!I:I,'All Products'!I$3)</f>
        <v>29.206896551724142</v>
      </c>
      <c r="J238" s="49">
        <f>SUMIFS(BOM!Q:Q,BOM!A:A,'All Products'!A238,BOM!I:I,'All Products'!J$3)+0.03</f>
        <v>0.17</v>
      </c>
      <c r="K238" s="29">
        <f t="shared" si="47"/>
        <v>0.73552570234662362</v>
      </c>
      <c r="L238" s="49">
        <f>SUMIF(BOM!A:A,'All Products'!A238,BOM!S:S)</f>
        <v>4.8659374999999994</v>
      </c>
      <c r="M238" s="49">
        <f>SUMIF(BOM!A:A,'All Products'!A238,BOM!V:V)</f>
        <v>0.29618749999999999</v>
      </c>
      <c r="N238" s="29">
        <f t="shared" si="48"/>
        <v>0.12924699549323987</v>
      </c>
      <c r="O238" s="55">
        <v>0</v>
      </c>
      <c r="P238" s="49">
        <f t="shared" si="49"/>
        <v>34.53902155172414</v>
      </c>
      <c r="Q238" s="11">
        <f t="shared" si="50"/>
        <v>5.4009784482758576</v>
      </c>
      <c r="R238" s="29">
        <f t="shared" si="51"/>
        <v>0.13522730216013665</v>
      </c>
      <c r="S238" s="91">
        <v>0.4</v>
      </c>
      <c r="T238" s="91">
        <f t="shared" si="53"/>
        <v>15.975999999999999</v>
      </c>
      <c r="U238" s="90">
        <f t="shared" si="44"/>
        <v>2.1603913793103433</v>
      </c>
      <c r="V238" s="90">
        <f t="shared" si="54"/>
        <v>2.1603913793103433</v>
      </c>
      <c r="W238" s="90">
        <f t="shared" si="46"/>
        <v>0</v>
      </c>
      <c r="Y238" s="34">
        <f t="shared" si="52"/>
        <v>0.26873068223024177</v>
      </c>
      <c r="Z238" s="34"/>
      <c r="AA238" s="4"/>
      <c r="AB238" s="4"/>
      <c r="AE238" s="4"/>
    </row>
    <row r="239" spans="1:31" x14ac:dyDescent="0.25">
      <c r="A239" s="1" t="s">
        <v>802</v>
      </c>
      <c r="B239" s="1" t="s">
        <v>656</v>
      </c>
      <c r="C239" s="1" t="s">
        <v>803</v>
      </c>
      <c r="D239" s="1" t="s">
        <v>554</v>
      </c>
      <c r="E239" s="1">
        <f>VLOOKUP(A239,BOM!A:E,5,0)</f>
        <v>1</v>
      </c>
      <c r="F239" s="122">
        <v>14.43</v>
      </c>
      <c r="G239" s="10">
        <v>14.86</v>
      </c>
      <c r="H239" s="11" t="s">
        <v>1874</v>
      </c>
      <c r="I239" s="49" t="e">
        <f>SUMIFS(BOM!Q:Q,BOM!A:A,'All Products'!A239,BOM!I:I,'All Products'!I$3)</f>
        <v>#N/A</v>
      </c>
      <c r="J239" s="49">
        <f>SUMIFS(BOM!Q:Q,BOM!A:A,'All Products'!A239,BOM!I:I,'All Products'!J$3)+0.03</f>
        <v>0.17</v>
      </c>
      <c r="K239" s="29" t="e">
        <f t="shared" si="47"/>
        <v>#N/A</v>
      </c>
      <c r="L239" s="49">
        <f>SUMIF(BOM!A:A,'All Products'!A239,BOM!S:S)</f>
        <v>2.1024844720496891</v>
      </c>
      <c r="M239" s="49">
        <f>SUMIF(BOM!A:A,'All Products'!A239,BOM!V:V)</f>
        <v>0.21720416666666661</v>
      </c>
      <c r="N239" s="29">
        <f t="shared" si="48"/>
        <v>0.15610286936180051</v>
      </c>
      <c r="O239" s="55">
        <v>0</v>
      </c>
      <c r="P239" s="49" t="e">
        <f t="shared" si="49"/>
        <v>#N/A</v>
      </c>
      <c r="Q239" s="11" t="e">
        <f t="shared" si="50"/>
        <v>#N/A</v>
      </c>
      <c r="R239" s="29">
        <f t="shared" si="51"/>
        <v>0</v>
      </c>
      <c r="S239" s="91">
        <v>1</v>
      </c>
      <c r="T239" s="91">
        <f t="shared" si="53"/>
        <v>14.86</v>
      </c>
      <c r="U239" s="90">
        <f t="shared" si="44"/>
        <v>0</v>
      </c>
      <c r="V239" s="90" t="e">
        <f t="shared" si="54"/>
        <v>#N/A</v>
      </c>
      <c r="W239" s="90" t="e">
        <f t="shared" si="46"/>
        <v>#N/A</v>
      </c>
      <c r="Y239" s="34" t="e">
        <f t="shared" si="52"/>
        <v>#N/A</v>
      </c>
      <c r="Z239" s="34"/>
      <c r="AA239" s="4"/>
      <c r="AB239" s="4"/>
      <c r="AE239" s="4"/>
    </row>
    <row r="240" spans="1:31" x14ac:dyDescent="0.25">
      <c r="A240" s="1" t="s">
        <v>507</v>
      </c>
      <c r="B240" s="1" t="s">
        <v>656</v>
      </c>
      <c r="C240" s="1" t="s">
        <v>804</v>
      </c>
      <c r="D240" s="1" t="s">
        <v>554</v>
      </c>
      <c r="E240" s="1">
        <f>VLOOKUP(A240,BOM!A:E,5,0)</f>
        <v>2.5</v>
      </c>
      <c r="F240" s="122">
        <v>36.049999999999997</v>
      </c>
      <c r="G240" s="10">
        <v>37.1</v>
      </c>
      <c r="H240" s="11" t="s">
        <v>1874</v>
      </c>
      <c r="I240" s="49" t="e">
        <f>SUMIFS(BOM!Q:Q,BOM!A:A,'All Products'!A240,BOM!I:I,'All Products'!I$3)</f>
        <v>#N/A</v>
      </c>
      <c r="J240" s="49">
        <f>SUMIFS(BOM!Q:Q,BOM!A:A,'All Products'!A240,BOM!I:I,'All Products'!J$3)+0.03</f>
        <v>0.17</v>
      </c>
      <c r="K240" s="29" t="e">
        <f t="shared" si="47"/>
        <v>#N/A</v>
      </c>
      <c r="L240" s="49">
        <f>SUMIF(BOM!A:A,'All Products'!A240,BOM!S:S)</f>
        <v>5.2562111801242226</v>
      </c>
      <c r="M240" s="49">
        <f>SUMIF(BOM!A:A,'All Products'!A240,BOM!V:V)</f>
        <v>0.29618749999999999</v>
      </c>
      <c r="N240" s="29">
        <f t="shared" si="48"/>
        <v>0.14966034178232407</v>
      </c>
      <c r="O240" s="55">
        <v>0</v>
      </c>
      <c r="P240" s="49" t="e">
        <f t="shared" si="49"/>
        <v>#N/A</v>
      </c>
      <c r="Q240" s="11" t="e">
        <f t="shared" si="50"/>
        <v>#N/A</v>
      </c>
      <c r="R240" s="29">
        <f t="shared" si="51"/>
        <v>0</v>
      </c>
      <c r="S240" s="91">
        <v>3</v>
      </c>
      <c r="T240" s="91">
        <f t="shared" si="53"/>
        <v>111.30000000000001</v>
      </c>
      <c r="U240" s="90">
        <f t="shared" si="44"/>
        <v>0</v>
      </c>
      <c r="V240" s="90" t="e">
        <f t="shared" si="54"/>
        <v>#N/A</v>
      </c>
      <c r="W240" s="90" t="e">
        <f t="shared" si="46"/>
        <v>#N/A</v>
      </c>
      <c r="Y240" s="34" t="e">
        <f t="shared" si="52"/>
        <v>#N/A</v>
      </c>
      <c r="Z240" s="34"/>
      <c r="AA240" s="4"/>
      <c r="AB240" s="4"/>
      <c r="AE240" s="4"/>
    </row>
    <row r="241" spans="1:31" x14ac:dyDescent="0.25">
      <c r="A241" s="1" t="s">
        <v>472</v>
      </c>
      <c r="B241" s="1" t="s">
        <v>656</v>
      </c>
      <c r="C241" s="1" t="s">
        <v>473</v>
      </c>
      <c r="D241" s="1" t="s">
        <v>554</v>
      </c>
      <c r="E241" s="1">
        <f>VLOOKUP(A241,BOM!A:E,5,0)</f>
        <v>1</v>
      </c>
      <c r="F241" s="122">
        <v>6.18</v>
      </c>
      <c r="G241" s="10">
        <v>6.38</v>
      </c>
      <c r="H241" s="11" t="s">
        <v>1874</v>
      </c>
      <c r="I241" s="49">
        <f>SUMIFS(BOM!Q:Q,BOM!A:A,'All Products'!A241,BOM!I:I,'All Products'!I$3)</f>
        <v>2.2807147513779413</v>
      </c>
      <c r="J241" s="49">
        <f>SUMIFS(BOM!Q:Q,BOM!A:A,'All Products'!A241,BOM!I:I,'All Products'!J$3)+0.03</f>
        <v>0.17</v>
      </c>
      <c r="K241" s="29">
        <f t="shared" si="47"/>
        <v>0.38412456918149551</v>
      </c>
      <c r="L241" s="49">
        <f>SUMIF(BOM!A:A,'All Products'!A241,BOM!S:S)</f>
        <v>3.1925547353760444</v>
      </c>
      <c r="M241" s="49">
        <f>SUMIF(BOM!A:A,'All Products'!A241,BOM!V:V)</f>
        <v>0.21720416666666661</v>
      </c>
      <c r="N241" s="29">
        <f t="shared" si="48"/>
        <v>0.53444496897221172</v>
      </c>
      <c r="O241" s="55">
        <v>0</v>
      </c>
      <c r="P241" s="49">
        <f t="shared" si="49"/>
        <v>5.8604736534206516</v>
      </c>
      <c r="Q241" s="11">
        <f t="shared" si="50"/>
        <v>0.51952634657934826</v>
      </c>
      <c r="R241" s="29">
        <f t="shared" si="51"/>
        <v>8.1430461846292837E-2</v>
      </c>
      <c r="S241" s="91">
        <v>47</v>
      </c>
      <c r="T241" s="91">
        <f t="shared" si="53"/>
        <v>299.86</v>
      </c>
      <c r="U241" s="90">
        <f t="shared" si="44"/>
        <v>24.417738289229369</v>
      </c>
      <c r="V241" s="90">
        <f t="shared" si="54"/>
        <v>24.417738289229369</v>
      </c>
      <c r="W241" s="90">
        <f t="shared" si="46"/>
        <v>0</v>
      </c>
      <c r="Y241" s="34">
        <f t="shared" si="52"/>
        <v>0.64252119884358283</v>
      </c>
      <c r="Z241" s="34"/>
      <c r="AA241" s="4"/>
      <c r="AB241" s="4"/>
      <c r="AE241" s="4"/>
    </row>
    <row r="242" spans="1:31" x14ac:dyDescent="0.25">
      <c r="A242" s="1" t="s">
        <v>805</v>
      </c>
      <c r="B242" s="1" t="s">
        <v>656</v>
      </c>
      <c r="C242" s="1" t="s">
        <v>806</v>
      </c>
      <c r="D242" s="1" t="s">
        <v>554</v>
      </c>
      <c r="E242" s="1">
        <f>VLOOKUP(A242,BOM!A:E,5,0)</f>
        <v>2.5</v>
      </c>
      <c r="F242" s="122">
        <v>15.15</v>
      </c>
      <c r="G242" s="10">
        <v>15.61</v>
      </c>
      <c r="H242" s="11" t="s">
        <v>1874</v>
      </c>
      <c r="I242" s="49">
        <f>SUMIFS(BOM!Q:Q,BOM!A:A,'All Products'!A242,BOM!I:I,'All Products'!I$3)</f>
        <v>5.7017868784448531</v>
      </c>
      <c r="J242" s="49">
        <f>SUMIFS(BOM!Q:Q,BOM!A:A,'All Products'!A242,BOM!I:I,'All Products'!J$3)+0.03</f>
        <v>0.17</v>
      </c>
      <c r="K242" s="29">
        <f t="shared" si="47"/>
        <v>0.37615546947116291</v>
      </c>
      <c r="L242" s="49">
        <f>SUMIF(BOM!A:A,'All Products'!A242,BOM!S:S)</f>
        <v>7.9813868384401117</v>
      </c>
      <c r="M242" s="49">
        <f>SUMIF(BOM!A:A,'All Products'!A242,BOM!V:V)</f>
        <v>0.29618749999999999</v>
      </c>
      <c r="N242" s="29">
        <f t="shared" si="48"/>
        <v>0.53027382052787386</v>
      </c>
      <c r="O242" s="55">
        <v>0</v>
      </c>
      <c r="P242" s="49">
        <f t="shared" si="49"/>
        <v>14.149361216884966</v>
      </c>
      <c r="Q242" s="11">
        <f t="shared" si="50"/>
        <v>1.4606387831150336</v>
      </c>
      <c r="R242" s="29">
        <f t="shared" si="51"/>
        <v>9.3570710000963078E-2</v>
      </c>
      <c r="S242" s="91">
        <v>79.2</v>
      </c>
      <c r="T242" s="91">
        <f t="shared" si="53"/>
        <v>1236.3119999999999</v>
      </c>
      <c r="U242" s="90">
        <f t="shared" si="44"/>
        <v>115.68259162271066</v>
      </c>
      <c r="V242" s="90">
        <f t="shared" si="54"/>
        <v>115.68259162271066</v>
      </c>
      <c r="W242" s="90">
        <f t="shared" si="46"/>
        <v>0</v>
      </c>
      <c r="Y242" s="34">
        <f t="shared" si="52"/>
        <v>0.63473498536548023</v>
      </c>
      <c r="Z242" s="34"/>
      <c r="AA242" s="4"/>
      <c r="AB242" s="4"/>
      <c r="AE242" s="4"/>
    </row>
    <row r="243" spans="1:31" x14ac:dyDescent="0.25">
      <c r="A243" s="1" t="s">
        <v>807</v>
      </c>
      <c r="B243" s="1" t="s">
        <v>656</v>
      </c>
      <c r="C243" s="1" t="s">
        <v>808</v>
      </c>
      <c r="D243" s="1" t="s">
        <v>554</v>
      </c>
      <c r="E243" s="1">
        <f>VLOOKUP(A243,BOM!A:E,5,0)</f>
        <v>1</v>
      </c>
      <c r="F243" s="122">
        <v>5.53</v>
      </c>
      <c r="G243" s="10">
        <v>5.68</v>
      </c>
      <c r="H243" s="11" t="s">
        <v>1874</v>
      </c>
      <c r="I243" s="49">
        <f>SUMIFS(BOM!Q:Q,BOM!A:A,'All Products'!A243,BOM!I:I,'All Products'!I$3)</f>
        <v>2.2129097182288673</v>
      </c>
      <c r="J243" s="49">
        <f>SUMIFS(BOM!Q:Q,BOM!A:A,'All Products'!A243,BOM!I:I,'All Products'!J$3)+0.03</f>
        <v>0.17</v>
      </c>
      <c r="K243" s="29">
        <f t="shared" si="47"/>
        <v>0.41952635884311046</v>
      </c>
      <c r="L243" s="49">
        <f>SUMIF(BOM!A:A,'All Products'!A243,BOM!S:S)</f>
        <v>2.4063995495495489</v>
      </c>
      <c r="M243" s="49">
        <f>SUMIF(BOM!A:A,'All Products'!A243,BOM!V:V)</f>
        <v>0.21720416666666661</v>
      </c>
      <c r="N243" s="29">
        <f t="shared" si="48"/>
        <v>0.46190206271412243</v>
      </c>
      <c r="O243" s="55">
        <v>0</v>
      </c>
      <c r="P243" s="49">
        <f t="shared" si="49"/>
        <v>5.0065134344450826</v>
      </c>
      <c r="Q243" s="11">
        <f t="shared" si="50"/>
        <v>0.67348656555491715</v>
      </c>
      <c r="R243" s="29">
        <f t="shared" si="51"/>
        <v>0.11857157844276711</v>
      </c>
      <c r="S243" s="91">
        <v>18.399999999999999</v>
      </c>
      <c r="T243" s="91">
        <f t="shared" si="53"/>
        <v>104.51199999999999</v>
      </c>
      <c r="U243" s="90">
        <f t="shared" si="44"/>
        <v>12.392152806210474</v>
      </c>
      <c r="V243" s="90">
        <f t="shared" si="54"/>
        <v>12.392152806210474</v>
      </c>
      <c r="W243" s="90">
        <f t="shared" si="46"/>
        <v>0</v>
      </c>
      <c r="Y243" s="34">
        <f t="shared" si="52"/>
        <v>0.61040321862167823</v>
      </c>
      <c r="Z243" s="34"/>
      <c r="AA243" s="4"/>
      <c r="AB243" s="4"/>
      <c r="AE243" s="4"/>
    </row>
    <row r="244" spans="1:31" x14ac:dyDescent="0.25">
      <c r="A244" s="1" t="s">
        <v>255</v>
      </c>
      <c r="B244" s="1" t="s">
        <v>656</v>
      </c>
      <c r="C244" s="1" t="s">
        <v>256</v>
      </c>
      <c r="D244" s="1" t="s">
        <v>554</v>
      </c>
      <c r="E244" s="1">
        <f>VLOOKUP(A244,BOM!A:E,5,0)</f>
        <v>2.5</v>
      </c>
      <c r="F244" s="122">
        <v>13.52</v>
      </c>
      <c r="G244" s="10">
        <v>13.89</v>
      </c>
      <c r="H244" s="11" t="s">
        <v>1874</v>
      </c>
      <c r="I244" s="49">
        <f>SUMIFS(BOM!Q:Q,BOM!A:A,'All Products'!A244,BOM!I:I,'All Products'!I$3)</f>
        <v>5.5322742955721687</v>
      </c>
      <c r="J244" s="49">
        <f>SUMIFS(BOM!Q:Q,BOM!A:A,'All Products'!A244,BOM!I:I,'All Products'!J$3)+0.03</f>
        <v>0.17</v>
      </c>
      <c r="K244" s="29">
        <f t="shared" si="47"/>
        <v>0.41053090680865145</v>
      </c>
      <c r="L244" s="49">
        <f>SUMIF(BOM!A:A,'All Products'!A244,BOM!S:S)</f>
        <v>6.0159988738738726</v>
      </c>
      <c r="M244" s="49">
        <f>SUMIF(BOM!A:A,'All Products'!A244,BOM!V:V)</f>
        <v>0.29618749999999999</v>
      </c>
      <c r="N244" s="29">
        <f t="shared" si="48"/>
        <v>0.45444106363382814</v>
      </c>
      <c r="O244" s="55">
        <v>0</v>
      </c>
      <c r="P244" s="49">
        <f t="shared" si="49"/>
        <v>12.014460669446041</v>
      </c>
      <c r="Q244" s="11">
        <f t="shared" si="50"/>
        <v>1.8755393305539592</v>
      </c>
      <c r="R244" s="29">
        <f t="shared" si="51"/>
        <v>0.13502802955752044</v>
      </c>
      <c r="S244" s="91">
        <v>32.200000000000003</v>
      </c>
      <c r="T244" s="91">
        <f t="shared" si="53"/>
        <v>447.25800000000004</v>
      </c>
      <c r="U244" s="90">
        <f t="shared" si="44"/>
        <v>60.392366443837489</v>
      </c>
      <c r="V244" s="90">
        <f t="shared" si="54"/>
        <v>60.392366443837489</v>
      </c>
      <c r="W244" s="90">
        <f t="shared" si="46"/>
        <v>0</v>
      </c>
      <c r="Y244" s="34">
        <f t="shared" si="52"/>
        <v>0.60170811406967828</v>
      </c>
      <c r="Z244" s="34"/>
      <c r="AA244" s="4"/>
      <c r="AB244" s="4"/>
      <c r="AE244" s="4"/>
    </row>
    <row r="245" spans="1:31" x14ac:dyDescent="0.25">
      <c r="A245" s="1" t="s">
        <v>809</v>
      </c>
      <c r="B245" s="1" t="s">
        <v>656</v>
      </c>
      <c r="C245" s="1" t="s">
        <v>810</v>
      </c>
      <c r="D245" s="1" t="s">
        <v>554</v>
      </c>
      <c r="E245" s="1">
        <f>VLOOKUP(A245,BOM!A:E,5,0)</f>
        <v>1</v>
      </c>
      <c r="F245" s="122">
        <v>5.41</v>
      </c>
      <c r="G245" s="10">
        <v>5.51</v>
      </c>
      <c r="H245" s="11" t="s">
        <v>1874</v>
      </c>
      <c r="I245" s="49">
        <f>SUMIFS(BOM!Q:Q,BOM!A:A,'All Products'!A245,BOM!I:I,'All Products'!I$3)</f>
        <v>1.577075098814229</v>
      </c>
      <c r="J245" s="49">
        <f>SUMIFS(BOM!Q:Q,BOM!A:A,'All Products'!A245,BOM!I:I,'All Products'!J$3)+0.03</f>
        <v>0.17</v>
      </c>
      <c r="K245" s="29">
        <f t="shared" si="47"/>
        <v>0.31707352065593991</v>
      </c>
      <c r="L245" s="49">
        <f>SUMIF(BOM!A:A,'All Products'!A245,BOM!S:S)</f>
        <v>0.26464545454545452</v>
      </c>
      <c r="M245" s="49">
        <f>SUMIF(BOM!A:A,'All Products'!A245,BOM!V:V)</f>
        <v>0.21720416666666661</v>
      </c>
      <c r="N245" s="29">
        <f t="shared" si="48"/>
        <v>8.7450021998570091E-2</v>
      </c>
      <c r="O245" s="55">
        <v>0</v>
      </c>
      <c r="P245" s="49">
        <f t="shared" si="49"/>
        <v>2.2289247200263502</v>
      </c>
      <c r="Q245" s="11">
        <f t="shared" si="50"/>
        <v>3.2810752799736496</v>
      </c>
      <c r="R245" s="29">
        <f t="shared" si="51"/>
        <v>0.59547645734548993</v>
      </c>
      <c r="S245" s="91">
        <v>0.6</v>
      </c>
      <c r="T245" s="91">
        <f t="shared" si="53"/>
        <v>3.3059999999999996</v>
      </c>
      <c r="U245" s="90">
        <f t="shared" si="44"/>
        <v>1.9686451679841896</v>
      </c>
      <c r="V245" s="90">
        <f t="shared" si="54"/>
        <v>1.9686451679841896</v>
      </c>
      <c r="W245" s="90">
        <f t="shared" si="46"/>
        <v>0</v>
      </c>
      <c r="Y245" s="34">
        <f t="shared" si="52"/>
        <v>0.71377947389941399</v>
      </c>
      <c r="Z245" s="34"/>
      <c r="AA245" s="4"/>
      <c r="AB245" s="4"/>
      <c r="AE245" s="4"/>
    </row>
    <row r="246" spans="1:31" x14ac:dyDescent="0.25">
      <c r="A246" s="1" t="s">
        <v>811</v>
      </c>
      <c r="B246" s="1" t="s">
        <v>656</v>
      </c>
      <c r="C246" s="1" t="s">
        <v>812</v>
      </c>
      <c r="D246" s="1" t="s">
        <v>554</v>
      </c>
      <c r="E246" s="1">
        <f>VLOOKUP(A246,BOM!A:E,5,0)</f>
        <v>2.5</v>
      </c>
      <c r="F246" s="122">
        <v>13.51</v>
      </c>
      <c r="G246" s="10">
        <v>13.77</v>
      </c>
      <c r="H246" s="11" t="s">
        <v>1874</v>
      </c>
      <c r="I246" s="49">
        <f>SUMIFS(BOM!Q:Q,BOM!A:A,'All Products'!A246,BOM!I:I,'All Products'!I$3)</f>
        <v>3.9426877470355728</v>
      </c>
      <c r="J246" s="49">
        <f>SUMIFS(BOM!Q:Q,BOM!A:A,'All Products'!A246,BOM!I:I,'All Products'!J$3)+0.03</f>
        <v>0.17</v>
      </c>
      <c r="K246" s="29">
        <f t="shared" si="47"/>
        <v>0.29867013413475479</v>
      </c>
      <c r="L246" s="49">
        <f>SUMIF(BOM!A:A,'All Products'!A246,BOM!S:S)</f>
        <v>0.66161363636363624</v>
      </c>
      <c r="M246" s="49">
        <f>SUMIF(BOM!A:A,'All Products'!A246,BOM!V:V)</f>
        <v>0.29618749999999999</v>
      </c>
      <c r="N246" s="29">
        <f t="shared" si="48"/>
        <v>6.9557090512972861E-2</v>
      </c>
      <c r="O246" s="55">
        <v>0</v>
      </c>
      <c r="P246" s="49">
        <f t="shared" si="49"/>
        <v>5.0704888833992099</v>
      </c>
      <c r="Q246" s="11">
        <f t="shared" si="50"/>
        <v>8.6995111166007888</v>
      </c>
      <c r="R246" s="29">
        <f t="shared" si="51"/>
        <v>0.63177277535227228</v>
      </c>
      <c r="S246" s="91">
        <v>6.6</v>
      </c>
      <c r="T246" s="91">
        <f t="shared" si="53"/>
        <v>90.881999999999991</v>
      </c>
      <c r="U246" s="90">
        <f t="shared" si="44"/>
        <v>57.416773369565206</v>
      </c>
      <c r="V246" s="90">
        <f t="shared" si="54"/>
        <v>57.416773369565206</v>
      </c>
      <c r="W246" s="90">
        <f t="shared" si="46"/>
        <v>0</v>
      </c>
      <c r="Y246" s="34">
        <f t="shared" si="52"/>
        <v>0.71367554487759099</v>
      </c>
      <c r="Z246" s="34"/>
      <c r="AA246" s="4"/>
      <c r="AB246" s="4"/>
      <c r="AE246" s="4"/>
    </row>
    <row r="247" spans="1:31" x14ac:dyDescent="0.25">
      <c r="A247" s="1" t="s">
        <v>813</v>
      </c>
      <c r="B247" s="1" t="s">
        <v>656</v>
      </c>
      <c r="C247" s="1" t="s">
        <v>814</v>
      </c>
      <c r="D247" s="1" t="s">
        <v>554</v>
      </c>
      <c r="E247" s="1">
        <f>VLOOKUP(A247,BOM!A:E,5,0)</f>
        <v>1</v>
      </c>
      <c r="F247" s="122">
        <v>10.11</v>
      </c>
      <c r="G247" s="10">
        <v>10.09</v>
      </c>
      <c r="H247" s="11" t="s">
        <v>1874</v>
      </c>
      <c r="I247" s="49">
        <f>SUMIFS(BOM!Q:Q,BOM!A:A,'All Products'!A247,BOM!I:I,'All Products'!I$3)</f>
        <v>2.280234375</v>
      </c>
      <c r="J247" s="49">
        <f>SUMIFS(BOM!Q:Q,BOM!A:A,'All Products'!A247,BOM!I:I,'All Products'!J$3)+0.03</f>
        <v>0.17</v>
      </c>
      <c r="K247" s="29">
        <f t="shared" si="47"/>
        <v>0.24283789643211101</v>
      </c>
      <c r="L247" s="49">
        <f>SUMIF(BOM!A:A,'All Products'!A247,BOM!S:S)</f>
        <v>0.5892015625</v>
      </c>
      <c r="M247" s="49">
        <f>SUMIF(BOM!A:A,'All Products'!A247,BOM!V:V)</f>
        <v>0.21720416666666661</v>
      </c>
      <c r="N247" s="29">
        <f t="shared" si="48"/>
        <v>7.9921281384208787E-2</v>
      </c>
      <c r="O247" s="55">
        <v>0</v>
      </c>
      <c r="P247" s="49">
        <f t="shared" si="49"/>
        <v>3.2566401041666664</v>
      </c>
      <c r="Q247" s="11">
        <f t="shared" si="50"/>
        <v>6.8333598958333335</v>
      </c>
      <c r="R247" s="29">
        <f t="shared" si="51"/>
        <v>0.6772408221836802</v>
      </c>
      <c r="S247" s="91">
        <v>0</v>
      </c>
      <c r="T247" s="91">
        <f t="shared" si="53"/>
        <v>0</v>
      </c>
      <c r="U247" s="90">
        <f t="shared" si="44"/>
        <v>0</v>
      </c>
      <c r="V247" s="90">
        <f t="shared" si="54"/>
        <v>0</v>
      </c>
      <c r="W247" s="90">
        <f t="shared" si="46"/>
        <v>0</v>
      </c>
      <c r="Y247" s="34">
        <f t="shared" si="52"/>
        <v>0.77401046828543107</v>
      </c>
      <c r="Z247" s="34"/>
      <c r="AA247" s="4"/>
      <c r="AB247" s="4"/>
      <c r="AE247" s="4"/>
    </row>
    <row r="248" spans="1:31" x14ac:dyDescent="0.25">
      <c r="A248" s="1" t="s">
        <v>815</v>
      </c>
      <c r="B248" s="1" t="s">
        <v>656</v>
      </c>
      <c r="C248" s="1" t="s">
        <v>816</v>
      </c>
      <c r="D248" s="1" t="s">
        <v>554</v>
      </c>
      <c r="E248" s="1">
        <f>VLOOKUP(A248,BOM!A:E,5,0)</f>
        <v>2.5</v>
      </c>
      <c r="F248" s="122">
        <v>25.28</v>
      </c>
      <c r="G248" s="10">
        <v>25.23</v>
      </c>
      <c r="H248" s="11" t="s">
        <v>1874</v>
      </c>
      <c r="I248" s="49">
        <f>SUMIFS(BOM!Q:Q,BOM!A:A,'All Products'!A248,BOM!I:I,'All Products'!I$3)</f>
        <v>5.7005859374999988</v>
      </c>
      <c r="J248" s="49">
        <f>SUMIFS(BOM!Q:Q,BOM!A:A,'All Products'!A248,BOM!I:I,'All Products'!J$3)+0.03</f>
        <v>0.17</v>
      </c>
      <c r="K248" s="29">
        <f t="shared" si="47"/>
        <v>0.23268275614347994</v>
      </c>
      <c r="L248" s="49">
        <f>SUMIF(BOM!A:A,'All Products'!A248,BOM!S:S)</f>
        <v>1.4730039062499998</v>
      </c>
      <c r="M248" s="49">
        <f>SUMIF(BOM!A:A,'All Products'!A248,BOM!V:V)</f>
        <v>0.29618749999999999</v>
      </c>
      <c r="N248" s="29">
        <f t="shared" si="48"/>
        <v>7.0122528983353138E-2</v>
      </c>
      <c r="O248" s="55">
        <v>0</v>
      </c>
      <c r="P248" s="49">
        <f t="shared" si="49"/>
        <v>7.6397773437499987</v>
      </c>
      <c r="Q248" s="11">
        <f t="shared" si="50"/>
        <v>17.590222656250003</v>
      </c>
      <c r="R248" s="29">
        <f t="shared" si="51"/>
        <v>0.69719471487316698</v>
      </c>
      <c r="S248" s="91">
        <v>19.8</v>
      </c>
      <c r="T248" s="91">
        <f t="shared" si="53"/>
        <v>499.55400000000003</v>
      </c>
      <c r="U248" s="90">
        <f t="shared" si="44"/>
        <v>348.28640859375008</v>
      </c>
      <c r="V248" s="90">
        <f t="shared" si="54"/>
        <v>348.28640859375008</v>
      </c>
      <c r="W248" s="90">
        <f t="shared" si="46"/>
        <v>0</v>
      </c>
      <c r="Y248" s="34">
        <f t="shared" si="52"/>
        <v>0.77405525416171228</v>
      </c>
      <c r="Z248" s="34"/>
      <c r="AA248" s="4"/>
      <c r="AB248" s="4"/>
      <c r="AE248" s="4"/>
    </row>
    <row r="249" spans="1:31" x14ac:dyDescent="0.25">
      <c r="A249" s="1" t="s">
        <v>817</v>
      </c>
      <c r="B249" s="1" t="s">
        <v>656</v>
      </c>
      <c r="C249" s="1" t="s">
        <v>818</v>
      </c>
      <c r="D249" s="1" t="s">
        <v>554</v>
      </c>
      <c r="E249" s="1">
        <f>VLOOKUP(A249,BOM!A:E,5,0)</f>
        <v>1</v>
      </c>
      <c r="F249" s="122">
        <v>10.8</v>
      </c>
      <c r="G249" s="10">
        <v>10.55</v>
      </c>
      <c r="H249" s="11" t="s">
        <v>1874</v>
      </c>
      <c r="I249" s="49">
        <f>SUMIFS(BOM!Q:Q,BOM!A:A,'All Products'!A249,BOM!I:I,'All Products'!I$3)</f>
        <v>4.3359975669099766</v>
      </c>
      <c r="J249" s="49">
        <f>SUMIFS(BOM!Q:Q,BOM!A:A,'All Products'!A249,BOM!I:I,'All Products'!J$3)+0.03</f>
        <v>0.17</v>
      </c>
      <c r="K249" s="29">
        <f t="shared" si="47"/>
        <v>0.42710877411468967</v>
      </c>
      <c r="L249" s="49">
        <f>SUMIF(BOM!A:A,'All Products'!A249,BOM!S:S)</f>
        <v>5.7377534468775346</v>
      </c>
      <c r="M249" s="49">
        <f>SUMIF(BOM!A:A,'All Products'!A249,BOM!V:V)</f>
        <v>0.21720416666666661</v>
      </c>
      <c r="N249" s="29">
        <f t="shared" si="48"/>
        <v>0.56445095862978212</v>
      </c>
      <c r="O249" s="55">
        <v>0</v>
      </c>
      <c r="P249" s="49">
        <f t="shared" si="49"/>
        <v>10.460955180454178</v>
      </c>
      <c r="Q249" s="11">
        <f t="shared" si="50"/>
        <v>8.9044819545822662E-2</v>
      </c>
      <c r="R249" s="29">
        <f t="shared" si="51"/>
        <v>8.4402672555282145E-3</v>
      </c>
      <c r="S249" s="91">
        <v>0</v>
      </c>
      <c r="T249" s="91">
        <f t="shared" si="53"/>
        <v>0</v>
      </c>
      <c r="U249" s="90">
        <f t="shared" si="44"/>
        <v>0</v>
      </c>
      <c r="V249" s="90">
        <f t="shared" si="54"/>
        <v>0</v>
      </c>
      <c r="W249" s="90">
        <f t="shared" si="46"/>
        <v>0</v>
      </c>
      <c r="Y249" s="34">
        <f t="shared" si="52"/>
        <v>0.58900496996113971</v>
      </c>
      <c r="Z249" s="34"/>
      <c r="AA249" s="4"/>
      <c r="AB249" s="4"/>
      <c r="AE249" s="4"/>
    </row>
    <row r="250" spans="1:31" x14ac:dyDescent="0.25">
      <c r="A250" s="1" t="s">
        <v>251</v>
      </c>
      <c r="B250" s="1" t="s">
        <v>656</v>
      </c>
      <c r="C250" s="1" t="s">
        <v>252</v>
      </c>
      <c r="D250" s="1" t="s">
        <v>554</v>
      </c>
      <c r="E250" s="1">
        <f>VLOOKUP(A250,BOM!A:E,5,0)</f>
        <v>2.5</v>
      </c>
      <c r="F250" s="122">
        <v>26.69</v>
      </c>
      <c r="G250" s="10">
        <v>26.85</v>
      </c>
      <c r="H250" s="11" t="s">
        <v>1874</v>
      </c>
      <c r="I250" s="49">
        <f>SUMIFS(BOM!Q:Q,BOM!A:A,'All Products'!A250,BOM!I:I,'All Products'!I$3)</f>
        <v>10.839993917274942</v>
      </c>
      <c r="J250" s="49">
        <f>SUMIFS(BOM!Q:Q,BOM!A:A,'All Products'!A250,BOM!I:I,'All Products'!J$3)+0.03</f>
        <v>0.17</v>
      </c>
      <c r="K250" s="29">
        <f t="shared" si="47"/>
        <v>0.41005563937709277</v>
      </c>
      <c r="L250" s="49">
        <f>SUMIF(BOM!A:A,'All Products'!A250,BOM!S:S)</f>
        <v>14.344383617193838</v>
      </c>
      <c r="M250" s="49">
        <f>SUMIF(BOM!A:A,'All Products'!A250,BOM!V:V)</f>
        <v>0.29618749999999999</v>
      </c>
      <c r="N250" s="29">
        <f t="shared" si="48"/>
        <v>0.54527266730703305</v>
      </c>
      <c r="O250" s="55">
        <v>0</v>
      </c>
      <c r="P250" s="49">
        <f t="shared" si="49"/>
        <v>25.65056503446878</v>
      </c>
      <c r="Q250" s="11">
        <f t="shared" si="50"/>
        <v>1.1994349655312213</v>
      </c>
      <c r="R250" s="29">
        <f t="shared" si="51"/>
        <v>4.4671693315874159E-2</v>
      </c>
      <c r="S250" s="91">
        <v>139.19999999999999</v>
      </c>
      <c r="T250" s="91">
        <f t="shared" si="53"/>
        <v>3737.52</v>
      </c>
      <c r="U250" s="90">
        <f t="shared" si="44"/>
        <v>166.96134720194598</v>
      </c>
      <c r="V250" s="90">
        <f t="shared" si="54"/>
        <v>166.96134720194598</v>
      </c>
      <c r="W250" s="90">
        <f t="shared" si="46"/>
        <v>0</v>
      </c>
      <c r="Y250" s="34">
        <f t="shared" si="52"/>
        <v>0.59627583175884757</v>
      </c>
      <c r="Z250" s="34"/>
      <c r="AA250" s="4"/>
      <c r="AB250" s="4"/>
      <c r="AE250" s="4"/>
    </row>
    <row r="251" spans="1:31" x14ac:dyDescent="0.25">
      <c r="A251" s="1" t="s">
        <v>819</v>
      </c>
      <c r="B251" s="1" t="s">
        <v>656</v>
      </c>
      <c r="C251" s="1" t="s">
        <v>820</v>
      </c>
      <c r="D251" s="1" t="s">
        <v>554</v>
      </c>
      <c r="E251" s="1">
        <f>VLOOKUP(A251,BOM!A:E,5,0)</f>
        <v>1</v>
      </c>
      <c r="F251" s="122">
        <v>3.74</v>
      </c>
      <c r="G251" s="10">
        <v>3.79</v>
      </c>
      <c r="H251" s="11" t="s">
        <v>1874</v>
      </c>
      <c r="I251" s="49">
        <f>SUMIFS(BOM!Q:Q,BOM!A:A,'All Products'!A251,BOM!I:I,'All Products'!I$3)</f>
        <v>1.490909090909091</v>
      </c>
      <c r="J251" s="49">
        <f>SUMIFS(BOM!Q:Q,BOM!A:A,'All Products'!A251,BOM!I:I,'All Products'!J$3)+0.03</f>
        <v>0.17</v>
      </c>
      <c r="K251" s="29">
        <f t="shared" si="47"/>
        <v>0.43823458863036696</v>
      </c>
      <c r="L251" s="49">
        <f>SUMIF(BOM!A:A,'All Products'!A251,BOM!S:S)</f>
        <v>0.44415303030303033</v>
      </c>
      <c r="M251" s="49">
        <f>SUMIF(BOM!A:A,'All Products'!A251,BOM!V:V)</f>
        <v>0.21720416666666661</v>
      </c>
      <c r="N251" s="29">
        <f t="shared" si="48"/>
        <v>0.1745005796753818</v>
      </c>
      <c r="O251" s="55">
        <v>0</v>
      </c>
      <c r="P251" s="49">
        <f t="shared" si="49"/>
        <v>2.3222662878787879</v>
      </c>
      <c r="Q251" s="11">
        <f t="shared" si="50"/>
        <v>1.4677337121212122</v>
      </c>
      <c r="R251" s="29">
        <f t="shared" si="51"/>
        <v>0.38726483169425124</v>
      </c>
      <c r="S251" s="91">
        <v>1</v>
      </c>
      <c r="T251" s="91">
        <f t="shared" si="53"/>
        <v>3.79</v>
      </c>
      <c r="U251" s="90">
        <f t="shared" si="44"/>
        <v>1.4677337121212122</v>
      </c>
      <c r="V251" s="90">
        <f t="shared" si="54"/>
        <v>1.4677337121212122</v>
      </c>
      <c r="W251" s="90">
        <f t="shared" si="46"/>
        <v>0</v>
      </c>
      <c r="Y251" s="34">
        <f t="shared" si="52"/>
        <v>0.60662029263612371</v>
      </c>
      <c r="Z251" s="34"/>
      <c r="AA251" s="4"/>
      <c r="AB251" s="4"/>
      <c r="AE251" s="4"/>
    </row>
    <row r="252" spans="1:31" x14ac:dyDescent="0.25">
      <c r="A252" s="1" t="s">
        <v>249</v>
      </c>
      <c r="B252" s="1" t="s">
        <v>656</v>
      </c>
      <c r="C252" s="1" t="s">
        <v>250</v>
      </c>
      <c r="D252" s="1" t="s">
        <v>554</v>
      </c>
      <c r="E252" s="1">
        <f>VLOOKUP(A252,BOM!A:E,5,0)</f>
        <v>2.5</v>
      </c>
      <c r="F252" s="122">
        <v>9.36</v>
      </c>
      <c r="G252" s="10">
        <v>9.49</v>
      </c>
      <c r="H252" s="11" t="s">
        <v>1874</v>
      </c>
      <c r="I252" s="49">
        <f>SUMIFS(BOM!Q:Q,BOM!A:A,'All Products'!A252,BOM!I:I,'All Products'!I$3)</f>
        <v>3.7272727272727271</v>
      </c>
      <c r="J252" s="49">
        <f>SUMIFS(BOM!Q:Q,BOM!A:A,'All Products'!A252,BOM!I:I,'All Products'!J$3)+0.03</f>
        <v>0.17</v>
      </c>
      <c r="K252" s="29">
        <f t="shared" si="47"/>
        <v>0.41067152026056131</v>
      </c>
      <c r="L252" s="49">
        <f>SUMIF(BOM!A:A,'All Products'!A252,BOM!S:S)</f>
        <v>1.1103825757575758</v>
      </c>
      <c r="M252" s="49">
        <f>SUMIF(BOM!A:A,'All Products'!A252,BOM!V:V)</f>
        <v>0.29618749999999999</v>
      </c>
      <c r="N252" s="29">
        <f t="shared" si="48"/>
        <v>0.14821602484273719</v>
      </c>
      <c r="O252" s="55">
        <v>0</v>
      </c>
      <c r="P252" s="49">
        <f t="shared" si="49"/>
        <v>5.3038428030303031</v>
      </c>
      <c r="Q252" s="11">
        <f t="shared" si="50"/>
        <v>4.1861571969696971</v>
      </c>
      <c r="R252" s="29">
        <f t="shared" si="51"/>
        <v>0.44111245489670148</v>
      </c>
      <c r="S252" s="91">
        <v>54.2</v>
      </c>
      <c r="T252" s="91">
        <f t="shared" ref="T252:T283" si="55">S252*G252</f>
        <v>514.35800000000006</v>
      </c>
      <c r="U252" s="90">
        <f t="shared" ref="U252:U315" si="56">IFERROR(S252*Q252,0)</f>
        <v>226.88972007575759</v>
      </c>
      <c r="V252" s="90">
        <f t="shared" ref="V252:V283" si="57">(G252-P252)*S252</f>
        <v>226.88972007575759</v>
      </c>
      <c r="W252" s="90">
        <f t="shared" ref="W252:W315" si="58">V252-U252</f>
        <v>0</v>
      </c>
      <c r="Y252" s="34">
        <f t="shared" si="52"/>
        <v>0.60724207299549771</v>
      </c>
      <c r="Z252" s="34"/>
      <c r="AA252" s="4"/>
      <c r="AB252" s="4"/>
      <c r="AE252" s="4"/>
    </row>
    <row r="253" spans="1:31" x14ac:dyDescent="0.25">
      <c r="A253" s="1" t="s">
        <v>247</v>
      </c>
      <c r="B253" s="1" t="s">
        <v>656</v>
      </c>
      <c r="C253" s="1" t="s">
        <v>248</v>
      </c>
      <c r="D253" s="1" t="s">
        <v>554</v>
      </c>
      <c r="E253" s="1">
        <f>VLOOKUP(A253,BOM!A:E,5,0)</f>
        <v>2.5</v>
      </c>
      <c r="F253" s="122">
        <v>14.34</v>
      </c>
      <c r="G253" s="10">
        <v>14.33</v>
      </c>
      <c r="H253" s="11" t="s">
        <v>1874</v>
      </c>
      <c r="I253" s="49">
        <f>SUMIFS(BOM!Q:Q,BOM!A:A,'All Products'!A253,BOM!I:I,'All Products'!I$3)</f>
        <v>4.7844827586206904</v>
      </c>
      <c r="J253" s="49">
        <f>SUMIFS(BOM!Q:Q,BOM!A:A,'All Products'!A253,BOM!I:I,'All Products'!J$3)+0.03</f>
        <v>0.17</v>
      </c>
      <c r="K253" s="29">
        <f t="shared" si="47"/>
        <v>0.34574199292537966</v>
      </c>
      <c r="L253" s="49">
        <f>SUMIF(BOM!A:A,'All Products'!A253,BOM!S:S)</f>
        <v>2.5533405172413794</v>
      </c>
      <c r="M253" s="49">
        <f>SUMIF(BOM!A:A,'All Products'!A253,BOM!V:V)</f>
        <v>0.29618749999999999</v>
      </c>
      <c r="N253" s="29">
        <f t="shared" si="48"/>
        <v>0.19885052458069638</v>
      </c>
      <c r="O253" s="55">
        <v>0</v>
      </c>
      <c r="P253" s="49">
        <f t="shared" si="49"/>
        <v>7.8040107758620696</v>
      </c>
      <c r="Q253" s="11">
        <f t="shared" si="50"/>
        <v>6.5259892241379305</v>
      </c>
      <c r="R253" s="29">
        <f t="shared" si="51"/>
        <v>0.45540748249392399</v>
      </c>
      <c r="S253" s="91">
        <v>180.6</v>
      </c>
      <c r="T253" s="91">
        <f t="shared" si="55"/>
        <v>2587.998</v>
      </c>
      <c r="U253" s="90">
        <f t="shared" si="56"/>
        <v>1178.5936538793103</v>
      </c>
      <c r="V253" s="90">
        <f t="shared" si="57"/>
        <v>1178.5936538793103</v>
      </c>
      <c r="W253" s="90">
        <f t="shared" si="58"/>
        <v>0</v>
      </c>
      <c r="Y253" s="34">
        <f t="shared" si="52"/>
        <v>0.66612123108020305</v>
      </c>
      <c r="Z253" s="34"/>
      <c r="AA253" s="4"/>
      <c r="AB253" s="4"/>
      <c r="AE253" s="4"/>
    </row>
    <row r="254" spans="1:31" x14ac:dyDescent="0.25">
      <c r="A254" s="1" t="s">
        <v>821</v>
      </c>
      <c r="B254" s="1" t="s">
        <v>656</v>
      </c>
      <c r="C254" s="1" t="s">
        <v>822</v>
      </c>
      <c r="D254" s="1" t="s">
        <v>554</v>
      </c>
      <c r="E254" s="1">
        <f>VLOOKUP(A254,BOM!A:E,5,0)</f>
        <v>1</v>
      </c>
      <c r="F254" s="122">
        <v>5.74</v>
      </c>
      <c r="G254" s="10">
        <v>5.73</v>
      </c>
      <c r="H254" s="11" t="s">
        <v>1874</v>
      </c>
      <c r="I254" s="49">
        <f>SUMIFS(BOM!Q:Q,BOM!A:A,'All Products'!A254,BOM!I:I,'All Products'!I$3)</f>
        <v>1.913793103448276</v>
      </c>
      <c r="J254" s="49">
        <f>SUMIFS(BOM!Q:Q,BOM!A:A,'All Products'!A254,BOM!I:I,'All Products'!J$3)+0.03</f>
        <v>0.17</v>
      </c>
      <c r="K254" s="29">
        <f t="shared" si="47"/>
        <v>0.36366371787928026</v>
      </c>
      <c r="L254" s="49">
        <f>SUMIF(BOM!A:A,'All Products'!A254,BOM!S:S)</f>
        <v>1.0213362068965517</v>
      </c>
      <c r="M254" s="49">
        <f>SUMIF(BOM!A:A,'All Products'!A254,BOM!V:V)</f>
        <v>0.21720416666666661</v>
      </c>
      <c r="N254" s="29">
        <f t="shared" si="48"/>
        <v>0.21615015245431382</v>
      </c>
      <c r="O254" s="55">
        <v>0</v>
      </c>
      <c r="P254" s="49">
        <f t="shared" si="49"/>
        <v>3.3223334770114943</v>
      </c>
      <c r="Q254" s="11">
        <f t="shared" si="50"/>
        <v>2.4076665229885061</v>
      </c>
      <c r="R254" s="29">
        <f t="shared" si="51"/>
        <v>0.42018612966640595</v>
      </c>
      <c r="S254" s="91">
        <v>2</v>
      </c>
      <c r="T254" s="91">
        <f t="shared" si="55"/>
        <v>11.46</v>
      </c>
      <c r="U254" s="90">
        <f t="shared" si="56"/>
        <v>4.8153330459770123</v>
      </c>
      <c r="V254" s="90">
        <f t="shared" si="57"/>
        <v>4.8153330459770123</v>
      </c>
      <c r="W254" s="90">
        <f t="shared" si="58"/>
        <v>0</v>
      </c>
      <c r="Y254" s="34">
        <f t="shared" si="52"/>
        <v>0.66600469398808448</v>
      </c>
      <c r="Z254" s="34"/>
      <c r="AA254" s="4"/>
      <c r="AB254" s="4"/>
      <c r="AE254" s="4"/>
    </row>
    <row r="255" spans="1:31" x14ac:dyDescent="0.25">
      <c r="A255" s="1" t="s">
        <v>530</v>
      </c>
      <c r="B255" s="1" t="s">
        <v>656</v>
      </c>
      <c r="C255" s="1" t="s">
        <v>531</v>
      </c>
      <c r="D255" s="1" t="s">
        <v>554</v>
      </c>
      <c r="E255" s="1">
        <f>VLOOKUP(A255,BOM!A:E,5,0)</f>
        <v>1</v>
      </c>
      <c r="F255" s="122">
        <v>6.81</v>
      </c>
      <c r="G255" s="10">
        <v>6.84</v>
      </c>
      <c r="H255" s="11" t="s">
        <v>1874</v>
      </c>
      <c r="I255" s="49">
        <f>SUMIFS(BOM!Q:Q,BOM!A:A,'All Products'!A255,BOM!I:I,'All Products'!I$3)</f>
        <v>2.1022727272727275</v>
      </c>
      <c r="J255" s="49">
        <f>SUMIFS(BOM!Q:Q,BOM!A:A,'All Products'!A255,BOM!I:I,'All Products'!J$3)+0.03</f>
        <v>0.17</v>
      </c>
      <c r="K255" s="29">
        <f t="shared" si="47"/>
        <v>0.33220361509835195</v>
      </c>
      <c r="L255" s="49">
        <f>SUMIF(BOM!A:A,'All Products'!A255,BOM!S:S)</f>
        <v>1.9232954545454544</v>
      </c>
      <c r="M255" s="49">
        <f>SUMIF(BOM!A:A,'All Products'!A255,BOM!V:V)</f>
        <v>0.21720416666666661</v>
      </c>
      <c r="N255" s="29">
        <f t="shared" si="48"/>
        <v>0.31293854111288322</v>
      </c>
      <c r="O255" s="55">
        <v>0</v>
      </c>
      <c r="P255" s="49">
        <f t="shared" si="49"/>
        <v>4.4127723484848485</v>
      </c>
      <c r="Q255" s="11">
        <f t="shared" si="50"/>
        <v>2.4272276515151514</v>
      </c>
      <c r="R255" s="29">
        <f t="shared" si="51"/>
        <v>0.35485784378876484</v>
      </c>
      <c r="S255" s="91">
        <v>2</v>
      </c>
      <c r="T255" s="91">
        <f t="shared" si="55"/>
        <v>13.68</v>
      </c>
      <c r="U255" s="90">
        <f t="shared" si="56"/>
        <v>4.8544553030303028</v>
      </c>
      <c r="V255" s="90">
        <f t="shared" si="57"/>
        <v>4.8544553030303028</v>
      </c>
      <c r="W255" s="90">
        <f t="shared" si="58"/>
        <v>0</v>
      </c>
      <c r="Y255" s="34">
        <f t="shared" si="52"/>
        <v>0.69265018607123863</v>
      </c>
      <c r="Z255" s="34"/>
      <c r="AA255" s="4"/>
      <c r="AB255" s="4"/>
      <c r="AE255" s="4"/>
    </row>
    <row r="256" spans="1:31" x14ac:dyDescent="0.25">
      <c r="A256" s="1" t="s">
        <v>528</v>
      </c>
      <c r="B256" s="1" t="s">
        <v>656</v>
      </c>
      <c r="C256" s="1" t="s">
        <v>529</v>
      </c>
      <c r="D256" s="1" t="s">
        <v>554</v>
      </c>
      <c r="E256" s="1">
        <f>VLOOKUP(A256,BOM!A:E,5,0)</f>
        <v>2.5</v>
      </c>
      <c r="F256" s="122">
        <v>17.02</v>
      </c>
      <c r="G256" s="10">
        <v>17.09</v>
      </c>
      <c r="H256" s="11" t="s">
        <v>1874</v>
      </c>
      <c r="I256" s="49">
        <f>SUMIFS(BOM!Q:Q,BOM!A:A,'All Products'!A256,BOM!I:I,'All Products'!I$3)</f>
        <v>5.2556818181818183</v>
      </c>
      <c r="J256" s="49">
        <f>SUMIFS(BOM!Q:Q,BOM!A:A,'All Products'!A256,BOM!I:I,'All Products'!J$3)+0.03</f>
        <v>0.17</v>
      </c>
      <c r="K256" s="29">
        <f t="shared" si="47"/>
        <v>0.31747699345709879</v>
      </c>
      <c r="L256" s="49">
        <f>SUMIF(BOM!A:A,'All Products'!A256,BOM!S:S)</f>
        <v>4.8082386363636358</v>
      </c>
      <c r="M256" s="49">
        <f>SUMIF(BOM!A:A,'All Products'!A256,BOM!V:V)</f>
        <v>0.29618749999999999</v>
      </c>
      <c r="N256" s="29">
        <f t="shared" si="48"/>
        <v>0.29867911857013668</v>
      </c>
      <c r="O256" s="55">
        <v>0</v>
      </c>
      <c r="P256" s="49">
        <f t="shared" si="49"/>
        <v>10.530107954545453</v>
      </c>
      <c r="Q256" s="11">
        <f t="shared" si="50"/>
        <v>6.5598920454545464</v>
      </c>
      <c r="R256" s="29">
        <f t="shared" si="51"/>
        <v>0.38384388797276459</v>
      </c>
      <c r="S256" s="91">
        <v>29.2</v>
      </c>
      <c r="T256" s="91">
        <f t="shared" si="55"/>
        <v>499.02799999999996</v>
      </c>
      <c r="U256" s="90">
        <f t="shared" si="56"/>
        <v>191.54884772727274</v>
      </c>
      <c r="V256" s="90">
        <f t="shared" si="57"/>
        <v>191.54884772727274</v>
      </c>
      <c r="W256" s="90">
        <f t="shared" si="58"/>
        <v>0</v>
      </c>
      <c r="Y256" s="34">
        <f t="shared" si="52"/>
        <v>0.69247034416724296</v>
      </c>
      <c r="Z256" s="34"/>
      <c r="AA256" s="4"/>
      <c r="AB256" s="4"/>
      <c r="AE256" s="4"/>
    </row>
    <row r="257" spans="1:31" x14ac:dyDescent="0.25">
      <c r="A257" s="1" t="s">
        <v>245</v>
      </c>
      <c r="B257" s="1" t="s">
        <v>656</v>
      </c>
      <c r="C257" s="1" t="s">
        <v>246</v>
      </c>
      <c r="D257" s="1" t="s">
        <v>554</v>
      </c>
      <c r="E257" s="1">
        <f>VLOOKUP(A257,BOM!A:E,5,0)</f>
        <v>1</v>
      </c>
      <c r="F257" s="122">
        <v>4.78</v>
      </c>
      <c r="G257" s="10">
        <v>4.79</v>
      </c>
      <c r="H257" s="11" t="s">
        <v>1874</v>
      </c>
      <c r="I257" s="49">
        <f>SUMIFS(BOM!Q:Q,BOM!A:A,'All Products'!A257,BOM!I:I,'All Products'!I$3)</f>
        <v>1.8604815864022666</v>
      </c>
      <c r="J257" s="49">
        <f>SUMIFS(BOM!Q:Q,BOM!A:A,'All Products'!A257,BOM!I:I,'All Products'!J$3)+0.03</f>
        <v>0.17</v>
      </c>
      <c r="K257" s="29">
        <f t="shared" si="47"/>
        <v>0.42390012242218511</v>
      </c>
      <c r="L257" s="49">
        <f>SUMIF(BOM!A:A,'All Products'!A257,BOM!S:S)</f>
        <v>2.2055240793201132</v>
      </c>
      <c r="M257" s="49">
        <f>SUMIF(BOM!A:A,'All Products'!A257,BOM!V:V)</f>
        <v>0.21720416666666661</v>
      </c>
      <c r="N257" s="29">
        <f t="shared" si="48"/>
        <v>0.50578877786780363</v>
      </c>
      <c r="O257" s="55">
        <v>0</v>
      </c>
      <c r="P257" s="49">
        <f t="shared" si="49"/>
        <v>4.4532098323890459</v>
      </c>
      <c r="Q257" s="11">
        <f t="shared" si="50"/>
        <v>0.33679016761095415</v>
      </c>
      <c r="R257" s="29">
        <f t="shared" si="51"/>
        <v>7.0311099710011302E-2</v>
      </c>
      <c r="S257" s="91">
        <v>6.6</v>
      </c>
      <c r="T257" s="91">
        <f t="shared" si="55"/>
        <v>31.613999999999997</v>
      </c>
      <c r="U257" s="90">
        <f t="shared" si="56"/>
        <v>2.2228151062322974</v>
      </c>
      <c r="V257" s="90">
        <f t="shared" si="57"/>
        <v>2.2228151062322974</v>
      </c>
      <c r="W257" s="90">
        <f t="shared" si="58"/>
        <v>0</v>
      </c>
      <c r="Y257" s="34">
        <f t="shared" si="52"/>
        <v>0.61159048300578989</v>
      </c>
      <c r="Z257" s="34"/>
      <c r="AA257" s="4"/>
      <c r="AB257" s="4"/>
      <c r="AE257" s="4"/>
    </row>
    <row r="258" spans="1:31" x14ac:dyDescent="0.25">
      <c r="A258" s="1" t="s">
        <v>243</v>
      </c>
      <c r="B258" s="1" t="s">
        <v>656</v>
      </c>
      <c r="C258" s="1" t="s">
        <v>244</v>
      </c>
      <c r="D258" s="1" t="s">
        <v>554</v>
      </c>
      <c r="E258" s="1">
        <f>VLOOKUP(A258,BOM!A:E,5,0)</f>
        <v>2.5</v>
      </c>
      <c r="F258" s="122">
        <v>11.65</v>
      </c>
      <c r="G258" s="10">
        <v>11.66</v>
      </c>
      <c r="H258" s="11" t="s">
        <v>1874</v>
      </c>
      <c r="I258" s="49">
        <f>SUMIFS(BOM!Q:Q,BOM!A:A,'All Products'!A258,BOM!I:I,'All Products'!I$3)</f>
        <v>4.6512039660056654</v>
      </c>
      <c r="J258" s="49">
        <f>SUMIFS(BOM!Q:Q,BOM!A:A,'All Products'!A258,BOM!I:I,'All Products'!J$3)+0.03</f>
        <v>0.17</v>
      </c>
      <c r="K258" s="29">
        <f t="shared" si="47"/>
        <v>0.41348232984611194</v>
      </c>
      <c r="L258" s="49">
        <f>SUMIF(BOM!A:A,'All Products'!A258,BOM!S:S)</f>
        <v>5.5138101983002823</v>
      </c>
      <c r="M258" s="49">
        <f>SUMIF(BOM!A:A,'All Products'!A258,BOM!V:V)</f>
        <v>0.29618749999999999</v>
      </c>
      <c r="N258" s="29">
        <f t="shared" si="48"/>
        <v>0.49828453673244277</v>
      </c>
      <c r="O258" s="55">
        <v>0</v>
      </c>
      <c r="P258" s="49">
        <f t="shared" si="49"/>
        <v>10.631201664305948</v>
      </c>
      <c r="Q258" s="11">
        <f t="shared" si="50"/>
        <v>1.0287983356940522</v>
      </c>
      <c r="R258" s="29">
        <f t="shared" si="51"/>
        <v>8.8233133421445301E-2</v>
      </c>
      <c r="S258" s="91">
        <v>333.8</v>
      </c>
      <c r="T258" s="91">
        <f t="shared" si="55"/>
        <v>3892.1080000000002</v>
      </c>
      <c r="U258" s="90">
        <f t="shared" si="56"/>
        <v>343.41288445467467</v>
      </c>
      <c r="V258" s="90">
        <f t="shared" si="57"/>
        <v>343.41288445467467</v>
      </c>
      <c r="W258" s="90">
        <f t="shared" si="58"/>
        <v>0</v>
      </c>
      <c r="Y258" s="34">
        <f t="shared" si="52"/>
        <v>0.60109743001666682</v>
      </c>
      <c r="Z258" s="34"/>
      <c r="AA258" s="4"/>
      <c r="AB258" s="4"/>
      <c r="AE258" s="4"/>
    </row>
    <row r="259" spans="1:31" x14ac:dyDescent="0.25">
      <c r="A259" s="1" t="s">
        <v>823</v>
      </c>
      <c r="B259" s="1" t="s">
        <v>656</v>
      </c>
      <c r="C259" s="1" t="s">
        <v>824</v>
      </c>
      <c r="D259" s="1" t="s">
        <v>554</v>
      </c>
      <c r="E259" s="1">
        <f>VLOOKUP(A259,BOM!A:E,5,0)</f>
        <v>1</v>
      </c>
      <c r="F259" s="122">
        <v>3.56</v>
      </c>
      <c r="G259" s="10">
        <v>3.56</v>
      </c>
      <c r="H259" s="11" t="s">
        <v>1874</v>
      </c>
      <c r="I259" s="49">
        <f>SUMIFS(BOM!Q:Q,BOM!A:A,'All Products'!A259,BOM!I:I,'All Products'!I$3)</f>
        <v>1.85</v>
      </c>
      <c r="J259" s="49">
        <f>SUMIFS(BOM!Q:Q,BOM!A:A,'All Products'!A259,BOM!I:I,'All Products'!J$3)+0.03</f>
        <v>0.17</v>
      </c>
      <c r="K259" s="29">
        <f t="shared" si="47"/>
        <v>0.56741573033707859</v>
      </c>
      <c r="L259" s="49">
        <f>SUMIF(BOM!A:A,'All Products'!A259,BOM!S:S)</f>
        <v>5.0774999999999994E-2</v>
      </c>
      <c r="M259" s="49">
        <f>SUMIF(BOM!A:A,'All Products'!A259,BOM!V:V)</f>
        <v>0.21720416666666661</v>
      </c>
      <c r="N259" s="29">
        <f t="shared" si="48"/>
        <v>7.5275046816479382E-2</v>
      </c>
      <c r="O259" s="55">
        <v>0</v>
      </c>
      <c r="P259" s="49">
        <f t="shared" si="49"/>
        <v>2.2879791666666662</v>
      </c>
      <c r="Q259" s="11">
        <f t="shared" si="50"/>
        <v>1.2720208333333338</v>
      </c>
      <c r="R259" s="29">
        <f t="shared" si="51"/>
        <v>0.35730922284644206</v>
      </c>
      <c r="S259" s="91">
        <v>1.2</v>
      </c>
      <c r="T259" s="91">
        <f t="shared" si="55"/>
        <v>4.2720000000000002</v>
      </c>
      <c r="U259" s="90">
        <f t="shared" si="56"/>
        <v>1.5264250000000006</v>
      </c>
      <c r="V259" s="90">
        <f t="shared" si="57"/>
        <v>1.5264250000000006</v>
      </c>
      <c r="W259" s="90">
        <f t="shared" si="58"/>
        <v>0</v>
      </c>
      <c r="Y259" s="34">
        <f t="shared" si="52"/>
        <v>0.4803370786516854</v>
      </c>
      <c r="Z259" s="34"/>
      <c r="AA259" s="4"/>
      <c r="AB259" s="4"/>
      <c r="AE259" s="4"/>
    </row>
    <row r="260" spans="1:31" x14ac:dyDescent="0.25">
      <c r="A260" s="1" t="s">
        <v>242</v>
      </c>
      <c r="B260" s="1" t="s">
        <v>656</v>
      </c>
      <c r="C260" s="1" t="s">
        <v>825</v>
      </c>
      <c r="D260" s="1" t="s">
        <v>554</v>
      </c>
      <c r="E260" s="1">
        <f>VLOOKUP(A260,BOM!A:E,5,0)</f>
        <v>2.5</v>
      </c>
      <c r="F260" s="122">
        <v>8.9</v>
      </c>
      <c r="G260" s="10">
        <v>8.7100000000000009</v>
      </c>
      <c r="H260" s="11" t="s">
        <v>1874</v>
      </c>
      <c r="I260" s="49">
        <f>SUMIFS(BOM!Q:Q,BOM!A:A,'All Products'!A260,BOM!I:I,'All Products'!I$3)</f>
        <v>4.625</v>
      </c>
      <c r="J260" s="49">
        <f>SUMIFS(BOM!Q:Q,BOM!A:A,'All Products'!A260,BOM!I:I,'All Products'!J$3)+0.03</f>
        <v>0.17</v>
      </c>
      <c r="K260" s="29">
        <f t="shared" ref="K260:K323" si="59">(I260+J260)/G260</f>
        <v>0.55051664753157281</v>
      </c>
      <c r="L260" s="49">
        <f>SUMIF(BOM!A:A,'All Products'!A260,BOM!S:S)</f>
        <v>0.12693749999999998</v>
      </c>
      <c r="M260" s="49">
        <f>SUMIF(BOM!A:A,'All Products'!A260,BOM!V:V)</f>
        <v>0.29618749999999999</v>
      </c>
      <c r="N260" s="29">
        <f t="shared" ref="N260:N323" si="60">(L260+M260)/G260</f>
        <v>4.8579219288174505E-2</v>
      </c>
      <c r="O260" s="55">
        <v>0</v>
      </c>
      <c r="P260" s="49">
        <f t="shared" ref="P260:P323" si="61">I260+J260+M260+L260+O260</f>
        <v>5.2181250000000006</v>
      </c>
      <c r="Q260" s="11">
        <f t="shared" ref="Q260:Q323" si="62">G260-P260</f>
        <v>3.4918750000000003</v>
      </c>
      <c r="R260" s="29">
        <f t="shared" ref="R260:R323" si="63">IFERROR((G260-P260)/G260,0)</f>
        <v>0.40090413318025259</v>
      </c>
      <c r="S260" s="91">
        <v>575.79999999999995</v>
      </c>
      <c r="T260" s="91">
        <f t="shared" si="55"/>
        <v>5015.2179999999998</v>
      </c>
      <c r="U260" s="90">
        <f t="shared" si="56"/>
        <v>2010.621625</v>
      </c>
      <c r="V260" s="90">
        <f t="shared" si="57"/>
        <v>2010.621625</v>
      </c>
      <c r="W260" s="90">
        <f t="shared" si="58"/>
        <v>0</v>
      </c>
      <c r="Y260" s="34">
        <f t="shared" ref="Y260:Y323" si="64">(G260-I260)/G260</f>
        <v>0.46900114810562576</v>
      </c>
      <c r="Z260" s="34"/>
      <c r="AA260" s="4"/>
      <c r="AB260" s="4"/>
      <c r="AE260" s="4"/>
    </row>
    <row r="261" spans="1:31" x14ac:dyDescent="0.25">
      <c r="A261" s="1" t="s">
        <v>240</v>
      </c>
      <c r="B261" s="1" t="s">
        <v>656</v>
      </c>
      <c r="C261" s="1" t="s">
        <v>241</v>
      </c>
      <c r="D261" s="1" t="s">
        <v>554</v>
      </c>
      <c r="E261" s="1">
        <f>VLOOKUP(A261,BOM!A:E,5,0)</f>
        <v>1</v>
      </c>
      <c r="F261" s="122">
        <v>7.93</v>
      </c>
      <c r="G261" s="10">
        <v>8.07</v>
      </c>
      <c r="H261" s="11" t="s">
        <v>1874</v>
      </c>
      <c r="I261" s="49">
        <f>SUMIFS(BOM!Q:Q,BOM!A:A,'All Products'!A261,BOM!I:I,'All Products'!I$3)</f>
        <v>2.0228136882129277</v>
      </c>
      <c r="J261" s="49">
        <f>SUMIFS(BOM!Q:Q,BOM!A:A,'All Products'!A261,BOM!I:I,'All Products'!J$3)+0.03</f>
        <v>0.17</v>
      </c>
      <c r="K261" s="29">
        <f t="shared" si="59"/>
        <v>0.27172412493344827</v>
      </c>
      <c r="L261" s="49">
        <f>SUMIF(BOM!A:A,'All Products'!A261,BOM!S:S)</f>
        <v>1.8662547528517111</v>
      </c>
      <c r="M261" s="49">
        <f>SUMIF(BOM!A:A,'All Products'!A261,BOM!V:V)</f>
        <v>0.21720416666666661</v>
      </c>
      <c r="N261" s="29">
        <f t="shared" si="60"/>
        <v>0.2581733481435412</v>
      </c>
      <c r="O261" s="55">
        <v>0</v>
      </c>
      <c r="P261" s="49">
        <f t="shared" si="61"/>
        <v>4.2762726077313049</v>
      </c>
      <c r="Q261" s="11">
        <f t="shared" si="62"/>
        <v>3.7937273922686954</v>
      </c>
      <c r="R261" s="29">
        <f t="shared" si="63"/>
        <v>0.47010252692301058</v>
      </c>
      <c r="S261" s="91">
        <v>2.6</v>
      </c>
      <c r="T261" s="91">
        <f t="shared" si="55"/>
        <v>20.982000000000003</v>
      </c>
      <c r="U261" s="90">
        <f t="shared" si="56"/>
        <v>9.8636912198986089</v>
      </c>
      <c r="V261" s="90">
        <f t="shared" si="57"/>
        <v>9.8636912198986089</v>
      </c>
      <c r="W261" s="90">
        <f t="shared" si="58"/>
        <v>0</v>
      </c>
      <c r="Y261" s="34">
        <f t="shared" si="64"/>
        <v>0.74934155040731998</v>
      </c>
      <c r="Z261" s="34"/>
      <c r="AA261" s="4"/>
      <c r="AB261" s="4"/>
      <c r="AE261" s="4"/>
    </row>
    <row r="262" spans="1:31" x14ac:dyDescent="0.25">
      <c r="A262" s="1" t="s">
        <v>238</v>
      </c>
      <c r="B262" s="1" t="s">
        <v>656</v>
      </c>
      <c r="C262" s="1" t="s">
        <v>239</v>
      </c>
      <c r="D262" s="1" t="s">
        <v>554</v>
      </c>
      <c r="E262" s="1">
        <f>VLOOKUP(A262,BOM!A:E,5,0)</f>
        <v>2.5</v>
      </c>
      <c r="F262" s="122">
        <v>19.809999999999999</v>
      </c>
      <c r="G262" s="10">
        <v>19.98</v>
      </c>
      <c r="H262" s="11" t="s">
        <v>1874</v>
      </c>
      <c r="I262" s="49">
        <f>SUMIFS(BOM!Q:Q,BOM!A:A,'All Products'!A262,BOM!I:I,'All Products'!I$3)</f>
        <v>5.0570342205323202</v>
      </c>
      <c r="J262" s="49">
        <f>SUMIFS(BOM!Q:Q,BOM!A:A,'All Products'!A262,BOM!I:I,'All Products'!J$3)+0.03</f>
        <v>0.17</v>
      </c>
      <c r="K262" s="29">
        <f t="shared" si="59"/>
        <v>0.26161332435096696</v>
      </c>
      <c r="L262" s="49">
        <f>SUMIF(BOM!A:A,'All Products'!A262,BOM!S:S)</f>
        <v>4.6656368821292773</v>
      </c>
      <c r="M262" s="49">
        <f>SUMIF(BOM!A:A,'All Products'!A262,BOM!V:V)</f>
        <v>0.29618749999999999</v>
      </c>
      <c r="N262" s="29">
        <f t="shared" si="60"/>
        <v>0.248339558665129</v>
      </c>
      <c r="O262" s="55">
        <v>0</v>
      </c>
      <c r="P262" s="49">
        <f t="shared" si="61"/>
        <v>10.188858602661597</v>
      </c>
      <c r="Q262" s="11">
        <f t="shared" si="62"/>
        <v>9.7911413973384036</v>
      </c>
      <c r="R262" s="29">
        <f t="shared" si="63"/>
        <v>0.49004711698390407</v>
      </c>
      <c r="S262" s="91">
        <v>229.6</v>
      </c>
      <c r="T262" s="91">
        <f t="shared" si="55"/>
        <v>4587.4080000000004</v>
      </c>
      <c r="U262" s="90">
        <f t="shared" si="56"/>
        <v>2248.0460648288972</v>
      </c>
      <c r="V262" s="90">
        <f t="shared" si="57"/>
        <v>2248.0460648288972</v>
      </c>
      <c r="W262" s="90">
        <f t="shared" si="58"/>
        <v>0</v>
      </c>
      <c r="Y262" s="34">
        <f t="shared" si="64"/>
        <v>0.74689518415754164</v>
      </c>
      <c r="Z262" s="34"/>
      <c r="AA262" s="4"/>
      <c r="AB262" s="4"/>
      <c r="AE262" s="4"/>
    </row>
    <row r="263" spans="1:31" x14ac:dyDescent="0.25">
      <c r="A263" s="1" t="s">
        <v>409</v>
      </c>
      <c r="B263" s="1" t="s">
        <v>656</v>
      </c>
      <c r="C263" s="1" t="s">
        <v>410</v>
      </c>
      <c r="D263" s="1" t="s">
        <v>554</v>
      </c>
      <c r="E263" s="1">
        <f>VLOOKUP(A263,BOM!A:E,5,0)</f>
        <v>1</v>
      </c>
      <c r="F263" s="122">
        <v>6.18</v>
      </c>
      <c r="G263" s="10">
        <v>6.27</v>
      </c>
      <c r="H263" s="11" t="s">
        <v>1874</v>
      </c>
      <c r="I263" s="49">
        <f>SUMIFS(BOM!Q:Q,BOM!A:A,'All Products'!A263,BOM!I:I,'All Products'!I$3)</f>
        <v>2.2222222222222223</v>
      </c>
      <c r="J263" s="49">
        <f>SUMIFS(BOM!Q:Q,BOM!A:A,'All Products'!A263,BOM!I:I,'All Products'!J$3)+0.03</f>
        <v>0.17</v>
      </c>
      <c r="K263" s="29">
        <f t="shared" si="59"/>
        <v>0.38153464469253945</v>
      </c>
      <c r="L263" s="49">
        <f>SUMIF(BOM!A:A,'All Products'!A263,BOM!S:S)</f>
        <v>1.2537037037037035</v>
      </c>
      <c r="M263" s="49">
        <f>SUMIF(BOM!A:A,'All Products'!A263,BOM!V:V)</f>
        <v>0.21720416666666661</v>
      </c>
      <c r="N263" s="29">
        <f t="shared" si="60"/>
        <v>0.23459455667789</v>
      </c>
      <c r="O263" s="55">
        <v>0</v>
      </c>
      <c r="P263" s="49">
        <f t="shared" si="61"/>
        <v>3.8631300925925922</v>
      </c>
      <c r="Q263" s="11">
        <f t="shared" si="62"/>
        <v>2.4068699074074074</v>
      </c>
      <c r="R263" s="29">
        <f t="shared" si="63"/>
        <v>0.38387079862957058</v>
      </c>
      <c r="S263" s="91">
        <v>5.8</v>
      </c>
      <c r="T263" s="91">
        <f t="shared" si="55"/>
        <v>36.366</v>
      </c>
      <c r="U263" s="90">
        <f t="shared" si="56"/>
        <v>13.959845462962962</v>
      </c>
      <c r="V263" s="90">
        <f t="shared" si="57"/>
        <v>13.959845462962962</v>
      </c>
      <c r="W263" s="90">
        <f t="shared" si="58"/>
        <v>0</v>
      </c>
      <c r="Y263" s="34">
        <f t="shared" si="64"/>
        <v>0.64557859294701392</v>
      </c>
      <c r="Z263" s="34"/>
      <c r="AA263" s="4"/>
      <c r="AB263" s="4"/>
      <c r="AE263" s="4"/>
    </row>
    <row r="264" spans="1:31" x14ac:dyDescent="0.25">
      <c r="A264" s="1" t="s">
        <v>505</v>
      </c>
      <c r="B264" s="1" t="s">
        <v>656</v>
      </c>
      <c r="C264" s="1" t="s">
        <v>506</v>
      </c>
      <c r="D264" s="1" t="s">
        <v>554</v>
      </c>
      <c r="E264" s="1">
        <f>VLOOKUP(A264,BOM!A:E,5,0)</f>
        <v>2.5</v>
      </c>
      <c r="F264" s="122">
        <v>15.46</v>
      </c>
      <c r="G264" s="10">
        <v>15.68</v>
      </c>
      <c r="H264" s="11" t="s">
        <v>1874</v>
      </c>
      <c r="I264" s="49">
        <f>SUMIFS(BOM!Q:Q,BOM!A:A,'All Products'!A264,BOM!I:I,'All Products'!I$3)</f>
        <v>5.5555555555555554</v>
      </c>
      <c r="J264" s="49">
        <f>SUMIFS(BOM!Q:Q,BOM!A:A,'All Products'!A264,BOM!I:I,'All Products'!J$3)+0.03</f>
        <v>0.17</v>
      </c>
      <c r="K264" s="29">
        <f t="shared" si="59"/>
        <v>0.36515022675736958</v>
      </c>
      <c r="L264" s="49">
        <f>SUMIF(BOM!A:A,'All Products'!A264,BOM!S:S)</f>
        <v>3.1342592592592591</v>
      </c>
      <c r="M264" s="49">
        <f>SUMIF(BOM!A:A,'All Products'!A264,BOM!V:V)</f>
        <v>0.29618749999999999</v>
      </c>
      <c r="N264" s="29">
        <f t="shared" si="60"/>
        <v>0.21877849229969765</v>
      </c>
      <c r="O264" s="55">
        <v>0</v>
      </c>
      <c r="P264" s="49">
        <f t="shared" si="61"/>
        <v>9.1560023148148151</v>
      </c>
      <c r="Q264" s="11">
        <f t="shared" si="62"/>
        <v>6.5239976851851846</v>
      </c>
      <c r="R264" s="29">
        <f t="shared" si="63"/>
        <v>0.41607128094293272</v>
      </c>
      <c r="S264" s="91">
        <v>19.8</v>
      </c>
      <c r="T264" s="91">
        <f t="shared" si="55"/>
        <v>310.464</v>
      </c>
      <c r="U264" s="90">
        <f t="shared" si="56"/>
        <v>129.17515416666666</v>
      </c>
      <c r="V264" s="90">
        <f t="shared" si="57"/>
        <v>129.17515416666666</v>
      </c>
      <c r="W264" s="90">
        <f t="shared" si="58"/>
        <v>0</v>
      </c>
      <c r="Y264" s="34">
        <f t="shared" si="64"/>
        <v>0.64569160997732422</v>
      </c>
      <c r="Z264" s="34"/>
      <c r="AA264" s="4"/>
      <c r="AB264" s="4"/>
      <c r="AE264" s="4"/>
    </row>
    <row r="265" spans="1:31" x14ac:dyDescent="0.25">
      <c r="A265" s="1" t="s">
        <v>526</v>
      </c>
      <c r="B265" s="1" t="s">
        <v>656</v>
      </c>
      <c r="C265" s="1" t="s">
        <v>527</v>
      </c>
      <c r="D265" s="1" t="s">
        <v>554</v>
      </c>
      <c r="E265" s="1">
        <f>VLOOKUP(A265,BOM!A:E,5,0)</f>
        <v>1</v>
      </c>
      <c r="F265" s="122">
        <v>14.51</v>
      </c>
      <c r="G265" s="10">
        <v>14.83</v>
      </c>
      <c r="H265" s="11" t="s">
        <v>1874</v>
      </c>
      <c r="I265" s="49">
        <f>SUMIFS(BOM!Q:Q,BOM!A:A,'All Products'!A265,BOM!I:I,'All Products'!I$3)</f>
        <v>7.0663733255109022</v>
      </c>
      <c r="J265" s="49">
        <f>SUMIFS(BOM!Q:Q,BOM!A:A,'All Products'!A265,BOM!I:I,'All Products'!J$3)+0.03</f>
        <v>0.17</v>
      </c>
      <c r="K265" s="29">
        <f t="shared" si="59"/>
        <v>0.48795504555029684</v>
      </c>
      <c r="L265" s="49">
        <f>SUMIF(BOM!A:A,'All Products'!A265,BOM!S:S)</f>
        <v>2.6559310787970216</v>
      </c>
      <c r="M265" s="49">
        <f>SUMIF(BOM!A:A,'All Products'!A265,BOM!V:V)</f>
        <v>0.21720416666666661</v>
      </c>
      <c r="N265" s="29">
        <f t="shared" si="60"/>
        <v>0.19373804757003965</v>
      </c>
      <c r="O265" s="55">
        <v>0</v>
      </c>
      <c r="P265" s="49">
        <f t="shared" si="61"/>
        <v>10.10950857097459</v>
      </c>
      <c r="Q265" s="11">
        <f t="shared" si="62"/>
        <v>4.7204914290254099</v>
      </c>
      <c r="R265" s="29">
        <f t="shared" si="63"/>
        <v>0.31830690687966351</v>
      </c>
      <c r="S265" s="91">
        <v>0.6</v>
      </c>
      <c r="T265" s="91">
        <f t="shared" si="55"/>
        <v>8.8979999999999997</v>
      </c>
      <c r="U265" s="90">
        <f t="shared" si="56"/>
        <v>2.832294857415246</v>
      </c>
      <c r="V265" s="90">
        <f t="shared" si="57"/>
        <v>2.832294857415246</v>
      </c>
      <c r="W265" s="90">
        <f t="shared" si="58"/>
        <v>0</v>
      </c>
      <c r="Y265" s="34">
        <f t="shared" si="64"/>
        <v>0.5235082046182804</v>
      </c>
      <c r="Z265" s="34"/>
      <c r="AA265" s="4"/>
      <c r="AB265" s="4"/>
      <c r="AE265" s="4"/>
    </row>
    <row r="266" spans="1:31" x14ac:dyDescent="0.25">
      <c r="A266" s="1" t="s">
        <v>236</v>
      </c>
      <c r="B266" s="1" t="s">
        <v>656</v>
      </c>
      <c r="C266" s="1" t="s">
        <v>237</v>
      </c>
      <c r="D266" s="1" t="s">
        <v>554</v>
      </c>
      <c r="E266" s="1">
        <f>VLOOKUP(A266,BOM!A:E,5,0)</f>
        <v>2.5</v>
      </c>
      <c r="F266" s="122">
        <v>36.29</v>
      </c>
      <c r="G266" s="10">
        <v>37.08</v>
      </c>
      <c r="H266" s="11" t="s">
        <v>1874</v>
      </c>
      <c r="I266" s="49">
        <f>SUMIFS(BOM!Q:Q,BOM!A:A,'All Products'!A266,BOM!I:I,'All Products'!I$3)</f>
        <v>17.665933313777256</v>
      </c>
      <c r="J266" s="49">
        <f>SUMIFS(BOM!Q:Q,BOM!A:A,'All Products'!A266,BOM!I:I,'All Products'!J$3)+0.03</f>
        <v>0.17</v>
      </c>
      <c r="K266" s="29">
        <f t="shared" si="59"/>
        <v>0.4810122252906488</v>
      </c>
      <c r="L266" s="49">
        <f>SUMIF(BOM!A:A,'All Products'!A266,BOM!S:S)</f>
        <v>6.6398276969925538</v>
      </c>
      <c r="M266" s="49">
        <f>SUMIF(BOM!A:A,'All Products'!A266,BOM!V:V)</f>
        <v>0.29618749999999999</v>
      </c>
      <c r="N266" s="29">
        <f t="shared" si="60"/>
        <v>0.18705542602461042</v>
      </c>
      <c r="O266" s="55">
        <v>0</v>
      </c>
      <c r="P266" s="49">
        <f t="shared" si="61"/>
        <v>24.771948510769811</v>
      </c>
      <c r="Q266" s="11">
        <f t="shared" si="62"/>
        <v>12.308051489230188</v>
      </c>
      <c r="R266" s="29">
        <f t="shared" si="63"/>
        <v>0.33193234868474081</v>
      </c>
      <c r="S266" s="91">
        <v>70.400000000000006</v>
      </c>
      <c r="T266" s="91">
        <f t="shared" si="55"/>
        <v>2610.4320000000002</v>
      </c>
      <c r="U266" s="90">
        <f t="shared" si="56"/>
        <v>866.48682484180529</v>
      </c>
      <c r="V266" s="90">
        <f t="shared" si="57"/>
        <v>866.48682484180529</v>
      </c>
      <c r="W266" s="90">
        <f t="shared" si="58"/>
        <v>0</v>
      </c>
      <c r="Y266" s="34">
        <f t="shared" si="64"/>
        <v>0.52357245647849904</v>
      </c>
      <c r="Z266" s="34"/>
      <c r="AA266" s="4"/>
      <c r="AB266" s="4"/>
      <c r="AE266" s="4"/>
    </row>
    <row r="267" spans="1:31" x14ac:dyDescent="0.25">
      <c r="A267" s="1" t="s">
        <v>826</v>
      </c>
      <c r="B267" s="1" t="s">
        <v>656</v>
      </c>
      <c r="C267" s="1" t="s">
        <v>827</v>
      </c>
      <c r="D267" s="1" t="s">
        <v>554</v>
      </c>
      <c r="E267" s="1">
        <f>VLOOKUP(A267,BOM!A:E,5,0)</f>
        <v>1</v>
      </c>
      <c r="F267" s="122">
        <v>13.05</v>
      </c>
      <c r="G267" s="10">
        <v>13.27</v>
      </c>
      <c r="H267" s="11" t="s">
        <v>1874</v>
      </c>
      <c r="I267" s="49">
        <f>SUMIFS(BOM!Q:Q,BOM!A:A,'All Products'!A267,BOM!I:I,'All Products'!I$3)</f>
        <v>6.7451745379876789</v>
      </c>
      <c r="J267" s="49">
        <f>SUMIFS(BOM!Q:Q,BOM!A:A,'All Products'!A267,BOM!I:I,'All Products'!J$3)+0.03</f>
        <v>0.17</v>
      </c>
      <c r="K267" s="29">
        <f t="shared" si="59"/>
        <v>0.52111337889884546</v>
      </c>
      <c r="L267" s="49">
        <f>SUMIF(BOM!A:A,'All Products'!A267,BOM!S:S)</f>
        <v>1.2163757700205338</v>
      </c>
      <c r="M267" s="49">
        <f>SUMIF(BOM!A:A,'All Products'!A267,BOM!V:V)</f>
        <v>0.21720416666666661</v>
      </c>
      <c r="N267" s="29">
        <f t="shared" si="60"/>
        <v>0.10803164556798797</v>
      </c>
      <c r="O267" s="55">
        <v>0</v>
      </c>
      <c r="P267" s="49">
        <f t="shared" si="61"/>
        <v>8.3487544746748803</v>
      </c>
      <c r="Q267" s="11">
        <f t="shared" si="62"/>
        <v>4.9212455253251193</v>
      </c>
      <c r="R267" s="29">
        <f t="shared" si="63"/>
        <v>0.37085497553316649</v>
      </c>
      <c r="S267" s="91">
        <v>0</v>
      </c>
      <c r="T267" s="91">
        <f t="shared" si="55"/>
        <v>0</v>
      </c>
      <c r="U267" s="90">
        <f t="shared" si="56"/>
        <v>0</v>
      </c>
      <c r="V267" s="90">
        <f t="shared" si="57"/>
        <v>0</v>
      </c>
      <c r="W267" s="90">
        <f t="shared" si="58"/>
        <v>0</v>
      </c>
      <c r="Y267" s="34">
        <f t="shared" si="64"/>
        <v>0.49169747264599256</v>
      </c>
      <c r="Z267" s="34"/>
      <c r="AA267" s="4"/>
      <c r="AB267" s="4"/>
      <c r="AE267" s="4"/>
    </row>
    <row r="268" spans="1:31" x14ac:dyDescent="0.25">
      <c r="A268" s="1" t="s">
        <v>235</v>
      </c>
      <c r="B268" s="1" t="s">
        <v>656</v>
      </c>
      <c r="C268" s="1" t="s">
        <v>828</v>
      </c>
      <c r="D268" s="1" t="s">
        <v>554</v>
      </c>
      <c r="E268" s="1">
        <f>VLOOKUP(A268,BOM!A:E,5,0)</f>
        <v>2.5</v>
      </c>
      <c r="F268" s="122">
        <v>32.64</v>
      </c>
      <c r="G268" s="10">
        <v>33.01</v>
      </c>
      <c r="H268" s="11" t="s">
        <v>1874</v>
      </c>
      <c r="I268" s="49">
        <f>SUMIFS(BOM!Q:Q,BOM!A:A,'All Products'!A268,BOM!I:I,'All Products'!I$3)</f>
        <v>16.862936344969199</v>
      </c>
      <c r="J268" s="49">
        <f>SUMIFS(BOM!Q:Q,BOM!A:A,'All Products'!A268,BOM!I:I,'All Products'!J$3)+0.03</f>
        <v>0.17</v>
      </c>
      <c r="K268" s="29">
        <f t="shared" si="59"/>
        <v>0.51599322462796737</v>
      </c>
      <c r="L268" s="49">
        <f>SUMIF(BOM!A:A,'All Products'!A268,BOM!S:S)</f>
        <v>3.0409394250513344</v>
      </c>
      <c r="M268" s="49">
        <f>SUMIF(BOM!A:A,'All Products'!A268,BOM!V:V)</f>
        <v>0.29618749999999999</v>
      </c>
      <c r="N268" s="29">
        <f t="shared" si="60"/>
        <v>0.10109442366105224</v>
      </c>
      <c r="O268" s="55">
        <v>0</v>
      </c>
      <c r="P268" s="49">
        <f t="shared" si="61"/>
        <v>20.370063270020534</v>
      </c>
      <c r="Q268" s="11">
        <f t="shared" si="62"/>
        <v>12.639936729979464</v>
      </c>
      <c r="R268" s="29">
        <f t="shared" si="63"/>
        <v>0.38291235171098048</v>
      </c>
      <c r="S268" s="91">
        <v>71.8</v>
      </c>
      <c r="T268" s="91">
        <f t="shared" si="55"/>
        <v>2370.1179999999999</v>
      </c>
      <c r="U268" s="90">
        <f t="shared" si="56"/>
        <v>907.5474572125255</v>
      </c>
      <c r="V268" s="90">
        <f t="shared" si="57"/>
        <v>907.5474572125255</v>
      </c>
      <c r="W268" s="90">
        <f t="shared" si="58"/>
        <v>0</v>
      </c>
      <c r="Y268" s="34">
        <f t="shared" si="64"/>
        <v>0.48915672993125719</v>
      </c>
      <c r="Z268" s="34"/>
      <c r="AA268" s="4"/>
      <c r="AB268" s="4"/>
      <c r="AE268" s="4"/>
    </row>
    <row r="269" spans="1:31" x14ac:dyDescent="0.25">
      <c r="A269" s="1" t="s">
        <v>829</v>
      </c>
      <c r="B269" s="1" t="s">
        <v>656</v>
      </c>
      <c r="C269" s="1" t="s">
        <v>830</v>
      </c>
      <c r="D269" s="1" t="s">
        <v>554</v>
      </c>
      <c r="E269" s="1">
        <f>VLOOKUP(A269,BOM!A:E,5,0)</f>
        <v>1</v>
      </c>
      <c r="F269" s="122">
        <v>13.05</v>
      </c>
      <c r="G269" s="10">
        <v>13.27</v>
      </c>
      <c r="H269" s="11" t="s">
        <v>1874</v>
      </c>
      <c r="I269" s="49">
        <f>SUMIFS(BOM!Q:Q,BOM!A:A,'All Products'!A269,BOM!I:I,'All Products'!I$3)</f>
        <v>6.7451745379876789</v>
      </c>
      <c r="J269" s="49">
        <f>SUMIFS(BOM!Q:Q,BOM!A:A,'All Products'!A269,BOM!I:I,'All Products'!J$3)+0.03</f>
        <v>0.17</v>
      </c>
      <c r="K269" s="29">
        <f t="shared" si="59"/>
        <v>0.52111337889884546</v>
      </c>
      <c r="L269" s="49">
        <f>SUMIF(BOM!A:A,'All Products'!A269,BOM!S:S)</f>
        <v>1.2163757700205338</v>
      </c>
      <c r="M269" s="49">
        <f>SUMIF(BOM!A:A,'All Products'!A269,BOM!V:V)</f>
        <v>0.21720416666666661</v>
      </c>
      <c r="N269" s="29">
        <f t="shared" si="60"/>
        <v>0.10803164556798797</v>
      </c>
      <c r="O269" s="55">
        <v>0</v>
      </c>
      <c r="P269" s="49">
        <f t="shared" si="61"/>
        <v>8.3487544746748803</v>
      </c>
      <c r="Q269" s="11">
        <f t="shared" si="62"/>
        <v>4.9212455253251193</v>
      </c>
      <c r="R269" s="29">
        <f t="shared" si="63"/>
        <v>0.37085497553316649</v>
      </c>
      <c r="S269" s="91">
        <v>3.4</v>
      </c>
      <c r="T269" s="91">
        <f t="shared" si="55"/>
        <v>45.117999999999995</v>
      </c>
      <c r="U269" s="90">
        <f t="shared" si="56"/>
        <v>16.732234786105405</v>
      </c>
      <c r="V269" s="90">
        <f t="shared" si="57"/>
        <v>16.732234786105405</v>
      </c>
      <c r="W269" s="90">
        <f t="shared" si="58"/>
        <v>0</v>
      </c>
      <c r="Y269" s="34">
        <f t="shared" si="64"/>
        <v>0.49169747264599256</v>
      </c>
      <c r="Z269" s="34"/>
      <c r="AA269" s="4"/>
      <c r="AB269" s="4"/>
      <c r="AE269" s="4"/>
    </row>
    <row r="270" spans="1:31" x14ac:dyDescent="0.25">
      <c r="A270" s="1" t="s">
        <v>831</v>
      </c>
      <c r="B270" s="1" t="s">
        <v>656</v>
      </c>
      <c r="C270" s="1" t="s">
        <v>832</v>
      </c>
      <c r="D270" s="1" t="s">
        <v>554</v>
      </c>
      <c r="E270" s="1">
        <f>VLOOKUP(A270,BOM!A:E,5,0)</f>
        <v>2.5</v>
      </c>
      <c r="F270" s="122">
        <v>32.64</v>
      </c>
      <c r="G270" s="10">
        <v>33.17</v>
      </c>
      <c r="H270" s="11" t="s">
        <v>1874</v>
      </c>
      <c r="I270" s="49">
        <f>SUMIFS(BOM!Q:Q,BOM!A:A,'All Products'!A270,BOM!I:I,'All Products'!I$3)</f>
        <v>16.862936344969199</v>
      </c>
      <c r="J270" s="49">
        <f>SUMIFS(BOM!Q:Q,BOM!A:A,'All Products'!A270,BOM!I:I,'All Products'!J$3)+0.03</f>
        <v>0.17</v>
      </c>
      <c r="K270" s="29">
        <f t="shared" si="59"/>
        <v>0.51350426122909854</v>
      </c>
      <c r="L270" s="49">
        <f>SUMIF(BOM!A:A,'All Products'!A270,BOM!S:S)</f>
        <v>3.0409394250513344</v>
      </c>
      <c r="M270" s="49">
        <f>SUMIF(BOM!A:A,'All Products'!A270,BOM!V:V)</f>
        <v>0.29618749999999999</v>
      </c>
      <c r="N270" s="29">
        <f t="shared" si="60"/>
        <v>0.10060678097833385</v>
      </c>
      <c r="O270" s="55">
        <v>0</v>
      </c>
      <c r="P270" s="49">
        <f t="shared" si="61"/>
        <v>20.370063270020534</v>
      </c>
      <c r="Q270" s="11">
        <f t="shared" si="62"/>
        <v>12.799936729979468</v>
      </c>
      <c r="R270" s="29">
        <f t="shared" si="63"/>
        <v>0.3858889577925676</v>
      </c>
      <c r="S270" s="91">
        <v>0</v>
      </c>
      <c r="T270" s="91">
        <f t="shared" si="55"/>
        <v>0</v>
      </c>
      <c r="U270" s="90">
        <f t="shared" si="56"/>
        <v>0</v>
      </c>
      <c r="V270" s="90">
        <f t="shared" si="57"/>
        <v>0</v>
      </c>
      <c r="W270" s="90">
        <f t="shared" si="58"/>
        <v>0</v>
      </c>
      <c r="Y270" s="34">
        <f t="shared" si="64"/>
        <v>0.49162085182486587</v>
      </c>
      <c r="Z270" s="34"/>
      <c r="AA270" s="4"/>
      <c r="AB270" s="4"/>
      <c r="AE270" s="4"/>
    </row>
    <row r="271" spans="1:31" x14ac:dyDescent="0.25">
      <c r="A271" s="1" t="s">
        <v>833</v>
      </c>
      <c r="B271" s="1" t="s">
        <v>656</v>
      </c>
      <c r="C271" s="1" t="s">
        <v>834</v>
      </c>
      <c r="D271" s="1" t="s">
        <v>554</v>
      </c>
      <c r="E271" s="1">
        <f>VLOOKUP(A271,BOM!A:E,5,0)</f>
        <v>1</v>
      </c>
      <c r="F271" s="122">
        <v>33.049999999999997</v>
      </c>
      <c r="G271" s="10">
        <v>33.21</v>
      </c>
      <c r="H271" s="11" t="s">
        <v>1874</v>
      </c>
      <c r="I271" s="49">
        <f>SUMIFS(BOM!Q:Q,BOM!A:A,'All Products'!A271,BOM!I:I,'All Products'!I$3)</f>
        <v>6.7451745379876789</v>
      </c>
      <c r="J271" s="49">
        <f>SUMIFS(BOM!Q:Q,BOM!A:A,'All Products'!A271,BOM!I:I,'All Products'!J$3)+0.03</f>
        <v>0.17</v>
      </c>
      <c r="K271" s="29">
        <f t="shared" si="59"/>
        <v>0.20822567112278467</v>
      </c>
      <c r="L271" s="49">
        <f>SUMIF(BOM!A:A,'All Products'!A271,BOM!S:S)</f>
        <v>1.2163757700205338</v>
      </c>
      <c r="M271" s="49">
        <f>SUMIF(BOM!A:A,'All Products'!A271,BOM!V:V)</f>
        <v>0.21720416666666661</v>
      </c>
      <c r="N271" s="29">
        <f t="shared" si="60"/>
        <v>4.3167116431412238E-2</v>
      </c>
      <c r="O271" s="55">
        <v>0</v>
      </c>
      <c r="P271" s="49">
        <f t="shared" si="61"/>
        <v>8.3487544746748803</v>
      </c>
      <c r="Q271" s="11">
        <f t="shared" si="62"/>
        <v>24.861245525325121</v>
      </c>
      <c r="R271" s="29">
        <f t="shared" si="63"/>
        <v>0.74860721244580308</v>
      </c>
      <c r="S271" s="91">
        <v>14.2</v>
      </c>
      <c r="T271" s="91">
        <f t="shared" si="55"/>
        <v>471.58199999999999</v>
      </c>
      <c r="U271" s="90">
        <f t="shared" si="56"/>
        <v>353.0296864596167</v>
      </c>
      <c r="V271" s="90">
        <f t="shared" si="57"/>
        <v>353.0296864596167</v>
      </c>
      <c r="W271" s="90">
        <f t="shared" si="58"/>
        <v>0</v>
      </c>
      <c r="Y271" s="34">
        <f t="shared" si="64"/>
        <v>0.79689326895550494</v>
      </c>
      <c r="Z271" s="34"/>
      <c r="AA271" s="4"/>
      <c r="AB271" s="4"/>
      <c r="AE271" s="4"/>
    </row>
    <row r="272" spans="1:31" x14ac:dyDescent="0.25">
      <c r="A272" s="1" t="s">
        <v>835</v>
      </c>
      <c r="B272" s="1" t="s">
        <v>656</v>
      </c>
      <c r="C272" s="1" t="s">
        <v>836</v>
      </c>
      <c r="D272" s="1" t="s">
        <v>554</v>
      </c>
      <c r="E272" s="1">
        <f>VLOOKUP(A272,BOM!A:E,5,0)</f>
        <v>2.5</v>
      </c>
      <c r="F272" s="122">
        <v>23.98</v>
      </c>
      <c r="G272" s="10">
        <v>24.51</v>
      </c>
      <c r="H272" s="11" t="s">
        <v>1874</v>
      </c>
      <c r="I272" s="49">
        <f>SUMIFS(BOM!Q:Q,BOM!A:A,'All Products'!A272,BOM!I:I,'All Products'!I$3)</f>
        <v>16.862936344969199</v>
      </c>
      <c r="J272" s="49">
        <f>SUMIFS(BOM!Q:Q,BOM!A:A,'All Products'!A272,BOM!I:I,'All Products'!J$3)+0.03</f>
        <v>0.17</v>
      </c>
      <c r="K272" s="29">
        <f t="shared" si="59"/>
        <v>0.69493824336879639</v>
      </c>
      <c r="L272" s="49">
        <f>SUMIF(BOM!A:A,'All Products'!A272,BOM!S:S)</f>
        <v>3.0409394250513344</v>
      </c>
      <c r="M272" s="49">
        <f>SUMIF(BOM!A:A,'All Products'!A272,BOM!V:V)</f>
        <v>0.29618749999999999</v>
      </c>
      <c r="N272" s="29">
        <f t="shared" si="60"/>
        <v>0.13615368931257993</v>
      </c>
      <c r="O272" s="55">
        <v>0</v>
      </c>
      <c r="P272" s="49">
        <f t="shared" si="61"/>
        <v>20.370063270020534</v>
      </c>
      <c r="Q272" s="11">
        <f t="shared" si="62"/>
        <v>4.1399367299794676</v>
      </c>
      <c r="R272" s="29">
        <f t="shared" si="63"/>
        <v>0.16890806731862371</v>
      </c>
      <c r="S272" s="91">
        <v>0.4</v>
      </c>
      <c r="T272" s="91">
        <f t="shared" si="55"/>
        <v>9.804000000000002</v>
      </c>
      <c r="U272" s="90">
        <f t="shared" si="56"/>
        <v>1.655974691991787</v>
      </c>
      <c r="V272" s="90">
        <f t="shared" si="57"/>
        <v>1.655974691991787</v>
      </c>
      <c r="W272" s="90">
        <f t="shared" si="58"/>
        <v>0</v>
      </c>
      <c r="Y272" s="34">
        <f t="shared" si="64"/>
        <v>0.31199770114364755</v>
      </c>
      <c r="Z272" s="34"/>
      <c r="AA272" s="4"/>
      <c r="AB272" s="4"/>
      <c r="AE272" s="4"/>
    </row>
    <row r="273" spans="1:31" x14ac:dyDescent="0.25">
      <c r="A273" s="1" t="s">
        <v>219</v>
      </c>
      <c r="B273" s="1" t="s">
        <v>656</v>
      </c>
      <c r="C273" s="1" t="s">
        <v>220</v>
      </c>
      <c r="D273" s="1" t="s">
        <v>554</v>
      </c>
      <c r="E273" s="1">
        <f>VLOOKUP(A273,BOM!A:E,5,0)</f>
        <v>1</v>
      </c>
      <c r="F273" s="122">
        <v>1.7</v>
      </c>
      <c r="G273" s="10">
        <v>1.7</v>
      </c>
      <c r="H273" s="11" t="s">
        <v>1874</v>
      </c>
      <c r="I273" s="49">
        <f>SUMIFS(BOM!Q:Q,BOM!A:A,'All Products'!A273,BOM!I:I,'All Products'!I$3)</f>
        <v>0.98024170754011131</v>
      </c>
      <c r="J273" s="49">
        <f>SUMIFS(BOM!Q:Q,BOM!A:A,'All Products'!A273,BOM!I:I,'All Products'!J$3)+0.03</f>
        <v>0.17</v>
      </c>
      <c r="K273" s="29">
        <f t="shared" si="59"/>
        <v>0.67661276914124191</v>
      </c>
      <c r="L273" s="49">
        <f>SUMIF(BOM!A:A,'All Products'!A273,BOM!S:S)</f>
        <v>0.18543913043478258</v>
      </c>
      <c r="M273" s="49">
        <f>SUMIF(BOM!A:A,'All Products'!A273,BOM!V:V)</f>
        <v>0.21720416666666661</v>
      </c>
      <c r="N273" s="29">
        <f t="shared" si="60"/>
        <v>0.23684899829497011</v>
      </c>
      <c r="O273" s="55">
        <v>0</v>
      </c>
      <c r="P273" s="49">
        <f t="shared" si="61"/>
        <v>1.5528850046415605</v>
      </c>
      <c r="Q273" s="11">
        <f t="shared" si="62"/>
        <v>0.14711499535843942</v>
      </c>
      <c r="R273" s="29">
        <f t="shared" si="63"/>
        <v>8.6538232563787898E-2</v>
      </c>
      <c r="S273" s="91">
        <v>120.8</v>
      </c>
      <c r="T273" s="91">
        <f t="shared" si="55"/>
        <v>205.35999999999999</v>
      </c>
      <c r="U273" s="90">
        <f t="shared" si="56"/>
        <v>17.771491439299481</v>
      </c>
      <c r="V273" s="90">
        <f t="shared" si="57"/>
        <v>17.771491439299481</v>
      </c>
      <c r="W273" s="90">
        <f t="shared" si="58"/>
        <v>0</v>
      </c>
      <c r="Y273" s="34">
        <f t="shared" si="64"/>
        <v>0.42338723085875801</v>
      </c>
      <c r="Z273" s="34"/>
      <c r="AA273" s="4"/>
      <c r="AB273" s="4"/>
      <c r="AE273" s="4"/>
    </row>
    <row r="274" spans="1:31" x14ac:dyDescent="0.25">
      <c r="A274" s="1" t="s">
        <v>216</v>
      </c>
      <c r="B274" s="1" t="s">
        <v>656</v>
      </c>
      <c r="C274" s="1" t="s">
        <v>217</v>
      </c>
      <c r="D274" s="1" t="s">
        <v>554</v>
      </c>
      <c r="E274" s="1">
        <f>VLOOKUP(A274,BOM!A:E,5,0)</f>
        <v>2.5</v>
      </c>
      <c r="F274" s="122">
        <v>4.26</v>
      </c>
      <c r="G274" s="10">
        <v>4.26</v>
      </c>
      <c r="H274" s="11" t="s">
        <v>1874</v>
      </c>
      <c r="I274" s="49">
        <f>SUMIFS(BOM!Q:Q,BOM!A:A,'All Products'!A274,BOM!I:I,'All Products'!I$3)</f>
        <v>2.4506042688502783</v>
      </c>
      <c r="J274" s="49">
        <f>SUMIFS(BOM!Q:Q,BOM!A:A,'All Products'!A274,BOM!I:I,'All Products'!J$3)+0.03</f>
        <v>0.17</v>
      </c>
      <c r="K274" s="29">
        <f t="shared" si="59"/>
        <v>0.61516532132635637</v>
      </c>
      <c r="L274" s="49">
        <f>SUMIF(BOM!A:A,'All Products'!A274,BOM!S:S)</f>
        <v>0.46359782608695643</v>
      </c>
      <c r="M274" s="49">
        <f>SUMIF(BOM!A:A,'All Products'!A274,BOM!V:V)</f>
        <v>0.29618749999999999</v>
      </c>
      <c r="N274" s="29">
        <f t="shared" si="60"/>
        <v>0.17835336293121046</v>
      </c>
      <c r="O274" s="55">
        <v>0</v>
      </c>
      <c r="P274" s="49">
        <f t="shared" si="61"/>
        <v>3.3803895949372347</v>
      </c>
      <c r="Q274" s="11">
        <f t="shared" si="62"/>
        <v>0.87961040506276511</v>
      </c>
      <c r="R274" s="29">
        <f t="shared" si="63"/>
        <v>0.20648131574243314</v>
      </c>
      <c r="S274" s="91">
        <v>890</v>
      </c>
      <c r="T274" s="91">
        <f t="shared" si="55"/>
        <v>3791.3999999999996</v>
      </c>
      <c r="U274" s="90">
        <f t="shared" si="56"/>
        <v>782.85326050586093</v>
      </c>
      <c r="V274" s="90">
        <f t="shared" si="57"/>
        <v>782.85326050586093</v>
      </c>
      <c r="W274" s="90">
        <f t="shared" si="58"/>
        <v>0</v>
      </c>
      <c r="Y274" s="34">
        <f t="shared" si="64"/>
        <v>0.42474078196002857</v>
      </c>
      <c r="Z274" s="34"/>
      <c r="AA274" s="4"/>
      <c r="AB274" s="4"/>
      <c r="AE274" s="4"/>
    </row>
    <row r="275" spans="1:31" x14ac:dyDescent="0.25">
      <c r="A275" s="1" t="s">
        <v>837</v>
      </c>
      <c r="B275" s="1" t="s">
        <v>656</v>
      </c>
      <c r="C275" s="1" t="s">
        <v>838</v>
      </c>
      <c r="D275" s="1" t="s">
        <v>554</v>
      </c>
      <c r="E275" s="1">
        <f>VLOOKUP(A275,BOM!A:E,5,0)</f>
        <v>1</v>
      </c>
      <c r="F275" s="122">
        <v>2.0699999999999998</v>
      </c>
      <c r="G275" s="10">
        <v>2.08</v>
      </c>
      <c r="H275" s="11" t="s">
        <v>1874</v>
      </c>
      <c r="I275" s="49">
        <f>SUMIFS(BOM!Q:Q,BOM!A:A,'All Products'!A275,BOM!I:I,'All Products'!I$3)</f>
        <v>1.0416666666666667</v>
      </c>
      <c r="J275" s="49">
        <f>SUMIFS(BOM!Q:Q,BOM!A:A,'All Products'!A275,BOM!I:I,'All Products'!J$3)+0.03</f>
        <v>0.17</v>
      </c>
      <c r="K275" s="29">
        <f t="shared" si="59"/>
        <v>0.58253205128205121</v>
      </c>
      <c r="L275" s="49">
        <f>SUMIF(BOM!A:A,'All Products'!A275,BOM!S:S)</f>
        <v>0.17601999999999998</v>
      </c>
      <c r="M275" s="49">
        <f>SUMIF(BOM!A:A,'All Products'!A275,BOM!V:V)</f>
        <v>0.21720416666666661</v>
      </c>
      <c r="N275" s="29">
        <f t="shared" si="60"/>
        <v>0.18905008012820509</v>
      </c>
      <c r="O275" s="55">
        <v>0</v>
      </c>
      <c r="P275" s="49">
        <f t="shared" si="61"/>
        <v>1.6048908333333334</v>
      </c>
      <c r="Q275" s="11">
        <f t="shared" si="62"/>
        <v>0.47510916666666669</v>
      </c>
      <c r="R275" s="29">
        <f t="shared" si="63"/>
        <v>0.22841786858974358</v>
      </c>
      <c r="S275" s="91">
        <v>12.4</v>
      </c>
      <c r="T275" s="91">
        <f t="shared" si="55"/>
        <v>25.792000000000002</v>
      </c>
      <c r="U275" s="90">
        <f t="shared" si="56"/>
        <v>5.8913536666666673</v>
      </c>
      <c r="V275" s="90">
        <f t="shared" si="57"/>
        <v>5.8913536666666673</v>
      </c>
      <c r="W275" s="90">
        <f t="shared" si="58"/>
        <v>0</v>
      </c>
      <c r="Y275" s="34">
        <f t="shared" si="64"/>
        <v>0.49919871794871795</v>
      </c>
      <c r="Z275" s="34"/>
      <c r="AA275" s="4"/>
      <c r="AB275" s="4"/>
      <c r="AE275" s="4"/>
    </row>
    <row r="276" spans="1:31" x14ac:dyDescent="0.25">
      <c r="A276" s="1" t="s">
        <v>545</v>
      </c>
      <c r="B276" s="1" t="s">
        <v>656</v>
      </c>
      <c r="C276" s="1" t="s">
        <v>546</v>
      </c>
      <c r="D276" s="1" t="s">
        <v>554</v>
      </c>
      <c r="E276" s="1">
        <f>VLOOKUP(A276,BOM!A:E,5,0)</f>
        <v>2.5</v>
      </c>
      <c r="F276" s="122">
        <v>5.17</v>
      </c>
      <c r="G276" s="10">
        <v>5.19</v>
      </c>
      <c r="H276" s="11" t="s">
        <v>1874</v>
      </c>
      <c r="I276" s="49">
        <f>SUMIFS(BOM!Q:Q,BOM!A:A,'All Products'!A276,BOM!I:I,'All Products'!I$3)</f>
        <v>2.6041666666666665</v>
      </c>
      <c r="J276" s="49">
        <f>SUMIFS(BOM!Q:Q,BOM!A:A,'All Products'!A276,BOM!I:I,'All Products'!J$3)+0.03</f>
        <v>0.17</v>
      </c>
      <c r="K276" s="29">
        <f t="shared" si="59"/>
        <v>0.53452151573538853</v>
      </c>
      <c r="L276" s="49">
        <f>SUMIF(BOM!A:A,'All Products'!A276,BOM!S:S)</f>
        <v>0.44005</v>
      </c>
      <c r="M276" s="49">
        <f>SUMIF(BOM!A:A,'All Products'!A276,BOM!V:V)</f>
        <v>0.29618749999999999</v>
      </c>
      <c r="N276" s="29">
        <f t="shared" si="60"/>
        <v>0.14185693641618496</v>
      </c>
      <c r="O276" s="55">
        <v>0</v>
      </c>
      <c r="P276" s="49">
        <f t="shared" si="61"/>
        <v>3.5104041666666661</v>
      </c>
      <c r="Q276" s="11">
        <f t="shared" si="62"/>
        <v>1.6795958333333343</v>
      </c>
      <c r="R276" s="29">
        <f t="shared" si="63"/>
        <v>0.32362154784842662</v>
      </c>
      <c r="S276" s="91">
        <v>38.799999999999997</v>
      </c>
      <c r="T276" s="91">
        <f t="shared" si="55"/>
        <v>201.37200000000001</v>
      </c>
      <c r="U276" s="90">
        <f t="shared" si="56"/>
        <v>65.16831833333336</v>
      </c>
      <c r="V276" s="90">
        <f t="shared" si="57"/>
        <v>65.16831833333336</v>
      </c>
      <c r="W276" s="90">
        <f t="shared" si="58"/>
        <v>0</v>
      </c>
      <c r="Y276" s="34">
        <f t="shared" si="64"/>
        <v>0.4982337829158639</v>
      </c>
      <c r="Z276" s="34"/>
      <c r="AA276" s="4"/>
      <c r="AB276" s="4"/>
      <c r="AE276" s="4"/>
    </row>
    <row r="277" spans="1:31" x14ac:dyDescent="0.25">
      <c r="A277" s="1" t="s">
        <v>221</v>
      </c>
      <c r="B277" s="1" t="s">
        <v>656</v>
      </c>
      <c r="C277" s="1" t="s">
        <v>222</v>
      </c>
      <c r="D277" s="1" t="s">
        <v>554</v>
      </c>
      <c r="E277" s="1">
        <f>VLOOKUP(A277,BOM!A:E,5,0)</f>
        <v>1</v>
      </c>
      <c r="F277" s="122">
        <v>1.7</v>
      </c>
      <c r="G277" s="10">
        <v>1.72</v>
      </c>
      <c r="H277" s="11" t="s">
        <v>1874</v>
      </c>
      <c r="I277" s="49">
        <f>SUMIFS(BOM!Q:Q,BOM!A:A,'All Products'!A277,BOM!I:I,'All Products'!I$3)</f>
        <v>0.98024170754011131</v>
      </c>
      <c r="J277" s="49">
        <f>SUMIFS(BOM!Q:Q,BOM!A:A,'All Products'!A277,BOM!I:I,'All Products'!J$3)+0.03</f>
        <v>0.17</v>
      </c>
      <c r="K277" s="29">
        <f t="shared" si="59"/>
        <v>0.66874517880239026</v>
      </c>
      <c r="L277" s="49">
        <f>SUMIF(BOM!A:A,'All Products'!A277,BOM!S:S)</f>
        <v>0.18543913043478258</v>
      </c>
      <c r="M277" s="49">
        <f>SUMIF(BOM!A:A,'All Products'!A277,BOM!V:V)</f>
        <v>0.21720416666666661</v>
      </c>
      <c r="N277" s="29">
        <f t="shared" si="60"/>
        <v>0.23409494017526117</v>
      </c>
      <c r="O277" s="55">
        <v>0</v>
      </c>
      <c r="P277" s="49">
        <f t="shared" si="61"/>
        <v>1.5528850046415605</v>
      </c>
      <c r="Q277" s="11">
        <f t="shared" si="62"/>
        <v>0.16711499535843943</v>
      </c>
      <c r="R277" s="29">
        <f t="shared" si="63"/>
        <v>9.7159881022348515E-2</v>
      </c>
      <c r="S277" s="91">
        <v>2.6</v>
      </c>
      <c r="T277" s="91">
        <f t="shared" si="55"/>
        <v>4.4720000000000004</v>
      </c>
      <c r="U277" s="90">
        <f t="shared" si="56"/>
        <v>0.43449898793194253</v>
      </c>
      <c r="V277" s="90">
        <f t="shared" si="57"/>
        <v>0.43449898793194253</v>
      </c>
      <c r="W277" s="90">
        <f t="shared" si="58"/>
        <v>0</v>
      </c>
      <c r="Y277" s="34">
        <f t="shared" si="64"/>
        <v>0.43009203049993527</v>
      </c>
      <c r="Z277" s="34"/>
      <c r="AA277" s="4"/>
      <c r="AB277" s="4"/>
      <c r="AE277" s="4"/>
    </row>
    <row r="278" spans="1:31" x14ac:dyDescent="0.25">
      <c r="A278" s="1" t="s">
        <v>218</v>
      </c>
      <c r="B278" s="1" t="s">
        <v>656</v>
      </c>
      <c r="C278" s="1" t="s">
        <v>839</v>
      </c>
      <c r="D278" s="1" t="s">
        <v>554</v>
      </c>
      <c r="E278" s="1">
        <f>VLOOKUP(A278,BOM!A:E,5,0)</f>
        <v>2.5</v>
      </c>
      <c r="F278" s="122">
        <v>4.26</v>
      </c>
      <c r="G278" s="10">
        <v>4.26</v>
      </c>
      <c r="H278" s="11" t="s">
        <v>1874</v>
      </c>
      <c r="I278" s="49">
        <f>SUMIFS(BOM!Q:Q,BOM!A:A,'All Products'!A278,BOM!I:I,'All Products'!I$3)</f>
        <v>2.4506042688502783</v>
      </c>
      <c r="J278" s="49">
        <f>SUMIFS(BOM!Q:Q,BOM!A:A,'All Products'!A278,BOM!I:I,'All Products'!J$3)+0.03</f>
        <v>0.17</v>
      </c>
      <c r="K278" s="29">
        <f t="shared" si="59"/>
        <v>0.61516532132635637</v>
      </c>
      <c r="L278" s="49">
        <f>SUMIF(BOM!A:A,'All Products'!A278,BOM!S:S)</f>
        <v>0.46359782608695643</v>
      </c>
      <c r="M278" s="49">
        <f>SUMIF(BOM!A:A,'All Products'!A278,BOM!V:V)</f>
        <v>0.29618749999999999</v>
      </c>
      <c r="N278" s="29">
        <f t="shared" si="60"/>
        <v>0.17835336293121046</v>
      </c>
      <c r="O278" s="55">
        <v>0</v>
      </c>
      <c r="P278" s="49">
        <f t="shared" si="61"/>
        <v>3.3803895949372347</v>
      </c>
      <c r="Q278" s="11">
        <f t="shared" si="62"/>
        <v>0.87961040506276511</v>
      </c>
      <c r="R278" s="29">
        <f t="shared" si="63"/>
        <v>0.20648131574243314</v>
      </c>
      <c r="S278" s="91">
        <v>231.6</v>
      </c>
      <c r="T278" s="91">
        <f t="shared" si="55"/>
        <v>986.61599999999987</v>
      </c>
      <c r="U278" s="90">
        <f t="shared" si="56"/>
        <v>203.7177698125364</v>
      </c>
      <c r="V278" s="90">
        <f t="shared" si="57"/>
        <v>203.7177698125364</v>
      </c>
      <c r="W278" s="90">
        <f t="shared" si="58"/>
        <v>0</v>
      </c>
      <c r="Y278" s="34">
        <f t="shared" si="64"/>
        <v>0.42474078196002857</v>
      </c>
      <c r="Z278" s="34"/>
      <c r="AA278" s="4"/>
      <c r="AB278" s="4"/>
      <c r="AE278" s="4"/>
    </row>
    <row r="279" spans="1:31" x14ac:dyDescent="0.25">
      <c r="A279" s="1" t="s">
        <v>840</v>
      </c>
      <c r="B279" s="1" t="s">
        <v>656</v>
      </c>
      <c r="C279" s="1" t="s">
        <v>841</v>
      </c>
      <c r="D279" s="1" t="s">
        <v>554</v>
      </c>
      <c r="E279" s="1">
        <f>VLOOKUP(A279,BOM!A:E,5,0)</f>
        <v>1</v>
      </c>
      <c r="F279" s="122">
        <v>2.48</v>
      </c>
      <c r="G279" s="10">
        <v>2.5</v>
      </c>
      <c r="H279" s="11" t="s">
        <v>1874</v>
      </c>
      <c r="I279" s="49">
        <f>SUMIFS(BOM!Q:Q,BOM!A:A,'All Products'!A279,BOM!I:I,'All Products'!I$3)</f>
        <v>1.0166423638934314</v>
      </c>
      <c r="J279" s="49">
        <f>SUMIFS(BOM!Q:Q,BOM!A:A,'All Products'!A279,BOM!I:I,'All Products'!J$3)+0.03</f>
        <v>0.17</v>
      </c>
      <c r="K279" s="29">
        <f t="shared" si="59"/>
        <v>0.47465694555737253</v>
      </c>
      <c r="L279" s="49">
        <f>SUMIF(BOM!A:A,'All Products'!A279,BOM!S:S)</f>
        <v>0.25996039325842696</v>
      </c>
      <c r="M279" s="49">
        <f>SUMIF(BOM!A:A,'All Products'!A279,BOM!V:V)</f>
        <v>0.21720416666666661</v>
      </c>
      <c r="N279" s="29">
        <f t="shared" si="60"/>
        <v>0.19086582397003743</v>
      </c>
      <c r="O279" s="55">
        <v>0</v>
      </c>
      <c r="P279" s="49">
        <f t="shared" si="61"/>
        <v>1.6638069238185249</v>
      </c>
      <c r="Q279" s="11">
        <f t="shared" si="62"/>
        <v>0.83619307618147509</v>
      </c>
      <c r="R279" s="29">
        <f t="shared" si="63"/>
        <v>0.33447723047259004</v>
      </c>
      <c r="S279" s="91">
        <v>0.6</v>
      </c>
      <c r="T279" s="91">
        <f t="shared" si="55"/>
        <v>1.5</v>
      </c>
      <c r="U279" s="90">
        <f t="shared" si="56"/>
        <v>0.50171584570888506</v>
      </c>
      <c r="V279" s="90">
        <f t="shared" si="57"/>
        <v>0.50171584570888506</v>
      </c>
      <c r="W279" s="90">
        <f t="shared" si="58"/>
        <v>0</v>
      </c>
      <c r="Y279" s="34">
        <f t="shared" si="64"/>
        <v>0.59334305444262747</v>
      </c>
      <c r="Z279" s="34"/>
      <c r="AA279" s="4"/>
      <c r="AB279" s="4"/>
      <c r="AE279" s="4"/>
    </row>
    <row r="280" spans="1:31" x14ac:dyDescent="0.25">
      <c r="A280" s="1" t="s">
        <v>842</v>
      </c>
      <c r="B280" s="1" t="s">
        <v>656</v>
      </c>
      <c r="C280" s="1" t="s">
        <v>843</v>
      </c>
      <c r="D280" s="1" t="s">
        <v>554</v>
      </c>
      <c r="E280" s="1">
        <f>VLOOKUP(A280,BOM!A:E,5,0)</f>
        <v>2.5</v>
      </c>
      <c r="F280" s="122">
        <v>6.2</v>
      </c>
      <c r="G280" s="10">
        <v>6.28</v>
      </c>
      <c r="H280" s="11" t="s">
        <v>1874</v>
      </c>
      <c r="I280" s="49">
        <f>SUMIFS(BOM!Q:Q,BOM!A:A,'All Products'!A280,BOM!I:I,'All Products'!I$3)</f>
        <v>2.5416059097335784</v>
      </c>
      <c r="J280" s="49">
        <f>SUMIFS(BOM!Q:Q,BOM!A:A,'All Products'!A280,BOM!I:I,'All Products'!J$3)+0.03</f>
        <v>0.17</v>
      </c>
      <c r="K280" s="29">
        <f t="shared" si="59"/>
        <v>0.43178438053082457</v>
      </c>
      <c r="L280" s="49">
        <f>SUMIF(BOM!A:A,'All Products'!A280,BOM!S:S)</f>
        <v>0.64990098314606737</v>
      </c>
      <c r="M280" s="49">
        <f>SUMIF(BOM!A:A,'All Products'!A280,BOM!V:V)</f>
        <v>0.29618749999999999</v>
      </c>
      <c r="N280" s="29">
        <f t="shared" si="60"/>
        <v>0.1506510323480999</v>
      </c>
      <c r="O280" s="55">
        <v>0</v>
      </c>
      <c r="P280" s="49">
        <f t="shared" si="61"/>
        <v>3.6576943928796455</v>
      </c>
      <c r="Q280" s="11">
        <f t="shared" si="62"/>
        <v>2.6223056071203548</v>
      </c>
      <c r="R280" s="29">
        <f t="shared" si="63"/>
        <v>0.41756458712107558</v>
      </c>
      <c r="S280" s="91">
        <v>2.4</v>
      </c>
      <c r="T280" s="91">
        <f t="shared" si="55"/>
        <v>15.071999999999999</v>
      </c>
      <c r="U280" s="90">
        <f t="shared" si="56"/>
        <v>6.2935334570888513</v>
      </c>
      <c r="V280" s="90">
        <f t="shared" si="57"/>
        <v>6.2935334570888513</v>
      </c>
      <c r="W280" s="90">
        <f t="shared" si="58"/>
        <v>0</v>
      </c>
      <c r="Y280" s="34">
        <f t="shared" si="64"/>
        <v>0.59528568316344299</v>
      </c>
      <c r="Z280" s="34"/>
      <c r="AA280" s="4"/>
      <c r="AB280" s="4"/>
      <c r="AE280" s="4"/>
    </row>
    <row r="281" spans="1:31" x14ac:dyDescent="0.25">
      <c r="A281" s="1" t="s">
        <v>844</v>
      </c>
      <c r="B281" s="1" t="s">
        <v>656</v>
      </c>
      <c r="C281" s="1" t="s">
        <v>845</v>
      </c>
      <c r="D281" s="1" t="s">
        <v>554</v>
      </c>
      <c r="E281" s="1">
        <f>VLOOKUP(A281,BOM!A:E,5,0)</f>
        <v>1</v>
      </c>
      <c r="F281" s="122">
        <v>4.67</v>
      </c>
      <c r="G281" s="10">
        <v>4.74</v>
      </c>
      <c r="H281" s="11" t="s">
        <v>1874</v>
      </c>
      <c r="I281" s="49">
        <f>SUMIFS(BOM!Q:Q,BOM!A:A,'All Products'!A281,BOM!I:I,'All Products'!I$3)</f>
        <v>1.0125341469530216</v>
      </c>
      <c r="J281" s="49">
        <f>SUMIFS(BOM!Q:Q,BOM!A:A,'All Products'!A281,BOM!I:I,'All Products'!J$3)+0.03</f>
        <v>0.17</v>
      </c>
      <c r="K281" s="29">
        <f t="shared" si="59"/>
        <v>0.24947977783819017</v>
      </c>
      <c r="L281" s="49">
        <f>SUMIF(BOM!A:A,'All Products'!A281,BOM!S:S)</f>
        <v>0.11847499999999998</v>
      </c>
      <c r="M281" s="49">
        <f>SUMIF(BOM!A:A,'All Products'!A281,BOM!V:V)</f>
        <v>0.21720416666666661</v>
      </c>
      <c r="N281" s="29">
        <f t="shared" si="60"/>
        <v>7.0818389592123748E-2</v>
      </c>
      <c r="O281" s="55">
        <v>0</v>
      </c>
      <c r="P281" s="49">
        <f t="shared" si="61"/>
        <v>1.518213313619688</v>
      </c>
      <c r="Q281" s="11">
        <f t="shared" si="62"/>
        <v>3.2217866863803124</v>
      </c>
      <c r="R281" s="29">
        <f t="shared" si="63"/>
        <v>0.67970183256968608</v>
      </c>
      <c r="S281" s="91">
        <v>0</v>
      </c>
      <c r="T281" s="91">
        <f t="shared" si="55"/>
        <v>0</v>
      </c>
      <c r="U281" s="90">
        <f t="shared" si="56"/>
        <v>0</v>
      </c>
      <c r="V281" s="90">
        <f t="shared" si="57"/>
        <v>0</v>
      </c>
      <c r="W281" s="90">
        <f t="shared" si="58"/>
        <v>0</v>
      </c>
      <c r="Y281" s="34">
        <f t="shared" si="64"/>
        <v>0.78638520106476339</v>
      </c>
      <c r="Z281" s="34"/>
      <c r="AA281" s="4"/>
      <c r="AB281" s="4"/>
      <c r="AE281" s="4"/>
    </row>
    <row r="282" spans="1:31" x14ac:dyDescent="0.25">
      <c r="A282" s="1" t="s">
        <v>525</v>
      </c>
      <c r="B282" s="1" t="s">
        <v>656</v>
      </c>
      <c r="C282" s="1" t="s">
        <v>846</v>
      </c>
      <c r="D282" s="1" t="s">
        <v>554</v>
      </c>
      <c r="E282" s="1">
        <f>VLOOKUP(A282,BOM!A:E,5,0)</f>
        <v>2.5</v>
      </c>
      <c r="F282" s="122">
        <v>11.67</v>
      </c>
      <c r="G282" s="10">
        <v>11.85</v>
      </c>
      <c r="H282" s="11" t="s">
        <v>1874</v>
      </c>
      <c r="I282" s="49">
        <f>SUMIFS(BOM!Q:Q,BOM!A:A,'All Products'!A282,BOM!I:I,'All Products'!I$3)</f>
        <v>2.531335367382554</v>
      </c>
      <c r="J282" s="49">
        <f>SUMIFS(BOM!Q:Q,BOM!A:A,'All Products'!A282,BOM!I:I,'All Products'!J$3)+0.03</f>
        <v>0.17</v>
      </c>
      <c r="K282" s="29">
        <f t="shared" si="59"/>
        <v>0.22796079049641807</v>
      </c>
      <c r="L282" s="49">
        <f>SUMIF(BOM!A:A,'All Products'!A282,BOM!S:S)</f>
        <v>0.29618749999999999</v>
      </c>
      <c r="M282" s="49">
        <f>SUMIF(BOM!A:A,'All Products'!A282,BOM!V:V)</f>
        <v>0.29618749999999999</v>
      </c>
      <c r="N282" s="29">
        <f t="shared" si="60"/>
        <v>4.9989451476793248E-2</v>
      </c>
      <c r="O282" s="55">
        <v>0</v>
      </c>
      <c r="P282" s="49">
        <f t="shared" si="61"/>
        <v>3.2937103673825536</v>
      </c>
      <c r="Q282" s="11">
        <f t="shared" si="62"/>
        <v>8.556289632617446</v>
      </c>
      <c r="R282" s="29">
        <f t="shared" si="63"/>
        <v>0.72204975802678872</v>
      </c>
      <c r="S282" s="91">
        <v>26.6</v>
      </c>
      <c r="T282" s="91">
        <f t="shared" si="55"/>
        <v>315.20999999999998</v>
      </c>
      <c r="U282" s="90">
        <f t="shared" si="56"/>
        <v>227.59730422762408</v>
      </c>
      <c r="V282" s="90">
        <f t="shared" si="57"/>
        <v>227.59730422762408</v>
      </c>
      <c r="W282" s="90">
        <f t="shared" si="58"/>
        <v>0</v>
      </c>
      <c r="Y282" s="34">
        <f t="shared" si="64"/>
        <v>0.78638520106476328</v>
      </c>
      <c r="Z282" s="34"/>
      <c r="AA282" s="4"/>
      <c r="AB282" s="4"/>
      <c r="AE282" s="4"/>
    </row>
    <row r="283" spans="1:31" x14ac:dyDescent="0.25">
      <c r="A283" s="1" t="s">
        <v>215</v>
      </c>
      <c r="B283" s="1" t="s">
        <v>656</v>
      </c>
      <c r="C283" s="1" t="s">
        <v>847</v>
      </c>
      <c r="D283" s="1" t="s">
        <v>554</v>
      </c>
      <c r="E283" s="1">
        <f>VLOOKUP(A283,BOM!A:E,5,0)</f>
        <v>1</v>
      </c>
      <c r="F283" s="122">
        <v>4.71</v>
      </c>
      <c r="G283" s="10">
        <v>4.76</v>
      </c>
      <c r="H283" s="11" t="s">
        <v>1874</v>
      </c>
      <c r="I283" s="49">
        <f>SUMIFS(BOM!Q:Q,BOM!A:A,'All Products'!A283,BOM!I:I,'All Products'!I$3)</f>
        <v>1.9683257918552035</v>
      </c>
      <c r="J283" s="49">
        <f>SUMIFS(BOM!Q:Q,BOM!A:A,'All Products'!A283,BOM!I:I,'All Products'!J$3)+0.03</f>
        <v>0.17</v>
      </c>
      <c r="K283" s="29">
        <f t="shared" si="59"/>
        <v>0.44922810753260584</v>
      </c>
      <c r="L283" s="49">
        <f>SUMIF(BOM!A:A,'All Products'!A283,BOM!S:S)</f>
        <v>0.81500384615384602</v>
      </c>
      <c r="M283" s="49">
        <f>SUMIF(BOM!A:A,'All Products'!A283,BOM!V:V)</f>
        <v>0.21720416666666661</v>
      </c>
      <c r="N283" s="29">
        <f t="shared" si="60"/>
        <v>0.21685042286145226</v>
      </c>
      <c r="O283" s="55">
        <v>0</v>
      </c>
      <c r="P283" s="49">
        <f t="shared" si="61"/>
        <v>3.1705338046757161</v>
      </c>
      <c r="Q283" s="11">
        <f t="shared" si="62"/>
        <v>1.5894661953242837</v>
      </c>
      <c r="R283" s="29">
        <f t="shared" si="63"/>
        <v>0.33392146960594199</v>
      </c>
      <c r="S283" s="91">
        <v>11.2</v>
      </c>
      <c r="T283" s="91">
        <f t="shared" si="55"/>
        <v>53.311999999999998</v>
      </c>
      <c r="U283" s="90">
        <f t="shared" si="56"/>
        <v>17.802021387631974</v>
      </c>
      <c r="V283" s="90">
        <f t="shared" si="57"/>
        <v>17.802021387631974</v>
      </c>
      <c r="W283" s="90">
        <f t="shared" si="58"/>
        <v>0</v>
      </c>
      <c r="Y283" s="34">
        <f t="shared" si="64"/>
        <v>0.58648617818167992</v>
      </c>
      <c r="Z283" s="34"/>
      <c r="AA283" s="4"/>
      <c r="AB283" s="4"/>
      <c r="AE283" s="4"/>
    </row>
    <row r="284" spans="1:31" x14ac:dyDescent="0.25">
      <c r="A284" s="1" t="s">
        <v>214</v>
      </c>
      <c r="B284" s="1" t="s">
        <v>656</v>
      </c>
      <c r="C284" s="1" t="s">
        <v>848</v>
      </c>
      <c r="D284" s="1" t="s">
        <v>554</v>
      </c>
      <c r="E284" s="1">
        <f>VLOOKUP(A284,BOM!A:E,5,0)</f>
        <v>2.5</v>
      </c>
      <c r="F284" s="122">
        <v>11.75</v>
      </c>
      <c r="G284" s="10">
        <v>11.92</v>
      </c>
      <c r="H284" s="11" t="s">
        <v>1874</v>
      </c>
      <c r="I284" s="49">
        <f>SUMIFS(BOM!Q:Q,BOM!A:A,'All Products'!A284,BOM!I:I,'All Products'!I$3)</f>
        <v>4.9208144796380093</v>
      </c>
      <c r="J284" s="49">
        <f>SUMIFS(BOM!Q:Q,BOM!A:A,'All Products'!A284,BOM!I:I,'All Products'!J$3)+0.03</f>
        <v>0.17</v>
      </c>
      <c r="K284" s="29">
        <f t="shared" si="59"/>
        <v>0.42708175164748402</v>
      </c>
      <c r="L284" s="49">
        <f>SUMIF(BOM!A:A,'All Products'!A284,BOM!S:S)</f>
        <v>2.0375096153846153</v>
      </c>
      <c r="M284" s="49">
        <f>SUMIF(BOM!A:A,'All Products'!A284,BOM!V:V)</f>
        <v>0.29618749999999999</v>
      </c>
      <c r="N284" s="29">
        <f t="shared" si="60"/>
        <v>0.19577995934434692</v>
      </c>
      <c r="O284" s="55">
        <v>0</v>
      </c>
      <c r="P284" s="49">
        <f t="shared" si="61"/>
        <v>7.4245115950226248</v>
      </c>
      <c r="Q284" s="11">
        <f t="shared" si="62"/>
        <v>4.4954884049773751</v>
      </c>
      <c r="R284" s="29">
        <f t="shared" si="63"/>
        <v>0.37713828900816904</v>
      </c>
      <c r="S284" s="91">
        <v>51.6</v>
      </c>
      <c r="T284" s="91">
        <f t="shared" ref="T284:T315" si="65">S284*G284</f>
        <v>615.072</v>
      </c>
      <c r="U284" s="90">
        <f t="shared" si="56"/>
        <v>231.96720169683257</v>
      </c>
      <c r="V284" s="90">
        <f t="shared" ref="V284:V315" si="66">(G284-P284)*S284</f>
        <v>231.96720169683257</v>
      </c>
      <c r="W284" s="90">
        <f t="shared" si="58"/>
        <v>0</v>
      </c>
      <c r="Y284" s="34">
        <f t="shared" si="64"/>
        <v>0.58717999331895898</v>
      </c>
      <c r="Z284" s="34"/>
      <c r="AA284" s="4"/>
      <c r="AB284" s="4"/>
      <c r="AE284" s="4"/>
    </row>
    <row r="285" spans="1:31" x14ac:dyDescent="0.25">
      <c r="A285" s="1" t="s">
        <v>213</v>
      </c>
      <c r="B285" s="1" t="s">
        <v>656</v>
      </c>
      <c r="C285" s="1" t="s">
        <v>849</v>
      </c>
      <c r="D285" s="1" t="s">
        <v>554</v>
      </c>
      <c r="E285" s="1">
        <f>VLOOKUP(A285,BOM!A:E,5,0)</f>
        <v>0.25</v>
      </c>
      <c r="F285" s="122">
        <v>1.19</v>
      </c>
      <c r="G285" s="10">
        <v>1.21</v>
      </c>
      <c r="H285" s="11" t="s">
        <v>1874</v>
      </c>
      <c r="I285" s="49">
        <f>SUMIFS(BOM!Q:Q,BOM!A:A,'All Products'!A285,BOM!I:I,'All Products'!I$3)</f>
        <v>0.49208144796380088</v>
      </c>
      <c r="J285" s="49">
        <f>SUMIFS(BOM!Q:Q,BOM!A:A,'All Products'!A285,BOM!I:I,'All Products'!J$3)+0.03</f>
        <v>0.08</v>
      </c>
      <c r="K285" s="29">
        <f t="shared" si="59"/>
        <v>0.47279458509405031</v>
      </c>
      <c r="L285" s="49">
        <f>SUMIF(BOM!A:A,'All Products'!A285,BOM!S:S)</f>
        <v>0.20375096153846151</v>
      </c>
      <c r="M285" s="49">
        <f>SUMIF(BOM!A:A,'All Products'!A285,BOM!V:V)</f>
        <v>0.16078749999999997</v>
      </c>
      <c r="N285" s="29">
        <f t="shared" si="60"/>
        <v>0.30127145581691034</v>
      </c>
      <c r="O285" s="55">
        <v>0</v>
      </c>
      <c r="P285" s="49">
        <f t="shared" si="61"/>
        <v>0.93661990950226237</v>
      </c>
      <c r="Q285" s="11">
        <f t="shared" si="62"/>
        <v>0.27338009049773759</v>
      </c>
      <c r="R285" s="29">
        <f t="shared" si="63"/>
        <v>0.22593395908903935</v>
      </c>
      <c r="S285" s="91">
        <v>16.399999999999999</v>
      </c>
      <c r="T285" s="91">
        <f t="shared" si="65"/>
        <v>19.843999999999998</v>
      </c>
      <c r="U285" s="90">
        <f t="shared" si="56"/>
        <v>4.4834334841628962</v>
      </c>
      <c r="V285" s="90">
        <f t="shared" si="66"/>
        <v>4.4834334841628962</v>
      </c>
      <c r="W285" s="90">
        <f t="shared" si="58"/>
        <v>0</v>
      </c>
      <c r="Y285" s="34">
        <f t="shared" si="64"/>
        <v>0.59332111738528848</v>
      </c>
      <c r="Z285" s="34"/>
      <c r="AA285" s="4"/>
      <c r="AB285" s="4"/>
      <c r="AE285" s="4"/>
    </row>
    <row r="286" spans="1:31" x14ac:dyDescent="0.25">
      <c r="A286" s="1" t="s">
        <v>211</v>
      </c>
      <c r="B286" s="1" t="s">
        <v>656</v>
      </c>
      <c r="C286" s="1" t="s">
        <v>212</v>
      </c>
      <c r="D286" s="1" t="s">
        <v>554</v>
      </c>
      <c r="E286" s="1">
        <f>VLOOKUP(A286,BOM!A:E,5,0)</f>
        <v>1</v>
      </c>
      <c r="F286" s="122">
        <v>1.98</v>
      </c>
      <c r="G286" s="10">
        <v>2.4500000000000002</v>
      </c>
      <c r="H286" s="11" t="s">
        <v>1874</v>
      </c>
      <c r="I286" s="49">
        <f>SUMIFS(BOM!Q:Q,BOM!A:A,'All Products'!A286,BOM!I:I,'All Products'!I$3)</f>
        <v>0.94746575342465766</v>
      </c>
      <c r="J286" s="49">
        <f>SUMIFS(BOM!Q:Q,BOM!A:A,'All Products'!A286,BOM!I:I,'All Products'!J$3)+0.03</f>
        <v>0.17</v>
      </c>
      <c r="K286" s="29">
        <f t="shared" si="59"/>
        <v>0.45610847078557454</v>
      </c>
      <c r="L286" s="49">
        <f>SUMIF(BOM!A:A,'All Products'!A286,BOM!S:S)</f>
        <v>0.20309999999999997</v>
      </c>
      <c r="M286" s="49">
        <f>SUMIF(BOM!A:A,'All Products'!A286,BOM!V:V)</f>
        <v>0.21720416666666661</v>
      </c>
      <c r="N286" s="29">
        <f t="shared" si="60"/>
        <v>0.17155272108843533</v>
      </c>
      <c r="O286" s="55">
        <v>0</v>
      </c>
      <c r="P286" s="49">
        <f t="shared" si="61"/>
        <v>1.5377699200913244</v>
      </c>
      <c r="Q286" s="11">
        <f t="shared" si="62"/>
        <v>0.91223007990867577</v>
      </c>
      <c r="R286" s="29">
        <f t="shared" si="63"/>
        <v>0.37233880812599007</v>
      </c>
      <c r="S286" s="91">
        <v>26.2</v>
      </c>
      <c r="T286" s="91">
        <f t="shared" si="65"/>
        <v>64.19</v>
      </c>
      <c r="U286" s="90">
        <f t="shared" si="56"/>
        <v>23.900428093607303</v>
      </c>
      <c r="V286" s="90">
        <f t="shared" si="66"/>
        <v>23.900428093607303</v>
      </c>
      <c r="W286" s="90">
        <f t="shared" si="58"/>
        <v>0</v>
      </c>
      <c r="Y286" s="34">
        <f t="shared" si="64"/>
        <v>0.61327928431646628</v>
      </c>
      <c r="Z286" s="34"/>
      <c r="AA286" s="4"/>
      <c r="AB286" s="4"/>
      <c r="AE286" s="4"/>
    </row>
    <row r="287" spans="1:31" x14ac:dyDescent="0.25">
      <c r="A287" s="12" t="s">
        <v>209</v>
      </c>
      <c r="B287" s="1" t="s">
        <v>656</v>
      </c>
      <c r="C287" s="1" t="s">
        <v>210</v>
      </c>
      <c r="D287" s="1" t="s">
        <v>554</v>
      </c>
      <c r="E287" s="1">
        <f>VLOOKUP(A287,BOM!A:E,5,0)</f>
        <v>2.5</v>
      </c>
      <c r="F287" s="122">
        <v>4.95</v>
      </c>
      <c r="G287" s="10">
        <v>6.12</v>
      </c>
      <c r="H287" s="11" t="s">
        <v>1874</v>
      </c>
      <c r="I287" s="49">
        <f>SUMIFS(BOM!Q:Q,BOM!A:A,'All Products'!A287,BOM!I:I,'All Products'!I$3)</f>
        <v>2.3686643835616441</v>
      </c>
      <c r="J287" s="49">
        <f>SUMIFS(BOM!Q:Q,BOM!A:A,'All Products'!A287,BOM!I:I,'All Products'!J$3)+0.03</f>
        <v>0.17</v>
      </c>
      <c r="K287" s="29">
        <f t="shared" si="59"/>
        <v>0.41481444175843857</v>
      </c>
      <c r="L287" s="49">
        <f>SUMIF(BOM!A:A,'All Products'!A287,BOM!S:S)</f>
        <v>0.50774999999999992</v>
      </c>
      <c r="M287" s="49">
        <f>SUMIF(BOM!A:A,'All Products'!A287,BOM!V:V)</f>
        <v>0.29618749999999999</v>
      </c>
      <c r="N287" s="29">
        <f t="shared" si="60"/>
        <v>0.13136233660130719</v>
      </c>
      <c r="O287" s="55">
        <v>0</v>
      </c>
      <c r="P287" s="49">
        <f t="shared" si="61"/>
        <v>3.3426018835616436</v>
      </c>
      <c r="Q287" s="11">
        <f t="shared" si="62"/>
        <v>2.7773981164383565</v>
      </c>
      <c r="R287" s="29">
        <f t="shared" si="63"/>
        <v>0.45382322164025435</v>
      </c>
      <c r="S287" s="91">
        <v>356.8</v>
      </c>
      <c r="T287" s="91">
        <f t="shared" si="65"/>
        <v>2183.616</v>
      </c>
      <c r="U287" s="90">
        <f t="shared" si="56"/>
        <v>990.97564794520565</v>
      </c>
      <c r="V287" s="90">
        <f t="shared" si="66"/>
        <v>990.97564794520565</v>
      </c>
      <c r="W287" s="90">
        <f t="shared" si="58"/>
        <v>0</v>
      </c>
      <c r="Y287" s="34">
        <f t="shared" si="64"/>
        <v>0.61296333601933917</v>
      </c>
      <c r="Z287" s="34"/>
      <c r="AA287" s="4"/>
      <c r="AB287" s="4"/>
      <c r="AE287" s="4"/>
    </row>
    <row r="288" spans="1:31" x14ac:dyDescent="0.25">
      <c r="A288" s="1" t="s">
        <v>207</v>
      </c>
      <c r="B288" s="1" t="s">
        <v>656</v>
      </c>
      <c r="C288" s="1" t="s">
        <v>208</v>
      </c>
      <c r="D288" s="1" t="s">
        <v>554</v>
      </c>
      <c r="E288" s="1">
        <f>VLOOKUP(A288,BOM!A:E,5,0)</f>
        <v>1</v>
      </c>
      <c r="F288" s="122">
        <v>2.7</v>
      </c>
      <c r="G288" s="10">
        <v>2.73</v>
      </c>
      <c r="H288" s="11" t="s">
        <v>1874</v>
      </c>
      <c r="I288" s="49">
        <f>SUMIFS(BOM!Q:Q,BOM!A:A,'All Products'!A288,BOM!I:I,'All Products'!I$3)</f>
        <v>0.97049197860962566</v>
      </c>
      <c r="J288" s="49">
        <f>SUMIFS(BOM!Q:Q,BOM!A:A,'All Products'!A288,BOM!I:I,'All Products'!J$3)+0.03</f>
        <v>0.17</v>
      </c>
      <c r="K288" s="29">
        <f t="shared" si="59"/>
        <v>0.41776262952733545</v>
      </c>
      <c r="L288" s="49">
        <f>SUMIF(BOM!A:A,'All Products'!A288,BOM!S:S)</f>
        <v>0.54724166666666663</v>
      </c>
      <c r="M288" s="49">
        <f>SUMIF(BOM!A:A,'All Products'!A288,BOM!V:V)</f>
        <v>0.21720416666666661</v>
      </c>
      <c r="N288" s="29">
        <f t="shared" si="60"/>
        <v>0.28001678876678876</v>
      </c>
      <c r="O288" s="55">
        <v>0</v>
      </c>
      <c r="P288" s="49">
        <f t="shared" si="61"/>
        <v>1.904937811942959</v>
      </c>
      <c r="Q288" s="11">
        <f t="shared" si="62"/>
        <v>0.82506218805704101</v>
      </c>
      <c r="R288" s="29">
        <f t="shared" si="63"/>
        <v>0.30222058170587585</v>
      </c>
      <c r="S288" s="91">
        <v>7.8</v>
      </c>
      <c r="T288" s="91">
        <f t="shared" si="65"/>
        <v>21.294</v>
      </c>
      <c r="U288" s="90">
        <f t="shared" si="56"/>
        <v>6.4354850668449197</v>
      </c>
      <c r="V288" s="90">
        <f t="shared" si="66"/>
        <v>6.4354850668449197</v>
      </c>
      <c r="W288" s="90">
        <f t="shared" si="58"/>
        <v>0</v>
      </c>
      <c r="Y288" s="34">
        <f t="shared" si="64"/>
        <v>0.64450843274372682</v>
      </c>
      <c r="Z288" s="34"/>
      <c r="AA288" s="4"/>
      <c r="AB288" s="4"/>
      <c r="AE288" s="4"/>
    </row>
    <row r="289" spans="1:31" x14ac:dyDescent="0.25">
      <c r="A289" s="1" t="s">
        <v>206</v>
      </c>
      <c r="B289" s="1" t="s">
        <v>656</v>
      </c>
      <c r="C289" s="1" t="s">
        <v>850</v>
      </c>
      <c r="D289" s="1" t="s">
        <v>554</v>
      </c>
      <c r="E289" s="1">
        <f>VLOOKUP(A289,BOM!A:E,5,0)</f>
        <v>2.5</v>
      </c>
      <c r="F289" s="122">
        <v>6.74</v>
      </c>
      <c r="G289" s="10">
        <v>6.83</v>
      </c>
      <c r="H289" s="11" t="s">
        <v>1874</v>
      </c>
      <c r="I289" s="49">
        <f>SUMIFS(BOM!Q:Q,BOM!A:A,'All Products'!A289,BOM!I:I,'All Products'!I$3)</f>
        <v>2.4262299465240642</v>
      </c>
      <c r="J289" s="49">
        <f>SUMIFS(BOM!Q:Q,BOM!A:A,'All Products'!A289,BOM!I:I,'All Products'!J$3)+0.03</f>
        <v>0.17</v>
      </c>
      <c r="K289" s="29">
        <f t="shared" si="59"/>
        <v>0.38012151486443108</v>
      </c>
      <c r="L289" s="49">
        <f>SUMIF(BOM!A:A,'All Products'!A289,BOM!S:S)</f>
        <v>1.3681041666666667</v>
      </c>
      <c r="M289" s="49">
        <f>SUMIF(BOM!A:A,'All Products'!A289,BOM!V:V)</f>
        <v>0.29618749999999999</v>
      </c>
      <c r="N289" s="29">
        <f t="shared" si="60"/>
        <v>0.24367374328940947</v>
      </c>
      <c r="O289" s="55">
        <v>0</v>
      </c>
      <c r="P289" s="49">
        <f t="shared" si="61"/>
        <v>4.2605216131907309</v>
      </c>
      <c r="Q289" s="11">
        <f t="shared" si="62"/>
        <v>2.5694783868092692</v>
      </c>
      <c r="R289" s="29">
        <f t="shared" si="63"/>
        <v>0.37620474184615948</v>
      </c>
      <c r="S289" s="91">
        <v>167.8</v>
      </c>
      <c r="T289" s="91">
        <f t="shared" si="65"/>
        <v>1146.0740000000001</v>
      </c>
      <c r="U289" s="90">
        <f t="shared" si="56"/>
        <v>431.1584733065954</v>
      </c>
      <c r="V289" s="90">
        <f t="shared" si="66"/>
        <v>431.1584733065954</v>
      </c>
      <c r="W289" s="90">
        <f t="shared" si="58"/>
        <v>0</v>
      </c>
      <c r="Y289" s="34">
        <f t="shared" si="64"/>
        <v>0.64476867547231864</v>
      </c>
      <c r="Z289" s="34"/>
      <c r="AA289" s="4"/>
      <c r="AB289" s="4"/>
      <c r="AE289" s="4"/>
    </row>
    <row r="290" spans="1:31" x14ac:dyDescent="0.25">
      <c r="A290" s="1" t="s">
        <v>205</v>
      </c>
      <c r="B290" s="1" t="s">
        <v>656</v>
      </c>
      <c r="C290" s="1" t="s">
        <v>851</v>
      </c>
      <c r="D290" s="1" t="s">
        <v>554</v>
      </c>
      <c r="E290" s="1">
        <f>VLOOKUP(A290,BOM!A:E,5,0)</f>
        <v>1</v>
      </c>
      <c r="F290" s="122">
        <v>1.95</v>
      </c>
      <c r="G290" s="10">
        <v>1.97</v>
      </c>
      <c r="H290" s="11" t="s">
        <v>1874</v>
      </c>
      <c r="I290" s="49">
        <f>SUMIFS(BOM!Q:Q,BOM!A:A,'All Products'!A290,BOM!I:I,'All Products'!I$3)</f>
        <v>0.95808579871371469</v>
      </c>
      <c r="J290" s="49">
        <f>SUMIFS(BOM!Q:Q,BOM!A:A,'All Products'!A290,BOM!I:I,'All Products'!J$3)+0.03</f>
        <v>0.17</v>
      </c>
      <c r="K290" s="29">
        <f t="shared" si="59"/>
        <v>0.57263238513386538</v>
      </c>
      <c r="L290" s="49">
        <f>SUMIF(BOM!A:A,'All Products'!A290,BOM!S:S)</f>
        <v>0.42312499999999997</v>
      </c>
      <c r="M290" s="49">
        <f>SUMIF(BOM!A:A,'All Products'!A290,BOM!V:V)</f>
        <v>0.21720416666666661</v>
      </c>
      <c r="N290" s="29">
        <f t="shared" si="60"/>
        <v>0.32504018612521146</v>
      </c>
      <c r="O290" s="55">
        <v>0</v>
      </c>
      <c r="P290" s="49">
        <f t="shared" si="61"/>
        <v>1.7684149653803813</v>
      </c>
      <c r="Q290" s="11">
        <f t="shared" si="62"/>
        <v>0.20158503461961863</v>
      </c>
      <c r="R290" s="29">
        <f t="shared" si="63"/>
        <v>0.10232742874092317</v>
      </c>
      <c r="S290" s="91">
        <v>55.6</v>
      </c>
      <c r="T290" s="91">
        <f t="shared" si="65"/>
        <v>109.532</v>
      </c>
      <c r="U290" s="90">
        <f t="shared" si="56"/>
        <v>11.208127924850796</v>
      </c>
      <c r="V290" s="90">
        <f t="shared" si="66"/>
        <v>11.208127924850796</v>
      </c>
      <c r="W290" s="90">
        <f t="shared" si="58"/>
        <v>0</v>
      </c>
      <c r="Y290" s="34">
        <f t="shared" si="64"/>
        <v>0.51366203110978959</v>
      </c>
      <c r="Z290" s="34"/>
      <c r="AA290" s="4"/>
      <c r="AB290" s="4"/>
      <c r="AE290" s="4"/>
    </row>
    <row r="291" spans="1:31" x14ac:dyDescent="0.25">
      <c r="A291" s="1" t="s">
        <v>204</v>
      </c>
      <c r="B291" s="1" t="s">
        <v>656</v>
      </c>
      <c r="C291" s="1" t="s">
        <v>852</v>
      </c>
      <c r="D291" s="1" t="s">
        <v>554</v>
      </c>
      <c r="E291" s="1">
        <f>VLOOKUP(A291,BOM!A:E,5,0)</f>
        <v>2.5</v>
      </c>
      <c r="F291" s="122">
        <v>4.8600000000000003</v>
      </c>
      <c r="G291" s="10">
        <v>4.9000000000000004</v>
      </c>
      <c r="H291" s="11" t="s">
        <v>1874</v>
      </c>
      <c r="I291" s="49">
        <f>SUMIFS(BOM!Q:Q,BOM!A:A,'All Products'!A291,BOM!I:I,'All Products'!I$3)</f>
        <v>2.3952144967842868</v>
      </c>
      <c r="J291" s="49">
        <f>SUMIFS(BOM!Q:Q,BOM!A:A,'All Products'!A291,BOM!I:I,'All Products'!J$3)+0.03</f>
        <v>0.17</v>
      </c>
      <c r="K291" s="29">
        <f t="shared" si="59"/>
        <v>0.52351316260903802</v>
      </c>
      <c r="L291" s="49">
        <f>SUMIF(BOM!A:A,'All Products'!A291,BOM!S:S)</f>
        <v>1.0578124999999998</v>
      </c>
      <c r="M291" s="49">
        <f>SUMIF(BOM!A:A,'All Products'!A291,BOM!V:V)</f>
        <v>0.29618749999999999</v>
      </c>
      <c r="N291" s="29">
        <f t="shared" si="60"/>
        <v>0.27632653061224483</v>
      </c>
      <c r="O291" s="55">
        <v>0</v>
      </c>
      <c r="P291" s="49">
        <f t="shared" si="61"/>
        <v>3.9192144967842864</v>
      </c>
      <c r="Q291" s="11">
        <f t="shared" si="62"/>
        <v>0.98078550321571401</v>
      </c>
      <c r="R291" s="29">
        <f t="shared" si="63"/>
        <v>0.20016030677871713</v>
      </c>
      <c r="S291" s="91">
        <v>428</v>
      </c>
      <c r="T291" s="91">
        <f t="shared" si="65"/>
        <v>2097.2000000000003</v>
      </c>
      <c r="U291" s="90">
        <f t="shared" si="56"/>
        <v>419.77619537632557</v>
      </c>
      <c r="V291" s="90">
        <f t="shared" si="66"/>
        <v>419.77619537632557</v>
      </c>
      <c r="W291" s="90">
        <f t="shared" si="58"/>
        <v>0</v>
      </c>
      <c r="Y291" s="34">
        <f t="shared" si="64"/>
        <v>0.51118071494198236</v>
      </c>
      <c r="Z291" s="34"/>
      <c r="AA291" s="4"/>
      <c r="AB291" s="4"/>
      <c r="AE291" s="4"/>
    </row>
    <row r="292" spans="1:31" x14ac:dyDescent="0.25">
      <c r="A292" s="1" t="s">
        <v>202</v>
      </c>
      <c r="B292" s="1" t="s">
        <v>656</v>
      </c>
      <c r="C292" s="1" t="s">
        <v>203</v>
      </c>
      <c r="D292" s="1" t="s">
        <v>554</v>
      </c>
      <c r="E292" s="1">
        <f>VLOOKUP(A292,BOM!A:E,5,0)</f>
        <v>1</v>
      </c>
      <c r="F292" s="122">
        <v>10.26</v>
      </c>
      <c r="G292" s="10">
        <v>9.92</v>
      </c>
      <c r="H292" s="11" t="s">
        <v>1874</v>
      </c>
      <c r="I292" s="49">
        <f>SUMIFS(BOM!Q:Q,BOM!A:A,'All Products'!A292,BOM!I:I,'All Products'!I$3)</f>
        <v>0</v>
      </c>
      <c r="J292" s="49">
        <f>SUMIFS(BOM!Q:Q,BOM!A:A,'All Products'!A292,BOM!I:I,'All Products'!J$3)+0.03</f>
        <v>0.17</v>
      </c>
      <c r="K292" s="29">
        <f t="shared" si="59"/>
        <v>1.7137096774193551E-2</v>
      </c>
      <c r="L292" s="49">
        <f>SUMIF(BOM!A:A,'All Products'!A292,BOM!S:S)</f>
        <v>3.3921413502109701</v>
      </c>
      <c r="M292" s="49">
        <f>SUMIF(BOM!A:A,'All Products'!A292,BOM!V:V)</f>
        <v>0.21720416666666661</v>
      </c>
      <c r="N292" s="29">
        <f t="shared" si="60"/>
        <v>0.36384531420137467</v>
      </c>
      <c r="O292" s="55">
        <v>0</v>
      </c>
      <c r="P292" s="49">
        <f t="shared" si="61"/>
        <v>3.7793455168776369</v>
      </c>
      <c r="Q292" s="11">
        <f t="shared" si="62"/>
        <v>6.1406544831223631</v>
      </c>
      <c r="R292" s="29">
        <f t="shared" si="63"/>
        <v>0.61901758902443171</v>
      </c>
      <c r="S292" s="91">
        <v>26.4</v>
      </c>
      <c r="T292" s="91">
        <f t="shared" si="65"/>
        <v>261.88799999999998</v>
      </c>
      <c r="U292" s="90">
        <f t="shared" si="56"/>
        <v>162.11327835443038</v>
      </c>
      <c r="V292" s="90">
        <f t="shared" si="66"/>
        <v>162.11327835443038</v>
      </c>
      <c r="W292" s="90">
        <f t="shared" si="58"/>
        <v>0</v>
      </c>
      <c r="Y292" s="34">
        <f t="shared" si="64"/>
        <v>1</v>
      </c>
      <c r="Z292" s="34"/>
      <c r="AA292" s="4"/>
      <c r="AB292" s="4"/>
      <c r="AE292" s="4"/>
    </row>
    <row r="293" spans="1:31" x14ac:dyDescent="0.25">
      <c r="A293" s="1" t="s">
        <v>853</v>
      </c>
      <c r="B293" s="1" t="s">
        <v>656</v>
      </c>
      <c r="C293" s="1" t="s">
        <v>854</v>
      </c>
      <c r="D293" s="1" t="s">
        <v>554</v>
      </c>
      <c r="E293" s="1">
        <f>VLOOKUP(A293,BOM!A:E,5,0)</f>
        <v>2.5</v>
      </c>
      <c r="F293" s="122">
        <v>25.65</v>
      </c>
      <c r="G293" s="10">
        <v>25.52</v>
      </c>
      <c r="H293" s="11" t="s">
        <v>1874</v>
      </c>
      <c r="I293" s="49">
        <f>SUMIFS(BOM!Q:Q,BOM!A:A,'All Products'!A293,BOM!I:I,'All Products'!I$3)</f>
        <v>0</v>
      </c>
      <c r="J293" s="49">
        <f>SUMIFS(BOM!Q:Q,BOM!A:A,'All Products'!A293,BOM!I:I,'All Products'!J$3)+0.03</f>
        <v>0.17</v>
      </c>
      <c r="K293" s="29">
        <f t="shared" si="59"/>
        <v>6.6614420062695934E-3</v>
      </c>
      <c r="L293" s="49">
        <f>SUMIF(BOM!A:A,'All Products'!A293,BOM!S:S)</f>
        <v>8.4803533755274252</v>
      </c>
      <c r="M293" s="49">
        <f>SUMIF(BOM!A:A,'All Products'!A293,BOM!V:V)</f>
        <v>0.29618749999999999</v>
      </c>
      <c r="N293" s="29">
        <f t="shared" si="60"/>
        <v>0.34390834151753236</v>
      </c>
      <c r="O293" s="55">
        <v>0</v>
      </c>
      <c r="P293" s="49">
        <f t="shared" si="61"/>
        <v>8.9465408755274254</v>
      </c>
      <c r="Q293" s="11">
        <f t="shared" si="62"/>
        <v>16.573459124472574</v>
      </c>
      <c r="R293" s="29">
        <f t="shared" si="63"/>
        <v>0.64943021647619803</v>
      </c>
      <c r="S293" s="91">
        <v>7.8</v>
      </c>
      <c r="T293" s="91">
        <f t="shared" si="65"/>
        <v>199.05599999999998</v>
      </c>
      <c r="U293" s="90">
        <f t="shared" si="56"/>
        <v>129.27298117088608</v>
      </c>
      <c r="V293" s="90">
        <f t="shared" si="66"/>
        <v>129.27298117088608</v>
      </c>
      <c r="W293" s="90">
        <f t="shared" si="58"/>
        <v>0</v>
      </c>
      <c r="Y293" s="34">
        <f t="shared" si="64"/>
        <v>1</v>
      </c>
      <c r="Z293" s="34"/>
      <c r="AA293" s="4"/>
      <c r="AB293" s="4"/>
      <c r="AE293" s="4"/>
    </row>
    <row r="294" spans="1:31" x14ac:dyDescent="0.25">
      <c r="A294" s="1" t="s">
        <v>407</v>
      </c>
      <c r="B294" s="1" t="s">
        <v>656</v>
      </c>
      <c r="C294" s="1" t="s">
        <v>408</v>
      </c>
      <c r="D294" s="1" t="s">
        <v>554</v>
      </c>
      <c r="E294" s="1">
        <f>VLOOKUP(A294,BOM!A:E,5,0)</f>
        <v>1</v>
      </c>
      <c r="F294" s="122">
        <v>4.74</v>
      </c>
      <c r="G294" s="10">
        <v>4.9800000000000004</v>
      </c>
      <c r="H294" s="11" t="s">
        <v>1874</v>
      </c>
      <c r="I294" s="49">
        <f>SUMIFS(BOM!Q:Q,BOM!A:A,'All Products'!A294,BOM!I:I,'All Products'!I$3)</f>
        <v>1.3496551724137933</v>
      </c>
      <c r="J294" s="49">
        <f>SUMIFS(BOM!Q:Q,BOM!A:A,'All Products'!A294,BOM!I:I,'All Products'!J$3)+0.03</f>
        <v>0.17</v>
      </c>
      <c r="K294" s="29">
        <f t="shared" si="59"/>
        <v>0.30515164104694642</v>
      </c>
      <c r="L294" s="49">
        <f>SUMIF(BOM!A:A,'All Products'!A294,BOM!S:S)</f>
        <v>2.5842724137931032</v>
      </c>
      <c r="M294" s="49">
        <f>SUMIF(BOM!A:A,'All Products'!A294,BOM!V:V)</f>
        <v>0.21720416666666661</v>
      </c>
      <c r="N294" s="29">
        <f t="shared" si="60"/>
        <v>0.562545498084291</v>
      </c>
      <c r="O294" s="55">
        <v>0</v>
      </c>
      <c r="P294" s="49">
        <f t="shared" si="61"/>
        <v>4.3211317528735629</v>
      </c>
      <c r="Q294" s="11">
        <f t="shared" si="62"/>
        <v>0.65886824712643755</v>
      </c>
      <c r="R294" s="29">
        <f t="shared" si="63"/>
        <v>0.13230286086876256</v>
      </c>
      <c r="S294" s="91">
        <v>4.8</v>
      </c>
      <c r="T294" s="91">
        <f t="shared" si="65"/>
        <v>23.904</v>
      </c>
      <c r="U294" s="90">
        <f t="shared" si="56"/>
        <v>3.1625675862069</v>
      </c>
      <c r="V294" s="90">
        <f t="shared" si="66"/>
        <v>3.1625675862069</v>
      </c>
      <c r="W294" s="90">
        <f t="shared" si="58"/>
        <v>0</v>
      </c>
      <c r="Y294" s="34">
        <f t="shared" si="64"/>
        <v>0.72898490513779257</v>
      </c>
      <c r="Z294" s="34"/>
      <c r="AA294" s="4"/>
      <c r="AB294" s="4"/>
      <c r="AE294" s="4"/>
    </row>
    <row r="295" spans="1:31" x14ac:dyDescent="0.25">
      <c r="A295" s="1" t="s">
        <v>198</v>
      </c>
      <c r="B295" s="1" t="s">
        <v>656</v>
      </c>
      <c r="C295" s="1" t="s">
        <v>199</v>
      </c>
      <c r="D295" s="1" t="s">
        <v>554</v>
      </c>
      <c r="E295" s="1">
        <f>VLOOKUP(A295,BOM!A:E,5,0)</f>
        <v>2.5</v>
      </c>
      <c r="F295" s="122">
        <v>11.85</v>
      </c>
      <c r="G295" s="10">
        <v>12.44</v>
      </c>
      <c r="H295" s="11" t="s">
        <v>1874</v>
      </c>
      <c r="I295" s="49">
        <f>SUMIFS(BOM!Q:Q,BOM!A:A,'All Products'!A295,BOM!I:I,'All Products'!I$3)</f>
        <v>3.374137931034483</v>
      </c>
      <c r="J295" s="49">
        <f>SUMIFS(BOM!Q:Q,BOM!A:A,'All Products'!A295,BOM!I:I,'All Products'!J$3)+0.03</f>
        <v>0.17</v>
      </c>
      <c r="K295" s="29">
        <f t="shared" si="59"/>
        <v>0.28489854751081056</v>
      </c>
      <c r="L295" s="49">
        <f>SUMIF(BOM!A:A,'All Products'!A295,BOM!S:S)</f>
        <v>6.460681034482759</v>
      </c>
      <c r="M295" s="49">
        <f>SUMIF(BOM!A:A,'All Products'!A295,BOM!V:V)</f>
        <v>0.29618749999999999</v>
      </c>
      <c r="N295" s="29">
        <f t="shared" si="60"/>
        <v>0.54315663460472341</v>
      </c>
      <c r="O295" s="55">
        <v>0</v>
      </c>
      <c r="P295" s="49">
        <f t="shared" si="61"/>
        <v>10.301006465517242</v>
      </c>
      <c r="Q295" s="11">
        <f t="shared" si="62"/>
        <v>2.1389935344827578</v>
      </c>
      <c r="R295" s="29">
        <f t="shared" si="63"/>
        <v>0.17194481788446606</v>
      </c>
      <c r="S295" s="91">
        <v>78.400000000000006</v>
      </c>
      <c r="T295" s="91">
        <f t="shared" si="65"/>
        <v>975.29600000000005</v>
      </c>
      <c r="U295" s="90">
        <f t="shared" si="56"/>
        <v>167.69709310344822</v>
      </c>
      <c r="V295" s="90">
        <f t="shared" si="66"/>
        <v>167.69709310344822</v>
      </c>
      <c r="W295" s="90">
        <f t="shared" si="58"/>
        <v>0</v>
      </c>
      <c r="Y295" s="34">
        <f t="shared" si="64"/>
        <v>0.72876704734449493</v>
      </c>
      <c r="Z295" s="34"/>
      <c r="AA295" s="4"/>
      <c r="AB295" s="4"/>
      <c r="AE295" s="4"/>
    </row>
    <row r="296" spans="1:31" x14ac:dyDescent="0.25">
      <c r="A296" s="1" t="s">
        <v>196</v>
      </c>
      <c r="B296" s="1" t="s">
        <v>656</v>
      </c>
      <c r="C296" s="1" t="s">
        <v>197</v>
      </c>
      <c r="D296" s="1" t="s">
        <v>554</v>
      </c>
      <c r="E296" s="1">
        <f>VLOOKUP(A296,BOM!A:E,5,0)</f>
        <v>1</v>
      </c>
      <c r="F296" s="122">
        <v>3.04</v>
      </c>
      <c r="G296" s="10">
        <v>3.18</v>
      </c>
      <c r="H296" s="11" t="s">
        <v>1874</v>
      </c>
      <c r="I296" s="49">
        <f>SUMIFS(BOM!Q:Q,BOM!A:A,'All Products'!A296,BOM!I:I,'All Products'!I$3)</f>
        <v>1.1182857142857143</v>
      </c>
      <c r="J296" s="49">
        <f>SUMIFS(BOM!Q:Q,BOM!A:A,'All Products'!A296,BOM!I:I,'All Products'!J$3)+0.03</f>
        <v>0.17</v>
      </c>
      <c r="K296" s="29">
        <f t="shared" si="59"/>
        <v>0.40512129380053907</v>
      </c>
      <c r="L296" s="49">
        <f>SUMIF(BOM!A:A,'All Products'!A296,BOM!S:S)</f>
        <v>0.91636785714285707</v>
      </c>
      <c r="M296" s="49">
        <f>SUMIF(BOM!A:A,'All Products'!A296,BOM!V:V)</f>
        <v>0.21720416666666661</v>
      </c>
      <c r="N296" s="29">
        <f t="shared" si="60"/>
        <v>0.35646918987720871</v>
      </c>
      <c r="O296" s="55">
        <v>0</v>
      </c>
      <c r="P296" s="49">
        <f t="shared" si="61"/>
        <v>2.421857738095238</v>
      </c>
      <c r="Q296" s="11">
        <f t="shared" si="62"/>
        <v>0.75814226190476219</v>
      </c>
      <c r="R296" s="29">
        <f t="shared" si="63"/>
        <v>0.23840951632225224</v>
      </c>
      <c r="S296" s="91">
        <v>5.2</v>
      </c>
      <c r="T296" s="91">
        <f t="shared" si="65"/>
        <v>16.536000000000001</v>
      </c>
      <c r="U296" s="90">
        <f t="shared" si="56"/>
        <v>3.9423397619047638</v>
      </c>
      <c r="V296" s="90">
        <f t="shared" si="66"/>
        <v>3.9423397619047638</v>
      </c>
      <c r="W296" s="90">
        <f t="shared" si="58"/>
        <v>0</v>
      </c>
      <c r="Y296" s="34">
        <f t="shared" si="64"/>
        <v>0.64833782569631626</v>
      </c>
      <c r="Z296" s="34"/>
      <c r="AA296" s="4"/>
      <c r="AB296" s="4"/>
      <c r="AE296" s="4"/>
    </row>
    <row r="297" spans="1:31" x14ac:dyDescent="0.25">
      <c r="A297" s="1" t="s">
        <v>503</v>
      </c>
      <c r="B297" s="1" t="s">
        <v>656</v>
      </c>
      <c r="C297" s="1" t="s">
        <v>504</v>
      </c>
      <c r="D297" s="1" t="s">
        <v>554</v>
      </c>
      <c r="E297" s="1">
        <f>VLOOKUP(A297,BOM!A:E,5,0)</f>
        <v>2.5</v>
      </c>
      <c r="F297" s="122">
        <v>7.59</v>
      </c>
      <c r="G297" s="10">
        <v>7.93</v>
      </c>
      <c r="H297" s="11" t="s">
        <v>1874</v>
      </c>
      <c r="I297" s="49">
        <f>SUMIFS(BOM!Q:Q,BOM!A:A,'All Products'!A297,BOM!I:I,'All Products'!I$3)</f>
        <v>2.7957142857142858</v>
      </c>
      <c r="J297" s="49">
        <f>SUMIFS(BOM!Q:Q,BOM!A:A,'All Products'!A297,BOM!I:I,'All Products'!J$3)+0.03</f>
        <v>0.17</v>
      </c>
      <c r="K297" s="29">
        <f t="shared" si="59"/>
        <v>0.37398666906863631</v>
      </c>
      <c r="L297" s="49">
        <f>SUMIF(BOM!A:A,'All Products'!A297,BOM!S:S)</f>
        <v>2.2909196428571428</v>
      </c>
      <c r="M297" s="49">
        <f>SUMIF(BOM!A:A,'All Products'!A297,BOM!V:V)</f>
        <v>0.29618749999999999</v>
      </c>
      <c r="N297" s="29">
        <f t="shared" si="60"/>
        <v>0.32624301927580612</v>
      </c>
      <c r="O297" s="55">
        <v>0</v>
      </c>
      <c r="P297" s="49">
        <f t="shared" si="61"/>
        <v>5.5528214285714288</v>
      </c>
      <c r="Q297" s="11">
        <f t="shared" si="62"/>
        <v>2.3771785714285709</v>
      </c>
      <c r="R297" s="29">
        <f t="shared" si="63"/>
        <v>0.29977031165555751</v>
      </c>
      <c r="S297" s="91">
        <v>0.8</v>
      </c>
      <c r="T297" s="91">
        <f t="shared" si="65"/>
        <v>6.3440000000000003</v>
      </c>
      <c r="U297" s="90">
        <f t="shared" si="56"/>
        <v>1.9017428571428567</v>
      </c>
      <c r="V297" s="90">
        <f t="shared" si="66"/>
        <v>1.9017428571428567</v>
      </c>
      <c r="W297" s="90">
        <f t="shared" si="58"/>
        <v>0</v>
      </c>
      <c r="Y297" s="34">
        <f t="shared" si="64"/>
        <v>0.64745090974599162</v>
      </c>
      <c r="Z297" s="34"/>
      <c r="AA297" s="4"/>
      <c r="AB297" s="4"/>
      <c r="AE297" s="4"/>
    </row>
    <row r="298" spans="1:31" x14ac:dyDescent="0.25">
      <c r="A298" s="1" t="s">
        <v>194</v>
      </c>
      <c r="B298" s="1" t="s">
        <v>656</v>
      </c>
      <c r="C298" s="1" t="s">
        <v>195</v>
      </c>
      <c r="D298" s="1" t="s">
        <v>554</v>
      </c>
      <c r="E298" s="1">
        <f>VLOOKUP(A298,BOM!A:E,5,0)</f>
        <v>1</v>
      </c>
      <c r="F298" s="122">
        <v>5.29</v>
      </c>
      <c r="G298" s="10">
        <v>5.51</v>
      </c>
      <c r="H298" s="11" t="s">
        <v>1874</v>
      </c>
      <c r="I298" s="49">
        <f>SUMIFS(BOM!Q:Q,BOM!A:A,'All Products'!A298,BOM!I:I,'All Products'!I$3)</f>
        <v>2.2987018373356558</v>
      </c>
      <c r="J298" s="49">
        <f>SUMIFS(BOM!Q:Q,BOM!A:A,'All Products'!A298,BOM!I:I,'All Products'!J$3)+0.03</f>
        <v>0.17</v>
      </c>
      <c r="K298" s="29">
        <f t="shared" si="59"/>
        <v>0.44804026085946569</v>
      </c>
      <c r="L298" s="49">
        <f>SUMIF(BOM!A:A,'All Products'!A298,BOM!S:S)</f>
        <v>0.4308753623468729</v>
      </c>
      <c r="M298" s="49">
        <f>SUMIF(BOM!A:A,'All Products'!A298,BOM!V:V)</f>
        <v>0.21720416666666661</v>
      </c>
      <c r="N298" s="29">
        <f t="shared" si="60"/>
        <v>0.11761878929465328</v>
      </c>
      <c r="O298" s="55">
        <v>0</v>
      </c>
      <c r="P298" s="49">
        <f t="shared" si="61"/>
        <v>3.116781366349195</v>
      </c>
      <c r="Q298" s="11">
        <f t="shared" si="62"/>
        <v>2.3932186336508048</v>
      </c>
      <c r="R298" s="29">
        <f t="shared" si="63"/>
        <v>0.43434094984588112</v>
      </c>
      <c r="S298" s="91">
        <v>60</v>
      </c>
      <c r="T298" s="91">
        <f t="shared" si="65"/>
        <v>330.59999999999997</v>
      </c>
      <c r="U298" s="90">
        <f t="shared" si="56"/>
        <v>143.59311801904829</v>
      </c>
      <c r="V298" s="90">
        <f t="shared" si="66"/>
        <v>143.59311801904829</v>
      </c>
      <c r="W298" s="90">
        <f t="shared" si="58"/>
        <v>0</v>
      </c>
      <c r="Y298" s="34">
        <f t="shared" si="64"/>
        <v>0.58281273369588826</v>
      </c>
      <c r="Z298" s="34"/>
      <c r="AA298" s="4"/>
      <c r="AB298" s="4"/>
      <c r="AE298" s="4"/>
    </row>
    <row r="299" spans="1:31" x14ac:dyDescent="0.25">
      <c r="A299" s="1" t="s">
        <v>192</v>
      </c>
      <c r="B299" s="1" t="s">
        <v>656</v>
      </c>
      <c r="C299" s="1" t="s">
        <v>193</v>
      </c>
      <c r="D299" s="1" t="s">
        <v>554</v>
      </c>
      <c r="E299" s="1">
        <f>VLOOKUP(A299,BOM!A:E,5,0)</f>
        <v>2.5</v>
      </c>
      <c r="F299" s="122">
        <v>13.22</v>
      </c>
      <c r="G299" s="10">
        <v>13.75</v>
      </c>
      <c r="H299" s="11" t="s">
        <v>1874</v>
      </c>
      <c r="I299" s="49">
        <f>SUMIFS(BOM!Q:Q,BOM!A:A,'All Products'!A299,BOM!I:I,'All Products'!I$3)</f>
        <v>5.7467545933391397</v>
      </c>
      <c r="J299" s="49">
        <f>SUMIFS(BOM!Q:Q,BOM!A:A,'All Products'!A299,BOM!I:I,'All Products'!J$3)+0.03</f>
        <v>0.17</v>
      </c>
      <c r="K299" s="29">
        <f t="shared" si="59"/>
        <v>0.43030942497011926</v>
      </c>
      <c r="L299" s="49">
        <f>SUMIF(BOM!A:A,'All Products'!A299,BOM!S:S)</f>
        <v>1.0771884058671823</v>
      </c>
      <c r="M299" s="49">
        <f>SUMIF(BOM!A:A,'All Products'!A299,BOM!V:V)</f>
        <v>0.29618749999999999</v>
      </c>
      <c r="N299" s="29">
        <f t="shared" si="60"/>
        <v>9.9881884063067805E-2</v>
      </c>
      <c r="O299" s="55">
        <v>0</v>
      </c>
      <c r="P299" s="49">
        <f t="shared" si="61"/>
        <v>7.2901304992063221</v>
      </c>
      <c r="Q299" s="11">
        <f t="shared" si="62"/>
        <v>6.4598695007936779</v>
      </c>
      <c r="R299" s="29">
        <f t="shared" si="63"/>
        <v>0.46980869096681294</v>
      </c>
      <c r="S299" s="91">
        <v>99</v>
      </c>
      <c r="T299" s="91">
        <f t="shared" si="65"/>
        <v>1361.25</v>
      </c>
      <c r="U299" s="90">
        <f t="shared" si="56"/>
        <v>639.5270805785741</v>
      </c>
      <c r="V299" s="90">
        <f t="shared" si="66"/>
        <v>639.5270805785741</v>
      </c>
      <c r="W299" s="90">
        <f t="shared" si="58"/>
        <v>0</v>
      </c>
      <c r="Y299" s="34">
        <f t="shared" si="64"/>
        <v>0.5820542113935171</v>
      </c>
      <c r="Z299" s="34"/>
      <c r="AA299" s="4"/>
      <c r="AB299" s="4"/>
      <c r="AE299" s="4"/>
    </row>
    <row r="300" spans="1:31" x14ac:dyDescent="0.25">
      <c r="A300" s="1" t="s">
        <v>190</v>
      </c>
      <c r="B300" s="1" t="s">
        <v>656</v>
      </c>
      <c r="C300" s="1" t="s">
        <v>191</v>
      </c>
      <c r="D300" s="1" t="s">
        <v>554</v>
      </c>
      <c r="E300" s="1">
        <f>VLOOKUP(A300,BOM!A:E,5,0)</f>
        <v>1</v>
      </c>
      <c r="F300" s="122">
        <v>7.95</v>
      </c>
      <c r="G300" s="10">
        <v>8.33</v>
      </c>
      <c r="H300" s="11" t="s">
        <v>1874</v>
      </c>
      <c r="I300" s="49">
        <f>SUMIFS(BOM!Q:Q,BOM!A:A,'All Products'!A300,BOM!I:I,'All Products'!I$3)</f>
        <v>4</v>
      </c>
      <c r="J300" s="49">
        <f>SUMIFS(BOM!Q:Q,BOM!A:A,'All Products'!A300,BOM!I:I,'All Products'!J$3)+0.03</f>
        <v>0.17</v>
      </c>
      <c r="K300" s="29">
        <f t="shared" si="59"/>
        <v>0.50060024009603843</v>
      </c>
      <c r="L300" s="49">
        <f>SUMIF(BOM!A:A,'All Products'!A300,BOM!S:S)</f>
        <v>2.1156249999999996</v>
      </c>
      <c r="M300" s="49">
        <f>SUMIF(BOM!A:A,'All Products'!A300,BOM!V:V)</f>
        <v>0.21720416666666661</v>
      </c>
      <c r="N300" s="29">
        <f t="shared" si="60"/>
        <v>0.28005152060824323</v>
      </c>
      <c r="O300" s="55">
        <v>0</v>
      </c>
      <c r="P300" s="49">
        <f t="shared" si="61"/>
        <v>6.5028291666666664</v>
      </c>
      <c r="Q300" s="11">
        <f t="shared" si="62"/>
        <v>1.8271708333333336</v>
      </c>
      <c r="R300" s="29">
        <f t="shared" si="63"/>
        <v>0.21934823929571831</v>
      </c>
      <c r="S300" s="91">
        <v>3.4</v>
      </c>
      <c r="T300" s="91">
        <f t="shared" si="65"/>
        <v>28.321999999999999</v>
      </c>
      <c r="U300" s="90">
        <f t="shared" si="56"/>
        <v>6.2123808333333344</v>
      </c>
      <c r="V300" s="90">
        <f t="shared" si="66"/>
        <v>6.2123808333333344</v>
      </c>
      <c r="W300" s="90">
        <f t="shared" si="58"/>
        <v>0</v>
      </c>
      <c r="Y300" s="34">
        <f t="shared" si="64"/>
        <v>0.51980792316926772</v>
      </c>
      <c r="Z300" s="34"/>
      <c r="AA300" s="4"/>
      <c r="AB300" s="4"/>
      <c r="AE300" s="4"/>
    </row>
    <row r="301" spans="1:31" x14ac:dyDescent="0.25">
      <c r="A301" s="1" t="s">
        <v>855</v>
      </c>
      <c r="B301" s="1" t="s">
        <v>656</v>
      </c>
      <c r="C301" s="1" t="s">
        <v>856</v>
      </c>
      <c r="D301" s="1" t="s">
        <v>554</v>
      </c>
      <c r="E301" s="1">
        <f>VLOOKUP(A301,BOM!A:E,5,0)</f>
        <v>2.5</v>
      </c>
      <c r="F301" s="122">
        <v>19.559999999999999</v>
      </c>
      <c r="G301" s="10">
        <v>20.49</v>
      </c>
      <c r="H301" s="11" t="s">
        <v>1874</v>
      </c>
      <c r="I301" s="49">
        <f>SUMIFS(BOM!Q:Q,BOM!A:A,'All Products'!A301,BOM!I:I,'All Products'!I$3)</f>
        <v>10</v>
      </c>
      <c r="J301" s="49">
        <f>SUMIFS(BOM!Q:Q,BOM!A:A,'All Products'!A301,BOM!I:I,'All Products'!J$3)+0.03</f>
        <v>0.17</v>
      </c>
      <c r="K301" s="29">
        <f t="shared" si="59"/>
        <v>0.49633967789165451</v>
      </c>
      <c r="L301" s="49">
        <f>SUMIF(BOM!A:A,'All Products'!A301,BOM!S:S)</f>
        <v>5.2890624999999991</v>
      </c>
      <c r="M301" s="49">
        <f>SUMIF(BOM!A:A,'All Products'!A301,BOM!V:V)</f>
        <v>0.29618749999999999</v>
      </c>
      <c r="N301" s="29">
        <f t="shared" si="60"/>
        <v>0.27258418740849194</v>
      </c>
      <c r="O301" s="55">
        <v>0</v>
      </c>
      <c r="P301" s="49">
        <f t="shared" si="61"/>
        <v>15.75525</v>
      </c>
      <c r="Q301" s="11">
        <f t="shared" si="62"/>
        <v>4.7347499999999982</v>
      </c>
      <c r="R301" s="29">
        <f t="shared" si="63"/>
        <v>0.23107613469985352</v>
      </c>
      <c r="S301" s="91">
        <v>8.4</v>
      </c>
      <c r="T301" s="91">
        <f t="shared" si="65"/>
        <v>172.11599999999999</v>
      </c>
      <c r="U301" s="90">
        <f t="shared" si="56"/>
        <v>39.771899999999988</v>
      </c>
      <c r="V301" s="90">
        <f t="shared" si="66"/>
        <v>39.771899999999988</v>
      </c>
      <c r="W301" s="90">
        <f t="shared" si="58"/>
        <v>0</v>
      </c>
      <c r="Y301" s="34">
        <f t="shared" si="64"/>
        <v>0.5119570522205954</v>
      </c>
      <c r="Z301" s="34"/>
      <c r="AA301" s="4"/>
      <c r="AB301" s="4"/>
      <c r="AE301" s="4"/>
    </row>
    <row r="302" spans="1:31" x14ac:dyDescent="0.25">
      <c r="A302" s="1" t="s">
        <v>857</v>
      </c>
      <c r="B302" s="1" t="s">
        <v>656</v>
      </c>
      <c r="C302" s="1" t="s">
        <v>858</v>
      </c>
      <c r="D302" s="1" t="s">
        <v>554</v>
      </c>
      <c r="E302" s="1">
        <f>VLOOKUP(A302,BOM!A:E,5,0)</f>
        <v>1</v>
      </c>
      <c r="F302" s="122">
        <v>6.5</v>
      </c>
      <c r="G302" s="10">
        <v>6.69</v>
      </c>
      <c r="H302" s="11" t="s">
        <v>1874</v>
      </c>
      <c r="I302" s="49">
        <f>SUMIFS(BOM!Q:Q,BOM!A:A,'All Products'!A302,BOM!I:I,'All Products'!I$3)</f>
        <v>2.2692325810560723</v>
      </c>
      <c r="J302" s="49">
        <f>SUMIFS(BOM!Q:Q,BOM!A:A,'All Products'!A302,BOM!I:I,'All Products'!J$3)+0.03</f>
        <v>0.17</v>
      </c>
      <c r="K302" s="29">
        <f t="shared" si="59"/>
        <v>0.36460875651062363</v>
      </c>
      <c r="L302" s="49">
        <f>SUMIF(BOM!A:A,'All Products'!A302,BOM!S:S)</f>
        <v>0.31787002487562194</v>
      </c>
      <c r="M302" s="49">
        <f>SUMIF(BOM!A:A,'All Products'!A302,BOM!V:V)</f>
        <v>0.21720416666666661</v>
      </c>
      <c r="N302" s="29">
        <f t="shared" si="60"/>
        <v>7.9981194550416815E-2</v>
      </c>
      <c r="O302" s="55">
        <v>0</v>
      </c>
      <c r="P302" s="49">
        <f t="shared" si="61"/>
        <v>2.9743067725983607</v>
      </c>
      <c r="Q302" s="11">
        <f t="shared" si="62"/>
        <v>3.7156932274016397</v>
      </c>
      <c r="R302" s="29">
        <f t="shared" si="63"/>
        <v>0.55541004893895951</v>
      </c>
      <c r="S302" s="91">
        <v>0</v>
      </c>
      <c r="T302" s="91">
        <f t="shared" si="65"/>
        <v>0</v>
      </c>
      <c r="U302" s="90">
        <f t="shared" si="56"/>
        <v>0</v>
      </c>
      <c r="V302" s="90">
        <f t="shared" si="66"/>
        <v>0</v>
      </c>
      <c r="W302" s="90">
        <f t="shared" si="58"/>
        <v>0</v>
      </c>
      <c r="Y302" s="34">
        <f t="shared" si="64"/>
        <v>0.66080230477487711</v>
      </c>
      <c r="Z302" s="34"/>
      <c r="AA302" s="4"/>
      <c r="AB302" s="4"/>
      <c r="AE302" s="4"/>
    </row>
    <row r="303" spans="1:31" x14ac:dyDescent="0.25">
      <c r="A303" s="1" t="s">
        <v>859</v>
      </c>
      <c r="B303" s="1" t="s">
        <v>656</v>
      </c>
      <c r="C303" s="1" t="s">
        <v>860</v>
      </c>
      <c r="D303" s="1" t="s">
        <v>554</v>
      </c>
      <c r="E303" s="1">
        <f>VLOOKUP(A303,BOM!A:E,5,0)</f>
        <v>2.5</v>
      </c>
      <c r="F303" s="122">
        <v>16.23</v>
      </c>
      <c r="G303" s="10">
        <v>16.72</v>
      </c>
      <c r="H303" s="11" t="s">
        <v>1874</v>
      </c>
      <c r="I303" s="49">
        <f>SUMIFS(BOM!Q:Q,BOM!A:A,'All Products'!A303,BOM!I:I,'All Products'!I$3)</f>
        <v>5.6730814526401812</v>
      </c>
      <c r="J303" s="49">
        <f>SUMIFS(BOM!Q:Q,BOM!A:A,'All Products'!A303,BOM!I:I,'All Products'!J$3)+0.03</f>
        <v>0.17</v>
      </c>
      <c r="K303" s="29">
        <f t="shared" si="59"/>
        <v>0.34946659405742714</v>
      </c>
      <c r="L303" s="49">
        <f>SUMIF(BOM!A:A,'All Products'!A303,BOM!S:S)</f>
        <v>0.79467506218905481</v>
      </c>
      <c r="M303" s="49">
        <f>SUMIF(BOM!A:A,'All Products'!A303,BOM!V:V)</f>
        <v>0.29618749999999999</v>
      </c>
      <c r="N303" s="29">
        <f t="shared" si="60"/>
        <v>6.5242976207479361E-2</v>
      </c>
      <c r="O303" s="55">
        <v>0</v>
      </c>
      <c r="P303" s="49">
        <f t="shared" si="61"/>
        <v>6.9339440148292359</v>
      </c>
      <c r="Q303" s="11">
        <f t="shared" si="62"/>
        <v>9.786055985170762</v>
      </c>
      <c r="R303" s="29">
        <f t="shared" si="63"/>
        <v>0.58529042973509349</v>
      </c>
      <c r="S303" s="91">
        <v>0</v>
      </c>
      <c r="T303" s="91">
        <f t="shared" si="65"/>
        <v>0</v>
      </c>
      <c r="U303" s="90">
        <f t="shared" si="56"/>
        <v>0</v>
      </c>
      <c r="V303" s="90">
        <f t="shared" si="66"/>
        <v>0</v>
      </c>
      <c r="W303" s="90">
        <f t="shared" si="58"/>
        <v>0</v>
      </c>
      <c r="Y303" s="34">
        <f t="shared" si="64"/>
        <v>0.66070087005740541</v>
      </c>
      <c r="Z303" s="34"/>
      <c r="AA303" s="4"/>
      <c r="AB303" s="4"/>
      <c r="AE303" s="4"/>
    </row>
    <row r="304" spans="1:31" x14ac:dyDescent="0.25">
      <c r="A304" s="1" t="s">
        <v>861</v>
      </c>
      <c r="B304" s="1" t="s">
        <v>656</v>
      </c>
      <c r="C304" s="1" t="s">
        <v>862</v>
      </c>
      <c r="D304" s="1" t="s">
        <v>554</v>
      </c>
      <c r="E304" s="1">
        <f>VLOOKUP(A304,BOM!A:E,5,0)</f>
        <v>1</v>
      </c>
      <c r="F304" s="122">
        <v>8.44</v>
      </c>
      <c r="G304" s="10">
        <v>8.75</v>
      </c>
      <c r="H304" s="11" t="s">
        <v>1874</v>
      </c>
      <c r="I304" s="49">
        <f>SUMIFS(BOM!Q:Q,BOM!A:A,'All Products'!A304,BOM!I:I,'All Products'!I$3)</f>
        <v>3.80070353310099</v>
      </c>
      <c r="J304" s="49">
        <f>SUMIFS(BOM!Q:Q,BOM!A:A,'All Products'!A304,BOM!I:I,'All Products'!J$3)+0.03</f>
        <v>0.17</v>
      </c>
      <c r="K304" s="29">
        <f t="shared" si="59"/>
        <v>0.45379468949725599</v>
      </c>
      <c r="L304" s="49">
        <f>SUMIF(BOM!A:A,'All Products'!A304,BOM!S:S)</f>
        <v>1.5250505319148937</v>
      </c>
      <c r="M304" s="49">
        <f>SUMIF(BOM!A:A,'All Products'!A304,BOM!V:V)</f>
        <v>0.21720416666666661</v>
      </c>
      <c r="N304" s="29">
        <f t="shared" si="60"/>
        <v>0.19911482269503547</v>
      </c>
      <c r="O304" s="55">
        <v>0</v>
      </c>
      <c r="P304" s="49">
        <f t="shared" si="61"/>
        <v>5.71295823168255</v>
      </c>
      <c r="Q304" s="11">
        <f t="shared" si="62"/>
        <v>3.03704176831745</v>
      </c>
      <c r="R304" s="29">
        <f t="shared" si="63"/>
        <v>0.34709048780770857</v>
      </c>
      <c r="S304" s="91">
        <v>0.2</v>
      </c>
      <c r="T304" s="91">
        <f t="shared" si="65"/>
        <v>1.75</v>
      </c>
      <c r="U304" s="90">
        <f t="shared" si="56"/>
        <v>0.60740835366349</v>
      </c>
      <c r="V304" s="90">
        <f t="shared" si="66"/>
        <v>0.60740835366349</v>
      </c>
      <c r="W304" s="90">
        <f t="shared" si="58"/>
        <v>0</v>
      </c>
      <c r="Y304" s="34">
        <f t="shared" si="64"/>
        <v>0.56563388193131547</v>
      </c>
      <c r="Z304" s="34"/>
      <c r="AA304" s="4"/>
      <c r="AB304" s="4"/>
      <c r="AE304" s="4"/>
    </row>
    <row r="305" spans="1:31" x14ac:dyDescent="0.25">
      <c r="A305" s="1" t="s">
        <v>863</v>
      </c>
      <c r="B305" s="1" t="s">
        <v>656</v>
      </c>
      <c r="C305" s="1" t="s">
        <v>864</v>
      </c>
      <c r="D305" s="1" t="s">
        <v>554</v>
      </c>
      <c r="E305" s="1">
        <f>VLOOKUP(A305,BOM!A:E,5,0)</f>
        <v>2.5</v>
      </c>
      <c r="F305" s="122">
        <v>21.1</v>
      </c>
      <c r="G305" s="10">
        <v>21.88</v>
      </c>
      <c r="H305" s="11" t="s">
        <v>1874</v>
      </c>
      <c r="I305" s="49">
        <f>SUMIFS(BOM!Q:Q,BOM!A:A,'All Products'!A305,BOM!I:I,'All Products'!I$3)</f>
        <v>9.5017588327524738</v>
      </c>
      <c r="J305" s="49">
        <f>SUMIFS(BOM!Q:Q,BOM!A:A,'All Products'!A305,BOM!I:I,'All Products'!J$3)+0.03</f>
        <v>0.17</v>
      </c>
      <c r="K305" s="29">
        <f t="shared" si="59"/>
        <v>0.44203650972360486</v>
      </c>
      <c r="L305" s="49">
        <f>SUMIF(BOM!A:A,'All Products'!A305,BOM!S:S)</f>
        <v>3.8126263297872338</v>
      </c>
      <c r="M305" s="49">
        <f>SUMIF(BOM!A:A,'All Products'!A305,BOM!V:V)</f>
        <v>0.29618749999999999</v>
      </c>
      <c r="N305" s="29">
        <f t="shared" si="60"/>
        <v>0.1877885662608425</v>
      </c>
      <c r="O305" s="55">
        <v>0</v>
      </c>
      <c r="P305" s="49">
        <f t="shared" si="61"/>
        <v>13.780572662539708</v>
      </c>
      <c r="Q305" s="11">
        <f t="shared" si="62"/>
        <v>8.0994273374602912</v>
      </c>
      <c r="R305" s="29">
        <f t="shared" si="63"/>
        <v>0.37017492401555263</v>
      </c>
      <c r="S305" s="91">
        <v>0</v>
      </c>
      <c r="T305" s="91">
        <f t="shared" si="65"/>
        <v>0</v>
      </c>
      <c r="U305" s="90">
        <f t="shared" si="56"/>
        <v>0</v>
      </c>
      <c r="V305" s="90">
        <f t="shared" si="66"/>
        <v>0</v>
      </c>
      <c r="W305" s="90">
        <f t="shared" si="58"/>
        <v>0</v>
      </c>
      <c r="Y305" s="34">
        <f t="shared" si="64"/>
        <v>0.56573314292721777</v>
      </c>
      <c r="Z305" s="34"/>
      <c r="AA305" s="4"/>
      <c r="AB305" s="4"/>
      <c r="AE305" s="4"/>
    </row>
    <row r="306" spans="1:31" x14ac:dyDescent="0.25">
      <c r="A306" s="1" t="s">
        <v>865</v>
      </c>
      <c r="B306" s="1" t="s">
        <v>656</v>
      </c>
      <c r="C306" s="1" t="s">
        <v>866</v>
      </c>
      <c r="D306" s="1" t="s">
        <v>554</v>
      </c>
      <c r="E306" s="1">
        <f>VLOOKUP(A306,BOM!A:E,5,0)</f>
        <v>1</v>
      </c>
      <c r="F306" s="122">
        <v>6.3</v>
      </c>
      <c r="G306" s="10">
        <v>6.49</v>
      </c>
      <c r="H306" s="11" t="s">
        <v>1874</v>
      </c>
      <c r="I306" s="49">
        <f>SUMIFS(BOM!Q:Q,BOM!A:A,'All Products'!A306,BOM!I:I,'All Products'!I$3)</f>
        <v>3.5458340201946714</v>
      </c>
      <c r="J306" s="49">
        <f>SUMIFS(BOM!Q:Q,BOM!A:A,'All Products'!A306,BOM!I:I,'All Products'!J$3)+0.03</f>
        <v>0.17</v>
      </c>
      <c r="K306" s="29">
        <f t="shared" si="59"/>
        <v>0.57254761482198324</v>
      </c>
      <c r="L306" s="49">
        <f>SUMIF(BOM!A:A,'All Products'!A306,BOM!S:S)</f>
        <v>1.6749425288908089</v>
      </c>
      <c r="M306" s="49">
        <f>SUMIF(BOM!A:A,'All Products'!A306,BOM!V:V)</f>
        <v>0.21720416666666661</v>
      </c>
      <c r="N306" s="29">
        <f t="shared" si="60"/>
        <v>0.29154802705045846</v>
      </c>
      <c r="O306" s="55">
        <v>0</v>
      </c>
      <c r="P306" s="49">
        <f t="shared" si="61"/>
        <v>5.6079807157521468</v>
      </c>
      <c r="Q306" s="11">
        <f t="shared" si="62"/>
        <v>0.88201928424785336</v>
      </c>
      <c r="R306" s="29">
        <f t="shared" si="63"/>
        <v>0.1359043581275583</v>
      </c>
      <c r="S306" s="91">
        <v>0</v>
      </c>
      <c r="T306" s="91">
        <f t="shared" si="65"/>
        <v>0</v>
      </c>
      <c r="U306" s="90">
        <f t="shared" si="56"/>
        <v>0</v>
      </c>
      <c r="V306" s="90">
        <f t="shared" si="66"/>
        <v>0</v>
      </c>
      <c r="W306" s="90">
        <f t="shared" si="58"/>
        <v>0</v>
      </c>
      <c r="Y306" s="34">
        <f t="shared" si="64"/>
        <v>0.4536465300162294</v>
      </c>
      <c r="Z306" s="34"/>
      <c r="AA306" s="4"/>
      <c r="AB306" s="4"/>
      <c r="AE306" s="4"/>
    </row>
    <row r="307" spans="1:31" x14ac:dyDescent="0.25">
      <c r="A307" s="1" t="s">
        <v>867</v>
      </c>
      <c r="B307" s="1" t="s">
        <v>656</v>
      </c>
      <c r="C307" s="1" t="s">
        <v>868</v>
      </c>
      <c r="D307" s="1" t="s">
        <v>554</v>
      </c>
      <c r="E307" s="1">
        <f>VLOOKUP(A307,BOM!A:E,5,0)</f>
        <v>2.5</v>
      </c>
      <c r="F307" s="122">
        <v>15.44</v>
      </c>
      <c r="G307" s="10">
        <v>15.89</v>
      </c>
      <c r="H307" s="11" t="s">
        <v>1874</v>
      </c>
      <c r="I307" s="49">
        <f>SUMIFS(BOM!Q:Q,BOM!A:A,'All Products'!A307,BOM!I:I,'All Products'!I$3)</f>
        <v>8.8645850504866779</v>
      </c>
      <c r="J307" s="49">
        <f>SUMIFS(BOM!Q:Q,BOM!A:A,'All Products'!A307,BOM!I:I,'All Products'!J$3)+0.03</f>
        <v>0.17</v>
      </c>
      <c r="K307" s="29">
        <f t="shared" si="59"/>
        <v>0.56857048775875885</v>
      </c>
      <c r="L307" s="49">
        <f>SUMIF(BOM!A:A,'All Products'!A307,BOM!S:S)</f>
        <v>4.1873563222270223</v>
      </c>
      <c r="M307" s="49">
        <f>SUMIF(BOM!A:A,'All Products'!A307,BOM!V:V)</f>
        <v>0.29618749999999999</v>
      </c>
      <c r="N307" s="29">
        <f t="shared" si="60"/>
        <v>0.28216134815777361</v>
      </c>
      <c r="O307" s="55">
        <v>0</v>
      </c>
      <c r="P307" s="49">
        <f t="shared" si="61"/>
        <v>13.518128872713699</v>
      </c>
      <c r="Q307" s="11">
        <f t="shared" si="62"/>
        <v>2.3718711272863011</v>
      </c>
      <c r="R307" s="29">
        <f t="shared" si="63"/>
        <v>0.14926816408346766</v>
      </c>
      <c r="S307" s="91">
        <v>13</v>
      </c>
      <c r="T307" s="91">
        <f t="shared" si="65"/>
        <v>206.57</v>
      </c>
      <c r="U307" s="90">
        <f t="shared" si="56"/>
        <v>30.834324654721915</v>
      </c>
      <c r="V307" s="90">
        <f t="shared" si="66"/>
        <v>30.834324654721915</v>
      </c>
      <c r="W307" s="90">
        <f t="shared" si="58"/>
        <v>0</v>
      </c>
      <c r="Y307" s="34">
        <f t="shared" si="64"/>
        <v>0.44212806479001399</v>
      </c>
      <c r="Z307" s="34"/>
      <c r="AA307" s="4"/>
      <c r="AB307" s="4"/>
      <c r="AE307" s="4"/>
    </row>
    <row r="308" spans="1:31" x14ac:dyDescent="0.25">
      <c r="A308" s="1" t="s">
        <v>470</v>
      </c>
      <c r="B308" s="1" t="s">
        <v>656</v>
      </c>
      <c r="C308" s="1" t="s">
        <v>471</v>
      </c>
      <c r="D308" s="1" t="s">
        <v>554</v>
      </c>
      <c r="E308" s="1">
        <f>VLOOKUP(A308,BOM!A:E,5,0)</f>
        <v>1</v>
      </c>
      <c r="F308" s="122">
        <v>6.2</v>
      </c>
      <c r="G308" s="10">
        <v>6.38</v>
      </c>
      <c r="H308" s="11" t="s">
        <v>1874</v>
      </c>
      <c r="I308" s="49">
        <f>SUMIFS(BOM!Q:Q,BOM!A:A,'All Products'!A308,BOM!I:I,'All Products'!I$3)</f>
        <v>3.3685423191849377</v>
      </c>
      <c r="J308" s="49">
        <f>SUMIFS(BOM!Q:Q,BOM!A:A,'All Products'!A308,BOM!I:I,'All Products'!J$3)+0.03</f>
        <v>0.17</v>
      </c>
      <c r="K308" s="29">
        <f t="shared" si="59"/>
        <v>0.55463045755249807</v>
      </c>
      <c r="L308" s="49">
        <f>SUMIF(BOM!A:A,'All Products'!A308,BOM!S:S)</f>
        <v>1.5903175288908089</v>
      </c>
      <c r="M308" s="49">
        <f>SUMIF(BOM!A:A,'All Products'!A308,BOM!V:V)</f>
        <v>0.21720416666666661</v>
      </c>
      <c r="N308" s="29">
        <f t="shared" si="60"/>
        <v>0.28331061058894602</v>
      </c>
      <c r="O308" s="55">
        <v>0</v>
      </c>
      <c r="P308" s="49">
        <f t="shared" si="61"/>
        <v>5.3460640147424128</v>
      </c>
      <c r="Q308" s="11">
        <f t="shared" si="62"/>
        <v>1.0339359852575871</v>
      </c>
      <c r="R308" s="29">
        <f t="shared" si="63"/>
        <v>0.16205893185855597</v>
      </c>
      <c r="S308" s="91">
        <v>7.4</v>
      </c>
      <c r="T308" s="91">
        <f t="shared" si="65"/>
        <v>47.212000000000003</v>
      </c>
      <c r="U308" s="90">
        <f t="shared" si="56"/>
        <v>7.651126290906145</v>
      </c>
      <c r="V308" s="90">
        <f t="shared" si="66"/>
        <v>7.651126290906145</v>
      </c>
      <c r="W308" s="90">
        <f t="shared" si="58"/>
        <v>0</v>
      </c>
      <c r="Y308" s="34">
        <f t="shared" si="64"/>
        <v>0.47201531047258027</v>
      </c>
      <c r="Z308" s="34"/>
      <c r="AA308" s="4"/>
      <c r="AB308" s="4"/>
      <c r="AE308" s="4"/>
    </row>
    <row r="309" spans="1:31" x14ac:dyDescent="0.25">
      <c r="A309" s="1" t="s">
        <v>188</v>
      </c>
      <c r="B309" s="1" t="s">
        <v>656</v>
      </c>
      <c r="C309" s="1" t="s">
        <v>189</v>
      </c>
      <c r="D309" s="1" t="s">
        <v>554</v>
      </c>
      <c r="E309" s="1">
        <f>VLOOKUP(A309,BOM!A:E,5,0)</f>
        <v>2.5</v>
      </c>
      <c r="F309" s="122">
        <v>15.36</v>
      </c>
      <c r="G309" s="10">
        <v>15.81</v>
      </c>
      <c r="H309" s="11" t="s">
        <v>1874</v>
      </c>
      <c r="I309" s="49">
        <f>SUMIFS(BOM!Q:Q,BOM!A:A,'All Products'!A309,BOM!I:I,'All Products'!I$3)</f>
        <v>8.4213557979623452</v>
      </c>
      <c r="J309" s="49">
        <f>SUMIFS(BOM!Q:Q,BOM!A:A,'All Products'!A309,BOM!I:I,'All Products'!J$3)+0.03</f>
        <v>0.17</v>
      </c>
      <c r="K309" s="29">
        <f t="shared" si="59"/>
        <v>0.54341276394448734</v>
      </c>
      <c r="L309" s="49">
        <f>SUMIF(BOM!A:A,'All Products'!A309,BOM!S:S)</f>
        <v>3.9757938222270219</v>
      </c>
      <c r="M309" s="49">
        <f>SUMIF(BOM!A:A,'All Products'!A309,BOM!V:V)</f>
        <v>0.29618749999999999</v>
      </c>
      <c r="N309" s="29">
        <f t="shared" si="60"/>
        <v>0.27020754726293622</v>
      </c>
      <c r="O309" s="55">
        <v>0</v>
      </c>
      <c r="P309" s="49">
        <f t="shared" si="61"/>
        <v>12.863337120189367</v>
      </c>
      <c r="Q309" s="11">
        <f t="shared" si="62"/>
        <v>2.9466628798106331</v>
      </c>
      <c r="R309" s="29">
        <f t="shared" si="63"/>
        <v>0.18637968879257641</v>
      </c>
      <c r="S309" s="91">
        <v>42.6</v>
      </c>
      <c r="T309" s="91">
        <f t="shared" si="65"/>
        <v>673.50600000000009</v>
      </c>
      <c r="U309" s="90">
        <f t="shared" si="56"/>
        <v>125.52783867993297</v>
      </c>
      <c r="V309" s="90">
        <f t="shared" si="66"/>
        <v>125.52783867993297</v>
      </c>
      <c r="W309" s="90">
        <f t="shared" si="58"/>
        <v>0</v>
      </c>
      <c r="Y309" s="34">
        <f t="shared" si="64"/>
        <v>0.46733992422755566</v>
      </c>
      <c r="Z309" s="34"/>
      <c r="AA309" s="4"/>
      <c r="AB309" s="4"/>
      <c r="AE309" s="4"/>
    </row>
    <row r="310" spans="1:31" x14ac:dyDescent="0.25">
      <c r="A310" s="1" t="s">
        <v>186</v>
      </c>
      <c r="B310" s="1" t="s">
        <v>656</v>
      </c>
      <c r="C310" s="1" t="s">
        <v>187</v>
      </c>
      <c r="D310" s="1" t="s">
        <v>554</v>
      </c>
      <c r="E310" s="1">
        <f>VLOOKUP(A310,BOM!A:E,5,0)</f>
        <v>1</v>
      </c>
      <c r="F310" s="122">
        <v>5.43</v>
      </c>
      <c r="G310" s="10">
        <v>5.55</v>
      </c>
      <c r="H310" s="11" t="s">
        <v>1874</v>
      </c>
      <c r="I310" s="49">
        <f>SUMIFS(BOM!Q:Q,BOM!A:A,'All Products'!A310,BOM!I:I,'All Products'!I$3)</f>
        <v>2.2799575821845175</v>
      </c>
      <c r="J310" s="49">
        <f>SUMIFS(BOM!Q:Q,BOM!A:A,'All Products'!A310,BOM!I:I,'All Products'!J$3)+0.03</f>
        <v>0.17</v>
      </c>
      <c r="K310" s="29">
        <f t="shared" si="59"/>
        <v>0.44143379859180498</v>
      </c>
      <c r="L310" s="49">
        <f>SUMIF(BOM!A:A,'All Products'!A310,BOM!S:S)</f>
        <v>0.34900740970336963</v>
      </c>
      <c r="M310" s="49">
        <f>SUMIF(BOM!A:A,'All Products'!A310,BOM!V:V)</f>
        <v>0.21720416666666661</v>
      </c>
      <c r="N310" s="29">
        <f t="shared" si="60"/>
        <v>0.10202010385045698</v>
      </c>
      <c r="O310" s="55">
        <v>0</v>
      </c>
      <c r="P310" s="49">
        <f t="shared" si="61"/>
        <v>3.0161691585545536</v>
      </c>
      <c r="Q310" s="11">
        <f t="shared" si="62"/>
        <v>2.5338308414454462</v>
      </c>
      <c r="R310" s="29">
        <f t="shared" si="63"/>
        <v>0.45654609755773806</v>
      </c>
      <c r="S310" s="91">
        <v>13</v>
      </c>
      <c r="T310" s="91">
        <f t="shared" si="65"/>
        <v>72.149999999999991</v>
      </c>
      <c r="U310" s="90">
        <f t="shared" si="56"/>
        <v>32.939800938790803</v>
      </c>
      <c r="V310" s="90">
        <f t="shared" si="66"/>
        <v>32.939800938790803</v>
      </c>
      <c r="W310" s="90">
        <f t="shared" si="58"/>
        <v>0</v>
      </c>
      <c r="Y310" s="34">
        <f t="shared" si="64"/>
        <v>0.58919683203882567</v>
      </c>
      <c r="Z310" s="34"/>
      <c r="AA310" s="4"/>
      <c r="AB310" s="4"/>
      <c r="AE310" s="4"/>
    </row>
    <row r="311" spans="1:31" x14ac:dyDescent="0.25">
      <c r="A311" s="1" t="s">
        <v>184</v>
      </c>
      <c r="B311" s="1" t="s">
        <v>656</v>
      </c>
      <c r="C311" s="1" t="s">
        <v>185</v>
      </c>
      <c r="D311" s="1" t="s">
        <v>554</v>
      </c>
      <c r="E311" s="1">
        <f>VLOOKUP(A311,BOM!A:E,5,0)</f>
        <v>2.5</v>
      </c>
      <c r="F311" s="122">
        <v>13.57</v>
      </c>
      <c r="G311" s="10">
        <v>13.89</v>
      </c>
      <c r="H311" s="11" t="s">
        <v>1874</v>
      </c>
      <c r="I311" s="49">
        <f>SUMIFS(BOM!Q:Q,BOM!A:A,'All Products'!A311,BOM!I:I,'All Products'!I$3)</f>
        <v>5.6998939554612935</v>
      </c>
      <c r="J311" s="49">
        <f>SUMIFS(BOM!Q:Q,BOM!A:A,'All Products'!A311,BOM!I:I,'All Products'!J$3)+0.03</f>
        <v>0.17</v>
      </c>
      <c r="K311" s="29">
        <f t="shared" si="59"/>
        <v>0.42259855690866044</v>
      </c>
      <c r="L311" s="49">
        <f>SUMIF(BOM!A:A,'All Products'!A311,BOM!S:S)</f>
        <v>0.87251852425842413</v>
      </c>
      <c r="M311" s="49">
        <f>SUMIF(BOM!A:A,'All Products'!A311,BOM!V:V)</f>
        <v>0.29618749999999999</v>
      </c>
      <c r="N311" s="29">
        <f t="shared" si="60"/>
        <v>8.4140102538403469E-2</v>
      </c>
      <c r="O311" s="55">
        <v>0</v>
      </c>
      <c r="P311" s="49">
        <f t="shared" si="61"/>
        <v>7.0385999797197183</v>
      </c>
      <c r="Q311" s="11">
        <f t="shared" si="62"/>
        <v>6.8514000202802823</v>
      </c>
      <c r="R311" s="29">
        <f t="shared" si="63"/>
        <v>0.49326134055293608</v>
      </c>
      <c r="S311" s="91">
        <v>115.6</v>
      </c>
      <c r="T311" s="91">
        <f t="shared" si="65"/>
        <v>1605.684</v>
      </c>
      <c r="U311" s="90">
        <f t="shared" si="56"/>
        <v>792.02184234440062</v>
      </c>
      <c r="V311" s="90">
        <f t="shared" si="66"/>
        <v>792.02184234440062</v>
      </c>
      <c r="W311" s="90">
        <f t="shared" si="58"/>
        <v>0</v>
      </c>
      <c r="Y311" s="34">
        <f t="shared" si="64"/>
        <v>0.58964046396966929</v>
      </c>
      <c r="Z311" s="34"/>
      <c r="AA311" s="4"/>
      <c r="AB311" s="4"/>
      <c r="AE311" s="4"/>
    </row>
    <row r="312" spans="1:31" x14ac:dyDescent="0.25">
      <c r="A312" s="1" t="s">
        <v>523</v>
      </c>
      <c r="B312" s="1" t="s">
        <v>656</v>
      </c>
      <c r="C312" s="1" t="s">
        <v>524</v>
      </c>
      <c r="D312" s="1" t="s">
        <v>554</v>
      </c>
      <c r="E312" s="1">
        <f>VLOOKUP(A312,BOM!A:E,5,0)</f>
        <v>1</v>
      </c>
      <c r="F312" s="122">
        <v>8.66</v>
      </c>
      <c r="G312" s="10">
        <v>8.89</v>
      </c>
      <c r="H312" s="11" t="s">
        <v>1874</v>
      </c>
      <c r="I312" s="49">
        <f>SUMIFS(BOM!Q:Q,BOM!A:A,'All Products'!A312,BOM!I:I,'All Products'!I$3)</f>
        <v>3.9090909090909092</v>
      </c>
      <c r="J312" s="49">
        <f>SUMIFS(BOM!Q:Q,BOM!A:A,'All Products'!A312,BOM!I:I,'All Products'!J$3)+0.03</f>
        <v>0.17</v>
      </c>
      <c r="K312" s="29">
        <f t="shared" si="59"/>
        <v>0.45884037222619894</v>
      </c>
      <c r="L312" s="49">
        <f>SUMIF(BOM!A:A,'All Products'!A312,BOM!S:S)</f>
        <v>2.0309999999999997</v>
      </c>
      <c r="M312" s="49">
        <f>SUMIF(BOM!A:A,'All Products'!A312,BOM!V:V)</f>
        <v>0.21720416666666661</v>
      </c>
      <c r="N312" s="29">
        <f t="shared" si="60"/>
        <v>0.25289135733033363</v>
      </c>
      <c r="O312" s="55">
        <v>0</v>
      </c>
      <c r="P312" s="49">
        <f t="shared" si="61"/>
        <v>6.3272950757575757</v>
      </c>
      <c r="Q312" s="11">
        <f t="shared" si="62"/>
        <v>2.5627049242424249</v>
      </c>
      <c r="R312" s="29">
        <f t="shared" si="63"/>
        <v>0.28826827044346737</v>
      </c>
      <c r="S312" s="91">
        <v>4.5999999999999996</v>
      </c>
      <c r="T312" s="91">
        <f t="shared" si="65"/>
        <v>40.893999999999998</v>
      </c>
      <c r="U312" s="90">
        <f t="shared" si="56"/>
        <v>11.788442651515153</v>
      </c>
      <c r="V312" s="90">
        <f t="shared" si="66"/>
        <v>11.788442651515153</v>
      </c>
      <c r="W312" s="90">
        <f t="shared" si="58"/>
        <v>0</v>
      </c>
      <c r="Y312" s="34">
        <f t="shared" si="64"/>
        <v>0.56028223744759176</v>
      </c>
      <c r="Z312" s="34"/>
      <c r="AA312" s="4"/>
      <c r="AB312" s="4"/>
      <c r="AE312" s="4"/>
    </row>
    <row r="313" spans="1:31" x14ac:dyDescent="0.25">
      <c r="A313" s="1" t="s">
        <v>183</v>
      </c>
      <c r="B313" s="1" t="s">
        <v>656</v>
      </c>
      <c r="C313" s="1" t="s">
        <v>869</v>
      </c>
      <c r="D313" s="1" t="s">
        <v>554</v>
      </c>
      <c r="E313" s="1">
        <f>VLOOKUP(A313,BOM!A:E,5,0)</f>
        <v>2.5</v>
      </c>
      <c r="F313" s="122">
        <v>21.33</v>
      </c>
      <c r="G313" s="10">
        <v>21.91</v>
      </c>
      <c r="H313" s="11" t="s">
        <v>1874</v>
      </c>
      <c r="I313" s="49">
        <f>SUMIFS(BOM!Q:Q,BOM!A:A,'All Products'!A313,BOM!I:I,'All Products'!I$3)</f>
        <v>9.7727272727272716</v>
      </c>
      <c r="J313" s="49">
        <f>SUMIFS(BOM!Q:Q,BOM!A:A,'All Products'!A313,BOM!I:I,'All Products'!J$3)+0.03</f>
        <v>0.17</v>
      </c>
      <c r="K313" s="29">
        <f t="shared" si="59"/>
        <v>0.45379859756856555</v>
      </c>
      <c r="L313" s="49">
        <f>SUMIF(BOM!A:A,'All Products'!A313,BOM!S:S)</f>
        <v>5.0774999999999997</v>
      </c>
      <c r="M313" s="49">
        <f>SUMIF(BOM!A:A,'All Products'!A313,BOM!V:V)</f>
        <v>0.29618749999999999</v>
      </c>
      <c r="N313" s="29">
        <f t="shared" si="60"/>
        <v>0.24526186672752168</v>
      </c>
      <c r="O313" s="55">
        <v>0</v>
      </c>
      <c r="P313" s="49">
        <f t="shared" si="61"/>
        <v>15.316414772727271</v>
      </c>
      <c r="Q313" s="11">
        <f t="shared" si="62"/>
        <v>6.5935852272727296</v>
      </c>
      <c r="R313" s="29">
        <f t="shared" si="63"/>
        <v>0.3009395357039128</v>
      </c>
      <c r="S313" s="91">
        <v>90.2</v>
      </c>
      <c r="T313" s="91">
        <f t="shared" si="65"/>
        <v>1976.2820000000002</v>
      </c>
      <c r="U313" s="90">
        <f t="shared" si="56"/>
        <v>594.7413875000002</v>
      </c>
      <c r="V313" s="90">
        <f t="shared" si="66"/>
        <v>594.7413875000002</v>
      </c>
      <c r="W313" s="90">
        <f t="shared" si="58"/>
        <v>0</v>
      </c>
      <c r="Y313" s="34">
        <f t="shared" si="64"/>
        <v>0.55396041658022499</v>
      </c>
      <c r="Z313" s="34"/>
      <c r="AA313" s="4"/>
      <c r="AB313" s="4"/>
      <c r="AE313" s="4"/>
    </row>
    <row r="314" spans="1:31" x14ac:dyDescent="0.25">
      <c r="A314" s="1" t="s">
        <v>181</v>
      </c>
      <c r="B314" s="1" t="s">
        <v>656</v>
      </c>
      <c r="C314" s="1" t="s">
        <v>182</v>
      </c>
      <c r="D314" s="1" t="s">
        <v>554</v>
      </c>
      <c r="E314" s="1">
        <f>VLOOKUP(A314,BOM!A:E,5,0)</f>
        <v>1</v>
      </c>
      <c r="F314" s="122">
        <v>5.69</v>
      </c>
      <c r="G314" s="10">
        <v>5.83</v>
      </c>
      <c r="H314" s="11" t="s">
        <v>1874</v>
      </c>
      <c r="I314" s="49">
        <f>SUMIFS(BOM!Q:Q,BOM!A:A,'All Products'!A314,BOM!I:I,'All Products'!I$3)</f>
        <v>2.3770038695411833</v>
      </c>
      <c r="J314" s="49">
        <f>SUMIFS(BOM!Q:Q,BOM!A:A,'All Products'!A314,BOM!I:I,'All Products'!J$3)+0.03</f>
        <v>0.17</v>
      </c>
      <c r="K314" s="29">
        <f t="shared" si="59"/>
        <v>0.43687887985269008</v>
      </c>
      <c r="L314" s="49">
        <f>SUMIF(BOM!A:A,'All Products'!A314,BOM!S:S)</f>
        <v>0.34565733830845774</v>
      </c>
      <c r="M314" s="49">
        <f>SUMIF(BOM!A:A,'All Products'!A314,BOM!V:V)</f>
        <v>0.21720416666666661</v>
      </c>
      <c r="N314" s="29">
        <f t="shared" si="60"/>
        <v>9.6545712688700575E-2</v>
      </c>
      <c r="O314" s="55">
        <v>0</v>
      </c>
      <c r="P314" s="49">
        <f t="shared" si="61"/>
        <v>3.1098653745163074</v>
      </c>
      <c r="Q314" s="11">
        <f t="shared" si="62"/>
        <v>2.7201346254836927</v>
      </c>
      <c r="R314" s="29">
        <f t="shared" si="63"/>
        <v>0.46657540745860937</v>
      </c>
      <c r="S314" s="91">
        <v>20.8</v>
      </c>
      <c r="T314" s="91">
        <f t="shared" si="65"/>
        <v>121.26400000000001</v>
      </c>
      <c r="U314" s="90">
        <f t="shared" si="56"/>
        <v>56.578800210060813</v>
      </c>
      <c r="V314" s="90">
        <f t="shared" si="66"/>
        <v>56.578800210060813</v>
      </c>
      <c r="W314" s="90">
        <f t="shared" si="58"/>
        <v>0</v>
      </c>
      <c r="Y314" s="34">
        <f t="shared" si="64"/>
        <v>0.59228063987286739</v>
      </c>
      <c r="Z314" s="34"/>
      <c r="AA314" s="4"/>
      <c r="AB314" s="4"/>
      <c r="AE314" s="4"/>
    </row>
    <row r="315" spans="1:31" x14ac:dyDescent="0.25">
      <c r="A315" s="1" t="s">
        <v>468</v>
      </c>
      <c r="B315" s="1" t="s">
        <v>656</v>
      </c>
      <c r="C315" s="1" t="s">
        <v>469</v>
      </c>
      <c r="D315" s="1" t="s">
        <v>554</v>
      </c>
      <c r="E315" s="1">
        <f>VLOOKUP(A315,BOM!A:E,5,0)</f>
        <v>2.5</v>
      </c>
      <c r="F315" s="122">
        <v>14.21</v>
      </c>
      <c r="G315" s="10">
        <v>14.53</v>
      </c>
      <c r="H315" s="11" t="s">
        <v>1874</v>
      </c>
      <c r="I315" s="49">
        <f>SUMIFS(BOM!Q:Q,BOM!A:A,'All Products'!A315,BOM!I:I,'All Products'!I$3)</f>
        <v>5.9425096738529586</v>
      </c>
      <c r="J315" s="49">
        <f>SUMIFS(BOM!Q:Q,BOM!A:A,'All Products'!A315,BOM!I:I,'All Products'!J$3)+0.03</f>
        <v>0.17</v>
      </c>
      <c r="K315" s="29">
        <f t="shared" si="59"/>
        <v>0.4206820147180288</v>
      </c>
      <c r="L315" s="49">
        <f>SUMIF(BOM!A:A,'All Products'!A315,BOM!S:S)</f>
        <v>0.86414334577114438</v>
      </c>
      <c r="M315" s="49">
        <f>SUMIF(BOM!A:A,'All Products'!A315,BOM!V:V)</f>
        <v>0.29618749999999999</v>
      </c>
      <c r="N315" s="29">
        <f t="shared" si="60"/>
        <v>7.9857594340753221E-2</v>
      </c>
      <c r="O315" s="55">
        <v>0</v>
      </c>
      <c r="P315" s="49">
        <f t="shared" si="61"/>
        <v>7.2728405196241033</v>
      </c>
      <c r="Q315" s="11">
        <f t="shared" si="62"/>
        <v>7.2571594803758961</v>
      </c>
      <c r="R315" s="29">
        <f t="shared" si="63"/>
        <v>0.49946039094121791</v>
      </c>
      <c r="S315" s="91">
        <v>8.6</v>
      </c>
      <c r="T315" s="91">
        <f t="shared" si="65"/>
        <v>124.95799999999998</v>
      </c>
      <c r="U315" s="90">
        <f t="shared" si="56"/>
        <v>62.411571531232703</v>
      </c>
      <c r="V315" s="90">
        <f t="shared" si="66"/>
        <v>62.411571531232703</v>
      </c>
      <c r="W315" s="90">
        <f t="shared" si="58"/>
        <v>0</v>
      </c>
      <c r="Y315" s="34">
        <f t="shared" si="64"/>
        <v>0.5910179164588466</v>
      </c>
      <c r="Z315" s="34"/>
      <c r="AA315" s="4"/>
      <c r="AB315" s="4"/>
      <c r="AE315" s="4"/>
    </row>
    <row r="316" spans="1:31" x14ac:dyDescent="0.25">
      <c r="A316" s="1" t="s">
        <v>467</v>
      </c>
      <c r="B316" s="1" t="s">
        <v>656</v>
      </c>
      <c r="C316" s="1" t="s">
        <v>870</v>
      </c>
      <c r="D316" s="1" t="s">
        <v>554</v>
      </c>
      <c r="E316" s="1">
        <f>VLOOKUP(A316,BOM!A:E,5,0)</f>
        <v>1</v>
      </c>
      <c r="F316" s="122">
        <v>8.42</v>
      </c>
      <c r="G316" s="10">
        <v>8.64</v>
      </c>
      <c r="H316" s="11" t="s">
        <v>1874</v>
      </c>
      <c r="I316" s="49">
        <f>SUMIFS(BOM!Q:Q,BOM!A:A,'All Products'!A316,BOM!I:I,'All Products'!I$3)</f>
        <v>3.8007035331009895</v>
      </c>
      <c r="J316" s="49">
        <f>SUMIFS(BOM!Q:Q,BOM!A:A,'All Products'!A316,BOM!I:I,'All Products'!J$3)+0.03</f>
        <v>0.17</v>
      </c>
      <c r="K316" s="29">
        <f t="shared" si="59"/>
        <v>0.45957216818298485</v>
      </c>
      <c r="L316" s="49">
        <f>SUMIF(BOM!A:A,'All Products'!A316,BOM!S:S)</f>
        <v>1.5250505319148937</v>
      </c>
      <c r="M316" s="49">
        <f>SUMIF(BOM!A:A,'All Products'!A316,BOM!V:V)</f>
        <v>0.21720416666666661</v>
      </c>
      <c r="N316" s="29">
        <f t="shared" si="60"/>
        <v>0.20164984937286576</v>
      </c>
      <c r="O316" s="55">
        <v>0</v>
      </c>
      <c r="P316" s="49">
        <f t="shared" si="61"/>
        <v>5.71295823168255</v>
      </c>
      <c r="Q316" s="11">
        <f t="shared" si="62"/>
        <v>2.9270417683174506</v>
      </c>
      <c r="R316" s="29">
        <f t="shared" si="63"/>
        <v>0.33877798244414936</v>
      </c>
      <c r="S316" s="91">
        <v>4.8</v>
      </c>
      <c r="T316" s="91">
        <f t="shared" ref="T316:T341" si="67">S316*G316</f>
        <v>41.472000000000001</v>
      </c>
      <c r="U316" s="90">
        <f t="shared" ref="U316:U341" si="68">IFERROR(S316*Q316,0)</f>
        <v>14.049800487923763</v>
      </c>
      <c r="V316" s="90">
        <f t="shared" ref="V316:V341" si="69">(G316-P316)*S316</f>
        <v>14.049800487923763</v>
      </c>
      <c r="W316" s="90">
        <f t="shared" ref="W316:W341" si="70">V316-U316</f>
        <v>0</v>
      </c>
      <c r="Y316" s="34">
        <f t="shared" si="64"/>
        <v>0.56010375774294108</v>
      </c>
      <c r="Z316" s="34"/>
      <c r="AA316" s="4"/>
      <c r="AB316" s="4"/>
      <c r="AE316" s="4"/>
    </row>
    <row r="317" spans="1:31" x14ac:dyDescent="0.25">
      <c r="A317" s="1" t="s">
        <v>180</v>
      </c>
      <c r="B317" s="1" t="s">
        <v>656</v>
      </c>
      <c r="C317" s="1" t="s">
        <v>871</v>
      </c>
      <c r="D317" s="1" t="s">
        <v>554</v>
      </c>
      <c r="E317" s="1">
        <f>VLOOKUP(A317,BOM!A:E,5,0)</f>
        <v>2.5</v>
      </c>
      <c r="F317" s="122">
        <v>21.04</v>
      </c>
      <c r="G317" s="10">
        <v>21.59</v>
      </c>
      <c r="H317" s="11" t="s">
        <v>1874</v>
      </c>
      <c r="I317" s="49">
        <f>SUMIFS(BOM!Q:Q,BOM!A:A,'All Products'!A317,BOM!I:I,'All Products'!I$3)</f>
        <v>9.5017588327524738</v>
      </c>
      <c r="J317" s="49">
        <f>SUMIFS(BOM!Q:Q,BOM!A:A,'All Products'!A317,BOM!I:I,'All Products'!J$3)+0.03</f>
        <v>0.17</v>
      </c>
      <c r="K317" s="29">
        <f t="shared" si="59"/>
        <v>0.44797400800150411</v>
      </c>
      <c r="L317" s="49">
        <f>SUMIF(BOM!A:A,'All Products'!A317,BOM!S:S)</f>
        <v>3.8126263297872343</v>
      </c>
      <c r="M317" s="49">
        <f>SUMIF(BOM!A:A,'All Products'!A317,BOM!V:V)</f>
        <v>0.29618749999999999</v>
      </c>
      <c r="N317" s="29">
        <f t="shared" si="60"/>
        <v>0.19031096942043696</v>
      </c>
      <c r="O317" s="55">
        <v>0</v>
      </c>
      <c r="P317" s="49">
        <f t="shared" si="61"/>
        <v>13.780572662539708</v>
      </c>
      <c r="Q317" s="11">
        <f t="shared" si="62"/>
        <v>7.8094273374602921</v>
      </c>
      <c r="R317" s="29">
        <f t="shared" si="63"/>
        <v>0.36171502257805893</v>
      </c>
      <c r="S317" s="91">
        <v>132.4</v>
      </c>
      <c r="T317" s="91">
        <f t="shared" si="67"/>
        <v>2858.5160000000001</v>
      </c>
      <c r="U317" s="90">
        <f t="shared" si="68"/>
        <v>1033.9681794797427</v>
      </c>
      <c r="V317" s="90">
        <f t="shared" si="69"/>
        <v>1033.9681794797427</v>
      </c>
      <c r="W317" s="90">
        <f t="shared" si="70"/>
        <v>0</v>
      </c>
      <c r="Y317" s="34">
        <f t="shared" si="64"/>
        <v>0.55990000774652737</v>
      </c>
      <c r="Z317" s="34"/>
      <c r="AA317" s="4"/>
      <c r="AB317" s="4"/>
      <c r="AE317" s="4"/>
    </row>
    <row r="318" spans="1:31" x14ac:dyDescent="0.25">
      <c r="A318" s="1" t="s">
        <v>466</v>
      </c>
      <c r="B318" s="1" t="s">
        <v>656</v>
      </c>
      <c r="C318" s="1" t="s">
        <v>872</v>
      </c>
      <c r="D318" s="1" t="s">
        <v>554</v>
      </c>
      <c r="E318" s="1">
        <f>VLOOKUP(A318,BOM!A:E,5,0)</f>
        <v>1</v>
      </c>
      <c r="F318" s="122">
        <v>8.69</v>
      </c>
      <c r="G318" s="10">
        <v>9.0399999999999991</v>
      </c>
      <c r="H318" s="11" t="s">
        <v>1874</v>
      </c>
      <c r="I318" s="49">
        <f>SUMIFS(BOM!Q:Q,BOM!A:A,'All Products'!A318,BOM!I:I,'All Products'!I$3)</f>
        <v>3.7123150788428267</v>
      </c>
      <c r="J318" s="49">
        <f>SUMIFS(BOM!Q:Q,BOM!A:A,'All Products'!A318,BOM!I:I,'All Products'!J$3)+0.03</f>
        <v>0.17</v>
      </c>
      <c r="K318" s="29">
        <f t="shared" si="59"/>
        <v>0.42945963261535697</v>
      </c>
      <c r="L318" s="49">
        <f>SUMIF(BOM!A:A,'All Products'!A318,BOM!S:S)</f>
        <v>1.5250505319148937</v>
      </c>
      <c r="M318" s="49">
        <f>SUMIF(BOM!A:A,'All Products'!A318,BOM!V:V)</f>
        <v>0.21720416666666661</v>
      </c>
      <c r="N318" s="29">
        <f t="shared" si="60"/>
        <v>0.19272728966610184</v>
      </c>
      <c r="O318" s="55">
        <v>0</v>
      </c>
      <c r="P318" s="49">
        <f t="shared" si="61"/>
        <v>5.6245697774243872</v>
      </c>
      <c r="Q318" s="11">
        <f t="shared" si="62"/>
        <v>3.4154302225756119</v>
      </c>
      <c r="R318" s="29">
        <f t="shared" si="63"/>
        <v>0.37781307771854117</v>
      </c>
      <c r="S318" s="91">
        <v>5</v>
      </c>
      <c r="T318" s="91">
        <f t="shared" si="67"/>
        <v>45.199999999999996</v>
      </c>
      <c r="U318" s="90">
        <f t="shared" si="68"/>
        <v>17.07715111287806</v>
      </c>
      <c r="V318" s="90">
        <f t="shared" si="69"/>
        <v>17.07715111287806</v>
      </c>
      <c r="W318" s="90">
        <f t="shared" si="70"/>
        <v>0</v>
      </c>
      <c r="Y318" s="34">
        <f t="shared" si="64"/>
        <v>0.58934567711915631</v>
      </c>
      <c r="Z318" s="34"/>
      <c r="AA318" s="4"/>
      <c r="AB318" s="4"/>
      <c r="AE318" s="4"/>
    </row>
    <row r="319" spans="1:31" x14ac:dyDescent="0.25">
      <c r="A319" s="1" t="s">
        <v>522</v>
      </c>
      <c r="B319" s="1" t="s">
        <v>656</v>
      </c>
      <c r="C319" s="1" t="s">
        <v>873</v>
      </c>
      <c r="D319" s="1" t="s">
        <v>554</v>
      </c>
      <c r="E319" s="1">
        <f>VLOOKUP(A319,BOM!A:E,5,0)</f>
        <v>2.5</v>
      </c>
      <c r="F319" s="122">
        <v>21.73</v>
      </c>
      <c r="G319" s="10">
        <v>22.49</v>
      </c>
      <c r="H319" s="11" t="s">
        <v>1874</v>
      </c>
      <c r="I319" s="49">
        <f>SUMIFS(BOM!Q:Q,BOM!A:A,'All Products'!A319,BOM!I:I,'All Products'!I$3)</f>
        <v>9.2807876971070673</v>
      </c>
      <c r="J319" s="49">
        <f>SUMIFS(BOM!Q:Q,BOM!A:A,'All Products'!A319,BOM!I:I,'All Products'!J$3)+0.03</f>
        <v>0.17</v>
      </c>
      <c r="K319" s="29">
        <f t="shared" si="59"/>
        <v>0.42022177399319999</v>
      </c>
      <c r="L319" s="49">
        <f>SUMIF(BOM!A:A,'All Products'!A319,BOM!S:S)</f>
        <v>3.8126263297872343</v>
      </c>
      <c r="M319" s="49">
        <f>SUMIF(BOM!A:A,'All Products'!A319,BOM!V:V)</f>
        <v>0.29618749999999999</v>
      </c>
      <c r="N319" s="29">
        <f t="shared" si="60"/>
        <v>0.18269514583313626</v>
      </c>
      <c r="O319" s="55">
        <v>0</v>
      </c>
      <c r="P319" s="49">
        <f t="shared" si="61"/>
        <v>13.559601526894301</v>
      </c>
      <c r="Q319" s="11">
        <f t="shared" si="62"/>
        <v>8.9303984731056971</v>
      </c>
      <c r="R319" s="29">
        <f t="shared" si="63"/>
        <v>0.39708308017366373</v>
      </c>
      <c r="S319" s="91">
        <v>105</v>
      </c>
      <c r="T319" s="91">
        <f t="shared" si="67"/>
        <v>2361.4499999999998</v>
      </c>
      <c r="U319" s="90">
        <f t="shared" si="68"/>
        <v>937.6918396760982</v>
      </c>
      <c r="V319" s="90">
        <f t="shared" si="69"/>
        <v>937.6918396760982</v>
      </c>
      <c r="W319" s="90">
        <f t="shared" si="70"/>
        <v>0</v>
      </c>
      <c r="Y319" s="34">
        <f t="shared" si="64"/>
        <v>0.58733714108016599</v>
      </c>
      <c r="Z319" s="34"/>
      <c r="AA319" s="4"/>
      <c r="AB319" s="4"/>
      <c r="AE319" s="4"/>
    </row>
    <row r="320" spans="1:31" x14ac:dyDescent="0.25">
      <c r="A320" s="1" t="s">
        <v>464</v>
      </c>
      <c r="B320" s="1" t="s">
        <v>656</v>
      </c>
      <c r="C320" s="1" t="s">
        <v>465</v>
      </c>
      <c r="D320" s="1" t="s">
        <v>554</v>
      </c>
      <c r="E320" s="1">
        <f>VLOOKUP(A320,BOM!A:E,5,0)</f>
        <v>1</v>
      </c>
      <c r="F320" s="122">
        <v>8.3000000000000007</v>
      </c>
      <c r="G320" s="10">
        <v>8.6</v>
      </c>
      <c r="H320" s="11" t="s">
        <v>1874</v>
      </c>
      <c r="I320" s="49">
        <f>SUMIFS(BOM!Q:Q,BOM!A:A,'All Products'!A320,BOM!I:I,'All Products'!I$3)</f>
        <v>3.4633727639110745</v>
      </c>
      <c r="J320" s="49">
        <f>SUMIFS(BOM!Q:Q,BOM!A:A,'All Products'!A320,BOM!I:I,'All Products'!J$3)+0.03</f>
        <v>0.17</v>
      </c>
      <c r="K320" s="29">
        <f t="shared" si="59"/>
        <v>0.4224852051059389</v>
      </c>
      <c r="L320" s="49">
        <f>SUMIF(BOM!A:A,'All Products'!A320,BOM!S:S)</f>
        <v>1.6749425288908089</v>
      </c>
      <c r="M320" s="49">
        <f>SUMIF(BOM!A:A,'All Products'!A320,BOM!V:V)</f>
        <v>0.21720416666666661</v>
      </c>
      <c r="N320" s="29">
        <f t="shared" si="60"/>
        <v>0.22001705762296228</v>
      </c>
      <c r="O320" s="55">
        <v>0</v>
      </c>
      <c r="P320" s="49">
        <f t="shared" si="61"/>
        <v>5.5255194594685495</v>
      </c>
      <c r="Q320" s="11">
        <f t="shared" si="62"/>
        <v>3.0744805405314501</v>
      </c>
      <c r="R320" s="29">
        <f t="shared" si="63"/>
        <v>0.35749773727109885</v>
      </c>
      <c r="S320" s="91">
        <v>11.2</v>
      </c>
      <c r="T320" s="91">
        <f t="shared" si="67"/>
        <v>96.32</v>
      </c>
      <c r="U320" s="90">
        <f t="shared" si="68"/>
        <v>34.434182053952242</v>
      </c>
      <c r="V320" s="90">
        <f t="shared" si="69"/>
        <v>34.434182053952242</v>
      </c>
      <c r="W320" s="90">
        <f t="shared" si="70"/>
        <v>0</v>
      </c>
      <c r="Y320" s="34">
        <f t="shared" si="64"/>
        <v>0.59728223675452619</v>
      </c>
      <c r="Z320" s="34"/>
      <c r="AA320" s="4"/>
      <c r="AB320" s="4"/>
      <c r="AE320" s="4"/>
    </row>
    <row r="321" spans="1:31" x14ac:dyDescent="0.25">
      <c r="A321" s="1" t="s">
        <v>177</v>
      </c>
      <c r="B321" s="1" t="s">
        <v>656</v>
      </c>
      <c r="C321" s="1" t="s">
        <v>178</v>
      </c>
      <c r="D321" s="1" t="s">
        <v>554</v>
      </c>
      <c r="E321" s="1">
        <f>VLOOKUP(A321,BOM!A:E,5,0)</f>
        <v>2.5</v>
      </c>
      <c r="F321" s="122">
        <v>20.74</v>
      </c>
      <c r="G321" s="10">
        <v>21.48</v>
      </c>
      <c r="H321" s="11" t="s">
        <v>1874</v>
      </c>
      <c r="I321" s="49">
        <f>SUMIFS(BOM!Q:Q,BOM!A:A,'All Products'!A321,BOM!I:I,'All Products'!I$3)</f>
        <v>8.6584319097776863</v>
      </c>
      <c r="J321" s="49">
        <f>SUMIFS(BOM!Q:Q,BOM!A:A,'All Products'!A321,BOM!I:I,'All Products'!J$3)+0.03</f>
        <v>0.17</v>
      </c>
      <c r="K321" s="29">
        <f t="shared" si="59"/>
        <v>0.41100707214979915</v>
      </c>
      <c r="L321" s="49">
        <f>SUMIF(BOM!A:A,'All Products'!A321,BOM!S:S)</f>
        <v>4.1873563222270223</v>
      </c>
      <c r="M321" s="49">
        <f>SUMIF(BOM!A:A,'All Products'!A321,BOM!V:V)</f>
        <v>0.29618749999999999</v>
      </c>
      <c r="N321" s="29">
        <f t="shared" si="60"/>
        <v>0.20873109042025245</v>
      </c>
      <c r="O321" s="55">
        <v>0</v>
      </c>
      <c r="P321" s="49">
        <f t="shared" si="61"/>
        <v>13.311975732004708</v>
      </c>
      <c r="Q321" s="11">
        <f t="shared" si="62"/>
        <v>8.1680242679952926</v>
      </c>
      <c r="R321" s="29">
        <f t="shared" si="63"/>
        <v>0.38026183742994846</v>
      </c>
      <c r="S321" s="91">
        <v>55.6</v>
      </c>
      <c r="T321" s="91">
        <f t="shared" si="67"/>
        <v>1194.288</v>
      </c>
      <c r="U321" s="90">
        <f t="shared" si="68"/>
        <v>454.14214930053828</v>
      </c>
      <c r="V321" s="90">
        <f t="shared" si="69"/>
        <v>454.14214930053828</v>
      </c>
      <c r="W321" s="90">
        <f t="shared" si="70"/>
        <v>0</v>
      </c>
      <c r="Y321" s="34">
        <f t="shared" si="64"/>
        <v>0.5969072667701264</v>
      </c>
      <c r="Z321" s="34"/>
      <c r="AA321" s="4"/>
      <c r="AB321" s="4"/>
      <c r="AE321" s="4"/>
    </row>
    <row r="322" spans="1:31" x14ac:dyDescent="0.25">
      <c r="A322" s="1" t="s">
        <v>874</v>
      </c>
      <c r="B322" s="1" t="s">
        <v>656</v>
      </c>
      <c r="C322" s="1" t="s">
        <v>875</v>
      </c>
      <c r="D322" s="1" t="s">
        <v>554</v>
      </c>
      <c r="E322" s="1">
        <f>VLOOKUP(A322,BOM!A:E,5,0)</f>
        <v>1</v>
      </c>
      <c r="F322" s="122">
        <v>7.15</v>
      </c>
      <c r="G322" s="10">
        <v>7.45</v>
      </c>
      <c r="H322" s="11" t="s">
        <v>1874</v>
      </c>
      <c r="I322" s="49">
        <f>SUMIFS(BOM!Q:Q,BOM!A:A,'All Products'!A322,BOM!I:I,'All Products'!I$3)</f>
        <v>3.6959999999999993</v>
      </c>
      <c r="J322" s="49">
        <f>SUMIFS(BOM!Q:Q,BOM!A:A,'All Products'!A322,BOM!I:I,'All Products'!J$3)+0.03</f>
        <v>0.17</v>
      </c>
      <c r="K322" s="29">
        <f t="shared" si="59"/>
        <v>0.51892617449664413</v>
      </c>
      <c r="L322" s="49">
        <f>SUMIF(BOM!A:A,'All Products'!A322,BOM!S:S)</f>
        <v>2.284875</v>
      </c>
      <c r="M322" s="49">
        <f>SUMIF(BOM!A:A,'All Products'!A322,BOM!V:V)</f>
        <v>0.21720416666666661</v>
      </c>
      <c r="N322" s="29">
        <f t="shared" si="60"/>
        <v>0.33584955257270688</v>
      </c>
      <c r="O322" s="55">
        <v>0</v>
      </c>
      <c r="P322" s="49">
        <f t="shared" si="61"/>
        <v>6.3680791666666661</v>
      </c>
      <c r="Q322" s="11">
        <f t="shared" si="62"/>
        <v>1.0819208333333341</v>
      </c>
      <c r="R322" s="29">
        <f t="shared" si="63"/>
        <v>0.14522427293064888</v>
      </c>
      <c r="S322" s="91">
        <v>1.6</v>
      </c>
      <c r="T322" s="91">
        <f t="shared" si="67"/>
        <v>11.920000000000002</v>
      </c>
      <c r="U322" s="90">
        <f t="shared" si="68"/>
        <v>1.7310733333333346</v>
      </c>
      <c r="V322" s="90">
        <f t="shared" si="69"/>
        <v>1.7310733333333346</v>
      </c>
      <c r="W322" s="90">
        <f t="shared" si="70"/>
        <v>0</v>
      </c>
      <c r="Y322" s="34">
        <f t="shared" si="64"/>
        <v>0.50389261744966451</v>
      </c>
      <c r="Z322" s="34"/>
      <c r="AA322" s="4"/>
      <c r="AB322" s="4"/>
      <c r="AE322" s="4"/>
    </row>
    <row r="323" spans="1:31" x14ac:dyDescent="0.25">
      <c r="A323" s="1" t="s">
        <v>443</v>
      </c>
      <c r="B323" s="1" t="s">
        <v>656</v>
      </c>
      <c r="C323" s="1" t="s">
        <v>444</v>
      </c>
      <c r="D323" s="1" t="s">
        <v>554</v>
      </c>
      <c r="E323" s="1">
        <f>VLOOKUP(A323,BOM!A:E,5,0)</f>
        <v>2.5</v>
      </c>
      <c r="F323" s="122">
        <v>17.559999999999999</v>
      </c>
      <c r="G323" s="10">
        <v>18.3</v>
      </c>
      <c r="H323" s="11" t="s">
        <v>1874</v>
      </c>
      <c r="I323" s="49">
        <f>SUMIFS(BOM!Q:Q,BOM!A:A,'All Products'!A323,BOM!I:I,'All Products'!I$3)</f>
        <v>9.2399999999999984</v>
      </c>
      <c r="J323" s="49">
        <f>SUMIFS(BOM!Q:Q,BOM!A:A,'All Products'!A323,BOM!I:I,'All Products'!J$3)+0.03</f>
        <v>0.17</v>
      </c>
      <c r="K323" s="29">
        <f t="shared" si="59"/>
        <v>0.5142076502732239</v>
      </c>
      <c r="L323" s="49">
        <f>SUMIF(BOM!A:A,'All Products'!A323,BOM!S:S)</f>
        <v>5.7121874999999998</v>
      </c>
      <c r="M323" s="49">
        <f>SUMIF(BOM!A:A,'All Products'!A323,BOM!V:V)</f>
        <v>0.29618749999999999</v>
      </c>
      <c r="N323" s="29">
        <f t="shared" si="60"/>
        <v>0.3283265027322404</v>
      </c>
      <c r="O323" s="55">
        <v>0</v>
      </c>
      <c r="P323" s="49">
        <f t="shared" si="61"/>
        <v>15.418374999999997</v>
      </c>
      <c r="Q323" s="11">
        <f t="shared" si="62"/>
        <v>2.8816250000000032</v>
      </c>
      <c r="R323" s="29">
        <f t="shared" si="63"/>
        <v>0.1574658469945357</v>
      </c>
      <c r="S323" s="91">
        <v>36</v>
      </c>
      <c r="T323" s="91">
        <f t="shared" si="67"/>
        <v>658.80000000000007</v>
      </c>
      <c r="U323" s="90">
        <f t="shared" si="68"/>
        <v>103.73850000000012</v>
      </c>
      <c r="V323" s="90">
        <f t="shared" si="69"/>
        <v>103.73850000000012</v>
      </c>
      <c r="W323" s="90">
        <f t="shared" si="70"/>
        <v>0</v>
      </c>
      <c r="Y323" s="34">
        <f t="shared" si="64"/>
        <v>0.49508196721311487</v>
      </c>
      <c r="Z323" s="34"/>
      <c r="AA323" s="4"/>
      <c r="AB323" s="4"/>
      <c r="AE323" s="4"/>
    </row>
    <row r="324" spans="1:31" x14ac:dyDescent="0.25">
      <c r="A324" s="1" t="s">
        <v>876</v>
      </c>
      <c r="B324" s="1" t="s">
        <v>656</v>
      </c>
      <c r="C324" s="1" t="s">
        <v>877</v>
      </c>
      <c r="D324" s="1" t="s">
        <v>554</v>
      </c>
      <c r="E324" s="1">
        <f>VLOOKUP(A324,BOM!A:E,5,0)</f>
        <v>1</v>
      </c>
      <c r="F324" s="122">
        <v>12.55</v>
      </c>
      <c r="G324" s="10">
        <v>13</v>
      </c>
      <c r="H324" s="11" t="s">
        <v>1874</v>
      </c>
      <c r="I324" s="49">
        <f>SUMIFS(BOM!Q:Q,BOM!A:A,'All Products'!A324,BOM!I:I,'All Products'!I$3)</f>
        <v>3.8890919873591518</v>
      </c>
      <c r="J324" s="49">
        <f>SUMIFS(BOM!Q:Q,BOM!A:A,'All Products'!A324,BOM!I:I,'All Products'!J$3)+0.03</f>
        <v>0.17</v>
      </c>
      <c r="K324" s="29">
        <f t="shared" ref="K324:K387" si="71">(I324+J324)/G324</f>
        <v>0.31223784518147324</v>
      </c>
      <c r="L324" s="49">
        <f>SUMIF(BOM!A:A,'All Products'!A324,BOM!S:S)</f>
        <v>1.5250505319148937</v>
      </c>
      <c r="M324" s="49">
        <f>SUMIF(BOM!A:A,'All Products'!A324,BOM!V:V)</f>
        <v>0.21720416666666661</v>
      </c>
      <c r="N324" s="29">
        <f t="shared" ref="N324:N387" si="72">(L324+M324)/G324</f>
        <v>0.13401959219858156</v>
      </c>
      <c r="O324" s="55">
        <v>0</v>
      </c>
      <c r="P324" s="49">
        <f t="shared" ref="P324:P387" si="73">I324+J324+M324+L324+O324</f>
        <v>5.8013466859407128</v>
      </c>
      <c r="Q324" s="11">
        <f t="shared" ref="Q324:Q387" si="74">G324-P324</f>
        <v>7.1986533140592872</v>
      </c>
      <c r="R324" s="29">
        <f t="shared" ref="R324:R387" si="75">IFERROR((G324-P324)/G324,0)</f>
        <v>0.55374256261994514</v>
      </c>
      <c r="S324" s="91">
        <v>11.6</v>
      </c>
      <c r="T324" s="91">
        <f t="shared" si="67"/>
        <v>150.79999999999998</v>
      </c>
      <c r="U324" s="90">
        <f t="shared" si="68"/>
        <v>83.504378443087731</v>
      </c>
      <c r="V324" s="90">
        <f t="shared" si="69"/>
        <v>83.504378443087731</v>
      </c>
      <c r="W324" s="90">
        <f t="shared" si="70"/>
        <v>0</v>
      </c>
      <c r="Y324" s="34">
        <f t="shared" ref="Y324:Y387" si="76">(G324-I324)/G324</f>
        <v>0.70083907789544986</v>
      </c>
      <c r="Z324" s="34"/>
      <c r="AA324" s="4"/>
      <c r="AB324" s="4"/>
      <c r="AE324" s="4"/>
    </row>
    <row r="325" spans="1:31" x14ac:dyDescent="0.25">
      <c r="A325" s="1" t="s">
        <v>878</v>
      </c>
      <c r="B325" s="1" t="s">
        <v>656</v>
      </c>
      <c r="C325" s="1" t="s">
        <v>879</v>
      </c>
      <c r="D325" s="1" t="s">
        <v>554</v>
      </c>
      <c r="E325" s="1">
        <f>VLOOKUP(A325,BOM!A:E,5,0)</f>
        <v>2.5</v>
      </c>
      <c r="F325" s="122">
        <v>25.41</v>
      </c>
      <c r="G325" s="10">
        <v>26.54</v>
      </c>
      <c r="H325" s="11" t="s">
        <v>1874</v>
      </c>
      <c r="I325" s="49">
        <f>SUMIFS(BOM!Q:Q,BOM!A:A,'All Products'!A325,BOM!I:I,'All Products'!I$3)</f>
        <v>9.7227299683978803</v>
      </c>
      <c r="J325" s="49">
        <f>SUMIFS(BOM!Q:Q,BOM!A:A,'All Products'!A325,BOM!I:I,'All Products'!J$3)+0.03</f>
        <v>0.17</v>
      </c>
      <c r="K325" s="29">
        <f t="shared" si="71"/>
        <v>0.37274792646563226</v>
      </c>
      <c r="L325" s="49">
        <f>SUMIF(BOM!A:A,'All Products'!A325,BOM!S:S)</f>
        <v>3.8126263297872343</v>
      </c>
      <c r="M325" s="49">
        <f>SUMIF(BOM!A:A,'All Products'!A325,BOM!V:V)</f>
        <v>0.29618749999999999</v>
      </c>
      <c r="N325" s="29">
        <f t="shared" si="72"/>
        <v>0.15481589411406307</v>
      </c>
      <c r="O325" s="55">
        <v>0</v>
      </c>
      <c r="P325" s="49">
        <f t="shared" si="73"/>
        <v>14.001543798185114</v>
      </c>
      <c r="Q325" s="11">
        <f t="shared" si="74"/>
        <v>12.538456201814885</v>
      </c>
      <c r="R325" s="29">
        <f t="shared" si="75"/>
        <v>0.47243617942030464</v>
      </c>
      <c r="S325" s="91">
        <v>3.4</v>
      </c>
      <c r="T325" s="91">
        <f t="shared" si="67"/>
        <v>90.23599999999999</v>
      </c>
      <c r="U325" s="90">
        <f t="shared" si="68"/>
        <v>42.630751086170605</v>
      </c>
      <c r="V325" s="90">
        <f t="shared" si="69"/>
        <v>42.630751086170605</v>
      </c>
      <c r="W325" s="90">
        <f t="shared" si="70"/>
        <v>0</v>
      </c>
      <c r="Y325" s="34">
        <f t="shared" si="76"/>
        <v>0.63365749930678683</v>
      </c>
      <c r="Z325" s="34"/>
      <c r="AA325" s="4"/>
      <c r="AB325" s="4"/>
      <c r="AE325" s="4"/>
    </row>
    <row r="326" spans="1:31" x14ac:dyDescent="0.25">
      <c r="A326" s="1" t="s">
        <v>179</v>
      </c>
      <c r="B326" s="1" t="s">
        <v>656</v>
      </c>
      <c r="C326" s="1" t="s">
        <v>880</v>
      </c>
      <c r="D326" s="1" t="s">
        <v>554</v>
      </c>
      <c r="E326" s="1">
        <f>VLOOKUP(A326,BOM!A:E,5,0)</f>
        <v>2.5</v>
      </c>
      <c r="F326" s="122">
        <v>39.020000000000003</v>
      </c>
      <c r="G326" s="10">
        <v>39.97</v>
      </c>
      <c r="H326" s="11" t="s">
        <v>1874</v>
      </c>
      <c r="I326" s="49">
        <f>SUMIFS(BOM!Q:Q,BOM!A:A,'All Products'!A326,BOM!I:I,'All Products'!I$3)</f>
        <v>5.7217361135204525</v>
      </c>
      <c r="J326" s="49">
        <f>SUMIFS(BOM!Q:Q,BOM!A:A,'All Products'!A326,BOM!I:I,'All Products'!J$3)+0.03</f>
        <v>0.17</v>
      </c>
      <c r="K326" s="29">
        <f t="shared" si="71"/>
        <v>0.14740395580486496</v>
      </c>
      <c r="L326" s="49">
        <f>SUMIF(BOM!A:A,'All Products'!A326,BOM!S:S)</f>
        <v>1.2410156944836821</v>
      </c>
      <c r="M326" s="49">
        <f>SUMIF(BOM!A:A,'All Products'!A326,BOM!V:V)</f>
        <v>0.29618749999999999</v>
      </c>
      <c r="N326" s="29">
        <f t="shared" si="72"/>
        <v>3.8458924055133403E-2</v>
      </c>
      <c r="O326" s="55">
        <v>0</v>
      </c>
      <c r="P326" s="49">
        <f t="shared" si="73"/>
        <v>7.4289393080041348</v>
      </c>
      <c r="Q326" s="11">
        <f t="shared" si="74"/>
        <v>32.541060691995867</v>
      </c>
      <c r="R326" s="29">
        <f t="shared" si="75"/>
        <v>0.81413712014000172</v>
      </c>
      <c r="S326" s="91">
        <v>73</v>
      </c>
      <c r="T326" s="91">
        <f t="shared" si="67"/>
        <v>2917.81</v>
      </c>
      <c r="U326" s="90">
        <f t="shared" si="68"/>
        <v>2375.4974305156984</v>
      </c>
      <c r="V326" s="90">
        <f t="shared" si="69"/>
        <v>2375.4974305156984</v>
      </c>
      <c r="W326" s="90">
        <f t="shared" si="70"/>
        <v>0</v>
      </c>
      <c r="Y326" s="34">
        <f t="shared" si="76"/>
        <v>0.85684923408755442</v>
      </c>
      <c r="Z326" s="34"/>
      <c r="AA326" s="4"/>
      <c r="AB326" s="4"/>
      <c r="AE326" s="4"/>
    </row>
    <row r="327" spans="1:31" x14ac:dyDescent="0.25">
      <c r="A327" s="1" t="s">
        <v>406</v>
      </c>
      <c r="B327" s="1" t="s">
        <v>656</v>
      </c>
      <c r="C327" s="1" t="s">
        <v>881</v>
      </c>
      <c r="D327" s="1" t="s">
        <v>554</v>
      </c>
      <c r="E327" s="1">
        <f>VLOOKUP(A327,BOM!A:E,5,0)</f>
        <v>1</v>
      </c>
      <c r="F327" s="122">
        <v>15.61</v>
      </c>
      <c r="G327" s="10">
        <v>15.99</v>
      </c>
      <c r="H327" s="11" t="s">
        <v>1874</v>
      </c>
      <c r="I327" s="49">
        <f>SUMIFS(BOM!Q:Q,BOM!A:A,'All Products'!A327,BOM!I:I,'All Products'!I$3)</f>
        <v>2.288694445408181</v>
      </c>
      <c r="J327" s="49">
        <f>SUMIFS(BOM!Q:Q,BOM!A:A,'All Products'!A327,BOM!I:I,'All Products'!J$3)+0.03</f>
        <v>0.17</v>
      </c>
      <c r="K327" s="29">
        <f t="shared" si="71"/>
        <v>0.15376450565404509</v>
      </c>
      <c r="L327" s="49">
        <f>SUMIF(BOM!A:A,'All Products'!A327,BOM!S:S)</f>
        <v>0.49640627779347291</v>
      </c>
      <c r="M327" s="49">
        <f>SUMIF(BOM!A:A,'All Products'!A327,BOM!V:V)</f>
        <v>0.21720416666666661</v>
      </c>
      <c r="N327" s="29">
        <f t="shared" si="72"/>
        <v>4.462854561977108E-2</v>
      </c>
      <c r="O327" s="55">
        <v>0</v>
      </c>
      <c r="P327" s="49">
        <f t="shared" si="73"/>
        <v>3.1723048898683204</v>
      </c>
      <c r="Q327" s="11">
        <f t="shared" si="74"/>
        <v>12.81769511013168</v>
      </c>
      <c r="R327" s="29">
        <f t="shared" si="75"/>
        <v>0.80160694872618388</v>
      </c>
      <c r="S327" s="91">
        <v>16.600000000000001</v>
      </c>
      <c r="T327" s="91">
        <f t="shared" si="67"/>
        <v>265.43400000000003</v>
      </c>
      <c r="U327" s="90">
        <f t="shared" si="68"/>
        <v>212.77373882818591</v>
      </c>
      <c r="V327" s="90">
        <f t="shared" si="69"/>
        <v>212.77373882818591</v>
      </c>
      <c r="W327" s="90">
        <f t="shared" si="70"/>
        <v>0</v>
      </c>
      <c r="Y327" s="34">
        <f t="shared" si="76"/>
        <v>0.85686713912394119</v>
      </c>
      <c r="Z327" s="34"/>
      <c r="AA327" s="4"/>
      <c r="AB327" s="4"/>
      <c r="AE327" s="4"/>
    </row>
    <row r="328" spans="1:31" x14ac:dyDescent="0.25">
      <c r="A328" s="1" t="s">
        <v>882</v>
      </c>
      <c r="B328" s="1" t="s">
        <v>656</v>
      </c>
      <c r="C328" s="1" t="s">
        <v>883</v>
      </c>
      <c r="D328" s="1" t="s">
        <v>554</v>
      </c>
      <c r="E328" s="1">
        <f>VLOOKUP(A328,BOM!A:E,5,0)</f>
        <v>1</v>
      </c>
      <c r="F328" s="122">
        <v>8.81</v>
      </c>
      <c r="G328" s="10">
        <v>9.1199999999999992</v>
      </c>
      <c r="H328" s="11" t="s">
        <v>1874</v>
      </c>
      <c r="I328" s="49">
        <f>SUMIFS(BOM!Q:Q,BOM!A:A,'All Products'!A328,BOM!I:I,'All Products'!I$3)</f>
        <v>3.8181818181818183</v>
      </c>
      <c r="J328" s="49">
        <f>SUMIFS(BOM!Q:Q,BOM!A:A,'All Products'!A328,BOM!I:I,'All Products'!J$3)+0.03</f>
        <v>0.17</v>
      </c>
      <c r="K328" s="29">
        <f t="shared" si="71"/>
        <v>0.43730063795853275</v>
      </c>
      <c r="L328" s="49">
        <f>SUMIF(BOM!A:A,'All Products'!A328,BOM!S:S)</f>
        <v>2.1156249999999996</v>
      </c>
      <c r="M328" s="49">
        <f>SUMIF(BOM!A:A,'All Products'!A328,BOM!V:V)</f>
        <v>0.21720416666666661</v>
      </c>
      <c r="N328" s="29">
        <f t="shared" si="72"/>
        <v>0.25579267178362569</v>
      </c>
      <c r="O328" s="55">
        <v>0</v>
      </c>
      <c r="P328" s="49">
        <f t="shared" si="73"/>
        <v>6.3210109848484848</v>
      </c>
      <c r="Q328" s="11">
        <f t="shared" si="74"/>
        <v>2.7989890151515144</v>
      </c>
      <c r="R328" s="29">
        <f t="shared" si="75"/>
        <v>0.30690669025784151</v>
      </c>
      <c r="S328" s="91">
        <v>0.2</v>
      </c>
      <c r="T328" s="91">
        <f t="shared" si="67"/>
        <v>1.8239999999999998</v>
      </c>
      <c r="U328" s="90">
        <f t="shared" si="68"/>
        <v>0.55979780303030291</v>
      </c>
      <c r="V328" s="90">
        <f t="shared" si="69"/>
        <v>0.55979780303030291</v>
      </c>
      <c r="W328" s="90">
        <f t="shared" si="70"/>
        <v>0</v>
      </c>
      <c r="Y328" s="34">
        <f t="shared" si="76"/>
        <v>0.58133971291866027</v>
      </c>
      <c r="Z328" s="34"/>
      <c r="AA328" s="4"/>
      <c r="AB328" s="4"/>
      <c r="AE328" s="4"/>
    </row>
    <row r="329" spans="1:31" x14ac:dyDescent="0.25">
      <c r="A329" s="1" t="s">
        <v>884</v>
      </c>
      <c r="B329" s="1" t="s">
        <v>656</v>
      </c>
      <c r="C329" s="1" t="s">
        <v>885</v>
      </c>
      <c r="D329" s="1" t="s">
        <v>554</v>
      </c>
      <c r="E329" s="1">
        <f>VLOOKUP(A329,BOM!A:E,5,0)</f>
        <v>2.5</v>
      </c>
      <c r="F329" s="122">
        <v>19.91</v>
      </c>
      <c r="G329" s="10">
        <v>20.68</v>
      </c>
      <c r="H329" s="11" t="s">
        <v>1874</v>
      </c>
      <c r="I329" s="49">
        <f>SUMIFS(BOM!Q:Q,BOM!A:A,'All Products'!A329,BOM!I:I,'All Products'!I$3)</f>
        <v>9.545454545454545</v>
      </c>
      <c r="J329" s="49">
        <f>SUMIFS(BOM!Q:Q,BOM!A:A,'All Products'!A329,BOM!I:I,'All Products'!J$3)+0.03</f>
        <v>0.17</v>
      </c>
      <c r="K329" s="29">
        <f t="shared" si="71"/>
        <v>0.46979954281695091</v>
      </c>
      <c r="L329" s="49">
        <f>SUMIF(BOM!A:A,'All Products'!A329,BOM!S:S)</f>
        <v>5.2890624999999991</v>
      </c>
      <c r="M329" s="49">
        <f>SUMIF(BOM!A:A,'All Products'!A329,BOM!V:V)</f>
        <v>0.29618749999999999</v>
      </c>
      <c r="N329" s="29">
        <f t="shared" si="72"/>
        <v>0.27007978723404252</v>
      </c>
      <c r="O329" s="55">
        <v>0</v>
      </c>
      <c r="P329" s="49">
        <f t="shared" si="73"/>
        <v>15.300704545454543</v>
      </c>
      <c r="Q329" s="11">
        <f t="shared" si="74"/>
        <v>5.3792954545454563</v>
      </c>
      <c r="R329" s="29">
        <f t="shared" si="75"/>
        <v>0.26012066994900662</v>
      </c>
      <c r="S329" s="91">
        <v>0</v>
      </c>
      <c r="T329" s="91">
        <f t="shared" si="67"/>
        <v>0</v>
      </c>
      <c r="U329" s="90">
        <f t="shared" si="68"/>
        <v>0</v>
      </c>
      <c r="V329" s="90">
        <f t="shared" si="69"/>
        <v>0</v>
      </c>
      <c r="W329" s="90">
        <f t="shared" si="70"/>
        <v>0</v>
      </c>
      <c r="Y329" s="34">
        <f t="shared" si="76"/>
        <v>0.53842096008440299</v>
      </c>
      <c r="Z329" s="34"/>
      <c r="AA329" s="4"/>
      <c r="AB329" s="4"/>
      <c r="AE329" s="4"/>
    </row>
    <row r="330" spans="1:31" x14ac:dyDescent="0.25">
      <c r="A330" s="1" t="s">
        <v>886</v>
      </c>
      <c r="B330" s="1" t="s">
        <v>656</v>
      </c>
      <c r="C330" s="1" t="s">
        <v>887</v>
      </c>
      <c r="D330" s="1" t="s">
        <v>554</v>
      </c>
      <c r="E330" s="1">
        <f>VLOOKUP(A330,BOM!A:E,5,0)</f>
        <v>1</v>
      </c>
      <c r="F330" s="122">
        <v>3.46</v>
      </c>
      <c r="G330" s="10">
        <v>3.42</v>
      </c>
      <c r="H330" s="11" t="s">
        <v>1874</v>
      </c>
      <c r="I330" s="49">
        <f>SUMIFS(BOM!Q:Q,BOM!A:A,'All Products'!A330,BOM!I:I,'All Products'!I$3)</f>
        <v>0.64661654135338353</v>
      </c>
      <c r="J330" s="49">
        <f>SUMIFS(BOM!Q:Q,BOM!A:A,'All Products'!A330,BOM!I:I,'All Products'!J$3)+0.03</f>
        <v>0.17</v>
      </c>
      <c r="K330" s="29">
        <f t="shared" si="71"/>
        <v>0.23877676647759755</v>
      </c>
      <c r="L330" s="49">
        <f>SUMIF(BOM!A:A,'All Products'!A330,BOM!S:S)</f>
        <v>1.1122142857142858</v>
      </c>
      <c r="M330" s="49">
        <f>SUMIF(BOM!A:A,'All Products'!A330,BOM!V:V)</f>
        <v>0.21720416666666661</v>
      </c>
      <c r="N330" s="29">
        <f t="shared" si="72"/>
        <v>0.3887188457254247</v>
      </c>
      <c r="O330" s="55">
        <v>0</v>
      </c>
      <c r="P330" s="49">
        <f t="shared" si="73"/>
        <v>2.1460349937343359</v>
      </c>
      <c r="Q330" s="11">
        <f t="shared" si="74"/>
        <v>1.273965006265664</v>
      </c>
      <c r="R330" s="29">
        <f t="shared" si="75"/>
        <v>0.37250438779697781</v>
      </c>
      <c r="S330" s="91">
        <v>9.6</v>
      </c>
      <c r="T330" s="91">
        <f t="shared" si="67"/>
        <v>32.832000000000001</v>
      </c>
      <c r="U330" s="90">
        <f t="shared" si="68"/>
        <v>12.230064060150374</v>
      </c>
      <c r="V330" s="90">
        <f t="shared" si="69"/>
        <v>12.230064060150374</v>
      </c>
      <c r="W330" s="90">
        <f t="shared" si="70"/>
        <v>0</v>
      </c>
      <c r="Y330" s="34">
        <f t="shared" si="76"/>
        <v>0.81093083586158388</v>
      </c>
      <c r="Z330" s="34"/>
      <c r="AE330" s="4"/>
    </row>
    <row r="331" spans="1:31" x14ac:dyDescent="0.25">
      <c r="A331" s="1" t="s">
        <v>888</v>
      </c>
      <c r="B331" s="1" t="s">
        <v>656</v>
      </c>
      <c r="C331" s="1" t="s">
        <v>889</v>
      </c>
      <c r="D331" s="1" t="s">
        <v>554</v>
      </c>
      <c r="E331" s="1">
        <f>VLOOKUP(A331,BOM!A:E,5,0)</f>
        <v>2.5</v>
      </c>
      <c r="F331" s="122">
        <v>8.65</v>
      </c>
      <c r="G331" s="10">
        <v>8.5500000000000007</v>
      </c>
      <c r="H331" s="11" t="s">
        <v>1874</v>
      </c>
      <c r="I331" s="49">
        <f>SUMIFS(BOM!Q:Q,BOM!A:A,'All Products'!A331,BOM!I:I,'All Products'!I$3)</f>
        <v>1.6165413533834587</v>
      </c>
      <c r="J331" s="49">
        <f>SUMIFS(BOM!Q:Q,BOM!A:A,'All Products'!A331,BOM!I:I,'All Products'!J$3)+0.03</f>
        <v>0.17</v>
      </c>
      <c r="K331" s="29">
        <f t="shared" si="71"/>
        <v>0.20895220507408871</v>
      </c>
      <c r="L331" s="49">
        <f>SUMIF(BOM!A:A,'All Products'!A331,BOM!S:S)</f>
        <v>2.7805357142857146</v>
      </c>
      <c r="M331" s="49">
        <f>SUMIF(BOM!A:A,'All Products'!A331,BOM!V:V)</f>
        <v>0.29618749999999999</v>
      </c>
      <c r="N331" s="29">
        <f t="shared" si="72"/>
        <v>0.35985066833751045</v>
      </c>
      <c r="O331" s="55">
        <v>0</v>
      </c>
      <c r="P331" s="49">
        <f t="shared" si="73"/>
        <v>4.863264567669173</v>
      </c>
      <c r="Q331" s="11">
        <f t="shared" si="74"/>
        <v>3.6867354323308277</v>
      </c>
      <c r="R331" s="29">
        <f t="shared" si="75"/>
        <v>0.43119712658840087</v>
      </c>
      <c r="S331" s="91">
        <v>10.8</v>
      </c>
      <c r="T331" s="91">
        <f t="shared" si="67"/>
        <v>92.340000000000018</v>
      </c>
      <c r="U331" s="90">
        <f t="shared" si="68"/>
        <v>39.816742669172939</v>
      </c>
      <c r="V331" s="90">
        <f t="shared" si="69"/>
        <v>39.816742669172939</v>
      </c>
      <c r="W331" s="90">
        <f t="shared" si="70"/>
        <v>0</v>
      </c>
      <c r="Y331" s="34">
        <f t="shared" si="76"/>
        <v>0.81093083586158377</v>
      </c>
      <c r="Z331" s="34"/>
      <c r="AE331" s="4"/>
    </row>
    <row r="332" spans="1:31" x14ac:dyDescent="0.25">
      <c r="A332" s="1" t="s">
        <v>890</v>
      </c>
      <c r="B332" s="1" t="s">
        <v>656</v>
      </c>
      <c r="C332" s="1" t="s">
        <v>891</v>
      </c>
      <c r="D332" s="1" t="s">
        <v>554</v>
      </c>
      <c r="E332" s="1">
        <f>VLOOKUP(A332,BOM!A:E,5,0)</f>
        <v>1</v>
      </c>
      <c r="F332" s="122">
        <v>14.93</v>
      </c>
      <c r="G332" s="10">
        <v>14.52</v>
      </c>
      <c r="H332" s="11" t="s">
        <v>1874</v>
      </c>
      <c r="I332" s="49">
        <f>SUMIFS(BOM!Q:Q,BOM!A:A,'All Products'!A332,BOM!I:I,'All Products'!I$3)</f>
        <v>2.8500000000000005</v>
      </c>
      <c r="J332" s="49">
        <f>SUMIFS(BOM!Q:Q,BOM!A:A,'All Products'!A332,BOM!I:I,'All Products'!J$3)+0.03</f>
        <v>0.17</v>
      </c>
      <c r="K332" s="29">
        <f t="shared" si="71"/>
        <v>0.20798898071625349</v>
      </c>
      <c r="L332" s="49">
        <f>SUMIF(BOM!A:A,'All Products'!A332,BOM!S:S)</f>
        <v>3.4188499999999995</v>
      </c>
      <c r="M332" s="49">
        <f>SUMIF(BOM!A:A,'All Products'!A332,BOM!V:V)</f>
        <v>0.21720416666666661</v>
      </c>
      <c r="N332" s="29">
        <f t="shared" si="72"/>
        <v>0.25041695362718086</v>
      </c>
      <c r="O332" s="55">
        <v>0</v>
      </c>
      <c r="P332" s="49">
        <f t="shared" si="73"/>
        <v>6.6560541666666664</v>
      </c>
      <c r="Q332" s="11">
        <f t="shared" si="74"/>
        <v>7.8639458333333332</v>
      </c>
      <c r="R332" s="29">
        <f t="shared" si="75"/>
        <v>0.54159406565656565</v>
      </c>
      <c r="S332" s="91">
        <v>0</v>
      </c>
      <c r="T332" s="91">
        <f t="shared" si="67"/>
        <v>0</v>
      </c>
      <c r="U332" s="90">
        <f t="shared" si="68"/>
        <v>0</v>
      </c>
      <c r="V332" s="90">
        <f t="shared" si="69"/>
        <v>0</v>
      </c>
      <c r="W332" s="90">
        <f t="shared" si="70"/>
        <v>0</v>
      </c>
      <c r="Y332" s="34">
        <f t="shared" si="76"/>
        <v>0.80371900826446274</v>
      </c>
      <c r="Z332" s="34"/>
      <c r="AA332" s="4"/>
      <c r="AB332" s="4"/>
      <c r="AE332" s="4"/>
    </row>
    <row r="333" spans="1:31" x14ac:dyDescent="0.25">
      <c r="A333" s="1" t="s">
        <v>521</v>
      </c>
      <c r="B333" s="1" t="s">
        <v>656</v>
      </c>
      <c r="C333" s="1" t="s">
        <v>892</v>
      </c>
      <c r="D333" s="1" t="s">
        <v>554</v>
      </c>
      <c r="E333" s="1">
        <f>VLOOKUP(A333,BOM!A:E,5,0)</f>
        <v>2.5</v>
      </c>
      <c r="F333" s="122">
        <v>37.33</v>
      </c>
      <c r="G333" s="10">
        <v>35.92</v>
      </c>
      <c r="H333" s="11" t="s">
        <v>1874</v>
      </c>
      <c r="I333" s="49">
        <f>SUMIFS(BOM!Q:Q,BOM!A:A,'All Products'!A333,BOM!I:I,'All Products'!I$3)</f>
        <v>7.1250000000000009</v>
      </c>
      <c r="J333" s="49">
        <f>SUMIFS(BOM!Q:Q,BOM!A:A,'All Products'!A333,BOM!I:I,'All Products'!J$3)+0.03</f>
        <v>0.17</v>
      </c>
      <c r="K333" s="29">
        <f t="shared" si="71"/>
        <v>0.2030902004454343</v>
      </c>
      <c r="L333" s="49">
        <f>SUMIF(BOM!A:A,'All Products'!A333,BOM!S:S)</f>
        <v>8.5471249999999994</v>
      </c>
      <c r="M333" s="49">
        <f>SUMIF(BOM!A:A,'All Products'!A333,BOM!V:V)</f>
        <v>0.29618749999999999</v>
      </c>
      <c r="N333" s="29">
        <f t="shared" si="72"/>
        <v>0.24619466870824053</v>
      </c>
      <c r="O333" s="55">
        <v>0</v>
      </c>
      <c r="P333" s="49">
        <f t="shared" si="73"/>
        <v>16.138312500000001</v>
      </c>
      <c r="Q333" s="11">
        <f t="shared" si="74"/>
        <v>19.7816875</v>
      </c>
      <c r="R333" s="29">
        <f t="shared" si="75"/>
        <v>0.55071513084632517</v>
      </c>
      <c r="S333" s="91">
        <v>29.8</v>
      </c>
      <c r="T333" s="91">
        <f t="shared" si="67"/>
        <v>1070.4160000000002</v>
      </c>
      <c r="U333" s="90">
        <f t="shared" si="68"/>
        <v>589.49428750000004</v>
      </c>
      <c r="V333" s="90">
        <f t="shared" si="69"/>
        <v>589.49428750000004</v>
      </c>
      <c r="W333" s="90">
        <f t="shared" si="70"/>
        <v>0</v>
      </c>
      <c r="Y333" s="34">
        <f t="shared" si="76"/>
        <v>0.80164253897550108</v>
      </c>
      <c r="Z333" s="34"/>
      <c r="AA333" s="4"/>
      <c r="AB333" s="4"/>
      <c r="AE333" s="4"/>
    </row>
    <row r="334" spans="1:31" x14ac:dyDescent="0.25">
      <c r="A334" s="1" t="s">
        <v>460</v>
      </c>
      <c r="B334" s="1" t="s">
        <v>656</v>
      </c>
      <c r="C334" s="1" t="s">
        <v>461</v>
      </c>
      <c r="D334" s="1" t="s">
        <v>554</v>
      </c>
      <c r="E334" s="1">
        <f>VLOOKUP(A334,BOM!A:E,5,0)</f>
        <v>1</v>
      </c>
      <c r="F334" s="122">
        <v>2.4</v>
      </c>
      <c r="G334" s="10">
        <v>2.2799999999999998</v>
      </c>
      <c r="H334" s="11" t="s">
        <v>1874</v>
      </c>
      <c r="I334" s="49">
        <f>SUMIFS(BOM!Q:Q,BOM!A:A,'All Products'!A334,BOM!I:I,'All Products'!I$3)</f>
        <v>1.1127525057825753</v>
      </c>
      <c r="J334" s="49">
        <f>SUMIFS(BOM!Q:Q,BOM!A:A,'All Products'!A334,BOM!I:I,'All Products'!J$3)+0.03</f>
        <v>0.17</v>
      </c>
      <c r="K334" s="29">
        <f t="shared" si="71"/>
        <v>0.56261074815025236</v>
      </c>
      <c r="L334" s="49">
        <f>SUMIF(BOM!A:A,'All Products'!A334,BOM!S:S)</f>
        <v>1.0082010665638654</v>
      </c>
      <c r="M334" s="49">
        <f>SUMIF(BOM!A:A,'All Products'!A334,BOM!V:V)</f>
        <v>0.21720416666666661</v>
      </c>
      <c r="N334" s="29">
        <f t="shared" si="72"/>
        <v>0.53745843562742635</v>
      </c>
      <c r="O334" s="55">
        <v>0</v>
      </c>
      <c r="P334" s="49">
        <f t="shared" si="73"/>
        <v>2.5081577390131073</v>
      </c>
      <c r="Q334" s="11">
        <f t="shared" si="74"/>
        <v>-0.22815773901310754</v>
      </c>
      <c r="R334" s="29">
        <f t="shared" si="75"/>
        <v>-0.10006918377767876</v>
      </c>
      <c r="S334" s="91">
        <v>33.6</v>
      </c>
      <c r="T334" s="91">
        <f t="shared" si="67"/>
        <v>76.60799999999999</v>
      </c>
      <c r="U334" s="90">
        <f t="shared" si="68"/>
        <v>-7.6661000308404139</v>
      </c>
      <c r="V334" s="90">
        <f t="shared" si="69"/>
        <v>-7.6661000308404139</v>
      </c>
      <c r="W334" s="90">
        <f t="shared" si="70"/>
        <v>0</v>
      </c>
      <c r="Y334" s="34">
        <f t="shared" si="76"/>
        <v>0.51195065535851958</v>
      </c>
      <c r="Z334" s="34"/>
      <c r="AA334" s="4"/>
      <c r="AB334" s="4"/>
      <c r="AE334" s="4"/>
    </row>
    <row r="335" spans="1:31" x14ac:dyDescent="0.25">
      <c r="A335" s="1" t="s">
        <v>171</v>
      </c>
      <c r="B335" s="1" t="s">
        <v>656</v>
      </c>
      <c r="C335" s="1" t="s">
        <v>172</v>
      </c>
      <c r="D335" s="1" t="s">
        <v>554</v>
      </c>
      <c r="E335" s="1">
        <f>VLOOKUP(A335,BOM!A:E,5,0)</f>
        <v>2.5</v>
      </c>
      <c r="F335" s="122">
        <v>5.69</v>
      </c>
      <c r="G335" s="10">
        <v>5.35</v>
      </c>
      <c r="H335" s="11" t="s">
        <v>1874</v>
      </c>
      <c r="I335" s="49">
        <f>SUMIFS(BOM!Q:Q,BOM!A:A,'All Products'!A335,BOM!I:I,'All Products'!I$3)</f>
        <v>2.7818812644564384</v>
      </c>
      <c r="J335" s="49">
        <f>SUMIFS(BOM!Q:Q,BOM!A:A,'All Products'!A335,BOM!I:I,'All Products'!J$3)+0.03</f>
        <v>0.17</v>
      </c>
      <c r="K335" s="29">
        <f t="shared" si="71"/>
        <v>0.55175350737503526</v>
      </c>
      <c r="L335" s="49">
        <f>SUMIF(BOM!A:A,'All Products'!A335,BOM!S:S)</f>
        <v>2.5205026664096635</v>
      </c>
      <c r="M335" s="49">
        <f>SUMIF(BOM!A:A,'All Products'!A335,BOM!V:V)</f>
        <v>0.29618749999999999</v>
      </c>
      <c r="N335" s="29">
        <f t="shared" si="72"/>
        <v>0.52648414325414272</v>
      </c>
      <c r="O335" s="55">
        <v>0</v>
      </c>
      <c r="P335" s="49">
        <f t="shared" si="73"/>
        <v>5.7685714308661016</v>
      </c>
      <c r="Q335" s="11">
        <f t="shared" si="74"/>
        <v>-0.41857143086610193</v>
      </c>
      <c r="R335" s="29">
        <f t="shared" si="75"/>
        <v>-7.8237650629177938E-2</v>
      </c>
      <c r="S335" s="91">
        <v>143.19999999999999</v>
      </c>
      <c r="T335" s="91">
        <f t="shared" si="67"/>
        <v>766.11999999999989</v>
      </c>
      <c r="U335" s="90">
        <f t="shared" si="68"/>
        <v>-59.939428900025796</v>
      </c>
      <c r="V335" s="90">
        <f t="shared" si="69"/>
        <v>-59.939428900025796</v>
      </c>
      <c r="W335" s="90">
        <f t="shared" si="70"/>
        <v>0</v>
      </c>
      <c r="Y335" s="34">
        <f t="shared" si="76"/>
        <v>0.48002219355954417</v>
      </c>
      <c r="Z335" s="34"/>
      <c r="AA335" s="4"/>
      <c r="AB335" s="4"/>
      <c r="AE335" s="4"/>
    </row>
    <row r="336" spans="1:31" x14ac:dyDescent="0.25">
      <c r="A336" s="1" t="s">
        <v>169</v>
      </c>
      <c r="B336" s="1" t="s">
        <v>656</v>
      </c>
      <c r="C336" s="1" t="s">
        <v>170</v>
      </c>
      <c r="D336" s="1" t="s">
        <v>554</v>
      </c>
      <c r="E336" s="1">
        <f>VLOOKUP(A336,BOM!A:E,5,0)</f>
        <v>1</v>
      </c>
      <c r="F336" s="122">
        <v>2.35</v>
      </c>
      <c r="G336" s="10">
        <v>2.21</v>
      </c>
      <c r="H336" s="11" t="s">
        <v>1874</v>
      </c>
      <c r="I336" s="49">
        <f>SUMIFS(BOM!Q:Q,BOM!A:A,'All Products'!A336,BOM!I:I,'All Products'!I$3)</f>
        <v>1.1481622911694513</v>
      </c>
      <c r="J336" s="49">
        <f>SUMIFS(BOM!Q:Q,BOM!A:A,'All Products'!A336,BOM!I:I,'All Products'!J$3)+0.03</f>
        <v>0.17</v>
      </c>
      <c r="K336" s="29">
        <f t="shared" si="71"/>
        <v>0.59645352541604135</v>
      </c>
      <c r="L336" s="49">
        <f>SUMIF(BOM!A:A,'All Products'!A336,BOM!S:S)</f>
        <v>1.0167656722354812</v>
      </c>
      <c r="M336" s="49">
        <f>SUMIF(BOM!A:A,'All Products'!A336,BOM!V:V)</f>
        <v>0.21720416666666661</v>
      </c>
      <c r="N336" s="29">
        <f t="shared" si="72"/>
        <v>0.55835739316839272</v>
      </c>
      <c r="O336" s="55">
        <v>0</v>
      </c>
      <c r="P336" s="49">
        <f t="shared" si="73"/>
        <v>2.5521321300715991</v>
      </c>
      <c r="Q336" s="11">
        <f t="shared" si="74"/>
        <v>-0.34213213007159915</v>
      </c>
      <c r="R336" s="29">
        <f t="shared" si="75"/>
        <v>-0.15481091858443402</v>
      </c>
      <c r="S336" s="91">
        <v>25.6</v>
      </c>
      <c r="T336" s="91">
        <f t="shared" si="67"/>
        <v>56.576000000000001</v>
      </c>
      <c r="U336" s="90">
        <f t="shared" si="68"/>
        <v>-8.7585825298329389</v>
      </c>
      <c r="V336" s="90">
        <f t="shared" si="69"/>
        <v>-8.7585825298329389</v>
      </c>
      <c r="W336" s="90">
        <f t="shared" si="70"/>
        <v>0</v>
      </c>
      <c r="Y336" s="34">
        <f t="shared" si="76"/>
        <v>0.48046955150703557</v>
      </c>
      <c r="Z336" s="34"/>
      <c r="AA336" s="4"/>
      <c r="AB336" s="4"/>
      <c r="AE336" s="4"/>
    </row>
    <row r="337" spans="1:31" x14ac:dyDescent="0.25">
      <c r="A337" s="1" t="s">
        <v>167</v>
      </c>
      <c r="B337" s="1" t="s">
        <v>656</v>
      </c>
      <c r="C337" s="1" t="s">
        <v>168</v>
      </c>
      <c r="D337" s="1" t="s">
        <v>554</v>
      </c>
      <c r="E337" s="1">
        <f>VLOOKUP(A337,BOM!A:E,5,0)</f>
        <v>2.5</v>
      </c>
      <c r="F337" s="122">
        <v>5.57</v>
      </c>
      <c r="G337" s="10">
        <v>5.19</v>
      </c>
      <c r="H337" s="11" t="s">
        <v>1874</v>
      </c>
      <c r="I337" s="49">
        <f>SUMIFS(BOM!Q:Q,BOM!A:A,'All Products'!A337,BOM!I:I,'All Products'!I$3)</f>
        <v>2.8704057279236279</v>
      </c>
      <c r="J337" s="49">
        <f>SUMIFS(BOM!Q:Q,BOM!A:A,'All Products'!A337,BOM!I:I,'All Products'!J$3)+0.03</f>
        <v>0.17</v>
      </c>
      <c r="K337" s="29">
        <f t="shared" si="71"/>
        <v>0.58581998611245234</v>
      </c>
      <c r="L337" s="49">
        <f>SUMIF(BOM!A:A,'All Products'!A337,BOM!S:S)</f>
        <v>2.5419141805887033</v>
      </c>
      <c r="M337" s="49">
        <f>SUMIF(BOM!A:A,'All Products'!A337,BOM!V:V)</f>
        <v>0.29618749999999999</v>
      </c>
      <c r="N337" s="29">
        <f t="shared" si="72"/>
        <v>0.5468404008841431</v>
      </c>
      <c r="O337" s="55">
        <v>0</v>
      </c>
      <c r="P337" s="49">
        <f t="shared" si="73"/>
        <v>5.8785074085123306</v>
      </c>
      <c r="Q337" s="11">
        <f t="shared" si="74"/>
        <v>-0.68850740851233017</v>
      </c>
      <c r="R337" s="29">
        <f t="shared" si="75"/>
        <v>-0.13266038699659541</v>
      </c>
      <c r="S337" s="91">
        <v>309</v>
      </c>
      <c r="T337" s="91">
        <f t="shared" si="67"/>
        <v>1603.71</v>
      </c>
      <c r="U337" s="90">
        <f t="shared" si="68"/>
        <v>-212.74878923031002</v>
      </c>
      <c r="V337" s="90">
        <f t="shared" si="69"/>
        <v>-212.74878923031002</v>
      </c>
      <c r="W337" s="90">
        <f t="shared" si="70"/>
        <v>0</v>
      </c>
      <c r="Y337" s="34">
        <f t="shared" si="76"/>
        <v>0.44693531253880003</v>
      </c>
      <c r="Z337" s="34"/>
      <c r="AA337" s="4"/>
      <c r="AB337" s="4"/>
      <c r="AE337" s="4"/>
    </row>
    <row r="338" spans="1:31" x14ac:dyDescent="0.25">
      <c r="A338" s="1" t="s">
        <v>893</v>
      </c>
      <c r="B338" s="1" t="s">
        <v>656</v>
      </c>
      <c r="C338" s="1" t="s">
        <v>894</v>
      </c>
      <c r="D338" s="1" t="s">
        <v>554</v>
      </c>
      <c r="E338" s="1">
        <f>VLOOKUP(A338,BOM!A:E,5,0)</f>
        <v>1</v>
      </c>
      <c r="F338" s="122">
        <v>5</v>
      </c>
      <c r="G338" s="10">
        <v>5.05</v>
      </c>
      <c r="H338" s="11" t="s">
        <v>1874</v>
      </c>
      <c r="I338" s="49">
        <f>SUMIFS(BOM!Q:Q,BOM!A:A,'All Products'!A338,BOM!I:I,'All Products'!I$3)</f>
        <v>2.7525773195876293</v>
      </c>
      <c r="J338" s="49">
        <f>SUMIFS(BOM!Q:Q,BOM!A:A,'All Products'!A338,BOM!I:I,'All Products'!J$3)+0.03</f>
        <v>0.17</v>
      </c>
      <c r="K338" s="29">
        <f t="shared" si="71"/>
        <v>0.5787281820965603</v>
      </c>
      <c r="L338" s="49">
        <f>SUMIF(BOM!A:A,'All Products'!A338,BOM!S:S)</f>
        <v>0.69793814432989687</v>
      </c>
      <c r="M338" s="49">
        <f>SUMIF(BOM!A:A,'All Products'!A338,BOM!V:V)</f>
        <v>0.21720416666666661</v>
      </c>
      <c r="N338" s="29">
        <f t="shared" si="72"/>
        <v>0.18121629920724031</v>
      </c>
      <c r="O338" s="55">
        <v>0</v>
      </c>
      <c r="P338" s="49">
        <f t="shared" si="73"/>
        <v>3.8377196305841927</v>
      </c>
      <c r="Q338" s="11">
        <f t="shared" si="74"/>
        <v>1.2122803694158071</v>
      </c>
      <c r="R338" s="29">
        <f t="shared" si="75"/>
        <v>0.24005551869619943</v>
      </c>
      <c r="S338" s="91">
        <v>0</v>
      </c>
      <c r="T338" s="91">
        <f t="shared" si="67"/>
        <v>0</v>
      </c>
      <c r="U338" s="90">
        <f t="shared" si="68"/>
        <v>0</v>
      </c>
      <c r="V338" s="90">
        <f t="shared" si="69"/>
        <v>0</v>
      </c>
      <c r="W338" s="90">
        <f t="shared" si="70"/>
        <v>0</v>
      </c>
      <c r="Y338" s="34">
        <f t="shared" si="76"/>
        <v>0.4549351842400734</v>
      </c>
      <c r="Z338" s="34"/>
      <c r="AA338" s="4"/>
      <c r="AB338" s="4"/>
      <c r="AE338" s="4"/>
    </row>
    <row r="339" spans="1:31" x14ac:dyDescent="0.25">
      <c r="A339" s="1" t="s">
        <v>895</v>
      </c>
      <c r="B339" s="1" t="s">
        <v>656</v>
      </c>
      <c r="C339" s="1" t="s">
        <v>896</v>
      </c>
      <c r="D339" s="1" t="s">
        <v>554</v>
      </c>
      <c r="E339" s="1">
        <f>VLOOKUP(A339,BOM!A:E,5,0)</f>
        <v>2.5</v>
      </c>
      <c r="F339" s="122">
        <v>12.49</v>
      </c>
      <c r="G339" s="10">
        <v>12.63</v>
      </c>
      <c r="H339" s="11" t="s">
        <v>1874</v>
      </c>
      <c r="I339" s="49">
        <f>SUMIFS(BOM!Q:Q,BOM!A:A,'All Products'!A339,BOM!I:I,'All Products'!I$3)</f>
        <v>6.8814432989690726</v>
      </c>
      <c r="J339" s="49">
        <f>SUMIFS(BOM!Q:Q,BOM!A:A,'All Products'!A339,BOM!I:I,'All Products'!J$3)+0.03</f>
        <v>0.17</v>
      </c>
      <c r="K339" s="29">
        <f t="shared" si="71"/>
        <v>0.55830904979960982</v>
      </c>
      <c r="L339" s="49">
        <f>SUMIF(BOM!A:A,'All Products'!A339,BOM!S:S)</f>
        <v>1.7448453608247423</v>
      </c>
      <c r="M339" s="49">
        <f>SUMIF(BOM!A:A,'All Products'!A339,BOM!V:V)</f>
        <v>0.29618749999999999</v>
      </c>
      <c r="N339" s="29">
        <f t="shared" si="72"/>
        <v>0.16160196839467475</v>
      </c>
      <c r="O339" s="55">
        <v>0</v>
      </c>
      <c r="P339" s="49">
        <f t="shared" si="73"/>
        <v>9.0924761597938151</v>
      </c>
      <c r="Q339" s="11">
        <f t="shared" si="74"/>
        <v>3.5375238402061857</v>
      </c>
      <c r="R339" s="29">
        <f t="shared" si="75"/>
        <v>0.2800889818057154</v>
      </c>
      <c r="S339" s="91">
        <v>12.6</v>
      </c>
      <c r="T339" s="91">
        <f t="shared" si="67"/>
        <v>159.13800000000001</v>
      </c>
      <c r="U339" s="90">
        <f t="shared" si="68"/>
        <v>44.57280038659794</v>
      </c>
      <c r="V339" s="90">
        <f t="shared" si="69"/>
        <v>44.57280038659794</v>
      </c>
      <c r="W339" s="90">
        <f t="shared" si="70"/>
        <v>0</v>
      </c>
      <c r="Y339" s="34">
        <f t="shared" si="76"/>
        <v>0.45515096603570293</v>
      </c>
      <c r="Z339" s="34"/>
      <c r="AA339" s="4"/>
      <c r="AB339" s="4"/>
      <c r="AE339" s="4"/>
    </row>
    <row r="340" spans="1:31" x14ac:dyDescent="0.25">
      <c r="A340" s="1" t="s">
        <v>897</v>
      </c>
      <c r="B340" s="1" t="s">
        <v>656</v>
      </c>
      <c r="C340" s="1" t="s">
        <v>898</v>
      </c>
      <c r="D340" s="1" t="s">
        <v>554</v>
      </c>
      <c r="E340" s="1">
        <f>VLOOKUP(A340,BOM!A:E,5,0)</f>
        <v>1</v>
      </c>
      <c r="F340" s="122">
        <v>3.01</v>
      </c>
      <c r="G340" s="10">
        <v>2.83</v>
      </c>
      <c r="H340" s="11" t="s">
        <v>1874</v>
      </c>
      <c r="I340" s="49">
        <f>SUMIFS(BOM!Q:Q,BOM!A:A,'All Products'!A340,BOM!I:I,'All Products'!I$3)</f>
        <v>0.39825000000000005</v>
      </c>
      <c r="J340" s="49">
        <f>SUMIFS(BOM!Q:Q,BOM!A:A,'All Products'!A340,BOM!I:I,'All Products'!J$3)+0.03</f>
        <v>0.17</v>
      </c>
      <c r="K340" s="29">
        <f t="shared" si="71"/>
        <v>0.20079505300353356</v>
      </c>
      <c r="L340" s="49">
        <f>SUMIF(BOM!A:A,'All Products'!A340,BOM!S:S)</f>
        <v>1.1960333333333333</v>
      </c>
      <c r="M340" s="49">
        <f>SUMIF(BOM!A:A,'All Products'!A340,BOM!V:V)</f>
        <v>0.21720416666666661</v>
      </c>
      <c r="N340" s="29">
        <f t="shared" si="72"/>
        <v>0.49937720848056533</v>
      </c>
      <c r="O340" s="55">
        <v>0</v>
      </c>
      <c r="P340" s="49">
        <f t="shared" si="73"/>
        <v>1.9814875000000001</v>
      </c>
      <c r="Q340" s="11">
        <f t="shared" si="74"/>
        <v>0.8485125</v>
      </c>
      <c r="R340" s="29">
        <f t="shared" si="75"/>
        <v>0.29982773851590105</v>
      </c>
      <c r="S340" s="91">
        <v>0</v>
      </c>
      <c r="T340" s="91">
        <f t="shared" si="67"/>
        <v>0</v>
      </c>
      <c r="U340" s="90">
        <f t="shared" si="68"/>
        <v>0</v>
      </c>
      <c r="V340" s="90">
        <f t="shared" si="69"/>
        <v>0</v>
      </c>
      <c r="W340" s="90">
        <f t="shared" si="70"/>
        <v>0</v>
      </c>
      <c r="Y340" s="34">
        <f t="shared" si="76"/>
        <v>0.85927561837455835</v>
      </c>
      <c r="Z340" s="34"/>
      <c r="AA340" s="4"/>
      <c r="AB340" s="4"/>
      <c r="AE340" s="4"/>
    </row>
    <row r="341" spans="1:31" x14ac:dyDescent="0.25">
      <c r="A341" s="1" t="s">
        <v>164</v>
      </c>
      <c r="B341" s="1" t="s">
        <v>656</v>
      </c>
      <c r="C341" s="1" t="s">
        <v>165</v>
      </c>
      <c r="D341" s="1" t="s">
        <v>554</v>
      </c>
      <c r="E341" s="1">
        <f>VLOOKUP(A341,BOM!A:E,5,0)</f>
        <v>2.5</v>
      </c>
      <c r="F341" s="122">
        <v>7.51</v>
      </c>
      <c r="G341" s="10">
        <v>7.04</v>
      </c>
      <c r="H341" s="11" t="s">
        <v>1874</v>
      </c>
      <c r="I341" s="49">
        <f>SUMIFS(BOM!Q:Q,BOM!A:A,'All Products'!A341,BOM!I:I,'All Products'!I$3)</f>
        <v>0.99562500000000009</v>
      </c>
      <c r="J341" s="49">
        <f>SUMIFS(BOM!Q:Q,BOM!A:A,'All Products'!A341,BOM!I:I,'All Products'!J$3)+0.03</f>
        <v>0.17</v>
      </c>
      <c r="K341" s="29">
        <f t="shared" si="71"/>
        <v>0.16557173295454547</v>
      </c>
      <c r="L341" s="49">
        <f>SUMIF(BOM!A:A,'All Products'!A341,BOM!S:S)</f>
        <v>2.9900833333333328</v>
      </c>
      <c r="M341" s="49">
        <f>SUMIF(BOM!A:A,'All Products'!A341,BOM!V:V)</f>
        <v>0.29618749999999999</v>
      </c>
      <c r="N341" s="29">
        <f t="shared" si="72"/>
        <v>0.46679983428030292</v>
      </c>
      <c r="O341" s="55">
        <v>0</v>
      </c>
      <c r="P341" s="49">
        <f t="shared" si="73"/>
        <v>4.4518958333333334</v>
      </c>
      <c r="Q341" s="11">
        <f t="shared" si="74"/>
        <v>2.5881041666666667</v>
      </c>
      <c r="R341" s="29">
        <f t="shared" si="75"/>
        <v>0.3676284327651515</v>
      </c>
      <c r="S341" s="91">
        <v>4.2</v>
      </c>
      <c r="T341" s="91">
        <f t="shared" si="67"/>
        <v>29.568000000000001</v>
      </c>
      <c r="U341" s="90">
        <f t="shared" si="68"/>
        <v>10.8700375</v>
      </c>
      <c r="V341" s="90">
        <f t="shared" si="69"/>
        <v>10.8700375</v>
      </c>
      <c r="W341" s="90">
        <f t="shared" si="70"/>
        <v>0</v>
      </c>
      <c r="Y341" s="34">
        <f t="shared" si="76"/>
        <v>0.85857599431818177</v>
      </c>
      <c r="Z341" s="34"/>
      <c r="AA341" s="4"/>
      <c r="AB341" s="4"/>
      <c r="AE341" s="4"/>
    </row>
    <row r="342" spans="1:31" x14ac:dyDescent="0.25">
      <c r="A342" s="1" t="s">
        <v>899</v>
      </c>
      <c r="B342" s="1" t="s">
        <v>656</v>
      </c>
      <c r="C342" s="1" t="s">
        <v>900</v>
      </c>
      <c r="D342" s="1" t="s">
        <v>554</v>
      </c>
      <c r="E342" s="1">
        <f>VLOOKUP(A342,BOM!A:E,5,0)</f>
        <v>1</v>
      </c>
      <c r="F342" s="122">
        <v>11.41</v>
      </c>
      <c r="G342" s="10">
        <v>11.64</v>
      </c>
      <c r="H342" s="11" t="s">
        <v>1873</v>
      </c>
      <c r="I342" s="49">
        <f>SUMIFS(BOM!Q:Q,BOM!A:A,'All Products'!A342,BOM!I:I,'All Products'!I$3)</f>
        <v>0</v>
      </c>
      <c r="J342" s="49">
        <f>SUMIFS(BOM!Q:Q,BOM!A:A,'All Products'!A342,BOM!I:I,'All Products'!J$3)+0.03</f>
        <v>0.17</v>
      </c>
      <c r="K342" s="29">
        <f t="shared" si="71"/>
        <v>1.4604810996563574E-2</v>
      </c>
      <c r="L342" s="49">
        <f>SUMIF(BOM!A:A,'All Products'!A342,BOM!S:S)</f>
        <v>0</v>
      </c>
      <c r="M342" s="49">
        <f>SUMIF(BOM!A:A,'All Products'!A342,BOM!V:V)</f>
        <v>0.21720416666666661</v>
      </c>
      <c r="N342" s="29">
        <f t="shared" si="72"/>
        <v>1.866015177548682E-2</v>
      </c>
      <c r="O342" s="55">
        <v>0</v>
      </c>
      <c r="P342" s="49">
        <f t="shared" si="73"/>
        <v>0.38720416666666663</v>
      </c>
      <c r="Q342" s="11">
        <f t="shared" si="74"/>
        <v>11.252795833333334</v>
      </c>
      <c r="R342" s="29">
        <f t="shared" si="75"/>
        <v>0.96673503722794962</v>
      </c>
      <c r="S342" s="83"/>
      <c r="T342" s="83"/>
      <c r="U342" s="83"/>
      <c r="V342" s="83"/>
      <c r="W342" s="83"/>
      <c r="Y342" s="34">
        <f t="shared" si="76"/>
        <v>1</v>
      </c>
      <c r="Z342" s="34"/>
      <c r="AD342" t="e">
        <f>_xlfn.XLOOKUP(A342,AF:AF,AF:AF)</f>
        <v>#N/A</v>
      </c>
      <c r="AE342" s="4"/>
    </row>
    <row r="343" spans="1:31" x14ac:dyDescent="0.25">
      <c r="A343" s="1" t="s">
        <v>901</v>
      </c>
      <c r="B343" s="1" t="s">
        <v>656</v>
      </c>
      <c r="C343" s="1" t="s">
        <v>902</v>
      </c>
      <c r="D343" s="1" t="s">
        <v>554</v>
      </c>
      <c r="E343" s="1">
        <f>VLOOKUP(A343,BOM!A:E,5,0)</f>
        <v>2.5</v>
      </c>
      <c r="F343" s="122">
        <v>27.52</v>
      </c>
      <c r="G343" s="10">
        <v>27.92</v>
      </c>
      <c r="H343" s="11" t="s">
        <v>1874</v>
      </c>
      <c r="I343" s="49">
        <f>SUMIFS(BOM!Q:Q,BOM!A:A,'All Products'!A343,BOM!I:I,'All Products'!I$3)</f>
        <v>6.6749999999999998</v>
      </c>
      <c r="J343" s="49">
        <f>SUMIFS(BOM!Q:Q,BOM!A:A,'All Products'!A343,BOM!I:I,'All Products'!J$3)+0.03</f>
        <v>0.17</v>
      </c>
      <c r="K343" s="29">
        <f t="shared" si="71"/>
        <v>0.24516475644699137</v>
      </c>
      <c r="L343" s="49">
        <f>SUMIF(BOM!A:A,'All Products'!A343,BOM!S:S)</f>
        <v>8.4624999999999992E-2</v>
      </c>
      <c r="M343" s="49">
        <f>SUMIF(BOM!A:A,'All Products'!A343,BOM!V:V)</f>
        <v>0.29618749999999999</v>
      </c>
      <c r="N343" s="29">
        <f t="shared" si="72"/>
        <v>1.3639416189111747E-2</v>
      </c>
      <c r="O343" s="55">
        <v>0</v>
      </c>
      <c r="P343" s="49">
        <f t="shared" si="73"/>
        <v>7.2258125</v>
      </c>
      <c r="Q343" s="11">
        <f t="shared" si="74"/>
        <v>20.694187500000002</v>
      </c>
      <c r="R343" s="29">
        <f t="shared" si="75"/>
        <v>0.74119582736389689</v>
      </c>
      <c r="S343" s="91">
        <v>0</v>
      </c>
      <c r="T343" s="91">
        <f t="shared" ref="T343:T374" si="77">S343*G343</f>
        <v>0</v>
      </c>
      <c r="U343" s="90">
        <f t="shared" ref="U343:U406" si="78">IFERROR(S343*Q343,0)</f>
        <v>0</v>
      </c>
      <c r="V343" s="90">
        <f t="shared" ref="V343:V374" si="79">(G343-P343)*S343</f>
        <v>0</v>
      </c>
      <c r="W343" s="90">
        <f t="shared" ref="W343:W406" si="80">V343-U343</f>
        <v>0</v>
      </c>
      <c r="Y343" s="34">
        <f t="shared" si="76"/>
        <v>0.7609240687679083</v>
      </c>
      <c r="Z343" s="34"/>
      <c r="AA343" s="4"/>
      <c r="AB343" s="4"/>
      <c r="AE343" s="4"/>
    </row>
    <row r="344" spans="1:31" x14ac:dyDescent="0.25">
      <c r="A344" s="1" t="s">
        <v>458</v>
      </c>
      <c r="B344" s="1" t="s">
        <v>656</v>
      </c>
      <c r="C344" s="1" t="s">
        <v>459</v>
      </c>
      <c r="D344" s="1" t="s">
        <v>554</v>
      </c>
      <c r="E344" s="1">
        <f>VLOOKUP(A344,BOM!A:E,5,0)</f>
        <v>1</v>
      </c>
      <c r="F344" s="122">
        <v>2.68</v>
      </c>
      <c r="G344" s="10">
        <v>2.58</v>
      </c>
      <c r="H344" s="11" t="s">
        <v>1874</v>
      </c>
      <c r="I344" s="49">
        <f>SUMIFS(BOM!Q:Q,BOM!A:A,'All Products'!A344,BOM!I:I,'All Products'!I$3)</f>
        <v>0.61541932758650097</v>
      </c>
      <c r="J344" s="49">
        <f>SUMIFS(BOM!Q:Q,BOM!A:A,'All Products'!A344,BOM!I:I,'All Products'!J$3)+0.03</f>
        <v>0.17</v>
      </c>
      <c r="K344" s="29">
        <f t="shared" si="71"/>
        <v>0.30442609596376008</v>
      </c>
      <c r="L344" s="49">
        <f>SUMIF(BOM!A:A,'All Products'!A344,BOM!S:S)</f>
        <v>0.55737871164896491</v>
      </c>
      <c r="M344" s="49">
        <f>SUMIF(BOM!A:A,'All Products'!A344,BOM!V:V)</f>
        <v>0.21720416666666661</v>
      </c>
      <c r="N344" s="29">
        <f t="shared" si="72"/>
        <v>0.30022592182776414</v>
      </c>
      <c r="O344" s="55">
        <v>0</v>
      </c>
      <c r="P344" s="49">
        <f t="shared" si="73"/>
        <v>1.5600022059021326</v>
      </c>
      <c r="Q344" s="11">
        <f t="shared" si="74"/>
        <v>1.0199977940978675</v>
      </c>
      <c r="R344" s="29">
        <f t="shared" si="75"/>
        <v>0.39534798220847578</v>
      </c>
      <c r="S344" s="91">
        <v>77.8</v>
      </c>
      <c r="T344" s="91">
        <f t="shared" si="77"/>
        <v>200.72399999999999</v>
      </c>
      <c r="U344" s="90">
        <f t="shared" si="78"/>
        <v>79.355828380814089</v>
      </c>
      <c r="V344" s="90">
        <f t="shared" si="79"/>
        <v>79.355828380814089</v>
      </c>
      <c r="W344" s="90">
        <f t="shared" si="80"/>
        <v>0</v>
      </c>
      <c r="Y344" s="34">
        <f t="shared" si="76"/>
        <v>0.76146537690445704</v>
      </c>
      <c r="Z344" s="34"/>
      <c r="AA344" s="4"/>
      <c r="AB344" s="4"/>
      <c r="AE344" s="4"/>
    </row>
    <row r="345" spans="1:31" x14ac:dyDescent="0.25">
      <c r="A345" s="1" t="s">
        <v>162</v>
      </c>
      <c r="B345" s="1" t="s">
        <v>656</v>
      </c>
      <c r="C345" s="1" t="s">
        <v>163</v>
      </c>
      <c r="D345" s="1" t="s">
        <v>554</v>
      </c>
      <c r="E345" s="1">
        <f>VLOOKUP(A345,BOM!A:E,5,0)</f>
        <v>2.5</v>
      </c>
      <c r="F345" s="122">
        <v>6.69</v>
      </c>
      <c r="G345" s="10">
        <v>6.44</v>
      </c>
      <c r="H345" s="11" t="s">
        <v>1874</v>
      </c>
      <c r="I345" s="49">
        <f>SUMIFS(BOM!Q:Q,BOM!A:A,'All Products'!A345,BOM!I:I,'All Products'!I$3)</f>
        <v>1.5385483189662523</v>
      </c>
      <c r="J345" s="49">
        <f>SUMIFS(BOM!Q:Q,BOM!A:A,'All Products'!A345,BOM!I:I,'All Products'!J$3)+0.03</f>
        <v>0.17</v>
      </c>
      <c r="K345" s="29">
        <f t="shared" si="71"/>
        <v>0.26530253400097081</v>
      </c>
      <c r="L345" s="49">
        <f>SUMIF(BOM!A:A,'All Products'!A345,BOM!S:S)</f>
        <v>1.3934467791224121</v>
      </c>
      <c r="M345" s="49">
        <f>SUMIF(BOM!A:A,'All Products'!A345,BOM!V:V)</f>
        <v>0.29618749999999999</v>
      </c>
      <c r="N345" s="29">
        <f t="shared" si="72"/>
        <v>0.26236557129229998</v>
      </c>
      <c r="O345" s="55">
        <v>0</v>
      </c>
      <c r="P345" s="49">
        <f t="shared" si="73"/>
        <v>3.3981825980886642</v>
      </c>
      <c r="Q345" s="11">
        <f t="shared" si="74"/>
        <v>3.0418174019113362</v>
      </c>
      <c r="R345" s="29">
        <f t="shared" si="75"/>
        <v>0.47233189470672921</v>
      </c>
      <c r="S345" s="91">
        <v>562.20000000000005</v>
      </c>
      <c r="T345" s="91">
        <f t="shared" si="77"/>
        <v>3620.5680000000007</v>
      </c>
      <c r="U345" s="90">
        <f t="shared" si="78"/>
        <v>1710.1097433545533</v>
      </c>
      <c r="V345" s="90">
        <f t="shared" si="79"/>
        <v>1710.1097433545533</v>
      </c>
      <c r="W345" s="90">
        <f t="shared" si="80"/>
        <v>0</v>
      </c>
      <c r="Y345" s="34">
        <f t="shared" si="76"/>
        <v>0.76109498152697952</v>
      </c>
      <c r="Z345" s="34"/>
      <c r="AA345" s="4"/>
      <c r="AB345" s="4"/>
      <c r="AE345" s="4"/>
    </row>
    <row r="346" spans="1:31" x14ac:dyDescent="0.25">
      <c r="A346" s="1" t="s">
        <v>160</v>
      </c>
      <c r="B346" s="1" t="s">
        <v>656</v>
      </c>
      <c r="C346" s="1" t="s">
        <v>161</v>
      </c>
      <c r="D346" s="1" t="s">
        <v>554</v>
      </c>
      <c r="E346" s="1">
        <f>VLOOKUP(A346,BOM!A:E,5,0)</f>
        <v>1</v>
      </c>
      <c r="F346" s="122">
        <v>3.01</v>
      </c>
      <c r="G346" s="10">
        <v>2.77</v>
      </c>
      <c r="H346" s="11" t="s">
        <v>1874</v>
      </c>
      <c r="I346" s="49">
        <f>SUMIFS(BOM!Q:Q,BOM!A:A,'All Products'!A346,BOM!I:I,'All Products'!I$3)</f>
        <v>0.50327122153209103</v>
      </c>
      <c r="J346" s="49">
        <f>SUMIFS(BOM!Q:Q,BOM!A:A,'All Products'!A346,BOM!I:I,'All Products'!J$3)+0.03</f>
        <v>0.17</v>
      </c>
      <c r="K346" s="29">
        <f t="shared" si="71"/>
        <v>0.24305820271916645</v>
      </c>
      <c r="L346" s="49">
        <f>SUMIF(BOM!A:A,'All Products'!A346,BOM!S:S)</f>
        <v>0.94964551414768783</v>
      </c>
      <c r="M346" s="49">
        <f>SUMIF(BOM!A:A,'All Products'!A346,BOM!V:V)</f>
        <v>0.21720416666666661</v>
      </c>
      <c r="N346" s="29">
        <f t="shared" si="72"/>
        <v>0.42124537213514601</v>
      </c>
      <c r="O346" s="55">
        <v>0</v>
      </c>
      <c r="P346" s="49">
        <f t="shared" si="73"/>
        <v>1.8401209023464455</v>
      </c>
      <c r="Q346" s="11">
        <f t="shared" si="74"/>
        <v>0.92987909765355448</v>
      </c>
      <c r="R346" s="29">
        <f t="shared" si="75"/>
        <v>0.33569642514568754</v>
      </c>
      <c r="S346" s="91">
        <v>24</v>
      </c>
      <c r="T346" s="91">
        <f t="shared" si="77"/>
        <v>66.48</v>
      </c>
      <c r="U346" s="90">
        <f t="shared" si="78"/>
        <v>22.317098343685309</v>
      </c>
      <c r="V346" s="90">
        <f t="shared" si="79"/>
        <v>22.317098343685309</v>
      </c>
      <c r="W346" s="90">
        <f t="shared" si="80"/>
        <v>0</v>
      </c>
      <c r="Y346" s="34">
        <f t="shared" si="76"/>
        <v>0.81831363843606819</v>
      </c>
      <c r="Z346" s="34"/>
      <c r="AA346" s="4"/>
      <c r="AB346" s="4"/>
      <c r="AE346" s="4"/>
    </row>
    <row r="347" spans="1:31" x14ac:dyDescent="0.25">
      <c r="A347" s="1" t="s">
        <v>158</v>
      </c>
      <c r="B347" s="1" t="s">
        <v>656</v>
      </c>
      <c r="C347" s="1" t="s">
        <v>159</v>
      </c>
      <c r="D347" s="1" t="s">
        <v>554</v>
      </c>
      <c r="E347" s="1">
        <f>VLOOKUP(A347,BOM!A:E,5,0)</f>
        <v>2.5</v>
      </c>
      <c r="F347" s="122">
        <v>7.53</v>
      </c>
      <c r="G347" s="10">
        <v>6.92</v>
      </c>
      <c r="H347" s="11" t="s">
        <v>1874</v>
      </c>
      <c r="I347" s="49">
        <f>SUMIFS(BOM!Q:Q,BOM!A:A,'All Products'!A347,BOM!I:I,'All Products'!I$3)</f>
        <v>1.2581780538302276</v>
      </c>
      <c r="J347" s="49">
        <f>SUMIFS(BOM!Q:Q,BOM!A:A,'All Products'!A347,BOM!I:I,'All Products'!J$3)+0.03</f>
        <v>0.17</v>
      </c>
      <c r="K347" s="29">
        <f t="shared" si="71"/>
        <v>0.20638411182517741</v>
      </c>
      <c r="L347" s="49">
        <f>SUMIF(BOM!A:A,'All Products'!A347,BOM!S:S)</f>
        <v>2.3741137853692198</v>
      </c>
      <c r="M347" s="49">
        <f>SUMIF(BOM!A:A,'All Products'!A347,BOM!V:V)</f>
        <v>0.29618749999999999</v>
      </c>
      <c r="N347" s="29">
        <f t="shared" si="72"/>
        <v>0.38588168863717048</v>
      </c>
      <c r="O347" s="55">
        <v>0</v>
      </c>
      <c r="P347" s="49">
        <f t="shared" si="73"/>
        <v>4.0984793391994474</v>
      </c>
      <c r="Q347" s="11">
        <f t="shared" si="74"/>
        <v>2.8215206608005525</v>
      </c>
      <c r="R347" s="29">
        <f t="shared" si="75"/>
        <v>0.40773419953765211</v>
      </c>
      <c r="S347" s="91">
        <v>78.8</v>
      </c>
      <c r="T347" s="91">
        <f t="shared" si="77"/>
        <v>545.29599999999994</v>
      </c>
      <c r="U347" s="90">
        <f t="shared" si="78"/>
        <v>222.33582807108354</v>
      </c>
      <c r="V347" s="90">
        <f t="shared" si="79"/>
        <v>222.33582807108354</v>
      </c>
      <c r="W347" s="90">
        <f t="shared" si="80"/>
        <v>0</v>
      </c>
      <c r="Y347" s="34">
        <f t="shared" si="76"/>
        <v>0.8181823621632619</v>
      </c>
      <c r="Z347" s="34"/>
      <c r="AA347" s="4"/>
      <c r="AB347" s="4"/>
      <c r="AE347" s="4"/>
    </row>
    <row r="348" spans="1:31" x14ac:dyDescent="0.25">
      <c r="A348" s="1" t="s">
        <v>156</v>
      </c>
      <c r="B348" s="1" t="s">
        <v>656</v>
      </c>
      <c r="C348" s="1" t="s">
        <v>157</v>
      </c>
      <c r="D348" s="1" t="s">
        <v>554</v>
      </c>
      <c r="E348" s="1">
        <f>VLOOKUP(A348,BOM!A:E,5,0)</f>
        <v>1</v>
      </c>
      <c r="F348" s="122">
        <v>2.91</v>
      </c>
      <c r="G348" s="10">
        <v>3.57</v>
      </c>
      <c r="H348" s="11" t="s">
        <v>1874</v>
      </c>
      <c r="I348" s="49">
        <f>SUMIFS(BOM!Q:Q,BOM!A:A,'All Products'!A348,BOM!I:I,'All Products'!I$3)</f>
        <v>1.2580808080808079</v>
      </c>
      <c r="J348" s="49">
        <f>SUMIFS(BOM!Q:Q,BOM!A:A,'All Products'!A348,BOM!I:I,'All Products'!J$3)+0.03</f>
        <v>0.17</v>
      </c>
      <c r="K348" s="29">
        <f t="shared" si="71"/>
        <v>0.40002263531675292</v>
      </c>
      <c r="L348" s="49">
        <f>SUMIF(BOM!A:A,'All Products'!A348,BOM!S:S)</f>
        <v>1.6716001893939387</v>
      </c>
      <c r="M348" s="49">
        <f>SUMIF(BOM!A:A,'All Products'!A348,BOM!V:V)</f>
        <v>0.21720416666666661</v>
      </c>
      <c r="N348" s="29">
        <f t="shared" si="72"/>
        <v>0.52907685043714436</v>
      </c>
      <c r="O348" s="55">
        <v>0</v>
      </c>
      <c r="P348" s="49">
        <f t="shared" si="73"/>
        <v>3.3168851641414134</v>
      </c>
      <c r="Q348" s="11">
        <f t="shared" si="74"/>
        <v>0.25311483585858641</v>
      </c>
      <c r="R348" s="29">
        <f t="shared" si="75"/>
        <v>7.0900514246102636E-2</v>
      </c>
      <c r="S348" s="91">
        <v>43.8</v>
      </c>
      <c r="T348" s="91">
        <f t="shared" si="77"/>
        <v>156.36599999999999</v>
      </c>
      <c r="U348" s="90">
        <f t="shared" si="78"/>
        <v>11.086429810606084</v>
      </c>
      <c r="V348" s="90">
        <f t="shared" si="79"/>
        <v>11.086429810606084</v>
      </c>
      <c r="W348" s="90">
        <f t="shared" si="80"/>
        <v>0</v>
      </c>
      <c r="Y348" s="34">
        <f t="shared" si="76"/>
        <v>0.6475964123022947</v>
      </c>
      <c r="Z348" s="34"/>
      <c r="AA348" s="4"/>
      <c r="AB348" s="4"/>
      <c r="AE348" s="4"/>
    </row>
    <row r="349" spans="1:31" x14ac:dyDescent="0.25">
      <c r="A349" s="1" t="s">
        <v>154</v>
      </c>
      <c r="B349" s="1" t="s">
        <v>656</v>
      </c>
      <c r="C349" s="1" t="s">
        <v>155</v>
      </c>
      <c r="D349" s="1" t="s">
        <v>554</v>
      </c>
      <c r="E349" s="1">
        <f>VLOOKUP(A349,BOM!A:E,5,0)</f>
        <v>2.5</v>
      </c>
      <c r="F349" s="122">
        <v>6.96</v>
      </c>
      <c r="G349" s="10">
        <v>8.57</v>
      </c>
      <c r="H349" s="11" t="s">
        <v>1874</v>
      </c>
      <c r="I349" s="49">
        <f>SUMIFS(BOM!Q:Q,BOM!A:A,'All Products'!A349,BOM!I:I,'All Products'!I$3)</f>
        <v>3.1452020202020194</v>
      </c>
      <c r="J349" s="49">
        <f>SUMIFS(BOM!Q:Q,BOM!A:A,'All Products'!A349,BOM!I:I,'All Products'!J$3)+0.03</f>
        <v>0.17</v>
      </c>
      <c r="K349" s="29">
        <f t="shared" si="71"/>
        <v>0.38683804203057404</v>
      </c>
      <c r="L349" s="49">
        <f>SUMIF(BOM!A:A,'All Products'!A349,BOM!S:S)</f>
        <v>4.1790004734848472</v>
      </c>
      <c r="M349" s="49">
        <f>SUMIF(BOM!A:A,'All Products'!A349,BOM!V:V)</f>
        <v>0.29618749999999999</v>
      </c>
      <c r="N349" s="29">
        <f t="shared" si="72"/>
        <v>0.52219229562250258</v>
      </c>
      <c r="O349" s="55">
        <v>0</v>
      </c>
      <c r="P349" s="49">
        <f t="shared" si="73"/>
        <v>7.7903899936868664</v>
      </c>
      <c r="Q349" s="11">
        <f t="shared" si="74"/>
        <v>0.77961000631313393</v>
      </c>
      <c r="R349" s="29">
        <f t="shared" si="75"/>
        <v>9.0969662346923441E-2</v>
      </c>
      <c r="S349" s="91">
        <v>256.8</v>
      </c>
      <c r="T349" s="91">
        <f t="shared" si="77"/>
        <v>2200.7760000000003</v>
      </c>
      <c r="U349" s="90">
        <f t="shared" si="78"/>
        <v>200.20384962121281</v>
      </c>
      <c r="V349" s="90">
        <f t="shared" si="79"/>
        <v>200.20384962121281</v>
      </c>
      <c r="W349" s="90">
        <f t="shared" si="80"/>
        <v>0</v>
      </c>
      <c r="Y349" s="34">
        <f t="shared" si="76"/>
        <v>0.63299859740933273</v>
      </c>
      <c r="Z349" s="34"/>
      <c r="AA349" s="4"/>
      <c r="AB349" s="4"/>
      <c r="AE349" s="4"/>
    </row>
    <row r="350" spans="1:31" x14ac:dyDescent="0.25">
      <c r="A350" s="1" t="s">
        <v>903</v>
      </c>
      <c r="B350" s="1" t="s">
        <v>656</v>
      </c>
      <c r="C350" s="1" t="s">
        <v>904</v>
      </c>
      <c r="D350" s="1" t="s">
        <v>554</v>
      </c>
      <c r="E350" s="1">
        <f>VLOOKUP(A350,BOM!A:E,5,0)</f>
        <v>1</v>
      </c>
      <c r="F350" s="122">
        <v>1.43</v>
      </c>
      <c r="G350" s="10">
        <v>1.74</v>
      </c>
      <c r="H350" s="11" t="s">
        <v>1874</v>
      </c>
      <c r="I350" s="49">
        <f>SUMIFS(BOM!Q:Q,BOM!A:A,'All Products'!A350,BOM!I:I,'All Products'!I$3)</f>
        <v>0.94</v>
      </c>
      <c r="J350" s="49">
        <f>SUMIFS(BOM!Q:Q,BOM!A:A,'All Products'!A350,BOM!I:I,'All Products'!J$3)+0.03</f>
        <v>0.17</v>
      </c>
      <c r="K350" s="29">
        <f t="shared" si="71"/>
        <v>0.63793103448275856</v>
      </c>
      <c r="L350" s="49">
        <f>SUMIF(BOM!A:A,'All Products'!A350,BOM!S:S)</f>
        <v>3.3849999999999998E-2</v>
      </c>
      <c r="M350" s="49">
        <f>SUMIF(BOM!A:A,'All Products'!A350,BOM!V:V)</f>
        <v>0.21720416666666661</v>
      </c>
      <c r="N350" s="29">
        <f t="shared" si="72"/>
        <v>0.1442840038314176</v>
      </c>
      <c r="O350" s="55">
        <v>0</v>
      </c>
      <c r="P350" s="49">
        <f t="shared" si="73"/>
        <v>1.3610541666666665</v>
      </c>
      <c r="Q350" s="11">
        <f t="shared" si="74"/>
        <v>0.37894583333333354</v>
      </c>
      <c r="R350" s="29">
        <f t="shared" si="75"/>
        <v>0.21778496168582387</v>
      </c>
      <c r="S350" s="91">
        <v>8.6</v>
      </c>
      <c r="T350" s="91">
        <f t="shared" si="77"/>
        <v>14.963999999999999</v>
      </c>
      <c r="U350" s="90">
        <f t="shared" si="78"/>
        <v>3.2589341666666685</v>
      </c>
      <c r="V350" s="90">
        <f t="shared" si="79"/>
        <v>3.2589341666666685</v>
      </c>
      <c r="W350" s="90">
        <f t="shared" si="80"/>
        <v>0</v>
      </c>
      <c r="Y350" s="34">
        <f t="shared" si="76"/>
        <v>0.45977011494252878</v>
      </c>
      <c r="Z350" s="34"/>
      <c r="AA350" s="4"/>
      <c r="AB350" s="4"/>
      <c r="AE350" s="4"/>
    </row>
    <row r="351" spans="1:31" x14ac:dyDescent="0.25">
      <c r="A351" s="1" t="s">
        <v>905</v>
      </c>
      <c r="B351" s="1" t="s">
        <v>656</v>
      </c>
      <c r="C351" s="1" t="s">
        <v>906</v>
      </c>
      <c r="D351" s="1" t="s">
        <v>554</v>
      </c>
      <c r="E351" s="1">
        <f>VLOOKUP(A351,BOM!A:E,5,0)</f>
        <v>2.5</v>
      </c>
      <c r="F351" s="122">
        <v>3.57</v>
      </c>
      <c r="G351" s="10">
        <v>4.34</v>
      </c>
      <c r="H351" s="11" t="s">
        <v>1874</v>
      </c>
      <c r="I351" s="49">
        <f>SUMIFS(BOM!Q:Q,BOM!A:A,'All Products'!A351,BOM!I:I,'All Products'!I$3)</f>
        <v>2.3499999999999996</v>
      </c>
      <c r="J351" s="49">
        <f>SUMIFS(BOM!Q:Q,BOM!A:A,'All Products'!A351,BOM!I:I,'All Products'!J$3)+0.03</f>
        <v>0.17</v>
      </c>
      <c r="K351" s="29">
        <f t="shared" si="71"/>
        <v>0.58064516129032251</v>
      </c>
      <c r="L351" s="49">
        <f>SUMIF(BOM!A:A,'All Products'!A351,BOM!S:S)</f>
        <v>8.4624999999999992E-2</v>
      </c>
      <c r="M351" s="49">
        <f>SUMIF(BOM!A:A,'All Products'!A351,BOM!V:V)</f>
        <v>0.29618749999999999</v>
      </c>
      <c r="N351" s="29">
        <f t="shared" si="72"/>
        <v>8.7744815668202761E-2</v>
      </c>
      <c r="O351" s="55">
        <v>0</v>
      </c>
      <c r="P351" s="49">
        <f t="shared" si="73"/>
        <v>2.9008124999999993</v>
      </c>
      <c r="Q351" s="11">
        <f t="shared" si="74"/>
        <v>1.4391875000000005</v>
      </c>
      <c r="R351" s="29">
        <f t="shared" si="75"/>
        <v>0.3316100230414748</v>
      </c>
      <c r="S351" s="91">
        <v>15</v>
      </c>
      <c r="T351" s="91">
        <f t="shared" si="77"/>
        <v>65.099999999999994</v>
      </c>
      <c r="U351" s="90">
        <f t="shared" si="78"/>
        <v>21.587812500000009</v>
      </c>
      <c r="V351" s="90">
        <f t="shared" si="79"/>
        <v>21.587812500000009</v>
      </c>
      <c r="W351" s="90">
        <f t="shared" si="80"/>
        <v>0</v>
      </c>
      <c r="Y351" s="34">
        <f t="shared" si="76"/>
        <v>0.45852534562211988</v>
      </c>
      <c r="Z351" s="34"/>
      <c r="AA351" s="4"/>
      <c r="AB351" s="4"/>
      <c r="AE351" s="4"/>
    </row>
    <row r="352" spans="1:31" x14ac:dyDescent="0.25">
      <c r="A352" s="1" t="s">
        <v>152</v>
      </c>
      <c r="B352" s="1" t="s">
        <v>656</v>
      </c>
      <c r="C352" s="1" t="s">
        <v>153</v>
      </c>
      <c r="D352" s="1" t="s">
        <v>554</v>
      </c>
      <c r="E352" s="1">
        <f>VLOOKUP(A352,BOM!A:E,5,0)</f>
        <v>1</v>
      </c>
      <c r="F352" s="122">
        <v>1.91</v>
      </c>
      <c r="G352" s="10">
        <v>2.23</v>
      </c>
      <c r="H352" s="11" t="s">
        <v>1874</v>
      </c>
      <c r="I352" s="49">
        <f>SUMIFS(BOM!Q:Q,BOM!A:A,'All Products'!A352,BOM!I:I,'All Products'!I$3)</f>
        <v>0.94</v>
      </c>
      <c r="J352" s="49">
        <f>SUMIFS(BOM!Q:Q,BOM!A:A,'All Products'!A352,BOM!I:I,'All Products'!J$3)+0.03</f>
        <v>0.17</v>
      </c>
      <c r="K352" s="29">
        <f t="shared" si="71"/>
        <v>0.49775784753363223</v>
      </c>
      <c r="L352" s="49">
        <f>SUMIF(BOM!A:A,'All Products'!A352,BOM!S:S)</f>
        <v>0.37235000000000001</v>
      </c>
      <c r="M352" s="49">
        <f>SUMIF(BOM!A:A,'All Products'!A352,BOM!V:V)</f>
        <v>0.21720416666666661</v>
      </c>
      <c r="N352" s="29">
        <f t="shared" si="72"/>
        <v>0.26437406576980566</v>
      </c>
      <c r="O352" s="55">
        <v>0</v>
      </c>
      <c r="P352" s="49">
        <f t="shared" si="73"/>
        <v>1.6995541666666665</v>
      </c>
      <c r="Q352" s="11">
        <f t="shared" si="74"/>
        <v>0.53044583333333351</v>
      </c>
      <c r="R352" s="29">
        <f t="shared" si="75"/>
        <v>0.23786808669656212</v>
      </c>
      <c r="S352" s="91">
        <v>26.2</v>
      </c>
      <c r="T352" s="91">
        <f t="shared" si="77"/>
        <v>58.425999999999995</v>
      </c>
      <c r="U352" s="90">
        <f t="shared" si="78"/>
        <v>13.897680833333338</v>
      </c>
      <c r="V352" s="90">
        <f t="shared" si="79"/>
        <v>13.897680833333338</v>
      </c>
      <c r="W352" s="90">
        <f t="shared" si="80"/>
        <v>0</v>
      </c>
      <c r="Y352" s="34">
        <f t="shared" si="76"/>
        <v>0.57847533632286996</v>
      </c>
      <c r="Z352" s="34"/>
      <c r="AA352" s="4"/>
      <c r="AB352" s="4"/>
      <c r="AE352" s="4"/>
    </row>
    <row r="353" spans="1:31" x14ac:dyDescent="0.25">
      <c r="A353" s="1" t="s">
        <v>150</v>
      </c>
      <c r="B353" s="1" t="s">
        <v>656</v>
      </c>
      <c r="C353" s="1" t="s">
        <v>151</v>
      </c>
      <c r="D353" s="1" t="s">
        <v>554</v>
      </c>
      <c r="E353" s="1">
        <f>VLOOKUP(A353,BOM!A:E,5,0)</f>
        <v>2.5</v>
      </c>
      <c r="F353" s="122">
        <v>4.78</v>
      </c>
      <c r="G353" s="10">
        <v>5.57</v>
      </c>
      <c r="H353" s="11" t="s">
        <v>1874</v>
      </c>
      <c r="I353" s="49">
        <f>SUMIFS(BOM!Q:Q,BOM!A:A,'All Products'!A353,BOM!I:I,'All Products'!I$3)</f>
        <v>2.3499999999999996</v>
      </c>
      <c r="J353" s="49">
        <f>SUMIFS(BOM!Q:Q,BOM!A:A,'All Products'!A353,BOM!I:I,'All Products'!J$3)+0.03</f>
        <v>0.17</v>
      </c>
      <c r="K353" s="29">
        <f t="shared" si="71"/>
        <v>0.45242369838420099</v>
      </c>
      <c r="L353" s="49">
        <f>SUMIF(BOM!A:A,'All Products'!A353,BOM!S:S)</f>
        <v>0.9308749999999999</v>
      </c>
      <c r="M353" s="49">
        <f>SUMIF(BOM!A:A,'All Products'!A353,BOM!V:V)</f>
        <v>0.29618749999999999</v>
      </c>
      <c r="N353" s="29">
        <f t="shared" si="72"/>
        <v>0.22029847396768401</v>
      </c>
      <c r="O353" s="55">
        <v>0</v>
      </c>
      <c r="P353" s="49">
        <f t="shared" si="73"/>
        <v>3.7470624999999993</v>
      </c>
      <c r="Q353" s="11">
        <f t="shared" si="74"/>
        <v>1.822937500000001</v>
      </c>
      <c r="R353" s="29">
        <f t="shared" si="75"/>
        <v>0.32727782764811508</v>
      </c>
      <c r="S353" s="91">
        <v>532.6</v>
      </c>
      <c r="T353" s="91">
        <f t="shared" si="77"/>
        <v>2966.5820000000003</v>
      </c>
      <c r="U353" s="90">
        <f t="shared" si="78"/>
        <v>970.89651250000054</v>
      </c>
      <c r="V353" s="90">
        <f t="shared" si="79"/>
        <v>970.89651250000054</v>
      </c>
      <c r="W353" s="90">
        <f t="shared" si="80"/>
        <v>0</v>
      </c>
      <c r="Y353" s="34">
        <f t="shared" si="76"/>
        <v>0.57809694793536814</v>
      </c>
      <c r="Z353" s="34"/>
      <c r="AA353" s="4"/>
      <c r="AB353" s="4"/>
      <c r="AE353" s="4"/>
    </row>
    <row r="354" spans="1:31" x14ac:dyDescent="0.25">
      <c r="A354" s="1" t="s">
        <v>148</v>
      </c>
      <c r="B354" s="1" t="s">
        <v>656</v>
      </c>
      <c r="C354" s="1" t="s">
        <v>149</v>
      </c>
      <c r="D354" s="1" t="s">
        <v>554</v>
      </c>
      <c r="E354" s="1">
        <f>VLOOKUP(A354,BOM!A:E,5,0)</f>
        <v>1</v>
      </c>
      <c r="F354" s="122">
        <v>1.61</v>
      </c>
      <c r="G354" s="10">
        <v>1.94</v>
      </c>
      <c r="H354" s="11" t="s">
        <v>1874</v>
      </c>
      <c r="I354" s="49">
        <f>SUMIFS(BOM!Q:Q,BOM!A:A,'All Products'!A354,BOM!I:I,'All Products'!I$3)</f>
        <v>0.94</v>
      </c>
      <c r="J354" s="49">
        <f>SUMIFS(BOM!Q:Q,BOM!A:A,'All Products'!A354,BOM!I:I,'All Products'!J$3)+0.03</f>
        <v>0.17</v>
      </c>
      <c r="K354" s="29">
        <f t="shared" si="71"/>
        <v>0.57216494845360821</v>
      </c>
      <c r="L354" s="49">
        <f>SUMIF(BOM!A:A,'All Products'!A354,BOM!S:S)</f>
        <v>0.50774999999999992</v>
      </c>
      <c r="M354" s="49">
        <f>SUMIF(BOM!A:A,'All Products'!A354,BOM!V:V)</f>
        <v>0.21720416666666661</v>
      </c>
      <c r="N354" s="29">
        <f t="shared" si="72"/>
        <v>0.37368771477663226</v>
      </c>
      <c r="O354" s="55">
        <v>0</v>
      </c>
      <c r="P354" s="49">
        <f t="shared" si="73"/>
        <v>1.8349541666666664</v>
      </c>
      <c r="Q354" s="11">
        <f t="shared" si="74"/>
        <v>0.1050458333333335</v>
      </c>
      <c r="R354" s="29">
        <f t="shared" si="75"/>
        <v>5.4147336769759538E-2</v>
      </c>
      <c r="S354" s="91">
        <v>18</v>
      </c>
      <c r="T354" s="91">
        <f t="shared" si="77"/>
        <v>34.92</v>
      </c>
      <c r="U354" s="90">
        <f t="shared" si="78"/>
        <v>1.8908250000000031</v>
      </c>
      <c r="V354" s="90">
        <f t="shared" si="79"/>
        <v>1.8908250000000031</v>
      </c>
      <c r="W354" s="90">
        <f t="shared" si="80"/>
        <v>0</v>
      </c>
      <c r="Y354" s="34">
        <f t="shared" si="76"/>
        <v>0.51546391752577325</v>
      </c>
      <c r="Z354" s="34"/>
      <c r="AA354" s="4"/>
      <c r="AB354" s="4"/>
      <c r="AE354" s="4"/>
    </row>
    <row r="355" spans="1:31" x14ac:dyDescent="0.25">
      <c r="A355" s="1" t="s">
        <v>146</v>
      </c>
      <c r="B355" s="1" t="s">
        <v>656</v>
      </c>
      <c r="C355" s="1" t="s">
        <v>147</v>
      </c>
      <c r="D355" s="1" t="s">
        <v>554</v>
      </c>
      <c r="E355" s="1">
        <f>VLOOKUP(A355,BOM!A:E,5,0)</f>
        <v>2.5</v>
      </c>
      <c r="F355" s="122">
        <v>4.01</v>
      </c>
      <c r="G355" s="10">
        <v>4.82</v>
      </c>
      <c r="H355" s="11" t="s">
        <v>1874</v>
      </c>
      <c r="I355" s="49">
        <f>SUMIFS(BOM!Q:Q,BOM!A:A,'All Products'!A355,BOM!I:I,'All Products'!I$3)</f>
        <v>2.3499999999999996</v>
      </c>
      <c r="J355" s="49">
        <f>SUMIFS(BOM!Q:Q,BOM!A:A,'All Products'!A355,BOM!I:I,'All Products'!J$3)+0.03</f>
        <v>0.17</v>
      </c>
      <c r="K355" s="29">
        <f t="shared" si="71"/>
        <v>0.5228215767634854</v>
      </c>
      <c r="L355" s="49">
        <f>SUMIF(BOM!A:A,'All Products'!A355,BOM!S:S)</f>
        <v>1.2693749999999999</v>
      </c>
      <c r="M355" s="49">
        <f>SUMIF(BOM!A:A,'All Products'!A355,BOM!V:V)</f>
        <v>0.29618749999999999</v>
      </c>
      <c r="N355" s="29">
        <f t="shared" si="72"/>
        <v>0.32480549792531116</v>
      </c>
      <c r="O355" s="55">
        <v>0</v>
      </c>
      <c r="P355" s="49">
        <f t="shared" si="73"/>
        <v>4.0855624999999991</v>
      </c>
      <c r="Q355" s="11">
        <f t="shared" si="74"/>
        <v>0.73443750000000119</v>
      </c>
      <c r="R355" s="29">
        <f t="shared" si="75"/>
        <v>0.15237292531120356</v>
      </c>
      <c r="S355" s="91">
        <v>232.4</v>
      </c>
      <c r="T355" s="91">
        <f t="shared" si="77"/>
        <v>1120.1680000000001</v>
      </c>
      <c r="U355" s="90">
        <f t="shared" si="78"/>
        <v>170.68327500000029</v>
      </c>
      <c r="V355" s="90">
        <f t="shared" si="79"/>
        <v>170.68327500000029</v>
      </c>
      <c r="W355" s="90">
        <f t="shared" si="80"/>
        <v>0</v>
      </c>
      <c r="Y355" s="34">
        <f t="shared" si="76"/>
        <v>0.51244813278008305</v>
      </c>
      <c r="Z355" s="34"/>
      <c r="AA355" s="4"/>
      <c r="AB355" s="4"/>
      <c r="AE355" s="4"/>
    </row>
    <row r="356" spans="1:31" x14ac:dyDescent="0.25">
      <c r="A356" s="1" t="s">
        <v>907</v>
      </c>
      <c r="B356" s="1" t="s">
        <v>656</v>
      </c>
      <c r="C356" s="1" t="s">
        <v>908</v>
      </c>
      <c r="D356" s="1" t="s">
        <v>554</v>
      </c>
      <c r="E356" s="1">
        <f>VLOOKUP(A356,BOM!A:E,5,0)</f>
        <v>1</v>
      </c>
      <c r="F356" s="122">
        <v>3.43</v>
      </c>
      <c r="G356" s="10">
        <v>4.18</v>
      </c>
      <c r="H356" s="11" t="s">
        <v>1874</v>
      </c>
      <c r="I356" s="49">
        <f>SUMIFS(BOM!Q:Q,BOM!A:A,'All Products'!A356,BOM!I:I,'All Products'!I$3)</f>
        <v>1.3501552795031058</v>
      </c>
      <c r="J356" s="49">
        <f>SUMIFS(BOM!Q:Q,BOM!A:A,'All Products'!A356,BOM!I:I,'All Products'!J$3)+0.03</f>
        <v>0.17</v>
      </c>
      <c r="K356" s="29">
        <f t="shared" si="71"/>
        <v>0.3636735118428483</v>
      </c>
      <c r="L356" s="49">
        <f>SUMIF(BOM!A:A,'All Products'!A356,BOM!S:S)</f>
        <v>2.3395746376811593</v>
      </c>
      <c r="M356" s="49">
        <f>SUMIF(BOM!A:A,'All Products'!A356,BOM!V:V)</f>
        <v>0.21720416666666661</v>
      </c>
      <c r="N356" s="29">
        <f t="shared" si="72"/>
        <v>0.61166957041814018</v>
      </c>
      <c r="O356" s="55">
        <v>0</v>
      </c>
      <c r="P356" s="49">
        <f t="shared" si="73"/>
        <v>4.0769340838509311</v>
      </c>
      <c r="Q356" s="11">
        <f t="shared" si="74"/>
        <v>0.10306591614906857</v>
      </c>
      <c r="R356" s="29">
        <f t="shared" si="75"/>
        <v>2.465691773901162E-2</v>
      </c>
      <c r="S356" s="91">
        <v>0</v>
      </c>
      <c r="T356" s="91">
        <f t="shared" si="77"/>
        <v>0</v>
      </c>
      <c r="U356" s="90">
        <f t="shared" si="78"/>
        <v>0</v>
      </c>
      <c r="V356" s="90">
        <f t="shared" si="79"/>
        <v>0</v>
      </c>
      <c r="W356" s="90">
        <f t="shared" si="80"/>
        <v>0</v>
      </c>
      <c r="Y356" s="34">
        <f t="shared" si="76"/>
        <v>0.67699634461648184</v>
      </c>
      <c r="Z356" s="34"/>
      <c r="AA356" s="4"/>
      <c r="AB356" s="4"/>
      <c r="AE356" s="4"/>
    </row>
    <row r="357" spans="1:31" x14ac:dyDescent="0.25">
      <c r="A357" s="1" t="s">
        <v>144</v>
      </c>
      <c r="B357" s="1" t="s">
        <v>656</v>
      </c>
      <c r="C357" s="1" t="s">
        <v>145</v>
      </c>
      <c r="D357" s="1" t="s">
        <v>554</v>
      </c>
      <c r="E357" s="1">
        <f>VLOOKUP(A357,BOM!A:E,5,0)</f>
        <v>2.5</v>
      </c>
      <c r="F357" s="122">
        <v>8.26</v>
      </c>
      <c r="G357" s="10">
        <v>10.11</v>
      </c>
      <c r="H357" s="11" t="s">
        <v>1874</v>
      </c>
      <c r="I357" s="49">
        <f>SUMIFS(BOM!Q:Q,BOM!A:A,'All Products'!A357,BOM!I:I,'All Products'!I$3)</f>
        <v>3.3753881987577641</v>
      </c>
      <c r="J357" s="49">
        <f>SUMIFS(BOM!Q:Q,BOM!A:A,'All Products'!A357,BOM!I:I,'All Products'!J$3)+0.03</f>
        <v>0.17</v>
      </c>
      <c r="K357" s="29">
        <f t="shared" si="71"/>
        <v>0.3506813252975039</v>
      </c>
      <c r="L357" s="49">
        <f>SUMIF(BOM!A:A,'All Products'!A357,BOM!S:S)</f>
        <v>5.8489365942028977</v>
      </c>
      <c r="M357" s="49">
        <f>SUMIF(BOM!A:A,'All Products'!A357,BOM!V:V)</f>
        <v>0.29618749999999999</v>
      </c>
      <c r="N357" s="29">
        <f t="shared" si="72"/>
        <v>0.6078263199013747</v>
      </c>
      <c r="O357" s="55">
        <v>0</v>
      </c>
      <c r="P357" s="49">
        <f t="shared" si="73"/>
        <v>9.690512292960662</v>
      </c>
      <c r="Q357" s="11">
        <f t="shared" si="74"/>
        <v>0.41948770703933747</v>
      </c>
      <c r="R357" s="29">
        <f t="shared" si="75"/>
        <v>4.1492354801121414E-2</v>
      </c>
      <c r="S357" s="91">
        <v>317.60000000000002</v>
      </c>
      <c r="T357" s="91">
        <f t="shared" si="77"/>
        <v>3210.9360000000001</v>
      </c>
      <c r="U357" s="90">
        <f t="shared" si="78"/>
        <v>133.22929575569358</v>
      </c>
      <c r="V357" s="90">
        <f t="shared" si="79"/>
        <v>133.22929575569358</v>
      </c>
      <c r="W357" s="90">
        <f t="shared" si="80"/>
        <v>0</v>
      </c>
      <c r="Y357" s="34">
        <f t="shared" si="76"/>
        <v>0.66613370932168503</v>
      </c>
      <c r="Z357" s="34"/>
      <c r="AA357" s="4"/>
      <c r="AB357" s="4"/>
      <c r="AE357" s="4"/>
    </row>
    <row r="358" spans="1:31" x14ac:dyDescent="0.25">
      <c r="A358" s="1" t="s">
        <v>501</v>
      </c>
      <c r="B358" s="1" t="s">
        <v>656</v>
      </c>
      <c r="C358" s="1" t="s">
        <v>502</v>
      </c>
      <c r="D358" s="1" t="s">
        <v>554</v>
      </c>
      <c r="E358" s="1">
        <f>VLOOKUP(A358,BOM!A:E,5,0)</f>
        <v>1</v>
      </c>
      <c r="F358" s="122">
        <v>1.91</v>
      </c>
      <c r="G358" s="10">
        <v>2.3199999999999998</v>
      </c>
      <c r="H358" s="11" t="s">
        <v>1874</v>
      </c>
      <c r="I358" s="49">
        <f>SUMIFS(BOM!Q:Q,BOM!A:A,'All Products'!A358,BOM!I:I,'All Products'!I$3)</f>
        <v>1.259140690817186</v>
      </c>
      <c r="J358" s="49">
        <f>SUMIFS(BOM!Q:Q,BOM!A:A,'All Products'!A358,BOM!I:I,'All Products'!J$3)+0.03</f>
        <v>0.17</v>
      </c>
      <c r="K358" s="29">
        <f t="shared" si="71"/>
        <v>0.61600891845568362</v>
      </c>
      <c r="L358" s="49">
        <f>SUMIF(BOM!A:A,'All Products'!A358,BOM!S:S)</f>
        <v>0.58613447065431068</v>
      </c>
      <c r="M358" s="49">
        <f>SUMIF(BOM!A:A,'All Products'!A358,BOM!V:V)</f>
        <v>0.21720416666666661</v>
      </c>
      <c r="N358" s="29">
        <f t="shared" si="72"/>
        <v>0.34626665401766266</v>
      </c>
      <c r="O358" s="55">
        <v>0</v>
      </c>
      <c r="P358" s="49">
        <f t="shared" si="73"/>
        <v>2.2324793281381634</v>
      </c>
      <c r="Q358" s="11">
        <f t="shared" si="74"/>
        <v>8.752067186183643E-2</v>
      </c>
      <c r="R358" s="29">
        <f t="shared" si="75"/>
        <v>3.7724427526653635E-2</v>
      </c>
      <c r="S358" s="91">
        <v>0.2</v>
      </c>
      <c r="T358" s="91">
        <f t="shared" si="77"/>
        <v>0.46399999999999997</v>
      </c>
      <c r="U358" s="90">
        <f t="shared" si="78"/>
        <v>1.7504134372367287E-2</v>
      </c>
      <c r="V358" s="90">
        <f t="shared" si="79"/>
        <v>1.7504134372367287E-2</v>
      </c>
      <c r="W358" s="90">
        <f t="shared" si="80"/>
        <v>0</v>
      </c>
      <c r="Y358" s="34">
        <f t="shared" si="76"/>
        <v>0.45726694361328185</v>
      </c>
      <c r="Z358" s="34"/>
      <c r="AA358" s="4"/>
      <c r="AB358" s="4"/>
      <c r="AE358" s="4"/>
    </row>
    <row r="359" spans="1:31" x14ac:dyDescent="0.25">
      <c r="A359" s="1" t="s">
        <v>142</v>
      </c>
      <c r="B359" s="1" t="s">
        <v>656</v>
      </c>
      <c r="C359" s="1" t="s">
        <v>143</v>
      </c>
      <c r="D359" s="1" t="s">
        <v>554</v>
      </c>
      <c r="E359" s="1">
        <f>VLOOKUP(A359,BOM!A:E,5,0)</f>
        <v>2.5</v>
      </c>
      <c r="F359" s="122">
        <v>4.47</v>
      </c>
      <c r="G359" s="10">
        <v>5.47</v>
      </c>
      <c r="H359" s="11" t="s">
        <v>1874</v>
      </c>
      <c r="I359" s="49">
        <f>SUMIFS(BOM!Q:Q,BOM!A:A,'All Products'!A359,BOM!I:I,'All Products'!I$3)</f>
        <v>3.1478517270429656</v>
      </c>
      <c r="J359" s="49">
        <f>SUMIFS(BOM!Q:Q,BOM!A:A,'All Products'!A359,BOM!I:I,'All Products'!J$3)+0.03</f>
        <v>0.17</v>
      </c>
      <c r="K359" s="29">
        <f t="shared" si="71"/>
        <v>0.60655424626013998</v>
      </c>
      <c r="L359" s="49">
        <f>SUMIF(BOM!A:A,'All Products'!A359,BOM!S:S)</f>
        <v>1.4653361766357766</v>
      </c>
      <c r="M359" s="49">
        <f>SUMIF(BOM!A:A,'All Products'!A359,BOM!V:V)</f>
        <v>0.29618749999999999</v>
      </c>
      <c r="N359" s="29">
        <f t="shared" si="72"/>
        <v>0.3220335789096484</v>
      </c>
      <c r="O359" s="55">
        <v>0</v>
      </c>
      <c r="P359" s="49">
        <f t="shared" si="73"/>
        <v>5.0793754036787417</v>
      </c>
      <c r="Q359" s="11">
        <f t="shared" si="74"/>
        <v>0.39062459632125801</v>
      </c>
      <c r="R359" s="29">
        <f t="shared" si="75"/>
        <v>7.14121748302117E-2</v>
      </c>
      <c r="S359" s="91">
        <v>279.2</v>
      </c>
      <c r="T359" s="91">
        <f t="shared" si="77"/>
        <v>1527.2239999999999</v>
      </c>
      <c r="U359" s="90">
        <f t="shared" si="78"/>
        <v>109.06238729289524</v>
      </c>
      <c r="V359" s="90">
        <f t="shared" si="79"/>
        <v>109.06238729289524</v>
      </c>
      <c r="W359" s="90">
        <f t="shared" si="80"/>
        <v>0</v>
      </c>
      <c r="Y359" s="34">
        <f t="shared" si="76"/>
        <v>0.42452436434315072</v>
      </c>
      <c r="Z359" s="34"/>
      <c r="AA359" s="4"/>
      <c r="AB359" s="4"/>
      <c r="AE359" s="4"/>
    </row>
    <row r="360" spans="1:31" x14ac:dyDescent="0.25">
      <c r="A360" s="1" t="s">
        <v>140</v>
      </c>
      <c r="B360" s="1" t="s">
        <v>656</v>
      </c>
      <c r="C360" s="1" t="s">
        <v>141</v>
      </c>
      <c r="D360" s="1" t="s">
        <v>554</v>
      </c>
      <c r="E360" s="1">
        <f>VLOOKUP(A360,BOM!A:E,5,0)</f>
        <v>1</v>
      </c>
      <c r="F360" s="122">
        <v>1.91</v>
      </c>
      <c r="G360" s="10">
        <v>2.3199999999999998</v>
      </c>
      <c r="H360" s="11" t="s">
        <v>1874</v>
      </c>
      <c r="I360" s="49">
        <f>SUMIFS(BOM!Q:Q,BOM!A:A,'All Products'!A360,BOM!I:I,'All Products'!I$3)</f>
        <v>1.259140690817186</v>
      </c>
      <c r="J360" s="49">
        <f>SUMIFS(BOM!Q:Q,BOM!A:A,'All Products'!A360,BOM!I:I,'All Products'!J$3)+0.03</f>
        <v>0.17</v>
      </c>
      <c r="K360" s="29">
        <f t="shared" si="71"/>
        <v>0.61600891845568362</v>
      </c>
      <c r="L360" s="49">
        <f>SUMIF(BOM!A:A,'All Products'!A360,BOM!S:S)</f>
        <v>0.58613447065431068</v>
      </c>
      <c r="M360" s="49">
        <f>SUMIF(BOM!A:A,'All Products'!A360,BOM!V:V)</f>
        <v>0.21720416666666661</v>
      </c>
      <c r="N360" s="29">
        <f t="shared" si="72"/>
        <v>0.34626665401766266</v>
      </c>
      <c r="O360" s="55">
        <v>0</v>
      </c>
      <c r="P360" s="49">
        <f t="shared" si="73"/>
        <v>2.2324793281381634</v>
      </c>
      <c r="Q360" s="11">
        <f t="shared" si="74"/>
        <v>8.752067186183643E-2</v>
      </c>
      <c r="R360" s="29">
        <f t="shared" si="75"/>
        <v>3.7724427526653635E-2</v>
      </c>
      <c r="S360" s="91">
        <v>55.2</v>
      </c>
      <c r="T360" s="91">
        <f t="shared" si="77"/>
        <v>128.06399999999999</v>
      </c>
      <c r="U360" s="90">
        <f t="shared" si="78"/>
        <v>4.8311410867733713</v>
      </c>
      <c r="V360" s="90">
        <f t="shared" si="79"/>
        <v>4.8311410867733713</v>
      </c>
      <c r="W360" s="90">
        <f t="shared" si="80"/>
        <v>0</v>
      </c>
      <c r="Y360" s="34">
        <f t="shared" si="76"/>
        <v>0.45726694361328185</v>
      </c>
      <c r="Z360" s="34"/>
      <c r="AA360" s="4"/>
      <c r="AB360" s="4"/>
      <c r="AE360" s="4"/>
    </row>
    <row r="361" spans="1:31" x14ac:dyDescent="0.25">
      <c r="A361" s="1" t="s">
        <v>520</v>
      </c>
      <c r="B361" s="1" t="s">
        <v>656</v>
      </c>
      <c r="C361" s="1" t="s">
        <v>909</v>
      </c>
      <c r="D361" s="1" t="s">
        <v>554</v>
      </c>
      <c r="E361" s="1">
        <f>VLOOKUP(A361,BOM!A:E,5,0)</f>
        <v>2.5</v>
      </c>
      <c r="F361" s="122">
        <v>6.12</v>
      </c>
      <c r="G361" s="10">
        <v>6.89</v>
      </c>
      <c r="H361" s="11" t="s">
        <v>1874</v>
      </c>
      <c r="I361" s="49">
        <f>SUMIFS(BOM!Q:Q,BOM!A:A,'All Products'!A361,BOM!I:I,'All Products'!I$3)</f>
        <v>3.1478517270429656</v>
      </c>
      <c r="J361" s="49">
        <f>SUMIFS(BOM!Q:Q,BOM!A:A,'All Products'!A361,BOM!I:I,'All Products'!J$3)+0.03</f>
        <v>0.17</v>
      </c>
      <c r="K361" s="29">
        <f t="shared" si="71"/>
        <v>0.48154596909186731</v>
      </c>
      <c r="L361" s="49">
        <f>SUMIF(BOM!A:A,'All Products'!A361,BOM!S:S)</f>
        <v>1.4653361766357766</v>
      </c>
      <c r="M361" s="49">
        <f>SUMIF(BOM!A:A,'All Products'!A361,BOM!V:V)</f>
        <v>0.29618749999999999</v>
      </c>
      <c r="N361" s="29">
        <f t="shared" si="72"/>
        <v>0.25566381373523611</v>
      </c>
      <c r="O361" s="55">
        <v>0</v>
      </c>
      <c r="P361" s="49">
        <f t="shared" si="73"/>
        <v>5.0793754036787417</v>
      </c>
      <c r="Q361" s="11">
        <f t="shared" si="74"/>
        <v>1.8106245963212579</v>
      </c>
      <c r="R361" s="29">
        <f t="shared" si="75"/>
        <v>0.26279021717289669</v>
      </c>
      <c r="S361" s="91">
        <v>145.19999999999999</v>
      </c>
      <c r="T361" s="91">
        <f t="shared" si="77"/>
        <v>1000.4279999999999</v>
      </c>
      <c r="U361" s="90">
        <f t="shared" si="78"/>
        <v>262.90269138584665</v>
      </c>
      <c r="V361" s="90">
        <f t="shared" si="79"/>
        <v>262.90269138584665</v>
      </c>
      <c r="W361" s="90">
        <f t="shared" si="80"/>
        <v>0</v>
      </c>
      <c r="Y361" s="34">
        <f t="shared" si="76"/>
        <v>0.54312747067591205</v>
      </c>
      <c r="Z361" s="34"/>
      <c r="AA361" s="4"/>
      <c r="AB361" s="4"/>
      <c r="AE361" s="4"/>
    </row>
    <row r="362" spans="1:31" x14ac:dyDescent="0.25">
      <c r="A362" s="1" t="s">
        <v>910</v>
      </c>
      <c r="B362" s="1" t="s">
        <v>656</v>
      </c>
      <c r="C362" s="1" t="s">
        <v>911</v>
      </c>
      <c r="D362" s="1" t="s">
        <v>554</v>
      </c>
      <c r="E362" s="1">
        <f>VLOOKUP(A362,BOM!A:E,5,0)</f>
        <v>1</v>
      </c>
      <c r="F362" s="122">
        <v>2.59</v>
      </c>
      <c r="G362" s="10">
        <v>2.5499999999999998</v>
      </c>
      <c r="H362" s="11" t="s">
        <v>1874</v>
      </c>
      <c r="I362" s="49">
        <f>SUMIFS(BOM!Q:Q,BOM!A:A,'All Products'!A362,BOM!I:I,'All Products'!I$3)</f>
        <v>0.47844311377245508</v>
      </c>
      <c r="J362" s="49">
        <f>SUMIFS(BOM!Q:Q,BOM!A:A,'All Products'!A362,BOM!I:I,'All Products'!J$3)+0.03</f>
        <v>0.17</v>
      </c>
      <c r="K362" s="29">
        <f t="shared" si="71"/>
        <v>0.25429141716566867</v>
      </c>
      <c r="L362" s="49">
        <f>SUMIF(BOM!A:A,'All Products'!A362,BOM!S:S)</f>
        <v>0.16897974051896208</v>
      </c>
      <c r="M362" s="49">
        <f>SUMIF(BOM!A:A,'All Products'!A362,BOM!V:V)</f>
        <v>0.21720416666666661</v>
      </c>
      <c r="N362" s="29">
        <f t="shared" si="72"/>
        <v>0.15144466948456028</v>
      </c>
      <c r="O362" s="55">
        <v>0</v>
      </c>
      <c r="P362" s="49">
        <f t="shared" si="73"/>
        <v>1.0346270209580839</v>
      </c>
      <c r="Q362" s="11">
        <f t="shared" si="74"/>
        <v>1.5153729790419159</v>
      </c>
      <c r="R362" s="29">
        <f t="shared" si="75"/>
        <v>0.59426391334977102</v>
      </c>
      <c r="S362" s="91">
        <v>0.2</v>
      </c>
      <c r="T362" s="91">
        <f t="shared" si="77"/>
        <v>0.51</v>
      </c>
      <c r="U362" s="90">
        <f t="shared" si="78"/>
        <v>0.3030745958083832</v>
      </c>
      <c r="V362" s="90">
        <f t="shared" si="79"/>
        <v>0.3030745958083832</v>
      </c>
      <c r="W362" s="90">
        <f t="shared" si="80"/>
        <v>0</v>
      </c>
      <c r="Y362" s="34">
        <f t="shared" si="76"/>
        <v>0.81237524950099804</v>
      </c>
      <c r="Z362" s="34"/>
      <c r="AA362" s="4"/>
      <c r="AB362" s="4"/>
      <c r="AE362" s="4"/>
    </row>
    <row r="363" spans="1:31" x14ac:dyDescent="0.25">
      <c r="A363" s="1" t="s">
        <v>536</v>
      </c>
      <c r="B363" s="1" t="s">
        <v>656</v>
      </c>
      <c r="C363" s="1" t="s">
        <v>537</v>
      </c>
      <c r="D363" s="1" t="s">
        <v>554</v>
      </c>
      <c r="E363" s="1">
        <f>VLOOKUP(A363,BOM!A:E,5,0)</f>
        <v>2.5</v>
      </c>
      <c r="F363" s="122">
        <v>6.46</v>
      </c>
      <c r="G363" s="10">
        <v>6.34</v>
      </c>
      <c r="H363" s="11" t="s">
        <v>1874</v>
      </c>
      <c r="I363" s="49">
        <f>SUMIFS(BOM!Q:Q,BOM!A:A,'All Products'!A363,BOM!I:I,'All Products'!I$3)</f>
        <v>1.1961077844311376</v>
      </c>
      <c r="J363" s="49">
        <f>SUMIFS(BOM!Q:Q,BOM!A:A,'All Products'!A363,BOM!I:I,'All Products'!J$3)+0.03</f>
        <v>0.17</v>
      </c>
      <c r="K363" s="29">
        <f t="shared" si="71"/>
        <v>0.21547441394812897</v>
      </c>
      <c r="L363" s="49">
        <f>SUMIF(BOM!A:A,'All Products'!A363,BOM!S:S)</f>
        <v>0.42244935129740518</v>
      </c>
      <c r="M363" s="49">
        <f>SUMIF(BOM!A:A,'All Products'!A363,BOM!V:V)</f>
        <v>0.29618749999999999</v>
      </c>
      <c r="N363" s="29">
        <f t="shared" si="72"/>
        <v>0.1133496610879188</v>
      </c>
      <c r="O363" s="55">
        <v>0</v>
      </c>
      <c r="P363" s="49">
        <f t="shared" si="73"/>
        <v>2.0847446357285428</v>
      </c>
      <c r="Q363" s="11">
        <f t="shared" si="74"/>
        <v>4.2552553642714575</v>
      </c>
      <c r="R363" s="29">
        <f t="shared" si="75"/>
        <v>0.67117592496395229</v>
      </c>
      <c r="S363" s="91">
        <v>61</v>
      </c>
      <c r="T363" s="91">
        <f t="shared" si="77"/>
        <v>386.74</v>
      </c>
      <c r="U363" s="90">
        <f t="shared" si="78"/>
        <v>259.5705772205589</v>
      </c>
      <c r="V363" s="90">
        <f t="shared" si="79"/>
        <v>259.5705772205589</v>
      </c>
      <c r="W363" s="90">
        <f t="shared" si="80"/>
        <v>0</v>
      </c>
      <c r="Y363" s="34">
        <f t="shared" si="76"/>
        <v>0.81133946617805408</v>
      </c>
      <c r="Z363" s="34"/>
      <c r="AA363" s="4"/>
      <c r="AB363" s="4"/>
      <c r="AE363" s="4"/>
    </row>
    <row r="364" spans="1:31" x14ac:dyDescent="0.25">
      <c r="A364" s="1" t="s">
        <v>499</v>
      </c>
      <c r="B364" s="1" t="s">
        <v>656</v>
      </c>
      <c r="C364" s="1" t="s">
        <v>500</v>
      </c>
      <c r="D364" s="1" t="s">
        <v>554</v>
      </c>
      <c r="E364" s="1">
        <f>VLOOKUP(A364,BOM!A:E,5,0)</f>
        <v>1</v>
      </c>
      <c r="F364" s="122">
        <v>4.4000000000000004</v>
      </c>
      <c r="G364" s="10">
        <v>4.45</v>
      </c>
      <c r="H364" s="11" t="s">
        <v>1874</v>
      </c>
      <c r="I364" s="49">
        <f>SUMIFS(BOM!Q:Q,BOM!A:A,'All Products'!A364,BOM!I:I,'All Products'!I$3)</f>
        <v>0.47959183673469385</v>
      </c>
      <c r="J364" s="49">
        <f>SUMIFS(BOM!Q:Q,BOM!A:A,'All Products'!A364,BOM!I:I,'All Products'!J$3)+0.03</f>
        <v>0.17</v>
      </c>
      <c r="K364" s="29">
        <f t="shared" si="71"/>
        <v>0.14597569364824581</v>
      </c>
      <c r="L364" s="49">
        <f>SUMIF(BOM!A:A,'All Products'!A364,BOM!S:S)</f>
        <v>0.6908163265306122</v>
      </c>
      <c r="M364" s="49">
        <f>SUMIF(BOM!A:A,'All Products'!A364,BOM!V:V)</f>
        <v>0.21720416666666661</v>
      </c>
      <c r="N364" s="29">
        <f t="shared" si="72"/>
        <v>0.20404954903309636</v>
      </c>
      <c r="O364" s="55">
        <v>0</v>
      </c>
      <c r="P364" s="49">
        <f t="shared" si="73"/>
        <v>1.5576123299319726</v>
      </c>
      <c r="Q364" s="11">
        <f t="shared" si="74"/>
        <v>2.8923876700680275</v>
      </c>
      <c r="R364" s="29">
        <f t="shared" si="75"/>
        <v>0.64997475731865784</v>
      </c>
      <c r="S364" s="91">
        <v>23.8</v>
      </c>
      <c r="T364" s="91">
        <f t="shared" si="77"/>
        <v>105.91000000000001</v>
      </c>
      <c r="U364" s="90">
        <f t="shared" si="78"/>
        <v>68.838826547619064</v>
      </c>
      <c r="V364" s="90">
        <f t="shared" si="79"/>
        <v>68.838826547619064</v>
      </c>
      <c r="W364" s="90">
        <f t="shared" si="80"/>
        <v>0</v>
      </c>
      <c r="Y364" s="34">
        <f t="shared" si="76"/>
        <v>0.89222655354276537</v>
      </c>
      <c r="Z364" s="34"/>
      <c r="AA364" s="4"/>
      <c r="AB364" s="4"/>
      <c r="AE364" s="4"/>
    </row>
    <row r="365" spans="1:31" x14ac:dyDescent="0.25">
      <c r="A365" s="1" t="s">
        <v>912</v>
      </c>
      <c r="B365" s="1" t="s">
        <v>656</v>
      </c>
      <c r="C365" s="1" t="s">
        <v>913</v>
      </c>
      <c r="D365" s="1" t="s">
        <v>554</v>
      </c>
      <c r="E365" s="1">
        <f>VLOOKUP(A365,BOM!A:E,5,0)</f>
        <v>2.5</v>
      </c>
      <c r="F365" s="122">
        <v>10.99</v>
      </c>
      <c r="G365" s="10">
        <v>11.1</v>
      </c>
      <c r="H365" s="11" t="s">
        <v>1874</v>
      </c>
      <c r="I365" s="49">
        <f>SUMIFS(BOM!Q:Q,BOM!A:A,'All Products'!A365,BOM!I:I,'All Products'!I$3)</f>
        <v>1.1989795918367345</v>
      </c>
      <c r="J365" s="49">
        <f>SUMIFS(BOM!Q:Q,BOM!A:A,'All Products'!A365,BOM!I:I,'All Products'!J$3)+0.03</f>
        <v>0.17</v>
      </c>
      <c r="K365" s="29">
        <f t="shared" si="71"/>
        <v>0.12333149476006618</v>
      </c>
      <c r="L365" s="49">
        <f>SUMIF(BOM!A:A,'All Products'!A365,BOM!S:S)</f>
        <v>1.7270408163265305</v>
      </c>
      <c r="M365" s="49">
        <f>SUMIF(BOM!A:A,'All Products'!A365,BOM!V:V)</f>
        <v>0.29618749999999999</v>
      </c>
      <c r="N365" s="29">
        <f t="shared" si="72"/>
        <v>0.18227282129067843</v>
      </c>
      <c r="O365" s="55">
        <v>0</v>
      </c>
      <c r="P365" s="49">
        <f t="shared" si="73"/>
        <v>3.392207908163265</v>
      </c>
      <c r="Q365" s="11">
        <f t="shared" si="74"/>
        <v>7.7077920918367351</v>
      </c>
      <c r="R365" s="29">
        <f t="shared" si="75"/>
        <v>0.69439568394925544</v>
      </c>
      <c r="S365" s="91">
        <v>5.8</v>
      </c>
      <c r="T365" s="91">
        <f t="shared" si="77"/>
        <v>64.38</v>
      </c>
      <c r="U365" s="90">
        <f t="shared" si="78"/>
        <v>44.705194132653062</v>
      </c>
      <c r="V365" s="90">
        <f t="shared" si="79"/>
        <v>44.705194132653062</v>
      </c>
      <c r="W365" s="90">
        <f t="shared" si="80"/>
        <v>0</v>
      </c>
      <c r="Y365" s="34">
        <f t="shared" si="76"/>
        <v>0.89198382055524916</v>
      </c>
      <c r="Z365" s="34"/>
      <c r="AA365" s="4"/>
      <c r="AB365" s="4"/>
      <c r="AE365" s="4"/>
    </row>
    <row r="366" spans="1:31" x14ac:dyDescent="0.25">
      <c r="A366" s="1" t="s">
        <v>400</v>
      </c>
      <c r="B366" s="1" t="s">
        <v>656</v>
      </c>
      <c r="C366" s="1" t="s">
        <v>401</v>
      </c>
      <c r="D366" s="1" t="s">
        <v>554</v>
      </c>
      <c r="E366" s="1">
        <f>VLOOKUP(A366,BOM!A:E,5,0)</f>
        <v>1</v>
      </c>
      <c r="F366" s="122">
        <v>2.04</v>
      </c>
      <c r="G366" s="10">
        <v>2</v>
      </c>
      <c r="H366" s="11" t="s">
        <v>1874</v>
      </c>
      <c r="I366" s="49">
        <f>SUMIFS(BOM!Q:Q,BOM!A:A,'All Products'!A366,BOM!I:I,'All Products'!I$3)</f>
        <v>0.63871794871794862</v>
      </c>
      <c r="J366" s="49">
        <f>SUMIFS(BOM!Q:Q,BOM!A:A,'All Products'!A366,BOM!I:I,'All Products'!J$3)+0.03</f>
        <v>0.17</v>
      </c>
      <c r="K366" s="29">
        <f t="shared" si="71"/>
        <v>0.40435897435897433</v>
      </c>
      <c r="L366" s="49">
        <f>SUMIF(BOM!A:A,'All Products'!A366,BOM!S:S)</f>
        <v>0.49386282051282049</v>
      </c>
      <c r="M366" s="49">
        <f>SUMIF(BOM!A:A,'All Products'!A366,BOM!V:V)</f>
        <v>0.21720416666666661</v>
      </c>
      <c r="N366" s="29">
        <f t="shared" si="72"/>
        <v>0.35553349358974357</v>
      </c>
      <c r="O366" s="55">
        <v>0</v>
      </c>
      <c r="P366" s="49">
        <f t="shared" si="73"/>
        <v>1.5197849358974356</v>
      </c>
      <c r="Q366" s="11">
        <f t="shared" si="74"/>
        <v>0.48021506410256443</v>
      </c>
      <c r="R366" s="29">
        <f t="shared" si="75"/>
        <v>0.24010753205128221</v>
      </c>
      <c r="S366" s="91">
        <v>26.6</v>
      </c>
      <c r="T366" s="91">
        <f t="shared" si="77"/>
        <v>53.2</v>
      </c>
      <c r="U366" s="90">
        <f t="shared" si="78"/>
        <v>12.773720705128214</v>
      </c>
      <c r="V366" s="90">
        <f t="shared" si="79"/>
        <v>12.773720705128214</v>
      </c>
      <c r="W366" s="90">
        <f t="shared" si="80"/>
        <v>0</v>
      </c>
      <c r="Y366" s="34">
        <f t="shared" si="76"/>
        <v>0.68064102564102569</v>
      </c>
      <c r="Z366" s="34"/>
      <c r="AA366" s="4"/>
      <c r="AB366" s="4"/>
      <c r="AE366" s="4"/>
    </row>
    <row r="367" spans="1:31" x14ac:dyDescent="0.25">
      <c r="A367" s="1" t="s">
        <v>398</v>
      </c>
      <c r="B367" s="1" t="s">
        <v>656</v>
      </c>
      <c r="C367" s="1" t="s">
        <v>399</v>
      </c>
      <c r="D367" s="1" t="s">
        <v>554</v>
      </c>
      <c r="E367" s="1">
        <f>VLOOKUP(A367,BOM!A:E,5,0)</f>
        <v>2.5</v>
      </c>
      <c r="F367" s="122">
        <v>5.1100000000000003</v>
      </c>
      <c r="G367" s="10">
        <v>5.01</v>
      </c>
      <c r="H367" s="11" t="s">
        <v>1874</v>
      </c>
      <c r="I367" s="49">
        <f>SUMIFS(BOM!Q:Q,BOM!A:A,'All Products'!A367,BOM!I:I,'All Products'!I$3)</f>
        <v>1.5967948717948717</v>
      </c>
      <c r="J367" s="49">
        <f>SUMIFS(BOM!Q:Q,BOM!A:A,'All Products'!A367,BOM!I:I,'All Products'!J$3)+0.03</f>
        <v>0.17</v>
      </c>
      <c r="K367" s="29">
        <f t="shared" si="71"/>
        <v>0.35265366702492451</v>
      </c>
      <c r="L367" s="49">
        <f>SUMIF(BOM!A:A,'All Products'!A367,BOM!S:S)</f>
        <v>1.2346570512820514</v>
      </c>
      <c r="M367" s="49">
        <f>SUMIF(BOM!A:A,'All Products'!A367,BOM!V:V)</f>
        <v>0.29618749999999999</v>
      </c>
      <c r="N367" s="29">
        <f t="shared" si="72"/>
        <v>0.30555779466707617</v>
      </c>
      <c r="O367" s="55">
        <v>0</v>
      </c>
      <c r="P367" s="49">
        <f t="shared" si="73"/>
        <v>3.297639423076923</v>
      </c>
      <c r="Q367" s="11">
        <f t="shared" si="74"/>
        <v>1.7123605769230767</v>
      </c>
      <c r="R367" s="29">
        <f t="shared" si="75"/>
        <v>0.34178853830799938</v>
      </c>
      <c r="S367" s="91">
        <v>50</v>
      </c>
      <c r="T367" s="91">
        <f t="shared" si="77"/>
        <v>250.5</v>
      </c>
      <c r="U367" s="90">
        <f t="shared" si="78"/>
        <v>85.618028846153834</v>
      </c>
      <c r="V367" s="90">
        <f t="shared" si="79"/>
        <v>85.618028846153834</v>
      </c>
      <c r="W367" s="90">
        <f t="shared" si="80"/>
        <v>0</v>
      </c>
      <c r="Y367" s="34">
        <f t="shared" si="76"/>
        <v>0.68127846870361841</v>
      </c>
      <c r="Z367" s="34"/>
      <c r="AA367" s="4"/>
      <c r="AB367" s="4"/>
      <c r="AE367" s="4"/>
    </row>
    <row r="368" spans="1:31" x14ac:dyDescent="0.25">
      <c r="A368" s="1" t="s">
        <v>396</v>
      </c>
      <c r="B368" s="1" t="s">
        <v>656</v>
      </c>
      <c r="C368" s="1" t="s">
        <v>397</v>
      </c>
      <c r="D368" s="1" t="s">
        <v>554</v>
      </c>
      <c r="E368" s="1">
        <f>VLOOKUP(A368,BOM!A:E,5,0)</f>
        <v>1</v>
      </c>
      <c r="F368" s="122">
        <v>2.77</v>
      </c>
      <c r="G368" s="10">
        <v>2.84</v>
      </c>
      <c r="H368" s="11" t="s">
        <v>1874</v>
      </c>
      <c r="I368" s="49">
        <f>SUMIFS(BOM!Q:Q,BOM!A:A,'All Products'!A368,BOM!I:I,'All Products'!I$3)</f>
        <v>1.0681818181818179</v>
      </c>
      <c r="J368" s="49">
        <f>SUMIFS(BOM!Q:Q,BOM!A:A,'All Products'!A368,BOM!I:I,'All Products'!J$3)+0.03</f>
        <v>0.17</v>
      </c>
      <c r="K368" s="29">
        <f t="shared" si="71"/>
        <v>0.43597951344430208</v>
      </c>
      <c r="L368" s="49">
        <f>SUMIF(BOM!A:A,'All Products'!A368,BOM!S:S)</f>
        <v>1.2647590909090907</v>
      </c>
      <c r="M368" s="49">
        <f>SUMIF(BOM!A:A,'All Products'!A368,BOM!V:V)</f>
        <v>0.21720416666666661</v>
      </c>
      <c r="N368" s="29">
        <f t="shared" si="72"/>
        <v>0.52181804844216806</v>
      </c>
      <c r="O368" s="55">
        <v>0</v>
      </c>
      <c r="P368" s="49">
        <f t="shared" si="73"/>
        <v>2.7201450757575749</v>
      </c>
      <c r="Q368" s="11">
        <f t="shared" si="74"/>
        <v>0.11985492424242494</v>
      </c>
      <c r="R368" s="29">
        <f t="shared" si="75"/>
        <v>4.220243811352991E-2</v>
      </c>
      <c r="S368" s="91">
        <v>66</v>
      </c>
      <c r="T368" s="91">
        <f t="shared" si="77"/>
        <v>187.44</v>
      </c>
      <c r="U368" s="90">
        <f t="shared" si="78"/>
        <v>7.9104250000000462</v>
      </c>
      <c r="V368" s="90">
        <f t="shared" si="79"/>
        <v>7.9104250000000462</v>
      </c>
      <c r="W368" s="90">
        <f t="shared" si="80"/>
        <v>0</v>
      </c>
      <c r="Y368" s="34">
        <f t="shared" si="76"/>
        <v>0.62387964148527542</v>
      </c>
      <c r="Z368" s="34"/>
      <c r="AA368" s="4"/>
      <c r="AB368" s="4"/>
      <c r="AE368" s="4"/>
    </row>
    <row r="369" spans="1:31" x14ac:dyDescent="0.25">
      <c r="A369" s="1" t="s">
        <v>138</v>
      </c>
      <c r="B369" s="1" t="s">
        <v>656</v>
      </c>
      <c r="C369" s="1" t="s">
        <v>139</v>
      </c>
      <c r="D369" s="1" t="s">
        <v>554</v>
      </c>
      <c r="E369" s="1">
        <f>VLOOKUP(A369,BOM!A:E,5,0)</f>
        <v>2.5</v>
      </c>
      <c r="F369" s="122">
        <v>6.61</v>
      </c>
      <c r="G369" s="10">
        <v>6.78</v>
      </c>
      <c r="H369" s="11" t="s">
        <v>1874</v>
      </c>
      <c r="I369" s="49">
        <f>SUMIFS(BOM!Q:Q,BOM!A:A,'All Products'!A369,BOM!I:I,'All Products'!I$3)</f>
        <v>2.670454545454545</v>
      </c>
      <c r="J369" s="49">
        <f>SUMIFS(BOM!Q:Q,BOM!A:A,'All Products'!A369,BOM!I:I,'All Products'!J$3)+0.03</f>
        <v>0.17</v>
      </c>
      <c r="K369" s="29">
        <f t="shared" si="71"/>
        <v>0.4189460981496379</v>
      </c>
      <c r="L369" s="49">
        <f>SUMIF(BOM!A:A,'All Products'!A369,BOM!S:S)</f>
        <v>3.1618977272727267</v>
      </c>
      <c r="M369" s="49">
        <f>SUMIF(BOM!A:A,'All Products'!A369,BOM!V:V)</f>
        <v>0.29618749999999999</v>
      </c>
      <c r="N369" s="29">
        <f t="shared" si="72"/>
        <v>0.51004206891928117</v>
      </c>
      <c r="O369" s="55">
        <v>0</v>
      </c>
      <c r="P369" s="49">
        <f t="shared" si="73"/>
        <v>6.2985397727272714</v>
      </c>
      <c r="Q369" s="11">
        <f t="shared" si="74"/>
        <v>0.48146022727272886</v>
      </c>
      <c r="R369" s="29">
        <f t="shared" si="75"/>
        <v>7.1011832931080945E-2</v>
      </c>
      <c r="S369" s="91">
        <v>858.8</v>
      </c>
      <c r="T369" s="91">
        <f t="shared" si="77"/>
        <v>5822.6639999999998</v>
      </c>
      <c r="U369" s="90">
        <f t="shared" si="78"/>
        <v>413.47804318181954</v>
      </c>
      <c r="V369" s="90">
        <f t="shared" si="79"/>
        <v>413.47804318181954</v>
      </c>
      <c r="W369" s="90">
        <f t="shared" si="80"/>
        <v>0</v>
      </c>
      <c r="Y369" s="34">
        <f t="shared" si="76"/>
        <v>0.60612764816304643</v>
      </c>
      <c r="Z369" s="34"/>
      <c r="AA369" s="4"/>
      <c r="AB369" s="4"/>
      <c r="AE369" s="4"/>
    </row>
    <row r="370" spans="1:31" x14ac:dyDescent="0.25">
      <c r="A370" s="1" t="s">
        <v>136</v>
      </c>
      <c r="B370" s="1" t="s">
        <v>656</v>
      </c>
      <c r="C370" s="1" t="s">
        <v>137</v>
      </c>
      <c r="D370" s="1" t="s">
        <v>554</v>
      </c>
      <c r="E370" s="1">
        <f>VLOOKUP(A370,BOM!A:E,5,0)</f>
        <v>1</v>
      </c>
      <c r="F370" s="122">
        <v>1.96</v>
      </c>
      <c r="G370" s="10">
        <v>1.85</v>
      </c>
      <c r="H370" s="11" t="s">
        <v>1874</v>
      </c>
      <c r="I370" s="49">
        <f>SUMIFS(BOM!Q:Q,BOM!A:A,'All Products'!A370,BOM!I:I,'All Products'!I$3)</f>
        <v>0.41209707370173532</v>
      </c>
      <c r="J370" s="49">
        <f>SUMIFS(BOM!Q:Q,BOM!A:A,'All Products'!A370,BOM!I:I,'All Products'!J$3)+0.03</f>
        <v>0.17</v>
      </c>
      <c r="K370" s="29">
        <f t="shared" si="71"/>
        <v>0.3146470668658029</v>
      </c>
      <c r="L370" s="49">
        <f>SUMIF(BOM!A:A,'All Products'!A370,BOM!S:S)</f>
        <v>0.93615902755544167</v>
      </c>
      <c r="M370" s="49">
        <f>SUMIF(BOM!A:A,'All Products'!A370,BOM!V:V)</f>
        <v>0.21720416666666661</v>
      </c>
      <c r="N370" s="29">
        <f t="shared" si="72"/>
        <v>0.62343956444438287</v>
      </c>
      <c r="O370" s="55">
        <v>0</v>
      </c>
      <c r="P370" s="49">
        <f t="shared" si="73"/>
        <v>1.7354602679238438</v>
      </c>
      <c r="Q370" s="11">
        <f t="shared" si="74"/>
        <v>0.11453973207615631</v>
      </c>
      <c r="R370" s="29">
        <f t="shared" si="75"/>
        <v>6.1913368689814216E-2</v>
      </c>
      <c r="S370" s="91">
        <v>104.6</v>
      </c>
      <c r="T370" s="91">
        <f t="shared" si="77"/>
        <v>193.51</v>
      </c>
      <c r="U370" s="90">
        <f t="shared" si="78"/>
        <v>11.98085597516595</v>
      </c>
      <c r="V370" s="90">
        <f t="shared" si="79"/>
        <v>11.98085597516595</v>
      </c>
      <c r="W370" s="90">
        <f t="shared" si="80"/>
        <v>0</v>
      </c>
      <c r="Y370" s="34">
        <f t="shared" si="76"/>
        <v>0.77724482502608905</v>
      </c>
      <c r="Z370" s="34"/>
      <c r="AA370" s="4"/>
      <c r="AB370" s="4"/>
      <c r="AE370" s="4"/>
    </row>
    <row r="371" spans="1:31" x14ac:dyDescent="0.25">
      <c r="A371" s="1" t="s">
        <v>134</v>
      </c>
      <c r="B371" s="1" t="s">
        <v>656</v>
      </c>
      <c r="C371" s="1" t="s">
        <v>135</v>
      </c>
      <c r="D371" s="1" t="s">
        <v>554</v>
      </c>
      <c r="E371" s="1">
        <f>VLOOKUP(A371,BOM!A:E,5,0)</f>
        <v>2.5</v>
      </c>
      <c r="F371" s="122">
        <v>4.58</v>
      </c>
      <c r="G371" s="10">
        <v>4.2699999999999996</v>
      </c>
      <c r="H371" s="11" t="s">
        <v>1874</v>
      </c>
      <c r="I371" s="49">
        <f>SUMIFS(BOM!Q:Q,BOM!A:A,'All Products'!A371,BOM!I:I,'All Products'!I$3)</f>
        <v>1.0302426842543382</v>
      </c>
      <c r="J371" s="49">
        <f>SUMIFS(BOM!Q:Q,BOM!A:A,'All Products'!A371,BOM!I:I,'All Products'!J$3)+0.03</f>
        <v>0.17</v>
      </c>
      <c r="K371" s="29">
        <f t="shared" si="71"/>
        <v>0.28108727968485675</v>
      </c>
      <c r="L371" s="49">
        <f>SUMIF(BOM!A:A,'All Products'!A371,BOM!S:S)</f>
        <v>2.3403975688886041</v>
      </c>
      <c r="M371" s="49">
        <f>SUMIF(BOM!A:A,'All Products'!A371,BOM!V:V)</f>
        <v>0.29618749999999999</v>
      </c>
      <c r="N371" s="29">
        <f t="shared" si="72"/>
        <v>0.61746722924791664</v>
      </c>
      <c r="O371" s="55">
        <v>0</v>
      </c>
      <c r="P371" s="49">
        <f t="shared" si="73"/>
        <v>3.8368277531429422</v>
      </c>
      <c r="Q371" s="11">
        <f t="shared" si="74"/>
        <v>0.43317224685705735</v>
      </c>
      <c r="R371" s="29">
        <f t="shared" si="75"/>
        <v>0.10144549106722656</v>
      </c>
      <c r="S371" s="91">
        <v>290</v>
      </c>
      <c r="T371" s="91">
        <f t="shared" si="77"/>
        <v>1238.3</v>
      </c>
      <c r="U371" s="90">
        <f t="shared" si="78"/>
        <v>125.61995158854663</v>
      </c>
      <c r="V371" s="90">
        <f t="shared" si="79"/>
        <v>125.61995158854663</v>
      </c>
      <c r="W371" s="90">
        <f t="shared" si="80"/>
        <v>0</v>
      </c>
      <c r="Y371" s="34">
        <f t="shared" si="76"/>
        <v>0.75872536668516677</v>
      </c>
      <c r="Z371" s="34"/>
      <c r="AA371" s="4"/>
      <c r="AB371" s="4"/>
      <c r="AE371" s="4"/>
    </row>
    <row r="372" spans="1:31" x14ac:dyDescent="0.25">
      <c r="A372" s="60" t="s">
        <v>391</v>
      </c>
      <c r="B372" s="60" t="s">
        <v>656</v>
      </c>
      <c r="C372" s="60" t="s">
        <v>392</v>
      </c>
      <c r="D372" s="1" t="s">
        <v>554</v>
      </c>
      <c r="E372" s="1">
        <f>VLOOKUP(A372,BOM!A:E,5,0)</f>
        <v>1</v>
      </c>
      <c r="F372" s="122">
        <v>4.8</v>
      </c>
      <c r="G372" s="10">
        <v>5.01</v>
      </c>
      <c r="H372" s="11" t="s">
        <v>1874</v>
      </c>
      <c r="I372" s="49">
        <f>SUMIFS(BOM!Q:Q,BOM!A:A,'All Products'!A372,BOM!I:I,'All Products'!I$3)</f>
        <v>1.6584187851333176</v>
      </c>
      <c r="J372" s="49">
        <f>SUMIFS(BOM!Q:Q,BOM!A:A,'All Products'!A372,BOM!I:I,'All Products'!J$3)+0.03</f>
        <v>0.17</v>
      </c>
      <c r="K372" s="29">
        <f t="shared" si="71"/>
        <v>0.36495384932800751</v>
      </c>
      <c r="L372" s="49">
        <f>SUMIF(BOM!A:A,'All Products'!A372,BOM!S:S)</f>
        <v>1.6247999999999998</v>
      </c>
      <c r="M372" s="49">
        <f>SUMIF(BOM!A:A,'All Products'!A372,BOM!V:V)</f>
        <v>0.21720416666666661</v>
      </c>
      <c r="N372" s="29">
        <f t="shared" si="72"/>
        <v>0.36766550232867595</v>
      </c>
      <c r="O372" s="55">
        <v>0</v>
      </c>
      <c r="P372" s="49">
        <f t="shared" si="73"/>
        <v>3.670422951799984</v>
      </c>
      <c r="Q372" s="11">
        <f t="shared" si="74"/>
        <v>1.3395770482000158</v>
      </c>
      <c r="R372" s="29">
        <f t="shared" si="75"/>
        <v>0.26738064834331654</v>
      </c>
      <c r="S372" s="91">
        <v>7.4</v>
      </c>
      <c r="T372" s="91">
        <f t="shared" si="77"/>
        <v>37.073999999999998</v>
      </c>
      <c r="U372" s="90">
        <f t="shared" si="78"/>
        <v>9.9128701566801176</v>
      </c>
      <c r="V372" s="90">
        <f t="shared" si="79"/>
        <v>9.9128701566801176</v>
      </c>
      <c r="W372" s="90">
        <f t="shared" si="80"/>
        <v>0</v>
      </c>
      <c r="Y372" s="34">
        <f t="shared" si="76"/>
        <v>0.66897828640053536</v>
      </c>
      <c r="Z372" s="34"/>
      <c r="AA372" s="4"/>
      <c r="AB372" s="4"/>
      <c r="AE372" s="4"/>
    </row>
    <row r="373" spans="1:31" x14ac:dyDescent="0.25">
      <c r="A373" s="1" t="s">
        <v>82</v>
      </c>
      <c r="B373" s="1" t="s">
        <v>656</v>
      </c>
      <c r="C373" s="1" t="s">
        <v>83</v>
      </c>
      <c r="D373" s="1" t="s">
        <v>554</v>
      </c>
      <c r="E373" s="1">
        <f>VLOOKUP(A373,BOM!A:E,5,0)</f>
        <v>2.5</v>
      </c>
      <c r="F373" s="122">
        <v>12</v>
      </c>
      <c r="G373" s="10">
        <v>12.52</v>
      </c>
      <c r="H373" s="11" t="s">
        <v>1874</v>
      </c>
      <c r="I373" s="49">
        <f>SUMIFS(BOM!Q:Q,BOM!A:A,'All Products'!A373,BOM!I:I,'All Products'!I$3)</f>
        <v>4.1460469628332941</v>
      </c>
      <c r="J373" s="49">
        <f>SUMIFS(BOM!Q:Q,BOM!A:A,'All Products'!A373,BOM!I:I,'All Products'!J$3)+0.03</f>
        <v>0.17</v>
      </c>
      <c r="K373" s="29">
        <f t="shared" si="71"/>
        <v>0.34473218552981583</v>
      </c>
      <c r="L373" s="49">
        <f>SUMIF(BOM!A:A,'All Products'!A373,BOM!S:S)</f>
        <v>4.0619999999999994</v>
      </c>
      <c r="M373" s="49">
        <f>SUMIF(BOM!A:A,'All Products'!A373,BOM!V:V)</f>
        <v>0.29618749999999999</v>
      </c>
      <c r="N373" s="29">
        <f t="shared" si="72"/>
        <v>0.34809804313099041</v>
      </c>
      <c r="O373" s="55">
        <v>0</v>
      </c>
      <c r="P373" s="49">
        <f t="shared" si="73"/>
        <v>8.6742344628332937</v>
      </c>
      <c r="Q373" s="11">
        <f t="shared" si="74"/>
        <v>3.8457655371667059</v>
      </c>
      <c r="R373" s="29">
        <f t="shared" si="75"/>
        <v>0.30716977133919376</v>
      </c>
      <c r="S373" s="91">
        <v>71</v>
      </c>
      <c r="T373" s="91">
        <f t="shared" si="77"/>
        <v>888.92</v>
      </c>
      <c r="U373" s="90">
        <f t="shared" si="78"/>
        <v>273.04935313883612</v>
      </c>
      <c r="V373" s="90">
        <f t="shared" si="79"/>
        <v>273.04935313883612</v>
      </c>
      <c r="W373" s="90">
        <f t="shared" si="80"/>
        <v>0</v>
      </c>
      <c r="Y373" s="34">
        <f t="shared" si="76"/>
        <v>0.66884608923056754</v>
      </c>
      <c r="Z373" s="34"/>
      <c r="AA373" s="4"/>
      <c r="AB373" s="4"/>
      <c r="AE373" s="4"/>
    </row>
    <row r="374" spans="1:31" x14ac:dyDescent="0.25">
      <c r="A374" s="1" t="s">
        <v>80</v>
      </c>
      <c r="B374" s="1" t="s">
        <v>656</v>
      </c>
      <c r="C374" s="1" t="s">
        <v>81</v>
      </c>
      <c r="D374" s="1" t="s">
        <v>554</v>
      </c>
      <c r="E374" s="1">
        <f>VLOOKUP(A374,BOM!A:E,5,0)</f>
        <v>2.5</v>
      </c>
      <c r="F374" s="122">
        <v>19.36</v>
      </c>
      <c r="G374" s="10">
        <v>21.3</v>
      </c>
      <c r="H374" s="11" t="s">
        <v>1874</v>
      </c>
      <c r="I374" s="49">
        <f>SUMIFS(BOM!Q:Q,BOM!A:A,'All Products'!A374,BOM!I:I,'All Products'!I$3)</f>
        <v>4.1883900643080567</v>
      </c>
      <c r="J374" s="49">
        <f>SUMIFS(BOM!Q:Q,BOM!A:A,'All Products'!A374,BOM!I:I,'All Products'!J$3)+0.03</f>
        <v>0.17</v>
      </c>
      <c r="K374" s="29">
        <f t="shared" si="71"/>
        <v>0.20461925184544866</v>
      </c>
      <c r="L374" s="49">
        <f>SUMIF(BOM!A:A,'All Products'!A374,BOM!S:S)</f>
        <v>10.5696625</v>
      </c>
      <c r="M374" s="49">
        <f>SUMIF(BOM!A:A,'All Products'!A374,BOM!V:V)</f>
        <v>0.29618749999999999</v>
      </c>
      <c r="N374" s="29">
        <f t="shared" si="72"/>
        <v>0.51013380281690135</v>
      </c>
      <c r="O374" s="55">
        <v>0</v>
      </c>
      <c r="P374" s="49">
        <f t="shared" si="73"/>
        <v>15.224240064308056</v>
      </c>
      <c r="Q374" s="11">
        <f t="shared" si="74"/>
        <v>6.0757599356919449</v>
      </c>
      <c r="R374" s="29">
        <f t="shared" si="75"/>
        <v>0.28524694533764999</v>
      </c>
      <c r="S374" s="91">
        <v>80</v>
      </c>
      <c r="T374" s="91">
        <f t="shared" si="77"/>
        <v>1704</v>
      </c>
      <c r="U374" s="90">
        <f t="shared" si="78"/>
        <v>486.0607948553556</v>
      </c>
      <c r="V374" s="90">
        <f t="shared" si="79"/>
        <v>486.0607948553556</v>
      </c>
      <c r="W374" s="90">
        <f t="shared" si="80"/>
        <v>0</v>
      </c>
      <c r="Y374" s="34">
        <f t="shared" si="76"/>
        <v>0.80336196881182842</v>
      </c>
      <c r="Z374" s="34"/>
      <c r="AA374" s="4"/>
      <c r="AB374" s="4"/>
      <c r="AE374" s="4"/>
    </row>
    <row r="375" spans="1:31" x14ac:dyDescent="0.25">
      <c r="A375" s="1" t="s">
        <v>914</v>
      </c>
      <c r="B375" s="1" t="s">
        <v>656</v>
      </c>
      <c r="C375" s="1" t="s">
        <v>390</v>
      </c>
      <c r="D375" s="1" t="s">
        <v>554</v>
      </c>
      <c r="E375" s="1">
        <f>VLOOKUP(A375,BOM!A:E,5,0)</f>
        <v>1</v>
      </c>
      <c r="F375" s="122">
        <v>5.0999999999999996</v>
      </c>
      <c r="G375" s="10">
        <v>5.32</v>
      </c>
      <c r="H375" s="11" t="s">
        <v>1874</v>
      </c>
      <c r="I375" s="49">
        <f>SUMIFS(BOM!Q:Q,BOM!A:A,'All Products'!A375,BOM!I:I,'All Products'!I$3)</f>
        <v>1.3606666666666665</v>
      </c>
      <c r="J375" s="49">
        <f>SUMIFS(BOM!Q:Q,BOM!A:A,'All Products'!A375,BOM!I:I,'All Products'!J$3)+0.03</f>
        <v>0.17</v>
      </c>
      <c r="K375" s="29">
        <f t="shared" si="71"/>
        <v>0.28771929824561399</v>
      </c>
      <c r="L375" s="49">
        <f>SUMIF(BOM!A:A,'All Products'!A375,BOM!S:S)</f>
        <v>1.7602</v>
      </c>
      <c r="M375" s="49">
        <f>SUMIF(BOM!A:A,'All Products'!A375,BOM!V:V)</f>
        <v>0.21720416666666661</v>
      </c>
      <c r="N375" s="29">
        <f t="shared" si="72"/>
        <v>0.37169251253132829</v>
      </c>
      <c r="O375" s="55">
        <v>0</v>
      </c>
      <c r="P375" s="49">
        <f t="shared" si="73"/>
        <v>3.508070833333333</v>
      </c>
      <c r="Q375" s="11">
        <f t="shared" si="74"/>
        <v>1.8119291666666673</v>
      </c>
      <c r="R375" s="29">
        <f t="shared" si="75"/>
        <v>0.34058818922305772</v>
      </c>
      <c r="S375" s="91">
        <v>0</v>
      </c>
      <c r="T375" s="91">
        <f t="shared" ref="T375:T406" si="81">S375*G375</f>
        <v>0</v>
      </c>
      <c r="U375" s="90">
        <f t="shared" si="78"/>
        <v>0</v>
      </c>
      <c r="V375" s="90">
        <f t="shared" ref="V375:V409" si="82">(G375-P375)*S375</f>
        <v>0</v>
      </c>
      <c r="W375" s="90">
        <f t="shared" si="80"/>
        <v>0</v>
      </c>
      <c r="Y375" s="34">
        <f t="shared" si="76"/>
        <v>0.74423558897243114</v>
      </c>
      <c r="Z375" s="34"/>
      <c r="AA375" s="4"/>
      <c r="AB375" s="4"/>
      <c r="AE375" s="4"/>
    </row>
    <row r="376" spans="1:31" x14ac:dyDescent="0.25">
      <c r="A376" s="1" t="s">
        <v>389</v>
      </c>
      <c r="B376" s="1" t="s">
        <v>656</v>
      </c>
      <c r="C376" s="1" t="s">
        <v>390</v>
      </c>
      <c r="D376" s="1" t="s">
        <v>554</v>
      </c>
      <c r="E376" s="1">
        <f>VLOOKUP(A376,BOM!A:E,5,0)</f>
        <v>1</v>
      </c>
      <c r="F376" s="122">
        <v>6.34</v>
      </c>
      <c r="G376" s="10">
        <v>6.6</v>
      </c>
      <c r="H376" s="11" t="s">
        <v>1874</v>
      </c>
      <c r="I376" s="49">
        <f>SUMIFS(BOM!Q:Q,BOM!A:A,'All Products'!A376,BOM!I:I,'All Products'!I$3)</f>
        <v>1.3606666666666665</v>
      </c>
      <c r="J376" s="49">
        <f>SUMIFS(BOM!Q:Q,BOM!A:A,'All Products'!A376,BOM!I:I,'All Products'!J$3)+0.03</f>
        <v>0.17</v>
      </c>
      <c r="K376" s="29">
        <f t="shared" si="71"/>
        <v>0.23191919191919189</v>
      </c>
      <c r="L376" s="49">
        <f>SUMIF(BOM!A:A,'All Products'!A376,BOM!S:S)</f>
        <v>1.7602</v>
      </c>
      <c r="M376" s="49">
        <f>SUMIF(BOM!A:A,'All Products'!A376,BOM!V:V)</f>
        <v>0.21720416666666661</v>
      </c>
      <c r="N376" s="29">
        <f t="shared" si="72"/>
        <v>0.29960669191919193</v>
      </c>
      <c r="O376" s="55">
        <v>0</v>
      </c>
      <c r="P376" s="49">
        <f t="shared" si="73"/>
        <v>3.508070833333333</v>
      </c>
      <c r="Q376" s="11">
        <f t="shared" si="74"/>
        <v>3.0919291666666666</v>
      </c>
      <c r="R376" s="29">
        <f t="shared" si="75"/>
        <v>0.46847411616161616</v>
      </c>
      <c r="S376" s="91">
        <v>7.4</v>
      </c>
      <c r="T376" s="91">
        <f t="shared" si="81"/>
        <v>48.839999999999996</v>
      </c>
      <c r="U376" s="90">
        <f t="shared" si="78"/>
        <v>22.880275833333336</v>
      </c>
      <c r="V376" s="90">
        <f t="shared" si="82"/>
        <v>22.880275833333336</v>
      </c>
      <c r="W376" s="90">
        <f t="shared" si="80"/>
        <v>0</v>
      </c>
      <c r="Y376" s="34">
        <f t="shared" si="76"/>
        <v>0.79383838383838379</v>
      </c>
      <c r="Z376" s="34"/>
      <c r="AA376" s="4"/>
      <c r="AB376" s="4"/>
      <c r="AE376" s="4"/>
    </row>
    <row r="377" spans="1:31" x14ac:dyDescent="0.25">
      <c r="A377" s="1" t="s">
        <v>915</v>
      </c>
      <c r="B377" s="1" t="s">
        <v>656</v>
      </c>
      <c r="C377" s="1" t="s">
        <v>916</v>
      </c>
      <c r="D377" s="1" t="s">
        <v>554</v>
      </c>
      <c r="E377" s="1">
        <f>VLOOKUP(A377,BOM!A:E,5,0)</f>
        <v>2.5</v>
      </c>
      <c r="F377" s="122">
        <v>10.76</v>
      </c>
      <c r="G377" s="10">
        <v>11.21</v>
      </c>
      <c r="H377" s="11" t="s">
        <v>1874</v>
      </c>
      <c r="I377" s="49">
        <f>SUMIFS(BOM!Q:Q,BOM!A:A,'All Products'!A377,BOM!I:I,'All Products'!I$3)</f>
        <v>3.4016666666666664</v>
      </c>
      <c r="J377" s="49">
        <f>SUMIFS(BOM!Q:Q,BOM!A:A,'All Products'!A377,BOM!I:I,'All Products'!J$3)+0.03</f>
        <v>0.17</v>
      </c>
      <c r="K377" s="29">
        <f t="shared" si="71"/>
        <v>0.31861433244127263</v>
      </c>
      <c r="L377" s="49">
        <f>SUMIF(BOM!A:A,'All Products'!A377,BOM!S:S)</f>
        <v>4.4004999999999992</v>
      </c>
      <c r="M377" s="49">
        <f>SUMIF(BOM!A:A,'All Products'!A377,BOM!V:V)</f>
        <v>0.29618749999999999</v>
      </c>
      <c r="N377" s="29">
        <f t="shared" si="72"/>
        <v>0.41897301516503116</v>
      </c>
      <c r="O377" s="55">
        <v>0</v>
      </c>
      <c r="P377" s="49">
        <f t="shared" si="73"/>
        <v>8.2683541666666649</v>
      </c>
      <c r="Q377" s="11">
        <f t="shared" si="74"/>
        <v>2.941645833333336</v>
      </c>
      <c r="R377" s="29">
        <f t="shared" si="75"/>
        <v>0.26241265239369632</v>
      </c>
      <c r="S377" s="91">
        <v>5.6</v>
      </c>
      <c r="T377" s="91">
        <f t="shared" si="81"/>
        <v>62.776000000000003</v>
      </c>
      <c r="U377" s="90">
        <f t="shared" si="78"/>
        <v>16.47321666666668</v>
      </c>
      <c r="V377" s="90">
        <f t="shared" si="82"/>
        <v>16.47321666666668</v>
      </c>
      <c r="W377" s="90">
        <f t="shared" si="80"/>
        <v>0</v>
      </c>
      <c r="Y377" s="34">
        <f t="shared" si="76"/>
        <v>0.69655069878085052</v>
      </c>
      <c r="Z377" s="34"/>
      <c r="AA377" s="4"/>
      <c r="AB377" s="4"/>
      <c r="AE377" s="4"/>
    </row>
    <row r="378" spans="1:31" x14ac:dyDescent="0.25">
      <c r="A378" s="1" t="s">
        <v>917</v>
      </c>
      <c r="B378" s="1" t="s">
        <v>656</v>
      </c>
      <c r="C378" s="1" t="s">
        <v>918</v>
      </c>
      <c r="D378" s="1" t="s">
        <v>554</v>
      </c>
      <c r="E378" s="1">
        <f>VLOOKUP(A378,BOM!A:E,5,0)</f>
        <v>1</v>
      </c>
      <c r="F378" s="122">
        <v>6.84</v>
      </c>
      <c r="G378" s="10">
        <v>7.32</v>
      </c>
      <c r="H378" s="11" t="s">
        <v>1874</v>
      </c>
      <c r="I378" s="49">
        <f>SUMIFS(BOM!Q:Q,BOM!A:A,'All Products'!A378,BOM!I:I,'All Products'!I$3)</f>
        <v>2.2659849137455823</v>
      </c>
      <c r="J378" s="49">
        <f>SUMIFS(BOM!Q:Q,BOM!A:A,'All Products'!A378,BOM!I:I,'All Products'!J$3)+0.03</f>
        <v>0.17</v>
      </c>
      <c r="K378" s="29">
        <f t="shared" si="71"/>
        <v>0.33278482428218337</v>
      </c>
      <c r="L378" s="49">
        <f>SUMIF(BOM!A:A,'All Products'!A378,BOM!S:S)</f>
        <v>2.0592820131905438</v>
      </c>
      <c r="M378" s="49">
        <f>SUMIF(BOM!A:A,'All Products'!A378,BOM!V:V)</f>
        <v>0.21720416666666661</v>
      </c>
      <c r="N378" s="29">
        <f t="shared" si="72"/>
        <v>0.31099537976191394</v>
      </c>
      <c r="O378" s="55">
        <v>0</v>
      </c>
      <c r="P378" s="49">
        <f t="shared" si="73"/>
        <v>4.712471093602792</v>
      </c>
      <c r="Q378" s="11">
        <f t="shared" si="74"/>
        <v>2.6075289063972082</v>
      </c>
      <c r="R378" s="29">
        <f t="shared" si="75"/>
        <v>0.35621979595590275</v>
      </c>
      <c r="S378" s="91">
        <v>0.2</v>
      </c>
      <c r="T378" s="91">
        <f t="shared" si="81"/>
        <v>1.4640000000000002</v>
      </c>
      <c r="U378" s="90">
        <f t="shared" si="78"/>
        <v>0.52150578127944169</v>
      </c>
      <c r="V378" s="90">
        <f t="shared" si="82"/>
        <v>0.52150578127944169</v>
      </c>
      <c r="W378" s="90">
        <f t="shared" si="80"/>
        <v>0</v>
      </c>
      <c r="Y378" s="34">
        <f t="shared" si="76"/>
        <v>0.69043921943366371</v>
      </c>
      <c r="Z378" s="34"/>
      <c r="AA378" s="4"/>
      <c r="AB378" s="4"/>
      <c r="AE378" s="4"/>
    </row>
    <row r="379" spans="1:31" x14ac:dyDescent="0.25">
      <c r="A379" s="1" t="s">
        <v>78</v>
      </c>
      <c r="B379" s="1" t="s">
        <v>656</v>
      </c>
      <c r="C379" s="1" t="s">
        <v>79</v>
      </c>
      <c r="D379" s="1" t="s">
        <v>554</v>
      </c>
      <c r="E379" s="1">
        <f>VLOOKUP(A379,BOM!A:E,5,0)</f>
        <v>2.5</v>
      </c>
      <c r="F379" s="122">
        <v>17.09</v>
      </c>
      <c r="G379" s="10">
        <v>18.3</v>
      </c>
      <c r="H379" s="11" t="s">
        <v>1874</v>
      </c>
      <c r="I379" s="49">
        <f>SUMIFS(BOM!Q:Q,BOM!A:A,'All Products'!A379,BOM!I:I,'All Products'!I$3)</f>
        <v>5.6649622843639564</v>
      </c>
      <c r="J379" s="49">
        <f>SUMIFS(BOM!Q:Q,BOM!A:A,'All Products'!A379,BOM!I:I,'All Products'!J$3)+0.03</f>
        <v>0.17</v>
      </c>
      <c r="K379" s="29">
        <f t="shared" si="71"/>
        <v>0.31885039805267518</v>
      </c>
      <c r="L379" s="49">
        <f>SUMIF(BOM!A:A,'All Products'!A379,BOM!S:S)</f>
        <v>5.1482050329763593</v>
      </c>
      <c r="M379" s="49">
        <f>SUMIF(BOM!A:A,'All Products'!A379,BOM!V:V)</f>
        <v>0.29618749999999999</v>
      </c>
      <c r="N379" s="29">
        <f t="shared" si="72"/>
        <v>0.29750778868723277</v>
      </c>
      <c r="O379" s="55">
        <v>0</v>
      </c>
      <c r="P379" s="49">
        <f t="shared" si="73"/>
        <v>11.279354817340316</v>
      </c>
      <c r="Q379" s="11">
        <f t="shared" si="74"/>
        <v>7.0206451826596847</v>
      </c>
      <c r="R379" s="29">
        <f t="shared" si="75"/>
        <v>0.38364181326009206</v>
      </c>
      <c r="S379" s="91">
        <v>35.4</v>
      </c>
      <c r="T379" s="91">
        <f t="shared" si="81"/>
        <v>647.82000000000005</v>
      </c>
      <c r="U379" s="90">
        <f t="shared" si="78"/>
        <v>248.53083946615283</v>
      </c>
      <c r="V379" s="90">
        <f t="shared" si="82"/>
        <v>248.53083946615283</v>
      </c>
      <c r="W379" s="90">
        <f t="shared" si="80"/>
        <v>0</v>
      </c>
      <c r="Y379" s="34">
        <f t="shared" si="76"/>
        <v>0.6904392194336636</v>
      </c>
      <c r="Z379" s="34"/>
      <c r="AA379" s="4"/>
      <c r="AB379" s="4"/>
      <c r="AE379" s="4"/>
    </row>
    <row r="380" spans="1:31" x14ac:dyDescent="0.25">
      <c r="A380" s="1" t="s">
        <v>72</v>
      </c>
      <c r="B380" s="1" t="s">
        <v>656</v>
      </c>
      <c r="C380" s="1" t="s">
        <v>73</v>
      </c>
      <c r="D380" s="1" t="s">
        <v>554</v>
      </c>
      <c r="E380" s="1">
        <f>VLOOKUP(A380,BOM!A:E,5,0)</f>
        <v>1</v>
      </c>
      <c r="F380" s="122">
        <v>2.2799999999999998</v>
      </c>
      <c r="G380" s="10">
        <v>2.09</v>
      </c>
      <c r="H380" s="11" t="s">
        <v>1874</v>
      </c>
      <c r="I380" s="49">
        <f>SUMIFS(BOM!Q:Q,BOM!A:A,'All Products'!A380,BOM!I:I,'All Products'!I$3)</f>
        <v>1.311711491442543</v>
      </c>
      <c r="J380" s="49">
        <f>SUMIFS(BOM!Q:Q,BOM!A:A,'All Products'!A380,BOM!I:I,'All Products'!J$3)+0.03</f>
        <v>0.17</v>
      </c>
      <c r="K380" s="29">
        <f t="shared" si="71"/>
        <v>0.7089528667189201</v>
      </c>
      <c r="L380" s="49">
        <f>SUMIF(BOM!A:A,'All Products'!A380,BOM!S:S)</f>
        <v>0.20309999999999997</v>
      </c>
      <c r="M380" s="49">
        <f>SUMIF(BOM!A:A,'All Products'!A380,BOM!V:V)</f>
        <v>0.21720416666666661</v>
      </c>
      <c r="N380" s="29">
        <f t="shared" si="72"/>
        <v>0.20110247208931417</v>
      </c>
      <c r="O380" s="55">
        <v>0</v>
      </c>
      <c r="P380" s="49">
        <f t="shared" si="73"/>
        <v>1.9020156581092096</v>
      </c>
      <c r="Q380" s="11">
        <f t="shared" si="74"/>
        <v>0.18798434189079027</v>
      </c>
      <c r="R380" s="29">
        <f t="shared" si="75"/>
        <v>8.9944661191765682E-2</v>
      </c>
      <c r="S380" s="91">
        <v>20.399999999999999</v>
      </c>
      <c r="T380" s="91">
        <f t="shared" si="81"/>
        <v>42.635999999999996</v>
      </c>
      <c r="U380" s="90">
        <f t="shared" si="78"/>
        <v>3.8348805745721215</v>
      </c>
      <c r="V380" s="90">
        <f t="shared" si="82"/>
        <v>3.8348805745721215</v>
      </c>
      <c r="W380" s="90">
        <f t="shared" si="80"/>
        <v>0</v>
      </c>
      <c r="Y380" s="34">
        <f t="shared" si="76"/>
        <v>0.37238684619974016</v>
      </c>
      <c r="Z380" s="34"/>
      <c r="AA380" s="4"/>
      <c r="AB380" s="4"/>
      <c r="AE380" s="4"/>
    </row>
    <row r="381" spans="1:31" x14ac:dyDescent="0.25">
      <c r="A381" s="1" t="s">
        <v>70</v>
      </c>
      <c r="B381" s="1" t="s">
        <v>656</v>
      </c>
      <c r="C381" s="1" t="s">
        <v>71</v>
      </c>
      <c r="D381" s="1" t="s">
        <v>554</v>
      </c>
      <c r="E381" s="1">
        <f>VLOOKUP(A381,BOM!A:E,5,0)</f>
        <v>2.5</v>
      </c>
      <c r="F381" s="122">
        <v>5.69</v>
      </c>
      <c r="G381" s="10">
        <v>5.21</v>
      </c>
      <c r="H381" s="11" t="s">
        <v>1874</v>
      </c>
      <c r="I381" s="49">
        <f>SUMIFS(BOM!Q:Q,BOM!A:A,'All Products'!A381,BOM!I:I,'All Products'!I$3)</f>
        <v>3.2792787286063572</v>
      </c>
      <c r="J381" s="49">
        <f>SUMIFS(BOM!Q:Q,BOM!A:A,'All Products'!A381,BOM!I:I,'All Products'!J$3)+0.03</f>
        <v>0.17</v>
      </c>
      <c r="K381" s="29">
        <f t="shared" si="71"/>
        <v>0.66204966000122023</v>
      </c>
      <c r="L381" s="49">
        <f>SUMIF(BOM!A:A,'All Products'!A381,BOM!S:S)</f>
        <v>0.50774999999999992</v>
      </c>
      <c r="M381" s="49">
        <f>SUMIF(BOM!A:A,'All Products'!A381,BOM!V:V)</f>
        <v>0.29618749999999999</v>
      </c>
      <c r="N381" s="29">
        <f t="shared" si="72"/>
        <v>0.15430662188099808</v>
      </c>
      <c r="O381" s="55">
        <v>0</v>
      </c>
      <c r="P381" s="49">
        <f t="shared" si="73"/>
        <v>4.2532162286063571</v>
      </c>
      <c r="Q381" s="11">
        <f t="shared" si="74"/>
        <v>0.9567837713936429</v>
      </c>
      <c r="R381" s="29">
        <f t="shared" si="75"/>
        <v>0.18364371811778174</v>
      </c>
      <c r="S381" s="91">
        <v>118</v>
      </c>
      <c r="T381" s="91">
        <f t="shared" si="81"/>
        <v>614.78</v>
      </c>
      <c r="U381" s="90">
        <f t="shared" si="78"/>
        <v>112.90048502444986</v>
      </c>
      <c r="V381" s="90">
        <f t="shared" si="82"/>
        <v>112.90048502444986</v>
      </c>
      <c r="W381" s="90">
        <f t="shared" si="80"/>
        <v>0</v>
      </c>
      <c r="Y381" s="34">
        <f t="shared" si="76"/>
        <v>0.37057989854004658</v>
      </c>
      <c r="Z381" s="34"/>
      <c r="AA381" s="4"/>
      <c r="AB381" s="4"/>
      <c r="AE381" s="4"/>
    </row>
    <row r="382" spans="1:31" x14ac:dyDescent="0.25">
      <c r="A382" s="1" t="s">
        <v>64</v>
      </c>
      <c r="B382" s="1" t="s">
        <v>656</v>
      </c>
      <c r="C382" s="1" t="s">
        <v>65</v>
      </c>
      <c r="D382" s="1" t="s">
        <v>554</v>
      </c>
      <c r="E382" s="1">
        <f>VLOOKUP(A382,BOM!A:E,5,0)</f>
        <v>1</v>
      </c>
      <c r="F382" s="122">
        <v>2.4500000000000002</v>
      </c>
      <c r="G382" s="10">
        <v>2.2599999999999998</v>
      </c>
      <c r="H382" s="11" t="s">
        <v>1874</v>
      </c>
      <c r="I382" s="49">
        <f>SUMIFS(BOM!Q:Q,BOM!A:A,'All Products'!A382,BOM!I:I,'All Products'!I$3)</f>
        <v>1.3289414146225293</v>
      </c>
      <c r="J382" s="49">
        <f>SUMIFS(BOM!Q:Q,BOM!A:A,'All Products'!A382,BOM!I:I,'All Products'!J$3)+0.03</f>
        <v>0.17</v>
      </c>
      <c r="K382" s="29">
        <f t="shared" si="71"/>
        <v>0.6632484135497918</v>
      </c>
      <c r="L382" s="49">
        <f>SUMIF(BOM!A:A,'All Products'!A382,BOM!S:S)</f>
        <v>0.29704402834008098</v>
      </c>
      <c r="M382" s="49">
        <f>SUMIF(BOM!A:A,'All Products'!A382,BOM!V:V)</f>
        <v>0.21720416666666661</v>
      </c>
      <c r="N382" s="29">
        <f t="shared" si="72"/>
        <v>0.22754344911802993</v>
      </c>
      <c r="O382" s="55">
        <v>0</v>
      </c>
      <c r="P382" s="49">
        <f t="shared" si="73"/>
        <v>2.013189609629277</v>
      </c>
      <c r="Q382" s="11">
        <f t="shared" si="74"/>
        <v>0.24681039037072283</v>
      </c>
      <c r="R382" s="29">
        <f t="shared" si="75"/>
        <v>0.10920813733217825</v>
      </c>
      <c r="S382" s="91">
        <v>87.6</v>
      </c>
      <c r="T382" s="91">
        <f t="shared" si="81"/>
        <v>197.97599999999997</v>
      </c>
      <c r="U382" s="90">
        <f t="shared" si="78"/>
        <v>21.62059019647532</v>
      </c>
      <c r="V382" s="90">
        <f t="shared" si="82"/>
        <v>21.62059019647532</v>
      </c>
      <c r="W382" s="90">
        <f t="shared" si="80"/>
        <v>0</v>
      </c>
      <c r="Y382" s="34">
        <f t="shared" si="76"/>
        <v>0.4119728253882613</v>
      </c>
      <c r="Z382" s="34"/>
      <c r="AA382" s="4"/>
      <c r="AB382" s="4"/>
      <c r="AE382" s="4"/>
    </row>
    <row r="383" spans="1:31" x14ac:dyDescent="0.25">
      <c r="A383" s="1" t="s">
        <v>62</v>
      </c>
      <c r="B383" s="1" t="s">
        <v>656</v>
      </c>
      <c r="C383" s="1" t="s">
        <v>63</v>
      </c>
      <c r="D383" s="1" t="s">
        <v>554</v>
      </c>
      <c r="E383" s="1">
        <f>VLOOKUP(A383,BOM!A:E,5,0)</f>
        <v>2.5</v>
      </c>
      <c r="F383" s="122">
        <v>6.1</v>
      </c>
      <c r="G383" s="10">
        <v>5.61</v>
      </c>
      <c r="H383" s="11" t="s">
        <v>1874</v>
      </c>
      <c r="I383" s="49">
        <f>SUMIFS(BOM!Q:Q,BOM!A:A,'All Products'!A383,BOM!I:I,'All Products'!I$3)</f>
        <v>3.322353536556323</v>
      </c>
      <c r="J383" s="49">
        <f>SUMIFS(BOM!Q:Q,BOM!A:A,'All Products'!A383,BOM!I:I,'All Products'!J$3)+0.03</f>
        <v>0.17</v>
      </c>
      <c r="K383" s="29">
        <f t="shared" si="71"/>
        <v>0.62252291204212529</v>
      </c>
      <c r="L383" s="49">
        <f>SUMIF(BOM!A:A,'All Products'!A383,BOM!S:S)</f>
        <v>0.74261007085020247</v>
      </c>
      <c r="M383" s="49">
        <f>SUMIF(BOM!A:A,'All Products'!A383,BOM!V:V)</f>
        <v>0.29618749999999999</v>
      </c>
      <c r="N383" s="29">
        <f t="shared" si="72"/>
        <v>0.18516890745992912</v>
      </c>
      <c r="O383" s="55">
        <v>0</v>
      </c>
      <c r="P383" s="49">
        <f t="shared" si="73"/>
        <v>4.5311511074065249</v>
      </c>
      <c r="Q383" s="11">
        <f t="shared" si="74"/>
        <v>1.0788488925934754</v>
      </c>
      <c r="R383" s="29">
        <f t="shared" si="75"/>
        <v>0.19230818049794568</v>
      </c>
      <c r="S383" s="91">
        <v>242.6</v>
      </c>
      <c r="T383" s="91">
        <f t="shared" si="81"/>
        <v>1360.9860000000001</v>
      </c>
      <c r="U383" s="90">
        <f t="shared" si="78"/>
        <v>261.72874134317715</v>
      </c>
      <c r="V383" s="90">
        <f t="shared" si="82"/>
        <v>261.72874134317715</v>
      </c>
      <c r="W383" s="90">
        <f t="shared" si="80"/>
        <v>0</v>
      </c>
      <c r="Y383" s="34">
        <f t="shared" si="76"/>
        <v>0.40778011826090504</v>
      </c>
      <c r="Z383" s="34"/>
      <c r="AA383" s="4"/>
      <c r="AB383" s="4"/>
      <c r="AE383" s="4"/>
    </row>
    <row r="384" spans="1:31" x14ac:dyDescent="0.25">
      <c r="A384" s="1" t="s">
        <v>438</v>
      </c>
      <c r="B384" s="1" t="s">
        <v>656</v>
      </c>
      <c r="C384" s="1" t="s">
        <v>439</v>
      </c>
      <c r="D384" s="1" t="s">
        <v>554</v>
      </c>
      <c r="E384" s="1">
        <f>VLOOKUP(A384,BOM!A:E,5,0)</f>
        <v>1</v>
      </c>
      <c r="F384" s="122">
        <v>2.4900000000000002</v>
      </c>
      <c r="G384" s="10">
        <v>2.3199999999999998</v>
      </c>
      <c r="H384" s="11" t="s">
        <v>1874</v>
      </c>
      <c r="I384" s="49">
        <f>SUMIFS(BOM!Q:Q,BOM!A:A,'All Products'!A384,BOM!I:I,'All Products'!I$3)</f>
        <v>1.2382481082320571</v>
      </c>
      <c r="J384" s="49">
        <f>SUMIFS(BOM!Q:Q,BOM!A:A,'All Products'!A384,BOM!I:I,'All Products'!J$3)+0.03</f>
        <v>0.17</v>
      </c>
      <c r="K384" s="29">
        <f t="shared" si="71"/>
        <v>0.60700349492761085</v>
      </c>
      <c r="L384" s="49">
        <f>SUMIF(BOM!A:A,'All Products'!A384,BOM!S:S)</f>
        <v>0.29900833333333332</v>
      </c>
      <c r="M384" s="49">
        <f>SUMIF(BOM!A:A,'All Products'!A384,BOM!V:V)</f>
        <v>0.21720416666666661</v>
      </c>
      <c r="N384" s="29">
        <f t="shared" si="72"/>
        <v>0.22250538793103447</v>
      </c>
      <c r="O384" s="55">
        <v>0</v>
      </c>
      <c r="P384" s="49">
        <f t="shared" si="73"/>
        <v>1.924460608232057</v>
      </c>
      <c r="Q384" s="11">
        <f t="shared" si="74"/>
        <v>0.39553939176794284</v>
      </c>
      <c r="R384" s="29">
        <f t="shared" si="75"/>
        <v>0.17049111714135468</v>
      </c>
      <c r="S384" s="91">
        <v>10.6</v>
      </c>
      <c r="T384" s="91">
        <f t="shared" si="81"/>
        <v>24.591999999999999</v>
      </c>
      <c r="U384" s="90">
        <f t="shared" si="78"/>
        <v>4.1927175527401941</v>
      </c>
      <c r="V384" s="90">
        <f t="shared" si="82"/>
        <v>4.1927175527401941</v>
      </c>
      <c r="W384" s="90">
        <f t="shared" si="80"/>
        <v>0</v>
      </c>
      <c r="Y384" s="34">
        <f t="shared" si="76"/>
        <v>0.46627236714135467</v>
      </c>
      <c r="Z384" s="34"/>
      <c r="AA384" s="4"/>
      <c r="AB384" s="4"/>
      <c r="AE384" s="4"/>
    </row>
    <row r="385" spans="1:31" x14ac:dyDescent="0.25">
      <c r="A385" s="1" t="s">
        <v>919</v>
      </c>
      <c r="B385" s="1" t="s">
        <v>656</v>
      </c>
      <c r="C385" s="1" t="s">
        <v>920</v>
      </c>
      <c r="D385" s="1" t="s">
        <v>554</v>
      </c>
      <c r="E385" s="1">
        <f>VLOOKUP(A385,BOM!A:E,5,0)</f>
        <v>2.5</v>
      </c>
      <c r="F385" s="122">
        <v>6.22</v>
      </c>
      <c r="G385" s="10">
        <v>5.78</v>
      </c>
      <c r="H385" s="11" t="s">
        <v>1874</v>
      </c>
      <c r="I385" s="49">
        <f>SUMIFS(BOM!Q:Q,BOM!A:A,'All Products'!A385,BOM!I:I,'All Products'!I$3)</f>
        <v>3.0956202705801426</v>
      </c>
      <c r="J385" s="49">
        <f>SUMIFS(BOM!Q:Q,BOM!A:A,'All Products'!A385,BOM!I:I,'All Products'!J$3)+0.03</f>
        <v>0.17</v>
      </c>
      <c r="K385" s="29">
        <f t="shared" si="71"/>
        <v>0.56498620598272364</v>
      </c>
      <c r="L385" s="49">
        <f>SUMIF(BOM!A:A,'All Products'!A385,BOM!S:S)</f>
        <v>0.74752083333333319</v>
      </c>
      <c r="M385" s="49">
        <f>SUMIF(BOM!A:A,'All Products'!A385,BOM!V:V)</f>
        <v>0.29618749999999999</v>
      </c>
      <c r="N385" s="29">
        <f t="shared" si="72"/>
        <v>0.18057237600922721</v>
      </c>
      <c r="O385" s="55">
        <v>0</v>
      </c>
      <c r="P385" s="49">
        <f t="shared" si="73"/>
        <v>4.3093286039134755</v>
      </c>
      <c r="Q385" s="11">
        <f t="shared" si="74"/>
        <v>1.4706713960865248</v>
      </c>
      <c r="R385" s="29">
        <f t="shared" si="75"/>
        <v>0.25444141800804926</v>
      </c>
      <c r="S385" s="91">
        <v>54.6</v>
      </c>
      <c r="T385" s="91">
        <f t="shared" si="81"/>
        <v>315.58800000000002</v>
      </c>
      <c r="U385" s="90">
        <f t="shared" si="78"/>
        <v>80.29865822632425</v>
      </c>
      <c r="V385" s="90">
        <f t="shared" si="82"/>
        <v>80.29865822632425</v>
      </c>
      <c r="W385" s="90">
        <f t="shared" si="80"/>
        <v>0</v>
      </c>
      <c r="Y385" s="34">
        <f t="shared" si="76"/>
        <v>0.46442555872315877</v>
      </c>
      <c r="Z385" s="34"/>
      <c r="AA385" s="4"/>
      <c r="AB385" s="4"/>
      <c r="AE385" s="4"/>
    </row>
    <row r="386" spans="1:31" x14ac:dyDescent="0.25">
      <c r="A386" s="1" t="s">
        <v>921</v>
      </c>
      <c r="B386" s="1" t="s">
        <v>656</v>
      </c>
      <c r="C386" s="1" t="s">
        <v>922</v>
      </c>
      <c r="D386" s="1" t="s">
        <v>554</v>
      </c>
      <c r="E386" s="1">
        <f>VLOOKUP(A386,BOM!A:E,5,0)</f>
        <v>1</v>
      </c>
      <c r="F386" s="122">
        <v>3.19</v>
      </c>
      <c r="G386" s="10">
        <v>3.03</v>
      </c>
      <c r="H386" s="11" t="s">
        <v>1874</v>
      </c>
      <c r="I386" s="49">
        <f>SUMIFS(BOM!Q:Q,BOM!A:A,'All Products'!A386,BOM!I:I,'All Products'!I$3)</f>
        <v>1.2382481082320571</v>
      </c>
      <c r="J386" s="49">
        <f>SUMIFS(BOM!Q:Q,BOM!A:A,'All Products'!A386,BOM!I:I,'All Products'!J$3)+0.03</f>
        <v>0.17</v>
      </c>
      <c r="K386" s="29">
        <f t="shared" si="71"/>
        <v>0.46476835255183402</v>
      </c>
      <c r="L386" s="49">
        <f>SUMIF(BOM!A:A,'All Products'!A386,BOM!S:S)</f>
        <v>0.37799166666666661</v>
      </c>
      <c r="M386" s="49">
        <f>SUMIF(BOM!A:A,'All Products'!A386,BOM!V:V)</f>
        <v>0.21720416666666661</v>
      </c>
      <c r="N386" s="29">
        <f t="shared" si="72"/>
        <v>0.19643426842684267</v>
      </c>
      <c r="O386" s="55">
        <v>0</v>
      </c>
      <c r="P386" s="49">
        <f t="shared" si="73"/>
        <v>2.0034439415653904</v>
      </c>
      <c r="Q386" s="11">
        <f t="shared" si="74"/>
        <v>1.0265560584346094</v>
      </c>
      <c r="R386" s="29">
        <f t="shared" si="75"/>
        <v>0.33879737902132323</v>
      </c>
      <c r="S386" s="91">
        <v>17.600000000000001</v>
      </c>
      <c r="T386" s="91">
        <f t="shared" si="81"/>
        <v>53.328000000000003</v>
      </c>
      <c r="U386" s="90">
        <f t="shared" si="78"/>
        <v>18.067386628449128</v>
      </c>
      <c r="V386" s="90">
        <f t="shared" si="82"/>
        <v>18.067386628449128</v>
      </c>
      <c r="W386" s="90">
        <f t="shared" si="80"/>
        <v>0</v>
      </c>
      <c r="Y386" s="34">
        <f t="shared" si="76"/>
        <v>0.5913372580092221</v>
      </c>
      <c r="Z386" s="34"/>
      <c r="AA386" s="4"/>
      <c r="AB386" s="4"/>
      <c r="AE386" s="4"/>
    </row>
    <row r="387" spans="1:31" x14ac:dyDescent="0.25">
      <c r="A387" s="1" t="s">
        <v>60</v>
      </c>
      <c r="B387" s="1" t="s">
        <v>656</v>
      </c>
      <c r="C387" s="1" t="s">
        <v>61</v>
      </c>
      <c r="D387" s="1" t="s">
        <v>554</v>
      </c>
      <c r="E387" s="1">
        <f>VLOOKUP(A387,BOM!A:E,5,0)</f>
        <v>2.5</v>
      </c>
      <c r="F387" s="122">
        <v>7.99</v>
      </c>
      <c r="G387" s="10">
        <v>7.59</v>
      </c>
      <c r="H387" s="11" t="s">
        <v>1874</v>
      </c>
      <c r="I387" s="49">
        <f>SUMIFS(BOM!Q:Q,BOM!A:A,'All Products'!A387,BOM!I:I,'All Products'!I$3)</f>
        <v>3.0956202705801426</v>
      </c>
      <c r="J387" s="49">
        <f>SUMIFS(BOM!Q:Q,BOM!A:A,'All Products'!A387,BOM!I:I,'All Products'!J$3)+0.03</f>
        <v>0.17</v>
      </c>
      <c r="K387" s="29">
        <f t="shared" si="71"/>
        <v>0.43025300007643513</v>
      </c>
      <c r="L387" s="49">
        <f>SUMIF(BOM!A:A,'All Products'!A387,BOM!S:S)</f>
        <v>0.9449791666666667</v>
      </c>
      <c r="M387" s="49">
        <f>SUMIF(BOM!A:A,'All Products'!A387,BOM!V:V)</f>
        <v>0.29618749999999999</v>
      </c>
      <c r="N387" s="29">
        <f t="shared" si="72"/>
        <v>0.1635265700483092</v>
      </c>
      <c r="O387" s="55">
        <v>0</v>
      </c>
      <c r="P387" s="49">
        <f t="shared" si="73"/>
        <v>4.506786937246809</v>
      </c>
      <c r="Q387" s="11">
        <f t="shared" si="74"/>
        <v>3.0832130627531908</v>
      </c>
      <c r="R387" s="29">
        <f t="shared" si="75"/>
        <v>0.4062204298752557</v>
      </c>
      <c r="S387" s="91">
        <v>72.8</v>
      </c>
      <c r="T387" s="91">
        <f t="shared" si="81"/>
        <v>552.55200000000002</v>
      </c>
      <c r="U387" s="90">
        <f t="shared" si="78"/>
        <v>224.45791096843229</v>
      </c>
      <c r="V387" s="90">
        <f t="shared" si="82"/>
        <v>224.45791096843229</v>
      </c>
      <c r="W387" s="90">
        <f t="shared" si="80"/>
        <v>0</v>
      </c>
      <c r="Y387" s="34">
        <f t="shared" si="76"/>
        <v>0.59214489188667419</v>
      </c>
      <c r="Z387" s="34"/>
      <c r="AA387" s="4"/>
      <c r="AB387" s="4"/>
      <c r="AE387" s="4"/>
    </row>
    <row r="388" spans="1:31" x14ac:dyDescent="0.25">
      <c r="A388" s="1" t="s">
        <v>55</v>
      </c>
      <c r="B388" s="1" t="s">
        <v>656</v>
      </c>
      <c r="C388" s="59" t="s">
        <v>56</v>
      </c>
      <c r="D388" s="1" t="s">
        <v>554</v>
      </c>
      <c r="E388" s="1">
        <f>VLOOKUP(A388,BOM!A:E,5,0)</f>
        <v>1</v>
      </c>
      <c r="F388" s="122">
        <v>4.29</v>
      </c>
      <c r="G388" s="10">
        <v>4.4000000000000004</v>
      </c>
      <c r="H388" s="11" t="s">
        <v>1874</v>
      </c>
      <c r="I388" s="49">
        <f>SUMIFS(BOM!Q:Q,BOM!A:A,'All Products'!A388,BOM!I:I,'All Products'!I$3)</f>
        <v>1.0555555555555554</v>
      </c>
      <c r="J388" s="49">
        <f>SUMIFS(BOM!Q:Q,BOM!A:A,'All Products'!A388,BOM!I:I,'All Products'!J$3)+0.03</f>
        <v>0.17</v>
      </c>
      <c r="K388" s="29">
        <f t="shared" ref="K388:K451" si="83">(I388+J388)/G388</f>
        <v>0.27853535353535347</v>
      </c>
      <c r="L388" s="49">
        <f>SUMIF(BOM!A:A,'All Products'!A388,BOM!S:S)</f>
        <v>0.29460276217228465</v>
      </c>
      <c r="M388" s="49">
        <f>SUMIF(BOM!A:A,'All Products'!A388,BOM!V:V)</f>
        <v>0.21720416666666661</v>
      </c>
      <c r="N388" s="29">
        <f t="shared" ref="N388:N451" si="84">(L388+M388)/G388</f>
        <v>0.1163197565543071</v>
      </c>
      <c r="O388" s="55">
        <v>0</v>
      </c>
      <c r="P388" s="49">
        <f t="shared" ref="P388:P451" si="85">I388+J388+M388+L388+O388</f>
        <v>1.7373624843945066</v>
      </c>
      <c r="Q388" s="11">
        <f t="shared" ref="Q388:Q451" si="86">G388-P388</f>
        <v>2.6626375156054936</v>
      </c>
      <c r="R388" s="29">
        <f t="shared" ref="R388:R451" si="87">IFERROR((G388-P388)/G388,0)</f>
        <v>0.60514488991033943</v>
      </c>
      <c r="S388" s="91">
        <v>42</v>
      </c>
      <c r="T388" s="91">
        <f t="shared" si="81"/>
        <v>184.8</v>
      </c>
      <c r="U388" s="90">
        <f t="shared" si="78"/>
        <v>111.83077565543073</v>
      </c>
      <c r="V388" s="90">
        <f t="shared" si="82"/>
        <v>111.83077565543073</v>
      </c>
      <c r="W388" s="90">
        <f t="shared" si="80"/>
        <v>0</v>
      </c>
      <c r="Y388" s="34">
        <f t="shared" ref="Y388:Y451" si="88">(G388-I388)/G388</f>
        <v>0.76010101010101017</v>
      </c>
      <c r="Z388" s="34"/>
      <c r="AA388" s="4"/>
      <c r="AB388" s="4"/>
      <c r="AE388" s="4"/>
    </row>
    <row r="389" spans="1:31" x14ac:dyDescent="0.25">
      <c r="A389" s="1" t="s">
        <v>53</v>
      </c>
      <c r="B389" s="1" t="s">
        <v>656</v>
      </c>
      <c r="C389" s="1" t="s">
        <v>54</v>
      </c>
      <c r="D389" s="1" t="s">
        <v>554</v>
      </c>
      <c r="E389" s="1">
        <f>VLOOKUP(A389,BOM!A:E,5,0)</f>
        <v>2.5</v>
      </c>
      <c r="F389" s="122">
        <v>10.71</v>
      </c>
      <c r="G389" s="10">
        <v>10.97</v>
      </c>
      <c r="H389" s="11" t="s">
        <v>1874</v>
      </c>
      <c r="I389" s="49">
        <f>SUMIFS(BOM!Q:Q,BOM!A:A,'All Products'!A389,BOM!I:I,'All Products'!I$3)</f>
        <v>2.6388888888888888</v>
      </c>
      <c r="J389" s="49">
        <f>SUMIFS(BOM!Q:Q,BOM!A:A,'All Products'!A389,BOM!I:I,'All Products'!J$3)+0.03</f>
        <v>0.17</v>
      </c>
      <c r="K389" s="29">
        <f t="shared" si="83"/>
        <v>0.25605185860427426</v>
      </c>
      <c r="L389" s="49">
        <f>SUMIF(BOM!A:A,'All Products'!A389,BOM!S:S)</f>
        <v>0.73650690543071162</v>
      </c>
      <c r="M389" s="49">
        <f>SUMIF(BOM!A:A,'All Products'!A389,BOM!V:V)</f>
        <v>0.29618749999999999</v>
      </c>
      <c r="N389" s="29">
        <f t="shared" si="84"/>
        <v>9.4138049720210726E-2</v>
      </c>
      <c r="O389" s="55">
        <v>0</v>
      </c>
      <c r="P389" s="49">
        <f t="shared" si="85"/>
        <v>3.8415832943196002</v>
      </c>
      <c r="Q389" s="11">
        <f t="shared" si="86"/>
        <v>7.1284167056804009</v>
      </c>
      <c r="R389" s="29">
        <f t="shared" si="87"/>
        <v>0.64981009167551507</v>
      </c>
      <c r="S389" s="91">
        <v>117.8</v>
      </c>
      <c r="T389" s="91">
        <f t="shared" si="81"/>
        <v>1292.2660000000001</v>
      </c>
      <c r="U389" s="90">
        <f t="shared" si="78"/>
        <v>839.72748792915115</v>
      </c>
      <c r="V389" s="90">
        <f t="shared" si="82"/>
        <v>839.72748792915115</v>
      </c>
      <c r="W389" s="90">
        <f t="shared" si="80"/>
        <v>0</v>
      </c>
      <c r="Y389" s="34">
        <f t="shared" si="88"/>
        <v>0.75944495087612673</v>
      </c>
      <c r="Z389" s="34"/>
      <c r="AA389" s="4"/>
      <c r="AB389" s="4"/>
      <c r="AE389" s="4"/>
    </row>
    <row r="390" spans="1:31" x14ac:dyDescent="0.25">
      <c r="A390" s="1" t="s">
        <v>51</v>
      </c>
      <c r="B390" s="1" t="s">
        <v>656</v>
      </c>
      <c r="C390" s="1" t="s">
        <v>52</v>
      </c>
      <c r="D390" s="1" t="s">
        <v>554</v>
      </c>
      <c r="E390" s="1">
        <f>VLOOKUP(A390,BOM!A:E,5,0)</f>
        <v>1</v>
      </c>
      <c r="F390" s="122">
        <v>8.17</v>
      </c>
      <c r="G390" s="10">
        <v>8.43</v>
      </c>
      <c r="H390" s="11" t="s">
        <v>1874</v>
      </c>
      <c r="I390" s="49">
        <f>SUMIFS(BOM!Q:Q,BOM!A:A,'All Products'!A390,BOM!I:I,'All Products'!I$3)</f>
        <v>1.025974025974026</v>
      </c>
      <c r="J390" s="49">
        <f>SUMIFS(BOM!Q:Q,BOM!A:A,'All Products'!A390,BOM!I:I,'All Products'!J$3)+0.03</f>
        <v>0.17</v>
      </c>
      <c r="K390" s="29">
        <f t="shared" si="83"/>
        <v>0.14187117745836605</v>
      </c>
      <c r="L390" s="49">
        <f>SUMIF(BOM!A:A,'All Products'!A390,BOM!S:S)</f>
        <v>2.6376623376623374</v>
      </c>
      <c r="M390" s="49">
        <f>SUMIF(BOM!A:A,'All Products'!A390,BOM!V:V)</f>
        <v>0.21720416666666661</v>
      </c>
      <c r="N390" s="29">
        <f t="shared" si="84"/>
        <v>0.33865557583973949</v>
      </c>
      <c r="O390" s="55">
        <v>0</v>
      </c>
      <c r="P390" s="49">
        <f t="shared" si="85"/>
        <v>4.0508405303030299</v>
      </c>
      <c r="Q390" s="11">
        <f t="shared" si="86"/>
        <v>4.3791594696969698</v>
      </c>
      <c r="R390" s="29">
        <f t="shared" si="87"/>
        <v>0.51947324670189443</v>
      </c>
      <c r="S390" s="91">
        <v>55.2</v>
      </c>
      <c r="T390" s="91">
        <f t="shared" si="81"/>
        <v>465.33600000000001</v>
      </c>
      <c r="U390" s="90">
        <f t="shared" si="78"/>
        <v>241.72960272727275</v>
      </c>
      <c r="V390" s="90">
        <f t="shared" si="82"/>
        <v>241.72960272727275</v>
      </c>
      <c r="W390" s="90">
        <f t="shared" si="80"/>
        <v>0</v>
      </c>
      <c r="Y390" s="34">
        <f t="shared" si="88"/>
        <v>0.87829489608849032</v>
      </c>
      <c r="Z390" s="34"/>
      <c r="AA390" s="4"/>
      <c r="AB390" s="4"/>
      <c r="AE390" s="4"/>
    </row>
    <row r="391" spans="1:31" x14ac:dyDescent="0.25">
      <c r="A391" s="1" t="s">
        <v>923</v>
      </c>
      <c r="B391" s="1" t="s">
        <v>656</v>
      </c>
      <c r="C391" s="1" t="s">
        <v>924</v>
      </c>
      <c r="D391" s="1" t="s">
        <v>554</v>
      </c>
      <c r="E391" s="1">
        <f>VLOOKUP(A391,BOM!A:E,5,0)</f>
        <v>2.5</v>
      </c>
      <c r="F391" s="122">
        <v>20.43</v>
      </c>
      <c r="G391" s="10">
        <v>21.08</v>
      </c>
      <c r="H391" s="11" t="s">
        <v>1874</v>
      </c>
      <c r="I391" s="49">
        <f>SUMIFS(BOM!Q:Q,BOM!A:A,'All Products'!A391,BOM!I:I,'All Products'!I$3)</f>
        <v>2.5649350649350651</v>
      </c>
      <c r="J391" s="49">
        <f>SUMIFS(BOM!Q:Q,BOM!A:A,'All Products'!A391,BOM!I:I,'All Products'!J$3)+0.03</f>
        <v>0.17</v>
      </c>
      <c r="K391" s="29">
        <f t="shared" si="83"/>
        <v>0.12974075260602777</v>
      </c>
      <c r="L391" s="49">
        <f>SUMIF(BOM!A:A,'All Products'!A391,BOM!S:S)</f>
        <v>6.5941558441558428</v>
      </c>
      <c r="M391" s="49">
        <f>SUMIF(BOM!A:A,'All Products'!A391,BOM!V:V)</f>
        <v>0.29618749999999999</v>
      </c>
      <c r="N391" s="29">
        <f t="shared" si="84"/>
        <v>0.32686638255008743</v>
      </c>
      <c r="O391" s="55">
        <v>0</v>
      </c>
      <c r="P391" s="49">
        <f t="shared" si="85"/>
        <v>9.6252784090909067</v>
      </c>
      <c r="Q391" s="11">
        <f t="shared" si="86"/>
        <v>11.454721590909092</v>
      </c>
      <c r="R391" s="29">
        <f t="shared" si="87"/>
        <v>0.54339286484388483</v>
      </c>
      <c r="S391" s="91">
        <v>9.6</v>
      </c>
      <c r="T391" s="91">
        <f t="shared" si="81"/>
        <v>202.36799999999997</v>
      </c>
      <c r="U391" s="90">
        <f t="shared" si="78"/>
        <v>109.96532727272728</v>
      </c>
      <c r="V391" s="90">
        <f t="shared" si="82"/>
        <v>109.96532727272728</v>
      </c>
      <c r="W391" s="90">
        <f t="shared" si="80"/>
        <v>0</v>
      </c>
      <c r="Y391" s="34">
        <f t="shared" si="88"/>
        <v>0.87832376352300456</v>
      </c>
      <c r="Z391" s="34"/>
      <c r="AA391" s="4"/>
      <c r="AB391" s="4"/>
      <c r="AE391" s="4"/>
    </row>
    <row r="392" spans="1:31" x14ac:dyDescent="0.25">
      <c r="A392" s="1" t="s">
        <v>49</v>
      </c>
      <c r="B392" s="1" t="s">
        <v>656</v>
      </c>
      <c r="C392" s="1" t="s">
        <v>50</v>
      </c>
      <c r="D392" s="1" t="s">
        <v>554</v>
      </c>
      <c r="E392" s="1">
        <f>VLOOKUP(A392,BOM!A:E,5,0)</f>
        <v>1</v>
      </c>
      <c r="F392" s="122">
        <v>4.03</v>
      </c>
      <c r="G392" s="10">
        <v>4.2300000000000004</v>
      </c>
      <c r="H392" s="11" t="s">
        <v>1874</v>
      </c>
      <c r="I392" s="49">
        <f>SUMIFS(BOM!Q:Q,BOM!A:A,'All Products'!A392,BOM!I:I,'All Products'!I$3)</f>
        <v>1.1301038062283739</v>
      </c>
      <c r="J392" s="49">
        <f>SUMIFS(BOM!Q:Q,BOM!A:A,'All Products'!A392,BOM!I:I,'All Products'!J$3)+0.03</f>
        <v>0.17</v>
      </c>
      <c r="K392" s="29">
        <f t="shared" si="83"/>
        <v>0.30735314568046662</v>
      </c>
      <c r="L392" s="49">
        <f>SUMIF(BOM!A:A,'All Products'!A392,BOM!S:S)</f>
        <v>1.4055363321799308</v>
      </c>
      <c r="M392" s="49">
        <f>SUMIF(BOM!A:A,'All Products'!A392,BOM!V:V)</f>
        <v>0.21720416666666661</v>
      </c>
      <c r="N392" s="29">
        <f t="shared" si="84"/>
        <v>0.38362659547200884</v>
      </c>
      <c r="O392" s="55">
        <v>0</v>
      </c>
      <c r="P392" s="49">
        <f t="shared" si="85"/>
        <v>2.9228443050749711</v>
      </c>
      <c r="Q392" s="11">
        <f t="shared" si="86"/>
        <v>1.3071556949250294</v>
      </c>
      <c r="R392" s="29">
        <f t="shared" si="87"/>
        <v>0.30902025884752465</v>
      </c>
      <c r="S392" s="91">
        <v>49.6</v>
      </c>
      <c r="T392" s="91">
        <f t="shared" si="81"/>
        <v>209.80800000000002</v>
      </c>
      <c r="U392" s="90">
        <f t="shared" si="78"/>
        <v>64.834922468281462</v>
      </c>
      <c r="V392" s="90">
        <f t="shared" si="82"/>
        <v>64.834922468281462</v>
      </c>
      <c r="W392" s="90">
        <f t="shared" si="80"/>
        <v>0</v>
      </c>
      <c r="Y392" s="34">
        <f t="shared" si="88"/>
        <v>0.73283597961504165</v>
      </c>
      <c r="Z392" s="34"/>
      <c r="AA392" s="4"/>
      <c r="AB392" s="4"/>
      <c r="AE392" s="4"/>
    </row>
    <row r="393" spans="1:31" x14ac:dyDescent="0.25">
      <c r="A393" s="1" t="s">
        <v>925</v>
      </c>
      <c r="B393" s="1" t="s">
        <v>656</v>
      </c>
      <c r="C393" s="1" t="s">
        <v>926</v>
      </c>
      <c r="D393" s="1" t="s">
        <v>554</v>
      </c>
      <c r="E393" s="1">
        <f>VLOOKUP(A393,BOM!A:E,5,0)</f>
        <v>2.5</v>
      </c>
      <c r="F393" s="122">
        <v>10.09</v>
      </c>
      <c r="G393" s="10">
        <v>10.57</v>
      </c>
      <c r="H393" s="11" t="s">
        <v>1874</v>
      </c>
      <c r="I393" s="49">
        <f>SUMIFS(BOM!Q:Q,BOM!A:A,'All Products'!A393,BOM!I:I,'All Products'!I$3)</f>
        <v>2.8252595155709348</v>
      </c>
      <c r="J393" s="49">
        <f>SUMIFS(BOM!Q:Q,BOM!A:A,'All Products'!A393,BOM!I:I,'All Products'!J$3)+0.03</f>
        <v>0.17</v>
      </c>
      <c r="K393" s="29">
        <f t="shared" si="83"/>
        <v>0.28337365331796921</v>
      </c>
      <c r="L393" s="49">
        <f>SUMIF(BOM!A:A,'All Products'!A393,BOM!S:S)</f>
        <v>3.5138408304498268</v>
      </c>
      <c r="M393" s="49">
        <f>SUMIF(BOM!A:A,'All Products'!A393,BOM!V:V)</f>
        <v>0.29618749999999999</v>
      </c>
      <c r="N393" s="29">
        <f t="shared" si="84"/>
        <v>0.36045679569061745</v>
      </c>
      <c r="O393" s="55">
        <v>0</v>
      </c>
      <c r="P393" s="49">
        <f t="shared" si="85"/>
        <v>6.8052878460207609</v>
      </c>
      <c r="Q393" s="11">
        <f t="shared" si="86"/>
        <v>3.7647121539792394</v>
      </c>
      <c r="R393" s="29">
        <f t="shared" si="87"/>
        <v>0.3561695509914134</v>
      </c>
      <c r="S393" s="91">
        <v>47.8</v>
      </c>
      <c r="T393" s="91">
        <f t="shared" si="81"/>
        <v>505.24599999999998</v>
      </c>
      <c r="U393" s="90">
        <f t="shared" si="78"/>
        <v>179.95324096020764</v>
      </c>
      <c r="V393" s="90">
        <f t="shared" si="82"/>
        <v>179.95324096020764</v>
      </c>
      <c r="W393" s="90">
        <f t="shared" si="80"/>
        <v>0</v>
      </c>
      <c r="Y393" s="34">
        <f t="shared" si="88"/>
        <v>0.73270960117588135</v>
      </c>
      <c r="Z393" s="34"/>
      <c r="AA393" s="4"/>
      <c r="AB393" s="4"/>
      <c r="AE393" s="4"/>
    </row>
    <row r="394" spans="1:31" x14ac:dyDescent="0.25">
      <c r="A394" s="1" t="s">
        <v>47</v>
      </c>
      <c r="B394" s="1" t="s">
        <v>656</v>
      </c>
      <c r="C394" s="1" t="s">
        <v>48</v>
      </c>
      <c r="D394" s="1" t="s">
        <v>554</v>
      </c>
      <c r="E394" s="1">
        <f>VLOOKUP(A394,BOM!A:E,5,0)</f>
        <v>1</v>
      </c>
      <c r="F394" s="122">
        <v>5.44</v>
      </c>
      <c r="G394" s="10">
        <v>5.71</v>
      </c>
      <c r="H394" s="11" t="s">
        <v>1874</v>
      </c>
      <c r="I394" s="49">
        <f>SUMIFS(BOM!Q:Q,BOM!A:A,'All Products'!A394,BOM!I:I,'All Products'!I$3)</f>
        <v>1.2556708958093044</v>
      </c>
      <c r="J394" s="49">
        <f>SUMIFS(BOM!Q:Q,BOM!A:A,'All Products'!A394,BOM!I:I,'All Products'!J$3)+0.03</f>
        <v>0.17</v>
      </c>
      <c r="K394" s="29">
        <f t="shared" si="83"/>
        <v>0.24967966651651563</v>
      </c>
      <c r="L394" s="49">
        <f>SUMIF(BOM!A:A,'All Products'!A394,BOM!S:S)</f>
        <v>1.6007497116493654</v>
      </c>
      <c r="M394" s="49">
        <f>SUMIF(BOM!A:A,'All Products'!A394,BOM!V:V)</f>
        <v>0.21720416666666661</v>
      </c>
      <c r="N394" s="29">
        <f t="shared" si="84"/>
        <v>0.31838071424098635</v>
      </c>
      <c r="O394" s="55">
        <v>0</v>
      </c>
      <c r="P394" s="49">
        <f t="shared" si="85"/>
        <v>3.2436247741253363</v>
      </c>
      <c r="Q394" s="11">
        <f t="shared" si="86"/>
        <v>2.4663752258746636</v>
      </c>
      <c r="R394" s="29">
        <f t="shared" si="87"/>
        <v>0.43193961924249802</v>
      </c>
      <c r="S394" s="91">
        <v>78.8</v>
      </c>
      <c r="T394" s="91">
        <f t="shared" si="81"/>
        <v>449.94799999999998</v>
      </c>
      <c r="U394" s="90">
        <f t="shared" si="78"/>
        <v>194.35036779892349</v>
      </c>
      <c r="V394" s="90">
        <f t="shared" si="82"/>
        <v>194.35036779892349</v>
      </c>
      <c r="W394" s="90">
        <f t="shared" si="80"/>
        <v>0</v>
      </c>
      <c r="Y394" s="34">
        <f t="shared" si="88"/>
        <v>0.78009266273041955</v>
      </c>
      <c r="Z394" s="34"/>
      <c r="AA394" s="4"/>
      <c r="AB394" s="4"/>
      <c r="AE394" s="4"/>
    </row>
    <row r="395" spans="1:31" x14ac:dyDescent="0.25">
      <c r="A395" s="1" t="s">
        <v>45</v>
      </c>
      <c r="B395" s="1" t="s">
        <v>656</v>
      </c>
      <c r="C395" s="1" t="s">
        <v>46</v>
      </c>
      <c r="D395" s="1" t="s">
        <v>554</v>
      </c>
      <c r="E395" s="1">
        <f>VLOOKUP(A395,BOM!A:E,5,0)</f>
        <v>2.5</v>
      </c>
      <c r="F395" s="122">
        <v>13.6</v>
      </c>
      <c r="G395" s="10">
        <v>14.28</v>
      </c>
      <c r="H395" s="11" t="s">
        <v>1874</v>
      </c>
      <c r="I395" s="49">
        <f>SUMIFS(BOM!Q:Q,BOM!A:A,'All Products'!A395,BOM!I:I,'All Products'!I$3)</f>
        <v>3.1391772395232604</v>
      </c>
      <c r="J395" s="49">
        <f>SUMIFS(BOM!Q:Q,BOM!A:A,'All Products'!A395,BOM!I:I,'All Products'!J$3)+0.03</f>
        <v>0.17</v>
      </c>
      <c r="K395" s="29">
        <f t="shared" si="83"/>
        <v>0.23173510080695101</v>
      </c>
      <c r="L395" s="49">
        <f>SUMIF(BOM!A:A,'All Products'!A395,BOM!S:S)</f>
        <v>4.0018742791234132</v>
      </c>
      <c r="M395" s="49">
        <f>SUMIF(BOM!A:A,'All Products'!A395,BOM!V:V)</f>
        <v>0.29618749999999999</v>
      </c>
      <c r="N395" s="29">
        <f t="shared" si="84"/>
        <v>0.30098471842600938</v>
      </c>
      <c r="O395" s="55">
        <v>0</v>
      </c>
      <c r="P395" s="49">
        <f t="shared" si="85"/>
        <v>7.6072390186466734</v>
      </c>
      <c r="Q395" s="11">
        <f t="shared" si="86"/>
        <v>6.672760981353326</v>
      </c>
      <c r="R395" s="29">
        <f t="shared" si="87"/>
        <v>0.46728018076703964</v>
      </c>
      <c r="S395" s="91">
        <v>163.80000000000001</v>
      </c>
      <c r="T395" s="91">
        <f t="shared" si="81"/>
        <v>2339.0639999999999</v>
      </c>
      <c r="U395" s="90">
        <f t="shared" si="78"/>
        <v>1092.9982487456748</v>
      </c>
      <c r="V395" s="90">
        <f t="shared" si="82"/>
        <v>1092.9982487456748</v>
      </c>
      <c r="W395" s="90">
        <f t="shared" si="80"/>
        <v>0</v>
      </c>
      <c r="Y395" s="34">
        <f t="shared" si="88"/>
        <v>0.78016966109781094</v>
      </c>
      <c r="Z395" s="34"/>
      <c r="AA395" s="4"/>
      <c r="AB395" s="4"/>
      <c r="AE395" s="4"/>
    </row>
    <row r="396" spans="1:31" x14ac:dyDescent="0.25">
      <c r="A396" s="1" t="s">
        <v>927</v>
      </c>
      <c r="B396" s="1" t="s">
        <v>656</v>
      </c>
      <c r="C396" s="1" t="s">
        <v>928</v>
      </c>
      <c r="D396" s="1" t="s">
        <v>554</v>
      </c>
      <c r="E396" s="1">
        <f>VLOOKUP(A396,BOM!A:E,5,0)</f>
        <v>1</v>
      </c>
      <c r="F396" s="122">
        <v>5.46</v>
      </c>
      <c r="G396" s="10">
        <v>5.76</v>
      </c>
      <c r="H396" s="11" t="s">
        <v>1874</v>
      </c>
      <c r="I396" s="49">
        <f>SUMIFS(BOM!Q:Q,BOM!A:A,'All Products'!A396,BOM!I:I,'All Products'!I$3)</f>
        <v>1.4210232798162783</v>
      </c>
      <c r="J396" s="49">
        <f>SUMIFS(BOM!Q:Q,BOM!A:A,'All Products'!A396,BOM!I:I,'All Products'!J$3)+0.03</f>
        <v>0.17</v>
      </c>
      <c r="K396" s="29">
        <f t="shared" si="83"/>
        <v>0.27621931941254829</v>
      </c>
      <c r="L396" s="49">
        <f>SUMIF(BOM!A:A,'All Products'!A396,BOM!S:S)</f>
        <v>2.0276771330665362</v>
      </c>
      <c r="M396" s="49">
        <f>SUMIF(BOM!A:A,'All Products'!A396,BOM!V:V)</f>
        <v>0.21720416666666661</v>
      </c>
      <c r="N396" s="29">
        <f t="shared" si="84"/>
        <v>0.38973633675923658</v>
      </c>
      <c r="O396" s="55">
        <v>0</v>
      </c>
      <c r="P396" s="49">
        <f t="shared" si="85"/>
        <v>3.8359045795494811</v>
      </c>
      <c r="Q396" s="11">
        <f t="shared" si="86"/>
        <v>1.9240954204505187</v>
      </c>
      <c r="R396" s="29">
        <f t="shared" si="87"/>
        <v>0.33404434382821507</v>
      </c>
      <c r="S396" s="91">
        <v>10.8</v>
      </c>
      <c r="T396" s="91">
        <f t="shared" si="81"/>
        <v>62.207999999999998</v>
      </c>
      <c r="U396" s="90">
        <f t="shared" si="78"/>
        <v>20.780230540865603</v>
      </c>
      <c r="V396" s="90">
        <f t="shared" si="82"/>
        <v>20.780230540865603</v>
      </c>
      <c r="W396" s="90">
        <f t="shared" si="80"/>
        <v>0</v>
      </c>
      <c r="Y396" s="34">
        <f t="shared" si="88"/>
        <v>0.75329456947634055</v>
      </c>
      <c r="Z396" s="34"/>
      <c r="AA396" s="4"/>
      <c r="AB396" s="4"/>
      <c r="AE396" s="4"/>
    </row>
    <row r="397" spans="1:31" x14ac:dyDescent="0.25">
      <c r="A397" s="1" t="s">
        <v>43</v>
      </c>
      <c r="B397" s="1" t="s">
        <v>656</v>
      </c>
      <c r="C397" s="1" t="s">
        <v>44</v>
      </c>
      <c r="D397" s="1" t="s">
        <v>554</v>
      </c>
      <c r="E397" s="1">
        <f>VLOOKUP(A397,BOM!A:E,5,0)</f>
        <v>2.5</v>
      </c>
      <c r="F397" s="122">
        <v>13.63</v>
      </c>
      <c r="G397" s="10">
        <v>14.37</v>
      </c>
      <c r="H397" s="11" t="s">
        <v>1874</v>
      </c>
      <c r="I397" s="49">
        <f>SUMIFS(BOM!Q:Q,BOM!A:A,'All Products'!A397,BOM!I:I,'All Products'!I$3)</f>
        <v>3.5525581995406958</v>
      </c>
      <c r="J397" s="49">
        <f>SUMIFS(BOM!Q:Q,BOM!A:A,'All Products'!A397,BOM!I:I,'All Products'!J$3)+0.03</f>
        <v>0.17</v>
      </c>
      <c r="K397" s="29">
        <f t="shared" si="83"/>
        <v>0.25905067498543466</v>
      </c>
      <c r="L397" s="49">
        <f>SUMIF(BOM!A:A,'All Products'!A397,BOM!S:S)</f>
        <v>5.0691928326663414</v>
      </c>
      <c r="M397" s="49">
        <f>SUMIF(BOM!A:A,'All Products'!A397,BOM!V:V)</f>
        <v>0.29618749999999999</v>
      </c>
      <c r="N397" s="29">
        <f t="shared" si="84"/>
        <v>0.37337371834838845</v>
      </c>
      <c r="O397" s="55">
        <v>0</v>
      </c>
      <c r="P397" s="49">
        <f t="shared" si="85"/>
        <v>9.087938532207037</v>
      </c>
      <c r="Q397" s="11">
        <f t="shared" si="86"/>
        <v>5.2820614677929623</v>
      </c>
      <c r="R397" s="29">
        <f t="shared" si="87"/>
        <v>0.36757560666617695</v>
      </c>
      <c r="S397" s="91">
        <v>67</v>
      </c>
      <c r="T397" s="91">
        <f t="shared" si="81"/>
        <v>962.79</v>
      </c>
      <c r="U397" s="90">
        <f t="shared" si="78"/>
        <v>353.8981183421285</v>
      </c>
      <c r="V397" s="90">
        <f t="shared" si="82"/>
        <v>353.8981183421285</v>
      </c>
      <c r="W397" s="90">
        <f t="shared" si="80"/>
        <v>0</v>
      </c>
      <c r="Y397" s="34">
        <f t="shared" si="88"/>
        <v>0.75277952682389027</v>
      </c>
      <c r="Z397" s="34"/>
      <c r="AA397" s="4"/>
      <c r="AB397" s="4"/>
      <c r="AE397" s="4"/>
    </row>
    <row r="398" spans="1:31" x14ac:dyDescent="0.25">
      <c r="A398" s="1" t="s">
        <v>387</v>
      </c>
      <c r="B398" s="1" t="s">
        <v>656</v>
      </c>
      <c r="C398" s="1" t="s">
        <v>388</v>
      </c>
      <c r="D398" s="1" t="s">
        <v>554</v>
      </c>
      <c r="E398" s="1">
        <f>VLOOKUP(A398,BOM!A:E,5,0)</f>
        <v>1</v>
      </c>
      <c r="F398" s="122">
        <v>38.72</v>
      </c>
      <c r="G398" s="10">
        <v>38.78</v>
      </c>
      <c r="H398" s="11" t="s">
        <v>1874</v>
      </c>
      <c r="I398" s="49">
        <f>SUMIFS(BOM!Q:Q,BOM!A:A,'All Products'!A398,BOM!I:I,'All Products'!I$3)</f>
        <v>1.025974025974026</v>
      </c>
      <c r="J398" s="49">
        <f>SUMIFS(BOM!Q:Q,BOM!A:A,'All Products'!A398,BOM!I:I,'All Products'!J$3)+0.03</f>
        <v>0.17</v>
      </c>
      <c r="K398" s="29">
        <f t="shared" si="83"/>
        <v>3.0839969725993448E-2</v>
      </c>
      <c r="L398" s="49">
        <f>SUMIF(BOM!A:A,'All Products'!A398,BOM!S:S)</f>
        <v>2.6376623376623374</v>
      </c>
      <c r="M398" s="49">
        <f>SUMIF(BOM!A:A,'All Products'!A398,BOM!V:V)</f>
        <v>0.21720416666666661</v>
      </c>
      <c r="N398" s="29">
        <f t="shared" si="84"/>
        <v>7.3616980513899019E-2</v>
      </c>
      <c r="O398" s="55">
        <v>0</v>
      </c>
      <c r="P398" s="49">
        <f t="shared" si="85"/>
        <v>4.0508405303030299</v>
      </c>
      <c r="Q398" s="11">
        <f t="shared" si="86"/>
        <v>34.729159469696974</v>
      </c>
      <c r="R398" s="29">
        <f t="shared" si="87"/>
        <v>0.89554304976010757</v>
      </c>
      <c r="S398" s="91">
        <v>22</v>
      </c>
      <c r="T398" s="91">
        <f t="shared" si="81"/>
        <v>853.16000000000008</v>
      </c>
      <c r="U398" s="90">
        <f t="shared" si="78"/>
        <v>764.04150833333347</v>
      </c>
      <c r="V398" s="90">
        <f t="shared" si="82"/>
        <v>764.04150833333347</v>
      </c>
      <c r="W398" s="90">
        <f t="shared" si="80"/>
        <v>0</v>
      </c>
      <c r="X398" t="s">
        <v>4335</v>
      </c>
      <c r="Y398" s="34">
        <f t="shared" si="88"/>
        <v>0.97354373321366627</v>
      </c>
      <c r="Z398" s="34"/>
      <c r="AA398" s="4"/>
      <c r="AB398" s="4"/>
      <c r="AE398" s="4"/>
    </row>
    <row r="399" spans="1:31" x14ac:dyDescent="0.25">
      <c r="A399" s="1" t="s">
        <v>929</v>
      </c>
      <c r="B399" s="1" t="s">
        <v>656</v>
      </c>
      <c r="C399" s="1" t="s">
        <v>930</v>
      </c>
      <c r="D399" s="1" t="s">
        <v>554</v>
      </c>
      <c r="E399" s="1">
        <f>VLOOKUP(A399,BOM!A:E,5,0)</f>
        <v>2.5</v>
      </c>
      <c r="F399" s="122">
        <v>96.79</v>
      </c>
      <c r="G399" s="10">
        <v>96.93</v>
      </c>
      <c r="H399" s="11" t="s">
        <v>1874</v>
      </c>
      <c r="I399" s="49">
        <f>SUMIFS(BOM!Q:Q,BOM!A:A,'All Products'!A399,BOM!I:I,'All Products'!I$3)</f>
        <v>2.5649350649350651</v>
      </c>
      <c r="J399" s="49">
        <f>SUMIFS(BOM!Q:Q,BOM!A:A,'All Products'!A399,BOM!I:I,'All Products'!J$3)+0.03</f>
        <v>0.17</v>
      </c>
      <c r="K399" s="29">
        <f t="shared" si="83"/>
        <v>2.8215568605540749E-2</v>
      </c>
      <c r="L399" s="49">
        <f>SUMIF(BOM!A:A,'All Products'!A399,BOM!S:S)</f>
        <v>6.5941558441558428</v>
      </c>
      <c r="M399" s="49">
        <f>SUMIF(BOM!A:A,'All Products'!A399,BOM!V:V)</f>
        <v>0.29618749999999999</v>
      </c>
      <c r="N399" s="29">
        <f t="shared" si="84"/>
        <v>7.1085766472256701E-2</v>
      </c>
      <c r="O399" s="55">
        <v>0</v>
      </c>
      <c r="P399" s="49">
        <f t="shared" si="85"/>
        <v>9.6252784090909067</v>
      </c>
      <c r="Q399" s="11">
        <f t="shared" si="86"/>
        <v>87.304721590909097</v>
      </c>
      <c r="R399" s="29">
        <f t="shared" si="87"/>
        <v>0.90069866492220252</v>
      </c>
      <c r="S399" s="91">
        <v>0</v>
      </c>
      <c r="T399" s="91">
        <f t="shared" si="81"/>
        <v>0</v>
      </c>
      <c r="U399" s="90">
        <f t="shared" si="78"/>
        <v>0</v>
      </c>
      <c r="V399" s="90">
        <f t="shared" si="82"/>
        <v>0</v>
      </c>
      <c r="W399" s="90">
        <f t="shared" si="80"/>
        <v>0</v>
      </c>
      <c r="X399" t="s">
        <v>4335</v>
      </c>
      <c r="Y399" s="34">
        <f t="shared" si="88"/>
        <v>0.97353827437392892</v>
      </c>
      <c r="Z399" s="34"/>
      <c r="AA399" s="4"/>
      <c r="AB399" s="4"/>
      <c r="AE399" s="4"/>
    </row>
    <row r="400" spans="1:31" x14ac:dyDescent="0.25">
      <c r="A400" s="1" t="s">
        <v>451</v>
      </c>
      <c r="B400" s="1" t="s">
        <v>656</v>
      </c>
      <c r="C400" s="1" t="s">
        <v>931</v>
      </c>
      <c r="D400" s="1" t="s">
        <v>554</v>
      </c>
      <c r="E400" s="1">
        <f>VLOOKUP(A400,BOM!A:E,5,0)</f>
        <v>1</v>
      </c>
      <c r="F400" s="122">
        <v>11.47</v>
      </c>
      <c r="G400" s="10">
        <v>12.06</v>
      </c>
      <c r="H400" s="11" t="s">
        <v>1874</v>
      </c>
      <c r="I400" s="49">
        <f>SUMIFS(BOM!Q:Q,BOM!A:A,'All Products'!A400,BOM!I:I,'All Products'!I$3)</f>
        <v>4.4042621892153706</v>
      </c>
      <c r="J400" s="49">
        <f>SUMIFS(BOM!Q:Q,BOM!A:A,'All Products'!A400,BOM!I:I,'All Products'!J$3)+0.03</f>
        <v>0.17</v>
      </c>
      <c r="K400" s="29">
        <f t="shared" si="83"/>
        <v>0.37929205549049505</v>
      </c>
      <c r="L400" s="49">
        <f>SUMIF(BOM!A:A,'All Products'!A400,BOM!S:S)</f>
        <v>3.2766206140350875</v>
      </c>
      <c r="M400" s="49">
        <f>SUMIF(BOM!A:A,'All Products'!A400,BOM!V:V)</f>
        <v>0.21720416666666661</v>
      </c>
      <c r="N400" s="29">
        <f t="shared" si="84"/>
        <v>0.28970354732187015</v>
      </c>
      <c r="O400" s="55">
        <v>0</v>
      </c>
      <c r="P400" s="49">
        <f t="shared" si="85"/>
        <v>8.0680869699171254</v>
      </c>
      <c r="Q400" s="11">
        <f t="shared" si="86"/>
        <v>3.9919130300828751</v>
      </c>
      <c r="R400" s="29">
        <f t="shared" si="87"/>
        <v>0.33100439718763475</v>
      </c>
      <c r="S400" s="91">
        <v>11.6</v>
      </c>
      <c r="T400" s="91">
        <f t="shared" si="81"/>
        <v>139.89600000000002</v>
      </c>
      <c r="U400" s="90">
        <f t="shared" si="78"/>
        <v>46.306191148961354</v>
      </c>
      <c r="V400" s="90">
        <f t="shared" si="82"/>
        <v>46.306191148961354</v>
      </c>
      <c r="W400" s="90">
        <f t="shared" si="80"/>
        <v>0</v>
      </c>
      <c r="X400" s="4" t="s">
        <v>4334</v>
      </c>
      <c r="Y400" s="34">
        <f t="shared" si="88"/>
        <v>0.63480413024748172</v>
      </c>
      <c r="Z400" s="34"/>
      <c r="AA400" s="4"/>
      <c r="AB400" s="4"/>
      <c r="AE400" s="4"/>
    </row>
    <row r="401" spans="1:31" x14ac:dyDescent="0.25">
      <c r="A401" s="1" t="s">
        <v>37</v>
      </c>
      <c r="B401" s="1" t="s">
        <v>656</v>
      </c>
      <c r="C401" s="1" t="s">
        <v>932</v>
      </c>
      <c r="D401" s="1" t="s">
        <v>554</v>
      </c>
      <c r="E401" s="1">
        <f>VLOOKUP(A401,BOM!A:E,5,0)</f>
        <v>2.5</v>
      </c>
      <c r="F401" s="122">
        <v>28.67</v>
      </c>
      <c r="G401" s="10">
        <v>34.19</v>
      </c>
      <c r="H401" s="11" t="s">
        <v>1874</v>
      </c>
      <c r="I401" s="49">
        <f>SUMIFS(BOM!Q:Q,BOM!A:A,'All Products'!A401,BOM!I:I,'All Products'!I$3)</f>
        <v>11.010655473038424</v>
      </c>
      <c r="J401" s="49">
        <f>SUMIFS(BOM!Q:Q,BOM!A:A,'All Products'!A401,BOM!I:I,'All Products'!J$3)+0.03</f>
        <v>0.17</v>
      </c>
      <c r="K401" s="29">
        <f t="shared" si="83"/>
        <v>0.32701536920264479</v>
      </c>
      <c r="L401" s="49">
        <f>SUMIF(BOM!A:A,'All Products'!A401,BOM!S:S)</f>
        <v>8.1915515350877186</v>
      </c>
      <c r="M401" s="49">
        <f>SUMIF(BOM!A:A,'All Products'!A401,BOM!V:V)</f>
        <v>0.29618749999999999</v>
      </c>
      <c r="N401" s="29">
        <f t="shared" si="84"/>
        <v>0.24825209228100964</v>
      </c>
      <c r="O401" s="55">
        <v>0</v>
      </c>
      <c r="P401" s="49">
        <f t="shared" si="85"/>
        <v>19.668394508126141</v>
      </c>
      <c r="Q401" s="11">
        <f t="shared" si="86"/>
        <v>14.521605491873856</v>
      </c>
      <c r="R401" s="29">
        <f t="shared" si="87"/>
        <v>0.42473253851634563</v>
      </c>
      <c r="S401" s="91">
        <v>30</v>
      </c>
      <c r="T401" s="91">
        <f t="shared" si="81"/>
        <v>1025.6999999999998</v>
      </c>
      <c r="U401" s="90">
        <f t="shared" si="78"/>
        <v>435.64816475621569</v>
      </c>
      <c r="V401" s="90">
        <f t="shared" si="82"/>
        <v>435.64816475621569</v>
      </c>
      <c r="W401" s="90">
        <f t="shared" si="80"/>
        <v>0</v>
      </c>
      <c r="X401" s="4" t="s">
        <v>4334</v>
      </c>
      <c r="Y401" s="34">
        <f t="shared" si="88"/>
        <v>0.6779568448950446</v>
      </c>
      <c r="Z401" s="34"/>
      <c r="AA401" s="4"/>
      <c r="AB401" s="4"/>
      <c r="AE401" s="4"/>
    </row>
    <row r="402" spans="1:31" x14ac:dyDescent="0.25">
      <c r="A402" s="1" t="s">
        <v>434</v>
      </c>
      <c r="B402" s="1" t="s">
        <v>656</v>
      </c>
      <c r="C402" s="1" t="s">
        <v>435</v>
      </c>
      <c r="D402" s="1" t="s">
        <v>554</v>
      </c>
      <c r="E402" s="1">
        <f>VLOOKUP(A402,BOM!A:E,5,0)</f>
        <v>1</v>
      </c>
      <c r="F402" s="122">
        <v>10.55</v>
      </c>
      <c r="G402" s="10">
        <v>11.23</v>
      </c>
      <c r="H402" s="11" t="s">
        <v>1874</v>
      </c>
      <c r="I402" s="49">
        <f>SUMIFS(BOM!Q:Q,BOM!A:A,'All Products'!A402,BOM!I:I,'All Products'!I$3)</f>
        <v>4.6795119096642743</v>
      </c>
      <c r="J402" s="49">
        <f>SUMIFS(BOM!Q:Q,BOM!A:A,'All Products'!A402,BOM!I:I,'All Products'!J$3)+0.03</f>
        <v>0.17</v>
      </c>
      <c r="K402" s="29">
        <f t="shared" si="83"/>
        <v>0.43183543273947234</v>
      </c>
      <c r="L402" s="49">
        <f>SUMIF(BOM!A:A,'All Products'!A402,BOM!S:S)</f>
        <v>3.6678457207207202</v>
      </c>
      <c r="M402" s="49">
        <f>SUMIF(BOM!A:A,'All Products'!A402,BOM!V:V)</f>
        <v>0.21720416666666661</v>
      </c>
      <c r="N402" s="29">
        <f t="shared" si="84"/>
        <v>0.34595279495880554</v>
      </c>
      <c r="O402" s="55">
        <v>0</v>
      </c>
      <c r="P402" s="49">
        <f t="shared" si="85"/>
        <v>8.7345617970516614</v>
      </c>
      <c r="Q402" s="11">
        <f t="shared" si="86"/>
        <v>2.4954382029483391</v>
      </c>
      <c r="R402" s="29">
        <f t="shared" si="87"/>
        <v>0.22221177230172209</v>
      </c>
      <c r="S402" s="91">
        <v>21.8</v>
      </c>
      <c r="T402" s="91">
        <f t="shared" si="81"/>
        <v>244.81400000000002</v>
      </c>
      <c r="U402" s="90">
        <f t="shared" si="78"/>
        <v>54.400552824273795</v>
      </c>
      <c r="V402" s="90">
        <f t="shared" si="82"/>
        <v>54.400552824273795</v>
      </c>
      <c r="W402" s="90">
        <f t="shared" si="80"/>
        <v>0</v>
      </c>
      <c r="X402" s="4" t="s">
        <v>4334</v>
      </c>
      <c r="Y402" s="34">
        <f t="shared" si="88"/>
        <v>0.58330259041279842</v>
      </c>
      <c r="Z402" s="34"/>
      <c r="AA402" s="4"/>
      <c r="AB402" s="4"/>
      <c r="AE402" s="4"/>
    </row>
    <row r="403" spans="1:31" x14ac:dyDescent="0.25">
      <c r="A403" s="1" t="s">
        <v>35</v>
      </c>
      <c r="B403" s="1" t="s">
        <v>656</v>
      </c>
      <c r="C403" s="1" t="s">
        <v>36</v>
      </c>
      <c r="D403" s="1" t="s">
        <v>554</v>
      </c>
      <c r="E403" s="1">
        <f>VLOOKUP(A403,BOM!A:E,5,0)</f>
        <v>2.5</v>
      </c>
      <c r="F403" s="122">
        <v>26.35</v>
      </c>
      <c r="G403" s="10">
        <v>28.1</v>
      </c>
      <c r="H403" s="11" t="s">
        <v>1874</v>
      </c>
      <c r="I403" s="49">
        <f>SUMIFS(BOM!Q:Q,BOM!A:A,'All Products'!A403,BOM!I:I,'All Products'!I$3)</f>
        <v>11.698779774160688</v>
      </c>
      <c r="J403" s="49">
        <f>SUMIFS(BOM!Q:Q,BOM!A:A,'All Products'!A403,BOM!I:I,'All Products'!J$3)+0.03</f>
        <v>0.17</v>
      </c>
      <c r="K403" s="29">
        <f t="shared" si="83"/>
        <v>0.42237650441852981</v>
      </c>
      <c r="L403" s="49">
        <f>SUMIF(BOM!A:A,'All Products'!A403,BOM!S:S)</f>
        <v>9.1696143018018006</v>
      </c>
      <c r="M403" s="49">
        <f>SUMIF(BOM!A:A,'All Products'!A403,BOM!V:V)</f>
        <v>0.29618749999999999</v>
      </c>
      <c r="N403" s="29">
        <f t="shared" si="84"/>
        <v>0.33686127408547334</v>
      </c>
      <c r="O403" s="55">
        <v>0</v>
      </c>
      <c r="P403" s="49">
        <f t="shared" si="85"/>
        <v>21.334581575962488</v>
      </c>
      <c r="Q403" s="11">
        <f t="shared" si="86"/>
        <v>6.765418424037513</v>
      </c>
      <c r="R403" s="29">
        <f t="shared" si="87"/>
        <v>0.24076222149599688</v>
      </c>
      <c r="S403" s="91">
        <v>23.2</v>
      </c>
      <c r="T403" s="91">
        <f t="shared" si="81"/>
        <v>651.91999999999996</v>
      </c>
      <c r="U403" s="90">
        <f t="shared" si="78"/>
        <v>156.95770743767031</v>
      </c>
      <c r="V403" s="90">
        <f t="shared" si="82"/>
        <v>156.95770743767031</v>
      </c>
      <c r="W403" s="90">
        <f t="shared" si="80"/>
        <v>0</v>
      </c>
      <c r="X403" s="4" t="s">
        <v>4334</v>
      </c>
      <c r="Y403" s="34">
        <f t="shared" si="88"/>
        <v>0.5836733176455271</v>
      </c>
      <c r="Z403" s="34"/>
      <c r="AA403" s="4"/>
      <c r="AB403" s="4"/>
      <c r="AE403" s="4"/>
    </row>
    <row r="404" spans="1:31" x14ac:dyDescent="0.25">
      <c r="A404" s="1" t="s">
        <v>33</v>
      </c>
      <c r="B404" s="1" t="s">
        <v>656</v>
      </c>
      <c r="C404" s="1" t="s">
        <v>34</v>
      </c>
      <c r="D404" s="1" t="s">
        <v>554</v>
      </c>
      <c r="E404" s="1">
        <f>VLOOKUP(A404,BOM!A:E,5,0)</f>
        <v>1</v>
      </c>
      <c r="F404" s="122">
        <v>11.96</v>
      </c>
      <c r="G404" s="10">
        <v>14.01</v>
      </c>
      <c r="H404" s="11" t="s">
        <v>1874</v>
      </c>
      <c r="I404" s="49">
        <f>SUMIFS(BOM!Q:Q,BOM!A:A,'All Products'!A404,BOM!I:I,'All Products'!I$3)</f>
        <v>4.6795119096642743</v>
      </c>
      <c r="J404" s="49">
        <f>SUMIFS(BOM!Q:Q,BOM!A:A,'All Products'!A404,BOM!I:I,'All Products'!J$3)+0.03</f>
        <v>0.17</v>
      </c>
      <c r="K404" s="29">
        <f t="shared" si="83"/>
        <v>0.34614646036147567</v>
      </c>
      <c r="L404" s="49">
        <f>SUMIF(BOM!A:A,'All Products'!A404,BOM!S:S)</f>
        <v>3.6678457207207202</v>
      </c>
      <c r="M404" s="49">
        <f>SUMIF(BOM!A:A,'All Products'!A404,BOM!V:V)</f>
        <v>0.21720416666666661</v>
      </c>
      <c r="N404" s="29">
        <f t="shared" si="84"/>
        <v>0.27730548803621602</v>
      </c>
      <c r="O404" s="55">
        <v>0</v>
      </c>
      <c r="P404" s="49">
        <f t="shared" si="85"/>
        <v>8.7345617970516614</v>
      </c>
      <c r="Q404" s="11">
        <f t="shared" si="86"/>
        <v>5.2754382029483384</v>
      </c>
      <c r="R404" s="29">
        <f t="shared" si="87"/>
        <v>0.37654805160230825</v>
      </c>
      <c r="S404" s="91">
        <v>7.4</v>
      </c>
      <c r="T404" s="91">
        <f t="shared" si="81"/>
        <v>103.67400000000001</v>
      </c>
      <c r="U404" s="90">
        <f t="shared" si="78"/>
        <v>39.038242701817708</v>
      </c>
      <c r="V404" s="90">
        <f t="shared" si="82"/>
        <v>39.038242701817708</v>
      </c>
      <c r="W404" s="90">
        <f t="shared" si="80"/>
        <v>0</v>
      </c>
      <c r="X404" s="4" t="s">
        <v>4334</v>
      </c>
      <c r="Y404" s="34">
        <f t="shared" si="88"/>
        <v>0.66598772950290686</v>
      </c>
      <c r="Z404" s="34"/>
      <c r="AA404" s="4"/>
      <c r="AB404" s="4"/>
      <c r="AE404" s="4"/>
    </row>
    <row r="405" spans="1:31" x14ac:dyDescent="0.25">
      <c r="A405" s="1" t="s">
        <v>31</v>
      </c>
      <c r="B405" s="1" t="s">
        <v>656</v>
      </c>
      <c r="C405" s="1" t="s">
        <v>32</v>
      </c>
      <c r="D405" s="1" t="s">
        <v>554</v>
      </c>
      <c r="E405" s="1">
        <f>VLOOKUP(A405,BOM!A:E,5,0)</f>
        <v>2.5</v>
      </c>
      <c r="F405" s="122">
        <v>29.66</v>
      </c>
      <c r="G405" s="10">
        <v>34.770000000000003</v>
      </c>
      <c r="H405" s="11" t="s">
        <v>1874</v>
      </c>
      <c r="I405" s="49">
        <f>SUMIFS(BOM!Q:Q,BOM!A:A,'All Products'!A405,BOM!I:I,'All Products'!I$3)</f>
        <v>11.698779774160688</v>
      </c>
      <c r="J405" s="49">
        <f>SUMIFS(BOM!Q:Q,BOM!A:A,'All Products'!A405,BOM!I:I,'All Products'!J$3)+0.03</f>
        <v>0.17</v>
      </c>
      <c r="K405" s="29">
        <f t="shared" si="83"/>
        <v>0.34135115830200419</v>
      </c>
      <c r="L405" s="49">
        <f>SUMIF(BOM!A:A,'All Products'!A405,BOM!S:S)</f>
        <v>9.1696143018018006</v>
      </c>
      <c r="M405" s="49">
        <f>SUMIF(BOM!A:A,'All Products'!A405,BOM!V:V)</f>
        <v>0.29618749999999999</v>
      </c>
      <c r="N405" s="29">
        <f t="shared" si="84"/>
        <v>0.27224048897905667</v>
      </c>
      <c r="O405" s="55">
        <v>0</v>
      </c>
      <c r="P405" s="49">
        <f t="shared" si="85"/>
        <v>21.334581575962488</v>
      </c>
      <c r="Q405" s="11">
        <f t="shared" si="86"/>
        <v>13.435418424037515</v>
      </c>
      <c r="R405" s="29">
        <f t="shared" si="87"/>
        <v>0.38640835271893914</v>
      </c>
      <c r="S405" s="91">
        <v>11</v>
      </c>
      <c r="T405" s="91">
        <f t="shared" si="81"/>
        <v>382.47</v>
      </c>
      <c r="U405" s="90">
        <f t="shared" si="78"/>
        <v>147.78960266441266</v>
      </c>
      <c r="V405" s="90">
        <f t="shared" si="82"/>
        <v>147.78960266441266</v>
      </c>
      <c r="W405" s="90">
        <f t="shared" si="80"/>
        <v>0</v>
      </c>
      <c r="X405" s="4" t="s">
        <v>4334</v>
      </c>
      <c r="Y405" s="34">
        <f t="shared" si="88"/>
        <v>0.66353811405922669</v>
      </c>
      <c r="Z405" s="34"/>
      <c r="AA405" s="4"/>
      <c r="AB405" s="4"/>
      <c r="AE405" s="4"/>
    </row>
    <row r="406" spans="1:31" x14ac:dyDescent="0.25">
      <c r="A406" s="1" t="s">
        <v>933</v>
      </c>
      <c r="B406" s="1" t="s">
        <v>656</v>
      </c>
      <c r="C406" s="1" t="s">
        <v>934</v>
      </c>
      <c r="D406" s="1" t="s">
        <v>554</v>
      </c>
      <c r="E406" s="1">
        <f>VLOOKUP(A406,BOM!A:E,5,0)</f>
        <v>1</v>
      </c>
      <c r="F406" s="122">
        <v>7.25</v>
      </c>
      <c r="G406" s="10">
        <v>7.3</v>
      </c>
      <c r="H406" s="11" t="s">
        <v>1874</v>
      </c>
      <c r="I406" s="49">
        <f>SUMIFS(BOM!Q:Q,BOM!A:A,'All Products'!A406,BOM!I:I,'All Products'!I$3)</f>
        <v>1.0269999999999999</v>
      </c>
      <c r="J406" s="49">
        <f>SUMIFS(BOM!Q:Q,BOM!A:A,'All Products'!A406,BOM!I:I,'All Products'!J$3)+0.03</f>
        <v>0.17</v>
      </c>
      <c r="K406" s="29">
        <f t="shared" si="83"/>
        <v>0.163972602739726</v>
      </c>
      <c r="L406" s="49">
        <f>SUMIF(BOM!A:A,'All Products'!A406,BOM!S:S)</f>
        <v>2.2462191358024688</v>
      </c>
      <c r="M406" s="49">
        <f>SUMIF(BOM!A:A,'All Products'!A406,BOM!V:V)</f>
        <v>0.21720416666666661</v>
      </c>
      <c r="N406" s="29">
        <f t="shared" si="84"/>
        <v>0.3374552469135802</v>
      </c>
      <c r="O406" s="55">
        <v>0</v>
      </c>
      <c r="P406" s="49">
        <f t="shared" si="85"/>
        <v>3.6604233024691353</v>
      </c>
      <c r="Q406" s="11">
        <f t="shared" si="86"/>
        <v>3.6395766975308645</v>
      </c>
      <c r="R406" s="29">
        <f t="shared" si="87"/>
        <v>0.49857215034669378</v>
      </c>
      <c r="S406" s="91">
        <v>3</v>
      </c>
      <c r="T406" s="91">
        <f t="shared" si="81"/>
        <v>21.9</v>
      </c>
      <c r="U406" s="90">
        <f t="shared" si="78"/>
        <v>10.918730092592593</v>
      </c>
      <c r="V406" s="90">
        <f t="shared" si="82"/>
        <v>10.918730092592593</v>
      </c>
      <c r="W406" s="90">
        <f t="shared" si="80"/>
        <v>0</v>
      </c>
      <c r="Y406" s="34">
        <f t="shared" si="88"/>
        <v>0.85931506849315065</v>
      </c>
      <c r="Z406" s="34"/>
      <c r="AA406" s="4"/>
      <c r="AB406" s="4"/>
      <c r="AE406" s="4"/>
    </row>
    <row r="407" spans="1:31" x14ac:dyDescent="0.25">
      <c r="A407" s="1" t="s">
        <v>935</v>
      </c>
      <c r="B407" s="1" t="s">
        <v>656</v>
      </c>
      <c r="C407" s="1" t="s">
        <v>936</v>
      </c>
      <c r="D407" s="1" t="s">
        <v>554</v>
      </c>
      <c r="E407" s="1">
        <f>VLOOKUP(A407,BOM!A:E,5,0)</f>
        <v>2.5</v>
      </c>
      <c r="F407" s="122">
        <v>18.100000000000001</v>
      </c>
      <c r="G407" s="10">
        <v>18.2</v>
      </c>
      <c r="H407" s="11" t="s">
        <v>1874</v>
      </c>
      <c r="I407" s="49">
        <f>SUMIFS(BOM!Q:Q,BOM!A:A,'All Products'!A407,BOM!I:I,'All Products'!I$3)</f>
        <v>2.5674999999999999</v>
      </c>
      <c r="J407" s="49">
        <f>SUMIFS(BOM!Q:Q,BOM!A:A,'All Products'!A407,BOM!I:I,'All Products'!J$3)+0.03</f>
        <v>0.17</v>
      </c>
      <c r="K407" s="29">
        <f t="shared" si="83"/>
        <v>0.15041208791208791</v>
      </c>
      <c r="L407" s="49">
        <f>SUMIF(BOM!A:A,'All Products'!A407,BOM!S:S)</f>
        <v>5.6155478395061724</v>
      </c>
      <c r="M407" s="49">
        <f>SUMIF(BOM!A:A,'All Products'!A407,BOM!V:V)</f>
        <v>0.29618749999999999</v>
      </c>
      <c r="N407" s="29">
        <f t="shared" si="84"/>
        <v>0.3248206230497897</v>
      </c>
      <c r="O407" s="55">
        <v>0</v>
      </c>
      <c r="P407" s="49">
        <f t="shared" si="85"/>
        <v>8.6492353395061716</v>
      </c>
      <c r="Q407" s="11">
        <f t="shared" si="86"/>
        <v>9.5507646604938277</v>
      </c>
      <c r="R407" s="29">
        <f t="shared" si="87"/>
        <v>0.52476728903812242</v>
      </c>
      <c r="S407" s="91">
        <v>230.4</v>
      </c>
      <c r="T407" s="91">
        <f>S407*G407</f>
        <v>4193.28</v>
      </c>
      <c r="U407" s="90">
        <f>IFERROR(S407*Q407,0)</f>
        <v>2200.496177777778</v>
      </c>
      <c r="V407" s="90">
        <f t="shared" si="82"/>
        <v>2200.496177777778</v>
      </c>
      <c r="W407" s="90">
        <f>V407-U407</f>
        <v>0</v>
      </c>
      <c r="Y407" s="34">
        <f t="shared" si="88"/>
        <v>0.85892857142857149</v>
      </c>
      <c r="Z407" s="34"/>
      <c r="AA407" s="4"/>
      <c r="AB407" s="4"/>
      <c r="AE407" s="4"/>
    </row>
    <row r="408" spans="1:31" x14ac:dyDescent="0.25">
      <c r="A408" s="1" t="s">
        <v>937</v>
      </c>
      <c r="B408" s="1" t="s">
        <v>656</v>
      </c>
      <c r="C408" s="1" t="s">
        <v>938</v>
      </c>
      <c r="D408" s="1" t="s">
        <v>554</v>
      </c>
      <c r="E408" s="1">
        <f>VLOOKUP(A408,BOM!A:E,5,0)</f>
        <v>1</v>
      </c>
      <c r="F408" s="122">
        <v>2.9</v>
      </c>
      <c r="G408" s="10">
        <v>2.68</v>
      </c>
      <c r="H408" s="11" t="s">
        <v>1874</v>
      </c>
      <c r="I408" s="49">
        <f>SUMIFS(BOM!Q:Q,BOM!A:A,'All Products'!A408,BOM!I:I,'All Products'!I$3)</f>
        <v>0.80757575757575772</v>
      </c>
      <c r="J408" s="49">
        <f>SUMIFS(BOM!Q:Q,BOM!A:A,'All Products'!A408,BOM!I:I,'All Products'!J$3)+0.03</f>
        <v>0.17</v>
      </c>
      <c r="K408" s="29">
        <f t="shared" si="83"/>
        <v>0.36476707372229766</v>
      </c>
      <c r="L408" s="49">
        <f>SUMIF(BOM!A:A,'All Products'!A408,BOM!S:S)</f>
        <v>0.91587267603571954</v>
      </c>
      <c r="M408" s="49">
        <f>SUMIF(BOM!A:A,'All Products'!A408,BOM!V:V)</f>
        <v>0.21720416666666661</v>
      </c>
      <c r="N408" s="29">
        <f t="shared" si="84"/>
        <v>0.4227898666799948</v>
      </c>
      <c r="O408" s="55">
        <v>0</v>
      </c>
      <c r="P408" s="49">
        <f t="shared" si="85"/>
        <v>2.1106526002781441</v>
      </c>
      <c r="Q408" s="11">
        <f t="shared" si="86"/>
        <v>0.56934739972185611</v>
      </c>
      <c r="R408" s="29">
        <f t="shared" si="87"/>
        <v>0.21244305959770748</v>
      </c>
      <c r="S408" s="91">
        <v>22.6</v>
      </c>
      <c r="T408" s="91">
        <f>S408*G408</f>
        <v>60.568000000000005</v>
      </c>
      <c r="U408" s="90">
        <f>IFERROR(S408*Q408,0)</f>
        <v>12.867251233713949</v>
      </c>
      <c r="V408" s="90">
        <f t="shared" si="82"/>
        <v>12.867251233713949</v>
      </c>
      <c r="W408" s="90">
        <f>V408-U408</f>
        <v>0</v>
      </c>
      <c r="Y408" s="34">
        <f t="shared" si="88"/>
        <v>0.69866576209859788</v>
      </c>
      <c r="Z408" s="34"/>
      <c r="AA408" s="4"/>
      <c r="AB408" s="4"/>
      <c r="AE408" s="4"/>
    </row>
    <row r="409" spans="1:31" x14ac:dyDescent="0.25">
      <c r="A409" s="1" t="s">
        <v>21</v>
      </c>
      <c r="B409" s="1" t="s">
        <v>656</v>
      </c>
      <c r="C409" s="1" t="s">
        <v>22</v>
      </c>
      <c r="D409" s="1" t="s">
        <v>554</v>
      </c>
      <c r="E409" s="1">
        <f>VLOOKUP(A409,BOM!A:E,5,0)</f>
        <v>2.5</v>
      </c>
      <c r="F409" s="122">
        <v>7.24</v>
      </c>
      <c r="G409" s="10">
        <v>6.68</v>
      </c>
      <c r="H409" s="11" t="s">
        <v>1874</v>
      </c>
      <c r="I409" s="49">
        <f>SUMIFS(BOM!Q:Q,BOM!A:A,'All Products'!A409,BOM!I:I,'All Products'!I$3)</f>
        <v>2.0189393939393945</v>
      </c>
      <c r="J409" s="49">
        <f>SUMIFS(BOM!Q:Q,BOM!A:A,'All Products'!A409,BOM!I:I,'All Products'!J$3)+0.03</f>
        <v>0.17</v>
      </c>
      <c r="K409" s="29">
        <f t="shared" si="83"/>
        <v>0.32768553801487943</v>
      </c>
      <c r="L409" s="49">
        <f>SUMIF(BOM!A:A,'All Products'!A409,BOM!S:S)</f>
        <v>2.2896816900892989</v>
      </c>
      <c r="M409" s="49">
        <f>SUMIF(BOM!A:A,'All Products'!A409,BOM!V:V)</f>
        <v>0.29618749999999999</v>
      </c>
      <c r="N409" s="29">
        <f t="shared" si="84"/>
        <v>0.38710616618103277</v>
      </c>
      <c r="O409" s="55">
        <v>0</v>
      </c>
      <c r="P409" s="49">
        <f t="shared" si="85"/>
        <v>4.7748085840286931</v>
      </c>
      <c r="Q409" s="11">
        <f t="shared" si="86"/>
        <v>1.9051914159713066</v>
      </c>
      <c r="R409" s="29">
        <f t="shared" si="87"/>
        <v>0.28520829580408785</v>
      </c>
      <c r="S409" s="91">
        <v>26</v>
      </c>
      <c r="T409" s="91">
        <f>S409*G409</f>
        <v>173.68</v>
      </c>
      <c r="U409" s="90">
        <f>IFERROR(S409*Q409,0)</f>
        <v>49.53497681525397</v>
      </c>
      <c r="V409" s="90">
        <f t="shared" si="82"/>
        <v>49.53497681525397</v>
      </c>
      <c r="W409" s="90">
        <f>V409-U409</f>
        <v>0</v>
      </c>
      <c r="Y409" s="34">
        <f t="shared" si="88"/>
        <v>0.69776356378152771</v>
      </c>
      <c r="Z409" s="34"/>
      <c r="AA409" s="4"/>
      <c r="AB409" s="4"/>
      <c r="AE409" s="4"/>
    </row>
    <row r="410" spans="1:31" x14ac:dyDescent="0.25">
      <c r="A410" s="1" t="s">
        <v>939</v>
      </c>
      <c r="B410" s="1" t="s">
        <v>656</v>
      </c>
      <c r="C410" s="1" t="s">
        <v>940</v>
      </c>
      <c r="D410" s="1" t="s">
        <v>554</v>
      </c>
      <c r="E410" s="1">
        <f>VLOOKUP(A410,BOM!A:E,5,0)</f>
        <v>1</v>
      </c>
      <c r="F410" s="122">
        <v>4.25</v>
      </c>
      <c r="G410" s="10">
        <v>4.26</v>
      </c>
      <c r="H410" s="11" t="s">
        <v>1873</v>
      </c>
      <c r="I410" s="49" t="e">
        <f>SUMIFS(BOM!Q:Q,BOM!A:A,'All Products'!A410,BOM!I:I,'All Products'!I$3)</f>
        <v>#N/A</v>
      </c>
      <c r="J410" s="49">
        <f>SUMIFS(BOM!Q:Q,BOM!A:A,'All Products'!A410,BOM!I:I,'All Products'!J$3)+0.03</f>
        <v>0.17</v>
      </c>
      <c r="K410" s="29" t="e">
        <f t="shared" si="83"/>
        <v>#N/A</v>
      </c>
      <c r="L410" s="49">
        <f>SUMIF(BOM!A:A,'All Products'!A410,BOM!S:S)</f>
        <v>0</v>
      </c>
      <c r="M410" s="49">
        <f>SUMIF(BOM!A:A,'All Products'!A410,BOM!V:V)</f>
        <v>0.21720416666666661</v>
      </c>
      <c r="N410" s="29">
        <f t="shared" si="84"/>
        <v>5.098689358372456E-2</v>
      </c>
      <c r="O410" s="55">
        <v>0</v>
      </c>
      <c r="P410" s="49" t="e">
        <f t="shared" si="85"/>
        <v>#N/A</v>
      </c>
      <c r="Q410" s="11" t="e">
        <f t="shared" si="86"/>
        <v>#N/A</v>
      </c>
      <c r="R410" s="29">
        <f t="shared" si="87"/>
        <v>0</v>
      </c>
      <c r="S410" s="83"/>
      <c r="T410" s="83"/>
      <c r="U410" s="83"/>
      <c r="V410" s="83"/>
      <c r="W410" s="83"/>
      <c r="Y410" s="34" t="e">
        <f t="shared" si="88"/>
        <v>#N/A</v>
      </c>
      <c r="Z410" s="34"/>
      <c r="AD410" t="e">
        <f>_xlfn.XLOOKUP(A410,AF:AF,AF:AF)</f>
        <v>#N/A</v>
      </c>
      <c r="AE410" s="4"/>
    </row>
    <row r="411" spans="1:31" x14ac:dyDescent="0.25">
      <c r="A411" s="1" t="s">
        <v>941</v>
      </c>
      <c r="B411" s="1" t="s">
        <v>656</v>
      </c>
      <c r="C411" s="1" t="s">
        <v>942</v>
      </c>
      <c r="D411" s="1" t="s">
        <v>554</v>
      </c>
      <c r="E411" s="1">
        <f>VLOOKUP(A411,BOM!A:E,5,0)</f>
        <v>2.5</v>
      </c>
      <c r="F411" s="122">
        <v>10.61</v>
      </c>
      <c r="G411" s="10">
        <v>10.62</v>
      </c>
      <c r="H411" s="11" t="s">
        <v>1873</v>
      </c>
      <c r="I411" s="49" t="e">
        <f>SUMIFS(BOM!Q:Q,BOM!A:A,'All Products'!A411,BOM!I:I,'All Products'!I$3)</f>
        <v>#N/A</v>
      </c>
      <c r="J411" s="49">
        <f>SUMIFS(BOM!Q:Q,BOM!A:A,'All Products'!A411,BOM!I:I,'All Products'!J$3)+0.03</f>
        <v>0.17</v>
      </c>
      <c r="K411" s="29" t="e">
        <f t="shared" si="83"/>
        <v>#N/A</v>
      </c>
      <c r="L411" s="49">
        <f>SUMIF(BOM!A:A,'All Products'!A411,BOM!S:S)</f>
        <v>0</v>
      </c>
      <c r="M411" s="49">
        <f>SUMIF(BOM!A:A,'All Products'!A411,BOM!V:V)</f>
        <v>0.29618749999999999</v>
      </c>
      <c r="N411" s="29">
        <f t="shared" si="84"/>
        <v>2.7889595103578156E-2</v>
      </c>
      <c r="O411" s="55">
        <v>0</v>
      </c>
      <c r="P411" s="49" t="e">
        <f t="shared" si="85"/>
        <v>#N/A</v>
      </c>
      <c r="Q411" s="11" t="e">
        <f t="shared" si="86"/>
        <v>#N/A</v>
      </c>
      <c r="R411" s="29">
        <f t="shared" si="87"/>
        <v>0</v>
      </c>
      <c r="S411" s="83"/>
      <c r="T411" s="83"/>
      <c r="U411" s="83"/>
      <c r="V411" s="83"/>
      <c r="W411" s="83"/>
      <c r="Y411" s="34" t="e">
        <f t="shared" si="88"/>
        <v>#N/A</v>
      </c>
      <c r="Z411" s="34"/>
      <c r="AD411" t="e">
        <f>_xlfn.XLOOKUP(A411,AF:AF,AF:AF)</f>
        <v>#N/A</v>
      </c>
      <c r="AE411" s="4"/>
    </row>
    <row r="412" spans="1:31" x14ac:dyDescent="0.25">
      <c r="A412" s="1" t="s">
        <v>17</v>
      </c>
      <c r="B412" s="1" t="s">
        <v>656</v>
      </c>
      <c r="C412" s="1" t="s">
        <v>18</v>
      </c>
      <c r="D412" s="1" t="s">
        <v>554</v>
      </c>
      <c r="E412" s="1">
        <f>VLOOKUP(A412,BOM!A:E,5,0)</f>
        <v>1</v>
      </c>
      <c r="F412" s="122">
        <v>6.6</v>
      </c>
      <c r="G412" s="10">
        <v>6.3</v>
      </c>
      <c r="H412" s="11" t="s">
        <v>1874</v>
      </c>
      <c r="I412" s="49">
        <f>SUMIFS(BOM!Q:Q,BOM!A:A,'All Products'!A412,BOM!I:I,'All Products'!I$3)</f>
        <v>2.9557823129251699</v>
      </c>
      <c r="J412" s="49">
        <f>SUMIFS(BOM!Q:Q,BOM!A:A,'All Products'!A412,BOM!I:I,'All Products'!J$3)+0.03</f>
        <v>0.17</v>
      </c>
      <c r="K412" s="29">
        <f t="shared" si="83"/>
        <v>0.49615592268653491</v>
      </c>
      <c r="L412" s="49">
        <f>SUMIF(BOM!A:A,'All Products'!A412,BOM!S:S)</f>
        <v>2.07072193877551</v>
      </c>
      <c r="M412" s="49">
        <f>SUMIF(BOM!A:A,'All Products'!A412,BOM!V:V)</f>
        <v>0.21720416666666661</v>
      </c>
      <c r="N412" s="29">
        <f t="shared" si="84"/>
        <v>0.36316287387971058</v>
      </c>
      <c r="O412" s="55">
        <v>0</v>
      </c>
      <c r="P412" s="49">
        <f t="shared" si="85"/>
        <v>5.4137084183673458</v>
      </c>
      <c r="Q412" s="11">
        <f t="shared" si="86"/>
        <v>0.88629158163265398</v>
      </c>
      <c r="R412" s="29">
        <f t="shared" si="87"/>
        <v>0.14068120343375459</v>
      </c>
      <c r="S412" s="91">
        <v>11.2</v>
      </c>
      <c r="T412" s="91">
        <f t="shared" ref="T412:T426" si="89">S412*G412</f>
        <v>70.559999999999988</v>
      </c>
      <c r="U412" s="90">
        <f t="shared" ref="U412:U426" si="90">IFERROR(S412*Q412,0)</f>
        <v>9.9264657142857242</v>
      </c>
      <c r="V412" s="90">
        <f t="shared" ref="V412:V426" si="91">(G412-P412)*S412</f>
        <v>9.9264657142857242</v>
      </c>
      <c r="W412" s="90">
        <f t="shared" ref="W412:W426" si="92">V412-U412</f>
        <v>0</v>
      </c>
      <c r="Y412" s="34">
        <f t="shared" si="88"/>
        <v>0.53082820429759203</v>
      </c>
      <c r="Z412" s="34"/>
      <c r="AA412" s="4"/>
      <c r="AB412" s="4"/>
      <c r="AE412" s="4"/>
    </row>
    <row r="413" spans="1:31" x14ac:dyDescent="0.25">
      <c r="A413" s="1" t="s">
        <v>517</v>
      </c>
      <c r="B413" s="1" t="s">
        <v>656</v>
      </c>
      <c r="C413" s="1" t="s">
        <v>518</v>
      </c>
      <c r="D413" s="1" t="s">
        <v>554</v>
      </c>
      <c r="E413" s="1">
        <f>VLOOKUP(A413,BOM!A:E,5,0)</f>
        <v>2.5</v>
      </c>
      <c r="F413" s="122">
        <v>16.489999999999998</v>
      </c>
      <c r="G413" s="10">
        <v>15.72</v>
      </c>
      <c r="H413" s="11" t="s">
        <v>1874</v>
      </c>
      <c r="I413" s="49">
        <f>SUMIFS(BOM!Q:Q,BOM!A:A,'All Products'!A413,BOM!I:I,'All Products'!I$3)</f>
        <v>7.3894557823129254</v>
      </c>
      <c r="J413" s="49">
        <f>SUMIFS(BOM!Q:Q,BOM!A:A,'All Products'!A413,BOM!I:I,'All Products'!J$3)+0.03</f>
        <v>0.17</v>
      </c>
      <c r="K413" s="29">
        <f t="shared" si="83"/>
        <v>0.48088141108860849</v>
      </c>
      <c r="L413" s="49">
        <f>SUMIF(BOM!A:A,'All Products'!A413,BOM!S:S)</f>
        <v>5.1768048469387749</v>
      </c>
      <c r="M413" s="49">
        <f>SUMIF(BOM!A:A,'All Products'!A413,BOM!V:V)</f>
        <v>0.29618749999999999</v>
      </c>
      <c r="N413" s="29">
        <f t="shared" si="84"/>
        <v>0.34815472944903147</v>
      </c>
      <c r="O413" s="55">
        <v>0</v>
      </c>
      <c r="P413" s="49">
        <f t="shared" si="85"/>
        <v>13.032448129251701</v>
      </c>
      <c r="Q413" s="11">
        <f t="shared" si="86"/>
        <v>2.6875518707482993</v>
      </c>
      <c r="R413" s="29">
        <f t="shared" si="87"/>
        <v>0.17096385946236001</v>
      </c>
      <c r="S413" s="91">
        <v>54.8</v>
      </c>
      <c r="T413" s="91">
        <f t="shared" si="89"/>
        <v>861.45600000000002</v>
      </c>
      <c r="U413" s="90">
        <f t="shared" si="90"/>
        <v>147.2778425170068</v>
      </c>
      <c r="V413" s="90">
        <f t="shared" si="91"/>
        <v>147.2778425170068</v>
      </c>
      <c r="W413" s="90">
        <f t="shared" si="92"/>
        <v>0</v>
      </c>
      <c r="Y413" s="34">
        <f t="shared" si="88"/>
        <v>0.52993283827525917</v>
      </c>
      <c r="Z413" s="34"/>
      <c r="AA413" s="4"/>
      <c r="AB413" s="4"/>
      <c r="AE413" s="4"/>
    </row>
    <row r="414" spans="1:31" x14ac:dyDescent="0.25">
      <c r="A414" s="1" t="s">
        <v>15</v>
      </c>
      <c r="B414" s="1" t="s">
        <v>656</v>
      </c>
      <c r="C414" s="1" t="s">
        <v>16</v>
      </c>
      <c r="D414" s="1" t="s">
        <v>554</v>
      </c>
      <c r="E414" s="1">
        <f>VLOOKUP(A414,BOM!A:E,5,0)</f>
        <v>1</v>
      </c>
      <c r="F414" s="122">
        <v>7.93</v>
      </c>
      <c r="G414" s="10">
        <v>7.7</v>
      </c>
      <c r="H414" s="11" t="s">
        <v>1874</v>
      </c>
      <c r="I414" s="49">
        <f>SUMIFS(BOM!Q:Q,BOM!A:A,'All Products'!A414,BOM!I:I,'All Products'!I$3)</f>
        <v>2.5966350982328867</v>
      </c>
      <c r="J414" s="49">
        <f>SUMIFS(BOM!Q:Q,BOM!A:A,'All Products'!A414,BOM!I:I,'All Products'!J$3)+0.03</f>
        <v>0.17</v>
      </c>
      <c r="K414" s="29">
        <f t="shared" si="83"/>
        <v>0.35930325951076447</v>
      </c>
      <c r="L414" s="49">
        <f>SUMIF(BOM!A:A,'All Products'!A414,BOM!S:S)</f>
        <v>1.7284858249847133</v>
      </c>
      <c r="M414" s="49">
        <f>SUMIF(BOM!A:A,'All Products'!A414,BOM!V:V)</f>
        <v>0.21720416666666661</v>
      </c>
      <c r="N414" s="29">
        <f t="shared" si="84"/>
        <v>0.25268701190277659</v>
      </c>
      <c r="O414" s="55">
        <v>0</v>
      </c>
      <c r="P414" s="49">
        <f t="shared" si="85"/>
        <v>4.7123250898842661</v>
      </c>
      <c r="Q414" s="11">
        <f t="shared" si="86"/>
        <v>2.9876749101157341</v>
      </c>
      <c r="R414" s="29">
        <f t="shared" si="87"/>
        <v>0.38800972858645894</v>
      </c>
      <c r="S414" s="91">
        <v>16.399999999999999</v>
      </c>
      <c r="T414" s="91">
        <f t="shared" si="89"/>
        <v>126.27999999999999</v>
      </c>
      <c r="U414" s="90">
        <f t="shared" si="90"/>
        <v>48.997868525898035</v>
      </c>
      <c r="V414" s="90">
        <f t="shared" si="91"/>
        <v>48.997868525898035</v>
      </c>
      <c r="W414" s="90">
        <f t="shared" si="92"/>
        <v>0</v>
      </c>
      <c r="Y414" s="34">
        <f t="shared" si="88"/>
        <v>0.66277466256715756</v>
      </c>
      <c r="Z414" s="34"/>
      <c r="AA414" s="4"/>
      <c r="AB414" s="4"/>
      <c r="AE414" s="4"/>
    </row>
    <row r="415" spans="1:31" x14ac:dyDescent="0.25">
      <c r="A415" s="1" t="s">
        <v>13</v>
      </c>
      <c r="B415" s="1" t="s">
        <v>656</v>
      </c>
      <c r="C415" s="1" t="s">
        <v>14</v>
      </c>
      <c r="D415" s="1" t="s">
        <v>554</v>
      </c>
      <c r="E415" s="1">
        <f>VLOOKUP(A415,BOM!A:E,5,0)</f>
        <v>2.5</v>
      </c>
      <c r="F415" s="122">
        <v>19.82</v>
      </c>
      <c r="G415" s="10">
        <v>19.25</v>
      </c>
      <c r="H415" s="11" t="s">
        <v>1874</v>
      </c>
      <c r="I415" s="49">
        <f>SUMIFS(BOM!Q:Q,BOM!A:A,'All Products'!A415,BOM!I:I,'All Products'!I$3)</f>
        <v>6.4915877455822173</v>
      </c>
      <c r="J415" s="49">
        <f>SUMIFS(BOM!Q:Q,BOM!A:A,'All Products'!A415,BOM!I:I,'All Products'!J$3)+0.03</f>
        <v>0.17</v>
      </c>
      <c r="K415" s="29">
        <f t="shared" si="83"/>
        <v>0.3460565062640113</v>
      </c>
      <c r="L415" s="49">
        <f>SUMIF(BOM!A:A,'All Products'!A415,BOM!S:S)</f>
        <v>4.3212145624617833</v>
      </c>
      <c r="M415" s="49">
        <f>SUMIF(BOM!A:A,'All Products'!A415,BOM!V:V)</f>
        <v>0.29618749999999999</v>
      </c>
      <c r="N415" s="29">
        <f t="shared" si="84"/>
        <v>0.23986504220580693</v>
      </c>
      <c r="O415" s="55">
        <v>0</v>
      </c>
      <c r="P415" s="49">
        <f t="shared" si="85"/>
        <v>11.278989808044001</v>
      </c>
      <c r="Q415" s="11">
        <f t="shared" si="86"/>
        <v>7.9710101919559992</v>
      </c>
      <c r="R415" s="29">
        <f t="shared" si="87"/>
        <v>0.4140784515301818</v>
      </c>
      <c r="S415" s="91">
        <v>87.6</v>
      </c>
      <c r="T415" s="91">
        <f t="shared" si="89"/>
        <v>1686.3</v>
      </c>
      <c r="U415" s="90">
        <f t="shared" si="90"/>
        <v>698.26049281534551</v>
      </c>
      <c r="V415" s="90">
        <f t="shared" si="91"/>
        <v>698.26049281534551</v>
      </c>
      <c r="W415" s="90">
        <f t="shared" si="92"/>
        <v>0</v>
      </c>
      <c r="Y415" s="34">
        <f t="shared" si="88"/>
        <v>0.66277466256715756</v>
      </c>
      <c r="Z415" s="34"/>
      <c r="AA415" s="4"/>
      <c r="AB415" s="4"/>
      <c r="AE415" s="4"/>
    </row>
    <row r="416" spans="1:31" x14ac:dyDescent="0.25">
      <c r="A416" s="1" t="s">
        <v>449</v>
      </c>
      <c r="B416" s="1" t="s">
        <v>656</v>
      </c>
      <c r="C416" s="1" t="s">
        <v>450</v>
      </c>
      <c r="D416" s="1" t="s">
        <v>554</v>
      </c>
      <c r="E416" s="1">
        <f>VLOOKUP(A416,BOM!A:E,5,0)</f>
        <v>1</v>
      </c>
      <c r="F416" s="122">
        <v>2.35</v>
      </c>
      <c r="G416" s="10">
        <v>2.34</v>
      </c>
      <c r="H416" s="11" t="s">
        <v>1874</v>
      </c>
      <c r="I416" s="49">
        <f>SUMIFS(BOM!Q:Q,BOM!A:A,'All Products'!A416,BOM!I:I,'All Products'!I$3)</f>
        <v>1.1200000000000001</v>
      </c>
      <c r="J416" s="49">
        <f>SUMIFS(BOM!Q:Q,BOM!A:A,'All Products'!A416,BOM!I:I,'All Products'!J$3)+0.03</f>
        <v>0.17</v>
      </c>
      <c r="K416" s="29">
        <f t="shared" si="83"/>
        <v>0.55128205128205132</v>
      </c>
      <c r="L416" s="49">
        <f>SUMIF(BOM!A:A,'All Products'!A416,BOM!S:S)</f>
        <v>3.3849999999999998E-2</v>
      </c>
      <c r="M416" s="49">
        <f>SUMIF(BOM!A:A,'All Products'!A416,BOM!V:V)</f>
        <v>0.21720416666666661</v>
      </c>
      <c r="N416" s="29">
        <f t="shared" si="84"/>
        <v>0.10728810541310541</v>
      </c>
      <c r="O416" s="55">
        <v>0</v>
      </c>
      <c r="P416" s="49">
        <f t="shared" si="85"/>
        <v>1.5410541666666666</v>
      </c>
      <c r="Q416" s="11">
        <f t="shared" si="86"/>
        <v>0.79894583333333324</v>
      </c>
      <c r="R416" s="29">
        <f t="shared" si="87"/>
        <v>0.34142984330484327</v>
      </c>
      <c r="S416" s="91">
        <v>24</v>
      </c>
      <c r="T416" s="91">
        <f t="shared" si="89"/>
        <v>56.16</v>
      </c>
      <c r="U416" s="90">
        <f t="shared" si="90"/>
        <v>19.174699999999998</v>
      </c>
      <c r="V416" s="90">
        <f t="shared" si="91"/>
        <v>19.174699999999998</v>
      </c>
      <c r="W416" s="90">
        <f t="shared" si="92"/>
        <v>0</v>
      </c>
      <c r="Y416" s="34">
        <f t="shared" si="88"/>
        <v>0.52136752136752129</v>
      </c>
      <c r="Z416" s="34"/>
      <c r="AA416" s="4"/>
      <c r="AB416" s="4"/>
      <c r="AE416" s="4"/>
    </row>
    <row r="417" spans="1:31" x14ac:dyDescent="0.25">
      <c r="A417" s="1" t="s">
        <v>943</v>
      </c>
      <c r="B417" s="1" t="s">
        <v>656</v>
      </c>
      <c r="C417" s="1" t="s">
        <v>944</v>
      </c>
      <c r="D417" s="1" t="s">
        <v>554</v>
      </c>
      <c r="E417" s="1">
        <f>VLOOKUP(A417,BOM!A:E,5,0)</f>
        <v>2.5</v>
      </c>
      <c r="F417" s="122">
        <v>5.87</v>
      </c>
      <c r="G417" s="10">
        <v>5.9</v>
      </c>
      <c r="H417" s="11" t="s">
        <v>1874</v>
      </c>
      <c r="I417" s="49">
        <f>SUMIFS(BOM!Q:Q,BOM!A:A,'All Products'!A417,BOM!I:I,'All Products'!I$3)</f>
        <v>2.8000000000000003</v>
      </c>
      <c r="J417" s="49">
        <f>SUMIFS(BOM!Q:Q,BOM!A:A,'All Products'!A417,BOM!I:I,'All Products'!J$3)+0.03</f>
        <v>0.17</v>
      </c>
      <c r="K417" s="29">
        <f t="shared" si="83"/>
        <v>0.50338983050847463</v>
      </c>
      <c r="L417" s="49">
        <f>SUMIF(BOM!A:A,'All Products'!A417,BOM!S:S)</f>
        <v>8.4624999999999992E-2</v>
      </c>
      <c r="M417" s="49">
        <f>SUMIF(BOM!A:A,'All Products'!A417,BOM!V:V)</f>
        <v>0.29618749999999999</v>
      </c>
      <c r="N417" s="29">
        <f t="shared" si="84"/>
        <v>6.4544491525423728E-2</v>
      </c>
      <c r="O417" s="55">
        <v>0</v>
      </c>
      <c r="P417" s="49">
        <f t="shared" si="85"/>
        <v>3.3508125</v>
      </c>
      <c r="Q417" s="11">
        <f t="shared" si="86"/>
        <v>2.5491875000000004</v>
      </c>
      <c r="R417" s="29">
        <f t="shared" si="87"/>
        <v>0.43206567796610174</v>
      </c>
      <c r="S417" s="91">
        <v>0</v>
      </c>
      <c r="T417" s="91">
        <f t="shared" si="89"/>
        <v>0</v>
      </c>
      <c r="U417" s="90">
        <f t="shared" si="90"/>
        <v>0</v>
      </c>
      <c r="V417" s="90">
        <f t="shared" si="91"/>
        <v>0</v>
      </c>
      <c r="W417" s="90">
        <f t="shared" si="92"/>
        <v>0</v>
      </c>
      <c r="Y417" s="34">
        <f t="shared" si="88"/>
        <v>0.52542372881355925</v>
      </c>
      <c r="Z417" s="34"/>
      <c r="AA417" s="4"/>
      <c r="AB417" s="4"/>
      <c r="AE417" s="4"/>
    </row>
    <row r="418" spans="1:31" x14ac:dyDescent="0.25">
      <c r="A418" s="1" t="s">
        <v>447</v>
      </c>
      <c r="B418" s="1" t="s">
        <v>656</v>
      </c>
      <c r="C418" s="1" t="s">
        <v>448</v>
      </c>
      <c r="D418" s="1" t="s">
        <v>554</v>
      </c>
      <c r="E418" s="1">
        <f>VLOOKUP(A418,BOM!A:E,5,0)</f>
        <v>1</v>
      </c>
      <c r="F418" s="122">
        <v>7.35</v>
      </c>
      <c r="G418" s="10">
        <v>7.6</v>
      </c>
      <c r="H418" s="11" t="s">
        <v>1874</v>
      </c>
      <c r="I418" s="49">
        <f>SUMIFS(BOM!Q:Q,BOM!A:A,'All Products'!A418,BOM!I:I,'All Products'!I$3)</f>
        <v>1.9318181818181817</v>
      </c>
      <c r="J418" s="49">
        <f>SUMIFS(BOM!Q:Q,BOM!A:A,'All Products'!A418,BOM!I:I,'All Products'!J$3)+0.03</f>
        <v>0.17</v>
      </c>
      <c r="K418" s="29">
        <f t="shared" si="83"/>
        <v>0.27655502392344494</v>
      </c>
      <c r="L418" s="49">
        <f>SUMIF(BOM!A:A,'All Products'!A418,BOM!S:S)</f>
        <v>1.2693749999999999</v>
      </c>
      <c r="M418" s="49">
        <f>SUMIF(BOM!A:A,'All Products'!A418,BOM!V:V)</f>
        <v>0.21720416666666661</v>
      </c>
      <c r="N418" s="29">
        <f t="shared" si="84"/>
        <v>0.19560252192982455</v>
      </c>
      <c r="O418" s="55">
        <v>0</v>
      </c>
      <c r="P418" s="49">
        <f t="shared" si="85"/>
        <v>3.5883973484848477</v>
      </c>
      <c r="Q418" s="11">
        <f t="shared" si="86"/>
        <v>4.0116026515151519</v>
      </c>
      <c r="R418" s="29">
        <f t="shared" si="87"/>
        <v>0.52784245414673059</v>
      </c>
      <c r="S418" s="91">
        <v>1.4</v>
      </c>
      <c r="T418" s="91">
        <f t="shared" si="89"/>
        <v>10.639999999999999</v>
      </c>
      <c r="U418" s="90">
        <f t="shared" si="90"/>
        <v>5.6162437121212125</v>
      </c>
      <c r="V418" s="90">
        <f t="shared" si="91"/>
        <v>5.6162437121212125</v>
      </c>
      <c r="W418" s="90">
        <f t="shared" si="92"/>
        <v>0</v>
      </c>
      <c r="Y418" s="34">
        <f t="shared" si="88"/>
        <v>0.74581339712918659</v>
      </c>
      <c r="Z418" s="34"/>
      <c r="AA418" s="4"/>
      <c r="AB418" s="4"/>
      <c r="AE418" s="4"/>
    </row>
    <row r="419" spans="1:31" x14ac:dyDescent="0.25">
      <c r="A419" s="1" t="s">
        <v>11</v>
      </c>
      <c r="B419" s="1" t="s">
        <v>656</v>
      </c>
      <c r="C419" s="1" t="s">
        <v>12</v>
      </c>
      <c r="D419" s="1" t="s">
        <v>554</v>
      </c>
      <c r="E419" s="1">
        <f>VLOOKUP(A419,BOM!A:E,5,0)</f>
        <v>2.5</v>
      </c>
      <c r="F419" s="122">
        <v>18.350000000000001</v>
      </c>
      <c r="G419" s="10">
        <v>18.97</v>
      </c>
      <c r="H419" s="11" t="s">
        <v>1874</v>
      </c>
      <c r="I419" s="49">
        <f>SUMIFS(BOM!Q:Q,BOM!A:A,'All Products'!A419,BOM!I:I,'All Products'!I$3)</f>
        <v>4.8295454545454541</v>
      </c>
      <c r="J419" s="49">
        <f>SUMIFS(BOM!Q:Q,BOM!A:A,'All Products'!A419,BOM!I:I,'All Products'!J$3)+0.03</f>
        <v>0.17</v>
      </c>
      <c r="K419" s="29">
        <f t="shared" si="83"/>
        <v>0.26355010303349785</v>
      </c>
      <c r="L419" s="49">
        <f>SUMIF(BOM!A:A,'All Products'!A419,BOM!S:S)</f>
        <v>3.1734374999999999</v>
      </c>
      <c r="M419" s="49">
        <f>SUMIF(BOM!A:A,'All Products'!A419,BOM!V:V)</f>
        <v>0.29618749999999999</v>
      </c>
      <c r="N419" s="29">
        <f t="shared" si="84"/>
        <v>0.18290063257775435</v>
      </c>
      <c r="O419" s="55">
        <v>0</v>
      </c>
      <c r="P419" s="49">
        <f t="shared" si="85"/>
        <v>8.4691704545454538</v>
      </c>
      <c r="Q419" s="11">
        <f t="shared" si="86"/>
        <v>10.500829545454545</v>
      </c>
      <c r="R419" s="29">
        <f t="shared" si="87"/>
        <v>0.55354926438874774</v>
      </c>
      <c r="S419" s="91">
        <v>25.8</v>
      </c>
      <c r="T419" s="91">
        <f t="shared" si="89"/>
        <v>489.42599999999999</v>
      </c>
      <c r="U419" s="90">
        <f t="shared" si="90"/>
        <v>270.92140227272728</v>
      </c>
      <c r="V419" s="90">
        <f t="shared" si="91"/>
        <v>270.92140227272728</v>
      </c>
      <c r="W419" s="90">
        <f t="shared" si="92"/>
        <v>0</v>
      </c>
      <c r="Y419" s="34">
        <f t="shared" si="88"/>
        <v>0.7454114151531126</v>
      </c>
      <c r="Z419" s="34"/>
      <c r="AA419" s="4"/>
      <c r="AB419" s="4"/>
      <c r="AE419" s="4"/>
    </row>
    <row r="420" spans="1:31" x14ac:dyDescent="0.25">
      <c r="A420" s="1" t="s">
        <v>7</v>
      </c>
      <c r="B420" s="1" t="s">
        <v>656</v>
      </c>
      <c r="C420" s="1" t="s">
        <v>8</v>
      </c>
      <c r="D420" s="1" t="s">
        <v>554</v>
      </c>
      <c r="E420" s="1">
        <f>VLOOKUP(A420,BOM!A:E,5,0)</f>
        <v>1</v>
      </c>
      <c r="F420" s="122">
        <v>11.54</v>
      </c>
      <c r="G420" s="10">
        <v>12.04</v>
      </c>
      <c r="H420" s="11" t="s">
        <v>1874</v>
      </c>
      <c r="I420" s="49">
        <f>SUMIFS(BOM!Q:Q,BOM!A:A,'All Products'!A420,BOM!I:I,'All Products'!I$3)</f>
        <v>0.98997525966103006</v>
      </c>
      <c r="J420" s="49">
        <f>SUMIFS(BOM!Q:Q,BOM!A:A,'All Products'!A420,BOM!I:I,'All Products'!J$3)+0.03</f>
        <v>0.17</v>
      </c>
      <c r="K420" s="29">
        <f t="shared" si="83"/>
        <v>9.6343460104736711E-2</v>
      </c>
      <c r="L420" s="49">
        <f>SUMIF(BOM!A:A,'All Products'!A420,BOM!S:S)</f>
        <v>0.64413749867376335</v>
      </c>
      <c r="M420" s="49">
        <f>SUMIF(BOM!A:A,'All Products'!A420,BOM!V:V)</f>
        <v>0.21720416666666661</v>
      </c>
      <c r="N420" s="29">
        <f t="shared" si="84"/>
        <v>7.1540005426946024E-2</v>
      </c>
      <c r="O420" s="55">
        <v>0</v>
      </c>
      <c r="P420" s="49">
        <f t="shared" si="85"/>
        <v>2.02131692500146</v>
      </c>
      <c r="Q420" s="11">
        <f t="shared" si="86"/>
        <v>10.018683074998538</v>
      </c>
      <c r="R420" s="29">
        <f t="shared" si="87"/>
        <v>0.83211653446831724</v>
      </c>
      <c r="S420" s="91">
        <v>17.600000000000001</v>
      </c>
      <c r="T420" s="91">
        <f t="shared" si="89"/>
        <v>211.904</v>
      </c>
      <c r="U420" s="90">
        <f t="shared" si="90"/>
        <v>176.32882211997429</v>
      </c>
      <c r="V420" s="90">
        <f t="shared" si="91"/>
        <v>176.32882211997429</v>
      </c>
      <c r="W420" s="90">
        <f t="shared" si="92"/>
        <v>0</v>
      </c>
      <c r="Y420" s="34">
        <f t="shared" si="88"/>
        <v>0.91777614122416695</v>
      </c>
      <c r="Z420" s="34"/>
      <c r="AA420" s="4"/>
      <c r="AB420" s="4"/>
      <c r="AE420" s="4"/>
    </row>
    <row r="421" spans="1:31" x14ac:dyDescent="0.25">
      <c r="A421" s="1" t="s">
        <v>945</v>
      </c>
      <c r="B421" s="1" t="s">
        <v>656</v>
      </c>
      <c r="C421" s="1" t="s">
        <v>946</v>
      </c>
      <c r="D421" s="1" t="s">
        <v>554</v>
      </c>
      <c r="E421" s="1">
        <f>VLOOKUP(A421,BOM!A:E,5,0)</f>
        <v>2.5</v>
      </c>
      <c r="F421" s="122">
        <v>28.83</v>
      </c>
      <c r="G421" s="10">
        <v>30.08</v>
      </c>
      <c r="H421" s="11" t="s">
        <v>1874</v>
      </c>
      <c r="I421" s="49">
        <f>SUMIFS(BOM!Q:Q,BOM!A:A,'All Products'!A421,BOM!I:I,'All Products'!I$3)</f>
        <v>2.474938149152575</v>
      </c>
      <c r="J421" s="49">
        <f>SUMIFS(BOM!Q:Q,BOM!A:A,'All Products'!A421,BOM!I:I,'All Products'!J$3)+0.03</f>
        <v>0.17</v>
      </c>
      <c r="K421" s="29">
        <f t="shared" si="83"/>
        <v>8.7930124639380824E-2</v>
      </c>
      <c r="L421" s="49">
        <f>SUMIF(BOM!A:A,'All Products'!A421,BOM!S:S)</f>
        <v>1.6103437466844082</v>
      </c>
      <c r="M421" s="49">
        <f>SUMIF(BOM!A:A,'All Products'!A421,BOM!V:V)</f>
        <v>0.29618749999999999</v>
      </c>
      <c r="N421" s="29">
        <f t="shared" si="84"/>
        <v>6.3382022828604001E-2</v>
      </c>
      <c r="O421" s="55">
        <v>0</v>
      </c>
      <c r="P421" s="49">
        <f t="shared" si="85"/>
        <v>4.5514693958369827</v>
      </c>
      <c r="Q421" s="11">
        <f t="shared" si="86"/>
        <v>25.528530604163016</v>
      </c>
      <c r="R421" s="29">
        <f t="shared" si="87"/>
        <v>0.84868785253201517</v>
      </c>
      <c r="S421" s="91">
        <v>1.4</v>
      </c>
      <c r="T421" s="91">
        <f t="shared" si="89"/>
        <v>42.111999999999995</v>
      </c>
      <c r="U421" s="90">
        <f t="shared" si="90"/>
        <v>35.739942845828217</v>
      </c>
      <c r="V421" s="90">
        <f t="shared" si="91"/>
        <v>35.739942845828217</v>
      </c>
      <c r="W421" s="90">
        <f t="shared" si="92"/>
        <v>0</v>
      </c>
      <c r="Y421" s="34">
        <f t="shared" si="88"/>
        <v>0.9177214711053</v>
      </c>
      <c r="Z421" s="34"/>
      <c r="AA421" s="4"/>
      <c r="AB421" s="4"/>
      <c r="AE421" s="4"/>
    </row>
    <row r="422" spans="1:31" x14ac:dyDescent="0.25">
      <c r="A422" s="1" t="s">
        <v>947</v>
      </c>
      <c r="B422" s="1" t="s">
        <v>656</v>
      </c>
      <c r="C422" s="1" t="s">
        <v>948</v>
      </c>
      <c r="D422" s="1" t="s">
        <v>554</v>
      </c>
      <c r="E422" s="1">
        <f>VLOOKUP(A422,BOM!A:E,5,0)</f>
        <v>1</v>
      </c>
      <c r="F422" s="122">
        <v>8.31</v>
      </c>
      <c r="G422" s="10">
        <v>8.6300000000000008</v>
      </c>
      <c r="H422" s="11" t="s">
        <v>1874</v>
      </c>
      <c r="I422" s="49">
        <f>SUMIFS(BOM!Q:Q,BOM!A:A,'All Products'!A422,BOM!I:I,'All Products'!I$3)</f>
        <v>0.85955056179775291</v>
      </c>
      <c r="J422" s="49">
        <f>SUMIFS(BOM!Q:Q,BOM!A:A,'All Products'!A422,BOM!I:I,'All Products'!J$3)+0.03</f>
        <v>0.17</v>
      </c>
      <c r="K422" s="29">
        <f t="shared" si="83"/>
        <v>0.11929902222453684</v>
      </c>
      <c r="L422" s="49">
        <f>SUMIF(BOM!A:A,'All Products'!A422,BOM!S:S)</f>
        <v>1.1410112359550559</v>
      </c>
      <c r="M422" s="49">
        <f>SUMIF(BOM!A:A,'All Products'!A422,BOM!V:V)</f>
        <v>0.21720416666666661</v>
      </c>
      <c r="N422" s="29">
        <f t="shared" si="84"/>
        <v>0.15738301305002578</v>
      </c>
      <c r="O422" s="55">
        <v>0</v>
      </c>
      <c r="P422" s="49">
        <f t="shared" si="85"/>
        <v>2.3877659644194758</v>
      </c>
      <c r="Q422" s="11">
        <f t="shared" si="86"/>
        <v>6.242234035580525</v>
      </c>
      <c r="R422" s="29">
        <f t="shared" si="87"/>
        <v>0.72331796472543741</v>
      </c>
      <c r="S422" s="91">
        <v>0.2</v>
      </c>
      <c r="T422" s="91">
        <f t="shared" si="89"/>
        <v>1.7260000000000002</v>
      </c>
      <c r="U422" s="90">
        <f t="shared" si="90"/>
        <v>1.248446807116105</v>
      </c>
      <c r="V422" s="90">
        <f t="shared" si="91"/>
        <v>1.248446807116105</v>
      </c>
      <c r="W422" s="90">
        <f t="shared" si="92"/>
        <v>0</v>
      </c>
      <c r="Y422" s="34">
        <f t="shared" si="88"/>
        <v>0.90039970315205642</v>
      </c>
      <c r="Z422" s="34"/>
      <c r="AA422" s="4"/>
      <c r="AB422" s="4"/>
      <c r="AE422" s="4"/>
    </row>
    <row r="423" spans="1:31" x14ac:dyDescent="0.25">
      <c r="A423" s="1" t="s">
        <v>949</v>
      </c>
      <c r="B423" s="1" t="s">
        <v>656</v>
      </c>
      <c r="C423" s="1" t="s">
        <v>950</v>
      </c>
      <c r="D423" s="1" t="s">
        <v>554</v>
      </c>
      <c r="E423" s="1">
        <f>VLOOKUP(A423,BOM!A:E,5,0)</f>
        <v>2.5</v>
      </c>
      <c r="F423" s="122">
        <v>20.58</v>
      </c>
      <c r="G423" s="10">
        <v>21.37</v>
      </c>
      <c r="H423" s="11" t="s">
        <v>1874</v>
      </c>
      <c r="I423" s="49">
        <f>SUMIFS(BOM!Q:Q,BOM!A:A,'All Products'!A423,BOM!I:I,'All Products'!I$3)</f>
        <v>2.1488764044943824</v>
      </c>
      <c r="J423" s="49">
        <f>SUMIFS(BOM!Q:Q,BOM!A:A,'All Products'!A423,BOM!I:I,'All Products'!J$3)+0.03</f>
        <v>0.17</v>
      </c>
      <c r="K423" s="29">
        <f t="shared" si="83"/>
        <v>0.10851082847423407</v>
      </c>
      <c r="L423" s="49">
        <f>SUMIF(BOM!A:A,'All Products'!A423,BOM!S:S)</f>
        <v>2.85252808988764</v>
      </c>
      <c r="M423" s="49">
        <f>SUMIF(BOM!A:A,'All Products'!A423,BOM!V:V)</f>
        <v>0.29618749999999999</v>
      </c>
      <c r="N423" s="29">
        <f t="shared" si="84"/>
        <v>0.14734279784219184</v>
      </c>
      <c r="O423" s="55">
        <v>0</v>
      </c>
      <c r="P423" s="49">
        <f t="shared" si="85"/>
        <v>5.4675919943820226</v>
      </c>
      <c r="Q423" s="11">
        <f t="shared" si="86"/>
        <v>15.902408005617978</v>
      </c>
      <c r="R423" s="29">
        <f t="shared" si="87"/>
        <v>0.74414637368357406</v>
      </c>
      <c r="S423" s="91">
        <v>0</v>
      </c>
      <c r="T423" s="91">
        <f t="shared" si="89"/>
        <v>0</v>
      </c>
      <c r="U423" s="90">
        <f t="shared" si="90"/>
        <v>0</v>
      </c>
      <c r="V423" s="90">
        <f t="shared" si="91"/>
        <v>0</v>
      </c>
      <c r="W423" s="90">
        <f t="shared" si="92"/>
        <v>0</v>
      </c>
      <c r="Y423" s="34">
        <f t="shared" si="88"/>
        <v>0.89944424873680939</v>
      </c>
      <c r="Z423" s="34"/>
      <c r="AA423" s="4"/>
      <c r="AB423" s="4"/>
      <c r="AE423" s="4"/>
    </row>
    <row r="424" spans="1:31" x14ac:dyDescent="0.25">
      <c r="A424" s="1" t="s">
        <v>5</v>
      </c>
      <c r="B424" s="1" t="s">
        <v>656</v>
      </c>
      <c r="C424" s="1" t="s">
        <v>6</v>
      </c>
      <c r="D424" s="1" t="s">
        <v>554</v>
      </c>
      <c r="E424" s="1">
        <f>VLOOKUP(A424,BOM!A:E,5,0)</f>
        <v>1</v>
      </c>
      <c r="F424" s="122">
        <v>6.32</v>
      </c>
      <c r="G424" s="10">
        <v>6.55</v>
      </c>
      <c r="H424" s="11" t="s">
        <v>1874</v>
      </c>
      <c r="I424" s="49">
        <f>SUMIFS(BOM!Q:Q,BOM!A:A,'All Products'!A424,BOM!I:I,'All Products'!I$3)</f>
        <v>2.8751871433006189</v>
      </c>
      <c r="J424" s="49">
        <f>SUMIFS(BOM!Q:Q,BOM!A:A,'All Products'!A424,BOM!I:I,'All Products'!J$3)+0.03</f>
        <v>0.17</v>
      </c>
      <c r="K424" s="29">
        <f t="shared" si="83"/>
        <v>0.46491406767948379</v>
      </c>
      <c r="L424" s="49">
        <f>SUMIF(BOM!A:A,'All Products'!A424,BOM!S:S)</f>
        <v>1.5489820462306276</v>
      </c>
      <c r="M424" s="49">
        <f>SUMIF(BOM!A:A,'All Products'!A424,BOM!V:V)</f>
        <v>0.21720416666666661</v>
      </c>
      <c r="N424" s="29">
        <f t="shared" si="84"/>
        <v>0.26964675006065564</v>
      </c>
      <c r="O424" s="55">
        <v>0</v>
      </c>
      <c r="P424" s="49">
        <f t="shared" si="85"/>
        <v>4.8113733561979126</v>
      </c>
      <c r="Q424" s="11">
        <f t="shared" si="86"/>
        <v>1.7386266438020872</v>
      </c>
      <c r="R424" s="29">
        <f t="shared" si="87"/>
        <v>0.26543918225986063</v>
      </c>
      <c r="S424" s="91">
        <v>6.4</v>
      </c>
      <c r="T424" s="91">
        <f t="shared" si="89"/>
        <v>41.92</v>
      </c>
      <c r="U424" s="90">
        <f t="shared" si="90"/>
        <v>11.127210520333358</v>
      </c>
      <c r="V424" s="90">
        <f t="shared" si="91"/>
        <v>11.127210520333358</v>
      </c>
      <c r="W424" s="90">
        <f t="shared" si="92"/>
        <v>0</v>
      </c>
      <c r="Y424" s="34">
        <f t="shared" si="88"/>
        <v>0.56104013079379866</v>
      </c>
      <c r="Z424" s="34"/>
      <c r="AA424" s="4"/>
      <c r="AB424" s="4"/>
      <c r="AE424" s="4"/>
    </row>
    <row r="425" spans="1:31" x14ac:dyDescent="0.25">
      <c r="A425" s="1" t="s">
        <v>951</v>
      </c>
      <c r="B425" s="1" t="s">
        <v>656</v>
      </c>
      <c r="C425" s="1" t="s">
        <v>952</v>
      </c>
      <c r="D425" s="1" t="s">
        <v>554</v>
      </c>
      <c r="E425" s="1">
        <f>VLOOKUP(A425,BOM!A:E,5,0)</f>
        <v>2.5</v>
      </c>
      <c r="F425" s="122">
        <v>15.77</v>
      </c>
      <c r="G425" s="10">
        <v>16.34</v>
      </c>
      <c r="H425" s="11" t="s">
        <v>1874</v>
      </c>
      <c r="I425" s="49">
        <f>SUMIFS(BOM!Q:Q,BOM!A:A,'All Products'!A425,BOM!I:I,'All Products'!I$3)</f>
        <v>7.1879678582515467</v>
      </c>
      <c r="J425" s="49">
        <f>SUMIFS(BOM!Q:Q,BOM!A:A,'All Products'!A425,BOM!I:I,'All Products'!J$3)+0.03</f>
        <v>0.17</v>
      </c>
      <c r="K425" s="29">
        <f t="shared" si="83"/>
        <v>0.4503040304927507</v>
      </c>
      <c r="L425" s="49">
        <f>SUMIF(BOM!A:A,'All Products'!A425,BOM!S:S)</f>
        <v>3.8724551155765692</v>
      </c>
      <c r="M425" s="49">
        <f>SUMIF(BOM!A:A,'All Products'!A425,BOM!V:V)</f>
        <v>0.29618749999999999</v>
      </c>
      <c r="N425" s="29">
        <f t="shared" si="84"/>
        <v>0.25511888712218905</v>
      </c>
      <c r="O425" s="55">
        <v>0</v>
      </c>
      <c r="P425" s="49">
        <f t="shared" si="85"/>
        <v>11.526610473828116</v>
      </c>
      <c r="Q425" s="11">
        <f t="shared" si="86"/>
        <v>4.8133895261718838</v>
      </c>
      <c r="R425" s="29">
        <f t="shared" si="87"/>
        <v>0.2945770823850602</v>
      </c>
      <c r="S425" s="91">
        <v>1.8</v>
      </c>
      <c r="T425" s="91">
        <f t="shared" si="89"/>
        <v>29.411999999999999</v>
      </c>
      <c r="U425" s="90">
        <f t="shared" si="90"/>
        <v>8.6641011471093918</v>
      </c>
      <c r="V425" s="90">
        <f t="shared" si="91"/>
        <v>8.6641011471093918</v>
      </c>
      <c r="W425" s="90">
        <f t="shared" si="92"/>
        <v>0</v>
      </c>
      <c r="Y425" s="34">
        <f t="shared" si="88"/>
        <v>0.56009988627591512</v>
      </c>
      <c r="Z425" s="34"/>
      <c r="AA425" s="4"/>
      <c r="AB425" s="4"/>
      <c r="AE425" s="4"/>
    </row>
    <row r="426" spans="1:31" x14ac:dyDescent="0.25">
      <c r="A426" s="1" t="s">
        <v>200</v>
      </c>
      <c r="B426" s="1" t="s">
        <v>656</v>
      </c>
      <c r="C426" s="1" t="s">
        <v>953</v>
      </c>
      <c r="D426" s="1" t="s">
        <v>554</v>
      </c>
      <c r="E426" s="1">
        <f>VLOOKUP(A426,BOM!A:E,5,0)</f>
        <v>2.5</v>
      </c>
      <c r="F426" s="122">
        <v>14.83</v>
      </c>
      <c r="G426" s="10">
        <v>13.06</v>
      </c>
      <c r="H426" s="11" t="s">
        <v>1874</v>
      </c>
      <c r="I426" s="49">
        <f>SUMIFS(BOM!Q:Q,BOM!A:A,'All Products'!A426,BOM!I:I,'All Products'!I$3)</f>
        <v>6.7263513513513526</v>
      </c>
      <c r="J426" s="49">
        <f>SUMIFS(BOM!Q:Q,BOM!A:A,'All Products'!A426,BOM!I:I,'All Products'!J$3)+0.03</f>
        <v>0.17</v>
      </c>
      <c r="K426" s="29">
        <f t="shared" si="83"/>
        <v>0.52805140515707139</v>
      </c>
      <c r="L426" s="49">
        <f>SUMIF(BOM!A:A,'All Products'!A426,BOM!S:S)</f>
        <v>2.9923704954954951</v>
      </c>
      <c r="M426" s="49">
        <f>SUMIF(BOM!A:A,'All Products'!A426,BOM!V:V)</f>
        <v>0.29618749999999999</v>
      </c>
      <c r="N426" s="29">
        <f t="shared" si="84"/>
        <v>0.25180382813901186</v>
      </c>
      <c r="O426" s="55">
        <v>0</v>
      </c>
      <c r="P426" s="49">
        <f t="shared" si="85"/>
        <v>10.184909346846847</v>
      </c>
      <c r="Q426" s="11">
        <f t="shared" si="86"/>
        <v>2.875090653153153</v>
      </c>
      <c r="R426" s="29">
        <f t="shared" si="87"/>
        <v>0.22014476670391675</v>
      </c>
      <c r="S426" s="91">
        <v>102.6</v>
      </c>
      <c r="T426" s="91">
        <f t="shared" si="89"/>
        <v>1339.9559999999999</v>
      </c>
      <c r="U426" s="90">
        <f t="shared" si="90"/>
        <v>294.98430101351346</v>
      </c>
      <c r="V426" s="90">
        <f t="shared" si="91"/>
        <v>294.98430101351346</v>
      </c>
      <c r="W426" s="90">
        <f t="shared" si="92"/>
        <v>0</v>
      </c>
      <c r="Y426" s="34">
        <f t="shared" si="88"/>
        <v>0.48496544017217824</v>
      </c>
      <c r="Z426" s="34"/>
      <c r="AA426" s="4"/>
      <c r="AB426" s="4"/>
      <c r="AE426" s="4"/>
    </row>
    <row r="427" spans="1:31" x14ac:dyDescent="0.25">
      <c r="A427" s="1" t="s">
        <v>954</v>
      </c>
      <c r="B427" s="1" t="s">
        <v>656</v>
      </c>
      <c r="C427" s="1" t="s">
        <v>955</v>
      </c>
      <c r="D427" s="1" t="s">
        <v>554</v>
      </c>
      <c r="E427" s="1">
        <f>VLOOKUP(A427,BOM!A:E,5,0)</f>
        <v>2.5</v>
      </c>
      <c r="F427" s="122">
        <v>15.06</v>
      </c>
      <c r="G427" s="10">
        <v>15.07</v>
      </c>
      <c r="H427" s="11" t="s">
        <v>1873</v>
      </c>
      <c r="I427" s="49">
        <f>SUMIFS(BOM!Q:Q,BOM!A:A,'All Products'!A427,BOM!I:I,'All Products'!I$3)</f>
        <v>0</v>
      </c>
      <c r="J427" s="49">
        <f>SUMIFS(BOM!Q:Q,BOM!A:A,'All Products'!A427,BOM!I:I,'All Products'!J$3)+0.03</f>
        <v>0.17</v>
      </c>
      <c r="K427" s="29">
        <f t="shared" si="83"/>
        <v>1.1280690112806902E-2</v>
      </c>
      <c r="L427" s="49">
        <f>SUMIF(BOM!A:A,'All Products'!A427,BOM!S:S)</f>
        <v>8.4624999999999992E-2</v>
      </c>
      <c r="M427" s="49">
        <f>SUMIF(BOM!A:A,'All Products'!A427,BOM!V:V)</f>
        <v>0.29618749999999999</v>
      </c>
      <c r="N427" s="29">
        <f t="shared" si="84"/>
        <v>2.5269575315195754E-2</v>
      </c>
      <c r="O427" s="55">
        <v>0</v>
      </c>
      <c r="P427" s="49">
        <f t="shared" si="85"/>
        <v>0.55081249999999993</v>
      </c>
      <c r="Q427" s="11">
        <f t="shared" si="86"/>
        <v>14.519187500000001</v>
      </c>
      <c r="R427" s="29">
        <f t="shared" si="87"/>
        <v>0.96344973457199734</v>
      </c>
      <c r="S427" s="83"/>
      <c r="T427" s="83"/>
      <c r="U427" s="83"/>
      <c r="V427" s="83"/>
      <c r="W427" s="83"/>
      <c r="Y427" s="34">
        <f t="shared" si="88"/>
        <v>1</v>
      </c>
      <c r="Z427" s="34"/>
      <c r="AD427" t="e">
        <f>_xlfn.XLOOKUP(A427,AF:AF,AF:AF)</f>
        <v>#N/A</v>
      </c>
      <c r="AE427" s="4"/>
    </row>
    <row r="428" spans="1:31" x14ac:dyDescent="0.25">
      <c r="A428" s="1" t="s">
        <v>23</v>
      </c>
      <c r="B428" s="1" t="s">
        <v>656</v>
      </c>
      <c r="C428" s="1" t="s">
        <v>24</v>
      </c>
      <c r="D428" s="1" t="s">
        <v>554</v>
      </c>
      <c r="E428" s="1">
        <f>VLOOKUP(A428,BOM!A:E,5,0)</f>
        <v>2.5</v>
      </c>
      <c r="F428" s="122">
        <v>32.11</v>
      </c>
      <c r="G428" s="10">
        <v>32.840000000000003</v>
      </c>
      <c r="H428" s="11" t="s">
        <v>1874</v>
      </c>
      <c r="I428" s="49">
        <f>SUMIFS(BOM!Q:Q,BOM!A:A,'All Products'!A428,BOM!I:I,'All Products'!I$3)</f>
        <v>9.9117647058823533</v>
      </c>
      <c r="J428" s="49">
        <f>SUMIFS(BOM!Q:Q,BOM!A:A,'All Products'!A428,BOM!I:I,'All Products'!J$3)+0.03</f>
        <v>0.17</v>
      </c>
      <c r="K428" s="29">
        <f t="shared" si="83"/>
        <v>0.30699648921688039</v>
      </c>
      <c r="L428" s="49">
        <f>SUMIF(BOM!A:A,'All Products'!A428,BOM!S:S)</f>
        <v>11.508999999999999</v>
      </c>
      <c r="M428" s="49">
        <f>SUMIF(BOM!A:A,'All Products'!A428,BOM!V:V)</f>
        <v>0.29618749999999999</v>
      </c>
      <c r="N428" s="29">
        <f t="shared" si="84"/>
        <v>0.35947586784409252</v>
      </c>
      <c r="O428" s="55">
        <v>0</v>
      </c>
      <c r="P428" s="49">
        <f t="shared" si="85"/>
        <v>21.886952205882352</v>
      </c>
      <c r="Q428" s="11">
        <f t="shared" si="86"/>
        <v>10.953047794117651</v>
      </c>
      <c r="R428" s="29">
        <f t="shared" si="87"/>
        <v>0.33352764293902709</v>
      </c>
      <c r="S428" s="91">
        <v>142</v>
      </c>
      <c r="T428" s="91">
        <f t="shared" ref="T428:T465" si="93">S428*G428</f>
        <v>4663.2800000000007</v>
      </c>
      <c r="U428" s="90">
        <f t="shared" ref="U428:U465" si="94">IFERROR(S428*Q428,0)</f>
        <v>1555.3327867647065</v>
      </c>
      <c r="V428" s="90">
        <f t="shared" ref="V428:V465" si="95">(G428-P428)*S428</f>
        <v>1555.3327867647065</v>
      </c>
      <c r="W428" s="90">
        <f t="shared" ref="W428:W465" si="96">V428-U428</f>
        <v>0</v>
      </c>
      <c r="Y428" s="34">
        <f t="shared" si="88"/>
        <v>0.698180124668625</v>
      </c>
      <c r="Z428" s="34"/>
      <c r="AA428" s="4"/>
      <c r="AB428" s="4"/>
      <c r="AE428" s="4"/>
    </row>
    <row r="429" spans="1:31" x14ac:dyDescent="0.25">
      <c r="A429" s="1" t="s">
        <v>1</v>
      </c>
      <c r="B429" s="1" t="s">
        <v>552</v>
      </c>
      <c r="C429" s="1" t="s">
        <v>2</v>
      </c>
      <c r="D429" s="1" t="s">
        <v>554</v>
      </c>
      <c r="E429" s="1">
        <f>VLOOKUP(A429,BOM!A:E,5,0)</f>
        <v>2</v>
      </c>
      <c r="F429" s="122">
        <v>4.92</v>
      </c>
      <c r="G429" s="10">
        <v>6.31</v>
      </c>
      <c r="H429" s="11" t="s">
        <v>1874</v>
      </c>
      <c r="I429" s="49">
        <f>SUMIFS(BOM!Q:Q,BOM!A:A,'All Products'!A429,BOM!I:I,'All Products'!I$3)</f>
        <v>6.3999999999999995</v>
      </c>
      <c r="J429" s="49">
        <f>SUMIFS(BOM!Q:Q,BOM!A:A,'All Products'!A429,BOM!I:I,'All Products'!J$3)+0.03</f>
        <v>0.12</v>
      </c>
      <c r="K429" s="29">
        <f t="shared" si="83"/>
        <v>1.0332805071315372</v>
      </c>
      <c r="L429" s="49">
        <f>SUMIF(BOM!A:A,'All Products'!A429,BOM!S:S)</f>
        <v>2.3694999999999999</v>
      </c>
      <c r="M429" s="49">
        <f>SUMIF(BOM!A:A,'All Products'!A429,BOM!V:V)</f>
        <v>0.27079999999999999</v>
      </c>
      <c r="N429" s="29">
        <f t="shared" si="84"/>
        <v>0.41843106180665612</v>
      </c>
      <c r="O429" s="55">
        <v>0</v>
      </c>
      <c r="P429" s="49">
        <f t="shared" si="85"/>
        <v>9.1602999999999994</v>
      </c>
      <c r="Q429" s="11">
        <f t="shared" si="86"/>
        <v>-2.8502999999999998</v>
      </c>
      <c r="R429" s="29">
        <f t="shared" si="87"/>
        <v>-0.45171156893819336</v>
      </c>
      <c r="S429" s="93">
        <v>40.4</v>
      </c>
      <c r="T429" s="91">
        <f t="shared" si="93"/>
        <v>254.92399999999998</v>
      </c>
      <c r="U429" s="90">
        <f t="shared" si="94"/>
        <v>-115.15211999999998</v>
      </c>
      <c r="V429" s="90">
        <f t="shared" si="95"/>
        <v>-115.15211999999998</v>
      </c>
      <c r="W429" s="90">
        <f t="shared" si="96"/>
        <v>0</v>
      </c>
      <c r="Y429" s="34">
        <f t="shared" si="88"/>
        <v>-1.426307448494451E-2</v>
      </c>
      <c r="Z429" s="34"/>
      <c r="AA429" s="4"/>
      <c r="AB429" s="4"/>
      <c r="AE429" s="4"/>
    </row>
    <row r="430" spans="1:31" x14ac:dyDescent="0.25">
      <c r="A430" s="1" t="s">
        <v>353</v>
      </c>
      <c r="B430" s="1" t="s">
        <v>552</v>
      </c>
      <c r="C430" s="1" t="s">
        <v>354</v>
      </c>
      <c r="D430" s="1" t="s">
        <v>554</v>
      </c>
      <c r="E430" s="1">
        <f>VLOOKUP(A430,BOM!A:E,5,0)</f>
        <v>2.5</v>
      </c>
      <c r="F430" s="122">
        <v>11.33</v>
      </c>
      <c r="G430" s="10">
        <v>11.39</v>
      </c>
      <c r="H430" s="11" t="s">
        <v>1874</v>
      </c>
      <c r="I430" s="49">
        <f>SUMIFS(BOM!Q:Q,BOM!A:A,'All Products'!A430,BOM!I:I,'All Products'!I$3)</f>
        <v>2.2233001924310454</v>
      </c>
      <c r="J430" s="49">
        <f>SUMIFS(BOM!Q:Q,BOM!A:A,'All Products'!A430,BOM!I:I,'All Products'!J$3)+0.03</f>
        <v>0.4</v>
      </c>
      <c r="K430" s="29">
        <f t="shared" si="83"/>
        <v>0.23031608361993372</v>
      </c>
      <c r="L430" s="49">
        <f>SUMIF(BOM!A:A,'All Products'!A430,BOM!S:S)</f>
        <v>1.4022744280521702</v>
      </c>
      <c r="M430" s="49">
        <f>SUMIF(BOM!A:A,'All Products'!A430,BOM!V:V)</f>
        <v>0.29618749999999999</v>
      </c>
      <c r="N430" s="29">
        <f t="shared" si="84"/>
        <v>0.14911869429782004</v>
      </c>
      <c r="O430" s="55">
        <v>0</v>
      </c>
      <c r="P430" s="49">
        <f t="shared" si="85"/>
        <v>4.3217621204832151</v>
      </c>
      <c r="Q430" s="11">
        <f t="shared" si="86"/>
        <v>7.0682378795167855</v>
      </c>
      <c r="R430" s="29">
        <f t="shared" si="87"/>
        <v>0.62056522208224629</v>
      </c>
      <c r="S430" s="93">
        <v>655</v>
      </c>
      <c r="T430" s="91">
        <f t="shared" si="93"/>
        <v>7460.4500000000007</v>
      </c>
      <c r="U430" s="90">
        <f t="shared" si="94"/>
        <v>4629.6958110834948</v>
      </c>
      <c r="V430" s="90">
        <f t="shared" si="95"/>
        <v>4629.6958110834948</v>
      </c>
      <c r="W430" s="90">
        <f t="shared" si="96"/>
        <v>0</v>
      </c>
      <c r="Y430" s="34">
        <f t="shared" si="88"/>
        <v>0.80480244140201529</v>
      </c>
      <c r="Z430" s="34"/>
      <c r="AA430" s="4"/>
      <c r="AB430" s="4"/>
      <c r="AE430" s="4"/>
    </row>
    <row r="431" spans="1:31" x14ac:dyDescent="0.25">
      <c r="A431" s="1" t="s">
        <v>365</v>
      </c>
      <c r="B431" s="1" t="s">
        <v>552</v>
      </c>
      <c r="C431" s="1" t="s">
        <v>366</v>
      </c>
      <c r="D431" s="1" t="s">
        <v>554</v>
      </c>
      <c r="E431" s="1">
        <f>VLOOKUP(A431,BOM!A:E,5,0)</f>
        <v>5</v>
      </c>
      <c r="F431" s="122">
        <v>4.54</v>
      </c>
      <c r="G431" s="10">
        <v>3.95</v>
      </c>
      <c r="H431" s="11" t="s">
        <v>1874</v>
      </c>
      <c r="I431" s="49">
        <f>SUMIFS(BOM!Q:Q,BOM!A:A,'All Products'!A431,BOM!I:I,'All Products'!I$3)</f>
        <v>4.1776397515527952</v>
      </c>
      <c r="J431" s="49">
        <f>SUMIFS(BOM!Q:Q,BOM!A:A,'All Products'!A431,BOM!I:I,'All Products'!J$3)+0.03</f>
        <v>0.41000000000000003</v>
      </c>
      <c r="K431" s="29">
        <f t="shared" si="83"/>
        <v>1.1614277852032393</v>
      </c>
      <c r="L431" s="49">
        <f>SUMIF(BOM!A:A,'All Products'!A431,BOM!S:S)</f>
        <v>3.2178524844720493</v>
      </c>
      <c r="M431" s="49">
        <f>SUMIF(BOM!A:A,'All Products'!A431,BOM!V:V)</f>
        <v>0.40112249999999999</v>
      </c>
      <c r="N431" s="29">
        <f t="shared" si="84"/>
        <v>0.91619619860051882</v>
      </c>
      <c r="O431" s="55">
        <v>0</v>
      </c>
      <c r="P431" s="49">
        <f t="shared" si="85"/>
        <v>8.2066147360248447</v>
      </c>
      <c r="Q431" s="11">
        <f t="shared" si="86"/>
        <v>-4.2566147360248445</v>
      </c>
      <c r="R431" s="29">
        <f t="shared" si="87"/>
        <v>-1.077623983803758</v>
      </c>
      <c r="S431" s="93">
        <v>46.8</v>
      </c>
      <c r="T431" s="91">
        <f t="shared" si="93"/>
        <v>184.85999999999999</v>
      </c>
      <c r="U431" s="90">
        <f t="shared" si="94"/>
        <v>-199.20956964596272</v>
      </c>
      <c r="V431" s="90">
        <f t="shared" si="95"/>
        <v>-199.20956964596272</v>
      </c>
      <c r="W431" s="90">
        <f t="shared" si="96"/>
        <v>0</v>
      </c>
      <c r="Y431" s="34">
        <f t="shared" si="88"/>
        <v>-5.7630316848808864E-2</v>
      </c>
      <c r="Z431" s="34"/>
      <c r="AA431" s="4"/>
      <c r="AB431" s="4"/>
      <c r="AE431" s="4"/>
    </row>
    <row r="432" spans="1:31" x14ac:dyDescent="0.25">
      <c r="A432" s="1" t="s">
        <v>385</v>
      </c>
      <c r="B432" s="1" t="s">
        <v>552</v>
      </c>
      <c r="C432" s="1" t="s">
        <v>386</v>
      </c>
      <c r="D432" s="1" t="s">
        <v>554</v>
      </c>
      <c r="E432" s="1">
        <f>VLOOKUP(A432,BOM!A:E,5,0)</f>
        <v>3</v>
      </c>
      <c r="F432" s="122">
        <v>9.86</v>
      </c>
      <c r="G432" s="10">
        <v>10.6</v>
      </c>
      <c r="H432" s="11" t="s">
        <v>1874</v>
      </c>
      <c r="I432" s="49" t="e">
        <f>SUMIFS(BOM!Q:Q,BOM!A:A,'All Products'!A432,BOM!I:I,'All Products'!I$3)</f>
        <v>#N/A</v>
      </c>
      <c r="J432" s="49">
        <f>SUMIFS(BOM!Q:Q,BOM!A:A,'All Products'!A432,BOM!I:I,'All Products'!J$3)+0.03</f>
        <v>0.4</v>
      </c>
      <c r="K432" s="29" t="e">
        <f t="shared" si="83"/>
        <v>#N/A</v>
      </c>
      <c r="L432" s="49">
        <f>SUMIF(BOM!A:A,'All Products'!A432,BOM!S:S)</f>
        <v>9.1012560096153852</v>
      </c>
      <c r="M432" s="49">
        <f>SUMIF(BOM!A:A,'All Products'!A432,BOM!V:V)</f>
        <v>0.27079999999999999</v>
      </c>
      <c r="N432" s="29">
        <f t="shared" si="84"/>
        <v>0.88415622732220611</v>
      </c>
      <c r="O432" s="55">
        <v>0</v>
      </c>
      <c r="P432" s="49" t="e">
        <f t="shared" si="85"/>
        <v>#N/A</v>
      </c>
      <c r="Q432" s="11" t="e">
        <f t="shared" si="86"/>
        <v>#N/A</v>
      </c>
      <c r="R432" s="29">
        <f t="shared" si="87"/>
        <v>0</v>
      </c>
      <c r="S432" s="93">
        <v>41.2</v>
      </c>
      <c r="T432" s="91">
        <f t="shared" si="93"/>
        <v>436.72</v>
      </c>
      <c r="U432" s="90">
        <f t="shared" si="94"/>
        <v>0</v>
      </c>
      <c r="V432" s="90" t="e">
        <f t="shared" si="95"/>
        <v>#N/A</v>
      </c>
      <c r="W432" s="90" t="e">
        <f t="shared" si="96"/>
        <v>#N/A</v>
      </c>
      <c r="Y432" s="34" t="e">
        <f t="shared" si="88"/>
        <v>#N/A</v>
      </c>
      <c r="Z432" s="34"/>
      <c r="AA432" s="4"/>
      <c r="AB432" s="4"/>
      <c r="AE432" s="4"/>
    </row>
    <row r="433" spans="1:31" x14ac:dyDescent="0.25">
      <c r="A433" s="134" t="s">
        <v>25</v>
      </c>
      <c r="B433" s="134" t="s">
        <v>552</v>
      </c>
      <c r="C433" s="134" t="s">
        <v>26</v>
      </c>
      <c r="D433" s="1" t="s">
        <v>554</v>
      </c>
      <c r="E433" s="1">
        <f>VLOOKUP(A433,BOM!A:E,5,0)</f>
        <v>3</v>
      </c>
      <c r="F433" s="122">
        <v>8.73</v>
      </c>
      <c r="G433" s="10">
        <v>9.0299999999999994</v>
      </c>
      <c r="H433" s="11" t="s">
        <v>1874</v>
      </c>
      <c r="I433" s="49">
        <f>SUMIFS(BOM!Q:Q,BOM!A:A,'All Products'!A433,BOM!I:I,'All Products'!I$3)</f>
        <v>2.3257997696517365</v>
      </c>
      <c r="J433" s="49">
        <f>SUMIFS(BOM!Q:Q,BOM!A:A,'All Products'!A433,BOM!I:I,'All Products'!J$3)+0.03</f>
        <v>0.79</v>
      </c>
      <c r="K433" s="29">
        <f t="shared" si="83"/>
        <v>0.34504980837782245</v>
      </c>
      <c r="L433" s="49">
        <f>SUMIF(BOM!A:A,'All Products'!A433,BOM!S:S)</f>
        <v>1.3156970531886634</v>
      </c>
      <c r="M433" s="49">
        <f>SUMIF(BOM!A:A,'All Products'!A433,BOM!V:V)</f>
        <v>0.8123999999999999</v>
      </c>
      <c r="N433" s="29">
        <f t="shared" si="84"/>
        <v>0.23566966259010669</v>
      </c>
      <c r="O433" s="55">
        <v>0</v>
      </c>
      <c r="P433" s="49">
        <f t="shared" si="85"/>
        <v>5.2438968228403997</v>
      </c>
      <c r="Q433" s="11">
        <f t="shared" si="86"/>
        <v>3.7861031771595997</v>
      </c>
      <c r="R433" s="29">
        <f t="shared" si="87"/>
        <v>0.41928052903207086</v>
      </c>
      <c r="S433" s="91">
        <v>1628.4</v>
      </c>
      <c r="T433" s="91">
        <f t="shared" si="93"/>
        <v>14704.451999999999</v>
      </c>
      <c r="U433" s="90">
        <f t="shared" si="94"/>
        <v>6165.2904136866928</v>
      </c>
      <c r="V433" s="90">
        <f t="shared" si="95"/>
        <v>6165.2904136866928</v>
      </c>
      <c r="W433" s="90">
        <f t="shared" si="96"/>
        <v>0</v>
      </c>
      <c r="Y433" s="34">
        <f t="shared" si="88"/>
        <v>0.7424363488757767</v>
      </c>
      <c r="Z433" s="34"/>
      <c r="AA433" s="4">
        <f>P433/E433</f>
        <v>1.7479656076134666</v>
      </c>
      <c r="AB433" s="4"/>
      <c r="AE433" s="4"/>
    </row>
    <row r="434" spans="1:31" x14ac:dyDescent="0.25">
      <c r="A434" s="1" t="s">
        <v>9</v>
      </c>
      <c r="B434" s="1" t="s">
        <v>656</v>
      </c>
      <c r="C434" s="1" t="s">
        <v>10</v>
      </c>
      <c r="D434" s="1" t="s">
        <v>554</v>
      </c>
      <c r="E434" s="1">
        <f>VLOOKUP(A434,BOM!A:E,5,0)</f>
        <v>1</v>
      </c>
      <c r="F434" s="122">
        <v>44.29</v>
      </c>
      <c r="G434" s="10">
        <v>42.37</v>
      </c>
      <c r="H434" s="11" t="s">
        <v>1874</v>
      </c>
      <c r="I434" s="49">
        <f>SUMIFS(BOM!Q:Q,BOM!A:A,'All Products'!A434,BOM!I:I,'All Products'!I$3)</f>
        <v>12.4</v>
      </c>
      <c r="J434" s="49">
        <f>SUMIFS(BOM!Q:Q,BOM!A:A,'All Products'!A434,BOM!I:I,'All Products'!J$3)+0.03</f>
        <v>0.17</v>
      </c>
      <c r="K434" s="29">
        <f t="shared" si="83"/>
        <v>0.29667217370781218</v>
      </c>
      <c r="L434" s="49">
        <f>SUMIF(BOM!A:A,'All Products'!A434,BOM!S:S)</f>
        <v>3.8685714285714283</v>
      </c>
      <c r="M434" s="49">
        <f>SUMIF(BOM!A:A,'All Products'!A434,BOM!V:V)</f>
        <v>0.21720416666666661</v>
      </c>
      <c r="N434" s="29">
        <f t="shared" si="84"/>
        <v>9.6430861346190597E-2</v>
      </c>
      <c r="O434" s="55">
        <v>0</v>
      </c>
      <c r="P434" s="49">
        <f t="shared" si="85"/>
        <v>16.655775595238097</v>
      </c>
      <c r="Q434" s="11">
        <f t="shared" si="86"/>
        <v>25.7142244047619</v>
      </c>
      <c r="R434" s="29">
        <f t="shared" si="87"/>
        <v>0.60689696494599721</v>
      </c>
      <c r="S434" s="91">
        <v>40.799999999999997</v>
      </c>
      <c r="T434" s="91">
        <f t="shared" si="93"/>
        <v>1728.6959999999997</v>
      </c>
      <c r="U434" s="90">
        <f t="shared" si="94"/>
        <v>1049.1403557142855</v>
      </c>
      <c r="V434" s="90">
        <f t="shared" si="95"/>
        <v>1049.1403557142855</v>
      </c>
      <c r="W434" s="90">
        <f t="shared" si="96"/>
        <v>0</v>
      </c>
      <c r="X434" t="s">
        <v>4335</v>
      </c>
      <c r="Y434" s="34">
        <f t="shared" si="88"/>
        <v>0.70734009912674067</v>
      </c>
      <c r="Z434" s="34"/>
      <c r="AA434" s="4"/>
      <c r="AB434" s="4"/>
      <c r="AE434" s="4"/>
    </row>
    <row r="435" spans="1:31" x14ac:dyDescent="0.25">
      <c r="A435" s="1" t="s">
        <v>38</v>
      </c>
      <c r="B435" s="1" t="s">
        <v>552</v>
      </c>
      <c r="C435" s="1" t="s">
        <v>39</v>
      </c>
      <c r="D435" s="1" t="s">
        <v>554</v>
      </c>
      <c r="E435" s="1">
        <f>VLOOKUP(A435,BOM!A:E,5,0)</f>
        <v>2.5</v>
      </c>
      <c r="F435" s="122">
        <v>14.42</v>
      </c>
      <c r="G435" s="10">
        <v>15.57</v>
      </c>
      <c r="H435" s="11" t="s">
        <v>1874</v>
      </c>
      <c r="I435" s="49">
        <f>SUMIFS(BOM!Q:Q,BOM!A:A,'All Products'!A435,BOM!I:I,'All Products'!I$3)</f>
        <v>4.0027883294375135</v>
      </c>
      <c r="J435" s="49">
        <f>SUMIFS(BOM!Q:Q,BOM!A:A,'All Products'!A435,BOM!I:I,'All Products'!J$3)+0.03</f>
        <v>0.12</v>
      </c>
      <c r="K435" s="29">
        <f t="shared" si="83"/>
        <v>0.26479051569926226</v>
      </c>
      <c r="L435" s="49">
        <f>SUMIF(BOM!A:A,'All Products'!A435,BOM!S:S)</f>
        <v>8.2782398381165159</v>
      </c>
      <c r="M435" s="49">
        <f>SUMIF(BOM!A:A,'All Products'!A435,BOM!V:V)</f>
        <v>0.29618749999999999</v>
      </c>
      <c r="N435" s="29">
        <f t="shared" si="84"/>
        <v>0.55070182004601897</v>
      </c>
      <c r="O435" s="55">
        <v>0</v>
      </c>
      <c r="P435" s="49">
        <f t="shared" si="85"/>
        <v>12.69721566755403</v>
      </c>
      <c r="Q435" s="11">
        <f t="shared" si="86"/>
        <v>2.8727843324459705</v>
      </c>
      <c r="R435" s="29">
        <f t="shared" si="87"/>
        <v>0.18450766425471873</v>
      </c>
      <c r="S435" s="93">
        <v>30.4</v>
      </c>
      <c r="T435" s="91">
        <f t="shared" si="93"/>
        <v>473.32799999999997</v>
      </c>
      <c r="U435" s="90">
        <f t="shared" si="94"/>
        <v>87.332643706357501</v>
      </c>
      <c r="V435" s="90">
        <f t="shared" si="95"/>
        <v>87.332643706357501</v>
      </c>
      <c r="W435" s="90">
        <f t="shared" si="96"/>
        <v>0</v>
      </c>
      <c r="Y435" s="34">
        <f t="shared" si="88"/>
        <v>0.74291661339515003</v>
      </c>
      <c r="Z435" s="34"/>
      <c r="AA435" s="4"/>
      <c r="AB435" s="4"/>
      <c r="AE435" s="4"/>
    </row>
    <row r="436" spans="1:31" x14ac:dyDescent="0.25">
      <c r="A436" s="1" t="s">
        <v>323</v>
      </c>
      <c r="B436" s="1" t="s">
        <v>656</v>
      </c>
      <c r="C436" s="1" t="s">
        <v>324</v>
      </c>
      <c r="D436" s="1" t="s">
        <v>554</v>
      </c>
      <c r="E436" s="1">
        <f>VLOOKUP(A436,BOM!A:E,5,0)</f>
        <v>2.5</v>
      </c>
      <c r="F436" s="122">
        <v>147.18</v>
      </c>
      <c r="G436" s="10">
        <v>157.47</v>
      </c>
      <c r="H436" s="11" t="s">
        <v>1874</v>
      </c>
      <c r="I436" s="49">
        <f>SUMIFS(BOM!Q:Q,BOM!A:A,'All Products'!A436,BOM!I:I,'All Products'!I$3)</f>
        <v>25.637335526315791</v>
      </c>
      <c r="J436" s="49">
        <f>SUMIFS(BOM!Q:Q,BOM!A:A,'All Products'!A436,BOM!I:I,'All Products'!J$3)+0.03</f>
        <v>0.17</v>
      </c>
      <c r="K436" s="29">
        <f t="shared" si="83"/>
        <v>0.16388731521125163</v>
      </c>
      <c r="L436" s="49">
        <f>SUMIF(BOM!A:A,'All Products'!A436,BOM!S:S)</f>
        <v>10.299753289473683</v>
      </c>
      <c r="M436" s="49">
        <f>SUMIF(BOM!A:A,'All Products'!A436,BOM!V:V)</f>
        <v>0.29618749999999999</v>
      </c>
      <c r="N436" s="29">
        <f t="shared" si="84"/>
        <v>6.7288631418515807E-2</v>
      </c>
      <c r="O436" s="55">
        <v>0</v>
      </c>
      <c r="P436" s="49">
        <f t="shared" si="85"/>
        <v>36.403276315789476</v>
      </c>
      <c r="Q436" s="11">
        <f t="shared" si="86"/>
        <v>121.06672368421053</v>
      </c>
      <c r="R436" s="29">
        <f t="shared" si="87"/>
        <v>0.76882405337023263</v>
      </c>
      <c r="S436" s="91">
        <v>244.8</v>
      </c>
      <c r="T436" s="91">
        <f t="shared" si="93"/>
        <v>38548.656000000003</v>
      </c>
      <c r="U436" s="90">
        <f t="shared" si="94"/>
        <v>29637.133957894737</v>
      </c>
      <c r="V436" s="90">
        <f t="shared" si="95"/>
        <v>29637.133957894737</v>
      </c>
      <c r="W436" s="90">
        <f t="shared" si="96"/>
        <v>0</v>
      </c>
      <c r="Y436" s="34">
        <f t="shared" si="88"/>
        <v>0.83719225550063003</v>
      </c>
      <c r="Z436" s="34"/>
      <c r="AA436" s="4"/>
      <c r="AB436" s="4"/>
      <c r="AE436" s="4"/>
    </row>
    <row r="437" spans="1:31" x14ac:dyDescent="0.25">
      <c r="A437" s="1" t="s">
        <v>956</v>
      </c>
      <c r="B437" s="1" t="s">
        <v>656</v>
      </c>
      <c r="C437" s="1" t="s">
        <v>957</v>
      </c>
      <c r="D437" s="1" t="s">
        <v>554</v>
      </c>
      <c r="E437" s="1">
        <f>VLOOKUP(A437,BOM!A:E,5,0)</f>
        <v>1</v>
      </c>
      <c r="F437" s="122">
        <v>58.99</v>
      </c>
      <c r="G437" s="10">
        <v>63.18</v>
      </c>
      <c r="H437" s="11" t="s">
        <v>1874</v>
      </c>
      <c r="I437" s="49">
        <f>SUMIFS(BOM!Q:Q,BOM!A:A,'All Products'!A437,BOM!I:I,'All Products'!I$3)</f>
        <v>10.21590909090909</v>
      </c>
      <c r="J437" s="49">
        <f>SUMIFS(BOM!Q:Q,BOM!A:A,'All Products'!A437,BOM!I:I,'All Products'!J$3)+0.03</f>
        <v>0.17</v>
      </c>
      <c r="K437" s="29">
        <f t="shared" si="83"/>
        <v>0.1643860254971366</v>
      </c>
      <c r="L437" s="49">
        <f>SUMIF(BOM!A:A,'All Products'!A437,BOM!S:S)</f>
        <v>6.8139610389610388</v>
      </c>
      <c r="M437" s="49">
        <f>SUMIF(BOM!A:A,'All Products'!A437,BOM!V:V)</f>
        <v>0.21720416666666661</v>
      </c>
      <c r="N437" s="29">
        <f t="shared" si="84"/>
        <v>0.1112878316813502</v>
      </c>
      <c r="O437" s="55">
        <v>0</v>
      </c>
      <c r="P437" s="49">
        <f t="shared" si="85"/>
        <v>17.417074296536796</v>
      </c>
      <c r="Q437" s="11">
        <f t="shared" si="86"/>
        <v>45.762925703463203</v>
      </c>
      <c r="R437" s="29">
        <f t="shared" si="87"/>
        <v>0.7243261428215132</v>
      </c>
      <c r="S437" s="91">
        <v>1</v>
      </c>
      <c r="T437" s="91">
        <f t="shared" si="93"/>
        <v>63.18</v>
      </c>
      <c r="U437" s="90">
        <f t="shared" si="94"/>
        <v>45.762925703463203</v>
      </c>
      <c r="V437" s="90">
        <f t="shared" si="95"/>
        <v>45.762925703463203</v>
      </c>
      <c r="W437" s="90">
        <f t="shared" si="96"/>
        <v>0</v>
      </c>
      <c r="Y437" s="34">
        <f t="shared" si="88"/>
        <v>0.83830469941581065</v>
      </c>
      <c r="Z437" s="34"/>
      <c r="AA437" s="4"/>
      <c r="AB437" s="4"/>
      <c r="AE437" s="4"/>
    </row>
    <row r="438" spans="1:31" x14ac:dyDescent="0.25">
      <c r="A438" s="1" t="s">
        <v>958</v>
      </c>
      <c r="B438" s="1" t="s">
        <v>656</v>
      </c>
      <c r="C438" s="1" t="s">
        <v>959</v>
      </c>
      <c r="D438" s="1" t="s">
        <v>554</v>
      </c>
      <c r="E438" s="1">
        <f>VLOOKUP(A438,BOM!A:E,5,0)</f>
        <v>2.5</v>
      </c>
      <c r="F438" s="122">
        <v>110.71</v>
      </c>
      <c r="G438" s="10">
        <v>105.89</v>
      </c>
      <c r="H438" s="11" t="s">
        <v>1874</v>
      </c>
      <c r="I438" s="49">
        <f>SUMIFS(BOM!Q:Q,BOM!A:A,'All Products'!A438,BOM!I:I,'All Products'!I$3)</f>
        <v>30.999999999999996</v>
      </c>
      <c r="J438" s="49">
        <f>SUMIFS(BOM!Q:Q,BOM!A:A,'All Products'!A438,BOM!I:I,'All Products'!J$3)+0.03</f>
        <v>0.17</v>
      </c>
      <c r="K438" s="29">
        <f t="shared" si="83"/>
        <v>0.29436207385022189</v>
      </c>
      <c r="L438" s="49">
        <f>SUMIF(BOM!A:A,'All Products'!A438,BOM!S:S)</f>
        <v>9.6714285714285708</v>
      </c>
      <c r="M438" s="49">
        <f>SUMIF(BOM!A:A,'All Products'!A438,BOM!V:V)</f>
        <v>0.29618749999999999</v>
      </c>
      <c r="N438" s="29">
        <f t="shared" si="84"/>
        <v>9.4131797822538207E-2</v>
      </c>
      <c r="O438" s="55">
        <v>0</v>
      </c>
      <c r="P438" s="49">
        <f t="shared" si="85"/>
        <v>41.137616071428567</v>
      </c>
      <c r="Q438" s="11">
        <f t="shared" si="86"/>
        <v>64.752383928571433</v>
      </c>
      <c r="R438" s="29">
        <f t="shared" si="87"/>
        <v>0.61150612832723994</v>
      </c>
      <c r="S438" s="91">
        <v>58.8</v>
      </c>
      <c r="T438" s="91">
        <f t="shared" si="93"/>
        <v>6226.3319999999994</v>
      </c>
      <c r="U438" s="90">
        <f t="shared" si="94"/>
        <v>3807.4401750000002</v>
      </c>
      <c r="V438" s="90">
        <f t="shared" si="95"/>
        <v>3807.4401750000002</v>
      </c>
      <c r="W438" s="90">
        <f t="shared" si="96"/>
        <v>0</v>
      </c>
      <c r="X438" t="s">
        <v>4335</v>
      </c>
      <c r="Y438" s="34">
        <f t="shared" si="88"/>
        <v>0.7072433657569176</v>
      </c>
      <c r="Z438" s="34"/>
      <c r="AA438" s="4"/>
      <c r="AB438" s="4"/>
      <c r="AE438" s="4"/>
    </row>
    <row r="439" spans="1:31" x14ac:dyDescent="0.25">
      <c r="A439" s="1" t="s">
        <v>421</v>
      </c>
      <c r="B439" s="1" t="s">
        <v>656</v>
      </c>
      <c r="C439" s="1" t="s">
        <v>422</v>
      </c>
      <c r="D439" s="1" t="s">
        <v>554</v>
      </c>
      <c r="E439" s="1">
        <f>VLOOKUP(A439,BOM!A:E,5,0)</f>
        <v>1</v>
      </c>
      <c r="F439" s="122">
        <v>58.87</v>
      </c>
      <c r="G439" s="10">
        <v>62.99</v>
      </c>
      <c r="H439" s="11" t="s">
        <v>1874</v>
      </c>
      <c r="I439" s="49">
        <f>SUMIFS(BOM!Q:Q,BOM!A:A,'All Products'!A439,BOM!I:I,'All Products'!I$3)</f>
        <v>10.254934210526315</v>
      </c>
      <c r="J439" s="49">
        <f>SUMIFS(BOM!Q:Q,BOM!A:A,'All Products'!A439,BOM!I:I,'All Products'!J$3)+0.03</f>
        <v>0.17</v>
      </c>
      <c r="K439" s="29">
        <f t="shared" si="83"/>
        <v>0.16550141626490419</v>
      </c>
      <c r="L439" s="49">
        <f>SUMIF(BOM!A:A,'All Products'!A439,BOM!S:S)</f>
        <v>4.1199013157894733</v>
      </c>
      <c r="M439" s="49">
        <f>SUMIF(BOM!A:A,'All Products'!A439,BOM!V:V)</f>
        <v>0.21720416666666661</v>
      </c>
      <c r="N439" s="29">
        <f t="shared" si="84"/>
        <v>6.8853873352216863E-2</v>
      </c>
      <c r="O439" s="55">
        <v>0</v>
      </c>
      <c r="P439" s="49">
        <f t="shared" si="85"/>
        <v>14.762039692982455</v>
      </c>
      <c r="Q439" s="11">
        <f t="shared" si="86"/>
        <v>48.227960307017547</v>
      </c>
      <c r="R439" s="29">
        <f t="shared" si="87"/>
        <v>0.76564471038287896</v>
      </c>
      <c r="S439" s="91">
        <v>54.2</v>
      </c>
      <c r="T439" s="91">
        <f t="shared" si="93"/>
        <v>3414.0580000000004</v>
      </c>
      <c r="U439" s="90">
        <f t="shared" si="94"/>
        <v>2613.9554486403513</v>
      </c>
      <c r="V439" s="90">
        <f t="shared" si="95"/>
        <v>2613.9554486403513</v>
      </c>
      <c r="W439" s="90">
        <f t="shared" si="96"/>
        <v>0</v>
      </c>
      <c r="Y439" s="34">
        <f t="shared" si="88"/>
        <v>0.83719742482098247</v>
      </c>
      <c r="Z439" s="34"/>
      <c r="AA439" s="4"/>
      <c r="AB439" s="4"/>
      <c r="AE439" s="4"/>
    </row>
    <row r="440" spans="1:31" x14ac:dyDescent="0.25">
      <c r="A440" s="1" t="s">
        <v>339</v>
      </c>
      <c r="B440" s="1" t="s">
        <v>656</v>
      </c>
      <c r="C440" s="1" t="s">
        <v>340</v>
      </c>
      <c r="D440" s="1" t="s">
        <v>554</v>
      </c>
      <c r="E440" s="1">
        <f>VLOOKUP(A440,BOM!A:E,5,0)</f>
        <v>2.5</v>
      </c>
      <c r="F440" s="122">
        <v>147.46</v>
      </c>
      <c r="G440" s="10">
        <v>157.93</v>
      </c>
      <c r="H440" s="11" t="s">
        <v>1874</v>
      </c>
      <c r="I440" s="49">
        <f>SUMIFS(BOM!Q:Q,BOM!A:A,'All Products'!A440,BOM!I:I,'All Products'!I$3)</f>
        <v>25.539772727272727</v>
      </c>
      <c r="J440" s="49">
        <f>SUMIFS(BOM!Q:Q,BOM!A:A,'All Products'!A440,BOM!I:I,'All Products'!J$3)+0.03</f>
        <v>0.17</v>
      </c>
      <c r="K440" s="29">
        <f t="shared" si="83"/>
        <v>0.16279220368057196</v>
      </c>
      <c r="L440" s="49">
        <f>SUMIF(BOM!A:A,'All Products'!A440,BOM!S:S)</f>
        <v>17.034902597402596</v>
      </c>
      <c r="M440" s="49">
        <f>SUMIF(BOM!A:A,'All Products'!A440,BOM!V:V)</f>
        <v>0.29618749999999999</v>
      </c>
      <c r="N440" s="29">
        <f t="shared" si="84"/>
        <v>0.10973906222631921</v>
      </c>
      <c r="O440" s="55">
        <v>0</v>
      </c>
      <c r="P440" s="49">
        <f t="shared" si="85"/>
        <v>43.040862824675322</v>
      </c>
      <c r="Q440" s="11">
        <f t="shared" si="86"/>
        <v>114.88913717532469</v>
      </c>
      <c r="R440" s="29">
        <f t="shared" si="87"/>
        <v>0.72746873409310886</v>
      </c>
      <c r="S440" s="91">
        <v>13.2</v>
      </c>
      <c r="T440" s="91">
        <f t="shared" si="93"/>
        <v>2084.6759999999999</v>
      </c>
      <c r="U440" s="90">
        <f t="shared" si="94"/>
        <v>1516.5366107142859</v>
      </c>
      <c r="V440" s="90">
        <f t="shared" si="95"/>
        <v>1516.5366107142859</v>
      </c>
      <c r="W440" s="90">
        <f t="shared" si="96"/>
        <v>0</v>
      </c>
      <c r="Y440" s="34">
        <f t="shared" si="88"/>
        <v>0.83828422258422897</v>
      </c>
      <c r="Z440" s="34"/>
      <c r="AA440" s="4"/>
      <c r="AB440" s="4"/>
      <c r="AE440" s="4"/>
    </row>
    <row r="441" spans="1:31" x14ac:dyDescent="0.25">
      <c r="A441" s="1" t="s">
        <v>960</v>
      </c>
      <c r="B441" s="1" t="s">
        <v>552</v>
      </c>
      <c r="C441" s="1" t="s">
        <v>961</v>
      </c>
      <c r="D441" s="1" t="s">
        <v>554</v>
      </c>
      <c r="E441" s="1">
        <f>VLOOKUP(A441,BOM!A:E,5,0)</f>
        <v>2</v>
      </c>
      <c r="F441" s="122">
        <v>11.09</v>
      </c>
      <c r="G441" s="10">
        <v>11.97</v>
      </c>
      <c r="H441" s="11" t="s">
        <v>1874</v>
      </c>
      <c r="I441" s="49">
        <f>SUMIFS(BOM!Q:Q,BOM!A:A,'All Products'!A441,BOM!I:I,'All Products'!I$3)</f>
        <v>4.204545454545455</v>
      </c>
      <c r="J441" s="49">
        <f>SUMIFS(BOM!Q:Q,BOM!A:A,'All Products'!A441,BOM!I:I,'All Products'!J$3)+0.03</f>
        <v>0.12</v>
      </c>
      <c r="K441" s="29">
        <f t="shared" si="83"/>
        <v>0.36128199286094026</v>
      </c>
      <c r="L441" s="49">
        <f>SUMIF(BOM!A:A,'All Products'!A441,BOM!S:S)</f>
        <v>7.8983333333333334</v>
      </c>
      <c r="M441" s="49">
        <f>SUMIF(BOM!A:A,'All Products'!A441,BOM!V:V)</f>
        <v>0.27079999999999999</v>
      </c>
      <c r="N441" s="29">
        <f t="shared" si="84"/>
        <v>0.68246727930938456</v>
      </c>
      <c r="O441" s="55">
        <v>0</v>
      </c>
      <c r="P441" s="49">
        <f t="shared" si="85"/>
        <v>12.493678787878789</v>
      </c>
      <c r="Q441" s="11">
        <f t="shared" si="86"/>
        <v>-0.5236787878787883</v>
      </c>
      <c r="R441" s="29">
        <f t="shared" si="87"/>
        <v>-4.3749272170324836E-2</v>
      </c>
      <c r="S441" s="93">
        <v>3</v>
      </c>
      <c r="T441" s="91">
        <f t="shared" si="93"/>
        <v>35.910000000000004</v>
      </c>
      <c r="U441" s="90">
        <f t="shared" si="94"/>
        <v>-1.5710363636363649</v>
      </c>
      <c r="V441" s="90">
        <f t="shared" si="95"/>
        <v>-1.5710363636363649</v>
      </c>
      <c r="W441" s="90">
        <f t="shared" si="96"/>
        <v>0</v>
      </c>
      <c r="Y441" s="34">
        <f t="shared" si="88"/>
        <v>0.6487430697957014</v>
      </c>
      <c r="Z441" s="34"/>
      <c r="AA441" s="4"/>
      <c r="AB441" s="4"/>
      <c r="AE441" s="4"/>
    </row>
    <row r="442" spans="1:31" x14ac:dyDescent="0.25">
      <c r="A442" s="1" t="s">
        <v>375</v>
      </c>
      <c r="B442" s="1" t="s">
        <v>656</v>
      </c>
      <c r="C442" s="1" t="s">
        <v>962</v>
      </c>
      <c r="D442" s="1" t="s">
        <v>554</v>
      </c>
      <c r="E442" s="1">
        <f>VLOOKUP(A442,BOM!A:E,5,0)</f>
        <v>2.5</v>
      </c>
      <c r="F442" s="122">
        <v>113.89</v>
      </c>
      <c r="G442" s="10">
        <v>117.04</v>
      </c>
      <c r="H442" s="11" t="s">
        <v>1874</v>
      </c>
      <c r="I442" s="49">
        <f>SUMIFS(BOM!Q:Q,BOM!A:A,'All Products'!A442,BOM!I:I,'All Products'!I$3)</f>
        <v>29.749999999999993</v>
      </c>
      <c r="J442" s="49">
        <f>SUMIFS(BOM!Q:Q,BOM!A:A,'All Products'!A442,BOM!I:I,'All Products'!J$3)+0.03</f>
        <v>0.17</v>
      </c>
      <c r="K442" s="29">
        <f t="shared" si="83"/>
        <v>0.25563909774436083</v>
      </c>
      <c r="L442" s="49">
        <f>SUMIF(BOM!A:A,'All Products'!A442,BOM!S:S)</f>
        <v>18.548261363636364</v>
      </c>
      <c r="M442" s="49">
        <f>SUMIF(BOM!A:A,'All Products'!A442,BOM!V:V)</f>
        <v>0.29618749999999999</v>
      </c>
      <c r="N442" s="29">
        <f t="shared" si="84"/>
        <v>0.16100861981917602</v>
      </c>
      <c r="O442" s="55">
        <v>0</v>
      </c>
      <c r="P442" s="49">
        <f t="shared" si="85"/>
        <v>48.76444886363636</v>
      </c>
      <c r="Q442" s="11">
        <f t="shared" si="86"/>
        <v>68.275551136363646</v>
      </c>
      <c r="R442" s="29">
        <f t="shared" si="87"/>
        <v>0.58335228243646309</v>
      </c>
      <c r="S442" s="91">
        <v>37.4</v>
      </c>
      <c r="T442" s="91">
        <f t="shared" si="93"/>
        <v>4377.2960000000003</v>
      </c>
      <c r="U442" s="90">
        <f t="shared" si="94"/>
        <v>2553.5056125000001</v>
      </c>
      <c r="V442" s="90">
        <f t="shared" si="95"/>
        <v>2553.5056125000001</v>
      </c>
      <c r="W442" s="90">
        <f t="shared" si="96"/>
        <v>0</v>
      </c>
      <c r="Y442" s="34">
        <f t="shared" si="88"/>
        <v>0.74581339712918671</v>
      </c>
      <c r="Z442" s="34"/>
      <c r="AA442" s="4"/>
      <c r="AB442" s="4"/>
      <c r="AE442" s="4"/>
    </row>
    <row r="443" spans="1:31" x14ac:dyDescent="0.25">
      <c r="A443" s="1" t="s">
        <v>963</v>
      </c>
      <c r="B443" s="1" t="s">
        <v>552</v>
      </c>
      <c r="C443" s="1" t="s">
        <v>964</v>
      </c>
      <c r="D443" s="1" t="s">
        <v>554</v>
      </c>
      <c r="E443" s="1">
        <f>VLOOKUP(A443,BOM!A:E,5,0)</f>
        <v>5</v>
      </c>
      <c r="F443" s="122">
        <v>204.93</v>
      </c>
      <c r="G443" s="10">
        <v>210.92</v>
      </c>
      <c r="H443" s="11" t="s">
        <v>1874</v>
      </c>
      <c r="I443" s="49">
        <f>SUMIFS(BOM!Q:Q,BOM!A:A,'All Products'!A443,BOM!I:I,'All Products'!I$3)</f>
        <v>63.688405797101446</v>
      </c>
      <c r="J443" s="49">
        <f>SUMIFS(BOM!Q:Q,BOM!A:A,'All Products'!A443,BOM!I:I,'All Products'!J$3)+0.03</f>
        <v>0.12</v>
      </c>
      <c r="K443" s="29">
        <f t="shared" si="83"/>
        <v>0.30252420726863954</v>
      </c>
      <c r="L443" s="49">
        <f>SUMIF(BOM!A:A,'All Products'!A443,BOM!S:S)</f>
        <v>20.849637681159422</v>
      </c>
      <c r="M443" s="49">
        <f>SUMIF(BOM!A:A,'All Products'!A443,BOM!V:V)</f>
        <v>0.40112249999999999</v>
      </c>
      <c r="N443" s="29">
        <f t="shared" si="84"/>
        <v>0.10075270330532629</v>
      </c>
      <c r="O443" s="55">
        <v>0</v>
      </c>
      <c r="P443" s="49">
        <f t="shared" si="85"/>
        <v>85.059165978260864</v>
      </c>
      <c r="Q443" s="11">
        <f t="shared" si="86"/>
        <v>125.86083402173912</v>
      </c>
      <c r="R443" s="29">
        <f t="shared" si="87"/>
        <v>0.59672308942603414</v>
      </c>
      <c r="S443" s="93">
        <v>0</v>
      </c>
      <c r="T443" s="91">
        <f t="shared" si="93"/>
        <v>0</v>
      </c>
      <c r="U443" s="90">
        <f t="shared" si="94"/>
        <v>0</v>
      </c>
      <c r="V443" s="90">
        <f t="shared" si="95"/>
        <v>0</v>
      </c>
      <c r="W443" s="90">
        <f t="shared" si="96"/>
        <v>0</v>
      </c>
      <c r="Y443" s="34">
        <f t="shared" si="88"/>
        <v>0.69804472882087309</v>
      </c>
      <c r="Z443" s="34"/>
      <c r="AA443" s="4"/>
      <c r="AB443" s="4"/>
      <c r="AE443" s="4"/>
    </row>
    <row r="444" spans="1:31" x14ac:dyDescent="0.25">
      <c r="A444" s="1" t="s">
        <v>413</v>
      </c>
      <c r="B444" s="1" t="s">
        <v>552</v>
      </c>
      <c r="C444" s="1" t="s">
        <v>414</v>
      </c>
      <c r="D444" s="1" t="s">
        <v>554</v>
      </c>
      <c r="E444" s="1">
        <f>VLOOKUP(A444,BOM!A:E,5,0)</f>
        <v>1</v>
      </c>
      <c r="F444" s="122">
        <v>9.1300000000000008</v>
      </c>
      <c r="G444" s="10">
        <v>9.11</v>
      </c>
      <c r="H444" s="11" t="s">
        <v>1874</v>
      </c>
      <c r="I444" s="49">
        <f>SUMIFS(BOM!Q:Q,BOM!A:A,'All Products'!A444,BOM!I:I,'All Products'!I$3)</f>
        <v>2.8527022900763357</v>
      </c>
      <c r="J444" s="49">
        <f>SUMIFS(BOM!Q:Q,BOM!A:A,'All Products'!A444,BOM!I:I,'All Products'!J$3)+0.03</f>
        <v>0.41000000000000003</v>
      </c>
      <c r="K444" s="29">
        <f t="shared" si="83"/>
        <v>0.35814514709948803</v>
      </c>
      <c r="L444" s="49">
        <f>SUMIF(BOM!A:A,'All Products'!A444,BOM!S:S)</f>
        <v>0.16924999999999998</v>
      </c>
      <c r="M444" s="49">
        <f>SUMIF(BOM!A:A,'All Products'!A444,BOM!V:V)</f>
        <v>0.21833249999999998</v>
      </c>
      <c r="N444" s="29">
        <f t="shared" si="84"/>
        <v>4.2544731064763995E-2</v>
      </c>
      <c r="O444" s="55">
        <v>0</v>
      </c>
      <c r="P444" s="49">
        <f t="shared" si="85"/>
        <v>3.6502847900763356</v>
      </c>
      <c r="Q444" s="11">
        <f t="shared" si="86"/>
        <v>5.4597152099236634</v>
      </c>
      <c r="R444" s="29">
        <f t="shared" si="87"/>
        <v>0.59931012183574794</v>
      </c>
      <c r="S444" s="91">
        <v>17.399999999999999</v>
      </c>
      <c r="T444" s="91">
        <f t="shared" si="93"/>
        <v>158.51399999999998</v>
      </c>
      <c r="U444" s="90">
        <f t="shared" si="94"/>
        <v>94.999044652671742</v>
      </c>
      <c r="V444" s="90">
        <f t="shared" si="95"/>
        <v>94.999044652671742</v>
      </c>
      <c r="W444" s="90">
        <f t="shared" si="96"/>
        <v>0</v>
      </c>
      <c r="Y444" s="34">
        <f t="shared" si="88"/>
        <v>0.68686034137471619</v>
      </c>
      <c r="Z444" s="34"/>
      <c r="AA444" s="4"/>
      <c r="AB444" s="4"/>
      <c r="AE444" s="4"/>
    </row>
    <row r="445" spans="1:31" x14ac:dyDescent="0.25">
      <c r="A445" s="1" t="s">
        <v>431</v>
      </c>
      <c r="B445" s="1" t="s">
        <v>656</v>
      </c>
      <c r="C445" s="1" t="s">
        <v>965</v>
      </c>
      <c r="D445" s="1" t="s">
        <v>554</v>
      </c>
      <c r="E445" s="1">
        <f>VLOOKUP(A445,BOM!A:E,5,0)</f>
        <v>1</v>
      </c>
      <c r="F445" s="122">
        <v>45.56</v>
      </c>
      <c r="G445" s="10">
        <v>46.82</v>
      </c>
      <c r="H445" s="11" t="s">
        <v>1874</v>
      </c>
      <c r="I445" s="49">
        <f>SUMIFS(BOM!Q:Q,BOM!A:A,'All Products'!A445,BOM!I:I,'All Products'!I$3)</f>
        <v>11.899999999999997</v>
      </c>
      <c r="J445" s="49">
        <f>SUMIFS(BOM!Q:Q,BOM!A:A,'All Products'!A445,BOM!I:I,'All Products'!J$3)+0.03</f>
        <v>0.17</v>
      </c>
      <c r="K445" s="29">
        <f t="shared" si="83"/>
        <v>0.25779581375480559</v>
      </c>
      <c r="L445" s="49">
        <f>SUMIF(BOM!A:A,'All Products'!A445,BOM!S:S)</f>
        <v>7.419304545454545</v>
      </c>
      <c r="M445" s="49">
        <f>SUMIF(BOM!A:A,'All Products'!A445,BOM!V:V)</f>
        <v>0.21720416666666661</v>
      </c>
      <c r="N445" s="29">
        <f t="shared" si="84"/>
        <v>0.16310356070314422</v>
      </c>
      <c r="O445" s="55">
        <v>0</v>
      </c>
      <c r="P445" s="49">
        <f t="shared" si="85"/>
        <v>19.706508712121209</v>
      </c>
      <c r="Q445" s="11">
        <f t="shared" si="86"/>
        <v>27.113491287878791</v>
      </c>
      <c r="R445" s="29">
        <f t="shared" si="87"/>
        <v>0.57910062554205022</v>
      </c>
      <c r="S445" s="91">
        <v>11.2</v>
      </c>
      <c r="T445" s="91">
        <f t="shared" si="93"/>
        <v>524.38400000000001</v>
      </c>
      <c r="U445" s="90">
        <f t="shared" si="94"/>
        <v>303.67110242424246</v>
      </c>
      <c r="V445" s="90">
        <f t="shared" si="95"/>
        <v>303.67110242424246</v>
      </c>
      <c r="W445" s="90">
        <f t="shared" si="96"/>
        <v>0</v>
      </c>
      <c r="Y445" s="34">
        <f t="shared" si="88"/>
        <v>0.74583511319948748</v>
      </c>
      <c r="Z445" s="34"/>
      <c r="AA445" s="4"/>
      <c r="AB445" s="4"/>
      <c r="AE445" s="4"/>
    </row>
    <row r="446" spans="1:31" x14ac:dyDescent="0.25">
      <c r="A446" s="1" t="s">
        <v>966</v>
      </c>
      <c r="B446" s="1" t="s">
        <v>656</v>
      </c>
      <c r="C446" s="1" t="s">
        <v>967</v>
      </c>
      <c r="D446" s="1" t="s">
        <v>554</v>
      </c>
      <c r="E446" s="1">
        <f>VLOOKUP(A446,BOM!A:E,5,0)</f>
        <v>2.5</v>
      </c>
      <c r="F446" s="122">
        <v>55.35</v>
      </c>
      <c r="G446" s="10">
        <v>56.26</v>
      </c>
      <c r="H446" s="11" t="s">
        <v>1874</v>
      </c>
      <c r="I446" s="49" t="e">
        <f>SUMIFS(BOM!Q:Q,BOM!A:A,'All Products'!A446,BOM!I:I,'All Products'!I$3)</f>
        <v>#N/A</v>
      </c>
      <c r="J446" s="49">
        <f>SUMIFS(BOM!Q:Q,BOM!A:A,'All Products'!A446,BOM!I:I,'All Products'!J$3)+0.03</f>
        <v>0.17</v>
      </c>
      <c r="K446" s="29" t="e">
        <f t="shared" si="83"/>
        <v>#N/A</v>
      </c>
      <c r="L446" s="49">
        <f>SUMIF(BOM!A:A,'All Products'!A446,BOM!S:S)</f>
        <v>18.420041666666666</v>
      </c>
      <c r="M446" s="49">
        <f>SUMIF(BOM!A:A,'All Products'!A446,BOM!V:V)</f>
        <v>0.29618749999999999</v>
      </c>
      <c r="N446" s="29">
        <f t="shared" si="84"/>
        <v>0.33267382095034953</v>
      </c>
      <c r="O446" s="55">
        <v>0</v>
      </c>
      <c r="P446" s="49" t="e">
        <f t="shared" si="85"/>
        <v>#N/A</v>
      </c>
      <c r="Q446" s="11" t="e">
        <f t="shared" si="86"/>
        <v>#N/A</v>
      </c>
      <c r="R446" s="29">
        <f t="shared" si="87"/>
        <v>0</v>
      </c>
      <c r="S446" s="91">
        <v>0</v>
      </c>
      <c r="T446" s="91">
        <f t="shared" si="93"/>
        <v>0</v>
      </c>
      <c r="U446" s="90">
        <f t="shared" si="94"/>
        <v>0</v>
      </c>
      <c r="V446" s="90" t="e">
        <f t="shared" si="95"/>
        <v>#N/A</v>
      </c>
      <c r="W446" s="90" t="e">
        <f t="shared" si="96"/>
        <v>#N/A</v>
      </c>
      <c r="X446" t="s">
        <v>4335</v>
      </c>
      <c r="Y446" s="34" t="e">
        <f t="shared" si="88"/>
        <v>#N/A</v>
      </c>
      <c r="Z446" s="34"/>
      <c r="AA446" s="4"/>
      <c r="AB446" s="4"/>
      <c r="AE446" s="4"/>
    </row>
    <row r="447" spans="1:31" x14ac:dyDescent="0.25">
      <c r="A447" s="1" t="s">
        <v>968</v>
      </c>
      <c r="B447" s="1" t="s">
        <v>656</v>
      </c>
      <c r="C447" s="1" t="s">
        <v>969</v>
      </c>
      <c r="D447" s="1" t="s">
        <v>554</v>
      </c>
      <c r="E447" s="1">
        <f>VLOOKUP(A447,BOM!A:E,5,0)</f>
        <v>1</v>
      </c>
      <c r="F447" s="122">
        <v>23.17</v>
      </c>
      <c r="G447" s="10">
        <v>23.54</v>
      </c>
      <c r="H447" s="11" t="s">
        <v>1874</v>
      </c>
      <c r="I447" s="49" t="e">
        <f>SUMIFS(BOM!Q:Q,BOM!A:A,'All Products'!A447,BOM!I:I,'All Products'!I$3)</f>
        <v>#N/A</v>
      </c>
      <c r="J447" s="49">
        <f>SUMIFS(BOM!Q:Q,BOM!A:A,'All Products'!A447,BOM!I:I,'All Products'!J$3)+0.03</f>
        <v>0.17</v>
      </c>
      <c r="K447" s="29" t="e">
        <f t="shared" si="83"/>
        <v>#N/A</v>
      </c>
      <c r="L447" s="49">
        <f>SUMIF(BOM!A:A,'All Products'!A447,BOM!S:S)</f>
        <v>7.3680166666666667</v>
      </c>
      <c r="M447" s="49">
        <f>SUMIF(BOM!A:A,'All Products'!A447,BOM!V:V)</f>
        <v>0.21720416666666661</v>
      </c>
      <c r="N447" s="29">
        <f t="shared" si="84"/>
        <v>0.32222688331917304</v>
      </c>
      <c r="O447" s="55">
        <v>0</v>
      </c>
      <c r="P447" s="49" t="e">
        <f t="shared" si="85"/>
        <v>#N/A</v>
      </c>
      <c r="Q447" s="11" t="e">
        <f t="shared" si="86"/>
        <v>#N/A</v>
      </c>
      <c r="R447" s="29">
        <f t="shared" si="87"/>
        <v>0</v>
      </c>
      <c r="S447" s="91">
        <v>0.4</v>
      </c>
      <c r="T447" s="91">
        <f t="shared" si="93"/>
        <v>9.4160000000000004</v>
      </c>
      <c r="U447" s="90">
        <f t="shared" si="94"/>
        <v>0</v>
      </c>
      <c r="V447" s="90" t="e">
        <f t="shared" si="95"/>
        <v>#N/A</v>
      </c>
      <c r="W447" s="90" t="e">
        <f t="shared" si="96"/>
        <v>#N/A</v>
      </c>
      <c r="X447" t="s">
        <v>4335</v>
      </c>
      <c r="Y447" s="34" t="e">
        <f t="shared" si="88"/>
        <v>#N/A</v>
      </c>
      <c r="Z447" s="34"/>
      <c r="AA447" s="4"/>
      <c r="AB447" s="4"/>
      <c r="AE447" s="4"/>
    </row>
    <row r="448" spans="1:31" x14ac:dyDescent="0.25">
      <c r="A448" s="1" t="s">
        <v>970</v>
      </c>
      <c r="B448" s="1" t="s">
        <v>656</v>
      </c>
      <c r="C448" s="1" t="s">
        <v>824</v>
      </c>
      <c r="D448" s="1" t="s">
        <v>554</v>
      </c>
      <c r="E448" s="1">
        <f>VLOOKUP(A448,BOM!A:E,5,0)</f>
        <v>1</v>
      </c>
      <c r="F448" s="122">
        <v>2.5099999999999998</v>
      </c>
      <c r="G448" s="10">
        <v>2.4900000000000002</v>
      </c>
      <c r="H448" s="11" t="s">
        <v>1874</v>
      </c>
      <c r="I448" s="49">
        <f>SUMIFS(BOM!Q:Q,BOM!A:A,'All Products'!A448,BOM!I:I,'All Products'!I$3)</f>
        <v>1.85</v>
      </c>
      <c r="J448" s="49">
        <f>SUMIFS(BOM!Q:Q,BOM!A:A,'All Products'!A448,BOM!I:I,'All Products'!J$3)+0.03</f>
        <v>0.17</v>
      </c>
      <c r="K448" s="29">
        <f t="shared" si="83"/>
        <v>0.8112449799196787</v>
      </c>
      <c r="L448" s="49">
        <f>SUMIF(BOM!A:A,'All Products'!A448,BOM!S:S)</f>
        <v>5.0774999999999994E-2</v>
      </c>
      <c r="M448" s="49">
        <f>SUMIF(BOM!A:A,'All Products'!A448,BOM!V:V)</f>
        <v>0.21720416666666661</v>
      </c>
      <c r="N448" s="29">
        <f t="shared" si="84"/>
        <v>0.10762215528781791</v>
      </c>
      <c r="O448" s="55">
        <v>0</v>
      </c>
      <c r="P448" s="49">
        <f t="shared" si="85"/>
        <v>2.2879791666666662</v>
      </c>
      <c r="Q448" s="11">
        <f t="shared" si="86"/>
        <v>0.20202083333333398</v>
      </c>
      <c r="R448" s="29">
        <f t="shared" si="87"/>
        <v>8.1132864792503603E-2</v>
      </c>
      <c r="S448" s="91">
        <v>0</v>
      </c>
      <c r="T448" s="91">
        <f t="shared" si="93"/>
        <v>0</v>
      </c>
      <c r="U448" s="90">
        <f t="shared" si="94"/>
        <v>0</v>
      </c>
      <c r="V448" s="90">
        <f t="shared" si="95"/>
        <v>0</v>
      </c>
      <c r="W448" s="90">
        <f t="shared" si="96"/>
        <v>0</v>
      </c>
      <c r="Y448" s="34">
        <f t="shared" si="88"/>
        <v>0.25702811244979923</v>
      </c>
      <c r="Z448" s="34"/>
      <c r="AA448" s="4"/>
      <c r="AB448" s="4"/>
      <c r="AE448" s="4"/>
    </row>
    <row r="449" spans="1:31" x14ac:dyDescent="0.25">
      <c r="A449" s="1" t="s">
        <v>971</v>
      </c>
      <c r="B449" s="1" t="s">
        <v>656</v>
      </c>
      <c r="C449" s="1" t="s">
        <v>972</v>
      </c>
      <c r="D449" s="1" t="s">
        <v>554</v>
      </c>
      <c r="E449" s="1">
        <f>VLOOKUP(A449,BOM!A:E,5,0)</f>
        <v>0.25</v>
      </c>
      <c r="F449" s="122">
        <v>2.0499999999999998</v>
      </c>
      <c r="G449" s="10">
        <v>2.16</v>
      </c>
      <c r="H449" s="11" t="s">
        <v>1874</v>
      </c>
      <c r="I449" s="49">
        <f>SUMIFS(BOM!Q:Q,BOM!A:A,'All Products'!A449,BOM!I:I,'All Products'!I$3)</f>
        <v>0.2564935064935065</v>
      </c>
      <c r="J449" s="49">
        <f>SUMIFS(BOM!Q:Q,BOM!A:A,'All Products'!A449,BOM!I:I,'All Products'!J$3)+0.03</f>
        <v>0.08</v>
      </c>
      <c r="K449" s="29">
        <f t="shared" si="83"/>
        <v>0.15578403078403077</v>
      </c>
      <c r="L449" s="49">
        <f>SUMIF(BOM!A:A,'All Products'!A449,BOM!S:S)</f>
        <v>0.65941558441558434</v>
      </c>
      <c r="M449" s="49">
        <f>SUMIF(BOM!A:A,'All Products'!A449,BOM!V:V)</f>
        <v>0.16078749999999997</v>
      </c>
      <c r="N449" s="29">
        <f t="shared" si="84"/>
        <v>0.37972365019240012</v>
      </c>
      <c r="O449" s="55">
        <v>0</v>
      </c>
      <c r="P449" s="49">
        <f t="shared" si="85"/>
        <v>1.1566965909090907</v>
      </c>
      <c r="Q449" s="11">
        <f t="shared" si="86"/>
        <v>1.0033034090909094</v>
      </c>
      <c r="R449" s="29">
        <f t="shared" si="87"/>
        <v>0.46449231902356913</v>
      </c>
      <c r="S449" s="91">
        <v>0.2</v>
      </c>
      <c r="T449" s="91">
        <f t="shared" si="93"/>
        <v>0.43200000000000005</v>
      </c>
      <c r="U449" s="90">
        <f t="shared" si="94"/>
        <v>0.20066068181818189</v>
      </c>
      <c r="V449" s="90">
        <f t="shared" si="95"/>
        <v>0.20066068181818189</v>
      </c>
      <c r="W449" s="90">
        <f t="shared" si="96"/>
        <v>0</v>
      </c>
      <c r="Y449" s="34">
        <f t="shared" si="88"/>
        <v>0.88125300625300629</v>
      </c>
      <c r="Z449" s="34"/>
      <c r="AA449" s="4"/>
      <c r="AB449" s="4"/>
      <c r="AE449" s="4"/>
    </row>
    <row r="450" spans="1:31" x14ac:dyDescent="0.25">
      <c r="A450" s="1" t="s">
        <v>973</v>
      </c>
      <c r="B450" s="1" t="s">
        <v>656</v>
      </c>
      <c r="C450" s="1" t="s">
        <v>974</v>
      </c>
      <c r="D450" s="1" t="s">
        <v>554</v>
      </c>
      <c r="E450" s="1">
        <f>VLOOKUP(A450,BOM!A:E,5,0)</f>
        <v>0.25</v>
      </c>
      <c r="F450" s="122">
        <v>0.82</v>
      </c>
      <c r="G450" s="10">
        <v>0.79</v>
      </c>
      <c r="H450" s="11" t="s">
        <v>1874</v>
      </c>
      <c r="I450" s="49">
        <f>SUMIFS(BOM!Q:Q,BOM!A:A,'All Products'!A450,BOM!I:I,'All Products'!I$3)</f>
        <v>0.30956202705801428</v>
      </c>
      <c r="J450" s="49">
        <f>SUMIFS(BOM!Q:Q,BOM!A:A,'All Products'!A450,BOM!I:I,'All Products'!J$3)+0.03</f>
        <v>0.08</v>
      </c>
      <c r="K450" s="29">
        <f t="shared" si="83"/>
        <v>0.49311648994685353</v>
      </c>
      <c r="L450" s="49">
        <f>SUMIF(BOM!A:A,'All Products'!A450,BOM!S:S)</f>
        <v>9.4497916666666654E-2</v>
      </c>
      <c r="M450" s="49">
        <f>SUMIF(BOM!A:A,'All Products'!A450,BOM!V:V)</f>
        <v>0.16078749999999997</v>
      </c>
      <c r="N450" s="29">
        <f t="shared" si="84"/>
        <v>0.32314609704641339</v>
      </c>
      <c r="O450" s="55">
        <v>0</v>
      </c>
      <c r="P450" s="49">
        <f t="shared" si="85"/>
        <v>0.64484744372468095</v>
      </c>
      <c r="Q450" s="11">
        <f t="shared" si="86"/>
        <v>0.14515255627531909</v>
      </c>
      <c r="R450" s="29">
        <f t="shared" si="87"/>
        <v>0.18373741300673302</v>
      </c>
      <c r="S450" s="91">
        <v>0</v>
      </c>
      <c r="T450" s="91">
        <f t="shared" si="93"/>
        <v>0</v>
      </c>
      <c r="U450" s="90">
        <f t="shared" si="94"/>
        <v>0</v>
      </c>
      <c r="V450" s="90">
        <f t="shared" si="95"/>
        <v>0</v>
      </c>
      <c r="W450" s="90">
        <f t="shared" si="96"/>
        <v>0</v>
      </c>
      <c r="Y450" s="34">
        <f t="shared" si="88"/>
        <v>0.60814933283795658</v>
      </c>
      <c r="Z450" s="34"/>
      <c r="AA450" s="4"/>
      <c r="AB450" s="4"/>
      <c r="AE450" s="4"/>
    </row>
    <row r="451" spans="1:31" x14ac:dyDescent="0.25">
      <c r="A451" s="1" t="s">
        <v>347</v>
      </c>
      <c r="B451" s="1" t="s">
        <v>656</v>
      </c>
      <c r="C451" s="1" t="s">
        <v>348</v>
      </c>
      <c r="D451" s="1" t="s">
        <v>554</v>
      </c>
      <c r="E451" s="1">
        <f>VLOOKUP(A451,BOM!A:E,5,0)</f>
        <v>0.25</v>
      </c>
      <c r="F451" s="122">
        <v>0.8</v>
      </c>
      <c r="G451" s="10">
        <v>0.82</v>
      </c>
      <c r="H451" s="11" t="s">
        <v>1874</v>
      </c>
      <c r="I451" s="49">
        <f>SUMIFS(BOM!Q:Q,BOM!A:A,'All Products'!A451,BOM!I:I,'All Products'!I$3)</f>
        <v>0.10564310635860037</v>
      </c>
      <c r="J451" s="49">
        <f>SUMIFS(BOM!Q:Q,BOM!A:A,'All Products'!A451,BOM!I:I,'All Products'!J$3)+0.03</f>
        <v>0.08</v>
      </c>
      <c r="K451" s="29">
        <f t="shared" si="83"/>
        <v>0.2263940321446346</v>
      </c>
      <c r="L451" s="49">
        <f>SUMIF(BOM!A:A,'All Products'!A451,BOM!S:S)</f>
        <v>4.9975497818174883E-2</v>
      </c>
      <c r="M451" s="49">
        <f>SUMIF(BOM!A:A,'All Products'!A451,BOM!V:V)</f>
        <v>0.16078749999999997</v>
      </c>
      <c r="N451" s="29">
        <f t="shared" si="84"/>
        <v>0.25702804611972546</v>
      </c>
      <c r="O451" s="55">
        <v>0</v>
      </c>
      <c r="P451" s="49">
        <f t="shared" si="85"/>
        <v>0.39640610417677524</v>
      </c>
      <c r="Q451" s="11">
        <f t="shared" si="86"/>
        <v>0.42359389582322471</v>
      </c>
      <c r="R451" s="29">
        <f t="shared" si="87"/>
        <v>0.51657792173563988</v>
      </c>
      <c r="S451" s="91">
        <v>10.4</v>
      </c>
      <c r="T451" s="91">
        <f t="shared" si="93"/>
        <v>8.5280000000000005</v>
      </c>
      <c r="U451" s="90">
        <f t="shared" si="94"/>
        <v>4.4053765165615371</v>
      </c>
      <c r="V451" s="90">
        <f t="shared" si="95"/>
        <v>4.4053765165615371</v>
      </c>
      <c r="W451" s="90">
        <f t="shared" si="96"/>
        <v>0</v>
      </c>
      <c r="Y451" s="34">
        <f t="shared" si="88"/>
        <v>0.87116694346512147</v>
      </c>
      <c r="Z451" s="34"/>
      <c r="AA451" s="4"/>
      <c r="AB451" s="4"/>
      <c r="AE451" s="4"/>
    </row>
    <row r="452" spans="1:31" x14ac:dyDescent="0.25">
      <c r="A452" s="1" t="s">
        <v>377</v>
      </c>
      <c r="B452" s="1" t="s">
        <v>656</v>
      </c>
      <c r="C452" s="1" t="s">
        <v>378</v>
      </c>
      <c r="D452" s="1" t="s">
        <v>554</v>
      </c>
      <c r="E452" s="1">
        <f>VLOOKUP(A452,BOM!A:E,5,0)</f>
        <v>2.5</v>
      </c>
      <c r="F452" s="122">
        <v>46.56</v>
      </c>
      <c r="G452" s="10">
        <v>46.88</v>
      </c>
      <c r="H452" s="11" t="s">
        <v>1874</v>
      </c>
      <c r="I452" s="49">
        <f>SUMIFS(BOM!Q:Q,BOM!A:A,'All Products'!A452,BOM!I:I,'All Products'!I$3)</f>
        <v>6.2327823691460056</v>
      </c>
      <c r="J452" s="49">
        <f>SUMIFS(BOM!Q:Q,BOM!A:A,'All Products'!A452,BOM!I:I,'All Products'!J$3)+0.03</f>
        <v>0.17</v>
      </c>
      <c r="K452" s="29">
        <f t="shared" ref="K452:K515" si="97">(I452+J452)/G452</f>
        <v>0.13657812220874585</v>
      </c>
      <c r="L452" s="49">
        <f>SUMIF(BOM!A:A,'All Products'!A452,BOM!S:S)</f>
        <v>22.147038567493112</v>
      </c>
      <c r="M452" s="49">
        <f>SUMIF(BOM!A:A,'All Products'!A452,BOM!V:V)</f>
        <v>0.29618749999999999</v>
      </c>
      <c r="N452" s="29">
        <f t="shared" ref="N452:N515" si="98">(L452+M452)/G452</f>
        <v>0.47873775741239566</v>
      </c>
      <c r="O452" s="55">
        <v>0</v>
      </c>
      <c r="P452" s="49">
        <f t="shared" ref="P452:P515" si="99">I452+J452+M452+L452+O452</f>
        <v>28.846008436639117</v>
      </c>
      <c r="Q452" s="11">
        <f>G452-P452</f>
        <v>18.033991563360885</v>
      </c>
      <c r="R452" s="29">
        <f t="shared" ref="R452:R515" si="100">IFERROR((G452-P452)/G452,0)</f>
        <v>0.38468412037885846</v>
      </c>
      <c r="S452" s="93">
        <v>68.2</v>
      </c>
      <c r="T452" s="91">
        <f t="shared" si="93"/>
        <v>3197.2160000000003</v>
      </c>
      <c r="U452" s="90">
        <f t="shared" si="94"/>
        <v>1229.9182246212124</v>
      </c>
      <c r="V452" s="90">
        <f t="shared" si="95"/>
        <v>1229.9182246212124</v>
      </c>
      <c r="W452" s="90">
        <f t="shared" si="96"/>
        <v>0</v>
      </c>
      <c r="Y452" s="34">
        <f t="shared" ref="Y452:Y515" si="101">(G452-I452)/G452</f>
        <v>0.86704815765473531</v>
      </c>
      <c r="Z452" s="34"/>
      <c r="AA452" s="4"/>
      <c r="AB452" s="4"/>
      <c r="AE452" s="4"/>
    </row>
    <row r="453" spans="1:31" x14ac:dyDescent="0.25">
      <c r="A453" s="1" t="s">
        <v>379</v>
      </c>
      <c r="B453" s="1" t="s">
        <v>656</v>
      </c>
      <c r="C453" s="1" t="s">
        <v>380</v>
      </c>
      <c r="D453" s="1" t="s">
        <v>554</v>
      </c>
      <c r="E453" s="1">
        <f>VLOOKUP(A453,BOM!A:E,5,0)</f>
        <v>1</v>
      </c>
      <c r="F453" s="122">
        <v>18.600000000000001</v>
      </c>
      <c r="G453" s="10">
        <v>18.73</v>
      </c>
      <c r="H453" s="11" t="s">
        <v>1874</v>
      </c>
      <c r="I453" s="49">
        <f>SUMIFS(BOM!Q:Q,BOM!A:A,'All Products'!A453,BOM!I:I,'All Products'!I$3)</f>
        <v>2.4931129476584024</v>
      </c>
      <c r="J453" s="49">
        <f>SUMIFS(BOM!Q:Q,BOM!A:A,'All Products'!A453,BOM!I:I,'All Products'!J$3)+0.03</f>
        <v>0.17</v>
      </c>
      <c r="K453" s="29">
        <f t="shared" si="97"/>
        <v>0.14218435385255751</v>
      </c>
      <c r="L453" s="49">
        <f>SUMIF(BOM!A:A,'All Products'!A453,BOM!S:S)</f>
        <v>8.8588154269972446</v>
      </c>
      <c r="M453" s="49">
        <f>SUMIF(BOM!A:A,'All Products'!A453,BOM!V:V)</f>
        <v>0.21720416666666661</v>
      </c>
      <c r="N453" s="29">
        <f t="shared" si="98"/>
        <v>0.48457125433336418</v>
      </c>
      <c r="O453" s="55">
        <v>0</v>
      </c>
      <c r="P453" s="49">
        <f t="shared" si="99"/>
        <v>11.739132541322313</v>
      </c>
      <c r="Q453" s="11">
        <f>G453-P453</f>
        <v>6.9908674586776876</v>
      </c>
      <c r="R453" s="29">
        <f t="shared" si="100"/>
        <v>0.37324439181407837</v>
      </c>
      <c r="S453" s="93">
        <v>49</v>
      </c>
      <c r="T453" s="91">
        <f t="shared" si="93"/>
        <v>917.77</v>
      </c>
      <c r="U453" s="90">
        <f t="shared" si="94"/>
        <v>342.55250547520671</v>
      </c>
      <c r="V453" s="90">
        <f t="shared" si="95"/>
        <v>342.55250547520671</v>
      </c>
      <c r="W453" s="90">
        <f t="shared" si="96"/>
        <v>0</v>
      </c>
      <c r="Y453" s="34">
        <f t="shared" si="101"/>
        <v>0.86689199425208741</v>
      </c>
      <c r="Z453" s="34"/>
      <c r="AA453" s="4"/>
      <c r="AB453" s="4"/>
      <c r="AE453" s="4"/>
    </row>
    <row r="454" spans="1:31" x14ac:dyDescent="0.25">
      <c r="A454" s="1" t="s">
        <v>975</v>
      </c>
      <c r="B454" s="1" t="s">
        <v>656</v>
      </c>
      <c r="C454" s="1" t="s">
        <v>976</v>
      </c>
      <c r="D454" s="1" t="s">
        <v>554</v>
      </c>
      <c r="E454" s="1">
        <f>VLOOKUP(A454,BOM!A:E,5,0)</f>
        <v>1</v>
      </c>
      <c r="F454" s="122">
        <v>8.18</v>
      </c>
      <c r="G454" s="10">
        <v>14.05</v>
      </c>
      <c r="H454" s="11" t="s">
        <v>1874</v>
      </c>
      <c r="I454" s="49">
        <f>SUMIFS(BOM!Q:Q,BOM!A:A,'All Products'!A454,BOM!I:I,'All Products'!I$3)</f>
        <v>2.4925773195876291</v>
      </c>
      <c r="J454" s="49">
        <f>SUMIFS(BOM!Q:Q,BOM!A:A,'All Products'!A454,BOM!I:I,'All Products'!J$3)+0.03</f>
        <v>0.17</v>
      </c>
      <c r="K454" s="29">
        <f t="shared" si="97"/>
        <v>0.18950728253292731</v>
      </c>
      <c r="L454" s="49">
        <f>SUMIF(BOM!A:A,'All Products'!A454,BOM!S:S)</f>
        <v>2.6511180412371131</v>
      </c>
      <c r="M454" s="49">
        <f>SUMIF(BOM!A:A,'All Products'!A454,BOM!V:V)</f>
        <v>0.21720416666666661</v>
      </c>
      <c r="N454" s="29">
        <f t="shared" si="98"/>
        <v>0.20415104682589177</v>
      </c>
      <c r="O454" s="55">
        <v>0</v>
      </c>
      <c r="P454" s="49">
        <f t="shared" si="99"/>
        <v>5.5308995274914086</v>
      </c>
      <c r="Q454" s="11">
        <f>G454-P454</f>
        <v>8.5191004725085921</v>
      </c>
      <c r="R454" s="29">
        <f t="shared" si="100"/>
        <v>0.60634167064118094</v>
      </c>
      <c r="S454" s="91">
        <v>6.4</v>
      </c>
      <c r="T454" s="91">
        <f t="shared" si="93"/>
        <v>89.920000000000016</v>
      </c>
      <c r="U454" s="90">
        <f t="shared" si="94"/>
        <v>54.522243024054994</v>
      </c>
      <c r="V454" s="90">
        <f t="shared" si="95"/>
        <v>54.522243024054994</v>
      </c>
      <c r="W454" s="90">
        <f t="shared" si="96"/>
        <v>0</v>
      </c>
      <c r="Y454" s="34">
        <f t="shared" si="101"/>
        <v>0.82259236159518656</v>
      </c>
      <c r="Z454" s="34"/>
      <c r="AA454" s="4"/>
      <c r="AB454" s="4"/>
      <c r="AE454" s="4"/>
    </row>
    <row r="455" spans="1:31" x14ac:dyDescent="0.25">
      <c r="A455" s="1" t="s">
        <v>977</v>
      </c>
      <c r="B455" s="1" t="s">
        <v>656</v>
      </c>
      <c r="C455" s="1" t="s">
        <v>978</v>
      </c>
      <c r="D455" s="1" t="s">
        <v>554</v>
      </c>
      <c r="E455" s="1">
        <f>VLOOKUP(A455,BOM!A:E,5,0)</f>
        <v>1</v>
      </c>
      <c r="F455" s="122">
        <v>60.54</v>
      </c>
      <c r="G455" s="10">
        <v>67.400000000000006</v>
      </c>
      <c r="H455" s="11" t="s">
        <v>1874</v>
      </c>
      <c r="I455" s="49">
        <f>SUMIFS(BOM!Q:Q,BOM!A:A,'All Products'!A455,BOM!I:I,'All Products'!I$3)</f>
        <v>13.386363636363635</v>
      </c>
      <c r="J455" s="49">
        <f>SUMIFS(BOM!Q:Q,BOM!A:A,'All Products'!A455,BOM!I:I,'All Products'!J$3)+0.03</f>
        <v>0.17</v>
      </c>
      <c r="K455" s="29">
        <f t="shared" si="97"/>
        <v>0.20113299163744264</v>
      </c>
      <c r="L455" s="49">
        <f>SUMIF(BOM!A:A,'All Products'!A455,BOM!S:S)</f>
        <v>6.8139610389610388</v>
      </c>
      <c r="M455" s="49">
        <f>SUMIF(BOM!A:A,'All Products'!A455,BOM!V:V)</f>
        <v>0.21720416666666661</v>
      </c>
      <c r="N455" s="29">
        <f t="shared" si="98"/>
        <v>0.10431995854047039</v>
      </c>
      <c r="O455" s="55">
        <v>0</v>
      </c>
      <c r="P455" s="49">
        <f t="shared" si="99"/>
        <v>20.58752884199134</v>
      </c>
      <c r="Q455" s="11">
        <f>G455-P455</f>
        <v>46.812471158008663</v>
      </c>
      <c r="R455" s="29">
        <f t="shared" si="100"/>
        <v>0.69454704982208693</v>
      </c>
      <c r="S455" s="91">
        <v>0.6</v>
      </c>
      <c r="T455" s="91">
        <f t="shared" si="93"/>
        <v>40.440000000000005</v>
      </c>
      <c r="U455" s="90">
        <f t="shared" si="94"/>
        <v>28.087482694805196</v>
      </c>
      <c r="V455" s="90">
        <f t="shared" si="95"/>
        <v>28.087482694805196</v>
      </c>
      <c r="W455" s="90">
        <f t="shared" si="96"/>
        <v>0</v>
      </c>
      <c r="Y455" s="34">
        <f t="shared" si="101"/>
        <v>0.80138926355543572</v>
      </c>
      <c r="Z455" s="34"/>
      <c r="AA455" s="4"/>
      <c r="AB455" s="4"/>
      <c r="AE455" s="4"/>
    </row>
    <row r="456" spans="1:31" x14ac:dyDescent="0.25">
      <c r="A456" s="1" t="s">
        <v>979</v>
      </c>
      <c r="B456" s="1" t="s">
        <v>552</v>
      </c>
      <c r="C456" s="1" t="s">
        <v>980</v>
      </c>
      <c r="D456" s="1" t="s">
        <v>554</v>
      </c>
      <c r="E456" s="1">
        <f>VLOOKUP(A456,BOM!A:E,5,0)</f>
        <v>2.5</v>
      </c>
      <c r="F456" s="122">
        <v>0</v>
      </c>
      <c r="G456" s="145"/>
      <c r="H456" s="11" t="s">
        <v>1873</v>
      </c>
      <c r="I456" s="49">
        <f>SUMIFS(BOM!Q:Q,BOM!A:A,'All Products'!A456,BOM!I:I,'All Products'!I$3)</f>
        <v>1.2721705126676555</v>
      </c>
      <c r="J456" s="49">
        <f>SUMIFS(BOM!Q:Q,BOM!A:A,'All Products'!A456,BOM!I:I,'All Products'!J$3)+0.03</f>
        <v>0.17</v>
      </c>
      <c r="K456" s="29" t="e">
        <f t="shared" si="97"/>
        <v>#DIV/0!</v>
      </c>
      <c r="L456" s="49">
        <f>SUMIF(BOM!A:A,'All Products'!A456,BOM!S:S)</f>
        <v>0.70118460973739472</v>
      </c>
      <c r="M456" s="49">
        <f>SUMIF(BOM!A:A,'All Products'!A456,BOM!V:V)</f>
        <v>0.29618749999999999</v>
      </c>
      <c r="N456" s="29" t="e">
        <f t="shared" si="98"/>
        <v>#DIV/0!</v>
      </c>
      <c r="O456" s="55">
        <v>0</v>
      </c>
      <c r="P456" s="49">
        <f t="shared" si="99"/>
        <v>2.43954262240505</v>
      </c>
      <c r="Q456" s="11" t="e">
        <v>#N/A</v>
      </c>
      <c r="R456" s="29">
        <f t="shared" si="100"/>
        <v>0</v>
      </c>
      <c r="S456" s="93">
        <v>0</v>
      </c>
      <c r="T456" s="91">
        <f t="shared" si="93"/>
        <v>0</v>
      </c>
      <c r="U456" s="90">
        <f t="shared" si="94"/>
        <v>0</v>
      </c>
      <c r="V456" s="90">
        <f t="shared" si="95"/>
        <v>0</v>
      </c>
      <c r="W456" s="90">
        <f t="shared" si="96"/>
        <v>0</v>
      </c>
      <c r="Y456" s="34" t="e">
        <f t="shared" si="101"/>
        <v>#DIV/0!</v>
      </c>
      <c r="Z456" s="34"/>
      <c r="AA456" s="4"/>
      <c r="AB456" s="4"/>
      <c r="AE456" s="4"/>
    </row>
    <row r="457" spans="1:31" x14ac:dyDescent="0.25">
      <c r="A457" s="1" t="s">
        <v>515</v>
      </c>
      <c r="B457" s="1" t="s">
        <v>552</v>
      </c>
      <c r="C457" s="1" t="s">
        <v>516</v>
      </c>
      <c r="D457" s="1" t="s">
        <v>981</v>
      </c>
      <c r="E457" s="1">
        <f>VLOOKUP(A457,BOM!A:E,5,0)</f>
        <v>1</v>
      </c>
      <c r="F457" s="122">
        <v>4.0018750000000001</v>
      </c>
      <c r="G457" s="10">
        <v>3.63</v>
      </c>
      <c r="H457" s="11" t="s">
        <v>1874</v>
      </c>
      <c r="I457" s="49">
        <f>SUMIFS(BOM!Q:Q,BOM!A:A,'All Products'!A457,BOM!I:I,'All Products'!I$3)</f>
        <v>1.4099999999999997</v>
      </c>
      <c r="J457" s="49">
        <f>SUMIFS(BOM!Q:Q,BOM!A:A,'All Products'!A457,BOM!I:I,'All Products'!J$3)+0.03</f>
        <v>0.58000000000000007</v>
      </c>
      <c r="K457" s="29">
        <f t="shared" si="97"/>
        <v>0.54820936639118456</v>
      </c>
      <c r="L457" s="49">
        <f>SUMIF(BOM!A:A,'All Products'!A457,BOM!S:S)</f>
        <v>1.0343055555555554</v>
      </c>
      <c r="M457" s="49">
        <f>SUMIF(BOM!A:A,'All Products'!A457,BOM!V:V)</f>
        <v>0.21156249999999999</v>
      </c>
      <c r="N457" s="29">
        <f t="shared" si="98"/>
        <v>0.34321434037343129</v>
      </c>
      <c r="O457" s="55">
        <v>0</v>
      </c>
      <c r="P457" s="49">
        <f t="shared" si="99"/>
        <v>3.2358680555555548</v>
      </c>
      <c r="Q457" s="11">
        <f t="shared" ref="Q457:Q469" si="102">G457-P457</f>
        <v>0.3941319444444451</v>
      </c>
      <c r="R457" s="29">
        <f t="shared" si="100"/>
        <v>0.10857629323538433</v>
      </c>
      <c r="S457" s="93">
        <v>6.8</v>
      </c>
      <c r="T457" s="91">
        <f t="shared" si="93"/>
        <v>24.683999999999997</v>
      </c>
      <c r="U457" s="90">
        <f t="shared" si="94"/>
        <v>2.6800972222222268</v>
      </c>
      <c r="V457" s="90">
        <f t="shared" si="95"/>
        <v>2.6800972222222268</v>
      </c>
      <c r="W457" s="90">
        <f t="shared" si="96"/>
        <v>0</v>
      </c>
      <c r="Y457" s="34">
        <f t="shared" si="101"/>
        <v>0.61157024793388437</v>
      </c>
      <c r="Z457" s="34"/>
      <c r="AA457" s="4"/>
      <c r="AB457" s="4"/>
      <c r="AE457" s="4"/>
    </row>
    <row r="458" spans="1:31" x14ac:dyDescent="0.25">
      <c r="A458" s="1" t="s">
        <v>982</v>
      </c>
      <c r="B458" s="1" t="s">
        <v>552</v>
      </c>
      <c r="C458" s="1" t="s">
        <v>983</v>
      </c>
      <c r="D458" s="1" t="s">
        <v>554</v>
      </c>
      <c r="E458" s="1">
        <f>VLOOKUP(A458,BOM!A:E,5,0)</f>
        <v>15</v>
      </c>
      <c r="F458" s="122">
        <v>13.9</v>
      </c>
      <c r="G458" s="10">
        <v>18.77</v>
      </c>
      <c r="H458" s="11" t="s">
        <v>1874</v>
      </c>
      <c r="I458" s="49" t="e">
        <f>SUMIFS(BOM!Q:Q,BOM!A:A,'All Products'!A458,BOM!I:I,'All Products'!I$3)</f>
        <v>#N/A</v>
      </c>
      <c r="J458" s="152">
        <f>SUMIFS(BOM!Q:Q,BOM!A:A,'All Products'!A458,BOM!I:I,'All Products'!J$3)+0.03</f>
        <v>3.4899999999999998</v>
      </c>
      <c r="K458" s="29" t="e">
        <f t="shared" si="97"/>
        <v>#N/A</v>
      </c>
      <c r="L458" s="49">
        <f>SUMIF(BOM!A:A,'All Products'!A458,BOM!S:S)</f>
        <v>1.2693749999999999</v>
      </c>
      <c r="M458" s="49">
        <f>SUMIF(BOM!A:A,'All Products'!A458,BOM!V:V)</f>
        <v>0.45697499999999996</v>
      </c>
      <c r="N458" s="29">
        <f t="shared" si="98"/>
        <v>9.1973894512519971E-2</v>
      </c>
      <c r="O458" s="55">
        <v>0</v>
      </c>
      <c r="P458" s="49" t="e">
        <f t="shared" si="99"/>
        <v>#N/A</v>
      </c>
      <c r="Q458" s="11" t="e">
        <f t="shared" si="102"/>
        <v>#N/A</v>
      </c>
      <c r="R458" s="29">
        <f t="shared" si="100"/>
        <v>0</v>
      </c>
      <c r="S458" s="93">
        <v>0</v>
      </c>
      <c r="T458" s="91">
        <f t="shared" si="93"/>
        <v>0</v>
      </c>
      <c r="U458" s="90">
        <f t="shared" si="94"/>
        <v>0</v>
      </c>
      <c r="V458" s="90" t="e">
        <f t="shared" si="95"/>
        <v>#N/A</v>
      </c>
      <c r="W458" s="90" t="e">
        <f t="shared" si="96"/>
        <v>#N/A</v>
      </c>
      <c r="X458" t="s">
        <v>4332</v>
      </c>
      <c r="Y458" s="34" t="e">
        <f t="shared" si="101"/>
        <v>#N/A</v>
      </c>
      <c r="Z458" s="34"/>
      <c r="AA458" s="4"/>
      <c r="AB458" s="4"/>
      <c r="AE458" s="4"/>
    </row>
    <row r="459" spans="1:31" x14ac:dyDescent="0.25">
      <c r="A459" s="134" t="s">
        <v>132</v>
      </c>
      <c r="B459" s="1" t="s">
        <v>656</v>
      </c>
      <c r="C459" s="1" t="s">
        <v>133</v>
      </c>
      <c r="D459" s="1" t="s">
        <v>554</v>
      </c>
      <c r="E459" s="1">
        <f>VLOOKUP(A459,BOM!A:E,5,0)</f>
        <v>2.5</v>
      </c>
      <c r="F459" s="122">
        <v>11.9</v>
      </c>
      <c r="G459" s="10">
        <v>11.32</v>
      </c>
      <c r="H459" s="11" t="s">
        <v>1874</v>
      </c>
      <c r="I459" s="49">
        <f>SUMIFS(BOM!Q:Q,BOM!A:A,'All Products'!A459,BOM!I:I,'All Products'!I$3)</f>
        <v>2.6829268292682928</v>
      </c>
      <c r="J459" s="49">
        <f>SUMIFS(BOM!Q:Q,BOM!A:A,'All Products'!A459,BOM!I:I,'All Products'!J$3)+0.03</f>
        <v>0.17</v>
      </c>
      <c r="K459" s="29">
        <f t="shared" si="97"/>
        <v>0.25202533827458418</v>
      </c>
      <c r="L459" s="49">
        <f>SUMIF(BOM!A:A,'All Products'!A459,BOM!S:S)</f>
        <v>3.1141999999999999</v>
      </c>
      <c r="M459" s="49">
        <f>SUMIF(BOM!A:A,'All Products'!A459,BOM!V:V)</f>
        <v>0.29618749999999999</v>
      </c>
      <c r="N459" s="29">
        <f t="shared" si="98"/>
        <v>0.30127098056537099</v>
      </c>
      <c r="O459" s="55">
        <v>0</v>
      </c>
      <c r="P459" s="49">
        <f t="shared" si="99"/>
        <v>6.263314329268292</v>
      </c>
      <c r="Q459" s="11">
        <f t="shared" si="102"/>
        <v>5.0566856707317083</v>
      </c>
      <c r="R459" s="29">
        <f t="shared" si="100"/>
        <v>0.44670368116004489</v>
      </c>
      <c r="S459" s="91">
        <v>397.4</v>
      </c>
      <c r="T459" s="91">
        <f t="shared" si="93"/>
        <v>4498.5680000000002</v>
      </c>
      <c r="U459" s="90">
        <f t="shared" si="94"/>
        <v>2009.5268855487807</v>
      </c>
      <c r="V459" s="90">
        <f t="shared" si="95"/>
        <v>2009.5268855487807</v>
      </c>
      <c r="W459" s="90">
        <f t="shared" si="96"/>
        <v>0</v>
      </c>
      <c r="Y459" s="34">
        <f t="shared" si="101"/>
        <v>0.76299232956993879</v>
      </c>
      <c r="Z459" s="34"/>
      <c r="AA459" s="4"/>
      <c r="AB459" s="4"/>
      <c r="AE459" s="4"/>
    </row>
    <row r="460" spans="1:31" x14ac:dyDescent="0.25">
      <c r="A460" s="1" t="s">
        <v>984</v>
      </c>
      <c r="B460" s="1" t="s">
        <v>656</v>
      </c>
      <c r="C460" s="1" t="s">
        <v>985</v>
      </c>
      <c r="D460" s="1" t="s">
        <v>554</v>
      </c>
      <c r="E460" s="1">
        <f>VLOOKUP(A460,BOM!A:E,5,0)</f>
        <v>1</v>
      </c>
      <c r="F460" s="122">
        <v>12.53</v>
      </c>
      <c r="G460" s="10">
        <v>12.67</v>
      </c>
      <c r="H460" s="11" t="s">
        <v>1874</v>
      </c>
      <c r="I460" s="49">
        <f>SUMIFS(BOM!Q:Q,BOM!A:A,'All Products'!A460,BOM!I:I,'All Products'!I$3)</f>
        <v>1.9376770538243626</v>
      </c>
      <c r="J460" s="49">
        <f>SUMIFS(BOM!Q:Q,BOM!A:A,'All Products'!A460,BOM!I:I,'All Products'!J$3)+0.03</f>
        <v>0.17</v>
      </c>
      <c r="K460" s="29">
        <f t="shared" si="97"/>
        <v>0.16635178009663476</v>
      </c>
      <c r="L460" s="49">
        <f>SUMIF(BOM!A:A,'All Products'!A460,BOM!S:S)</f>
        <v>2.9110999999999998</v>
      </c>
      <c r="M460" s="49">
        <f>SUMIF(BOM!A:A,'All Products'!A460,BOM!V:V)</f>
        <v>0.21720416666666661</v>
      </c>
      <c r="N460" s="29">
        <f t="shared" si="98"/>
        <v>0.24690640620889237</v>
      </c>
      <c r="O460" s="55">
        <v>0</v>
      </c>
      <c r="P460" s="49">
        <f t="shared" si="99"/>
        <v>5.2359812204910288</v>
      </c>
      <c r="Q460" s="11">
        <f t="shared" si="102"/>
        <v>7.4340187795089712</v>
      </c>
      <c r="R460" s="29">
        <f t="shared" si="100"/>
        <v>0.58674181369447287</v>
      </c>
      <c r="S460" s="91">
        <v>0</v>
      </c>
      <c r="T460" s="91">
        <f t="shared" si="93"/>
        <v>0</v>
      </c>
      <c r="U460" s="90">
        <f t="shared" si="94"/>
        <v>0</v>
      </c>
      <c r="V460" s="90">
        <f t="shared" si="95"/>
        <v>0</v>
      </c>
      <c r="W460" s="90">
        <f t="shared" si="96"/>
        <v>0</v>
      </c>
      <c r="Y460" s="34">
        <f t="shared" si="101"/>
        <v>0.84706574160817971</v>
      </c>
      <c r="Z460" s="34"/>
      <c r="AA460" s="4"/>
      <c r="AB460" s="4"/>
      <c r="AE460" s="4"/>
    </row>
    <row r="461" spans="1:31" x14ac:dyDescent="0.25">
      <c r="A461" s="1" t="s">
        <v>267</v>
      </c>
      <c r="B461" s="1" t="s">
        <v>656</v>
      </c>
      <c r="C461" s="1" t="s">
        <v>986</v>
      </c>
      <c r="D461" s="1" t="s">
        <v>554</v>
      </c>
      <c r="E461" s="1">
        <f>VLOOKUP(A461,BOM!A:E,5,0)</f>
        <v>0.25</v>
      </c>
      <c r="F461" s="122">
        <v>2.61</v>
      </c>
      <c r="G461" s="10">
        <v>2.59</v>
      </c>
      <c r="H461" s="11" t="s">
        <v>1874</v>
      </c>
      <c r="I461" s="49">
        <f>SUMIFS(BOM!Q:Q,BOM!A:A,'All Products'!A461,BOM!I:I,'All Products'!I$3)</f>
        <v>0.97749999999999981</v>
      </c>
      <c r="J461" s="49">
        <f>SUMIFS(BOM!Q:Q,BOM!A:A,'All Products'!A461,BOM!I:I,'All Products'!J$3)+0.03</f>
        <v>0.08</v>
      </c>
      <c r="K461" s="29">
        <f t="shared" si="97"/>
        <v>0.40830115830115826</v>
      </c>
      <c r="L461" s="49">
        <f>SUMIF(BOM!A:A,'All Products'!A461,BOM!S:S)</f>
        <v>0.10249027777777778</v>
      </c>
      <c r="M461" s="49">
        <f>SUMIF(BOM!A:A,'All Products'!A461,BOM!V:V)</f>
        <v>0.16078749999999997</v>
      </c>
      <c r="N461" s="29">
        <f t="shared" si="98"/>
        <v>0.10165165165165163</v>
      </c>
      <c r="O461" s="55">
        <v>0</v>
      </c>
      <c r="P461" s="49">
        <f t="shared" si="99"/>
        <v>1.3207777777777776</v>
      </c>
      <c r="Q461" s="11">
        <f t="shared" si="102"/>
        <v>1.2692222222222223</v>
      </c>
      <c r="R461" s="29">
        <f t="shared" si="100"/>
        <v>0.49004719004719011</v>
      </c>
      <c r="S461" s="91">
        <v>25.4</v>
      </c>
      <c r="T461" s="91">
        <f t="shared" si="93"/>
        <v>65.785999999999987</v>
      </c>
      <c r="U461" s="90">
        <f t="shared" si="94"/>
        <v>32.23824444444444</v>
      </c>
      <c r="V461" s="90">
        <f t="shared" si="95"/>
        <v>32.23824444444444</v>
      </c>
      <c r="W461" s="90">
        <f t="shared" si="96"/>
        <v>0</v>
      </c>
      <c r="Y461" s="34">
        <f t="shared" si="101"/>
        <v>0.62258687258687262</v>
      </c>
      <c r="Z461" s="34"/>
      <c r="AA461" s="4"/>
      <c r="AB461" s="4"/>
      <c r="AE461" s="4"/>
    </row>
    <row r="462" spans="1:31" x14ac:dyDescent="0.25">
      <c r="A462" s="1" t="s">
        <v>268</v>
      </c>
      <c r="B462" s="1" t="s">
        <v>656</v>
      </c>
      <c r="C462" s="1" t="s">
        <v>987</v>
      </c>
      <c r="D462" s="1" t="s">
        <v>554</v>
      </c>
      <c r="E462" s="1">
        <f>VLOOKUP(A462,BOM!A:E,5,0)</f>
        <v>2.5</v>
      </c>
      <c r="F462" s="122">
        <v>18.43</v>
      </c>
      <c r="G462" s="10">
        <v>18.11</v>
      </c>
      <c r="H462" s="11" t="s">
        <v>1874</v>
      </c>
      <c r="I462" s="49">
        <f>SUMIFS(BOM!Q:Q,BOM!A:A,'All Products'!A462,BOM!I:I,'All Products'!I$3)</f>
        <v>9.7749999999999986</v>
      </c>
      <c r="J462" s="49">
        <f>SUMIFS(BOM!Q:Q,BOM!A:A,'All Products'!A462,BOM!I:I,'All Products'!J$3)+0.03</f>
        <v>0.17</v>
      </c>
      <c r="K462" s="29">
        <f t="shared" si="97"/>
        <v>0.54914411927112083</v>
      </c>
      <c r="L462" s="49">
        <f>SUMIF(BOM!A:A,'All Products'!A462,BOM!S:S)</f>
        <v>1.0249027777777777</v>
      </c>
      <c r="M462" s="49">
        <f>SUMIF(BOM!A:A,'All Products'!A462,BOM!V:V)</f>
        <v>0.29618749999999999</v>
      </c>
      <c r="N462" s="29">
        <f t="shared" si="98"/>
        <v>7.2948110313516168E-2</v>
      </c>
      <c r="O462" s="55">
        <v>0</v>
      </c>
      <c r="P462" s="49">
        <f t="shared" si="99"/>
        <v>11.266090277777776</v>
      </c>
      <c r="Q462" s="11">
        <f t="shared" si="102"/>
        <v>6.8439097222222234</v>
      </c>
      <c r="R462" s="29">
        <f t="shared" si="100"/>
        <v>0.377907770415363</v>
      </c>
      <c r="S462" s="91">
        <v>172.6</v>
      </c>
      <c r="T462" s="91">
        <f t="shared" si="93"/>
        <v>3125.7859999999996</v>
      </c>
      <c r="U462" s="90">
        <f t="shared" si="94"/>
        <v>1181.2588180555558</v>
      </c>
      <c r="V462" s="90">
        <f t="shared" si="95"/>
        <v>1181.2588180555558</v>
      </c>
      <c r="W462" s="90">
        <f t="shared" si="96"/>
        <v>0</v>
      </c>
      <c r="Y462" s="34">
        <f t="shared" si="101"/>
        <v>0.46024295969077866</v>
      </c>
      <c r="Z462" s="34"/>
      <c r="AA462" s="4"/>
      <c r="AB462" s="4"/>
      <c r="AE462" s="4"/>
    </row>
    <row r="463" spans="1:31" x14ac:dyDescent="0.25">
      <c r="A463" s="1" t="s">
        <v>373</v>
      </c>
      <c r="B463" s="1" t="s">
        <v>656</v>
      </c>
      <c r="C463" s="1" t="s">
        <v>374</v>
      </c>
      <c r="D463" s="1" t="s">
        <v>554</v>
      </c>
      <c r="E463" s="1">
        <f>VLOOKUP(A463,BOM!A:E,5,0)</f>
        <v>2.5</v>
      </c>
      <c r="F463" s="122">
        <v>25.52</v>
      </c>
      <c r="G463" s="10">
        <v>24.85</v>
      </c>
      <c r="H463" s="11" t="s">
        <v>1874</v>
      </c>
      <c r="I463" s="49">
        <f>SUMIFS(BOM!Q:Q,BOM!A:A,'All Products'!A463,BOM!I:I,'All Products'!I$3)</f>
        <v>3.1065068493150685</v>
      </c>
      <c r="J463" s="49">
        <f>SUMIFS(BOM!Q:Q,BOM!A:A,'All Products'!A463,BOM!I:I,'All Products'!J$3)+0.03</f>
        <v>0.17</v>
      </c>
      <c r="K463" s="29">
        <f t="shared" si="97"/>
        <v>0.13185138226619994</v>
      </c>
      <c r="L463" s="49">
        <f>SUMIF(BOM!A:A,'All Products'!A463,BOM!S:S)</f>
        <v>4.4004999999999992</v>
      </c>
      <c r="M463" s="49">
        <f>SUMIF(BOM!A:A,'All Products'!A463,BOM!V:V)</f>
        <v>0.29618749999999999</v>
      </c>
      <c r="N463" s="29">
        <f t="shared" si="98"/>
        <v>0.18900150905432592</v>
      </c>
      <c r="O463" s="55">
        <v>0</v>
      </c>
      <c r="P463" s="49">
        <f t="shared" si="99"/>
        <v>7.973194349315067</v>
      </c>
      <c r="Q463" s="11">
        <f t="shared" si="102"/>
        <v>16.876805650684936</v>
      </c>
      <c r="R463" s="29">
        <f t="shared" si="100"/>
        <v>0.67914710867947425</v>
      </c>
      <c r="S463" s="91">
        <v>28.8</v>
      </c>
      <c r="T463" s="91">
        <f t="shared" si="93"/>
        <v>715.68000000000006</v>
      </c>
      <c r="U463" s="90">
        <f t="shared" si="94"/>
        <v>486.05200273972616</v>
      </c>
      <c r="V463" s="90">
        <f t="shared" si="95"/>
        <v>486.05200273972616</v>
      </c>
      <c r="W463" s="90">
        <f t="shared" si="96"/>
        <v>0</v>
      </c>
      <c r="Y463" s="34">
        <f t="shared" si="101"/>
        <v>0.87498966401146605</v>
      </c>
      <c r="Z463" s="34"/>
      <c r="AA463" s="4"/>
      <c r="AB463" s="4"/>
      <c r="AE463" s="4"/>
    </row>
    <row r="464" spans="1:31" x14ac:dyDescent="0.25">
      <c r="A464" s="1" t="s">
        <v>269</v>
      </c>
      <c r="B464" s="1" t="s">
        <v>656</v>
      </c>
      <c r="C464" s="1" t="s">
        <v>988</v>
      </c>
      <c r="D464" s="1" t="s">
        <v>554</v>
      </c>
      <c r="E464" s="1">
        <f>VLOOKUP(A464,BOM!A:E,5,0)</f>
        <v>1</v>
      </c>
      <c r="F464" s="122">
        <v>7.37</v>
      </c>
      <c r="G464" s="10">
        <v>7.24</v>
      </c>
      <c r="H464" s="11" t="s">
        <v>1874</v>
      </c>
      <c r="I464" s="49">
        <f>SUMIFS(BOM!Q:Q,BOM!A:A,'All Products'!A464,BOM!I:I,'All Products'!I$3)</f>
        <v>3.9099999999999993</v>
      </c>
      <c r="J464" s="49">
        <f>SUMIFS(BOM!Q:Q,BOM!A:A,'All Products'!A464,BOM!I:I,'All Products'!J$3)+0.03</f>
        <v>0.17</v>
      </c>
      <c r="K464" s="29">
        <f t="shared" si="97"/>
        <v>0.56353591160220984</v>
      </c>
      <c r="L464" s="49">
        <f>SUMIF(BOM!A:A,'All Products'!A464,BOM!S:S)</f>
        <v>0.40996111111111111</v>
      </c>
      <c r="M464" s="49">
        <f>SUMIF(BOM!A:A,'All Products'!A464,BOM!V:V)</f>
        <v>0.21720416666666661</v>
      </c>
      <c r="N464" s="29">
        <f t="shared" si="98"/>
        <v>8.6625038367096369E-2</v>
      </c>
      <c r="O464" s="55">
        <v>0</v>
      </c>
      <c r="P464" s="49">
        <f t="shared" si="99"/>
        <v>4.7071652777777775</v>
      </c>
      <c r="Q464" s="11">
        <f t="shared" si="102"/>
        <v>2.5328347222222227</v>
      </c>
      <c r="R464" s="29">
        <f t="shared" si="100"/>
        <v>0.34983905003069371</v>
      </c>
      <c r="S464" s="91">
        <v>55</v>
      </c>
      <c r="T464" s="91">
        <f t="shared" si="93"/>
        <v>398.2</v>
      </c>
      <c r="U464" s="90">
        <f t="shared" si="94"/>
        <v>139.30590972222225</v>
      </c>
      <c r="V464" s="90">
        <f t="shared" si="95"/>
        <v>139.30590972222225</v>
      </c>
      <c r="W464" s="90">
        <f t="shared" si="96"/>
        <v>0</v>
      </c>
      <c r="Y464" s="34">
        <f t="shared" si="101"/>
        <v>0.4599447513812156</v>
      </c>
      <c r="Z464" s="34"/>
      <c r="AA464" s="4"/>
      <c r="AB464" s="4"/>
      <c r="AE464" s="4"/>
    </row>
    <row r="465" spans="1:31" x14ac:dyDescent="0.25">
      <c r="A465" s="1" t="s">
        <v>429</v>
      </c>
      <c r="B465" s="1" t="s">
        <v>656</v>
      </c>
      <c r="C465" s="1" t="s">
        <v>430</v>
      </c>
      <c r="D465" s="1" t="s">
        <v>554</v>
      </c>
      <c r="E465" s="1">
        <f>VLOOKUP(A465,BOM!A:E,5,0)</f>
        <v>1</v>
      </c>
      <c r="F465" s="122">
        <v>10.210000000000001</v>
      </c>
      <c r="G465" s="10">
        <v>9.9499999999999993</v>
      </c>
      <c r="H465" s="11" t="s">
        <v>1874</v>
      </c>
      <c r="I465" s="49">
        <f>SUMIFS(BOM!Q:Q,BOM!A:A,'All Products'!A465,BOM!I:I,'All Products'!I$3)</f>
        <v>1.2426027397260275</v>
      </c>
      <c r="J465" s="49">
        <f>SUMIFS(BOM!Q:Q,BOM!A:A,'All Products'!A465,BOM!I:I,'All Products'!J$3)+0.03</f>
        <v>0.17</v>
      </c>
      <c r="K465" s="29">
        <f t="shared" si="97"/>
        <v>0.14197012459558067</v>
      </c>
      <c r="L465" s="49">
        <f>SUMIF(BOM!A:A,'All Products'!A465,BOM!S:S)</f>
        <v>1.7601999999999995</v>
      </c>
      <c r="M465" s="49">
        <f>SUMIF(BOM!A:A,'All Products'!A465,BOM!V:V)</f>
        <v>0.21720416666666661</v>
      </c>
      <c r="N465" s="29">
        <f t="shared" si="98"/>
        <v>0.19873408710217752</v>
      </c>
      <c r="O465" s="55">
        <v>0</v>
      </c>
      <c r="P465" s="49">
        <f t="shared" si="99"/>
        <v>3.3900069063926939</v>
      </c>
      <c r="Q465" s="11">
        <f t="shared" si="102"/>
        <v>6.5599930936073054</v>
      </c>
      <c r="R465" s="29">
        <f t="shared" si="100"/>
        <v>0.65929578830224178</v>
      </c>
      <c r="S465" s="91">
        <v>6</v>
      </c>
      <c r="T465" s="91">
        <f t="shared" si="93"/>
        <v>59.699999999999996</v>
      </c>
      <c r="U465" s="90">
        <f t="shared" si="94"/>
        <v>39.359958561643836</v>
      </c>
      <c r="V465" s="90">
        <f t="shared" si="95"/>
        <v>39.359958561643836</v>
      </c>
      <c r="W465" s="90">
        <f t="shared" si="96"/>
        <v>0</v>
      </c>
      <c r="Y465" s="34">
        <f t="shared" si="101"/>
        <v>0.87511530254009773</v>
      </c>
      <c r="Z465" s="34"/>
      <c r="AA465" s="4"/>
      <c r="AB465" s="4"/>
      <c r="AE465" s="4"/>
    </row>
    <row r="466" spans="1:31" x14ac:dyDescent="0.25">
      <c r="A466" s="1" t="s">
        <v>989</v>
      </c>
      <c r="B466" s="1" t="s">
        <v>656</v>
      </c>
      <c r="C466" s="1" t="s">
        <v>990</v>
      </c>
      <c r="D466" s="1" t="s">
        <v>554</v>
      </c>
      <c r="E466" s="1">
        <f>VLOOKUP(A466,BOM!A:E,5,0)</f>
        <v>1</v>
      </c>
      <c r="F466" s="122">
        <v>11.767389184397164</v>
      </c>
      <c r="G466" s="10">
        <v>11.77</v>
      </c>
      <c r="H466" s="11" t="s">
        <v>1873</v>
      </c>
      <c r="I466" s="49">
        <f>SUMIFS(BOM!Q:Q,BOM!A:A,'All Products'!A466,BOM!I:I,'All Products'!I$3)</f>
        <v>0</v>
      </c>
      <c r="J466" s="49">
        <f>SUMIFS(BOM!Q:Q,BOM!A:A,'All Products'!A466,BOM!I:I,'All Products'!J$3)+0.03</f>
        <v>0.17</v>
      </c>
      <c r="K466" s="29">
        <f t="shared" si="97"/>
        <v>1.4443500424808837E-2</v>
      </c>
      <c r="L466" s="49">
        <f>SUMIF(BOM!A:A,'All Products'!A466,BOM!S:S)</f>
        <v>0</v>
      </c>
      <c r="M466" s="49">
        <f>SUMIF(BOM!A:A,'All Products'!A466,BOM!V:V)</f>
        <v>0.21720416666666661</v>
      </c>
      <c r="N466" s="29">
        <f t="shared" si="98"/>
        <v>1.8454049844236757E-2</v>
      </c>
      <c r="O466" s="55">
        <v>0</v>
      </c>
      <c r="P466" s="49">
        <f t="shared" si="99"/>
        <v>0.38720416666666663</v>
      </c>
      <c r="Q466" s="11">
        <f t="shared" si="102"/>
        <v>11.382795833333333</v>
      </c>
      <c r="R466" s="29">
        <f t="shared" si="100"/>
        <v>0.96710244973095438</v>
      </c>
      <c r="S466" s="83"/>
      <c r="T466" s="83"/>
      <c r="U466" s="83"/>
      <c r="V466" s="83"/>
      <c r="W466" s="83"/>
      <c r="Y466" s="34">
        <f t="shared" si="101"/>
        <v>1</v>
      </c>
      <c r="Z466" s="34"/>
      <c r="AD466" t="e">
        <f>_xlfn.XLOOKUP(A466,AF:AF,AF:AF)</f>
        <v>#N/A</v>
      </c>
      <c r="AE466" s="4"/>
    </row>
    <row r="467" spans="1:31" x14ac:dyDescent="0.25">
      <c r="A467" s="1" t="s">
        <v>991</v>
      </c>
      <c r="B467" s="1" t="s">
        <v>656</v>
      </c>
      <c r="C467" s="1" t="s">
        <v>992</v>
      </c>
      <c r="D467" s="1" t="s">
        <v>554</v>
      </c>
      <c r="E467" s="1">
        <f>VLOOKUP(A467,BOM!A:E,5,0)</f>
        <v>2.5</v>
      </c>
      <c r="F467" s="122">
        <v>29.366910460992909</v>
      </c>
      <c r="G467" s="10">
        <v>29.38</v>
      </c>
      <c r="H467" s="11" t="s">
        <v>1873</v>
      </c>
      <c r="I467" s="49">
        <f>SUMIFS(BOM!Q:Q,BOM!A:A,'All Products'!A467,BOM!I:I,'All Products'!I$3)</f>
        <v>0</v>
      </c>
      <c r="J467" s="49">
        <f>SUMIFS(BOM!Q:Q,BOM!A:A,'All Products'!A467,BOM!I:I,'All Products'!J$3)+0.03</f>
        <v>0.17</v>
      </c>
      <c r="K467" s="29">
        <f t="shared" si="97"/>
        <v>5.7862491490810082E-3</v>
      </c>
      <c r="L467" s="49">
        <f>SUMIF(BOM!A:A,'All Products'!A467,BOM!S:S)</f>
        <v>0</v>
      </c>
      <c r="M467" s="49">
        <f>SUMIF(BOM!A:A,'All Products'!A467,BOM!V:V)</f>
        <v>0.29618749999999999</v>
      </c>
      <c r="N467" s="29">
        <f t="shared" si="98"/>
        <v>1.0081262763784888E-2</v>
      </c>
      <c r="O467" s="55">
        <v>0</v>
      </c>
      <c r="P467" s="49">
        <f t="shared" si="99"/>
        <v>0.46618749999999998</v>
      </c>
      <c r="Q467" s="11">
        <f t="shared" si="102"/>
        <v>28.913812499999999</v>
      </c>
      <c r="R467" s="29">
        <f t="shared" si="100"/>
        <v>0.98413248808713405</v>
      </c>
      <c r="S467" s="83"/>
      <c r="T467" s="83"/>
      <c r="U467" s="83"/>
      <c r="V467" s="83"/>
      <c r="W467" s="83"/>
      <c r="Y467" s="34">
        <f t="shared" si="101"/>
        <v>1</v>
      </c>
      <c r="Z467" s="34"/>
      <c r="AD467" t="e">
        <f>_xlfn.XLOOKUP(A467,AF:AF,AF:AF)</f>
        <v>#N/A</v>
      </c>
      <c r="AE467" s="4"/>
    </row>
    <row r="468" spans="1:31" x14ac:dyDescent="0.25">
      <c r="A468" s="1" t="s">
        <v>993</v>
      </c>
      <c r="B468" s="1" t="s">
        <v>656</v>
      </c>
      <c r="C468" s="1" t="s">
        <v>994</v>
      </c>
      <c r="D468" s="1" t="s">
        <v>554</v>
      </c>
      <c r="E468" s="1">
        <f>VLOOKUP(A468,BOM!A:E,5,0)</f>
        <v>1</v>
      </c>
      <c r="F468" s="122">
        <v>12.28</v>
      </c>
      <c r="G468" s="10">
        <v>12.31</v>
      </c>
      <c r="H468" s="11" t="s">
        <v>1874</v>
      </c>
      <c r="I468" s="49">
        <f>SUMIFS(BOM!Q:Q,BOM!A:A,'All Products'!A468,BOM!I:I,'All Products'!I$3)</f>
        <v>2.5909090909090913</v>
      </c>
      <c r="J468" s="49">
        <f>SUMIFS(BOM!Q:Q,BOM!A:A,'All Products'!A468,BOM!I:I,'All Products'!J$3)+0.03</f>
        <v>0.17</v>
      </c>
      <c r="K468" s="29">
        <f t="shared" si="97"/>
        <v>0.22428181079683923</v>
      </c>
      <c r="L468" s="49">
        <f>SUMIF(BOM!A:A,'All Products'!A468,BOM!S:S)</f>
        <v>1.5365848484848483</v>
      </c>
      <c r="M468" s="49">
        <f>SUMIF(BOM!A:A,'All Products'!A468,BOM!V:V)</f>
        <v>0.21720416666666661</v>
      </c>
      <c r="N468" s="29">
        <f t="shared" si="98"/>
        <v>0.14246864461019618</v>
      </c>
      <c r="O468" s="55">
        <v>0</v>
      </c>
      <c r="P468" s="49">
        <f t="shared" si="99"/>
        <v>4.5146981060606057</v>
      </c>
      <c r="Q468" s="11">
        <f t="shared" si="102"/>
        <v>7.7953018939393948</v>
      </c>
      <c r="R468" s="29">
        <f t="shared" si="100"/>
        <v>0.63324954459296456</v>
      </c>
      <c r="S468" s="91">
        <v>0</v>
      </c>
      <c r="T468" s="91">
        <f>S468*G468</f>
        <v>0</v>
      </c>
      <c r="U468" s="90">
        <f>IFERROR(S468*Q468,0)</f>
        <v>0</v>
      </c>
      <c r="V468" s="90">
        <f>(G468-P468)*S468</f>
        <v>0</v>
      </c>
      <c r="W468" s="90">
        <f>V468-U468</f>
        <v>0</v>
      </c>
      <c r="Y468" s="34">
        <f t="shared" si="101"/>
        <v>0.78952809984491534</v>
      </c>
      <c r="Z468" s="34"/>
      <c r="AA468" s="4"/>
      <c r="AB468" s="4"/>
      <c r="AE468" s="4"/>
    </row>
    <row r="469" spans="1:31" x14ac:dyDescent="0.25">
      <c r="A469" s="1" t="s">
        <v>166</v>
      </c>
      <c r="B469" s="1" t="s">
        <v>656</v>
      </c>
      <c r="C469" s="1" t="s">
        <v>995</v>
      </c>
      <c r="D469" s="1" t="s">
        <v>554</v>
      </c>
      <c r="E469" s="1">
        <f>VLOOKUP(A469,BOM!A:E,5,0)</f>
        <v>2.5</v>
      </c>
      <c r="F469" s="122">
        <v>30.68</v>
      </c>
      <c r="G469" s="10">
        <v>32.76</v>
      </c>
      <c r="H469" s="11" t="s">
        <v>1874</v>
      </c>
      <c r="I469" s="49">
        <f>SUMIFS(BOM!Q:Q,BOM!A:A,'All Products'!A469,BOM!I:I,'All Products'!I$3)</f>
        <v>6.4772727272727275</v>
      </c>
      <c r="J469" s="49">
        <f>SUMIFS(BOM!Q:Q,BOM!A:A,'All Products'!A469,BOM!I:I,'All Products'!J$3)+0.03</f>
        <v>0.17</v>
      </c>
      <c r="K469" s="29">
        <f t="shared" si="97"/>
        <v>0.20290820290820294</v>
      </c>
      <c r="L469" s="49">
        <f>SUMIF(BOM!A:A,'All Products'!A469,BOM!S:S)</f>
        <v>3.8414621212121207</v>
      </c>
      <c r="M469" s="49">
        <f>SUMIF(BOM!A:A,'All Products'!A469,BOM!V:V)</f>
        <v>0.29618749999999999</v>
      </c>
      <c r="N469" s="29">
        <f t="shared" si="98"/>
        <v>0.12630188098938097</v>
      </c>
      <c r="O469" s="55">
        <v>0</v>
      </c>
      <c r="P469" s="49">
        <f t="shared" si="99"/>
        <v>10.784922348484848</v>
      </c>
      <c r="Q469" s="11">
        <f t="shared" si="102"/>
        <v>21.97507765151515</v>
      </c>
      <c r="R469" s="29">
        <f t="shared" si="100"/>
        <v>0.67078991610241612</v>
      </c>
      <c r="S469" s="91">
        <v>182.6</v>
      </c>
      <c r="T469" s="91">
        <f>S469*G469</f>
        <v>5981.9759999999997</v>
      </c>
      <c r="U469" s="90">
        <f>IFERROR(S469*Q469,0)</f>
        <v>4012.6491791666663</v>
      </c>
      <c r="V469" s="90">
        <f>(G469-P469)*S469</f>
        <v>4012.6491791666663</v>
      </c>
      <c r="W469" s="90">
        <f>V469-U469</f>
        <v>0</v>
      </c>
      <c r="Y469" s="34">
        <f t="shared" si="101"/>
        <v>0.80228105228105229</v>
      </c>
      <c r="Z469" s="34"/>
      <c r="AA469" s="4"/>
      <c r="AB469" s="4"/>
      <c r="AE469" s="4"/>
    </row>
    <row r="470" spans="1:31" x14ac:dyDescent="0.25">
      <c r="A470" s="1" t="s">
        <v>996</v>
      </c>
      <c r="B470" s="1" t="s">
        <v>552</v>
      </c>
      <c r="C470" s="1" t="s">
        <v>997</v>
      </c>
      <c r="D470" s="1" t="s">
        <v>554</v>
      </c>
      <c r="E470" s="1">
        <f>VLOOKUP(A470,BOM!A:E,5,0)</f>
        <v>5</v>
      </c>
      <c r="F470" s="122">
        <v>6.4</v>
      </c>
      <c r="G470" s="145">
        <v>12</v>
      </c>
      <c r="H470" s="11" t="s">
        <v>1873</v>
      </c>
      <c r="I470" s="49">
        <f>SUMIFS(BOM!Q:Q,BOM!A:A,'All Products'!A470,BOM!I:I,'All Products'!I$3)</f>
        <v>4.0714285714285721</v>
      </c>
      <c r="J470" s="49">
        <f>SUMIFS(BOM!Q:Q,BOM!A:A,'All Products'!A470,BOM!I:I,'All Products'!J$3)+0.03</f>
        <v>0.45000000000000007</v>
      </c>
      <c r="K470" s="29">
        <f t="shared" si="97"/>
        <v>0.37678571428571433</v>
      </c>
      <c r="L470" s="49">
        <f>SUMIF(BOM!A:A,'All Products'!A470,BOM!S:S)</f>
        <v>3.0464999999999995</v>
      </c>
      <c r="M470" s="49">
        <f>SUMIF(BOM!A:A,'All Products'!A470,BOM!V:V)</f>
        <v>0.40112249999999999</v>
      </c>
      <c r="N470" s="29">
        <f t="shared" si="98"/>
        <v>0.28730187499999998</v>
      </c>
      <c r="O470" s="55">
        <v>0</v>
      </c>
      <c r="P470" s="49">
        <f t="shared" si="99"/>
        <v>7.9690510714285718</v>
      </c>
      <c r="Q470" s="11">
        <v>5.8285</v>
      </c>
      <c r="R470" s="29">
        <f t="shared" si="100"/>
        <v>0.33591241071428568</v>
      </c>
      <c r="S470" s="83"/>
      <c r="T470" s="83"/>
      <c r="U470" s="83"/>
      <c r="V470" s="83"/>
      <c r="W470" s="83"/>
      <c r="Y470" s="34">
        <f t="shared" si="101"/>
        <v>0.6607142857142857</v>
      </c>
      <c r="Z470" s="34"/>
      <c r="AD470" t="e">
        <f>_xlfn.XLOOKUP(A470,AF:AF,AF:AF)</f>
        <v>#N/A</v>
      </c>
      <c r="AE470" s="4"/>
    </row>
    <row r="471" spans="1:31" x14ac:dyDescent="0.25">
      <c r="A471" s="1" t="s">
        <v>330</v>
      </c>
      <c r="B471" s="1" t="s">
        <v>656</v>
      </c>
      <c r="C471" s="1" t="s">
        <v>998</v>
      </c>
      <c r="D471" s="1" t="s">
        <v>554</v>
      </c>
      <c r="E471" s="1">
        <f>VLOOKUP(A471,BOM!A:E,5,0)</f>
        <v>1</v>
      </c>
      <c r="F471" s="122">
        <v>7.58</v>
      </c>
      <c r="G471" s="10">
        <v>8.48</v>
      </c>
      <c r="H471" s="11" t="s">
        <v>1874</v>
      </c>
      <c r="I471" s="49">
        <f>SUMIFS(BOM!Q:Q,BOM!A:A,'All Products'!A471,BOM!I:I,'All Products'!I$3)</f>
        <v>1.6196713041631261</v>
      </c>
      <c r="J471" s="49">
        <f>SUMIFS(BOM!Q:Q,BOM!A:A,'All Products'!A471,BOM!I:I,'All Products'!J$3)+0.03</f>
        <v>0.17</v>
      </c>
      <c r="K471" s="29">
        <f t="shared" si="97"/>
        <v>0.21104614435885918</v>
      </c>
      <c r="L471" s="49">
        <f>SUMIF(BOM!A:A,'All Products'!A471,BOM!S:S)</f>
        <v>5.7573415042657867</v>
      </c>
      <c r="M471" s="49">
        <f>SUMIF(BOM!A:A,'All Products'!A471,BOM!V:V)</f>
        <v>0.21720416666666661</v>
      </c>
      <c r="N471" s="29">
        <f t="shared" si="98"/>
        <v>0.70454548006278928</v>
      </c>
      <c r="O471" s="55">
        <v>0</v>
      </c>
      <c r="P471" s="49">
        <f t="shared" si="99"/>
        <v>7.7642169750955787</v>
      </c>
      <c r="Q471" s="11">
        <f t="shared" ref="Q471:Q502" si="103">G471-P471</f>
        <v>0.71578302490442169</v>
      </c>
      <c r="R471" s="29">
        <f t="shared" si="100"/>
        <v>8.440837557835161E-2</v>
      </c>
      <c r="S471" s="91">
        <v>53.6</v>
      </c>
      <c r="T471" s="91">
        <f t="shared" ref="T471:T479" si="104">S471*G471</f>
        <v>454.52800000000002</v>
      </c>
      <c r="U471" s="90">
        <f t="shared" ref="U471:U479" si="105">IFERROR(S471*Q471,0)</f>
        <v>38.365970134877003</v>
      </c>
      <c r="V471" s="90">
        <f t="shared" ref="V471:V479" si="106">(G471-P471)*S471</f>
        <v>38.365970134877003</v>
      </c>
      <c r="W471" s="90">
        <f t="shared" ref="W471:W479" si="107">V471-U471</f>
        <v>0</v>
      </c>
      <c r="Y471" s="34">
        <f t="shared" si="101"/>
        <v>0.80900102545246155</v>
      </c>
      <c r="Z471" s="34"/>
      <c r="AA471" s="4"/>
      <c r="AB471" s="4"/>
      <c r="AE471" s="4"/>
    </row>
    <row r="472" spans="1:31" x14ac:dyDescent="0.25">
      <c r="A472" s="1" t="s">
        <v>999</v>
      </c>
      <c r="B472" s="1" t="s">
        <v>656</v>
      </c>
      <c r="C472" s="1" t="s">
        <v>1000</v>
      </c>
      <c r="D472" s="1" t="s">
        <v>554</v>
      </c>
      <c r="E472" s="1">
        <f>VLOOKUP(A472,BOM!A:E,5,0)</f>
        <v>1</v>
      </c>
      <c r="F472" s="122">
        <v>12.53</v>
      </c>
      <c r="G472" s="10">
        <v>12.91</v>
      </c>
      <c r="H472" s="11" t="s">
        <v>1874</v>
      </c>
      <c r="I472" s="49">
        <f>SUMIFS(BOM!Q:Q,BOM!A:A,'All Products'!A472,BOM!I:I,'All Products'!I$3)</f>
        <v>1.4455384615384619</v>
      </c>
      <c r="J472" s="49">
        <f>SUMIFS(BOM!Q:Q,BOM!A:A,'All Products'!A472,BOM!I:I,'All Products'!J$3)+0.03</f>
        <v>0.17</v>
      </c>
      <c r="K472" s="29">
        <f t="shared" si="97"/>
        <v>0.1251385330393851</v>
      </c>
      <c r="L472" s="49">
        <f>SUMIF(BOM!A:A,'All Products'!A472,BOM!S:S)</f>
        <v>1.562307692307692</v>
      </c>
      <c r="M472" s="49">
        <f>SUMIF(BOM!A:A,'All Products'!A472,BOM!V:V)</f>
        <v>0.21720416666666661</v>
      </c>
      <c r="N472" s="29">
        <f t="shared" si="98"/>
        <v>0.13783980317384653</v>
      </c>
      <c r="O472" s="55">
        <v>0</v>
      </c>
      <c r="P472" s="49">
        <f t="shared" si="99"/>
        <v>3.3950503205128202</v>
      </c>
      <c r="Q472" s="11">
        <f t="shared" si="103"/>
        <v>9.5149496794871808</v>
      </c>
      <c r="R472" s="29">
        <f t="shared" si="100"/>
        <v>0.73702166378676848</v>
      </c>
      <c r="S472" s="91">
        <v>12.6</v>
      </c>
      <c r="T472" s="91">
        <f t="shared" si="104"/>
        <v>162.666</v>
      </c>
      <c r="U472" s="90">
        <f t="shared" si="105"/>
        <v>119.88836596153847</v>
      </c>
      <c r="V472" s="90">
        <f t="shared" si="106"/>
        <v>119.88836596153847</v>
      </c>
      <c r="W472" s="90">
        <f t="shared" si="107"/>
        <v>0</v>
      </c>
      <c r="Y472" s="34">
        <f t="shared" si="101"/>
        <v>0.88802955371506886</v>
      </c>
      <c r="Z472" s="34"/>
      <c r="AA472" s="4"/>
      <c r="AB472" s="4"/>
      <c r="AE472" s="4"/>
    </row>
    <row r="473" spans="1:31" x14ac:dyDescent="0.25">
      <c r="A473" s="1" t="s">
        <v>66</v>
      </c>
      <c r="B473" s="1" t="s">
        <v>656</v>
      </c>
      <c r="C473" s="1" t="s">
        <v>67</v>
      </c>
      <c r="D473" s="1" t="s">
        <v>554</v>
      </c>
      <c r="E473" s="1">
        <f>VLOOKUP(A473,BOM!A:E,5,0)</f>
        <v>2.5</v>
      </c>
      <c r="F473" s="122">
        <v>7.89</v>
      </c>
      <c r="G473" s="10">
        <v>8.84</v>
      </c>
      <c r="H473" s="11" t="s">
        <v>1874</v>
      </c>
      <c r="I473" s="49">
        <f>SUMIFS(BOM!Q:Q,BOM!A:A,'All Products'!A473,BOM!I:I,'All Products'!I$3)</f>
        <v>3.6138461538461542</v>
      </c>
      <c r="J473" s="49">
        <f>SUMIFS(BOM!Q:Q,BOM!A:A,'All Products'!A473,BOM!I:I,'All Products'!J$3)+0.03</f>
        <v>0.17</v>
      </c>
      <c r="K473" s="29">
        <f t="shared" si="97"/>
        <v>0.42803689523146538</v>
      </c>
      <c r="L473" s="49">
        <f>SUMIF(BOM!A:A,'All Products'!A473,BOM!S:S)</f>
        <v>3.9057692307692298</v>
      </c>
      <c r="M473" s="49">
        <f>SUMIF(BOM!A:A,'All Products'!A473,BOM!V:V)</f>
        <v>0.29618749999999999</v>
      </c>
      <c r="N473" s="29">
        <f t="shared" si="98"/>
        <v>0.47533447180647398</v>
      </c>
      <c r="O473" s="55">
        <v>0</v>
      </c>
      <c r="P473" s="49">
        <f t="shared" si="99"/>
        <v>7.9858028846153841</v>
      </c>
      <c r="Q473" s="11">
        <f t="shared" si="103"/>
        <v>0.85419711538461573</v>
      </c>
      <c r="R473" s="29">
        <f t="shared" si="100"/>
        <v>9.6628632962060604E-2</v>
      </c>
      <c r="S473" s="91">
        <v>55.8</v>
      </c>
      <c r="T473" s="91">
        <f t="shared" si="104"/>
        <v>493.27199999999999</v>
      </c>
      <c r="U473" s="90">
        <f t="shared" si="105"/>
        <v>47.664199038461554</v>
      </c>
      <c r="V473" s="90">
        <f t="shared" si="106"/>
        <v>47.664199038461554</v>
      </c>
      <c r="W473" s="90">
        <f t="shared" si="107"/>
        <v>0</v>
      </c>
      <c r="Y473" s="34">
        <f t="shared" si="101"/>
        <v>0.59119387399930379</v>
      </c>
      <c r="Z473" s="34"/>
      <c r="AA473" s="4"/>
      <c r="AB473" s="4"/>
      <c r="AE473" s="4"/>
    </row>
    <row r="474" spans="1:31" x14ac:dyDescent="0.25">
      <c r="A474" s="1" t="s">
        <v>1001</v>
      </c>
      <c r="B474" s="1" t="s">
        <v>656</v>
      </c>
      <c r="C474" s="1" t="s">
        <v>1002</v>
      </c>
      <c r="D474" s="1" t="s">
        <v>554</v>
      </c>
      <c r="E474" s="1">
        <f>VLOOKUP(A474,BOM!A:E,5,0)</f>
        <v>1</v>
      </c>
      <c r="F474" s="122">
        <v>23.2</v>
      </c>
      <c r="G474" s="10">
        <v>24.78</v>
      </c>
      <c r="H474" s="11" t="s">
        <v>1874</v>
      </c>
      <c r="I474" s="49">
        <f>SUMIFS(BOM!Q:Q,BOM!A:A,'All Products'!A474,BOM!I:I,'All Products'!I$3)</f>
        <v>4.9333333333333345</v>
      </c>
      <c r="J474" s="49">
        <f>SUMIFS(BOM!Q:Q,BOM!A:A,'All Products'!A474,BOM!I:I,'All Products'!J$3)+0.03</f>
        <v>0.17</v>
      </c>
      <c r="K474" s="29">
        <f t="shared" si="97"/>
        <v>0.20594565509819751</v>
      </c>
      <c r="L474" s="49">
        <f>SUMIF(BOM!A:A,'All Products'!A474,BOM!S:S)</f>
        <v>16.360833333333332</v>
      </c>
      <c r="M474" s="49">
        <f>SUMIF(BOM!A:A,'All Products'!A474,BOM!V:V)</f>
        <v>0.21720416666666661</v>
      </c>
      <c r="N474" s="29">
        <f t="shared" si="98"/>
        <v>0.66900877723970931</v>
      </c>
      <c r="O474" s="55">
        <v>0</v>
      </c>
      <c r="P474" s="49">
        <f t="shared" si="99"/>
        <v>21.681370833333332</v>
      </c>
      <c r="Q474" s="11">
        <f t="shared" si="103"/>
        <v>3.0986291666666688</v>
      </c>
      <c r="R474" s="29">
        <f t="shared" si="100"/>
        <v>0.12504556766209315</v>
      </c>
      <c r="S474" s="91">
        <v>4.8</v>
      </c>
      <c r="T474" s="91">
        <f t="shared" si="104"/>
        <v>118.944</v>
      </c>
      <c r="U474" s="90">
        <f t="shared" si="105"/>
        <v>14.87342000000001</v>
      </c>
      <c r="V474" s="90">
        <f t="shared" si="106"/>
        <v>14.87342000000001</v>
      </c>
      <c r="W474" s="90">
        <f t="shared" si="107"/>
        <v>0</v>
      </c>
      <c r="Y474" s="34">
        <f t="shared" si="101"/>
        <v>0.80091471616895349</v>
      </c>
      <c r="Z474" s="34"/>
      <c r="AE474" s="4"/>
    </row>
    <row r="475" spans="1:31" x14ac:dyDescent="0.25">
      <c r="A475" s="1" t="s">
        <v>1003</v>
      </c>
      <c r="B475" s="1" t="s">
        <v>656</v>
      </c>
      <c r="C475" s="1" t="s">
        <v>1004</v>
      </c>
      <c r="D475" s="1" t="s">
        <v>554</v>
      </c>
      <c r="E475" s="1">
        <f>VLOOKUP(A475,BOM!A:E,5,0)</f>
        <v>2.5</v>
      </c>
      <c r="F475" s="122">
        <v>57.68</v>
      </c>
      <c r="G475" s="10">
        <v>58.67</v>
      </c>
      <c r="H475" s="11" t="s">
        <v>1874</v>
      </c>
      <c r="I475" s="49">
        <f>SUMIFS(BOM!Q:Q,BOM!A:A,'All Products'!A475,BOM!I:I,'All Products'!I$3)</f>
        <v>12.333333333333336</v>
      </c>
      <c r="J475" s="49">
        <f>SUMIFS(BOM!Q:Q,BOM!A:A,'All Products'!A475,BOM!I:I,'All Products'!J$3)+0.03</f>
        <v>0.17</v>
      </c>
      <c r="K475" s="29">
        <f t="shared" si="97"/>
        <v>0.2131128913129936</v>
      </c>
      <c r="L475" s="49">
        <f>SUMIF(BOM!A:A,'All Products'!A475,BOM!S:S)</f>
        <v>40.90208333333333</v>
      </c>
      <c r="M475" s="49">
        <f>SUMIF(BOM!A:A,'All Products'!A475,BOM!V:V)</f>
        <v>0.29618749999999999</v>
      </c>
      <c r="N475" s="29">
        <f t="shared" si="98"/>
        <v>0.70220335492301567</v>
      </c>
      <c r="O475" s="55">
        <v>0</v>
      </c>
      <c r="P475" s="49">
        <f t="shared" si="99"/>
        <v>53.701604166666669</v>
      </c>
      <c r="Q475" s="11">
        <f t="shared" si="103"/>
        <v>4.9683958333333322</v>
      </c>
      <c r="R475" s="29">
        <f t="shared" si="100"/>
        <v>8.4683753763990663E-2</v>
      </c>
      <c r="S475" s="91">
        <v>0</v>
      </c>
      <c r="T475" s="91">
        <f t="shared" si="104"/>
        <v>0</v>
      </c>
      <c r="U475" s="90">
        <f t="shared" si="105"/>
        <v>0</v>
      </c>
      <c r="V475" s="90">
        <f t="shared" si="106"/>
        <v>0</v>
      </c>
      <c r="W475" s="90">
        <f t="shared" si="107"/>
        <v>0</v>
      </c>
      <c r="Y475" s="34">
        <f t="shared" si="101"/>
        <v>0.78978467132549279</v>
      </c>
      <c r="Z475" s="34"/>
      <c r="AE475" s="4"/>
    </row>
    <row r="476" spans="1:31" x14ac:dyDescent="0.25">
      <c r="A476" s="1" t="s">
        <v>1005</v>
      </c>
      <c r="B476" s="1" t="s">
        <v>656</v>
      </c>
      <c r="C476" s="1" t="s">
        <v>1006</v>
      </c>
      <c r="D476" s="1" t="s">
        <v>554</v>
      </c>
      <c r="E476" s="1">
        <f>VLOOKUP(A476,BOM!A:E,5,0)</f>
        <v>1</v>
      </c>
      <c r="F476" s="122">
        <v>10.84</v>
      </c>
      <c r="G476" s="10">
        <v>11.21</v>
      </c>
      <c r="H476" s="11" t="s">
        <v>1874</v>
      </c>
      <c r="I476" s="49">
        <f>SUMIFS(BOM!Q:Q,BOM!A:A,'All Products'!A476,BOM!I:I,'All Products'!I$3)</f>
        <v>4.5989304812834222</v>
      </c>
      <c r="J476" s="49">
        <f>SUMIFS(BOM!Q:Q,BOM!A:A,'All Products'!A476,BOM!I:I,'All Products'!J$3)+0.03</f>
        <v>0.17</v>
      </c>
      <c r="K476" s="29">
        <f t="shared" si="97"/>
        <v>0.42541752732233912</v>
      </c>
      <c r="L476" s="49">
        <f>SUMIF(BOM!A:A,'All Products'!A476,BOM!S:S)</f>
        <v>4.706417112299464</v>
      </c>
      <c r="M476" s="49">
        <f>SUMIF(BOM!A:A,'All Products'!A476,BOM!V:V)</f>
        <v>0.21720416666666661</v>
      </c>
      <c r="N476" s="29">
        <f t="shared" si="98"/>
        <v>0.43921688483194743</v>
      </c>
      <c r="O476" s="55">
        <v>0</v>
      </c>
      <c r="P476" s="49">
        <f t="shared" si="99"/>
        <v>9.6925517602495539</v>
      </c>
      <c r="Q476" s="11">
        <f t="shared" si="103"/>
        <v>1.517448239750447</v>
      </c>
      <c r="R476" s="29">
        <f t="shared" si="100"/>
        <v>0.13536558784571337</v>
      </c>
      <c r="S476" s="91">
        <v>5.2</v>
      </c>
      <c r="T476" s="91">
        <f t="shared" si="104"/>
        <v>58.292000000000009</v>
      </c>
      <c r="U476" s="90">
        <f t="shared" si="105"/>
        <v>7.8907308467023247</v>
      </c>
      <c r="V476" s="90">
        <f t="shared" si="106"/>
        <v>7.8907308467023247</v>
      </c>
      <c r="W476" s="90">
        <f t="shared" si="107"/>
        <v>0</v>
      </c>
      <c r="Y476" s="34">
        <f t="shared" si="101"/>
        <v>0.58974750389978392</v>
      </c>
      <c r="Z476" s="34"/>
      <c r="AA476" s="4"/>
      <c r="AB476" s="4"/>
      <c r="AE476" s="4"/>
    </row>
    <row r="477" spans="1:31" x14ac:dyDescent="0.25">
      <c r="A477" s="1" t="s">
        <v>176</v>
      </c>
      <c r="B477" s="1" t="s">
        <v>656</v>
      </c>
      <c r="C477" s="1" t="s">
        <v>1007</v>
      </c>
      <c r="D477" s="1" t="s">
        <v>554</v>
      </c>
      <c r="E477" s="1">
        <f>VLOOKUP(A477,BOM!A:E,5,0)</f>
        <v>2.5</v>
      </c>
      <c r="F477" s="122">
        <v>26.8</v>
      </c>
      <c r="G477" s="10">
        <v>27.72</v>
      </c>
      <c r="H477" s="11" t="s">
        <v>1874</v>
      </c>
      <c r="I477" s="49">
        <f>SUMIFS(BOM!Q:Q,BOM!A:A,'All Products'!A477,BOM!I:I,'All Products'!I$3)</f>
        <v>11.497326203208557</v>
      </c>
      <c r="J477" s="49">
        <f>SUMIFS(BOM!Q:Q,BOM!A:A,'All Products'!A477,BOM!I:I,'All Products'!J$3)+0.03</f>
        <v>0.17</v>
      </c>
      <c r="K477" s="29">
        <f t="shared" si="97"/>
        <v>0.42089921367996236</v>
      </c>
      <c r="L477" s="49">
        <f>SUMIF(BOM!A:A,'All Products'!A477,BOM!S:S)</f>
        <v>11.766042780748661</v>
      </c>
      <c r="M477" s="49">
        <f>SUMIF(BOM!A:A,'All Products'!A477,BOM!V:V)</f>
        <v>0.29618749999999999</v>
      </c>
      <c r="N477" s="29">
        <f t="shared" si="98"/>
        <v>0.43514539252340051</v>
      </c>
      <c r="O477" s="55">
        <v>0</v>
      </c>
      <c r="P477" s="49">
        <f t="shared" si="99"/>
        <v>23.729556483957218</v>
      </c>
      <c r="Q477" s="11">
        <f t="shared" si="103"/>
        <v>3.9904435160427809</v>
      </c>
      <c r="R477" s="29">
        <f t="shared" si="100"/>
        <v>0.14395539379663713</v>
      </c>
      <c r="S477" s="91">
        <v>58.2</v>
      </c>
      <c r="T477" s="91">
        <f t="shared" si="104"/>
        <v>1613.3040000000001</v>
      </c>
      <c r="U477" s="90">
        <f t="shared" si="105"/>
        <v>232.24381263368986</v>
      </c>
      <c r="V477" s="90">
        <f t="shared" si="106"/>
        <v>232.24381263368986</v>
      </c>
      <c r="W477" s="90">
        <f t="shared" si="107"/>
        <v>0</v>
      </c>
      <c r="Y477" s="34">
        <f t="shared" si="101"/>
        <v>0.58523354245279369</v>
      </c>
      <c r="Z477" s="34"/>
      <c r="AA477" s="4"/>
      <c r="AB477" s="4"/>
      <c r="AE477" s="4"/>
    </row>
    <row r="478" spans="1:31" x14ac:dyDescent="0.25">
      <c r="A478" s="1" t="s">
        <v>405</v>
      </c>
      <c r="B478" s="1" t="s">
        <v>656</v>
      </c>
      <c r="C478" s="1" t="s">
        <v>1008</v>
      </c>
      <c r="D478" s="1" t="s">
        <v>554</v>
      </c>
      <c r="E478" s="1">
        <f>VLOOKUP(A478,BOM!A:E,5,0)</f>
        <v>1</v>
      </c>
      <c r="F478" s="122">
        <v>10.92</v>
      </c>
      <c r="G478" s="10">
        <v>11.38</v>
      </c>
      <c r="H478" s="11" t="s">
        <v>1874</v>
      </c>
      <c r="I478" s="49">
        <f>SUMIFS(BOM!Q:Q,BOM!A:A,'All Products'!A478,BOM!I:I,'All Products'!I$3)</f>
        <v>4.4919786096256686</v>
      </c>
      <c r="J478" s="49">
        <f>SUMIFS(BOM!Q:Q,BOM!A:A,'All Products'!A478,BOM!I:I,'All Products'!J$3)+0.03</f>
        <v>0.17</v>
      </c>
      <c r="K478" s="29">
        <f t="shared" si="97"/>
        <v>0.40966420119733465</v>
      </c>
      <c r="L478" s="49">
        <f>SUMIF(BOM!A:A,'All Products'!A478,BOM!S:S)</f>
        <v>4.706417112299464</v>
      </c>
      <c r="M478" s="49">
        <f>SUMIF(BOM!A:A,'All Products'!A478,BOM!V:V)</f>
        <v>0.21720416666666661</v>
      </c>
      <c r="N478" s="29">
        <f t="shared" si="98"/>
        <v>0.43265564841530146</v>
      </c>
      <c r="O478" s="55">
        <v>0</v>
      </c>
      <c r="P478" s="49">
        <f t="shared" si="99"/>
        <v>9.5855998885917995</v>
      </c>
      <c r="Q478" s="11">
        <f t="shared" si="103"/>
        <v>1.7944001114082013</v>
      </c>
      <c r="R478" s="29">
        <f t="shared" si="100"/>
        <v>0.15768015038736391</v>
      </c>
      <c r="S478" s="91">
        <v>7.6</v>
      </c>
      <c r="T478" s="91">
        <f t="shared" si="104"/>
        <v>86.488</v>
      </c>
      <c r="U478" s="90">
        <f t="shared" si="105"/>
        <v>13.637440846702329</v>
      </c>
      <c r="V478" s="90">
        <f t="shared" si="106"/>
        <v>13.637440846702329</v>
      </c>
      <c r="W478" s="90">
        <f t="shared" si="107"/>
        <v>0</v>
      </c>
      <c r="Y478" s="34">
        <f t="shared" si="101"/>
        <v>0.60527428737911526</v>
      </c>
      <c r="Z478" s="34"/>
      <c r="AA478" s="4"/>
      <c r="AB478" s="4"/>
      <c r="AE478" s="4"/>
    </row>
    <row r="479" spans="1:31" x14ac:dyDescent="0.25">
      <c r="A479" s="1" t="s">
        <v>175</v>
      </c>
      <c r="B479" s="1" t="s">
        <v>656</v>
      </c>
      <c r="C479" s="1" t="s">
        <v>1009</v>
      </c>
      <c r="D479" s="1" t="s">
        <v>554</v>
      </c>
      <c r="E479" s="1">
        <f>VLOOKUP(A479,BOM!A:E,5,0)</f>
        <v>2.5</v>
      </c>
      <c r="F479" s="122">
        <v>26.98</v>
      </c>
      <c r="G479" s="10">
        <v>28.13</v>
      </c>
      <c r="H479" s="11" t="s">
        <v>1874</v>
      </c>
      <c r="I479" s="49">
        <f>SUMIFS(BOM!Q:Q,BOM!A:A,'All Products'!A479,BOM!I:I,'All Products'!I$3)</f>
        <v>11.229946524064172</v>
      </c>
      <c r="J479" s="49">
        <f>SUMIFS(BOM!Q:Q,BOM!A:A,'All Products'!A479,BOM!I:I,'All Products'!J$3)+0.03</f>
        <v>0.17</v>
      </c>
      <c r="K479" s="29">
        <f t="shared" si="97"/>
        <v>0.40525938585368548</v>
      </c>
      <c r="L479" s="49">
        <f>SUMIF(BOM!A:A,'All Products'!A479,BOM!S:S)</f>
        <v>11.766042780748661</v>
      </c>
      <c r="M479" s="49">
        <f>SUMIF(BOM!A:A,'All Products'!A479,BOM!V:V)</f>
        <v>0.29618749999999999</v>
      </c>
      <c r="N479" s="29">
        <f t="shared" si="98"/>
        <v>0.42880306721466982</v>
      </c>
      <c r="O479" s="55">
        <v>0</v>
      </c>
      <c r="P479" s="49">
        <f t="shared" si="99"/>
        <v>23.462176804812835</v>
      </c>
      <c r="Q479" s="11">
        <f t="shared" si="103"/>
        <v>4.6678231951871645</v>
      </c>
      <c r="R479" s="29">
        <f t="shared" si="100"/>
        <v>0.16593754693164467</v>
      </c>
      <c r="S479" s="91">
        <v>46</v>
      </c>
      <c r="T479" s="91">
        <f t="shared" si="104"/>
        <v>1293.98</v>
      </c>
      <c r="U479" s="90">
        <f t="shared" si="105"/>
        <v>214.71986697860956</v>
      </c>
      <c r="V479" s="90">
        <f t="shared" si="106"/>
        <v>214.71986697860956</v>
      </c>
      <c r="W479" s="90">
        <f t="shared" si="107"/>
        <v>0</v>
      </c>
      <c r="Y479" s="34">
        <f t="shared" si="101"/>
        <v>0.60078398421385804</v>
      </c>
      <c r="Z479" s="34"/>
      <c r="AA479" s="4"/>
      <c r="AB479" s="4"/>
      <c r="AE479" s="4"/>
    </row>
    <row r="480" spans="1:31" x14ac:dyDescent="0.25">
      <c r="A480" s="1" t="s">
        <v>1010</v>
      </c>
      <c r="B480" s="1" t="s">
        <v>656</v>
      </c>
      <c r="C480" s="1" t="s">
        <v>1011</v>
      </c>
      <c r="D480" s="1" t="s">
        <v>554</v>
      </c>
      <c r="E480" s="1">
        <f>VLOOKUP(A480,BOM!A:E,5,0)</f>
        <v>1</v>
      </c>
      <c r="F480" s="122">
        <v>75.05</v>
      </c>
      <c r="G480" s="10">
        <v>87.36</v>
      </c>
      <c r="H480" s="11" t="s">
        <v>1873</v>
      </c>
      <c r="I480" s="49">
        <f>SUMIFS(BOM!Q:Q,BOM!A:A,'All Products'!A480,BOM!I:I,'All Products'!I$3)</f>
        <v>0</v>
      </c>
      <c r="J480" s="49">
        <f>SUMIFS(BOM!Q:Q,BOM!A:A,'All Products'!A480,BOM!I:I,'All Products'!J$3)+0.03</f>
        <v>0.17</v>
      </c>
      <c r="K480" s="29">
        <f t="shared" si="97"/>
        <v>1.9459706959706962E-3</v>
      </c>
      <c r="L480" s="49">
        <f>SUMIF(BOM!A:A,'All Products'!A480,BOM!S:S)</f>
        <v>3.3849999999999998E-2</v>
      </c>
      <c r="M480" s="49">
        <f>SUMIF(BOM!A:A,'All Products'!A480,BOM!V:V)</f>
        <v>0.21720416666666661</v>
      </c>
      <c r="N480" s="29">
        <f t="shared" si="98"/>
        <v>2.8737885378510375E-3</v>
      </c>
      <c r="O480" s="55">
        <v>0</v>
      </c>
      <c r="P480" s="49">
        <f t="shared" si="99"/>
        <v>0.42105416666666662</v>
      </c>
      <c r="Q480" s="11">
        <f t="shared" si="103"/>
        <v>86.938945833333335</v>
      </c>
      <c r="R480" s="29">
        <f t="shared" si="100"/>
        <v>0.99518024076617828</v>
      </c>
      <c r="S480" s="83"/>
      <c r="T480" s="83"/>
      <c r="U480" s="83"/>
      <c r="V480" s="83"/>
      <c r="W480" s="83"/>
      <c r="Y480" s="34">
        <f t="shared" si="101"/>
        <v>1</v>
      </c>
      <c r="Z480" s="34"/>
      <c r="AD480" t="e">
        <f>_xlfn.XLOOKUP(A480,AF:AF,AF:AF)</f>
        <v>#N/A</v>
      </c>
      <c r="AE480" s="4"/>
    </row>
    <row r="481" spans="1:31" x14ac:dyDescent="0.25">
      <c r="A481" s="1" t="s">
        <v>1012</v>
      </c>
      <c r="B481" s="1" t="s">
        <v>656</v>
      </c>
      <c r="C481" s="1" t="s">
        <v>1013</v>
      </c>
      <c r="D481" s="1" t="s">
        <v>554</v>
      </c>
      <c r="E481" s="1">
        <f>VLOOKUP(A481,BOM!A:E,5,0)</f>
        <v>2.5</v>
      </c>
      <c r="F481" s="122">
        <v>187.62</v>
      </c>
      <c r="G481" s="10">
        <v>218.42</v>
      </c>
      <c r="H481" s="11" t="s">
        <v>1873</v>
      </c>
      <c r="I481" s="49">
        <f>SUMIFS(BOM!Q:Q,BOM!A:A,'All Products'!A481,BOM!I:I,'All Products'!I$3)</f>
        <v>0</v>
      </c>
      <c r="J481" s="49">
        <f>SUMIFS(BOM!Q:Q,BOM!A:A,'All Products'!A481,BOM!I:I,'All Products'!J$3)+0.03</f>
        <v>0.17</v>
      </c>
      <c r="K481" s="29">
        <f t="shared" si="97"/>
        <v>7.7831700393736849E-4</v>
      </c>
      <c r="L481" s="49">
        <f>SUMIF(BOM!A:A,'All Products'!A481,BOM!S:S)</f>
        <v>8.4624999999999992E-2</v>
      </c>
      <c r="M481" s="49">
        <f>SUMIF(BOM!A:A,'All Products'!A481,BOM!V:V)</f>
        <v>0.29618749999999999</v>
      </c>
      <c r="N481" s="29">
        <f t="shared" si="98"/>
        <v>1.7434873180111712E-3</v>
      </c>
      <c r="O481" s="55">
        <v>0</v>
      </c>
      <c r="P481" s="49">
        <f t="shared" si="99"/>
        <v>0.55081249999999993</v>
      </c>
      <c r="Q481" s="11">
        <f t="shared" si="103"/>
        <v>217.86918749999998</v>
      </c>
      <c r="R481" s="29">
        <f t="shared" si="100"/>
        <v>0.9974781956780514</v>
      </c>
      <c r="S481" s="83"/>
      <c r="T481" s="83"/>
      <c r="U481" s="83"/>
      <c r="V481" s="83"/>
      <c r="W481" s="83"/>
      <c r="Y481" s="34">
        <f t="shared" si="101"/>
        <v>1</v>
      </c>
      <c r="Z481" s="34"/>
      <c r="AD481" t="e">
        <f>_xlfn.XLOOKUP(A481,AF:AF,AF:AF)</f>
        <v>#N/A</v>
      </c>
      <c r="AE481" s="4"/>
    </row>
    <row r="482" spans="1:31" x14ac:dyDescent="0.25">
      <c r="A482" s="1" t="s">
        <v>383</v>
      </c>
      <c r="B482" s="1" t="s">
        <v>656</v>
      </c>
      <c r="C482" s="1" t="s">
        <v>384</v>
      </c>
      <c r="D482" s="1" t="s">
        <v>554</v>
      </c>
      <c r="E482" s="1">
        <f>VLOOKUP(A482,BOM!A:E,5,0)</f>
        <v>2.5</v>
      </c>
      <c r="F482" s="122">
        <v>20.62</v>
      </c>
      <c r="G482" s="10">
        <v>35.18</v>
      </c>
      <c r="H482" s="11" t="s">
        <v>1874</v>
      </c>
      <c r="I482" s="49">
        <f>SUMIFS(BOM!Q:Q,BOM!A:A,'All Products'!A482,BOM!I:I,'All Products'!I$3)</f>
        <v>6.2314432989690731</v>
      </c>
      <c r="J482" s="49">
        <f>SUMIFS(BOM!Q:Q,BOM!A:A,'All Products'!A482,BOM!I:I,'All Products'!J$3)+0.03</f>
        <v>0.17</v>
      </c>
      <c r="K482" s="29">
        <f t="shared" si="97"/>
        <v>0.18196257245506178</v>
      </c>
      <c r="L482" s="49">
        <f>SUMIF(BOM!A:A,'All Products'!A482,BOM!S:S)</f>
        <v>6.6277951030927822</v>
      </c>
      <c r="M482" s="49">
        <f>SUMIF(BOM!A:A,'All Products'!A482,BOM!V:V)</f>
        <v>0.29618749999999999</v>
      </c>
      <c r="N482" s="29">
        <f t="shared" si="98"/>
        <v>0.19681587842787898</v>
      </c>
      <c r="O482" s="55">
        <v>0</v>
      </c>
      <c r="P482" s="49">
        <f t="shared" si="99"/>
        <v>13.325425902061856</v>
      </c>
      <c r="Q482" s="11">
        <f t="shared" si="103"/>
        <v>21.854574097938144</v>
      </c>
      <c r="R482" s="29">
        <f t="shared" si="100"/>
        <v>0.62122154911705929</v>
      </c>
      <c r="S482" s="91">
        <v>6.8</v>
      </c>
      <c r="T482" s="91">
        <f t="shared" ref="T482:T496" si="108">S482*G482</f>
        <v>239.22399999999999</v>
      </c>
      <c r="U482" s="90">
        <f t="shared" ref="U482:U496" si="109">IFERROR(S482*Q482,0)</f>
        <v>148.61110386597937</v>
      </c>
      <c r="V482" s="90">
        <f t="shared" ref="V482:V496" si="110">(G482-P482)*S482</f>
        <v>148.61110386597937</v>
      </c>
      <c r="W482" s="90">
        <f t="shared" ref="W482:W496" si="111">V482-U482</f>
        <v>0</v>
      </c>
      <c r="Y482" s="34">
        <f t="shared" si="101"/>
        <v>0.82286971861941238</v>
      </c>
      <c r="Z482" s="34"/>
      <c r="AA482" s="4"/>
      <c r="AB482" s="4"/>
      <c r="AE482" s="4"/>
    </row>
    <row r="483" spans="1:31" x14ac:dyDescent="0.25">
      <c r="A483" s="1" t="s">
        <v>372</v>
      </c>
      <c r="B483" s="1" t="s">
        <v>656</v>
      </c>
      <c r="C483" s="1" t="s">
        <v>1014</v>
      </c>
      <c r="D483" s="1" t="s">
        <v>554</v>
      </c>
      <c r="E483" s="1">
        <f>VLOOKUP(A483,BOM!A:E,5,0)</f>
        <v>1</v>
      </c>
      <c r="F483" s="122">
        <v>3.62</v>
      </c>
      <c r="G483" s="10">
        <v>3.53</v>
      </c>
      <c r="H483" s="11" t="s">
        <v>1874</v>
      </c>
      <c r="I483" s="49">
        <f>SUMIFS(BOM!Q:Q,BOM!A:A,'All Products'!A483,BOM!I:I,'All Products'!I$3)</f>
        <v>0.54833333333333334</v>
      </c>
      <c r="J483" s="49">
        <f>SUMIFS(BOM!Q:Q,BOM!A:A,'All Products'!A483,BOM!I:I,'All Products'!J$3)+0.03</f>
        <v>0.17</v>
      </c>
      <c r="K483" s="29">
        <f t="shared" si="97"/>
        <v>0.20349386213408879</v>
      </c>
      <c r="L483" s="49">
        <f>SUMIF(BOM!A:A,'All Products'!A483,BOM!S:S)</f>
        <v>1.1170499999999999</v>
      </c>
      <c r="M483" s="49">
        <f>SUMIF(BOM!A:A,'All Products'!A483,BOM!V:V)</f>
        <v>0.21720416666666661</v>
      </c>
      <c r="N483" s="29">
        <f t="shared" si="98"/>
        <v>0.37797568460812087</v>
      </c>
      <c r="O483" s="55">
        <v>0</v>
      </c>
      <c r="P483" s="49">
        <f t="shared" si="99"/>
        <v>2.0525875</v>
      </c>
      <c r="Q483" s="11">
        <f t="shared" si="103"/>
        <v>1.4774124999999998</v>
      </c>
      <c r="R483" s="29">
        <f t="shared" si="100"/>
        <v>0.41853045325779031</v>
      </c>
      <c r="S483" s="91">
        <v>19.8</v>
      </c>
      <c r="T483" s="91">
        <f t="shared" si="108"/>
        <v>69.894000000000005</v>
      </c>
      <c r="U483" s="90">
        <f t="shared" si="109"/>
        <v>29.252767499999997</v>
      </c>
      <c r="V483" s="90">
        <f t="shared" si="110"/>
        <v>29.252767499999997</v>
      </c>
      <c r="W483" s="90">
        <f t="shared" si="111"/>
        <v>0</v>
      </c>
      <c r="Y483" s="34">
        <f t="shared" si="101"/>
        <v>0.84466477809254015</v>
      </c>
      <c r="Z483" s="34"/>
      <c r="AA483" s="4"/>
      <c r="AB483" s="4"/>
      <c r="AE483" s="4"/>
    </row>
    <row r="484" spans="1:31" x14ac:dyDescent="0.25">
      <c r="A484" s="1" t="s">
        <v>532</v>
      </c>
      <c r="B484" s="1" t="s">
        <v>656</v>
      </c>
      <c r="C484" s="1" t="s">
        <v>1015</v>
      </c>
      <c r="D484" s="1" t="s">
        <v>554</v>
      </c>
      <c r="E484" s="1">
        <f>VLOOKUP(A484,BOM!A:E,5,0)</f>
        <v>2.5</v>
      </c>
      <c r="F484" s="122">
        <v>9.7899999999999991</v>
      </c>
      <c r="G484" s="10">
        <v>8.09</v>
      </c>
      <c r="H484" s="11" t="s">
        <v>1874</v>
      </c>
      <c r="I484" s="49">
        <f>SUMIFS(BOM!Q:Q,BOM!A:A,'All Products'!A484,BOM!I:I,'All Products'!I$3)</f>
        <v>1.3708333333333333</v>
      </c>
      <c r="J484" s="49">
        <f>SUMIFS(BOM!Q:Q,BOM!A:A,'All Products'!A484,BOM!I:I,'All Products'!J$3)+0.03</f>
        <v>0.17</v>
      </c>
      <c r="K484" s="29">
        <f t="shared" si="97"/>
        <v>0.19046147507210548</v>
      </c>
      <c r="L484" s="49">
        <f>SUMIF(BOM!A:A,'All Products'!A484,BOM!S:S)</f>
        <v>2.7926249999999997</v>
      </c>
      <c r="M484" s="49">
        <f>SUMIF(BOM!A:A,'All Products'!A484,BOM!V:V)</f>
        <v>0.29618749999999999</v>
      </c>
      <c r="N484" s="29">
        <f t="shared" si="98"/>
        <v>0.38180624227441279</v>
      </c>
      <c r="O484" s="55">
        <v>0</v>
      </c>
      <c r="P484" s="49">
        <f t="shared" si="99"/>
        <v>4.629645833333333</v>
      </c>
      <c r="Q484" s="11">
        <f t="shared" si="103"/>
        <v>3.4603541666666668</v>
      </c>
      <c r="R484" s="29">
        <f t="shared" si="100"/>
        <v>0.42773228265348168</v>
      </c>
      <c r="S484" s="91">
        <v>7</v>
      </c>
      <c r="T484" s="91">
        <f t="shared" si="108"/>
        <v>56.629999999999995</v>
      </c>
      <c r="U484" s="90">
        <f t="shared" si="109"/>
        <v>24.222479166666666</v>
      </c>
      <c r="V484" s="90">
        <f t="shared" si="110"/>
        <v>24.222479166666666</v>
      </c>
      <c r="W484" s="90">
        <f t="shared" si="111"/>
        <v>0</v>
      </c>
      <c r="Y484" s="34">
        <f t="shared" si="101"/>
        <v>0.83055212196126904</v>
      </c>
      <c r="Z484" s="34"/>
      <c r="AA484" s="4"/>
      <c r="AB484" s="4"/>
      <c r="AE484" s="4"/>
    </row>
    <row r="485" spans="1:31" x14ac:dyDescent="0.25">
      <c r="A485" s="1" t="s">
        <v>1016</v>
      </c>
      <c r="B485" s="1" t="s">
        <v>656</v>
      </c>
      <c r="C485" s="1" t="s">
        <v>1017</v>
      </c>
      <c r="D485" s="1" t="s">
        <v>554</v>
      </c>
      <c r="E485" s="1">
        <f>VLOOKUP(A485,BOM!A:E,5,0)</f>
        <v>1</v>
      </c>
      <c r="F485" s="122">
        <v>3.68</v>
      </c>
      <c r="G485" s="10">
        <v>3.84</v>
      </c>
      <c r="H485" s="11" t="s">
        <v>1874</v>
      </c>
      <c r="I485" s="49">
        <f>SUMIFS(BOM!Q:Q,BOM!A:A,'All Products'!A485,BOM!I:I,'All Products'!I$3)</f>
        <v>0.68320680466517358</v>
      </c>
      <c r="J485" s="49">
        <f>SUMIFS(BOM!Q:Q,BOM!A:A,'All Products'!A485,BOM!I:I,'All Products'!J$3)+0.03</f>
        <v>0.17</v>
      </c>
      <c r="K485" s="29">
        <f t="shared" si="97"/>
        <v>0.22218927204822231</v>
      </c>
      <c r="L485" s="49">
        <f>SUMIF(BOM!A:A,'All Products'!A485,BOM!S:S)</f>
        <v>1.9608418748069047</v>
      </c>
      <c r="M485" s="49">
        <f>SUMIF(BOM!A:A,'All Products'!A485,BOM!V:V)</f>
        <v>0.21720416666666661</v>
      </c>
      <c r="N485" s="29">
        <f t="shared" si="98"/>
        <v>0.56719948996707592</v>
      </c>
      <c r="O485" s="55">
        <v>0</v>
      </c>
      <c r="P485" s="49">
        <f t="shared" si="99"/>
        <v>3.0312528461387451</v>
      </c>
      <c r="Q485" s="11">
        <f t="shared" si="103"/>
        <v>0.80874715386125473</v>
      </c>
      <c r="R485" s="29">
        <f t="shared" si="100"/>
        <v>0.21061123798470177</v>
      </c>
      <c r="S485" s="91">
        <v>25.2</v>
      </c>
      <c r="T485" s="91">
        <f t="shared" si="108"/>
        <v>96.768000000000001</v>
      </c>
      <c r="U485" s="90">
        <f t="shared" si="109"/>
        <v>20.380428277303619</v>
      </c>
      <c r="V485" s="90">
        <f t="shared" si="110"/>
        <v>20.380428277303619</v>
      </c>
      <c r="W485" s="90">
        <f t="shared" si="111"/>
        <v>0</v>
      </c>
      <c r="Y485" s="34">
        <f t="shared" si="101"/>
        <v>0.82208156128511101</v>
      </c>
      <c r="Z485" s="34"/>
      <c r="AA485" s="4"/>
      <c r="AB485" s="4"/>
      <c r="AE485" s="4"/>
    </row>
    <row r="486" spans="1:31" x14ac:dyDescent="0.25">
      <c r="A486" s="1" t="s">
        <v>331</v>
      </c>
      <c r="B486" s="1" t="s">
        <v>656</v>
      </c>
      <c r="C486" s="1" t="s">
        <v>332</v>
      </c>
      <c r="D486" s="1" t="s">
        <v>554</v>
      </c>
      <c r="E486" s="1">
        <f>VLOOKUP(A486,BOM!A:E,5,0)</f>
        <v>2.5</v>
      </c>
      <c r="F486" s="122">
        <v>9.19</v>
      </c>
      <c r="G486" s="10">
        <v>9.61</v>
      </c>
      <c r="H486" s="11" t="s">
        <v>1874</v>
      </c>
      <c r="I486" s="49">
        <f>SUMIFS(BOM!Q:Q,BOM!A:A,'All Products'!A486,BOM!I:I,'All Products'!I$3)</f>
        <v>1.7080170116629338</v>
      </c>
      <c r="J486" s="49">
        <f>SUMIFS(BOM!Q:Q,BOM!A:A,'All Products'!A486,BOM!I:I,'All Products'!J$3)+0.03</f>
        <v>0.17</v>
      </c>
      <c r="K486" s="29">
        <f t="shared" si="97"/>
        <v>0.19542320620842185</v>
      </c>
      <c r="L486" s="49">
        <f>SUMIF(BOM!A:A,'All Products'!A486,BOM!S:S)</f>
        <v>4.9021046870172622</v>
      </c>
      <c r="M486" s="49">
        <f>SUMIF(BOM!A:A,'All Products'!A486,BOM!V:V)</f>
        <v>0.29618749999999999</v>
      </c>
      <c r="N486" s="29">
        <f t="shared" si="98"/>
        <v>0.5409253056209431</v>
      </c>
      <c r="O486" s="55">
        <v>0</v>
      </c>
      <c r="P486" s="49">
        <f t="shared" si="99"/>
        <v>7.076309198680196</v>
      </c>
      <c r="Q486" s="11">
        <f t="shared" si="103"/>
        <v>2.5336908013198034</v>
      </c>
      <c r="R486" s="29">
        <f t="shared" si="100"/>
        <v>0.26365148817063511</v>
      </c>
      <c r="S486" s="91">
        <v>255.8</v>
      </c>
      <c r="T486" s="91">
        <f t="shared" si="108"/>
        <v>2458.2379999999998</v>
      </c>
      <c r="U486" s="90">
        <f t="shared" si="109"/>
        <v>648.11810697760575</v>
      </c>
      <c r="V486" s="90">
        <f t="shared" si="110"/>
        <v>648.11810697760575</v>
      </c>
      <c r="W486" s="90">
        <f t="shared" si="111"/>
        <v>0</v>
      </c>
      <c r="Y486" s="34">
        <f t="shared" si="101"/>
        <v>0.82226670013913283</v>
      </c>
      <c r="Z486" s="34"/>
      <c r="AA486" s="4"/>
      <c r="AB486" s="4"/>
      <c r="AE486" s="4"/>
    </row>
    <row r="487" spans="1:31" x14ac:dyDescent="0.25">
      <c r="A487" s="1" t="s">
        <v>329</v>
      </c>
      <c r="B487" s="1" t="s">
        <v>656</v>
      </c>
      <c r="C487" s="1" t="s">
        <v>1018</v>
      </c>
      <c r="D487" s="1" t="s">
        <v>554</v>
      </c>
      <c r="E487" s="1">
        <f>VLOOKUP(A487,BOM!A:E,5,0)</f>
        <v>2.5</v>
      </c>
      <c r="F487" s="122">
        <v>18.649999999999999</v>
      </c>
      <c r="G487" s="10">
        <v>20.86</v>
      </c>
      <c r="H487" s="11" t="s">
        <v>1874</v>
      </c>
      <c r="I487" s="49">
        <f>SUMIFS(BOM!Q:Q,BOM!A:A,'All Products'!A487,BOM!I:I,'All Products'!I$3)</f>
        <v>4.0491782604078157</v>
      </c>
      <c r="J487" s="49">
        <f>SUMIFS(BOM!Q:Q,BOM!A:A,'All Products'!A487,BOM!I:I,'All Products'!J$3)+0.03</f>
        <v>0.17</v>
      </c>
      <c r="K487" s="29">
        <f t="shared" si="97"/>
        <v>0.20226166157276201</v>
      </c>
      <c r="L487" s="49">
        <f>SUMIF(BOM!A:A,'All Products'!A487,BOM!S:S)</f>
        <v>14.393353760664466</v>
      </c>
      <c r="M487" s="49">
        <f>SUMIF(BOM!A:A,'All Products'!A487,BOM!V:V)</f>
        <v>0.29618749999999999</v>
      </c>
      <c r="N487" s="29">
        <f t="shared" si="98"/>
        <v>0.70419660885256308</v>
      </c>
      <c r="O487" s="55">
        <v>0</v>
      </c>
      <c r="P487" s="49">
        <f t="shared" si="99"/>
        <v>18.908719521072282</v>
      </c>
      <c r="Q487" s="11">
        <f t="shared" si="103"/>
        <v>1.9512804789277176</v>
      </c>
      <c r="R487" s="29">
        <f t="shared" si="100"/>
        <v>9.3541729574674867E-2</v>
      </c>
      <c r="S487" s="91">
        <v>89.6</v>
      </c>
      <c r="T487" s="91">
        <f t="shared" si="108"/>
        <v>1869.0559999999998</v>
      </c>
      <c r="U487" s="90">
        <f t="shared" si="109"/>
        <v>174.83473091192349</v>
      </c>
      <c r="V487" s="90">
        <f t="shared" si="110"/>
        <v>174.83473091192349</v>
      </c>
      <c r="W487" s="90">
        <f t="shared" si="111"/>
        <v>0</v>
      </c>
      <c r="Y487" s="34">
        <f t="shared" si="101"/>
        <v>0.8058879069794912</v>
      </c>
      <c r="Z487" s="34"/>
      <c r="AA487" s="4"/>
      <c r="AB487" s="4"/>
      <c r="AE487" s="4"/>
    </row>
    <row r="488" spans="1:31" x14ac:dyDescent="0.25">
      <c r="A488" s="1" t="s">
        <v>1019</v>
      </c>
      <c r="B488" s="1" t="s">
        <v>656</v>
      </c>
      <c r="C488" s="1" t="s">
        <v>1020</v>
      </c>
      <c r="D488" s="1" t="s">
        <v>554</v>
      </c>
      <c r="E488" s="1">
        <f>VLOOKUP(A488,BOM!A:E,5,0)</f>
        <v>2.5</v>
      </c>
      <c r="F488" s="122">
        <v>151.88</v>
      </c>
      <c r="G488" s="10">
        <v>169.06</v>
      </c>
      <c r="H488" s="11" t="s">
        <v>1874</v>
      </c>
      <c r="I488" s="49">
        <f>SUMIFS(BOM!Q:Q,BOM!A:A,'All Products'!A488,BOM!I:I,'All Products'!I$3)</f>
        <v>33.465909090909086</v>
      </c>
      <c r="J488" s="49">
        <f>SUMIFS(BOM!Q:Q,BOM!A:A,'All Products'!A488,BOM!I:I,'All Products'!J$3)+0.03</f>
        <v>0.17</v>
      </c>
      <c r="K488" s="29">
        <f t="shared" si="97"/>
        <v>0.19895841175268594</v>
      </c>
      <c r="L488" s="49">
        <f>SUMIF(BOM!A:A,'All Products'!A488,BOM!S:S)</f>
        <v>17.034902597402596</v>
      </c>
      <c r="M488" s="49">
        <f>SUMIF(BOM!A:A,'All Products'!A488,BOM!V:V)</f>
        <v>0.29618749999999999</v>
      </c>
      <c r="N488" s="29">
        <f t="shared" si="98"/>
        <v>0.10251443332191289</v>
      </c>
      <c r="O488" s="55">
        <v>0</v>
      </c>
      <c r="P488" s="49">
        <f t="shared" si="99"/>
        <v>50.966999188311689</v>
      </c>
      <c r="Q488" s="11">
        <f t="shared" si="103"/>
        <v>118.09300081168831</v>
      </c>
      <c r="R488" s="29">
        <f t="shared" si="100"/>
        <v>0.69852715492540107</v>
      </c>
      <c r="S488" s="91">
        <v>5.6</v>
      </c>
      <c r="T488" s="91">
        <f t="shared" si="108"/>
        <v>946.73599999999999</v>
      </c>
      <c r="U488" s="90">
        <f t="shared" si="109"/>
        <v>661.32080454545451</v>
      </c>
      <c r="V488" s="90">
        <f t="shared" si="110"/>
        <v>661.32080454545451</v>
      </c>
      <c r="W488" s="90">
        <f t="shared" si="111"/>
        <v>0</v>
      </c>
      <c r="Y488" s="34">
        <f t="shared" si="101"/>
        <v>0.80204714840347158</v>
      </c>
      <c r="Z488" s="34"/>
      <c r="AA488" s="4"/>
      <c r="AB488" s="4"/>
      <c r="AE488" s="4"/>
    </row>
    <row r="489" spans="1:31" x14ac:dyDescent="0.25">
      <c r="A489" s="1" t="s">
        <v>416</v>
      </c>
      <c r="B489" s="1" t="s">
        <v>656</v>
      </c>
      <c r="C489" s="1" t="s">
        <v>417</v>
      </c>
      <c r="D489" s="1" t="s">
        <v>554</v>
      </c>
      <c r="E489" s="1">
        <f>VLOOKUP(A489,BOM!A:E,5,0)</f>
        <v>1</v>
      </c>
      <c r="F489" s="122">
        <v>4.9896162280701759</v>
      </c>
      <c r="G489" s="10">
        <v>5.36</v>
      </c>
      <c r="H489" s="11" t="s">
        <v>1874</v>
      </c>
      <c r="I489" s="49">
        <f>SUMIFS(BOM!Q:Q,BOM!A:A,'All Products'!A489,BOM!I:I,'All Products'!I$3)</f>
        <v>0.88709677419354849</v>
      </c>
      <c r="J489" s="49">
        <f>SUMIFS(BOM!Q:Q,BOM!A:A,'All Products'!A489,BOM!I:I,'All Products'!J$3)+0.03</f>
        <v>0.17</v>
      </c>
      <c r="K489" s="29">
        <f t="shared" si="97"/>
        <v>0.19721954742416947</v>
      </c>
      <c r="L489" s="49">
        <f>SUMIF(BOM!A:A,'All Products'!A489,BOM!S:S)</f>
        <v>0.64315</v>
      </c>
      <c r="M489" s="49">
        <f>SUMIF(BOM!A:A,'All Products'!A489,BOM!V:V)</f>
        <v>0.21720416666666661</v>
      </c>
      <c r="N489" s="29">
        <f t="shared" si="98"/>
        <v>0.16051383706467659</v>
      </c>
      <c r="O489" s="55">
        <v>0</v>
      </c>
      <c r="P489" s="49">
        <f t="shared" si="99"/>
        <v>1.9174509408602152</v>
      </c>
      <c r="Q489" s="11">
        <f t="shared" si="103"/>
        <v>3.4425490591397852</v>
      </c>
      <c r="R489" s="29">
        <f t="shared" si="100"/>
        <v>0.64226661551115394</v>
      </c>
      <c r="S489" s="91">
        <v>6.4</v>
      </c>
      <c r="T489" s="91">
        <f t="shared" si="108"/>
        <v>34.304000000000002</v>
      </c>
      <c r="U489" s="90">
        <f t="shared" si="109"/>
        <v>22.032313978494628</v>
      </c>
      <c r="V489" s="90">
        <f t="shared" si="110"/>
        <v>22.032313978494628</v>
      </c>
      <c r="W489" s="90">
        <f t="shared" si="111"/>
        <v>0</v>
      </c>
      <c r="Y489" s="34">
        <f t="shared" si="101"/>
        <v>0.83449687048627819</v>
      </c>
      <c r="Z489" s="34"/>
      <c r="AA489" s="4"/>
      <c r="AB489" s="4"/>
      <c r="AE489" s="4"/>
    </row>
    <row r="490" spans="1:31" x14ac:dyDescent="0.25">
      <c r="A490" s="1" t="s">
        <v>307</v>
      </c>
      <c r="B490" s="1" t="s">
        <v>656</v>
      </c>
      <c r="C490" s="1" t="s">
        <v>308</v>
      </c>
      <c r="D490" s="1" t="s">
        <v>554</v>
      </c>
      <c r="E490" s="1">
        <f>VLOOKUP(A490,BOM!A:E,5,0)</f>
        <v>2.5</v>
      </c>
      <c r="F490" s="122">
        <v>12.31</v>
      </c>
      <c r="G490" s="10">
        <v>13.21</v>
      </c>
      <c r="H490" s="11" t="s">
        <v>1874</v>
      </c>
      <c r="I490" s="49">
        <f>SUMIFS(BOM!Q:Q,BOM!A:A,'All Products'!A490,BOM!I:I,'All Products'!I$3)</f>
        <v>2.217741935483871</v>
      </c>
      <c r="J490" s="49">
        <f>SUMIFS(BOM!Q:Q,BOM!A:A,'All Products'!A490,BOM!I:I,'All Products'!J$3)+0.03</f>
        <v>0.17</v>
      </c>
      <c r="K490" s="29">
        <f t="shared" si="97"/>
        <v>0.18075260677394933</v>
      </c>
      <c r="L490" s="49">
        <f>SUMIF(BOM!A:A,'All Products'!A490,BOM!S:S)</f>
        <v>1.6078749999999999</v>
      </c>
      <c r="M490" s="49">
        <f>SUMIF(BOM!A:A,'All Products'!A490,BOM!V:V)</f>
        <v>0.29618749999999999</v>
      </c>
      <c r="N490" s="29">
        <f t="shared" si="98"/>
        <v>0.14413796366389098</v>
      </c>
      <c r="O490" s="55">
        <v>0</v>
      </c>
      <c r="P490" s="49">
        <f t="shared" si="99"/>
        <v>4.2918044354838703</v>
      </c>
      <c r="Q490" s="11">
        <f t="shared" si="103"/>
        <v>8.9181955645161306</v>
      </c>
      <c r="R490" s="29">
        <f t="shared" si="100"/>
        <v>0.67510942956215969</v>
      </c>
      <c r="S490" s="91">
        <v>21.8</v>
      </c>
      <c r="T490" s="91">
        <f t="shared" si="108"/>
        <v>287.97800000000001</v>
      </c>
      <c r="U490" s="90">
        <f t="shared" si="109"/>
        <v>194.41666330645165</v>
      </c>
      <c r="V490" s="90">
        <f t="shared" si="110"/>
        <v>194.41666330645165</v>
      </c>
      <c r="W490" s="90">
        <f t="shared" si="111"/>
        <v>0</v>
      </c>
      <c r="Y490" s="34">
        <f t="shared" si="101"/>
        <v>0.83211643183316641</v>
      </c>
      <c r="Z490" s="34"/>
      <c r="AA490" s="4"/>
      <c r="AB490" s="4"/>
      <c r="AE490" s="4"/>
    </row>
    <row r="491" spans="1:31" x14ac:dyDescent="0.25">
      <c r="A491" s="1" t="s">
        <v>1021</v>
      </c>
      <c r="B491" s="1" t="s">
        <v>656</v>
      </c>
      <c r="C491" s="1" t="s">
        <v>1022</v>
      </c>
      <c r="D491" s="1" t="s">
        <v>554</v>
      </c>
      <c r="E491" s="1">
        <f>VLOOKUP(A491,BOM!A:E,5,0)</f>
        <v>1</v>
      </c>
      <c r="F491" s="122">
        <v>10.71</v>
      </c>
      <c r="G491" s="10">
        <v>11</v>
      </c>
      <c r="H491" s="11" t="s">
        <v>1874</v>
      </c>
      <c r="I491" s="49">
        <f>SUMIFS(BOM!Q:Q,BOM!A:A,'All Products'!A491,BOM!I:I,'All Products'!I$3)</f>
        <v>1.3312962962962964</v>
      </c>
      <c r="J491" s="49">
        <f>SUMIFS(BOM!Q:Q,BOM!A:A,'All Products'!A491,BOM!I:I,'All Products'!J$3)+0.03</f>
        <v>0.17</v>
      </c>
      <c r="K491" s="29">
        <f t="shared" si="97"/>
        <v>0.13648148148148148</v>
      </c>
      <c r="L491" s="49">
        <f>SUMIF(BOM!A:A,'All Products'!A491,BOM!S:S)</f>
        <v>3.573055555555555</v>
      </c>
      <c r="M491" s="49">
        <f>SUMIF(BOM!A:A,'All Products'!A491,BOM!V:V)</f>
        <v>0.21720416666666661</v>
      </c>
      <c r="N491" s="29">
        <f t="shared" si="98"/>
        <v>0.34456906565656559</v>
      </c>
      <c r="O491" s="55">
        <v>0</v>
      </c>
      <c r="P491" s="49">
        <f t="shared" si="99"/>
        <v>5.2915560185185182</v>
      </c>
      <c r="Q491" s="11">
        <f t="shared" si="103"/>
        <v>5.7084439814814818</v>
      </c>
      <c r="R491" s="29">
        <f t="shared" si="100"/>
        <v>0.51894945286195293</v>
      </c>
      <c r="S491" s="91">
        <v>0</v>
      </c>
      <c r="T491" s="91">
        <f t="shared" si="108"/>
        <v>0</v>
      </c>
      <c r="U491" s="90">
        <f t="shared" si="109"/>
        <v>0</v>
      </c>
      <c r="V491" s="90">
        <f t="shared" si="110"/>
        <v>0</v>
      </c>
      <c r="W491" s="90">
        <f t="shared" si="111"/>
        <v>0</v>
      </c>
      <c r="Y491" s="34">
        <f t="shared" si="101"/>
        <v>0.87897306397306396</v>
      </c>
      <c r="Z491" s="34"/>
      <c r="AA491" s="4"/>
      <c r="AB491" s="4"/>
      <c r="AE491" s="4"/>
    </row>
    <row r="492" spans="1:31" x14ac:dyDescent="0.25">
      <c r="A492" s="1" t="s">
        <v>1023</v>
      </c>
      <c r="B492" s="1" t="s">
        <v>656</v>
      </c>
      <c r="C492" s="1" t="s">
        <v>1024</v>
      </c>
      <c r="D492" s="1" t="s">
        <v>554</v>
      </c>
      <c r="E492" s="1">
        <f>VLOOKUP(A492,BOM!A:E,5,0)</f>
        <v>2.5</v>
      </c>
      <c r="F492" s="122">
        <v>26.77</v>
      </c>
      <c r="G492" s="10">
        <v>27.47</v>
      </c>
      <c r="H492" s="11" t="s">
        <v>1874</v>
      </c>
      <c r="I492" s="49">
        <f>SUMIFS(BOM!Q:Q,BOM!A:A,'All Products'!A492,BOM!I:I,'All Products'!I$3)</f>
        <v>3.3282407407407408</v>
      </c>
      <c r="J492" s="49">
        <f>SUMIFS(BOM!Q:Q,BOM!A:A,'All Products'!A492,BOM!I:I,'All Products'!J$3)+0.03</f>
        <v>0.17</v>
      </c>
      <c r="K492" s="29">
        <f t="shared" si="97"/>
        <v>0.12734767894942631</v>
      </c>
      <c r="L492" s="49">
        <f>SUMIF(BOM!A:A,'All Products'!A492,BOM!S:S)</f>
        <v>8.9326388888888886</v>
      </c>
      <c r="M492" s="49">
        <f>SUMIF(BOM!A:A,'All Products'!A492,BOM!V:V)</f>
        <v>0.29618749999999999</v>
      </c>
      <c r="N492" s="29">
        <f t="shared" si="98"/>
        <v>0.33596018889293372</v>
      </c>
      <c r="O492" s="55">
        <v>0</v>
      </c>
      <c r="P492" s="49">
        <f t="shared" si="99"/>
        <v>12.72706712962963</v>
      </c>
      <c r="Q492" s="11">
        <f t="shared" si="103"/>
        <v>14.742932870370369</v>
      </c>
      <c r="R492" s="29">
        <f t="shared" si="100"/>
        <v>0.53669213215764</v>
      </c>
      <c r="S492" s="91">
        <v>0</v>
      </c>
      <c r="T492" s="91">
        <f t="shared" si="108"/>
        <v>0</v>
      </c>
      <c r="U492" s="90">
        <f t="shared" si="109"/>
        <v>0</v>
      </c>
      <c r="V492" s="90">
        <f t="shared" si="110"/>
        <v>0</v>
      </c>
      <c r="W492" s="90">
        <f t="shared" si="111"/>
        <v>0</v>
      </c>
      <c r="Y492" s="34">
        <f t="shared" si="101"/>
        <v>0.87884089039895374</v>
      </c>
      <c r="Z492" s="34"/>
      <c r="AA492" s="4"/>
      <c r="AB492" s="4"/>
      <c r="AE492" s="4"/>
    </row>
    <row r="493" spans="1:31" x14ac:dyDescent="0.25">
      <c r="A493" s="1" t="s">
        <v>510</v>
      </c>
      <c r="B493" s="1" t="s">
        <v>656</v>
      </c>
      <c r="C493" s="1" t="s">
        <v>511</v>
      </c>
      <c r="D493" s="1" t="s">
        <v>554</v>
      </c>
      <c r="E493" s="1">
        <f>VLOOKUP(A493,BOM!A:E,5,0)</f>
        <v>1</v>
      </c>
      <c r="F493" s="122">
        <v>10.94</v>
      </c>
      <c r="G493" s="10">
        <v>11.23</v>
      </c>
      <c r="H493" s="11" t="s">
        <v>1874</v>
      </c>
      <c r="I493" s="49">
        <f>SUMIFS(BOM!Q:Q,BOM!A:A,'All Products'!A493,BOM!I:I,'All Products'!I$3)</f>
        <v>3.5183084098939936</v>
      </c>
      <c r="J493" s="49">
        <f>SUMIFS(BOM!Q:Q,BOM!A:A,'All Products'!A493,BOM!I:I,'All Products'!J$3)+0.03</f>
        <v>0.17</v>
      </c>
      <c r="K493" s="29">
        <f t="shared" si="97"/>
        <v>0.32843351824523537</v>
      </c>
      <c r="L493" s="49">
        <f>SUMIF(BOM!A:A,'All Products'!A493,BOM!S:S)</f>
        <v>1.6473666666666664</v>
      </c>
      <c r="M493" s="49">
        <f>SUMIF(BOM!A:A,'All Products'!A493,BOM!V:V)</f>
        <v>0.21720416666666661</v>
      </c>
      <c r="N493" s="29">
        <f t="shared" si="98"/>
        <v>0.16603480261205103</v>
      </c>
      <c r="O493" s="55">
        <v>0</v>
      </c>
      <c r="P493" s="49">
        <f t="shared" si="99"/>
        <v>5.5528792432273262</v>
      </c>
      <c r="Q493" s="11">
        <f t="shared" si="103"/>
        <v>5.6771207567726742</v>
      </c>
      <c r="R493" s="29">
        <f t="shared" si="100"/>
        <v>0.50553167914271357</v>
      </c>
      <c r="S493" s="91">
        <v>3</v>
      </c>
      <c r="T493" s="91">
        <f t="shared" si="108"/>
        <v>33.69</v>
      </c>
      <c r="U493" s="90">
        <f t="shared" si="109"/>
        <v>17.031362270318024</v>
      </c>
      <c r="V493" s="90">
        <f t="shared" si="110"/>
        <v>17.031362270318024</v>
      </c>
      <c r="W493" s="90">
        <f t="shared" si="111"/>
        <v>0</v>
      </c>
      <c r="Y493" s="34">
        <f t="shared" si="101"/>
        <v>0.68670450490703527</v>
      </c>
      <c r="Z493" s="34"/>
      <c r="AA493" s="4"/>
      <c r="AB493" s="4"/>
      <c r="AE493" s="4"/>
    </row>
    <row r="494" spans="1:31" x14ac:dyDescent="0.25">
      <c r="A494" s="1" t="s">
        <v>1025</v>
      </c>
      <c r="B494" s="1" t="s">
        <v>656</v>
      </c>
      <c r="C494" s="1" t="s">
        <v>1026</v>
      </c>
      <c r="D494" s="1" t="s">
        <v>554</v>
      </c>
      <c r="E494" s="1">
        <f>VLOOKUP(A494,BOM!A:E,5,0)</f>
        <v>2.5</v>
      </c>
      <c r="F494" s="122">
        <v>27.24</v>
      </c>
      <c r="G494" s="10">
        <v>27.96</v>
      </c>
      <c r="H494" s="11" t="s">
        <v>1874</v>
      </c>
      <c r="I494" s="49">
        <f>SUMIFS(BOM!Q:Q,BOM!A:A,'All Products'!A494,BOM!I:I,'All Products'!I$3)</f>
        <v>8.7957710247349823</v>
      </c>
      <c r="J494" s="49">
        <f>SUMIFS(BOM!Q:Q,BOM!A:A,'All Products'!A494,BOM!I:I,'All Products'!J$3)+0.03</f>
        <v>0.17</v>
      </c>
      <c r="K494" s="29">
        <f t="shared" si="97"/>
        <v>0.32066419974016386</v>
      </c>
      <c r="L494" s="49">
        <f>SUMIF(BOM!A:A,'All Products'!A494,BOM!S:S)</f>
        <v>4.1184166666666657</v>
      </c>
      <c r="M494" s="49">
        <f>SUMIF(BOM!A:A,'All Products'!A494,BOM!V:V)</f>
        <v>0.29618749999999999</v>
      </c>
      <c r="N494" s="29">
        <f t="shared" si="98"/>
        <v>0.15788999165474485</v>
      </c>
      <c r="O494" s="55">
        <v>0</v>
      </c>
      <c r="P494" s="49">
        <f t="shared" si="99"/>
        <v>13.380375191401647</v>
      </c>
      <c r="Q494" s="11">
        <f t="shared" si="103"/>
        <v>14.579624808598354</v>
      </c>
      <c r="R494" s="29">
        <f t="shared" si="100"/>
        <v>0.52144580860509127</v>
      </c>
      <c r="S494" s="91">
        <v>0</v>
      </c>
      <c r="T494" s="91">
        <f t="shared" si="108"/>
        <v>0</v>
      </c>
      <c r="U494" s="90">
        <f t="shared" si="109"/>
        <v>0</v>
      </c>
      <c r="V494" s="90">
        <f t="shared" si="110"/>
        <v>0</v>
      </c>
      <c r="W494" s="90">
        <f t="shared" si="111"/>
        <v>0</v>
      </c>
      <c r="Y494" s="34">
        <f t="shared" si="101"/>
        <v>0.68541591470904928</v>
      </c>
      <c r="Z494" s="34"/>
      <c r="AA494" s="4"/>
      <c r="AB494" s="4"/>
      <c r="AE494" s="4"/>
    </row>
    <row r="495" spans="1:31" x14ac:dyDescent="0.25">
      <c r="A495" s="1" t="s">
        <v>272</v>
      </c>
      <c r="B495" s="1" t="s">
        <v>656</v>
      </c>
      <c r="C495" s="1" t="s">
        <v>273</v>
      </c>
      <c r="D495" s="1" t="s">
        <v>554</v>
      </c>
      <c r="E495" s="1">
        <f>VLOOKUP(A495,BOM!A:E,5,0)</f>
        <v>1</v>
      </c>
      <c r="F495" s="122">
        <v>8.18</v>
      </c>
      <c r="G495" s="10">
        <v>8.25</v>
      </c>
      <c r="H495" s="11" t="s">
        <v>1874</v>
      </c>
      <c r="I495" s="49">
        <f>SUMIFS(BOM!Q:Q,BOM!A:A,'All Products'!A495,BOM!I:I,'All Products'!I$3)</f>
        <v>2.2793233082706763</v>
      </c>
      <c r="J495" s="49">
        <f>SUMIFS(BOM!Q:Q,BOM!A:A,'All Products'!A495,BOM!I:I,'All Products'!J$3)+0.03</f>
        <v>0.17</v>
      </c>
      <c r="K495" s="29">
        <f t="shared" si="97"/>
        <v>0.29688767372977892</v>
      </c>
      <c r="L495" s="49">
        <f>SUMIF(BOM!A:A,'All Products'!A495,BOM!S:S)</f>
        <v>1.5270676691729324</v>
      </c>
      <c r="M495" s="49">
        <f>SUMIF(BOM!A:A,'All Products'!A495,BOM!V:V)</f>
        <v>0.21720416666666661</v>
      </c>
      <c r="N495" s="29">
        <f t="shared" si="98"/>
        <v>0.21142688919267866</v>
      </c>
      <c r="O495" s="55">
        <v>0</v>
      </c>
      <c r="P495" s="49">
        <f t="shared" si="99"/>
        <v>4.193595144110275</v>
      </c>
      <c r="Q495" s="11">
        <f t="shared" si="103"/>
        <v>4.056404855889725</v>
      </c>
      <c r="R495" s="29">
        <f t="shared" si="100"/>
        <v>0.49168543707754242</v>
      </c>
      <c r="S495" s="91">
        <v>8.1999999999999993</v>
      </c>
      <c r="T495" s="91">
        <f t="shared" si="108"/>
        <v>67.649999999999991</v>
      </c>
      <c r="U495" s="90">
        <f t="shared" si="109"/>
        <v>33.262519818295743</v>
      </c>
      <c r="V495" s="90">
        <f t="shared" si="110"/>
        <v>33.262519818295743</v>
      </c>
      <c r="W495" s="90">
        <f t="shared" si="111"/>
        <v>0</v>
      </c>
      <c r="Y495" s="34">
        <f t="shared" si="101"/>
        <v>0.72371838687628165</v>
      </c>
      <c r="Z495" s="34"/>
      <c r="AA495" s="4"/>
      <c r="AB495" s="4"/>
      <c r="AE495" s="4"/>
    </row>
    <row r="496" spans="1:31" x14ac:dyDescent="0.25">
      <c r="A496" s="1" t="s">
        <v>1027</v>
      </c>
      <c r="B496" s="1" t="s">
        <v>656</v>
      </c>
      <c r="C496" s="1" t="s">
        <v>1028</v>
      </c>
      <c r="D496" s="1" t="s">
        <v>554</v>
      </c>
      <c r="E496" s="1">
        <f>VLOOKUP(A496,BOM!A:E,5,0)</f>
        <v>2.5</v>
      </c>
      <c r="F496" s="122">
        <v>20.29</v>
      </c>
      <c r="G496" s="10">
        <v>20.440000000000001</v>
      </c>
      <c r="H496" s="11" t="s">
        <v>1874</v>
      </c>
      <c r="I496" s="49">
        <f>SUMIFS(BOM!Q:Q,BOM!A:A,'All Products'!A496,BOM!I:I,'All Products'!I$3)</f>
        <v>5.6983082706766908</v>
      </c>
      <c r="J496" s="49">
        <f>SUMIFS(BOM!Q:Q,BOM!A:A,'All Products'!A496,BOM!I:I,'All Products'!J$3)+0.03</f>
        <v>0.17</v>
      </c>
      <c r="K496" s="29">
        <f t="shared" si="97"/>
        <v>0.28709923046363456</v>
      </c>
      <c r="L496" s="49">
        <f>SUMIF(BOM!A:A,'All Products'!A496,BOM!S:S)</f>
        <v>3.8176691729323307</v>
      </c>
      <c r="M496" s="49">
        <f>SUMIF(BOM!A:A,'All Products'!A496,BOM!V:V)</f>
        <v>0.29618749999999999</v>
      </c>
      <c r="N496" s="29">
        <f t="shared" si="98"/>
        <v>0.20126500356811791</v>
      </c>
      <c r="O496" s="55">
        <v>0</v>
      </c>
      <c r="P496" s="49">
        <f t="shared" si="99"/>
        <v>9.9821649436090212</v>
      </c>
      <c r="Q496" s="11">
        <f t="shared" si="103"/>
        <v>10.45783505639098</v>
      </c>
      <c r="R496" s="29">
        <f t="shared" si="100"/>
        <v>0.51163576596824756</v>
      </c>
      <c r="S496" s="91">
        <v>0</v>
      </c>
      <c r="T496" s="91">
        <f t="shared" si="108"/>
        <v>0</v>
      </c>
      <c r="U496" s="90">
        <f t="shared" si="109"/>
        <v>0</v>
      </c>
      <c r="V496" s="90">
        <f t="shared" si="110"/>
        <v>0</v>
      </c>
      <c r="W496" s="90">
        <f t="shared" si="111"/>
        <v>0</v>
      </c>
      <c r="Y496" s="34">
        <f t="shared" si="101"/>
        <v>0.72121779497667859</v>
      </c>
      <c r="Z496" s="34"/>
      <c r="AA496" s="4"/>
      <c r="AB496" s="4"/>
      <c r="AE496" s="4"/>
    </row>
    <row r="497" spans="1:31" x14ac:dyDescent="0.25">
      <c r="A497" s="1" t="s">
        <v>1033</v>
      </c>
      <c r="B497" s="1" t="s">
        <v>656</v>
      </c>
      <c r="C497" s="1" t="s">
        <v>1034</v>
      </c>
      <c r="D497" s="1" t="s">
        <v>554</v>
      </c>
      <c r="E497" s="1">
        <f>VLOOKUP(A497,BOM!A:E,5,0)</f>
        <v>1</v>
      </c>
      <c r="F497" s="122">
        <v>11.36</v>
      </c>
      <c r="G497" s="10">
        <v>12.88</v>
      </c>
      <c r="H497" s="11" t="s">
        <v>1873</v>
      </c>
      <c r="I497" s="49">
        <f>SUMIFS(BOM!Q:Q,BOM!A:A,'All Products'!A497,BOM!I:I,'All Products'!I$3)</f>
        <v>0</v>
      </c>
      <c r="J497" s="49">
        <f>SUMIFS(BOM!Q:Q,BOM!A:A,'All Products'!A497,BOM!I:I,'All Products'!J$3)+0.03</f>
        <v>0.17</v>
      </c>
      <c r="K497" s="29">
        <f t="shared" si="97"/>
        <v>1.3198757763975156E-2</v>
      </c>
      <c r="L497" s="49">
        <f>SUMIF(BOM!A:A,'All Products'!A497,BOM!S:S)</f>
        <v>0</v>
      </c>
      <c r="M497" s="49">
        <f>SUMIF(BOM!A:A,'All Products'!A497,BOM!V:V)</f>
        <v>0.21720416666666661</v>
      </c>
      <c r="N497" s="29">
        <f t="shared" si="98"/>
        <v>1.6863677536231879E-2</v>
      </c>
      <c r="O497" s="55">
        <v>0</v>
      </c>
      <c r="P497" s="49">
        <f t="shared" si="99"/>
        <v>0.38720416666666663</v>
      </c>
      <c r="Q497" s="11">
        <f t="shared" si="103"/>
        <v>12.492795833333334</v>
      </c>
      <c r="R497" s="29">
        <f t="shared" si="100"/>
        <v>0.96993756469979298</v>
      </c>
      <c r="S497" s="83"/>
      <c r="T497" s="83"/>
      <c r="U497" s="83"/>
      <c r="V497" s="83"/>
      <c r="W497" s="83"/>
      <c r="Y497" s="34">
        <f t="shared" si="101"/>
        <v>1</v>
      </c>
      <c r="Z497" s="34"/>
      <c r="AD497" t="e">
        <f>_xlfn.XLOOKUP(A497,AF:AF,AF:AF)</f>
        <v>#N/A</v>
      </c>
      <c r="AE497" s="4"/>
    </row>
    <row r="498" spans="1:31" x14ac:dyDescent="0.25">
      <c r="A498" s="1" t="s">
        <v>1035</v>
      </c>
      <c r="B498" s="1" t="s">
        <v>656</v>
      </c>
      <c r="C498" s="1" t="s">
        <v>1036</v>
      </c>
      <c r="D498" s="1" t="s">
        <v>554</v>
      </c>
      <c r="E498" s="1">
        <f>VLOOKUP(A498,BOM!A:E,5,0)</f>
        <v>2.5</v>
      </c>
      <c r="F498" s="122">
        <v>28.4</v>
      </c>
      <c r="G498" s="10">
        <v>32.200000000000003</v>
      </c>
      <c r="H498" s="11" t="s">
        <v>1873</v>
      </c>
      <c r="I498" s="49">
        <f>SUMIFS(BOM!Q:Q,BOM!A:A,'All Products'!A498,BOM!I:I,'All Products'!I$3)</f>
        <v>0</v>
      </c>
      <c r="J498" s="49">
        <f>SUMIFS(BOM!Q:Q,BOM!A:A,'All Products'!A498,BOM!I:I,'All Products'!J$3)+0.03</f>
        <v>0.17</v>
      </c>
      <c r="K498" s="29">
        <f t="shared" si="97"/>
        <v>5.2795031055900624E-3</v>
      </c>
      <c r="L498" s="49">
        <f>SUMIF(BOM!A:A,'All Products'!A498,BOM!S:S)</f>
        <v>0</v>
      </c>
      <c r="M498" s="49">
        <f>SUMIF(BOM!A:A,'All Products'!A498,BOM!V:V)</f>
        <v>0.29618749999999999</v>
      </c>
      <c r="N498" s="29">
        <f t="shared" si="98"/>
        <v>9.1983695652173899E-3</v>
      </c>
      <c r="O498" s="55">
        <v>0</v>
      </c>
      <c r="P498" s="49">
        <f t="shared" si="99"/>
        <v>0.46618749999999998</v>
      </c>
      <c r="Q498" s="11">
        <f t="shared" si="103"/>
        <v>31.733812500000003</v>
      </c>
      <c r="R498" s="29">
        <f t="shared" si="100"/>
        <v>0.98552212732919253</v>
      </c>
      <c r="S498" s="83"/>
      <c r="T498" s="83"/>
      <c r="U498" s="83"/>
      <c r="V498" s="83"/>
      <c r="W498" s="83"/>
      <c r="Y498" s="34">
        <f t="shared" si="101"/>
        <v>1</v>
      </c>
      <c r="Z498" s="34"/>
      <c r="AD498" t="e">
        <f>_xlfn.XLOOKUP(A498,AF:AF,AF:AF)</f>
        <v>#N/A</v>
      </c>
      <c r="AE498" s="4"/>
    </row>
    <row r="499" spans="1:31" x14ac:dyDescent="0.25">
      <c r="A499" s="1" t="s">
        <v>1037</v>
      </c>
      <c r="B499" s="1" t="s">
        <v>656</v>
      </c>
      <c r="C499" s="1" t="s">
        <v>1038</v>
      </c>
      <c r="D499" s="1" t="s">
        <v>554</v>
      </c>
      <c r="E499" s="1">
        <f>VLOOKUP(A499,BOM!A:E,5,0)</f>
        <v>1</v>
      </c>
      <c r="F499" s="122">
        <v>7.16</v>
      </c>
      <c r="G499" s="10">
        <v>7.38</v>
      </c>
      <c r="H499" s="11" t="s">
        <v>1874</v>
      </c>
      <c r="I499" s="49">
        <f>SUMIFS(BOM!Q:Q,BOM!A:A,'All Products'!A499,BOM!I:I,'All Products'!I$3)</f>
        <v>1.2881355932203391</v>
      </c>
      <c r="J499" s="49">
        <f>SUMIFS(BOM!Q:Q,BOM!A:A,'All Products'!A499,BOM!I:I,'All Products'!J$3)+0.03</f>
        <v>0.17</v>
      </c>
      <c r="K499" s="29">
        <f t="shared" si="97"/>
        <v>0.1975793486748427</v>
      </c>
      <c r="L499" s="49">
        <f>SUMIF(BOM!A:A,'All Products'!A499,BOM!S:S)</f>
        <v>2.194895197740113</v>
      </c>
      <c r="M499" s="49">
        <f>SUMIF(BOM!A:A,'All Products'!A499,BOM!V:V)</f>
        <v>0.21720416666666661</v>
      </c>
      <c r="N499" s="29">
        <f t="shared" si="98"/>
        <v>0.32684273230444166</v>
      </c>
      <c r="O499" s="55">
        <v>0</v>
      </c>
      <c r="P499" s="49">
        <f t="shared" si="99"/>
        <v>3.8702349576271189</v>
      </c>
      <c r="Q499" s="11">
        <f t="shared" si="103"/>
        <v>3.509765042372881</v>
      </c>
      <c r="R499" s="29">
        <f t="shared" si="100"/>
        <v>0.47557791902071561</v>
      </c>
      <c r="S499" s="91">
        <v>0.2</v>
      </c>
      <c r="T499" s="91">
        <f t="shared" ref="T499:T504" si="112">S499*G499</f>
        <v>1.476</v>
      </c>
      <c r="U499" s="90">
        <f t="shared" ref="U499:U504" si="113">IFERROR(S499*Q499,0)</f>
        <v>0.7019530084745762</v>
      </c>
      <c r="V499" s="90">
        <f t="shared" ref="V499:V504" si="114">(G499-P499)*S499</f>
        <v>0.7019530084745762</v>
      </c>
      <c r="W499" s="90">
        <f t="shared" ref="W499:W504" si="115">V499-U499</f>
        <v>0</v>
      </c>
      <c r="Y499" s="34">
        <f t="shared" si="101"/>
        <v>0.82545588167746087</v>
      </c>
      <c r="Z499" s="34"/>
      <c r="AA499" s="4"/>
      <c r="AB499" s="4"/>
      <c r="AE499" s="4"/>
    </row>
    <row r="500" spans="1:31" x14ac:dyDescent="0.25">
      <c r="A500" s="1" t="s">
        <v>1039</v>
      </c>
      <c r="B500" s="1" t="s">
        <v>656</v>
      </c>
      <c r="C500" s="1" t="s">
        <v>1040</v>
      </c>
      <c r="D500" s="1" t="s">
        <v>554</v>
      </c>
      <c r="E500" s="1">
        <f>VLOOKUP(A500,BOM!A:E,5,0)</f>
        <v>2.5</v>
      </c>
      <c r="F500" s="122">
        <v>17.89</v>
      </c>
      <c r="G500" s="10">
        <v>18.41</v>
      </c>
      <c r="H500" s="11" t="s">
        <v>1874</v>
      </c>
      <c r="I500" s="49">
        <f>SUMIFS(BOM!Q:Q,BOM!A:A,'All Products'!A500,BOM!I:I,'All Products'!I$3)</f>
        <v>3.2203389830508478</v>
      </c>
      <c r="J500" s="49">
        <f>SUMIFS(BOM!Q:Q,BOM!A:A,'All Products'!A500,BOM!I:I,'All Products'!J$3)+0.03</f>
        <v>0.17</v>
      </c>
      <c r="K500" s="29">
        <f t="shared" si="97"/>
        <v>0.18415746784632525</v>
      </c>
      <c r="L500" s="49">
        <f>SUMIF(BOM!A:A,'All Products'!A500,BOM!S:S)</f>
        <v>5.4872379943502825</v>
      </c>
      <c r="M500" s="49">
        <f>SUMIF(BOM!A:A,'All Products'!A500,BOM!V:V)</f>
        <v>0.29618749999999999</v>
      </c>
      <c r="N500" s="29">
        <f t="shared" si="98"/>
        <v>0.31414587150191647</v>
      </c>
      <c r="O500" s="55">
        <v>0</v>
      </c>
      <c r="P500" s="49">
        <f t="shared" si="99"/>
        <v>9.1737644774011304</v>
      </c>
      <c r="Q500" s="11">
        <f t="shared" si="103"/>
        <v>9.2362355225988697</v>
      </c>
      <c r="R500" s="29">
        <f t="shared" si="100"/>
        <v>0.50169666065175822</v>
      </c>
      <c r="S500" s="91">
        <v>0</v>
      </c>
      <c r="T500" s="91">
        <f t="shared" si="112"/>
        <v>0</v>
      </c>
      <c r="U500" s="90">
        <f t="shared" si="113"/>
        <v>0</v>
      </c>
      <c r="V500" s="90">
        <f t="shared" si="114"/>
        <v>0</v>
      </c>
      <c r="W500" s="90">
        <f t="shared" si="115"/>
        <v>0</v>
      </c>
      <c r="Y500" s="34">
        <f t="shared" si="101"/>
        <v>0.82507664404938363</v>
      </c>
      <c r="Z500" s="34"/>
      <c r="AA500" s="4"/>
      <c r="AB500" s="4"/>
      <c r="AE500" s="4"/>
    </row>
    <row r="501" spans="1:31" x14ac:dyDescent="0.25">
      <c r="A501" s="1" t="s">
        <v>1041</v>
      </c>
      <c r="B501" s="1" t="s">
        <v>656</v>
      </c>
      <c r="C501" s="1" t="s">
        <v>1042</v>
      </c>
      <c r="D501" s="1" t="s">
        <v>554</v>
      </c>
      <c r="E501" s="1">
        <f>VLOOKUP(A501,BOM!A:E,5,0)</f>
        <v>1</v>
      </c>
      <c r="F501" s="122">
        <v>10.99</v>
      </c>
      <c r="G501" s="10">
        <v>11.54</v>
      </c>
      <c r="H501" s="11" t="s">
        <v>1874</v>
      </c>
      <c r="I501" s="49">
        <f>SUMIFS(BOM!Q:Q,BOM!A:A,'All Products'!A501,BOM!I:I,'All Products'!I$3)</f>
        <v>4.7058823529411766</v>
      </c>
      <c r="J501" s="49">
        <f>SUMIFS(BOM!Q:Q,BOM!A:A,'All Products'!A501,BOM!I:I,'All Products'!J$3)+0.03</f>
        <v>0.17</v>
      </c>
      <c r="K501" s="29">
        <f t="shared" si="97"/>
        <v>0.42252013457029264</v>
      </c>
      <c r="L501" s="49">
        <f>SUMIF(BOM!A:A,'All Products'!A501,BOM!S:S)</f>
        <v>4.706417112299464</v>
      </c>
      <c r="M501" s="49">
        <f>SUMIF(BOM!A:A,'All Products'!A501,BOM!V:V)</f>
        <v>0.21720416666666661</v>
      </c>
      <c r="N501" s="29">
        <f t="shared" si="98"/>
        <v>0.42665695658285369</v>
      </c>
      <c r="O501" s="55">
        <v>0</v>
      </c>
      <c r="P501" s="49">
        <f t="shared" si="99"/>
        <v>9.7995036319073066</v>
      </c>
      <c r="Q501" s="11">
        <f t="shared" si="103"/>
        <v>1.7404963680926926</v>
      </c>
      <c r="R501" s="29">
        <f t="shared" si="100"/>
        <v>0.15082290884685379</v>
      </c>
      <c r="S501" s="91">
        <v>4.8</v>
      </c>
      <c r="T501" s="91">
        <f t="shared" si="112"/>
        <v>55.391999999999996</v>
      </c>
      <c r="U501" s="90">
        <f t="shared" si="113"/>
        <v>8.3543825668449241</v>
      </c>
      <c r="V501" s="90">
        <f t="shared" si="114"/>
        <v>8.3543825668449241</v>
      </c>
      <c r="W501" s="90">
        <f t="shared" si="115"/>
        <v>0</v>
      </c>
      <c r="Y501" s="34">
        <f t="shared" si="101"/>
        <v>0.5922112345804873</v>
      </c>
      <c r="Z501" s="34"/>
      <c r="AA501" s="4"/>
      <c r="AB501" s="4"/>
      <c r="AE501" s="4"/>
    </row>
    <row r="502" spans="1:31" x14ac:dyDescent="0.25">
      <c r="A502" s="1" t="s">
        <v>1043</v>
      </c>
      <c r="B502" s="1" t="s">
        <v>656</v>
      </c>
      <c r="C502" s="1" t="s">
        <v>1044</v>
      </c>
      <c r="D502" s="1" t="s">
        <v>554</v>
      </c>
      <c r="E502" s="1">
        <f>VLOOKUP(A502,BOM!A:E,5,0)</f>
        <v>2.5</v>
      </c>
      <c r="F502" s="122">
        <v>27.82</v>
      </c>
      <c r="G502" s="10">
        <v>29.17</v>
      </c>
      <c r="H502" s="11" t="s">
        <v>1874</v>
      </c>
      <c r="I502" s="49">
        <f>SUMIFS(BOM!Q:Q,BOM!A:A,'All Products'!A502,BOM!I:I,'All Products'!I$3)</f>
        <v>11.764705882352942</v>
      </c>
      <c r="J502" s="49">
        <f>SUMIFS(BOM!Q:Q,BOM!A:A,'All Products'!A502,BOM!I:I,'All Products'!J$3)+0.03</f>
        <v>0.17</v>
      </c>
      <c r="K502" s="29">
        <f t="shared" si="97"/>
        <v>0.40914315674847246</v>
      </c>
      <c r="L502" s="49">
        <f>SUMIF(BOM!A:A,'All Products'!A502,BOM!S:S)</f>
        <v>11.766042780748661</v>
      </c>
      <c r="M502" s="49">
        <f>SUMIF(BOM!A:A,'All Products'!A502,BOM!V:V)</f>
        <v>0.29618749999999999</v>
      </c>
      <c r="N502" s="29">
        <f t="shared" si="98"/>
        <v>0.41351492220598768</v>
      </c>
      <c r="O502" s="55">
        <v>0</v>
      </c>
      <c r="P502" s="49">
        <f t="shared" si="99"/>
        <v>23.996936163101601</v>
      </c>
      <c r="Q502" s="11">
        <f t="shared" si="103"/>
        <v>5.1730638368984003</v>
      </c>
      <c r="R502" s="29">
        <f t="shared" si="100"/>
        <v>0.17734192104553995</v>
      </c>
      <c r="S502" s="91">
        <v>10.8</v>
      </c>
      <c r="T502" s="91">
        <f t="shared" si="112"/>
        <v>315.03600000000006</v>
      </c>
      <c r="U502" s="90">
        <f t="shared" si="113"/>
        <v>55.869089438502726</v>
      </c>
      <c r="V502" s="90">
        <f t="shared" si="114"/>
        <v>55.869089438502726</v>
      </c>
      <c r="W502" s="90">
        <f t="shared" si="115"/>
        <v>0</v>
      </c>
      <c r="Y502" s="34">
        <f t="shared" si="101"/>
        <v>0.59668474863376963</v>
      </c>
      <c r="Z502" s="34"/>
      <c r="AA502" s="4"/>
      <c r="AB502" s="4"/>
      <c r="AE502" s="4"/>
    </row>
    <row r="503" spans="1:31" x14ac:dyDescent="0.25">
      <c r="A503" s="1" t="s">
        <v>1045</v>
      </c>
      <c r="B503" s="1" t="s">
        <v>656</v>
      </c>
      <c r="C503" s="1" t="s">
        <v>1046</v>
      </c>
      <c r="D503" s="1" t="s">
        <v>554</v>
      </c>
      <c r="E503" s="1">
        <f>VLOOKUP(A503,BOM!A:E,5,0)</f>
        <v>1</v>
      </c>
      <c r="F503" s="122">
        <v>10.84</v>
      </c>
      <c r="G503" s="10">
        <v>11.21</v>
      </c>
      <c r="H503" s="11" t="s">
        <v>1874</v>
      </c>
      <c r="I503" s="49">
        <f>SUMIFS(BOM!Q:Q,BOM!A:A,'All Products'!A503,BOM!I:I,'All Products'!I$3)</f>
        <v>4.5989304812834222</v>
      </c>
      <c r="J503" s="49">
        <f>SUMIFS(BOM!Q:Q,BOM!A:A,'All Products'!A503,BOM!I:I,'All Products'!J$3)+0.03</f>
        <v>0.17</v>
      </c>
      <c r="K503" s="29">
        <f t="shared" si="97"/>
        <v>0.42541752732233912</v>
      </c>
      <c r="L503" s="49">
        <f>SUMIF(BOM!A:A,'All Products'!A503,BOM!S:S)</f>
        <v>4.706417112299464</v>
      </c>
      <c r="M503" s="49">
        <f>SUMIF(BOM!A:A,'All Products'!A503,BOM!V:V)</f>
        <v>0.21720416666666661</v>
      </c>
      <c r="N503" s="29">
        <f t="shared" si="98"/>
        <v>0.43921688483194743</v>
      </c>
      <c r="O503" s="55">
        <v>0</v>
      </c>
      <c r="P503" s="49">
        <f t="shared" si="99"/>
        <v>9.6925517602495539</v>
      </c>
      <c r="Q503" s="11">
        <f t="shared" ref="Q503:Q534" si="116">G503-P503</f>
        <v>1.517448239750447</v>
      </c>
      <c r="R503" s="29">
        <f t="shared" si="100"/>
        <v>0.13536558784571337</v>
      </c>
      <c r="S503" s="91">
        <v>0</v>
      </c>
      <c r="T503" s="91">
        <f t="shared" si="112"/>
        <v>0</v>
      </c>
      <c r="U503" s="90">
        <f t="shared" si="113"/>
        <v>0</v>
      </c>
      <c r="V503" s="90">
        <f t="shared" si="114"/>
        <v>0</v>
      </c>
      <c r="W503" s="90">
        <f t="shared" si="115"/>
        <v>0</v>
      </c>
      <c r="Y503" s="34">
        <f t="shared" si="101"/>
        <v>0.58974750389978392</v>
      </c>
      <c r="Z503" s="34"/>
      <c r="AA503" s="4"/>
      <c r="AB503" s="4"/>
      <c r="AE503" s="4"/>
    </row>
    <row r="504" spans="1:31" x14ac:dyDescent="0.25">
      <c r="A504" s="1" t="s">
        <v>1047</v>
      </c>
      <c r="B504" s="1" t="s">
        <v>656</v>
      </c>
      <c r="C504" s="1" t="s">
        <v>1048</v>
      </c>
      <c r="D504" s="1" t="s">
        <v>554</v>
      </c>
      <c r="E504" s="1">
        <f>VLOOKUP(A504,BOM!A:E,5,0)</f>
        <v>2.5</v>
      </c>
      <c r="F504" s="122">
        <v>26.8</v>
      </c>
      <c r="G504" s="10">
        <v>27.72</v>
      </c>
      <c r="H504" s="11" t="s">
        <v>1874</v>
      </c>
      <c r="I504" s="49">
        <f>SUMIFS(BOM!Q:Q,BOM!A:A,'All Products'!A504,BOM!I:I,'All Products'!I$3)</f>
        <v>11.497326203208557</v>
      </c>
      <c r="J504" s="49">
        <f>SUMIFS(BOM!Q:Q,BOM!A:A,'All Products'!A504,BOM!I:I,'All Products'!J$3)+0.03</f>
        <v>0.17</v>
      </c>
      <c r="K504" s="29">
        <f t="shared" si="97"/>
        <v>0.42089921367996236</v>
      </c>
      <c r="L504" s="49">
        <f>SUMIF(BOM!A:A,'All Products'!A504,BOM!S:S)</f>
        <v>11.766042780748661</v>
      </c>
      <c r="M504" s="49">
        <f>SUMIF(BOM!A:A,'All Products'!A504,BOM!V:V)</f>
        <v>0.29618749999999999</v>
      </c>
      <c r="N504" s="29">
        <f t="shared" si="98"/>
        <v>0.43514539252340051</v>
      </c>
      <c r="O504" s="55">
        <v>0</v>
      </c>
      <c r="P504" s="49">
        <f t="shared" si="99"/>
        <v>23.729556483957218</v>
      </c>
      <c r="Q504" s="11">
        <f t="shared" si="116"/>
        <v>3.9904435160427809</v>
      </c>
      <c r="R504" s="29">
        <f t="shared" si="100"/>
        <v>0.14395539379663713</v>
      </c>
      <c r="S504" s="91">
        <v>0.6</v>
      </c>
      <c r="T504" s="91">
        <f t="shared" si="112"/>
        <v>16.631999999999998</v>
      </c>
      <c r="U504" s="90">
        <f t="shared" si="113"/>
        <v>2.3942661096256685</v>
      </c>
      <c r="V504" s="90">
        <f t="shared" si="114"/>
        <v>2.3942661096256685</v>
      </c>
      <c r="W504" s="90">
        <f t="shared" si="115"/>
        <v>0</v>
      </c>
      <c r="Y504" s="34">
        <f t="shared" si="101"/>
        <v>0.58523354245279369</v>
      </c>
      <c r="Z504" s="34"/>
      <c r="AA504" s="4"/>
      <c r="AB504" s="4"/>
      <c r="AE504" s="4"/>
    </row>
    <row r="505" spans="1:31" x14ac:dyDescent="0.25">
      <c r="A505" s="1" t="s">
        <v>1049</v>
      </c>
      <c r="B505" s="1" t="s">
        <v>656</v>
      </c>
      <c r="C505" s="1" t="s">
        <v>1050</v>
      </c>
      <c r="D505" s="1" t="s">
        <v>554</v>
      </c>
      <c r="E505" s="1">
        <f>VLOOKUP(A505,BOM!A:E,5,0)</f>
        <v>1</v>
      </c>
      <c r="F505" s="122">
        <v>5.31</v>
      </c>
      <c r="G505" s="10">
        <v>4.5599999999999996</v>
      </c>
      <c r="H505" s="11" t="s">
        <v>1873</v>
      </c>
      <c r="I505" s="49">
        <f>SUMIFS(BOM!Q:Q,BOM!A:A,'All Products'!A505,BOM!I:I,'All Products'!I$3)</f>
        <v>0</v>
      </c>
      <c r="J505" s="49">
        <f>SUMIFS(BOM!Q:Q,BOM!A:A,'All Products'!A505,BOM!I:I,'All Products'!J$3)+0.03</f>
        <v>0.17</v>
      </c>
      <c r="K505" s="29">
        <f t="shared" si="97"/>
        <v>3.728070175438597E-2</v>
      </c>
      <c r="L505" s="49">
        <f>SUMIF(BOM!A:A,'All Products'!A505,BOM!S:S)</f>
        <v>0</v>
      </c>
      <c r="M505" s="49">
        <f>SUMIF(BOM!A:A,'All Products'!A505,BOM!V:V)</f>
        <v>0.21720416666666661</v>
      </c>
      <c r="N505" s="29">
        <f t="shared" si="98"/>
        <v>4.7632492690058474E-2</v>
      </c>
      <c r="O505" s="55">
        <v>0</v>
      </c>
      <c r="P505" s="49">
        <f t="shared" si="99"/>
        <v>0.38720416666666663</v>
      </c>
      <c r="Q505" s="11">
        <f t="shared" si="116"/>
        <v>4.1727958333333328</v>
      </c>
      <c r="R505" s="29">
        <f t="shared" si="100"/>
        <v>0.91508680555555555</v>
      </c>
      <c r="S505" s="83"/>
      <c r="T505" s="83"/>
      <c r="U505" s="83"/>
      <c r="V505" s="83"/>
      <c r="W505" s="83"/>
      <c r="Y505" s="34">
        <f t="shared" si="101"/>
        <v>1</v>
      </c>
      <c r="Z505" s="34"/>
      <c r="AD505" t="e">
        <f>_xlfn.XLOOKUP(A505,AF:AF,AF:AF)</f>
        <v>#N/A</v>
      </c>
      <c r="AE505" s="4"/>
    </row>
    <row r="506" spans="1:31" x14ac:dyDescent="0.25">
      <c r="A506" s="1" t="s">
        <v>1051</v>
      </c>
      <c r="B506" s="1" t="s">
        <v>656</v>
      </c>
      <c r="C506" s="1" t="s">
        <v>1052</v>
      </c>
      <c r="D506" s="1" t="s">
        <v>554</v>
      </c>
      <c r="E506" s="1">
        <f>VLOOKUP(A506,BOM!A:E,5,0)</f>
        <v>2.5</v>
      </c>
      <c r="F506" s="122">
        <v>13.29</v>
      </c>
      <c r="G506" s="10">
        <v>13.29</v>
      </c>
      <c r="H506" s="11" t="s">
        <v>1873</v>
      </c>
      <c r="I506" s="49">
        <f>SUMIFS(BOM!Q:Q,BOM!A:A,'All Products'!A506,BOM!I:I,'All Products'!I$3)</f>
        <v>0</v>
      </c>
      <c r="J506" s="49">
        <f>SUMIFS(BOM!Q:Q,BOM!A:A,'All Products'!A506,BOM!I:I,'All Products'!J$3)+0.03</f>
        <v>0.17</v>
      </c>
      <c r="K506" s="29">
        <f t="shared" si="97"/>
        <v>1.2791572610985706E-2</v>
      </c>
      <c r="L506" s="49">
        <f>SUMIF(BOM!A:A,'All Products'!A506,BOM!S:S)</f>
        <v>0</v>
      </c>
      <c r="M506" s="49">
        <f>SUMIF(BOM!A:A,'All Products'!A506,BOM!V:V)</f>
        <v>0.29618749999999999</v>
      </c>
      <c r="N506" s="29">
        <f t="shared" si="98"/>
        <v>2.2286493604213694E-2</v>
      </c>
      <c r="O506" s="55">
        <v>0</v>
      </c>
      <c r="P506" s="49">
        <f t="shared" si="99"/>
        <v>0.46618749999999998</v>
      </c>
      <c r="Q506" s="11">
        <f t="shared" si="116"/>
        <v>12.823812499999999</v>
      </c>
      <c r="R506" s="29">
        <f t="shared" si="100"/>
        <v>0.96492193378480062</v>
      </c>
      <c r="S506" s="83"/>
      <c r="T506" s="83"/>
      <c r="U506" s="83"/>
      <c r="V506" s="83"/>
      <c r="W506" s="83"/>
      <c r="Y506" s="34">
        <f t="shared" si="101"/>
        <v>1</v>
      </c>
      <c r="Z506" s="34"/>
      <c r="AD506" t="e">
        <f>_xlfn.XLOOKUP(A506,AF:AF,AF:AF)</f>
        <v>#N/A</v>
      </c>
      <c r="AE506" s="4"/>
    </row>
    <row r="507" spans="1:31" x14ac:dyDescent="0.25">
      <c r="A507" s="1" t="s">
        <v>462</v>
      </c>
      <c r="B507" s="1" t="s">
        <v>656</v>
      </c>
      <c r="C507" s="1" t="s">
        <v>463</v>
      </c>
      <c r="D507" s="1" t="s">
        <v>554</v>
      </c>
      <c r="E507" s="1">
        <f>VLOOKUP(A507,BOM!A:E,5,0)</f>
        <v>1</v>
      </c>
      <c r="F507" s="122">
        <v>4.04</v>
      </c>
      <c r="G507" s="10">
        <v>3.94</v>
      </c>
      <c r="H507" s="11" t="s">
        <v>1874</v>
      </c>
      <c r="I507" s="49">
        <f>SUMIFS(BOM!Q:Q,BOM!A:A,'All Products'!A507,BOM!I:I,'All Products'!I$3)</f>
        <v>1.6828571428571428</v>
      </c>
      <c r="J507" s="49">
        <f>SUMIFS(BOM!Q:Q,BOM!A:A,'All Products'!A507,BOM!I:I,'All Products'!J$3)+0.03</f>
        <v>0.17</v>
      </c>
      <c r="K507" s="29">
        <f t="shared" si="97"/>
        <v>0.47026831036983319</v>
      </c>
      <c r="L507" s="49">
        <f>SUMIF(BOM!A:A,'All Products'!A507,BOM!S:S)</f>
        <v>2.697253968253968</v>
      </c>
      <c r="M507" s="49">
        <f>SUMIF(BOM!A:A,'All Products'!A507,BOM!V:V)</f>
        <v>0.21720416666666661</v>
      </c>
      <c r="N507" s="29">
        <f t="shared" si="98"/>
        <v>0.73971018652807985</v>
      </c>
      <c r="O507" s="55">
        <v>0</v>
      </c>
      <c r="P507" s="49">
        <f t="shared" si="99"/>
        <v>4.7673152777777776</v>
      </c>
      <c r="Q507" s="11">
        <f t="shared" si="116"/>
        <v>-0.82731527777777769</v>
      </c>
      <c r="R507" s="29">
        <f t="shared" si="100"/>
        <v>-0.20997849689791312</v>
      </c>
      <c r="S507" s="91">
        <v>1</v>
      </c>
      <c r="T507" s="91">
        <f>S507*G507</f>
        <v>3.94</v>
      </c>
      <c r="U507" s="90">
        <f>IFERROR(S507*Q507,0)</f>
        <v>-0.82731527777777769</v>
      </c>
      <c r="V507" s="90">
        <f>(G507-P507)*S507</f>
        <v>-0.82731527777777769</v>
      </c>
      <c r="W507" s="90">
        <f>V507-U507</f>
        <v>0</v>
      </c>
      <c r="Y507" s="34">
        <f t="shared" si="101"/>
        <v>0.57287889775199419</v>
      </c>
      <c r="Z507" s="34"/>
      <c r="AA507" s="4"/>
      <c r="AB507" s="4"/>
      <c r="AE507" s="4"/>
    </row>
    <row r="508" spans="1:31" x14ac:dyDescent="0.25">
      <c r="A508" s="1" t="s">
        <v>1053</v>
      </c>
      <c r="B508" s="1" t="s">
        <v>656</v>
      </c>
      <c r="C508" s="1" t="s">
        <v>1054</v>
      </c>
      <c r="D508" s="1" t="s">
        <v>554</v>
      </c>
      <c r="E508" s="1">
        <f>VLOOKUP(A508,BOM!A:E,5,0)</f>
        <v>2.5</v>
      </c>
      <c r="F508" s="122">
        <v>9.7799999999999994</v>
      </c>
      <c r="G508" s="10">
        <v>9.51</v>
      </c>
      <c r="H508" s="11" t="s">
        <v>1874</v>
      </c>
      <c r="I508" s="49">
        <f>SUMIFS(BOM!Q:Q,BOM!A:A,'All Products'!A508,BOM!I:I,'All Products'!I$3)</f>
        <v>4.2071428571428573</v>
      </c>
      <c r="J508" s="49">
        <f>SUMIFS(BOM!Q:Q,BOM!A:A,'All Products'!A508,BOM!I:I,'All Products'!J$3)+0.03</f>
        <v>0.17</v>
      </c>
      <c r="K508" s="29">
        <f t="shared" si="97"/>
        <v>0.46026738771218267</v>
      </c>
      <c r="L508" s="49">
        <f>SUMIF(BOM!A:A,'All Products'!A508,BOM!S:S)</f>
        <v>6.7431349206349198</v>
      </c>
      <c r="M508" s="49">
        <f>SUMIF(BOM!A:A,'All Products'!A508,BOM!V:V)</f>
        <v>0.29618749999999999</v>
      </c>
      <c r="N508" s="29">
        <f t="shared" si="98"/>
        <v>0.74020214728022293</v>
      </c>
      <c r="O508" s="55">
        <v>0</v>
      </c>
      <c r="P508" s="49">
        <f t="shared" si="99"/>
        <v>11.416465277777778</v>
      </c>
      <c r="Q508" s="11">
        <f t="shared" si="116"/>
        <v>-1.9064652777777784</v>
      </c>
      <c r="R508" s="29">
        <f t="shared" si="100"/>
        <v>-0.20046953499240572</v>
      </c>
      <c r="S508" s="91">
        <v>96.4</v>
      </c>
      <c r="T508" s="91">
        <f>S508*G508</f>
        <v>916.76400000000001</v>
      </c>
      <c r="U508" s="90">
        <f>IFERROR(S508*Q508,0)</f>
        <v>-183.78325277777785</v>
      </c>
      <c r="V508" s="90">
        <f>(G508-P508)*S508</f>
        <v>-183.78325277777785</v>
      </c>
      <c r="W508" s="90">
        <f>V508-U508</f>
        <v>0</v>
      </c>
      <c r="Y508" s="34">
        <f t="shared" si="101"/>
        <v>0.5576085323719393</v>
      </c>
      <c r="Z508" s="34"/>
      <c r="AA508" s="4"/>
      <c r="AB508" s="4"/>
      <c r="AE508" s="4"/>
    </row>
    <row r="509" spans="1:31" x14ac:dyDescent="0.25">
      <c r="A509" s="1" t="s">
        <v>1055</v>
      </c>
      <c r="B509" s="1" t="s">
        <v>656</v>
      </c>
      <c r="C509" s="1" t="s">
        <v>1056</v>
      </c>
      <c r="D509" s="1" t="s">
        <v>554</v>
      </c>
      <c r="E509" s="1">
        <f>VLOOKUP(A509,BOM!A:E,5,0)</f>
        <v>1</v>
      </c>
      <c r="F509" s="122">
        <v>12.67</v>
      </c>
      <c r="G509" s="10">
        <v>12.27</v>
      </c>
      <c r="H509" s="11" t="s">
        <v>1873</v>
      </c>
      <c r="I509" s="49">
        <f>SUMIFS(BOM!Q:Q,BOM!A:A,'All Products'!A509,BOM!I:I,'All Products'!I$3)</f>
        <v>0</v>
      </c>
      <c r="J509" s="49">
        <f>SUMIFS(BOM!Q:Q,BOM!A:A,'All Products'!A509,BOM!I:I,'All Products'!J$3)+0.03</f>
        <v>0.17</v>
      </c>
      <c r="K509" s="29">
        <f t="shared" si="97"/>
        <v>1.3854930725346375E-2</v>
      </c>
      <c r="L509" s="49">
        <f>SUMIF(BOM!A:A,'All Products'!A509,BOM!S:S)</f>
        <v>3.3849999999999998E-2</v>
      </c>
      <c r="M509" s="49">
        <f>SUMIF(BOM!A:A,'All Products'!A509,BOM!V:V)</f>
        <v>0.21720416666666661</v>
      </c>
      <c r="N509" s="29">
        <f t="shared" si="98"/>
        <v>2.0460812279271934E-2</v>
      </c>
      <c r="O509" s="55">
        <v>0</v>
      </c>
      <c r="P509" s="49">
        <f t="shared" si="99"/>
        <v>0.42105416666666662</v>
      </c>
      <c r="Q509" s="11">
        <f t="shared" si="116"/>
        <v>11.848945833333334</v>
      </c>
      <c r="R509" s="29">
        <f t="shared" si="100"/>
        <v>0.96568425699538174</v>
      </c>
      <c r="S509" s="83"/>
      <c r="T509" s="83"/>
      <c r="U509" s="83"/>
      <c r="V509" s="83"/>
      <c r="W509" s="83"/>
      <c r="Y509" s="34">
        <f t="shared" si="101"/>
        <v>1</v>
      </c>
      <c r="Z509" s="34"/>
      <c r="AD509" t="e">
        <f>_xlfn.XLOOKUP(A509,AF:AF,AF:AF)</f>
        <v>#N/A</v>
      </c>
      <c r="AE509" s="4"/>
    </row>
    <row r="510" spans="1:31" x14ac:dyDescent="0.25">
      <c r="A510" s="1" t="s">
        <v>1057</v>
      </c>
      <c r="B510" s="1" t="s">
        <v>656</v>
      </c>
      <c r="C510" s="1" t="s">
        <v>1058</v>
      </c>
      <c r="D510" s="1" t="s">
        <v>554</v>
      </c>
      <c r="E510" s="1">
        <f>VLOOKUP(A510,BOM!A:E,5,0)</f>
        <v>2.5</v>
      </c>
      <c r="F510" s="122">
        <v>31.69</v>
      </c>
      <c r="G510" s="10">
        <v>31.69</v>
      </c>
      <c r="H510" s="11" t="s">
        <v>1873</v>
      </c>
      <c r="I510" s="49">
        <f>SUMIFS(BOM!Q:Q,BOM!A:A,'All Products'!A510,BOM!I:I,'All Products'!I$3)</f>
        <v>0</v>
      </c>
      <c r="J510" s="49">
        <f>SUMIFS(BOM!Q:Q,BOM!A:A,'All Products'!A510,BOM!I:I,'All Products'!J$3)+0.03</f>
        <v>0.17</v>
      </c>
      <c r="K510" s="29">
        <f t="shared" si="97"/>
        <v>5.3644682865257179E-3</v>
      </c>
      <c r="L510" s="49">
        <f>SUMIF(BOM!A:A,'All Products'!A510,BOM!S:S)</f>
        <v>8.4624999999999992E-2</v>
      </c>
      <c r="M510" s="49">
        <f>SUMIF(BOM!A:A,'All Products'!A510,BOM!V:V)</f>
        <v>0.29618749999999999</v>
      </c>
      <c r="N510" s="29">
        <f t="shared" si="98"/>
        <v>1.2016803408015145E-2</v>
      </c>
      <c r="O510" s="55">
        <v>0</v>
      </c>
      <c r="P510" s="49">
        <f t="shared" si="99"/>
        <v>0.55081249999999993</v>
      </c>
      <c r="Q510" s="11">
        <f t="shared" si="116"/>
        <v>31.139187500000002</v>
      </c>
      <c r="R510" s="29">
        <f t="shared" si="100"/>
        <v>0.98261872830545915</v>
      </c>
      <c r="S510" s="83"/>
      <c r="T510" s="83"/>
      <c r="U510" s="83"/>
      <c r="V510" s="83"/>
      <c r="W510" s="83"/>
      <c r="Y510" s="34">
        <f t="shared" si="101"/>
        <v>1</v>
      </c>
      <c r="Z510" s="34"/>
      <c r="AD510" t="e">
        <f>_xlfn.XLOOKUP(A510,AF:AF,AF:AF)</f>
        <v>#N/A</v>
      </c>
      <c r="AE510" s="4"/>
    </row>
    <row r="511" spans="1:31" x14ac:dyDescent="0.25">
      <c r="A511" s="1" t="s">
        <v>1059</v>
      </c>
      <c r="B511" s="1" t="s">
        <v>656</v>
      </c>
      <c r="C511" s="1" t="s">
        <v>1060</v>
      </c>
      <c r="D511" s="1" t="s">
        <v>554</v>
      </c>
      <c r="E511" s="1">
        <f>VLOOKUP(A511,BOM!A:E,5,0)</f>
        <v>1</v>
      </c>
      <c r="F511" s="122">
        <v>11.79</v>
      </c>
      <c r="G511" s="10">
        <v>10.57</v>
      </c>
      <c r="H511" s="11" t="s">
        <v>1874</v>
      </c>
      <c r="I511" s="49">
        <f>SUMIFS(BOM!Q:Q,BOM!A:A,'All Products'!A511,BOM!I:I,'All Products'!I$3)</f>
        <v>2.4999999999999996</v>
      </c>
      <c r="J511" s="49">
        <f>SUMIFS(BOM!Q:Q,BOM!A:A,'All Products'!A511,BOM!I:I,'All Products'!J$3)+0.03</f>
        <v>0.17</v>
      </c>
      <c r="K511" s="29">
        <f t="shared" si="97"/>
        <v>0.25260170293282869</v>
      </c>
      <c r="L511" s="49">
        <f>SUMIF(BOM!A:A,'All Products'!A511,BOM!S:S)</f>
        <v>7.3471216049382706</v>
      </c>
      <c r="M511" s="49">
        <f>SUMIF(BOM!A:A,'All Products'!A511,BOM!V:V)</f>
        <v>0.21720416666666661</v>
      </c>
      <c r="N511" s="29">
        <f t="shared" si="98"/>
        <v>0.71564103799479062</v>
      </c>
      <c r="O511" s="55">
        <v>0</v>
      </c>
      <c r="P511" s="49">
        <f t="shared" si="99"/>
        <v>10.234325771604937</v>
      </c>
      <c r="Q511" s="11">
        <f t="shared" si="116"/>
        <v>0.33567422839506378</v>
      </c>
      <c r="R511" s="29">
        <f t="shared" si="100"/>
        <v>3.1757259072380681E-2</v>
      </c>
      <c r="S511" s="91">
        <v>4.5999999999999996</v>
      </c>
      <c r="T511" s="91">
        <f t="shared" ref="T511:T520" si="117">S511*G511</f>
        <v>48.622</v>
      </c>
      <c r="U511" s="90">
        <f t="shared" ref="U511:U520" si="118">IFERROR(S511*Q511,0)</f>
        <v>1.5441014506172932</v>
      </c>
      <c r="V511" s="90">
        <f t="shared" ref="V511:V520" si="119">(G511-P511)*S511</f>
        <v>1.5441014506172932</v>
      </c>
      <c r="W511" s="90">
        <f t="shared" ref="W511:W520" si="120">V511-U511</f>
        <v>0</v>
      </c>
      <c r="Y511" s="34">
        <f t="shared" si="101"/>
        <v>0.76348155156102182</v>
      </c>
      <c r="Z511" s="34"/>
      <c r="AE511" s="4"/>
    </row>
    <row r="512" spans="1:31" x14ac:dyDescent="0.25">
      <c r="A512" s="1" t="s">
        <v>1061</v>
      </c>
      <c r="B512" s="1" t="s">
        <v>656</v>
      </c>
      <c r="C512" s="1" t="s">
        <v>1062</v>
      </c>
      <c r="D512" s="1" t="s">
        <v>554</v>
      </c>
      <c r="E512" s="1">
        <f>VLOOKUP(A512,BOM!A:E,5,0)</f>
        <v>2.5</v>
      </c>
      <c r="F512" s="122">
        <v>17.66</v>
      </c>
      <c r="G512" s="10">
        <v>31.21</v>
      </c>
      <c r="H512" s="11" t="s">
        <v>1874</v>
      </c>
      <c r="I512" s="49">
        <f>SUMIFS(BOM!Q:Q,BOM!A:A,'All Products'!A512,BOM!I:I,'All Products'!I$3)</f>
        <v>6.25</v>
      </c>
      <c r="J512" s="49">
        <f>SUMIFS(BOM!Q:Q,BOM!A:A,'All Products'!A512,BOM!I:I,'All Products'!J$3)+0.03</f>
        <v>0.17</v>
      </c>
      <c r="K512" s="29">
        <f t="shared" si="97"/>
        <v>0.20570330022428707</v>
      </c>
      <c r="L512" s="49">
        <f>SUMIF(BOM!A:A,'All Products'!A512,BOM!S:S)</f>
        <v>18.367804012345676</v>
      </c>
      <c r="M512" s="49">
        <f>SUMIF(BOM!A:A,'All Products'!A512,BOM!V:V)</f>
        <v>0.29618749999999999</v>
      </c>
      <c r="N512" s="29">
        <f t="shared" si="98"/>
        <v>0.59801318527221003</v>
      </c>
      <c r="O512" s="55">
        <v>0</v>
      </c>
      <c r="P512" s="49">
        <f t="shared" si="99"/>
        <v>25.083991512345676</v>
      </c>
      <c r="Q512" s="11">
        <f t="shared" si="116"/>
        <v>6.1260084876543246</v>
      </c>
      <c r="R512" s="29">
        <f t="shared" si="100"/>
        <v>0.19628351450350287</v>
      </c>
      <c r="S512" s="93">
        <v>0</v>
      </c>
      <c r="T512" s="91">
        <f t="shared" si="117"/>
        <v>0</v>
      </c>
      <c r="U512" s="90">
        <f t="shared" si="118"/>
        <v>0</v>
      </c>
      <c r="V512" s="90">
        <f t="shared" si="119"/>
        <v>0</v>
      </c>
      <c r="W512" s="90">
        <f t="shared" si="120"/>
        <v>0</v>
      </c>
      <c r="Y512" s="34">
        <f t="shared" si="101"/>
        <v>0.79974367190003204</v>
      </c>
      <c r="Z512" s="34"/>
      <c r="AE512" s="4"/>
    </row>
    <row r="513" spans="1:31" x14ac:dyDescent="0.25">
      <c r="A513" s="1" t="s">
        <v>1063</v>
      </c>
      <c r="B513" s="1" t="s">
        <v>656</v>
      </c>
      <c r="C513" s="1" t="s">
        <v>1064</v>
      </c>
      <c r="D513" s="1" t="s">
        <v>554</v>
      </c>
      <c r="E513" s="1">
        <f>VLOOKUP(A513,BOM!A:E,5,0)</f>
        <v>2.5</v>
      </c>
      <c r="F513" s="122">
        <v>31.32</v>
      </c>
      <c r="G513" s="10">
        <v>34</v>
      </c>
      <c r="H513" s="11" t="s">
        <v>1874</v>
      </c>
      <c r="I513" s="49">
        <f>SUMIFS(BOM!Q:Q,BOM!A:A,'All Products'!A513,BOM!I:I,'All Products'!I$3)</f>
        <v>4.8441926345609074</v>
      </c>
      <c r="J513" s="49">
        <f>SUMIFS(BOM!Q:Q,BOM!A:A,'All Products'!A513,BOM!I:I,'All Products'!J$3)+0.03</f>
        <v>0.17</v>
      </c>
      <c r="K513" s="29">
        <f t="shared" si="97"/>
        <v>0.14747625395767375</v>
      </c>
      <c r="L513" s="49">
        <f>SUMIF(BOM!A:A,'All Products'!A513,BOM!S:S)</f>
        <v>7.2777499999999993</v>
      </c>
      <c r="M513" s="49">
        <f>SUMIF(BOM!A:A,'All Products'!A513,BOM!V:V)</f>
        <v>0.29618749999999999</v>
      </c>
      <c r="N513" s="29">
        <f t="shared" si="98"/>
        <v>0.2227628676470588</v>
      </c>
      <c r="O513" s="55">
        <v>0</v>
      </c>
      <c r="P513" s="49">
        <f t="shared" si="99"/>
        <v>12.588130134560906</v>
      </c>
      <c r="Q513" s="11">
        <f t="shared" si="116"/>
        <v>21.411869865439094</v>
      </c>
      <c r="R513" s="29">
        <f t="shared" si="100"/>
        <v>0.62976087839526751</v>
      </c>
      <c r="S513" s="91">
        <v>11.6</v>
      </c>
      <c r="T513" s="91">
        <f t="shared" si="117"/>
        <v>394.4</v>
      </c>
      <c r="U513" s="90">
        <f t="shared" si="118"/>
        <v>248.37769043909347</v>
      </c>
      <c r="V513" s="90">
        <f t="shared" si="119"/>
        <v>248.37769043909347</v>
      </c>
      <c r="W513" s="90">
        <f t="shared" si="120"/>
        <v>0</v>
      </c>
      <c r="Y513" s="34">
        <f t="shared" si="101"/>
        <v>0.85752374604232617</v>
      </c>
      <c r="Z513" s="34"/>
      <c r="AA513" s="4"/>
      <c r="AB513" s="4"/>
      <c r="AE513" s="4"/>
    </row>
    <row r="514" spans="1:31" x14ac:dyDescent="0.25">
      <c r="A514" s="1" t="s">
        <v>456</v>
      </c>
      <c r="B514" s="1" t="s">
        <v>656</v>
      </c>
      <c r="C514" s="1" t="s">
        <v>457</v>
      </c>
      <c r="D514" s="1" t="s">
        <v>554</v>
      </c>
      <c r="E514" s="1">
        <f>VLOOKUP(A514,BOM!A:E,5,0)</f>
        <v>1</v>
      </c>
      <c r="F514" s="122">
        <v>4.76</v>
      </c>
      <c r="G514" s="10">
        <v>4.53</v>
      </c>
      <c r="H514" s="11" t="s">
        <v>1874</v>
      </c>
      <c r="I514" s="49">
        <f>SUMIFS(BOM!Q:Q,BOM!A:A,'All Products'!A514,BOM!I:I,'All Products'!I$3)</f>
        <v>1.0731707317073171</v>
      </c>
      <c r="J514" s="49">
        <f>SUMIFS(BOM!Q:Q,BOM!A:A,'All Products'!A514,BOM!I:I,'All Products'!J$3)+0.03</f>
        <v>0.17</v>
      </c>
      <c r="K514" s="29">
        <f t="shared" si="97"/>
        <v>0.27443062510095301</v>
      </c>
      <c r="L514" s="49">
        <f>SUMIF(BOM!A:A,'All Products'!A514,BOM!S:S)</f>
        <v>1.2456799999999999</v>
      </c>
      <c r="M514" s="49">
        <f>SUMIF(BOM!A:A,'All Products'!A514,BOM!V:V)</f>
        <v>0.21720416666666661</v>
      </c>
      <c r="N514" s="29">
        <f t="shared" si="98"/>
        <v>0.32293248712288442</v>
      </c>
      <c r="O514" s="55">
        <v>0</v>
      </c>
      <c r="P514" s="49">
        <f t="shared" si="99"/>
        <v>2.7060548983739836</v>
      </c>
      <c r="Q514" s="11">
        <f t="shared" si="116"/>
        <v>1.8239451016260166</v>
      </c>
      <c r="R514" s="29">
        <f t="shared" si="100"/>
        <v>0.40263688777616258</v>
      </c>
      <c r="S514" s="91">
        <v>2.6</v>
      </c>
      <c r="T514" s="91">
        <f t="shared" si="117"/>
        <v>11.778</v>
      </c>
      <c r="U514" s="90">
        <f t="shared" si="118"/>
        <v>4.7422572642276437</v>
      </c>
      <c r="V514" s="90">
        <f t="shared" si="119"/>
        <v>4.7422572642276437</v>
      </c>
      <c r="W514" s="90">
        <f t="shared" si="120"/>
        <v>0</v>
      </c>
      <c r="Y514" s="34">
        <f t="shared" si="101"/>
        <v>0.76309696871803157</v>
      </c>
      <c r="Z514" s="34"/>
      <c r="AA514" s="4"/>
      <c r="AB514" s="4"/>
      <c r="AE514" s="4"/>
    </row>
    <row r="515" spans="1:31" x14ac:dyDescent="0.25">
      <c r="A515" s="1" t="s">
        <v>1065</v>
      </c>
      <c r="B515" s="1" t="s">
        <v>656</v>
      </c>
      <c r="C515" s="1" t="s">
        <v>1066</v>
      </c>
      <c r="D515" s="1" t="s">
        <v>554</v>
      </c>
      <c r="E515" s="1">
        <f>VLOOKUP(A515,BOM!A:E,5,0)</f>
        <v>1</v>
      </c>
      <c r="F515" s="122">
        <v>7.1</v>
      </c>
      <c r="G515" s="10">
        <v>7.26</v>
      </c>
      <c r="H515" s="11" t="s">
        <v>1874</v>
      </c>
      <c r="I515" s="49">
        <f>SUMIFS(BOM!Q:Q,BOM!A:A,'All Products'!A515,BOM!I:I,'All Products'!I$3)</f>
        <v>2.5417771685761044</v>
      </c>
      <c r="J515" s="49">
        <f>SUMIFS(BOM!Q:Q,BOM!A:A,'All Products'!A515,BOM!I:I,'All Products'!J$3)+0.03</f>
        <v>0.17</v>
      </c>
      <c r="K515" s="29">
        <f t="shared" si="97"/>
        <v>0.37352302597467002</v>
      </c>
      <c r="L515" s="49">
        <f>SUMIF(BOM!A:A,'All Products'!A515,BOM!S:S)</f>
        <v>1.6485173450627384</v>
      </c>
      <c r="M515" s="49">
        <f>SUMIF(BOM!A:A,'All Products'!A515,BOM!V:V)</f>
        <v>0.21720416666666661</v>
      </c>
      <c r="N515" s="29">
        <f t="shared" si="98"/>
        <v>0.2569864341225076</v>
      </c>
      <c r="O515" s="55">
        <v>0</v>
      </c>
      <c r="P515" s="49">
        <f t="shared" si="99"/>
        <v>4.5774986803055091</v>
      </c>
      <c r="Q515" s="11">
        <f t="shared" si="116"/>
        <v>2.6825013196944907</v>
      </c>
      <c r="R515" s="29">
        <f t="shared" si="100"/>
        <v>0.36949053990282243</v>
      </c>
      <c r="S515" s="91">
        <v>30.4</v>
      </c>
      <c r="T515" s="91">
        <f t="shared" si="117"/>
        <v>220.70399999999998</v>
      </c>
      <c r="U515" s="90">
        <f t="shared" si="118"/>
        <v>81.548040118712507</v>
      </c>
      <c r="V515" s="90">
        <f t="shared" si="119"/>
        <v>81.548040118712507</v>
      </c>
      <c r="W515" s="90">
        <f t="shared" si="120"/>
        <v>0</v>
      </c>
      <c r="Y515" s="34">
        <f t="shared" si="101"/>
        <v>0.64989295198676256</v>
      </c>
      <c r="Z515" s="34"/>
      <c r="AA515" s="4"/>
      <c r="AB515" s="4"/>
      <c r="AE515" s="4"/>
    </row>
    <row r="516" spans="1:31" x14ac:dyDescent="0.25">
      <c r="A516" s="1" t="s">
        <v>1067</v>
      </c>
      <c r="B516" s="1" t="s">
        <v>656</v>
      </c>
      <c r="C516" s="1" t="s">
        <v>1068</v>
      </c>
      <c r="D516" s="1" t="s">
        <v>554</v>
      </c>
      <c r="E516" s="1">
        <f>VLOOKUP(A516,BOM!A:E,5,0)</f>
        <v>2.5</v>
      </c>
      <c r="F516" s="122">
        <v>17.75</v>
      </c>
      <c r="G516" s="10">
        <v>18.09</v>
      </c>
      <c r="H516" s="11" t="s">
        <v>1874</v>
      </c>
      <c r="I516" s="49">
        <f>SUMIFS(BOM!Q:Q,BOM!A:A,'All Products'!A516,BOM!I:I,'All Products'!I$3)</f>
        <v>6.3544429214402616</v>
      </c>
      <c r="J516" s="49">
        <f>SUMIFS(BOM!Q:Q,BOM!A:A,'All Products'!A516,BOM!I:I,'All Products'!J$3)+0.03</f>
        <v>0.17</v>
      </c>
      <c r="K516" s="29">
        <f t="shared" ref="K516:K579" si="121">(I516+J516)/G516</f>
        <v>0.36066572257823448</v>
      </c>
      <c r="L516" s="49">
        <f>SUMIF(BOM!A:A,'All Products'!A516,BOM!S:S)</f>
        <v>4.1212933626568455</v>
      </c>
      <c r="M516" s="49">
        <f>SUMIF(BOM!A:A,'All Products'!A516,BOM!V:V)</f>
        <v>0.29618749999999999</v>
      </c>
      <c r="N516" s="29">
        <f t="shared" ref="N516:N579" si="122">(L516+M516)/G516</f>
        <v>0.24419463032928942</v>
      </c>
      <c r="O516" s="55">
        <v>0</v>
      </c>
      <c r="P516" s="49">
        <f t="shared" ref="P516:P579" si="123">I516+J516+M516+L516+O516</f>
        <v>10.941923784097106</v>
      </c>
      <c r="Q516" s="11">
        <f t="shared" si="116"/>
        <v>7.1480762159028934</v>
      </c>
      <c r="R516" s="29">
        <f t="shared" ref="R516:R579" si="124">IFERROR((G516-P516)/G516,0)</f>
        <v>0.39513964709247612</v>
      </c>
      <c r="S516" s="91">
        <v>0.4</v>
      </c>
      <c r="T516" s="91">
        <f t="shared" si="117"/>
        <v>7.2360000000000007</v>
      </c>
      <c r="U516" s="90">
        <f t="shared" si="118"/>
        <v>2.8592304863611577</v>
      </c>
      <c r="V516" s="90">
        <f t="shared" si="119"/>
        <v>2.8592304863611577</v>
      </c>
      <c r="W516" s="90">
        <f t="shared" si="120"/>
        <v>0</v>
      </c>
      <c r="Y516" s="34">
        <f t="shared" ref="Y516:Y582" si="125">(G516-I516)/G516</f>
        <v>0.64873173458041666</v>
      </c>
      <c r="Z516" s="34"/>
      <c r="AA516" s="4"/>
      <c r="AB516" s="4"/>
      <c r="AE516" s="4"/>
    </row>
    <row r="517" spans="1:31" x14ac:dyDescent="0.25">
      <c r="A517" s="1" t="s">
        <v>30</v>
      </c>
      <c r="B517" s="1" t="s">
        <v>656</v>
      </c>
      <c r="C517" s="1" t="s">
        <v>1069</v>
      </c>
      <c r="D517" s="1" t="s">
        <v>554</v>
      </c>
      <c r="E517" s="1">
        <f>VLOOKUP(A517,BOM!A:E,5,0)</f>
        <v>1</v>
      </c>
      <c r="F517" s="122">
        <v>52.62</v>
      </c>
      <c r="G517" s="10">
        <v>53.37</v>
      </c>
      <c r="H517" s="11" t="s">
        <v>1874</v>
      </c>
      <c r="I517" s="49">
        <f>SUMIFS(BOM!Q:Q,BOM!A:A,'All Products'!A517,BOM!I:I,'All Products'!I$3)</f>
        <v>4.5594926838218433</v>
      </c>
      <c r="J517" s="49">
        <f>SUMIFS(BOM!Q:Q,BOM!A:A,'All Products'!A517,BOM!I:I,'All Products'!J$3)+0.03</f>
        <v>0.17</v>
      </c>
      <c r="K517" s="29">
        <f t="shared" si="121"/>
        <v>8.8617063590441136E-2</v>
      </c>
      <c r="L517" s="49">
        <f>SUMIF(BOM!A:A,'All Products'!A517,BOM!S:S)</f>
        <v>6.2651829036348259</v>
      </c>
      <c r="M517" s="49">
        <f>SUMIF(BOM!A:A,'All Products'!A517,BOM!V:V)</f>
        <v>0.21720416666666661</v>
      </c>
      <c r="N517" s="29">
        <f t="shared" si="122"/>
        <v>0.12146125295674523</v>
      </c>
      <c r="O517" s="55">
        <v>0</v>
      </c>
      <c r="P517" s="49">
        <f t="shared" si="123"/>
        <v>11.211879754123336</v>
      </c>
      <c r="Q517" s="11">
        <f t="shared" si="116"/>
        <v>42.15812024587666</v>
      </c>
      <c r="R517" s="29">
        <f t="shared" si="124"/>
        <v>0.78992168345281355</v>
      </c>
      <c r="S517" s="91">
        <v>2.2000000000000002</v>
      </c>
      <c r="T517" s="91">
        <f t="shared" si="117"/>
        <v>117.414</v>
      </c>
      <c r="U517" s="90">
        <f t="shared" si="118"/>
        <v>92.74786454092866</v>
      </c>
      <c r="V517" s="90">
        <f t="shared" si="119"/>
        <v>92.74786454092866</v>
      </c>
      <c r="W517" s="90">
        <f t="shared" si="120"/>
        <v>0</v>
      </c>
      <c r="X517" s="4" t="s">
        <v>4334</v>
      </c>
      <c r="Y517" s="34">
        <f t="shared" si="125"/>
        <v>0.91456824650886559</v>
      </c>
      <c r="Z517" s="34"/>
      <c r="AA517" s="4"/>
      <c r="AB517" s="4"/>
      <c r="AE517" s="4"/>
    </row>
    <row r="518" spans="1:31" x14ac:dyDescent="0.25">
      <c r="A518" s="1" t="s">
        <v>519</v>
      </c>
      <c r="B518" s="1" t="s">
        <v>656</v>
      </c>
      <c r="C518" s="1" t="s">
        <v>1070</v>
      </c>
      <c r="D518" s="1" t="s">
        <v>554</v>
      </c>
      <c r="E518" s="1">
        <f>VLOOKUP(A518,BOM!A:E,5,0)</f>
        <v>2.5</v>
      </c>
      <c r="F518" s="122">
        <v>131.55000000000001</v>
      </c>
      <c r="G518" s="10">
        <v>133.41999999999999</v>
      </c>
      <c r="H518" s="11" t="s">
        <v>1874</v>
      </c>
      <c r="I518" s="49">
        <f>SUMIFS(BOM!Q:Q,BOM!A:A,'All Products'!A518,BOM!I:I,'All Products'!I$3)</f>
        <v>11.398731709554609</v>
      </c>
      <c r="J518" s="49">
        <f>SUMIFS(BOM!Q:Q,BOM!A:A,'All Products'!A518,BOM!I:I,'All Products'!J$3)+0.03</f>
        <v>0.17</v>
      </c>
      <c r="K518" s="29">
        <f t="shared" si="121"/>
        <v>8.6709126889181601E-2</v>
      </c>
      <c r="L518" s="49">
        <f>SUMIF(BOM!A:A,'All Products'!A518,BOM!S:S)</f>
        <v>15.662957259087065</v>
      </c>
      <c r="M518" s="49">
        <f>SUMIF(BOM!A:A,'All Products'!A518,BOM!V:V)</f>
        <v>0.29618749999999999</v>
      </c>
      <c r="N518" s="29">
        <f t="shared" si="122"/>
        <v>0.11961583540014291</v>
      </c>
      <c r="O518" s="55">
        <v>0</v>
      </c>
      <c r="P518" s="49">
        <f t="shared" si="123"/>
        <v>27.527876468641672</v>
      </c>
      <c r="Q518" s="11">
        <f t="shared" si="116"/>
        <v>105.89212353135832</v>
      </c>
      <c r="R518" s="29">
        <f t="shared" si="124"/>
        <v>0.7936750377106756</v>
      </c>
      <c r="S518" s="91">
        <v>20.2</v>
      </c>
      <c r="T518" s="91">
        <f t="shared" si="117"/>
        <v>2695.0839999999998</v>
      </c>
      <c r="U518" s="90">
        <f t="shared" si="118"/>
        <v>2139.0208953334381</v>
      </c>
      <c r="V518" s="90">
        <f t="shared" si="119"/>
        <v>2139.0208953334381</v>
      </c>
      <c r="W518" s="90">
        <f t="shared" si="120"/>
        <v>0</v>
      </c>
      <c r="X518" s="4" t="s">
        <v>4334</v>
      </c>
      <c r="Y518" s="34">
        <f t="shared" si="125"/>
        <v>0.91456504489915591</v>
      </c>
      <c r="Z518" s="34"/>
      <c r="AA518" s="4"/>
      <c r="AB518" s="4"/>
      <c r="AE518" s="4"/>
    </row>
    <row r="519" spans="1:31" x14ac:dyDescent="0.25">
      <c r="A519" s="1" t="s">
        <v>20</v>
      </c>
      <c r="B519" s="1" t="s">
        <v>656</v>
      </c>
      <c r="C519" s="1" t="s">
        <v>1071</v>
      </c>
      <c r="D519" s="1" t="s">
        <v>554</v>
      </c>
      <c r="E519" s="1">
        <f>VLOOKUP(A519,BOM!A:E,5,0)</f>
        <v>1</v>
      </c>
      <c r="F519" s="122">
        <v>9.98</v>
      </c>
      <c r="G519" s="10">
        <v>9.89</v>
      </c>
      <c r="H519" s="85" t="s">
        <v>1874</v>
      </c>
      <c r="I519" s="128">
        <f>SUMIFS(BOM!Q:Q,BOM!A:A,'All Products'!A519,BOM!I:I,'All Products'!I$3)</f>
        <v>2.9624483043837881</v>
      </c>
      <c r="J519" s="128">
        <f>SUMIFS(BOM!Q:Q,BOM!A:A,'All Products'!A519,BOM!I:I,'All Products'!J$3)+0.03</f>
        <v>0.17</v>
      </c>
      <c r="K519" s="129">
        <f t="shared" si="121"/>
        <v>0.31672884776378035</v>
      </c>
      <c r="L519" s="128">
        <f>SUMIF(BOM!A:A,'All Products'!A519,BOM!S:S)</f>
        <v>0.99390460927960922</v>
      </c>
      <c r="M519" s="128">
        <f>SUMIF(BOM!A:A,'All Products'!A519,BOM!V:V)</f>
        <v>0.21720416666666661</v>
      </c>
      <c r="N519" s="129">
        <f t="shared" si="122"/>
        <v>0.12245791465584183</v>
      </c>
      <c r="O519" s="55">
        <v>0</v>
      </c>
      <c r="P519" s="128">
        <f t="shared" si="123"/>
        <v>4.343557080330064</v>
      </c>
      <c r="Q519" s="11">
        <f t="shared" si="116"/>
        <v>5.5464429196699365</v>
      </c>
      <c r="R519" s="129">
        <f t="shared" si="124"/>
        <v>0.56081323758037782</v>
      </c>
      <c r="S519" s="91">
        <v>48</v>
      </c>
      <c r="T519" s="91">
        <f t="shared" si="117"/>
        <v>474.72</v>
      </c>
      <c r="U519" s="90">
        <f t="shared" si="118"/>
        <v>266.22926014415697</v>
      </c>
      <c r="V519" s="90">
        <f t="shared" si="119"/>
        <v>266.22926014415697</v>
      </c>
      <c r="W519" s="90">
        <f t="shared" si="120"/>
        <v>0</v>
      </c>
      <c r="Y519" s="34">
        <f t="shared" si="125"/>
        <v>0.70046023211488495</v>
      </c>
      <c r="Z519" s="34"/>
      <c r="AA519" s="4"/>
      <c r="AB519" s="4"/>
      <c r="AE519" s="4"/>
    </row>
    <row r="520" spans="1:31" x14ac:dyDescent="0.25">
      <c r="A520" s="1" t="s">
        <v>19</v>
      </c>
      <c r="B520" s="1" t="s">
        <v>656</v>
      </c>
      <c r="C520" s="1" t="s">
        <v>1072</v>
      </c>
      <c r="D520" s="1" t="s">
        <v>554</v>
      </c>
      <c r="E520" s="1">
        <f>VLOOKUP(A520,BOM!A:E,5,0)</f>
        <v>2.5</v>
      </c>
      <c r="F520" s="122">
        <v>24.94</v>
      </c>
      <c r="G520" s="10">
        <v>24.72</v>
      </c>
      <c r="H520" s="11" t="s">
        <v>1874</v>
      </c>
      <c r="I520" s="49">
        <f>SUMIFS(BOM!Q:Q,BOM!A:A,'All Products'!A520,BOM!I:I,'All Products'!I$3)</f>
        <v>7.4061207609594701</v>
      </c>
      <c r="J520" s="49">
        <f>SUMIFS(BOM!Q:Q,BOM!A:A,'All Products'!A520,BOM!I:I,'All Products'!J$3)+0.03</f>
        <v>0.17</v>
      </c>
      <c r="K520" s="29">
        <f t="shared" si="121"/>
        <v>0.30647737706146727</v>
      </c>
      <c r="L520" s="49">
        <f>SUMIF(BOM!A:A,'All Products'!A520,BOM!S:S)</f>
        <v>2.4847615231990234</v>
      </c>
      <c r="M520" s="49">
        <f>SUMIF(BOM!A:A,'All Products'!A520,BOM!V:V)</f>
        <v>0.29618749999999999</v>
      </c>
      <c r="N520" s="29">
        <f t="shared" si="122"/>
        <v>0.11249793783167571</v>
      </c>
      <c r="O520" s="55">
        <v>0</v>
      </c>
      <c r="P520" s="49">
        <f t="shared" si="123"/>
        <v>10.357069784158494</v>
      </c>
      <c r="Q520" s="11">
        <f t="shared" si="116"/>
        <v>14.362930215841505</v>
      </c>
      <c r="R520" s="29">
        <f t="shared" si="124"/>
        <v>0.58102468510685701</v>
      </c>
      <c r="S520" s="91">
        <v>63.2</v>
      </c>
      <c r="T520" s="91">
        <f t="shared" si="117"/>
        <v>1562.3040000000001</v>
      </c>
      <c r="U520" s="90">
        <f t="shared" si="118"/>
        <v>907.73718964118314</v>
      </c>
      <c r="V520" s="90">
        <f t="shared" si="119"/>
        <v>907.73718964118314</v>
      </c>
      <c r="W520" s="90">
        <f t="shared" si="120"/>
        <v>0</v>
      </c>
      <c r="Y520" s="34">
        <f t="shared" si="125"/>
        <v>0.70039964559225443</v>
      </c>
      <c r="Z520" s="34"/>
      <c r="AA520" s="4"/>
      <c r="AB520" s="4"/>
      <c r="AE520" s="4"/>
    </row>
    <row r="521" spans="1:31" x14ac:dyDescent="0.25">
      <c r="A521" s="1" t="s">
        <v>1073</v>
      </c>
      <c r="B521" s="1" t="s">
        <v>656</v>
      </c>
      <c r="C521" s="1" t="s">
        <v>1074</v>
      </c>
      <c r="D521" s="1" t="s">
        <v>554</v>
      </c>
      <c r="E521" s="1">
        <f>VLOOKUP(A521,BOM!A:E,5,0)</f>
        <v>1</v>
      </c>
      <c r="F521" s="122">
        <v>6.16</v>
      </c>
      <c r="G521" s="10">
        <v>10.91</v>
      </c>
      <c r="H521" s="130" t="s">
        <v>1873</v>
      </c>
      <c r="I521" s="131">
        <f>SUMIFS(BOM!Q:Q,BOM!A:A,'All Products'!A521,BOM!I:I,'All Products'!I$3)</f>
        <v>0</v>
      </c>
      <c r="J521" s="131">
        <f>SUMIFS(BOM!Q:Q,BOM!A:A,'All Products'!A521,BOM!I:I,'All Products'!J$3)+0.03</f>
        <v>0.17</v>
      </c>
      <c r="K521" s="132">
        <f t="shared" si="121"/>
        <v>1.5582034830430799E-2</v>
      </c>
      <c r="L521" s="131">
        <f>SUMIF(BOM!A:A,'All Products'!A521,BOM!S:S)</f>
        <v>0</v>
      </c>
      <c r="M521" s="131">
        <f>SUMIF(BOM!A:A,'All Products'!A521,BOM!V:V)</f>
        <v>0.21720416666666661</v>
      </c>
      <c r="N521" s="132">
        <f t="shared" si="122"/>
        <v>1.9908722884204089E-2</v>
      </c>
      <c r="O521" s="55">
        <v>0</v>
      </c>
      <c r="P521" s="131">
        <f t="shared" si="123"/>
        <v>0.38720416666666663</v>
      </c>
      <c r="Q521" s="11">
        <f t="shared" si="116"/>
        <v>10.522795833333333</v>
      </c>
      <c r="R521" s="132">
        <f t="shared" si="124"/>
        <v>0.96450924228536505</v>
      </c>
      <c r="S521" s="83"/>
      <c r="T521" s="83"/>
      <c r="U521" s="83"/>
      <c r="V521" s="83"/>
      <c r="W521" s="83"/>
      <c r="Y521" s="34">
        <f t="shared" si="125"/>
        <v>1</v>
      </c>
      <c r="Z521" s="34"/>
      <c r="AD521" t="e">
        <f>_xlfn.XLOOKUP(A521,AF:AF,AF:AF)</f>
        <v>#N/A</v>
      </c>
      <c r="AE521" s="4"/>
    </row>
    <row r="522" spans="1:31" x14ac:dyDescent="0.25">
      <c r="A522" s="1" t="s">
        <v>1075</v>
      </c>
      <c r="B522" s="1" t="s">
        <v>656</v>
      </c>
      <c r="C522" s="1" t="s">
        <v>1076</v>
      </c>
      <c r="D522" s="1" t="s">
        <v>554</v>
      </c>
      <c r="E522" s="1">
        <f>VLOOKUP(A522,BOM!A:E,5,0)</f>
        <v>2.5</v>
      </c>
      <c r="F522" s="122">
        <v>15.39</v>
      </c>
      <c r="G522" s="10">
        <v>27.28</v>
      </c>
      <c r="H522" s="11" t="s">
        <v>1873</v>
      </c>
      <c r="I522" s="49">
        <f>SUMIFS(BOM!Q:Q,BOM!A:A,'All Products'!A522,BOM!I:I,'All Products'!I$3)</f>
        <v>0</v>
      </c>
      <c r="J522" s="49">
        <f>SUMIFS(BOM!Q:Q,BOM!A:A,'All Products'!A522,BOM!I:I,'All Products'!J$3)+0.03</f>
        <v>0.17</v>
      </c>
      <c r="K522" s="29">
        <f t="shared" si="121"/>
        <v>6.2316715542522E-3</v>
      </c>
      <c r="L522" s="49">
        <f>SUMIF(BOM!A:A,'All Products'!A522,BOM!S:S)</f>
        <v>0</v>
      </c>
      <c r="M522" s="49">
        <f>SUMIF(BOM!A:A,'All Products'!A522,BOM!V:V)</f>
        <v>0.29618749999999999</v>
      </c>
      <c r="N522" s="29">
        <f t="shared" si="122"/>
        <v>1.0857313049853372E-2</v>
      </c>
      <c r="O522" s="55">
        <v>0</v>
      </c>
      <c r="P522" s="49">
        <f t="shared" si="123"/>
        <v>0.46618749999999998</v>
      </c>
      <c r="Q522" s="11">
        <f t="shared" si="116"/>
        <v>26.813812500000001</v>
      </c>
      <c r="R522" s="29">
        <f t="shared" si="124"/>
        <v>0.98291101539589443</v>
      </c>
      <c r="S522" s="83"/>
      <c r="T522" s="83"/>
      <c r="U522" s="83"/>
      <c r="V522" s="83"/>
      <c r="W522" s="83"/>
      <c r="Y522" s="34">
        <f t="shared" si="125"/>
        <v>1</v>
      </c>
      <c r="Z522" s="34"/>
      <c r="AD522" t="e">
        <f>_xlfn.XLOOKUP(A522,AF:AF,AF:AF)</f>
        <v>#N/A</v>
      </c>
      <c r="AE522" s="4"/>
    </row>
    <row r="523" spans="1:31" x14ac:dyDescent="0.25">
      <c r="A523" s="1" t="s">
        <v>497</v>
      </c>
      <c r="B523" s="1" t="s">
        <v>656</v>
      </c>
      <c r="C523" s="1" t="s">
        <v>498</v>
      </c>
      <c r="D523" s="1" t="s">
        <v>554</v>
      </c>
      <c r="E523" s="1">
        <f>VLOOKUP(A523,BOM!A:E,5,0)</f>
        <v>1</v>
      </c>
      <c r="F523" s="122">
        <v>6.03</v>
      </c>
      <c r="G523" s="10">
        <v>6.15</v>
      </c>
      <c r="H523" s="11" t="s">
        <v>1874</v>
      </c>
      <c r="I523" s="49">
        <f>SUMIFS(BOM!Q:Q,BOM!A:A,'All Products'!A523,BOM!I:I,'All Products'!I$3)</f>
        <v>2.4348771958537916</v>
      </c>
      <c r="J523" s="49">
        <f>SUMIFS(BOM!Q:Q,BOM!A:A,'All Products'!A523,BOM!I:I,'All Products'!J$3)+0.03</f>
        <v>0.17</v>
      </c>
      <c r="K523" s="29">
        <f t="shared" si="121"/>
        <v>0.42355726761850265</v>
      </c>
      <c r="L523" s="49">
        <f>SUMIF(BOM!A:A,'All Products'!A523,BOM!S:S)</f>
        <v>1.5340904332605927</v>
      </c>
      <c r="M523" s="49">
        <f>SUMIF(BOM!A:A,'All Products'!A523,BOM!V:V)</f>
        <v>0.21720416666666661</v>
      </c>
      <c r="N523" s="29">
        <f t="shared" si="122"/>
        <v>0.28476334958166816</v>
      </c>
      <c r="O523" s="55">
        <v>0</v>
      </c>
      <c r="P523" s="49">
        <f t="shared" si="123"/>
        <v>4.3561717957810506</v>
      </c>
      <c r="Q523" s="11">
        <f t="shared" si="116"/>
        <v>1.7938282042189497</v>
      </c>
      <c r="R523" s="29">
        <f t="shared" si="124"/>
        <v>0.29167938279982919</v>
      </c>
      <c r="S523" s="91">
        <v>2.4</v>
      </c>
      <c r="T523" s="91">
        <f t="shared" ref="T523:T539" si="126">S523*G523</f>
        <v>14.76</v>
      </c>
      <c r="U523" s="90">
        <f t="shared" ref="U523:U539" si="127">IFERROR(S523*Q523,0)</f>
        <v>4.3051876901254795</v>
      </c>
      <c r="V523" s="90">
        <f t="shared" ref="V523:V539" si="128">(G523-P523)*S523</f>
        <v>4.3051876901254795</v>
      </c>
      <c r="W523" s="90">
        <f t="shared" ref="W523:W539" si="129">V523-U523</f>
        <v>0</v>
      </c>
      <c r="Y523" s="34">
        <f t="shared" si="125"/>
        <v>0.60408500880426153</v>
      </c>
      <c r="Z523" s="34"/>
      <c r="AA523" s="4"/>
      <c r="AB523" s="4"/>
      <c r="AE523" s="4"/>
    </row>
    <row r="524" spans="1:31" x14ac:dyDescent="0.25">
      <c r="A524" s="1" t="s">
        <v>3</v>
      </c>
      <c r="B524" s="1" t="s">
        <v>656</v>
      </c>
      <c r="C524" s="1" t="s">
        <v>4</v>
      </c>
      <c r="D524" s="1" t="s">
        <v>554</v>
      </c>
      <c r="E524" s="1">
        <f>VLOOKUP(A524,BOM!A:E,5,0)</f>
        <v>2.5</v>
      </c>
      <c r="F524" s="122">
        <v>18.29</v>
      </c>
      <c r="G524" s="10">
        <v>18.64</v>
      </c>
      <c r="H524" s="11" t="s">
        <v>1874</v>
      </c>
      <c r="I524" s="49">
        <f>SUMIFS(BOM!Q:Q,BOM!A:A,'All Products'!A524,BOM!I:I,'All Products'!I$3)</f>
        <v>6.0871929896344783</v>
      </c>
      <c r="J524" s="49">
        <f>SUMIFS(BOM!Q:Q,BOM!A:A,'All Products'!A524,BOM!I:I,'All Products'!J$3)+0.03</f>
        <v>0.17</v>
      </c>
      <c r="K524" s="29">
        <f t="shared" si="121"/>
        <v>0.33568631918639902</v>
      </c>
      <c r="L524" s="49">
        <f>SUMIF(BOM!A:A,'All Products'!A524,BOM!S:S)</f>
        <v>3.8352260831514817</v>
      </c>
      <c r="M524" s="49">
        <f>SUMIF(BOM!A:A,'All Products'!A524,BOM!V:V)</f>
        <v>0.29618749999999999</v>
      </c>
      <c r="N524" s="29">
        <f t="shared" si="122"/>
        <v>0.22164235961113099</v>
      </c>
      <c r="O524" s="55">
        <v>0</v>
      </c>
      <c r="P524" s="49">
        <f t="shared" si="123"/>
        <v>10.38860657278596</v>
      </c>
      <c r="Q524" s="11">
        <f t="shared" si="116"/>
        <v>8.2513934272140403</v>
      </c>
      <c r="R524" s="29">
        <f t="shared" si="124"/>
        <v>0.44267132120246994</v>
      </c>
      <c r="S524" s="91">
        <v>308</v>
      </c>
      <c r="T524" s="91">
        <f t="shared" si="126"/>
        <v>5741.12</v>
      </c>
      <c r="U524" s="90">
        <f t="shared" si="127"/>
        <v>2541.4291755819245</v>
      </c>
      <c r="V524" s="90">
        <f t="shared" si="128"/>
        <v>2541.4291755819245</v>
      </c>
      <c r="W524" s="90">
        <f t="shared" si="129"/>
        <v>0</v>
      </c>
      <c r="Y524" s="34">
        <f t="shared" si="125"/>
        <v>0.67343385248742071</v>
      </c>
      <c r="Z524" s="34"/>
      <c r="AA524" s="4"/>
      <c r="AB524" s="4"/>
      <c r="AE524" s="4"/>
    </row>
    <row r="525" spans="1:31" x14ac:dyDescent="0.25">
      <c r="A525" s="1" t="s">
        <v>1077</v>
      </c>
      <c r="B525" s="1" t="s">
        <v>656</v>
      </c>
      <c r="C525" s="1" t="s">
        <v>1078</v>
      </c>
      <c r="D525" s="1" t="s">
        <v>554</v>
      </c>
      <c r="E525" s="1">
        <f>VLOOKUP(A525,BOM!A:E,5,0)</f>
        <v>1</v>
      </c>
      <c r="F525" s="122">
        <v>5.36</v>
      </c>
      <c r="G525" s="10">
        <v>5.45</v>
      </c>
      <c r="H525" s="11" t="s">
        <v>1874</v>
      </c>
      <c r="I525" s="49">
        <f>SUMIFS(BOM!Q:Q,BOM!A:A,'All Products'!A525,BOM!I:I,'All Products'!I$3)</f>
        <v>0.88338174907874722</v>
      </c>
      <c r="J525" s="49">
        <f>SUMIFS(BOM!Q:Q,BOM!A:A,'All Products'!A525,BOM!I:I,'All Products'!J$3)+0.03</f>
        <v>0.17</v>
      </c>
      <c r="K525" s="29">
        <f t="shared" si="121"/>
        <v>0.19328105487683434</v>
      </c>
      <c r="L525" s="49">
        <f>SUMIF(BOM!A:A,'All Products'!A525,BOM!S:S)</f>
        <v>1.6287476575858539</v>
      </c>
      <c r="M525" s="49">
        <f>SUMIF(BOM!A:A,'All Products'!A525,BOM!V:V)</f>
        <v>0.21720416666666661</v>
      </c>
      <c r="N525" s="29">
        <f t="shared" si="122"/>
        <v>0.33870675674358175</v>
      </c>
      <c r="O525" s="55">
        <v>0</v>
      </c>
      <c r="P525" s="49">
        <f t="shared" si="123"/>
        <v>2.8993335733312677</v>
      </c>
      <c r="Q525" s="11">
        <f t="shared" si="116"/>
        <v>2.5506664266687324</v>
      </c>
      <c r="R525" s="29">
        <f t="shared" si="124"/>
        <v>0.46801218837958392</v>
      </c>
      <c r="S525" s="91">
        <v>0</v>
      </c>
      <c r="T525" s="91">
        <f t="shared" si="126"/>
        <v>0</v>
      </c>
      <c r="U525" s="90">
        <f t="shared" si="127"/>
        <v>0</v>
      </c>
      <c r="V525" s="90">
        <f t="shared" si="128"/>
        <v>0</v>
      </c>
      <c r="W525" s="90">
        <f t="shared" si="129"/>
        <v>0</v>
      </c>
      <c r="Y525" s="34">
        <f t="shared" si="125"/>
        <v>0.83791160567362433</v>
      </c>
      <c r="Z525" s="34"/>
      <c r="AA525" s="4"/>
      <c r="AB525" s="4"/>
      <c r="AE525" s="4"/>
    </row>
    <row r="526" spans="1:31" x14ac:dyDescent="0.25">
      <c r="A526" s="1" t="s">
        <v>1079</v>
      </c>
      <c r="B526" s="1" t="s">
        <v>656</v>
      </c>
      <c r="C526" s="1" t="s">
        <v>1080</v>
      </c>
      <c r="D526" s="1" t="s">
        <v>554</v>
      </c>
      <c r="E526" s="1">
        <f>VLOOKUP(A526,BOM!A:E,5,0)</f>
        <v>2.5</v>
      </c>
      <c r="F526" s="122">
        <v>13.65</v>
      </c>
      <c r="G526" s="10">
        <v>13.86</v>
      </c>
      <c r="H526" s="11" t="s">
        <v>1874</v>
      </c>
      <c r="I526" s="49">
        <f>SUMIFS(BOM!Q:Q,BOM!A:A,'All Products'!A526,BOM!I:I,'All Products'!I$3)</f>
        <v>2.2084543726968677</v>
      </c>
      <c r="J526" s="49">
        <f>SUMIFS(BOM!Q:Q,BOM!A:A,'All Products'!A526,BOM!I:I,'All Products'!J$3)+0.03</f>
        <v>0.17</v>
      </c>
      <c r="K526" s="29">
        <f t="shared" si="121"/>
        <v>0.1716056545957336</v>
      </c>
      <c r="L526" s="49">
        <f>SUMIF(BOM!A:A,'All Products'!A526,BOM!S:S)</f>
        <v>4.0718691439646344</v>
      </c>
      <c r="M526" s="49">
        <f>SUMIF(BOM!A:A,'All Products'!A526,BOM!V:V)</f>
        <v>0.29618749999999999</v>
      </c>
      <c r="N526" s="29">
        <f t="shared" si="122"/>
        <v>0.31515560201765042</v>
      </c>
      <c r="O526" s="55">
        <v>0</v>
      </c>
      <c r="P526" s="49">
        <f t="shared" si="123"/>
        <v>6.7465110166615023</v>
      </c>
      <c r="Q526" s="11">
        <f t="shared" si="116"/>
        <v>7.1134889833384971</v>
      </c>
      <c r="R526" s="29">
        <f t="shared" si="124"/>
        <v>0.51323874338661601</v>
      </c>
      <c r="S526" s="91">
        <v>0</v>
      </c>
      <c r="T526" s="91">
        <f t="shared" si="126"/>
        <v>0</v>
      </c>
      <c r="U526" s="90">
        <f t="shared" si="127"/>
        <v>0</v>
      </c>
      <c r="V526" s="90">
        <f t="shared" si="128"/>
        <v>0</v>
      </c>
      <c r="W526" s="90">
        <f t="shared" si="129"/>
        <v>0</v>
      </c>
      <c r="Y526" s="34">
        <f t="shared" si="125"/>
        <v>0.84065985766977869</v>
      </c>
      <c r="Z526" s="34"/>
      <c r="AA526" s="4"/>
      <c r="AB526" s="4"/>
      <c r="AE526" s="4"/>
    </row>
    <row r="527" spans="1:31" x14ac:dyDescent="0.25">
      <c r="A527" s="1" t="s">
        <v>1081</v>
      </c>
      <c r="B527" s="1" t="s">
        <v>552</v>
      </c>
      <c r="C527" s="1" t="s">
        <v>414</v>
      </c>
      <c r="D527" s="1" t="s">
        <v>554</v>
      </c>
      <c r="E527" s="1">
        <f>VLOOKUP(A527,BOM!A:E,5,0)</f>
        <v>1</v>
      </c>
      <c r="F527" s="122">
        <v>9.0528566793893113</v>
      </c>
      <c r="G527" s="10">
        <v>9.07</v>
      </c>
      <c r="H527" s="11" t="s">
        <v>1874</v>
      </c>
      <c r="I527" s="49">
        <f>SUMIFS(BOM!Q:Q,BOM!A:A,'All Products'!A527,BOM!I:I,'All Products'!I$3)</f>
        <v>2.8527022900763357</v>
      </c>
      <c r="J527" s="49">
        <f>SUMIFS(BOM!Q:Q,BOM!A:A,'All Products'!A527,BOM!I:I,'All Products'!J$3)+0.03</f>
        <v>0.41000000000000003</v>
      </c>
      <c r="K527" s="29">
        <f t="shared" si="121"/>
        <v>0.35972461853101828</v>
      </c>
      <c r="L527" s="49">
        <f>SUMIF(BOM!A:A,'All Products'!A527,BOM!S:S)</f>
        <v>0.16924999999999998</v>
      </c>
      <c r="M527" s="49">
        <f>SUMIF(BOM!A:A,'All Products'!A527,BOM!V:V)</f>
        <v>0.21833249999999998</v>
      </c>
      <c r="N527" s="29">
        <f t="shared" si="122"/>
        <v>4.2732359426681361E-2</v>
      </c>
      <c r="O527" s="55">
        <v>0</v>
      </c>
      <c r="P527" s="49">
        <f t="shared" si="123"/>
        <v>3.6502847900763356</v>
      </c>
      <c r="Q527" s="11">
        <f t="shared" si="116"/>
        <v>5.4197152099236643</v>
      </c>
      <c r="R527" s="29">
        <f t="shared" si="124"/>
        <v>0.59754302204230036</v>
      </c>
      <c r="S527" s="93">
        <v>0</v>
      </c>
      <c r="T527" s="91">
        <f t="shared" si="126"/>
        <v>0</v>
      </c>
      <c r="U527" s="90">
        <f t="shared" si="127"/>
        <v>0</v>
      </c>
      <c r="V527" s="90">
        <f t="shared" si="128"/>
        <v>0</v>
      </c>
      <c r="W527" s="90">
        <f t="shared" si="129"/>
        <v>0</v>
      </c>
      <c r="Y527" s="34">
        <f t="shared" si="125"/>
        <v>0.68547935059797849</v>
      </c>
      <c r="Z527" s="34"/>
      <c r="AA527" s="4"/>
      <c r="AB527" s="4"/>
      <c r="AE527" s="4"/>
    </row>
    <row r="528" spans="1:31" x14ac:dyDescent="0.25">
      <c r="A528" s="1" t="s">
        <v>1082</v>
      </c>
      <c r="B528" s="1" t="s">
        <v>552</v>
      </c>
      <c r="C528" s="1" t="s">
        <v>1083</v>
      </c>
      <c r="D528" s="1" t="s">
        <v>554</v>
      </c>
      <c r="E528" s="1">
        <f>VLOOKUP(A528,BOM!A:E,5,0)</f>
        <v>5</v>
      </c>
      <c r="F528" s="122">
        <v>19.09</v>
      </c>
      <c r="G528" s="10">
        <v>19.600000000000001</v>
      </c>
      <c r="H528" s="11" t="s">
        <v>1874</v>
      </c>
      <c r="I528" s="49">
        <f>SUMIFS(BOM!Q:Q,BOM!A:A,'All Products'!A528,BOM!I:I,'All Products'!I$3)</f>
        <v>8.5657894736842106</v>
      </c>
      <c r="J528" s="49">
        <f>SUMIFS(BOM!Q:Q,BOM!A:A,'All Products'!A528,BOM!I:I,'All Products'!J$3)+0.03</f>
        <v>0.45000000000000007</v>
      </c>
      <c r="K528" s="29">
        <f t="shared" si="121"/>
        <v>0.45998925886143927</v>
      </c>
      <c r="L528" s="49">
        <f>SUMIF(BOM!A:A,'All Products'!A528,BOM!S:S)</f>
        <v>6.6809210526315779</v>
      </c>
      <c r="M528" s="49">
        <f>SUMIF(BOM!A:A,'All Products'!A528,BOM!V:V)</f>
        <v>0.40112249999999999</v>
      </c>
      <c r="N528" s="29">
        <f t="shared" si="122"/>
        <v>0.36132875268528453</v>
      </c>
      <c r="O528" s="55">
        <v>0</v>
      </c>
      <c r="P528" s="49">
        <f t="shared" si="123"/>
        <v>16.097833026315786</v>
      </c>
      <c r="Q528" s="11">
        <f t="shared" si="116"/>
        <v>3.5021669736842149</v>
      </c>
      <c r="R528" s="29">
        <f t="shared" si="124"/>
        <v>0.17868198845327626</v>
      </c>
      <c r="S528" s="91">
        <v>138.4</v>
      </c>
      <c r="T528" s="91">
        <f t="shared" si="126"/>
        <v>2712.6400000000003</v>
      </c>
      <c r="U528" s="90">
        <f t="shared" si="127"/>
        <v>484.69990915789538</v>
      </c>
      <c r="V528" s="90">
        <f t="shared" si="128"/>
        <v>484.69990915789538</v>
      </c>
      <c r="W528" s="90">
        <f t="shared" si="129"/>
        <v>0</v>
      </c>
      <c r="Y528" s="34">
        <f t="shared" si="125"/>
        <v>0.56296992481203012</v>
      </c>
      <c r="Z528" s="34"/>
      <c r="AA528" s="4"/>
      <c r="AB528" s="4"/>
      <c r="AE528" s="4"/>
    </row>
    <row r="529" spans="1:31" x14ac:dyDescent="0.25">
      <c r="A529" s="1" t="s">
        <v>57</v>
      </c>
      <c r="B529" s="1" t="s">
        <v>656</v>
      </c>
      <c r="C529" s="1" t="s">
        <v>58</v>
      </c>
      <c r="D529" s="1" t="s">
        <v>554</v>
      </c>
      <c r="E529" s="1">
        <f>VLOOKUP(A529,BOM!A:E,5,0)</f>
        <v>2.5</v>
      </c>
      <c r="F529" s="122">
        <v>12.14</v>
      </c>
      <c r="G529" s="10">
        <v>12.78</v>
      </c>
      <c r="H529" s="11" t="s">
        <v>1874</v>
      </c>
      <c r="I529" s="49">
        <f>SUMIFS(BOM!Q:Q,BOM!A:A,'All Products'!A529,BOM!I:I,'All Products'!I$3)</f>
        <v>2.9058823529411764</v>
      </c>
      <c r="J529" s="49">
        <f>SUMIFS(BOM!Q:Q,BOM!A:A,'All Products'!A529,BOM!I:I,'All Products'!J$3)+0.03</f>
        <v>0.17</v>
      </c>
      <c r="K529" s="29">
        <f t="shared" si="121"/>
        <v>0.24067937033968517</v>
      </c>
      <c r="L529" s="49">
        <f>SUMIF(BOM!A:A,'All Products'!A529,BOM!S:S)</f>
        <v>1.7920588235294115</v>
      </c>
      <c r="M529" s="49">
        <f>SUMIF(BOM!A:A,'All Products'!A529,BOM!V:V)</f>
        <v>0.29618749999999999</v>
      </c>
      <c r="N529" s="29">
        <f t="shared" si="122"/>
        <v>0.16339955583172236</v>
      </c>
      <c r="O529" s="55">
        <v>0</v>
      </c>
      <c r="P529" s="49">
        <f t="shared" si="123"/>
        <v>5.1641286764705878</v>
      </c>
      <c r="Q529" s="11">
        <f t="shared" si="116"/>
        <v>7.6158713235294115</v>
      </c>
      <c r="R529" s="29">
        <f t="shared" si="124"/>
        <v>0.5959210738285925</v>
      </c>
      <c r="S529" s="91">
        <v>4.4000000000000004</v>
      </c>
      <c r="T529" s="91">
        <f t="shared" si="126"/>
        <v>56.231999999999999</v>
      </c>
      <c r="U529" s="90">
        <f t="shared" si="127"/>
        <v>33.509833823529412</v>
      </c>
      <c r="V529" s="90">
        <f t="shared" si="128"/>
        <v>33.509833823529412</v>
      </c>
      <c r="W529" s="90">
        <f t="shared" si="129"/>
        <v>0</v>
      </c>
      <c r="Y529" s="34">
        <f t="shared" si="125"/>
        <v>0.77262266408910973</v>
      </c>
      <c r="Z529" s="34"/>
      <c r="AA529" s="4"/>
      <c r="AB529" s="4"/>
      <c r="AE529" s="4"/>
    </row>
    <row r="530" spans="1:31" x14ac:dyDescent="0.25">
      <c r="A530" s="1" t="s">
        <v>1084</v>
      </c>
      <c r="B530" s="1" t="s">
        <v>656</v>
      </c>
      <c r="C530" s="1" t="s">
        <v>1085</v>
      </c>
      <c r="D530" s="1" t="s">
        <v>554</v>
      </c>
      <c r="E530" s="1">
        <f>VLOOKUP(A530,BOM!A:E,5,0)</f>
        <v>1</v>
      </c>
      <c r="F530" s="122">
        <v>12.85</v>
      </c>
      <c r="G530" s="10">
        <v>13.14</v>
      </c>
      <c r="H530" s="11" t="s">
        <v>1874</v>
      </c>
      <c r="I530" s="49">
        <f>SUMIFS(BOM!Q:Q,BOM!A:A,'All Products'!A530,BOM!I:I,'All Products'!I$3)</f>
        <v>3.9647058823529413</v>
      </c>
      <c r="J530" s="49">
        <f>SUMIFS(BOM!Q:Q,BOM!A:A,'All Products'!A530,BOM!I:I,'All Products'!J$3)+0.03</f>
        <v>0.17</v>
      </c>
      <c r="K530" s="29">
        <f t="shared" si="121"/>
        <v>0.31466559226430296</v>
      </c>
      <c r="L530" s="49">
        <f>SUMIF(BOM!A:A,'All Products'!A530,BOM!S:S)</f>
        <v>4.6035999999999992</v>
      </c>
      <c r="M530" s="49">
        <f>SUMIF(BOM!A:A,'All Products'!A530,BOM!V:V)</f>
        <v>0.21720416666666661</v>
      </c>
      <c r="N530" s="29">
        <f t="shared" si="122"/>
        <v>0.36688007356671737</v>
      </c>
      <c r="O530" s="55">
        <v>0</v>
      </c>
      <c r="P530" s="49">
        <f t="shared" si="123"/>
        <v>8.9555100490196082</v>
      </c>
      <c r="Q530" s="11">
        <f t="shared" si="116"/>
        <v>4.1844899509803923</v>
      </c>
      <c r="R530" s="29">
        <f t="shared" si="124"/>
        <v>0.31845433416897961</v>
      </c>
      <c r="S530" s="91">
        <v>11.8</v>
      </c>
      <c r="T530" s="91">
        <f t="shared" si="126"/>
        <v>155.05200000000002</v>
      </c>
      <c r="U530" s="90">
        <f t="shared" si="127"/>
        <v>49.37698142156863</v>
      </c>
      <c r="V530" s="90">
        <f t="shared" si="128"/>
        <v>49.37698142156863</v>
      </c>
      <c r="W530" s="90">
        <f t="shared" si="129"/>
        <v>0</v>
      </c>
      <c r="Y530" s="34">
        <f t="shared" si="125"/>
        <v>0.69827200286507296</v>
      </c>
      <c r="Z530" s="34"/>
      <c r="AA530" s="4"/>
      <c r="AB530" s="4"/>
      <c r="AE530" s="4"/>
    </row>
    <row r="531" spans="1:31" x14ac:dyDescent="0.25">
      <c r="A531" s="61" t="s">
        <v>1086</v>
      </c>
      <c r="B531" s="1" t="s">
        <v>552</v>
      </c>
      <c r="C531" s="2" t="s">
        <v>1087</v>
      </c>
      <c r="D531" s="1" t="s">
        <v>554</v>
      </c>
      <c r="E531" s="1">
        <f>VLOOKUP(A531,BOM!A:E,5,0)</f>
        <v>5</v>
      </c>
      <c r="F531" s="122">
        <v>10.79</v>
      </c>
      <c r="G531" s="10">
        <v>10.039999999999999</v>
      </c>
      <c r="H531" s="11" t="s">
        <v>1874</v>
      </c>
      <c r="I531" s="49">
        <f>SUMIFS(BOM!Q:Q,BOM!A:A,'All Products'!A531,BOM!I:I,'All Products'!I$3)</f>
        <v>4.6556129032258067</v>
      </c>
      <c r="J531" s="49">
        <f>SUMIFS(BOM!Q:Q,BOM!A:A,'All Products'!A531,BOM!I:I,'All Products'!J$3)+0.03</f>
        <v>0.45000000000000007</v>
      </c>
      <c r="K531" s="29">
        <f t="shared" si="121"/>
        <v>0.50852718159619592</v>
      </c>
      <c r="L531" s="49">
        <f>SUMIF(BOM!A:A,'All Products'!A531,BOM!S:S)</f>
        <v>3.4814543010752681</v>
      </c>
      <c r="M531" s="49">
        <f>SUMIF(BOM!A:A,'All Products'!A531,BOM!V:V)</f>
        <v>0.40112249999999999</v>
      </c>
      <c r="N531" s="29">
        <f t="shared" si="122"/>
        <v>0.3867108367604849</v>
      </c>
      <c r="O531" s="55">
        <v>0</v>
      </c>
      <c r="P531" s="49">
        <f t="shared" si="123"/>
        <v>8.9881897043010746</v>
      </c>
      <c r="Q531" s="11">
        <f t="shared" si="116"/>
        <v>1.0518102956989246</v>
      </c>
      <c r="R531" s="29">
        <f t="shared" si="124"/>
        <v>0.10476198164331919</v>
      </c>
      <c r="S531" s="93">
        <v>0</v>
      </c>
      <c r="T531" s="91">
        <f t="shared" si="126"/>
        <v>0</v>
      </c>
      <c r="U531" s="90">
        <f t="shared" si="127"/>
        <v>0</v>
      </c>
      <c r="V531" s="90">
        <f t="shared" si="128"/>
        <v>0</v>
      </c>
      <c r="W531" s="90">
        <f t="shared" si="129"/>
        <v>0</v>
      </c>
      <c r="Y531" s="34">
        <f t="shared" si="125"/>
        <v>0.53629353553527814</v>
      </c>
      <c r="Z531" s="34"/>
      <c r="AA531" s="4"/>
      <c r="AB531" s="4"/>
      <c r="AE531" s="4"/>
    </row>
    <row r="532" spans="1:31" x14ac:dyDescent="0.25">
      <c r="A532" s="1" t="s">
        <v>106</v>
      </c>
      <c r="B532" s="1" t="s">
        <v>656</v>
      </c>
      <c r="C532" s="3" t="s">
        <v>107</v>
      </c>
      <c r="D532" s="1" t="s">
        <v>554</v>
      </c>
      <c r="E532" s="1">
        <f>VLOOKUP(A532,BOM!A:E,5,0)</f>
        <v>2.5</v>
      </c>
      <c r="F532" s="122">
        <v>37.799999999999997</v>
      </c>
      <c r="G532" s="10">
        <v>40.1</v>
      </c>
      <c r="H532" s="11" t="s">
        <v>1874</v>
      </c>
      <c r="I532" s="49">
        <f>SUMIFS(BOM!Q:Q,BOM!A:A,'All Products'!A532,BOM!I:I,'All Products'!I$3)</f>
        <v>6.1052631578947372</v>
      </c>
      <c r="J532" s="49">
        <f>SUMIFS(BOM!Q:Q,BOM!A:A,'All Products'!A532,BOM!I:I,'All Products'!J$3)+0.03</f>
        <v>0.17</v>
      </c>
      <c r="K532" s="29">
        <f t="shared" si="121"/>
        <v>0.15649035306470666</v>
      </c>
      <c r="L532" s="49">
        <f>SUMIF(BOM!A:A,'All Products'!A532,BOM!S:S)</f>
        <v>3.1177631578947369</v>
      </c>
      <c r="M532" s="49">
        <f>SUMIF(BOM!A:A,'All Products'!A532,BOM!V:V)</f>
        <v>0.29618749999999999</v>
      </c>
      <c r="N532" s="29">
        <f t="shared" si="122"/>
        <v>8.5135926630791434E-2</v>
      </c>
      <c r="O532" s="55">
        <v>0</v>
      </c>
      <c r="P532" s="49">
        <f t="shared" si="123"/>
        <v>9.6892138157894738</v>
      </c>
      <c r="Q532" s="11">
        <f t="shared" si="116"/>
        <v>30.410786184210529</v>
      </c>
      <c r="R532" s="29">
        <f t="shared" si="124"/>
        <v>0.7583737203045019</v>
      </c>
      <c r="S532" s="91">
        <v>152</v>
      </c>
      <c r="T532" s="91">
        <f t="shared" si="126"/>
        <v>6095.2</v>
      </c>
      <c r="U532" s="90">
        <f t="shared" si="127"/>
        <v>4622.4395000000004</v>
      </c>
      <c r="V532" s="90">
        <f t="shared" si="128"/>
        <v>4622.4395000000004</v>
      </c>
      <c r="W532" s="90">
        <f t="shared" si="129"/>
        <v>0</v>
      </c>
      <c r="Y532" s="34">
        <f t="shared" si="125"/>
        <v>0.84774904843155263</v>
      </c>
      <c r="Z532" s="34"/>
      <c r="AA532" s="4">
        <f>P532/E532</f>
        <v>3.8756855263157894</v>
      </c>
      <c r="AB532" s="4"/>
      <c r="AE532" s="4"/>
    </row>
    <row r="533" spans="1:31" x14ac:dyDescent="0.25">
      <c r="A533" s="1" t="s">
        <v>108</v>
      </c>
      <c r="B533" s="1" t="s">
        <v>656</v>
      </c>
      <c r="C533" s="1" t="s">
        <v>109</v>
      </c>
      <c r="D533" s="1" t="s">
        <v>554</v>
      </c>
      <c r="E533" s="1">
        <f>VLOOKUP(A533,BOM!A:E,5,0)</f>
        <v>1</v>
      </c>
      <c r="F533" s="122">
        <v>15.13</v>
      </c>
      <c r="G533" s="10">
        <v>16.05</v>
      </c>
      <c r="H533" s="11" t="s">
        <v>1874</v>
      </c>
      <c r="I533" s="49">
        <f>SUMIFS(BOM!Q:Q,BOM!A:A,'All Products'!A533,BOM!I:I,'All Products'!I$3)</f>
        <v>2.4421052631578952</v>
      </c>
      <c r="J533" s="49">
        <f>SUMIFS(BOM!Q:Q,BOM!A:A,'All Products'!A533,BOM!I:I,'All Products'!J$3)+0.03</f>
        <v>0.17</v>
      </c>
      <c r="K533" s="29">
        <f t="shared" si="121"/>
        <v>0.16274799147401214</v>
      </c>
      <c r="L533" s="49">
        <f>SUMIF(BOM!A:A,'All Products'!A533,BOM!S:S)</f>
        <v>1.2471052631578947</v>
      </c>
      <c r="M533" s="49">
        <f>SUMIF(BOM!A:A,'All Products'!A533,BOM!V:V)</f>
        <v>0.21720416666666661</v>
      </c>
      <c r="N533" s="29">
        <f t="shared" si="122"/>
        <v>9.1234232387823133E-2</v>
      </c>
      <c r="O533" s="55">
        <v>0</v>
      </c>
      <c r="P533" s="49">
        <f t="shared" si="123"/>
        <v>4.0764146929824561</v>
      </c>
      <c r="Q533" s="11">
        <f t="shared" si="116"/>
        <v>11.973585307017544</v>
      </c>
      <c r="R533" s="29">
        <f t="shared" si="124"/>
        <v>0.74601777613816467</v>
      </c>
      <c r="S533" s="91">
        <v>91.4</v>
      </c>
      <c r="T533" s="91">
        <f t="shared" si="126"/>
        <v>1466.9700000000003</v>
      </c>
      <c r="U533" s="90">
        <f t="shared" si="127"/>
        <v>1094.3856970614036</v>
      </c>
      <c r="V533" s="90">
        <f t="shared" si="128"/>
        <v>1094.3856970614036</v>
      </c>
      <c r="W533" s="90">
        <f t="shared" si="129"/>
        <v>0</v>
      </c>
      <c r="Y533" s="34">
        <f t="shared" si="125"/>
        <v>0.84784390883751437</v>
      </c>
      <c r="Z533" s="34"/>
      <c r="AA533" s="4">
        <f>P533/E533</f>
        <v>4.0764146929824561</v>
      </c>
      <c r="AB533" s="4"/>
      <c r="AE533" s="4"/>
    </row>
    <row r="534" spans="1:31" x14ac:dyDescent="0.25">
      <c r="A534" s="1" t="s">
        <v>541</v>
      </c>
      <c r="B534" s="1" t="s">
        <v>656</v>
      </c>
      <c r="C534" s="1" t="s">
        <v>1088</v>
      </c>
      <c r="D534" s="1" t="s">
        <v>554</v>
      </c>
      <c r="E534" s="1">
        <f>VLOOKUP(A534,BOM!A:E,5,0)</f>
        <v>2.5</v>
      </c>
      <c r="F534" s="122">
        <v>39.36</v>
      </c>
      <c r="G534" s="10">
        <v>47.34</v>
      </c>
      <c r="H534" s="11" t="s">
        <v>1874</v>
      </c>
      <c r="I534" s="49" t="e">
        <f>SUMIFS(BOM!Q:Q,BOM!A:A,'All Products'!A534,BOM!I:I,'All Products'!I$3)</f>
        <v>#N/A</v>
      </c>
      <c r="J534" s="49">
        <f>SUMIFS(BOM!Q:Q,BOM!A:A,'All Products'!A534,BOM!I:I,'All Products'!J$3)+0.03</f>
        <v>0.17</v>
      </c>
      <c r="K534" s="29" t="e">
        <f t="shared" si="121"/>
        <v>#N/A</v>
      </c>
      <c r="L534" s="49">
        <f>SUMIF(BOM!A:A,'All Products'!A534,BOM!S:S)</f>
        <v>4.5962990196078417</v>
      </c>
      <c r="M534" s="49">
        <f>SUMIF(BOM!A:A,'All Products'!A534,BOM!V:V)</f>
        <v>0.29618749999999999</v>
      </c>
      <c r="N534" s="29">
        <f t="shared" si="122"/>
        <v>0.10334783522619015</v>
      </c>
      <c r="O534" s="55">
        <v>0</v>
      </c>
      <c r="P534" s="49" t="e">
        <f t="shared" si="123"/>
        <v>#N/A</v>
      </c>
      <c r="Q534" s="11" t="e">
        <f t="shared" si="116"/>
        <v>#N/A</v>
      </c>
      <c r="R534" s="29">
        <f t="shared" si="124"/>
        <v>0</v>
      </c>
      <c r="S534" s="91">
        <v>0.8</v>
      </c>
      <c r="T534" s="91">
        <f t="shared" si="126"/>
        <v>37.872000000000007</v>
      </c>
      <c r="U534" s="90">
        <f t="shared" si="127"/>
        <v>0</v>
      </c>
      <c r="V534" s="90" t="e">
        <f t="shared" si="128"/>
        <v>#N/A</v>
      </c>
      <c r="W534" s="90" t="e">
        <f t="shared" si="129"/>
        <v>#N/A</v>
      </c>
      <c r="X534" t="s">
        <v>4335</v>
      </c>
      <c r="Y534" s="34" t="e">
        <f t="shared" si="125"/>
        <v>#N/A</v>
      </c>
      <c r="Z534" s="34"/>
      <c r="AA534" s="4"/>
      <c r="AB534" s="4"/>
      <c r="AE534" s="4"/>
    </row>
    <row r="535" spans="1:31" x14ac:dyDescent="0.25">
      <c r="A535" s="1" t="s">
        <v>59</v>
      </c>
      <c r="B535" s="1" t="s">
        <v>656</v>
      </c>
      <c r="C535" s="1" t="s">
        <v>1089</v>
      </c>
      <c r="D535" s="1" t="s">
        <v>554</v>
      </c>
      <c r="E535" s="1">
        <f>VLOOKUP(A535,BOM!A:E,5,0)</f>
        <v>1</v>
      </c>
      <c r="F535" s="122">
        <v>15.75</v>
      </c>
      <c r="G535" s="10">
        <v>18.940000000000001</v>
      </c>
      <c r="H535" s="11" t="s">
        <v>1874</v>
      </c>
      <c r="I535" s="49" t="e">
        <f>SUMIFS(BOM!Q:Q,BOM!A:A,'All Products'!A535,BOM!I:I,'All Products'!I$3)</f>
        <v>#N/A</v>
      </c>
      <c r="J535" s="49">
        <f>SUMIFS(BOM!Q:Q,BOM!A:A,'All Products'!A535,BOM!I:I,'All Products'!J$3)+0.03</f>
        <v>0.17</v>
      </c>
      <c r="K535" s="29" t="e">
        <f t="shared" si="121"/>
        <v>#N/A</v>
      </c>
      <c r="L535" s="49">
        <f>SUMIF(BOM!A:A,'All Products'!A535,BOM!S:S)</f>
        <v>1.8385196078431369</v>
      </c>
      <c r="M535" s="49">
        <f>SUMIF(BOM!A:A,'All Products'!A535,BOM!V:V)</f>
        <v>0.21720416666666661</v>
      </c>
      <c r="N535" s="29">
        <f t="shared" si="122"/>
        <v>0.10853874205437188</v>
      </c>
      <c r="O535" s="55">
        <v>0</v>
      </c>
      <c r="P535" s="49" t="e">
        <f t="shared" si="123"/>
        <v>#N/A</v>
      </c>
      <c r="Q535" s="11" t="e">
        <f>G535-P535</f>
        <v>#N/A</v>
      </c>
      <c r="R535" s="29">
        <f t="shared" si="124"/>
        <v>0</v>
      </c>
      <c r="S535" s="91">
        <v>8</v>
      </c>
      <c r="T535" s="91">
        <f t="shared" si="126"/>
        <v>151.52000000000001</v>
      </c>
      <c r="U535" s="90">
        <f t="shared" si="127"/>
        <v>0</v>
      </c>
      <c r="V535" s="90" t="e">
        <f t="shared" si="128"/>
        <v>#N/A</v>
      </c>
      <c r="W535" s="90" t="e">
        <f t="shared" si="129"/>
        <v>#N/A</v>
      </c>
      <c r="X535" t="s">
        <v>4335</v>
      </c>
      <c r="Y535" s="34" t="e">
        <f t="shared" si="125"/>
        <v>#N/A</v>
      </c>
      <c r="Z535" s="34"/>
      <c r="AA535" s="4"/>
      <c r="AB535" s="4"/>
      <c r="AE535" s="4"/>
    </row>
    <row r="536" spans="1:31" x14ac:dyDescent="0.25">
      <c r="A536" s="1" t="s">
        <v>1090</v>
      </c>
      <c r="B536" s="1" t="s">
        <v>656</v>
      </c>
      <c r="C536" s="1" t="s">
        <v>1091</v>
      </c>
      <c r="D536" s="1" t="s">
        <v>554</v>
      </c>
      <c r="E536" s="1">
        <f>VLOOKUP(A536,BOM!A:E,5,0)</f>
        <v>2.5</v>
      </c>
      <c r="F536" s="122">
        <v>158.04</v>
      </c>
      <c r="G536" s="10">
        <v>158.80000000000001</v>
      </c>
      <c r="H536" s="11" t="s">
        <v>1874</v>
      </c>
      <c r="I536" s="49" t="e">
        <f>SUMIFS(BOM!Q:Q,BOM!A:A,'All Products'!A536,BOM!I:I,'All Products'!I$3)</f>
        <v>#N/A</v>
      </c>
      <c r="J536" s="49">
        <f>SUMIFS(BOM!Q:Q,BOM!A:A,'All Products'!A536,BOM!I:I,'All Products'!J$3)+0.03</f>
        <v>0.17</v>
      </c>
      <c r="K536" s="29" t="e">
        <f t="shared" si="121"/>
        <v>#N/A</v>
      </c>
      <c r="L536" s="49">
        <f>SUMIF(BOM!A:A,'All Products'!A536,BOM!S:S)</f>
        <v>10.299753289473683</v>
      </c>
      <c r="M536" s="49">
        <f>SUMIF(BOM!A:A,'All Products'!A536,BOM!V:V)</f>
        <v>0.29618749999999999</v>
      </c>
      <c r="N536" s="29">
        <f t="shared" si="122"/>
        <v>6.6725067943788935E-2</v>
      </c>
      <c r="O536" s="55">
        <v>0</v>
      </c>
      <c r="P536" s="49" t="e">
        <f t="shared" si="123"/>
        <v>#N/A</v>
      </c>
      <c r="Q536" s="11" t="e">
        <f>G536-P536</f>
        <v>#N/A</v>
      </c>
      <c r="R536" s="29">
        <f t="shared" si="124"/>
        <v>0</v>
      </c>
      <c r="S536" s="91">
        <v>6</v>
      </c>
      <c r="T536" s="91">
        <f t="shared" si="126"/>
        <v>952.80000000000007</v>
      </c>
      <c r="U536" s="90">
        <f t="shared" si="127"/>
        <v>0</v>
      </c>
      <c r="V536" s="90" t="e">
        <f t="shared" si="128"/>
        <v>#N/A</v>
      </c>
      <c r="W536" s="90" t="e">
        <f t="shared" si="129"/>
        <v>#N/A</v>
      </c>
      <c r="X536" t="s">
        <v>4335</v>
      </c>
      <c r="Y536" s="34" t="e">
        <f t="shared" si="125"/>
        <v>#N/A</v>
      </c>
      <c r="Z536" s="34"/>
      <c r="AA536" s="4"/>
      <c r="AB536" s="4"/>
      <c r="AE536" s="4"/>
    </row>
    <row r="537" spans="1:31" x14ac:dyDescent="0.25">
      <c r="A537" s="1" t="s">
        <v>1092</v>
      </c>
      <c r="B537" s="1" t="s">
        <v>656</v>
      </c>
      <c r="C537" s="1" t="s">
        <v>1093</v>
      </c>
      <c r="D537" s="1" t="s">
        <v>554</v>
      </c>
      <c r="E537" s="1">
        <f>VLOOKUP(A537,BOM!A:E,5,0)</f>
        <v>1</v>
      </c>
      <c r="F537" s="122">
        <v>63.22</v>
      </c>
      <c r="G537" s="10">
        <v>69.64</v>
      </c>
      <c r="H537" s="11" t="s">
        <v>1874</v>
      </c>
      <c r="I537" s="49" t="e">
        <f>SUMIFS(BOM!Q:Q,BOM!A:A,'All Products'!A537,BOM!I:I,'All Products'!I$3)</f>
        <v>#N/A</v>
      </c>
      <c r="J537" s="49">
        <f>SUMIFS(BOM!Q:Q,BOM!A:A,'All Products'!A537,BOM!I:I,'All Products'!J$3)+0.03</f>
        <v>0.17</v>
      </c>
      <c r="K537" s="29" t="e">
        <f t="shared" si="121"/>
        <v>#N/A</v>
      </c>
      <c r="L537" s="49">
        <f>SUMIF(BOM!A:A,'All Products'!A537,BOM!S:S)</f>
        <v>4.1199013157894733</v>
      </c>
      <c r="M537" s="49">
        <f>SUMIF(BOM!A:A,'All Products'!A537,BOM!V:V)</f>
        <v>0.21720416666666661</v>
      </c>
      <c r="N537" s="29">
        <f t="shared" si="122"/>
        <v>6.2278941448250143E-2</v>
      </c>
      <c r="O537" s="55">
        <v>0</v>
      </c>
      <c r="P537" s="49" t="e">
        <f t="shared" si="123"/>
        <v>#N/A</v>
      </c>
      <c r="Q537" s="11" t="e">
        <f>G537-P537</f>
        <v>#N/A</v>
      </c>
      <c r="R537" s="29">
        <f t="shared" si="124"/>
        <v>0</v>
      </c>
      <c r="S537" s="91">
        <v>12</v>
      </c>
      <c r="T537" s="91">
        <f t="shared" si="126"/>
        <v>835.68000000000006</v>
      </c>
      <c r="U537" s="90">
        <f t="shared" si="127"/>
        <v>0</v>
      </c>
      <c r="V537" s="90" t="e">
        <f t="shared" si="128"/>
        <v>#N/A</v>
      </c>
      <c r="W537" s="90" t="e">
        <f t="shared" si="129"/>
        <v>#N/A</v>
      </c>
      <c r="X537" t="s">
        <v>4335</v>
      </c>
      <c r="Y537" s="34" t="e">
        <f t="shared" si="125"/>
        <v>#N/A</v>
      </c>
      <c r="Z537" s="34"/>
      <c r="AA537" s="4"/>
      <c r="AB537" s="4"/>
      <c r="AE537" s="4"/>
    </row>
    <row r="538" spans="1:31" x14ac:dyDescent="0.25">
      <c r="A538" s="1" t="s">
        <v>1094</v>
      </c>
      <c r="B538" s="1" t="s">
        <v>656</v>
      </c>
      <c r="C538" s="1" t="s">
        <v>41</v>
      </c>
      <c r="D538" s="1" t="s">
        <v>554</v>
      </c>
      <c r="E538" s="1">
        <f>VLOOKUP(A538,BOM!A:E,5,0)</f>
        <v>2.5</v>
      </c>
      <c r="F538" s="122">
        <v>6.91</v>
      </c>
      <c r="G538" s="10">
        <v>6.36</v>
      </c>
      <c r="H538" s="11" t="s">
        <v>1874</v>
      </c>
      <c r="I538" s="49">
        <f>SUMIFS(BOM!Q:Q,BOM!A:A,'All Products'!A538,BOM!I:I,'All Products'!I$3)</f>
        <v>1.1779059449866904</v>
      </c>
      <c r="J538" s="49">
        <f>SUMIFS(BOM!Q:Q,BOM!A:A,'All Products'!A538,BOM!I:I,'All Products'!J$3)+0.03</f>
        <v>0.17</v>
      </c>
      <c r="K538" s="29">
        <f t="shared" si="121"/>
        <v>0.2119348970104859</v>
      </c>
      <c r="L538" s="49">
        <f>SUMIF(BOM!A:A,'All Products'!A538,BOM!S:S)</f>
        <v>2.9067098121857438</v>
      </c>
      <c r="M538" s="49">
        <f>SUMIF(BOM!A:A,'All Products'!A538,BOM!V:V)</f>
        <v>0.29618749999999999</v>
      </c>
      <c r="N538" s="29">
        <f t="shared" si="122"/>
        <v>0.5036002063185131</v>
      </c>
      <c r="O538" s="55">
        <v>0</v>
      </c>
      <c r="P538" s="49">
        <f t="shared" si="123"/>
        <v>4.5508032571724346</v>
      </c>
      <c r="Q538" s="11">
        <f>G538-P538</f>
        <v>1.8091967428275657</v>
      </c>
      <c r="R538" s="29">
        <f t="shared" si="124"/>
        <v>0.28446489667100089</v>
      </c>
      <c r="S538" s="91">
        <v>3.2</v>
      </c>
      <c r="T538" s="91">
        <f t="shared" si="126"/>
        <v>20.352000000000004</v>
      </c>
      <c r="U538" s="90">
        <f t="shared" si="127"/>
        <v>5.7894295770482103</v>
      </c>
      <c r="V538" s="90">
        <f t="shared" si="128"/>
        <v>5.7894295770482103</v>
      </c>
      <c r="W538" s="90">
        <f t="shared" si="129"/>
        <v>0</v>
      </c>
      <c r="Y538" s="34">
        <f t="shared" si="125"/>
        <v>0.81479466273794177</v>
      </c>
      <c r="Z538" s="34"/>
      <c r="AA538" s="4"/>
      <c r="AB538" s="4"/>
      <c r="AE538" s="4"/>
    </row>
    <row r="539" spans="1:31" x14ac:dyDescent="0.25">
      <c r="A539" s="1" t="s">
        <v>1095</v>
      </c>
      <c r="B539" s="1" t="s">
        <v>656</v>
      </c>
      <c r="C539" s="1" t="s">
        <v>39</v>
      </c>
      <c r="D539" s="1" t="s">
        <v>554</v>
      </c>
      <c r="E539" s="1">
        <f>VLOOKUP(A539,BOM!A:E,5,0)</f>
        <v>2.5</v>
      </c>
      <c r="F539" s="122">
        <v>15.68</v>
      </c>
      <c r="G539" s="10">
        <v>16.309999999999999</v>
      </c>
      <c r="H539" s="11" t="s">
        <v>1874</v>
      </c>
      <c r="I539" s="49">
        <f>SUMIFS(BOM!Q:Q,BOM!A:A,'All Products'!A539,BOM!I:I,'All Products'!I$3)</f>
        <v>3.7626210296712626</v>
      </c>
      <c r="J539" s="49">
        <f>SUMIFS(BOM!Q:Q,BOM!A:A,'All Products'!A539,BOM!I:I,'All Products'!J$3)+0.03</f>
        <v>0.17</v>
      </c>
      <c r="K539" s="29">
        <f t="shared" si="121"/>
        <v>0.24111716920118104</v>
      </c>
      <c r="L539" s="49">
        <f>SUMIF(BOM!A:A,'All Products'!A539,BOM!S:S)</f>
        <v>8.2782398381165159</v>
      </c>
      <c r="M539" s="49">
        <f>SUMIF(BOM!A:A,'All Products'!A539,BOM!V:V)</f>
        <v>0.29618749999999999</v>
      </c>
      <c r="N539" s="29">
        <f t="shared" si="122"/>
        <v>0.52571596187103109</v>
      </c>
      <c r="O539" s="55">
        <v>0</v>
      </c>
      <c r="P539" s="49">
        <f t="shared" si="123"/>
        <v>12.507048367787778</v>
      </c>
      <c r="Q539" s="11">
        <f>G539-P539</f>
        <v>3.8029516322122205</v>
      </c>
      <c r="R539" s="29">
        <f t="shared" si="124"/>
        <v>0.2331668689277879</v>
      </c>
      <c r="S539" s="91">
        <v>63.4</v>
      </c>
      <c r="T539" s="91">
        <f t="shared" si="126"/>
        <v>1034.0539999999999</v>
      </c>
      <c r="U539" s="90">
        <f t="shared" si="127"/>
        <v>241.10713348225477</v>
      </c>
      <c r="V539" s="90">
        <f t="shared" si="128"/>
        <v>241.10713348225477</v>
      </c>
      <c r="W539" s="90">
        <f t="shared" si="129"/>
        <v>0</v>
      </c>
      <c r="Y539" s="34">
        <f t="shared" si="125"/>
        <v>0.7693058841403273</v>
      </c>
      <c r="Z539" s="34"/>
      <c r="AA539" s="4"/>
      <c r="AB539" s="4"/>
      <c r="AE539" s="4"/>
    </row>
    <row r="540" spans="1:31" x14ac:dyDescent="0.25">
      <c r="A540" s="1" t="s">
        <v>1096</v>
      </c>
      <c r="B540" s="1" t="s">
        <v>552</v>
      </c>
      <c r="C540" s="1" t="s">
        <v>1097</v>
      </c>
      <c r="D540" s="1" t="s">
        <v>554</v>
      </c>
      <c r="E540" s="1">
        <f>VLOOKUP(A540,BOM!A:E,5,0)</f>
        <v>1</v>
      </c>
      <c r="F540" s="122">
        <v>0</v>
      </c>
      <c r="G540" s="145">
        <v>0</v>
      </c>
      <c r="H540" s="11" t="s">
        <v>1873</v>
      </c>
      <c r="I540" s="49" t="e">
        <f>SUMIFS(BOM!Q:Q,BOM!A:A,'All Products'!A540,BOM!I:I,'All Products'!I$3)</f>
        <v>#N/A</v>
      </c>
      <c r="J540" s="49">
        <f>SUMIFS(BOM!Q:Q,BOM!A:A,'All Products'!A540,BOM!I:I,'All Products'!J$3)+0.03</f>
        <v>0.45000000000000007</v>
      </c>
      <c r="K540" s="29" t="e">
        <f t="shared" si="121"/>
        <v>#N/A</v>
      </c>
      <c r="L540" s="49">
        <f>SUMIF(BOM!A:A,'All Products'!A540,BOM!S:S)</f>
        <v>0</v>
      </c>
      <c r="M540" s="49">
        <f>SUMIF(BOM!A:A,'All Products'!A540,BOM!V:V)</f>
        <v>0</v>
      </c>
      <c r="N540" s="29" t="e">
        <f t="shared" si="122"/>
        <v>#DIV/0!</v>
      </c>
      <c r="O540" s="55">
        <v>0</v>
      </c>
      <c r="P540" s="49" t="e">
        <f t="shared" si="123"/>
        <v>#N/A</v>
      </c>
      <c r="Q540" s="11">
        <v>-0.33</v>
      </c>
      <c r="R540" s="29">
        <f t="shared" si="124"/>
        <v>0</v>
      </c>
      <c r="S540" s="83"/>
      <c r="T540" s="83"/>
      <c r="U540" s="83"/>
      <c r="V540" s="83"/>
      <c r="W540" s="83"/>
      <c r="Y540" s="34" t="e">
        <f t="shared" si="125"/>
        <v>#N/A</v>
      </c>
      <c r="Z540" s="34"/>
      <c r="AD540" t="e">
        <f>_xlfn.XLOOKUP(A540,AF:AF,AF:AF)</f>
        <v>#N/A</v>
      </c>
      <c r="AE540" s="4"/>
    </row>
    <row r="541" spans="1:31" x14ac:dyDescent="0.25">
      <c r="A541" s="1" t="s">
        <v>1098</v>
      </c>
      <c r="B541" s="1" t="s">
        <v>552</v>
      </c>
      <c r="C541" s="1" t="s">
        <v>1099</v>
      </c>
      <c r="D541" s="1" t="s">
        <v>554</v>
      </c>
      <c r="E541" s="1">
        <f>VLOOKUP(A541,BOM!A:E,5,0)</f>
        <v>2.5</v>
      </c>
      <c r="F541" s="122">
        <v>9.1031249999999986</v>
      </c>
      <c r="G541" s="145">
        <v>9.11</v>
      </c>
      <c r="H541" s="11" t="s">
        <v>1873</v>
      </c>
      <c r="I541" s="49">
        <f>SUMIFS(BOM!Q:Q,BOM!A:A,'All Products'!A541,BOM!I:I,'All Products'!I$3)</f>
        <v>9</v>
      </c>
      <c r="J541" s="49">
        <f>SUMIFS(BOM!Q:Q,BOM!A:A,'All Products'!A541,BOM!I:I,'All Products'!J$3)+0.03</f>
        <v>0.17</v>
      </c>
      <c r="K541" s="29">
        <f t="shared" si="121"/>
        <v>1.0065861690450055</v>
      </c>
      <c r="L541" s="49">
        <f>SUMIF(BOM!A:A,'All Products'!A541,BOM!S:S)</f>
        <v>0</v>
      </c>
      <c r="M541" s="49">
        <f>SUMIF(BOM!A:A,'All Products'!A541,BOM!V:V)</f>
        <v>0.29618749999999999</v>
      </c>
      <c r="N541" s="29">
        <f t="shared" si="122"/>
        <v>3.2512349066959385E-2</v>
      </c>
      <c r="O541" s="55">
        <v>0</v>
      </c>
      <c r="P541" s="49">
        <f t="shared" si="123"/>
        <v>9.4661875000000002</v>
      </c>
      <c r="Q541" s="11">
        <v>-0.2475</v>
      </c>
      <c r="R541" s="29">
        <f t="shared" si="124"/>
        <v>-3.9098518111964964E-2</v>
      </c>
      <c r="S541" s="83"/>
      <c r="T541" s="83"/>
      <c r="U541" s="83"/>
      <c r="V541" s="83"/>
      <c r="W541" s="83"/>
      <c r="Y541" s="34">
        <f t="shared" si="125"/>
        <v>1.2074643249176667E-2</v>
      </c>
      <c r="Z541" s="34"/>
      <c r="AD541" t="e">
        <f>_xlfn.XLOOKUP(A541,AF:AF,AF:AF)</f>
        <v>#N/A</v>
      </c>
      <c r="AE541" s="4"/>
    </row>
    <row r="542" spans="1:31" x14ac:dyDescent="0.25">
      <c r="A542" s="1" t="s">
        <v>40</v>
      </c>
      <c r="B542" s="1" t="s">
        <v>552</v>
      </c>
      <c r="C542" s="1" t="s">
        <v>41</v>
      </c>
      <c r="D542" s="1" t="s">
        <v>554</v>
      </c>
      <c r="E542" s="1">
        <f>VLOOKUP(A542,BOM!A:E,5,0)</f>
        <v>2.5</v>
      </c>
      <c r="F542" s="122">
        <v>6.77</v>
      </c>
      <c r="G542" s="10">
        <v>6.21</v>
      </c>
      <c r="H542" s="11" t="s">
        <v>1874</v>
      </c>
      <c r="I542" s="49">
        <f>SUMIFS(BOM!Q:Q,BOM!A:A,'All Products'!A542,BOM!I:I,'All Products'!I$3)</f>
        <v>1.1779059449866904</v>
      </c>
      <c r="J542" s="49">
        <f>SUMIFS(BOM!Q:Q,BOM!A:A,'All Products'!A542,BOM!I:I,'All Products'!J$3)+0.03</f>
        <v>0.4</v>
      </c>
      <c r="K542" s="29">
        <f t="shared" si="121"/>
        <v>0.25409113445840426</v>
      </c>
      <c r="L542" s="49">
        <f>SUMIF(BOM!A:A,'All Products'!A542,BOM!S:S)</f>
        <v>2.9067098121857438</v>
      </c>
      <c r="M542" s="49">
        <f>SUMIF(BOM!A:A,'All Products'!A542,BOM!V:V)</f>
        <v>0.29618749999999999</v>
      </c>
      <c r="N542" s="29">
        <f t="shared" si="122"/>
        <v>0.51576446250978158</v>
      </c>
      <c r="O542" s="55">
        <v>0</v>
      </c>
      <c r="P542" s="49">
        <f t="shared" si="123"/>
        <v>4.7808032571724342</v>
      </c>
      <c r="Q542" s="11">
        <f>G542-P542</f>
        <v>1.4291967428275658</v>
      </c>
      <c r="R542" s="29">
        <f t="shared" si="124"/>
        <v>0.23014440303181413</v>
      </c>
      <c r="S542" s="91">
        <v>3.2</v>
      </c>
      <c r="T542" s="91">
        <f t="shared" ref="T542:T581" si="130">S542*G542</f>
        <v>19.872</v>
      </c>
      <c r="U542" s="90">
        <f t="shared" ref="U542:U573" si="131">IFERROR(S542*Q542,0)</f>
        <v>4.573429577048211</v>
      </c>
      <c r="V542" s="90">
        <f t="shared" ref="V542:V581" si="132">(G542-P542)*S542</f>
        <v>4.573429577048211</v>
      </c>
      <c r="W542" s="90">
        <f t="shared" ref="W542:W573" si="133">V542-U542</f>
        <v>0</v>
      </c>
      <c r="Y542" s="34">
        <f t="shared" si="125"/>
        <v>0.8103211038668775</v>
      </c>
      <c r="Z542" s="34"/>
      <c r="AA542" s="4"/>
      <c r="AB542" s="4"/>
      <c r="AE542" s="4"/>
    </row>
    <row r="543" spans="1:31" x14ac:dyDescent="0.25">
      <c r="A543" s="1" t="s">
        <v>1100</v>
      </c>
      <c r="B543" s="1" t="s">
        <v>552</v>
      </c>
      <c r="C543" s="1" t="s">
        <v>1101</v>
      </c>
      <c r="D543" s="1" t="s">
        <v>981</v>
      </c>
      <c r="E543" s="1">
        <f>VLOOKUP(A543,BOM!A:E,5,0)</f>
        <v>1</v>
      </c>
      <c r="F543" s="122">
        <v>4.5</v>
      </c>
      <c r="G543" s="10">
        <v>4.9000000000000004</v>
      </c>
      <c r="H543" s="11" t="s">
        <v>1874</v>
      </c>
      <c r="I543" s="49">
        <f>SUMIFS(BOM!Q:Q,BOM!A:A,'All Products'!A543,BOM!I:I,'All Products'!I$3)</f>
        <v>1.582669239157789</v>
      </c>
      <c r="J543" s="49">
        <f>SUMIFS(BOM!Q:Q,BOM!A:A,'All Products'!A543,BOM!I:I,'All Products'!J$3)+0.03</f>
        <v>0.58000000000000007</v>
      </c>
      <c r="K543" s="29">
        <f t="shared" si="121"/>
        <v>0.44136106921587526</v>
      </c>
      <c r="L543" s="49">
        <f>SUMIF(BOM!A:A,'All Products'!A543,BOM!S:S)</f>
        <v>1.0790202164247964</v>
      </c>
      <c r="M543" s="49">
        <f>SUMIF(BOM!A:A,'All Products'!A543,BOM!V:V)</f>
        <v>0.21156249999999999</v>
      </c>
      <c r="N543" s="29">
        <f t="shared" si="122"/>
        <v>0.26338422784179516</v>
      </c>
      <c r="O543" s="55">
        <v>0</v>
      </c>
      <c r="P543" s="49">
        <f t="shared" si="123"/>
        <v>3.4532519555825854</v>
      </c>
      <c r="Q543" s="11">
        <f>G543-P543</f>
        <v>1.446748044417415</v>
      </c>
      <c r="R543" s="29">
        <f t="shared" si="124"/>
        <v>0.29525470294232958</v>
      </c>
      <c r="S543" s="91">
        <v>8.6</v>
      </c>
      <c r="T543" s="91">
        <f t="shared" si="130"/>
        <v>42.14</v>
      </c>
      <c r="U543" s="90">
        <f t="shared" si="131"/>
        <v>12.442033181989769</v>
      </c>
      <c r="V543" s="90">
        <f t="shared" si="132"/>
        <v>12.442033181989769</v>
      </c>
      <c r="W543" s="90">
        <f t="shared" si="133"/>
        <v>0</v>
      </c>
      <c r="Y543" s="34">
        <f t="shared" si="125"/>
        <v>0.67700627772290023</v>
      </c>
      <c r="Z543" s="34"/>
      <c r="AA543" s="4"/>
      <c r="AB543" s="4"/>
      <c r="AE543" s="4"/>
    </row>
    <row r="544" spans="1:31" x14ac:dyDescent="0.25">
      <c r="A544" s="1" t="s">
        <v>1102</v>
      </c>
      <c r="B544" s="1" t="s">
        <v>552</v>
      </c>
      <c r="C544" s="1" t="s">
        <v>1103</v>
      </c>
      <c r="D544" s="1" t="s">
        <v>554</v>
      </c>
      <c r="E544" s="1">
        <f>VLOOKUP(A544,BOM!A:E,5,0)</f>
        <v>1</v>
      </c>
      <c r="F544" s="122">
        <v>0.89</v>
      </c>
      <c r="G544" s="10">
        <v>1.1100000000000001</v>
      </c>
      <c r="H544" s="11" t="s">
        <v>1874</v>
      </c>
      <c r="I544" s="49">
        <f>SUMIFS(BOM!Q:Q,BOM!A:A,'All Products'!A544,BOM!I:I,'All Products'!I$3)</f>
        <v>0.53353878254785336</v>
      </c>
      <c r="J544" s="49">
        <f>SUMIFS(BOM!Q:Q,BOM!A:A,'All Products'!A544,BOM!I:I,'All Products'!J$3)+0.03</f>
        <v>0.4</v>
      </c>
      <c r="K544" s="29">
        <f t="shared" si="121"/>
        <v>0.84102593022329131</v>
      </c>
      <c r="L544" s="49">
        <f>SUMIF(BOM!A:A,'All Products'!A544,BOM!S:S)</f>
        <v>0.42397850567938861</v>
      </c>
      <c r="M544" s="49">
        <f>SUMIF(BOM!A:A,'All Products'!A544,BOM!V:V)</f>
        <v>0.21833249999999998</v>
      </c>
      <c r="N544" s="29">
        <f t="shared" si="122"/>
        <v>0.5786585636751248</v>
      </c>
      <c r="O544" s="55">
        <v>0</v>
      </c>
      <c r="P544" s="49">
        <f t="shared" si="123"/>
        <v>1.575849788227242</v>
      </c>
      <c r="Q544" s="11">
        <f>G544-P544</f>
        <v>-0.46584978822724188</v>
      </c>
      <c r="R544" s="29">
        <f t="shared" si="124"/>
        <v>-0.41968449389841606</v>
      </c>
      <c r="S544" s="93">
        <v>0</v>
      </c>
      <c r="T544" s="91">
        <f t="shared" si="130"/>
        <v>0</v>
      </c>
      <c r="U544" s="90">
        <f t="shared" si="131"/>
        <v>0</v>
      </c>
      <c r="V544" s="90">
        <f t="shared" si="132"/>
        <v>0</v>
      </c>
      <c r="W544" s="90">
        <f t="shared" si="133"/>
        <v>0</v>
      </c>
      <c r="Y544" s="34">
        <f t="shared" si="125"/>
        <v>0.51933443013706904</v>
      </c>
      <c r="Z544" s="34"/>
      <c r="AA544" s="4"/>
      <c r="AB544" s="4"/>
      <c r="AE544" s="4"/>
    </row>
    <row r="545" spans="1:31" x14ac:dyDescent="0.25">
      <c r="A545" s="1" t="s">
        <v>1104</v>
      </c>
      <c r="B545" s="1" t="s">
        <v>552</v>
      </c>
      <c r="C545" s="1" t="s">
        <v>1105</v>
      </c>
      <c r="D545" s="1" t="s">
        <v>554</v>
      </c>
      <c r="E545" s="1">
        <f>VLOOKUP(A545,BOM!A:E,5,0)</f>
        <v>1</v>
      </c>
      <c r="F545" s="122">
        <v>3.02</v>
      </c>
      <c r="G545" s="145">
        <v>2.92</v>
      </c>
      <c r="H545" s="11" t="s">
        <v>1874</v>
      </c>
      <c r="I545" s="49">
        <f>SUMIFS(BOM!Q:Q,BOM!A:A,'All Products'!A545,BOM!I:I,'All Products'!I$3)</f>
        <v>1.1301038062283739</v>
      </c>
      <c r="J545" s="49">
        <f>SUMIFS(BOM!Q:Q,BOM!A:A,'All Products'!A545,BOM!I:I,'All Products'!J$3)+0.03</f>
        <v>0.4</v>
      </c>
      <c r="K545" s="29">
        <f t="shared" si="121"/>
        <v>0.52400815281793622</v>
      </c>
      <c r="L545" s="49">
        <f>SUMIF(BOM!A:A,'All Products'!A545,BOM!S:S)</f>
        <v>1.4055363321799308</v>
      </c>
      <c r="M545" s="49">
        <f>SUMIF(BOM!A:A,'All Products'!A545,BOM!V:V)</f>
        <v>0.21833249999999998</v>
      </c>
      <c r="N545" s="29">
        <f t="shared" si="122"/>
        <v>0.55611946307531879</v>
      </c>
      <c r="O545" s="55">
        <v>0</v>
      </c>
      <c r="P545" s="49">
        <f t="shared" si="123"/>
        <v>3.1539726384083044</v>
      </c>
      <c r="Q545" s="11">
        <v>0.4560743944636676</v>
      </c>
      <c r="R545" s="29">
        <f t="shared" si="124"/>
        <v>-8.0127615893254969E-2</v>
      </c>
      <c r="S545" s="93">
        <v>0</v>
      </c>
      <c r="T545" s="91">
        <f t="shared" si="130"/>
        <v>0</v>
      </c>
      <c r="U545" s="90">
        <f t="shared" si="131"/>
        <v>0</v>
      </c>
      <c r="V545" s="90">
        <f t="shared" si="132"/>
        <v>0</v>
      </c>
      <c r="W545" s="90">
        <f t="shared" si="133"/>
        <v>0</v>
      </c>
      <c r="Y545" s="34">
        <f t="shared" si="125"/>
        <v>0.61297814855192678</v>
      </c>
      <c r="Z545" s="34"/>
      <c r="AA545" s="4"/>
      <c r="AB545" s="4"/>
      <c r="AE545" s="4"/>
    </row>
    <row r="546" spans="1:31" x14ac:dyDescent="0.25">
      <c r="A546" s="1" t="s">
        <v>1106</v>
      </c>
      <c r="B546" s="1" t="s">
        <v>552</v>
      </c>
      <c r="C546" s="1" t="s">
        <v>1107</v>
      </c>
      <c r="D546" s="1" t="s">
        <v>554</v>
      </c>
      <c r="E546" s="1">
        <f>VLOOKUP(A546,BOM!A:E,5,0)</f>
        <v>2.5</v>
      </c>
      <c r="F546" s="122">
        <v>3.47</v>
      </c>
      <c r="G546" s="145">
        <v>3.64</v>
      </c>
      <c r="H546" s="11" t="s">
        <v>1874</v>
      </c>
      <c r="I546" s="49">
        <f>SUMIFS(BOM!Q:Q,BOM!A:A,'All Products'!A546,BOM!I:I,'All Products'!I$3)</f>
        <v>2.3686643835616441</v>
      </c>
      <c r="J546" s="49">
        <f>SUMIFS(BOM!Q:Q,BOM!A:A,'All Products'!A546,BOM!I:I,'All Products'!J$3)+0.03</f>
        <v>0.4</v>
      </c>
      <c r="K546" s="29">
        <f t="shared" si="121"/>
        <v>0.76062208339605597</v>
      </c>
      <c r="L546" s="49">
        <f>SUMIF(BOM!A:A,'All Products'!A546,BOM!S:S)</f>
        <v>0.16924999999999998</v>
      </c>
      <c r="M546" s="49">
        <f>SUMIF(BOM!A:A,'All Products'!A546,BOM!V:V)</f>
        <v>0.29618749999999999</v>
      </c>
      <c r="N546" s="29">
        <f t="shared" si="122"/>
        <v>0.12786744505494504</v>
      </c>
      <c r="O546" s="55">
        <v>0</v>
      </c>
      <c r="P546" s="49">
        <f t="shared" si="123"/>
        <v>3.2341018835616437</v>
      </c>
      <c r="Q546" s="11">
        <v>0.42412671232876642</v>
      </c>
      <c r="R546" s="29">
        <f t="shared" si="124"/>
        <v>0.111510471548999</v>
      </c>
      <c r="S546" s="93">
        <v>6</v>
      </c>
      <c r="T546" s="91">
        <f t="shared" si="130"/>
        <v>21.84</v>
      </c>
      <c r="U546" s="90">
        <f t="shared" si="131"/>
        <v>2.5447602739725985</v>
      </c>
      <c r="V546" s="90">
        <f t="shared" si="132"/>
        <v>2.4353886986301383</v>
      </c>
      <c r="W546" s="90">
        <f t="shared" si="133"/>
        <v>-0.10937157534246023</v>
      </c>
      <c r="Y546" s="34">
        <f t="shared" si="125"/>
        <v>0.34926802649405386</v>
      </c>
      <c r="Z546" s="34"/>
      <c r="AA546" s="4"/>
      <c r="AB546" s="4"/>
      <c r="AE546" s="4"/>
    </row>
    <row r="547" spans="1:31" x14ac:dyDescent="0.25">
      <c r="A547" s="1" t="s">
        <v>436</v>
      </c>
      <c r="B547" s="1" t="s">
        <v>552</v>
      </c>
      <c r="C547" s="1" t="s">
        <v>437</v>
      </c>
      <c r="D547" s="1" t="s">
        <v>554</v>
      </c>
      <c r="E547" s="1">
        <f>VLOOKUP(A547,BOM!A:E,5,0)</f>
        <v>2.5</v>
      </c>
      <c r="F547" s="122">
        <v>3.9</v>
      </c>
      <c r="G547" s="10">
        <v>3.55</v>
      </c>
      <c r="H547" s="11" t="s">
        <v>1874</v>
      </c>
      <c r="I547" s="49">
        <f>SUMIFS(BOM!Q:Q,BOM!A:A,'All Products'!A547,BOM!I:I,'All Products'!I$3)</f>
        <v>1.0302426842543382</v>
      </c>
      <c r="J547" s="49">
        <f>SUMIFS(BOM!Q:Q,BOM!A:A,'All Products'!A547,BOM!I:I,'All Products'!J$3)+0.03</f>
        <v>0.4</v>
      </c>
      <c r="K547" s="29">
        <f t="shared" si="121"/>
        <v>0.40288526317023615</v>
      </c>
      <c r="L547" s="49">
        <f>SUMIF(BOM!A:A,'All Products'!A547,BOM!S:S)</f>
        <v>2.2557725688886041</v>
      </c>
      <c r="M547" s="49">
        <f>SUMIF(BOM!A:A,'All Products'!A547,BOM!V:V)</f>
        <v>0.29618749999999999</v>
      </c>
      <c r="N547" s="29">
        <f t="shared" si="122"/>
        <v>0.71886199123622652</v>
      </c>
      <c r="O547" s="55">
        <v>0</v>
      </c>
      <c r="P547" s="49">
        <f t="shared" si="123"/>
        <v>3.9822027531429427</v>
      </c>
      <c r="Q547" s="11">
        <f t="shared" ref="Q547:Q557" si="134">G547-P547</f>
        <v>-0.43220275314294287</v>
      </c>
      <c r="R547" s="29">
        <f t="shared" si="124"/>
        <v>-0.12174725440646279</v>
      </c>
      <c r="S547" s="91">
        <v>851</v>
      </c>
      <c r="T547" s="91">
        <f t="shared" si="130"/>
        <v>3021.0499999999997</v>
      </c>
      <c r="U547" s="90">
        <f t="shared" si="131"/>
        <v>-367.80454292464441</v>
      </c>
      <c r="V547" s="90">
        <f t="shared" si="132"/>
        <v>-367.80454292464441</v>
      </c>
      <c r="W547" s="90">
        <f t="shared" si="133"/>
        <v>0</v>
      </c>
      <c r="Y547" s="34">
        <f t="shared" si="125"/>
        <v>0.70979079316779214</v>
      </c>
      <c r="Z547" s="34"/>
      <c r="AA547" s="4"/>
      <c r="AB547" s="4"/>
      <c r="AE547" s="4"/>
    </row>
    <row r="548" spans="1:31" x14ac:dyDescent="0.25">
      <c r="A548" s="1" t="s">
        <v>257</v>
      </c>
      <c r="B548" s="1" t="s">
        <v>656</v>
      </c>
      <c r="C548" s="1" t="s">
        <v>258</v>
      </c>
      <c r="D548" s="1" t="s">
        <v>554</v>
      </c>
      <c r="E548" s="1">
        <f>VLOOKUP(A548,BOM!A:E,5,0)</f>
        <v>2.5</v>
      </c>
      <c r="F548" s="122">
        <v>27.68</v>
      </c>
      <c r="G548" s="10">
        <v>28.71</v>
      </c>
      <c r="H548" s="11" t="s">
        <v>1874</v>
      </c>
      <c r="I548" s="49">
        <f>SUMIFS(BOM!Q:Q,BOM!A:A,'All Products'!A548,BOM!I:I,'All Products'!I$3)</f>
        <v>8.765625</v>
      </c>
      <c r="J548" s="49">
        <f>SUMIFS(BOM!Q:Q,BOM!A:A,'All Products'!A548,BOM!I:I,'All Products'!J$3)+0.03</f>
        <v>0.17</v>
      </c>
      <c r="K548" s="29">
        <f t="shared" si="121"/>
        <v>0.3112373737373737</v>
      </c>
      <c r="L548" s="49">
        <f>SUMIF(BOM!A:A,'All Products'!A548,BOM!S:S)</f>
        <v>6.3468749999999998</v>
      </c>
      <c r="M548" s="49">
        <f>SUMIF(BOM!A:A,'All Products'!A548,BOM!V:V)</f>
        <v>0.29618749999999999</v>
      </c>
      <c r="N548" s="29">
        <f t="shared" si="122"/>
        <v>0.23138497039359107</v>
      </c>
      <c r="O548" s="55">
        <v>0</v>
      </c>
      <c r="P548" s="49">
        <f t="shared" si="123"/>
        <v>15.578687500000001</v>
      </c>
      <c r="Q548" s="11">
        <f t="shared" si="134"/>
        <v>13.1313125</v>
      </c>
      <c r="R548" s="29">
        <f t="shared" si="124"/>
        <v>0.45737765586903517</v>
      </c>
      <c r="S548" s="91">
        <v>5.6</v>
      </c>
      <c r="T548" s="91">
        <f t="shared" si="130"/>
        <v>160.77599999999998</v>
      </c>
      <c r="U548" s="90">
        <f t="shared" si="131"/>
        <v>73.535349999999994</v>
      </c>
      <c r="V548" s="90">
        <f t="shared" si="132"/>
        <v>73.535349999999994</v>
      </c>
      <c r="W548" s="90">
        <f t="shared" si="133"/>
        <v>0</v>
      </c>
      <c r="Y548" s="34">
        <f t="shared" si="125"/>
        <v>0.69468390804597702</v>
      </c>
      <c r="Z548" s="34"/>
      <c r="AA548" s="4"/>
      <c r="AB548" s="4"/>
      <c r="AE548" s="4"/>
    </row>
    <row r="549" spans="1:31" x14ac:dyDescent="0.25">
      <c r="A549" s="1" t="s">
        <v>76</v>
      </c>
      <c r="B549" s="1" t="s">
        <v>656</v>
      </c>
      <c r="C549" s="1" t="s">
        <v>77</v>
      </c>
      <c r="D549" s="1" t="s">
        <v>1108</v>
      </c>
      <c r="E549" s="1">
        <f>VLOOKUP(A549,BOM!A:E,5,0)</f>
        <v>2.88</v>
      </c>
      <c r="F549" s="122">
        <v>8.1999999999999993</v>
      </c>
      <c r="G549" s="10">
        <v>8.26</v>
      </c>
      <c r="H549" s="11" t="s">
        <v>1874</v>
      </c>
      <c r="I549" s="49">
        <f>SUMIFS(BOM!Q:Q,BOM!A:A,'All Products'!A549,BOM!I:I,'All Products'!I$3)</f>
        <v>3.2256</v>
      </c>
      <c r="J549" s="49">
        <f>SUMIFS(BOM!Q:Q,BOM!A:A,'All Products'!A549,BOM!I:I,'All Products'!J$3)+0.03</f>
        <v>0.17</v>
      </c>
      <c r="K549" s="29">
        <f t="shared" si="121"/>
        <v>0.41108958837772397</v>
      </c>
      <c r="L549" s="49">
        <f>SUMIF(BOM!A:A,'All Products'!A549,BOM!S:S)</f>
        <v>4.8743999999999989E-2</v>
      </c>
      <c r="M549" s="49">
        <f>SUMIF(BOM!A:A,'All Products'!A549,BOM!V:V)</f>
        <v>0.27079999999999999</v>
      </c>
      <c r="N549" s="29">
        <f t="shared" si="122"/>
        <v>3.8685714285714289E-2</v>
      </c>
      <c r="O549" s="55">
        <v>0</v>
      </c>
      <c r="P549" s="49">
        <f t="shared" si="123"/>
        <v>3.715144</v>
      </c>
      <c r="Q549" s="11">
        <f t="shared" si="134"/>
        <v>4.5448559999999993</v>
      </c>
      <c r="R549" s="29">
        <f t="shared" si="124"/>
        <v>0.55022469733656165</v>
      </c>
      <c r="S549" s="91">
        <v>294.2</v>
      </c>
      <c r="T549" s="91">
        <f t="shared" si="130"/>
        <v>2430.0919999999996</v>
      </c>
      <c r="U549" s="90">
        <f t="shared" si="131"/>
        <v>1337.0966351999998</v>
      </c>
      <c r="V549" s="90">
        <f t="shared" si="132"/>
        <v>1337.0966351999998</v>
      </c>
      <c r="W549" s="90">
        <f t="shared" si="133"/>
        <v>0</v>
      </c>
      <c r="Y549" s="34">
        <f t="shared" si="125"/>
        <v>0.60949152542372875</v>
      </c>
      <c r="Z549" s="34"/>
      <c r="AA549" s="4"/>
      <c r="AB549" s="4"/>
      <c r="AE549" s="4"/>
    </row>
    <row r="550" spans="1:31" x14ac:dyDescent="0.25">
      <c r="A550" s="1" t="s">
        <v>508</v>
      </c>
      <c r="B550" s="1" t="s">
        <v>656</v>
      </c>
      <c r="C550" s="1" t="s">
        <v>509</v>
      </c>
      <c r="D550" s="1" t="s">
        <v>554</v>
      </c>
      <c r="E550" s="1">
        <f>VLOOKUP(A550,BOM!A:E,5,0)</f>
        <v>1</v>
      </c>
      <c r="F550" s="122">
        <v>11.15</v>
      </c>
      <c r="G550" s="10">
        <v>11.56</v>
      </c>
      <c r="H550" s="11" t="s">
        <v>1874</v>
      </c>
      <c r="I550" s="49">
        <f>SUMIFS(BOM!Q:Q,BOM!A:A,'All Products'!A550,BOM!I:I,'All Products'!I$3)</f>
        <v>3.5062499999999996</v>
      </c>
      <c r="J550" s="49">
        <f>SUMIFS(BOM!Q:Q,BOM!A:A,'All Products'!A550,BOM!I:I,'All Products'!J$3)+0.03</f>
        <v>0.17</v>
      </c>
      <c r="K550" s="29">
        <f t="shared" si="121"/>
        <v>0.31801470588235287</v>
      </c>
      <c r="L550" s="49">
        <f>SUMIF(BOM!A:A,'All Products'!A550,BOM!S:S)</f>
        <v>2.5387499999999998</v>
      </c>
      <c r="M550" s="49">
        <f>SUMIF(BOM!A:A,'All Products'!A550,BOM!V:V)</f>
        <v>0.21720416666666661</v>
      </c>
      <c r="N550" s="29">
        <f t="shared" si="122"/>
        <v>0.23840433967704724</v>
      </c>
      <c r="O550" s="55">
        <v>0</v>
      </c>
      <c r="P550" s="49">
        <f t="shared" si="123"/>
        <v>6.4322041666666658</v>
      </c>
      <c r="Q550" s="11">
        <f t="shared" si="134"/>
        <v>5.1277958333333347</v>
      </c>
      <c r="R550" s="29">
        <f t="shared" si="124"/>
        <v>0.44358095444059986</v>
      </c>
      <c r="S550" s="91">
        <v>2.8</v>
      </c>
      <c r="T550" s="91">
        <f t="shared" si="130"/>
        <v>32.368000000000002</v>
      </c>
      <c r="U550" s="90">
        <f t="shared" si="131"/>
        <v>14.357828333333336</v>
      </c>
      <c r="V550" s="90">
        <f t="shared" si="132"/>
        <v>14.357828333333336</v>
      </c>
      <c r="W550" s="90">
        <f t="shared" si="133"/>
        <v>0</v>
      </c>
      <c r="Y550" s="34">
        <f t="shared" si="125"/>
        <v>0.69669117647058831</v>
      </c>
      <c r="Z550" s="34"/>
      <c r="AA550" s="4"/>
      <c r="AB550" s="4"/>
      <c r="AE550" s="4"/>
    </row>
    <row r="551" spans="1:31" x14ac:dyDescent="0.25">
      <c r="A551" s="1" t="s">
        <v>539</v>
      </c>
      <c r="B551" s="1" t="s">
        <v>552</v>
      </c>
      <c r="C551" s="1" t="s">
        <v>540</v>
      </c>
      <c r="D551" s="1" t="s">
        <v>554</v>
      </c>
      <c r="E551" s="1">
        <f>VLOOKUP(A551,BOM!A:E,5,0)</f>
        <v>2.6</v>
      </c>
      <c r="F551" s="122">
        <v>23.29</v>
      </c>
      <c r="G551" s="10">
        <v>24</v>
      </c>
      <c r="H551" s="11" t="s">
        <v>1874</v>
      </c>
      <c r="I551" s="49">
        <f>SUMIFS(BOM!Q:Q,BOM!A:A,'All Products'!A551,BOM!I:I,'All Products'!I$3)</f>
        <v>6.7369696969696973</v>
      </c>
      <c r="J551" s="49">
        <f>SUMIFS(BOM!Q:Q,BOM!A:A,'All Products'!A551,BOM!I:I,'All Products'!J$3)+0.03</f>
        <v>0.51</v>
      </c>
      <c r="K551" s="29">
        <f t="shared" si="121"/>
        <v>0.30195707070707073</v>
      </c>
      <c r="L551" s="49">
        <f>SUMIF(BOM!A:A,'All Products'!A551,BOM!S:S)</f>
        <v>11.324363636363636</v>
      </c>
      <c r="M551" s="49">
        <f>SUMIF(BOM!A:A,'All Products'!A551,BOM!V:V)</f>
        <v>0.59237499999999998</v>
      </c>
      <c r="N551" s="29">
        <f t="shared" si="122"/>
        <v>0.49653077651515148</v>
      </c>
      <c r="O551" s="55">
        <v>0</v>
      </c>
      <c r="P551" s="49">
        <f t="shared" si="123"/>
        <v>19.163708333333332</v>
      </c>
      <c r="Q551" s="11">
        <f t="shared" si="134"/>
        <v>4.8362916666666678</v>
      </c>
      <c r="R551" s="29">
        <f t="shared" si="124"/>
        <v>0.20151215277777781</v>
      </c>
      <c r="S551" s="91">
        <v>234.2</v>
      </c>
      <c r="T551" s="91">
        <f t="shared" si="130"/>
        <v>5620.7999999999993</v>
      </c>
      <c r="U551" s="90">
        <f t="shared" si="131"/>
        <v>1132.6595083333336</v>
      </c>
      <c r="V551" s="90">
        <f t="shared" si="132"/>
        <v>1132.6595083333336</v>
      </c>
      <c r="W551" s="90">
        <f t="shared" si="133"/>
        <v>0</v>
      </c>
      <c r="Y551" s="34">
        <f t="shared" si="125"/>
        <v>0.71929292929292921</v>
      </c>
      <c r="Z551" s="34"/>
      <c r="AA551" s="4"/>
      <c r="AB551" s="4"/>
      <c r="AE551" s="4"/>
    </row>
    <row r="552" spans="1:31" x14ac:dyDescent="0.25">
      <c r="A552" s="1" t="s">
        <v>1109</v>
      </c>
      <c r="B552" s="1" t="s">
        <v>552</v>
      </c>
      <c r="C552" s="1" t="s">
        <v>1110</v>
      </c>
      <c r="D552" s="1" t="s">
        <v>554</v>
      </c>
      <c r="E552" s="1">
        <f>VLOOKUP(A552,BOM!A:E,5,0)</f>
        <v>2.5</v>
      </c>
      <c r="F552" s="122">
        <v>14.55</v>
      </c>
      <c r="G552" s="10">
        <v>15.03</v>
      </c>
      <c r="H552" s="11" t="s">
        <v>1874</v>
      </c>
      <c r="I552" s="49">
        <f>SUMIFS(BOM!Q:Q,BOM!A:A,'All Products'!A552,BOM!I:I,'All Products'!I$3)</f>
        <v>6.2961610329324316</v>
      </c>
      <c r="J552" s="49">
        <f>SUMIFS(BOM!Q:Q,BOM!A:A,'All Products'!A552,BOM!I:I,'All Products'!J$3)+0.03</f>
        <v>0.4</v>
      </c>
      <c r="K552" s="29">
        <f t="shared" si="121"/>
        <v>0.44551969613655568</v>
      </c>
      <c r="L552" s="49">
        <f>SUMIF(BOM!A:A,'All Products'!A552,BOM!S:S)</f>
        <v>1.19761322496494</v>
      </c>
      <c r="M552" s="49">
        <f>SUMIF(BOM!A:A,'All Products'!A552,BOM!V:V)</f>
        <v>0.29618749999999999</v>
      </c>
      <c r="N552" s="29">
        <f t="shared" si="122"/>
        <v>9.9387939119423827E-2</v>
      </c>
      <c r="O552" s="55">
        <v>0</v>
      </c>
      <c r="P552" s="49">
        <f t="shared" si="123"/>
        <v>8.1899617578973718</v>
      </c>
      <c r="Q552" s="11">
        <f t="shared" si="134"/>
        <v>6.8400382421026276</v>
      </c>
      <c r="R552" s="29">
        <f t="shared" si="124"/>
        <v>0.45509236474402048</v>
      </c>
      <c r="S552" s="91">
        <v>2</v>
      </c>
      <c r="T552" s="91">
        <f t="shared" si="130"/>
        <v>30.06</v>
      </c>
      <c r="U552" s="90">
        <f t="shared" si="131"/>
        <v>13.680076484205255</v>
      </c>
      <c r="V552" s="90">
        <f t="shared" si="132"/>
        <v>13.680076484205255</v>
      </c>
      <c r="W552" s="90">
        <f t="shared" si="133"/>
        <v>0</v>
      </c>
      <c r="Y552" s="34">
        <f t="shared" si="125"/>
        <v>0.58109374365053679</v>
      </c>
      <c r="Z552" s="34"/>
      <c r="AA552" s="4"/>
      <c r="AB552" s="4"/>
      <c r="AE552" s="4"/>
    </row>
    <row r="553" spans="1:31" x14ac:dyDescent="0.25">
      <c r="A553" s="2" t="s">
        <v>1868</v>
      </c>
      <c r="B553" s="1" t="s">
        <v>552</v>
      </c>
      <c r="C553" s="1" t="s">
        <v>1767</v>
      </c>
      <c r="D553" s="1" t="s">
        <v>554</v>
      </c>
      <c r="E553" s="1">
        <f>VLOOKUP(A553,BOM!A:E,5,0)</f>
        <v>5</v>
      </c>
      <c r="F553" s="122">
        <v>295.66000000000003</v>
      </c>
      <c r="G553" s="10">
        <v>301.23</v>
      </c>
      <c r="H553" s="11" t="s">
        <v>1874</v>
      </c>
      <c r="I553" s="49" t="e">
        <f>SUMIFS(BOM!Q:Q,BOM!A:A,'All Products'!A553,BOM!I:I,'All Products'!I$3)</f>
        <v>#N/A</v>
      </c>
      <c r="J553" s="49">
        <f>SUMIFS(BOM!Q:Q,BOM!A:A,'All Products'!A553,BOM!I:I,'All Products'!J$3)+0.03</f>
        <v>0.45000000000000007</v>
      </c>
      <c r="K553" s="29" t="e">
        <f t="shared" si="121"/>
        <v>#N/A</v>
      </c>
      <c r="L553" s="49">
        <f>SUMIF(BOM!A:A,'All Products'!A553,BOM!S:S)</f>
        <v>20.599506578947366</v>
      </c>
      <c r="M553" s="49">
        <f>SUMIF(BOM!A:A,'All Products'!A553,BOM!V:V)</f>
        <v>0.40112249999999999</v>
      </c>
      <c r="N553" s="29">
        <f t="shared" si="122"/>
        <v>6.9716260262747284E-2</v>
      </c>
      <c r="O553" s="55">
        <v>0</v>
      </c>
      <c r="P553" s="49" t="e">
        <f t="shared" si="123"/>
        <v>#N/A</v>
      </c>
      <c r="Q553" s="11" t="e">
        <f t="shared" si="134"/>
        <v>#N/A</v>
      </c>
      <c r="R553" s="29">
        <f t="shared" si="124"/>
        <v>0</v>
      </c>
      <c r="S553" s="91">
        <v>16.8</v>
      </c>
      <c r="T553" s="91">
        <f t="shared" si="130"/>
        <v>5060.6640000000007</v>
      </c>
      <c r="U553" s="90">
        <f t="shared" si="131"/>
        <v>0</v>
      </c>
      <c r="V553" s="90" t="e">
        <f t="shared" si="132"/>
        <v>#N/A</v>
      </c>
      <c r="W553" s="90" t="e">
        <f t="shared" si="133"/>
        <v>#N/A</v>
      </c>
      <c r="X553" t="s">
        <v>4335</v>
      </c>
      <c r="Y553" s="34" t="e">
        <f t="shared" si="125"/>
        <v>#N/A</v>
      </c>
      <c r="Z553" s="34"/>
      <c r="AE553" s="4"/>
    </row>
    <row r="554" spans="1:31" x14ac:dyDescent="0.25">
      <c r="A554" s="1" t="s">
        <v>1859</v>
      </c>
      <c r="B554" s="1" t="s">
        <v>552</v>
      </c>
      <c r="C554" s="1" t="s">
        <v>1891</v>
      </c>
      <c r="D554" s="1" t="s">
        <v>554</v>
      </c>
      <c r="E554" s="1">
        <f>VLOOKUP(A554,BOM!A:E,5,0)</f>
        <v>2.5</v>
      </c>
      <c r="F554" s="122">
        <v>7.79</v>
      </c>
      <c r="G554" s="10">
        <v>7.7</v>
      </c>
      <c r="H554" s="11" t="s">
        <v>1874</v>
      </c>
      <c r="I554" s="49">
        <f>SUMIFS(BOM!Q:Q,BOM!A:A,'All Products'!A554,BOM!I:I,'All Products'!I$3)</f>
        <v>2.2374613401535361</v>
      </c>
      <c r="J554" s="49">
        <f>SUMIFS(BOM!Q:Q,BOM!A:A,'All Products'!A554,BOM!I:I,'All Products'!J$3)+0.03</f>
        <v>0.45000000000000007</v>
      </c>
      <c r="K554" s="29">
        <f t="shared" si="121"/>
        <v>0.34902095326669302</v>
      </c>
      <c r="L554" s="49">
        <f>SUMIF(BOM!A:A,'All Products'!A554,BOM!S:S)</f>
        <v>1.4603707123489524</v>
      </c>
      <c r="M554" s="49">
        <f>SUMIF(BOM!A:A,'All Products'!A554,BOM!V:V)</f>
        <v>0.29618749999999999</v>
      </c>
      <c r="N554" s="29">
        <f t="shared" si="122"/>
        <v>0.22812444316220162</v>
      </c>
      <c r="O554" s="55">
        <v>0</v>
      </c>
      <c r="P554" s="49">
        <f t="shared" si="123"/>
        <v>4.444019552502489</v>
      </c>
      <c r="Q554" s="11">
        <f t="shared" si="134"/>
        <v>3.2559804474975111</v>
      </c>
      <c r="R554" s="29">
        <f t="shared" si="124"/>
        <v>0.42285460357110533</v>
      </c>
      <c r="S554" s="91">
        <v>13.6</v>
      </c>
      <c r="T554" s="91">
        <f t="shared" si="130"/>
        <v>104.72</v>
      </c>
      <c r="U554" s="90">
        <f t="shared" si="131"/>
        <v>44.281334085966151</v>
      </c>
      <c r="V554" s="90">
        <f t="shared" si="132"/>
        <v>44.281334085966151</v>
      </c>
      <c r="W554" s="90">
        <f t="shared" si="133"/>
        <v>0</v>
      </c>
      <c r="Y554" s="34">
        <f t="shared" si="125"/>
        <v>0.70942060517486549</v>
      </c>
      <c r="Z554" s="34"/>
      <c r="AE554" s="4"/>
    </row>
    <row r="555" spans="1:31" x14ac:dyDescent="0.25">
      <c r="A555" s="1" t="s">
        <v>1860</v>
      </c>
      <c r="B555" s="1" t="s">
        <v>552</v>
      </c>
      <c r="C555" s="1" t="s">
        <v>1892</v>
      </c>
      <c r="D555" s="1" t="s">
        <v>554</v>
      </c>
      <c r="E555" s="1">
        <f>VLOOKUP(A555,BOM!A:E,5,0)</f>
        <v>2.5</v>
      </c>
      <c r="F555" s="122">
        <v>4.49</v>
      </c>
      <c r="G555" s="10">
        <v>4.5199999999999996</v>
      </c>
      <c r="H555" s="11" t="s">
        <v>1874</v>
      </c>
      <c r="I555" s="49">
        <f>SUMIFS(BOM!Q:Q,BOM!A:A,'All Products'!A555,BOM!I:I,'All Products'!I$3)</f>
        <v>2.3952144967842868</v>
      </c>
      <c r="J555" s="49">
        <f>SUMIFS(BOM!Q:Q,BOM!A:A,'All Products'!A555,BOM!I:I,'All Products'!J$3)+0.03</f>
        <v>0.45000000000000007</v>
      </c>
      <c r="K555" s="29">
        <f t="shared" si="121"/>
        <v>0.62947223380183348</v>
      </c>
      <c r="L555" s="49">
        <f>SUMIF(BOM!A:A,'All Products'!A555,BOM!S:S)</f>
        <v>1.1001249999999998</v>
      </c>
      <c r="M555" s="49">
        <f>SUMIF(BOM!A:A,'All Products'!A555,BOM!V:V)</f>
        <v>0.29618749999999999</v>
      </c>
      <c r="N555" s="29">
        <f t="shared" si="122"/>
        <v>0.30891869469026551</v>
      </c>
      <c r="O555" s="55">
        <v>0</v>
      </c>
      <c r="P555" s="49">
        <f t="shared" si="123"/>
        <v>4.2415269967842866</v>
      </c>
      <c r="Q555" s="11">
        <f t="shared" si="134"/>
        <v>0.278473003215713</v>
      </c>
      <c r="R555" s="29">
        <f t="shared" si="124"/>
        <v>6.1609071507901111E-2</v>
      </c>
      <c r="S555" s="91">
        <v>4.8</v>
      </c>
      <c r="T555" s="91">
        <f t="shared" si="130"/>
        <v>21.695999999999998</v>
      </c>
      <c r="U555" s="90">
        <f t="shared" si="131"/>
        <v>1.3366704154354223</v>
      </c>
      <c r="V555" s="90">
        <f t="shared" si="132"/>
        <v>1.3366704154354223</v>
      </c>
      <c r="W555" s="90">
        <f t="shared" si="133"/>
        <v>0</v>
      </c>
      <c r="Y555" s="34">
        <f t="shared" si="125"/>
        <v>0.47008528832206042</v>
      </c>
      <c r="Z555" s="34"/>
      <c r="AE555" s="4"/>
    </row>
    <row r="556" spans="1:31" x14ac:dyDescent="0.25">
      <c r="A556" s="1" t="s">
        <v>1855</v>
      </c>
      <c r="B556" s="1" t="s">
        <v>552</v>
      </c>
      <c r="C556" s="1" t="s">
        <v>1893</v>
      </c>
      <c r="D556" s="1" t="s">
        <v>554</v>
      </c>
      <c r="E556" s="1">
        <f>VLOOKUP(A556,BOM!A:E,5,0)</f>
        <v>2.5</v>
      </c>
      <c r="F556" s="122">
        <v>10.38</v>
      </c>
      <c r="G556" s="10">
        <v>9.9700000000000006</v>
      </c>
      <c r="H556" s="11" t="s">
        <v>1874</v>
      </c>
      <c r="I556" s="49">
        <f>SUMIFS(BOM!Q:Q,BOM!A:A,'All Products'!A556,BOM!I:I,'All Products'!I$3)</f>
        <v>2.6669050598962989</v>
      </c>
      <c r="J556" s="49">
        <f>SUMIFS(BOM!Q:Q,BOM!A:A,'All Products'!A556,BOM!I:I,'All Products'!J$3)+0.03</f>
        <v>0.45000000000000007</v>
      </c>
      <c r="K556" s="29">
        <f t="shared" si="121"/>
        <v>0.31262839116311925</v>
      </c>
      <c r="L556" s="49">
        <f>SUMIF(BOM!A:A,'All Products'!A556,BOM!S:S)</f>
        <v>1.5294131652661063</v>
      </c>
      <c r="M556" s="49">
        <f>SUMIF(BOM!A:A,'All Products'!A556,BOM!V:V)</f>
        <v>0.29618749999999999</v>
      </c>
      <c r="N556" s="29">
        <f t="shared" si="122"/>
        <v>0.18310939471074286</v>
      </c>
      <c r="O556" s="55">
        <v>0</v>
      </c>
      <c r="P556" s="49">
        <f t="shared" si="123"/>
        <v>4.9425057251624054</v>
      </c>
      <c r="Q556" s="11">
        <f t="shared" si="134"/>
        <v>5.0274942748375953</v>
      </c>
      <c r="R556" s="29">
        <f t="shared" si="124"/>
        <v>0.50426221412613792</v>
      </c>
      <c r="S556" s="91">
        <v>7</v>
      </c>
      <c r="T556" s="91">
        <f t="shared" si="130"/>
        <v>69.790000000000006</v>
      </c>
      <c r="U556" s="90">
        <f t="shared" si="131"/>
        <v>35.192459923863169</v>
      </c>
      <c r="V556" s="90">
        <f t="shared" si="132"/>
        <v>35.192459923863169</v>
      </c>
      <c r="W556" s="90">
        <f t="shared" si="133"/>
        <v>0</v>
      </c>
      <c r="Y556" s="34">
        <f t="shared" si="125"/>
        <v>0.73250701505553673</v>
      </c>
      <c r="Z556" s="34"/>
      <c r="AE556" s="4"/>
    </row>
    <row r="557" spans="1:31" x14ac:dyDescent="0.25">
      <c r="A557" s="1" t="s">
        <v>1861</v>
      </c>
      <c r="B557" s="1" t="s">
        <v>552</v>
      </c>
      <c r="C557" s="1" t="s">
        <v>1762</v>
      </c>
      <c r="D557" s="1" t="s">
        <v>554</v>
      </c>
      <c r="E557" s="1">
        <f>VLOOKUP(A557,BOM!A:E,5,0)</f>
        <v>2.5</v>
      </c>
      <c r="F557" s="122">
        <v>22.14</v>
      </c>
      <c r="G557" s="10">
        <v>22.76</v>
      </c>
      <c r="H557" s="11" t="s">
        <v>1874</v>
      </c>
      <c r="I557" s="49">
        <f>SUMIFS(BOM!Q:Q,BOM!A:A,'All Products'!A557,BOM!I:I,'All Products'!I$3)</f>
        <v>8.5515829494772273</v>
      </c>
      <c r="J557" s="49">
        <f>SUMIFS(BOM!Q:Q,BOM!A:A,'All Products'!A557,BOM!I:I,'All Products'!J$3)+0.03</f>
        <v>0.4</v>
      </c>
      <c r="K557" s="29">
        <f t="shared" si="121"/>
        <v>0.39330329303502753</v>
      </c>
      <c r="L557" s="49">
        <f>SUMIF(BOM!A:A,'All Products'!A557,BOM!S:S)</f>
        <v>3.6010638297872344</v>
      </c>
      <c r="M557" s="49">
        <f>SUMIF(BOM!A:A,'All Products'!A557,BOM!V:V)</f>
        <v>0.29618749999999999</v>
      </c>
      <c r="N557" s="29">
        <f t="shared" si="122"/>
        <v>0.17123248373406125</v>
      </c>
      <c r="O557" s="55">
        <v>0</v>
      </c>
      <c r="P557" s="49">
        <f t="shared" si="123"/>
        <v>12.848834279264462</v>
      </c>
      <c r="Q557" s="11">
        <f t="shared" si="134"/>
        <v>9.9111657207355393</v>
      </c>
      <c r="R557" s="29">
        <f t="shared" si="124"/>
        <v>0.43546422323091116</v>
      </c>
      <c r="S557" s="91">
        <v>180</v>
      </c>
      <c r="T557" s="91">
        <f t="shared" si="130"/>
        <v>4096.8</v>
      </c>
      <c r="U557" s="90">
        <f t="shared" si="131"/>
        <v>1784.0098297323971</v>
      </c>
      <c r="V557" s="90">
        <f t="shared" si="132"/>
        <v>1784.0098297323971</v>
      </c>
      <c r="W557" s="90">
        <f t="shared" si="133"/>
        <v>0</v>
      </c>
      <c r="Y557" s="34">
        <f t="shared" si="125"/>
        <v>0.6242713994078547</v>
      </c>
      <c r="Z557" s="34"/>
      <c r="AE557" s="4"/>
    </row>
    <row r="558" spans="1:31" x14ac:dyDescent="0.25">
      <c r="A558" s="1" t="s">
        <v>1898</v>
      </c>
      <c r="B558" s="1" t="s">
        <v>552</v>
      </c>
      <c r="C558" s="1" t="s">
        <v>1899</v>
      </c>
      <c r="D558" s="1" t="s">
        <v>554</v>
      </c>
      <c r="E558" s="1">
        <f>VLOOKUP(A558,BOM!A:E,5,0)</f>
        <v>1</v>
      </c>
      <c r="F558" s="122">
        <v>3.7415046296296297</v>
      </c>
      <c r="G558" s="145">
        <v>3.99</v>
      </c>
      <c r="H558" s="11" t="s">
        <v>1874</v>
      </c>
      <c r="I558" s="49">
        <f>SUMIFS(BOM!Q:Q,BOM!A:A,'All Products'!A558,BOM!I:I,'All Products'!I$3)</f>
        <v>1.0185185185185184</v>
      </c>
      <c r="J558" s="49">
        <f>SUMIFS(BOM!Q:Q,BOM!A:A,'All Products'!A558,BOM!I:I,'All Products'!J$3)+0.03</f>
        <v>0.45000000000000007</v>
      </c>
      <c r="K558" s="29">
        <f t="shared" si="121"/>
        <v>0.36804975401466622</v>
      </c>
      <c r="L558" s="49">
        <f>SUMIF(BOM!A:A,'All Products'!A558,BOM!S:S)</f>
        <v>1.2219849999999999</v>
      </c>
      <c r="M558" s="49">
        <f>SUMIF(BOM!A:A,'All Products'!A558,BOM!V:V)</f>
        <v>0.21833249999999998</v>
      </c>
      <c r="N558" s="29">
        <f t="shared" si="122"/>
        <v>0.36098182957393482</v>
      </c>
      <c r="O558" s="55">
        <v>0</v>
      </c>
      <c r="P558" s="49">
        <f t="shared" si="123"/>
        <v>2.9088360185185183</v>
      </c>
      <c r="Q558" s="11">
        <v>1.2184166666666667</v>
      </c>
      <c r="R558" s="29">
        <f t="shared" si="124"/>
        <v>0.27096841641139896</v>
      </c>
      <c r="S558" s="93">
        <v>61.4</v>
      </c>
      <c r="T558" s="91">
        <f t="shared" si="130"/>
        <v>244.98600000000002</v>
      </c>
      <c r="U558" s="90">
        <f t="shared" si="131"/>
        <v>74.810783333333333</v>
      </c>
      <c r="V558" s="90">
        <f t="shared" si="132"/>
        <v>66.383468462962995</v>
      </c>
      <c r="W558" s="90">
        <f t="shared" si="133"/>
        <v>-8.4273148703703384</v>
      </c>
      <c r="Y558" s="34">
        <f t="shared" si="125"/>
        <v>0.74473220087255187</v>
      </c>
      <c r="Z558" s="34"/>
      <c r="AE558" s="4"/>
    </row>
    <row r="559" spans="1:31" x14ac:dyDescent="0.25">
      <c r="A559" s="1" t="s">
        <v>1900</v>
      </c>
      <c r="B559" s="1" t="s">
        <v>552</v>
      </c>
      <c r="C559" s="1" t="s">
        <v>1901</v>
      </c>
      <c r="D559" s="1" t="s">
        <v>554</v>
      </c>
      <c r="E559" s="1">
        <f>VLOOKUP(A559,BOM!A:E,5,0)</f>
        <v>5</v>
      </c>
      <c r="F559" s="110">
        <v>12.179471391497776</v>
      </c>
      <c r="G559" s="145">
        <v>13.48</v>
      </c>
      <c r="H559" s="11" t="s">
        <v>1874</v>
      </c>
      <c r="I559" s="49">
        <f>SUMIFS(BOM!Q:Q,BOM!A:A,'All Products'!A559,BOM!I:I,'All Products'!I$3)</f>
        <v>5.403484923381118</v>
      </c>
      <c r="J559" s="49">
        <f>SUMIFS(BOM!Q:Q,BOM!A:A,'All Products'!A559,BOM!I:I,'All Products'!J$3)+0.03</f>
        <v>0.46000000000000008</v>
      </c>
      <c r="K559" s="29">
        <f t="shared" si="121"/>
        <v>0.43497662636358442</v>
      </c>
      <c r="L559" s="49">
        <f>SUMIF(BOM!A:A,'All Products'!A559,BOM!S:S)</f>
        <v>5.7089455635195252</v>
      </c>
      <c r="M559" s="49">
        <f>SUMIF(BOM!A:A,'All Products'!A559,BOM!V:V)</f>
        <v>0.40112249999999999</v>
      </c>
      <c r="N559" s="29">
        <f t="shared" si="122"/>
        <v>0.45326914417800629</v>
      </c>
      <c r="O559" s="55">
        <v>0</v>
      </c>
      <c r="P559" s="49">
        <f t="shared" si="123"/>
        <v>11.973552986900643</v>
      </c>
      <c r="Q559" s="11">
        <v>1.996855783489865</v>
      </c>
      <c r="R559" s="29">
        <f t="shared" si="124"/>
        <v>0.11175422945840932</v>
      </c>
      <c r="S559" s="93">
        <v>280.60000000000002</v>
      </c>
      <c r="T559" s="91">
        <f t="shared" si="130"/>
        <v>3782.4880000000003</v>
      </c>
      <c r="U559" s="90">
        <f t="shared" si="131"/>
        <v>560.31773284725614</v>
      </c>
      <c r="V559" s="90">
        <f t="shared" si="132"/>
        <v>422.70903187567978</v>
      </c>
      <c r="W559" s="90">
        <f t="shared" si="133"/>
        <v>-137.60870097157635</v>
      </c>
      <c r="Y559" s="34">
        <f t="shared" si="125"/>
        <v>0.59914800271653423</v>
      </c>
      <c r="Z559" s="34"/>
      <c r="AE559" s="4"/>
    </row>
    <row r="560" spans="1:31" x14ac:dyDescent="0.25">
      <c r="A560" s="1" t="s">
        <v>4303</v>
      </c>
      <c r="B560" s="1" t="s">
        <v>656</v>
      </c>
      <c r="C560" s="1" t="s">
        <v>4304</v>
      </c>
      <c r="D560" s="1" t="s">
        <v>554</v>
      </c>
      <c r="E560" s="1">
        <f>VLOOKUP(A560,BOM!A:E,5,0)</f>
        <v>2.5</v>
      </c>
      <c r="F560" s="122">
        <v>25.54</v>
      </c>
      <c r="G560" s="10">
        <v>26.29</v>
      </c>
      <c r="H560" s="11" t="s">
        <v>1874</v>
      </c>
      <c r="I560" s="49">
        <f>SUMIFS(BOM!Q:Q,BOM!A:A,'All Products'!A560,BOM!I:I,'All Products'!I$3)</f>
        <v>9.4600000000000009</v>
      </c>
      <c r="J560" s="49">
        <f>SUMIFS(BOM!Q:Q,BOM!A:A,'All Products'!A560,BOM!I:I,'All Products'!J$3)+0.03</f>
        <v>0.17</v>
      </c>
      <c r="K560" s="29">
        <f t="shared" si="121"/>
        <v>0.3662989729935337</v>
      </c>
      <c r="L560" s="49">
        <f>SUMIF(BOM!A:A,'All Products'!A560,BOM!S:S)</f>
        <v>5.7121874999999989</v>
      </c>
      <c r="M560" s="49">
        <f>SUMIF(BOM!A:A,'All Products'!A560,BOM!V:V)</f>
        <v>0.29618749999999999</v>
      </c>
      <c r="N560" s="29">
        <f t="shared" si="122"/>
        <v>0.22854222137694938</v>
      </c>
      <c r="O560" s="55">
        <v>0</v>
      </c>
      <c r="P560" s="49">
        <f t="shared" si="123"/>
        <v>15.638375</v>
      </c>
      <c r="Q560" s="11">
        <f t="shared" ref="Q560:Q581" si="135">G560-P560</f>
        <v>10.651624999999999</v>
      </c>
      <c r="R560" s="29">
        <f t="shared" si="124"/>
        <v>0.40515880562951689</v>
      </c>
      <c r="S560" s="91">
        <v>0</v>
      </c>
      <c r="T560" s="91">
        <f t="shared" si="130"/>
        <v>0</v>
      </c>
      <c r="U560" s="90">
        <f t="shared" si="131"/>
        <v>0</v>
      </c>
      <c r="V560" s="90">
        <f t="shared" si="132"/>
        <v>0</v>
      </c>
      <c r="W560" s="90">
        <f t="shared" si="133"/>
        <v>0</v>
      </c>
      <c r="Y560" s="34">
        <f t="shared" si="125"/>
        <v>0.64016736401673635</v>
      </c>
      <c r="Z560" s="34"/>
      <c r="AE560" s="4"/>
    </row>
    <row r="561" spans="1:31" x14ac:dyDescent="0.25">
      <c r="A561" s="1" t="s">
        <v>4305</v>
      </c>
      <c r="B561" s="1" t="s">
        <v>656</v>
      </c>
      <c r="C561" s="1" t="s">
        <v>4306</v>
      </c>
      <c r="D561" s="1" t="s">
        <v>554</v>
      </c>
      <c r="E561" s="1">
        <f>VLOOKUP(A561,BOM!A:E,5,0)</f>
        <v>1</v>
      </c>
      <c r="F561" s="122">
        <v>10.220000000000001</v>
      </c>
      <c r="G561" s="10">
        <v>10.52</v>
      </c>
      <c r="H561" s="11" t="s">
        <v>1874</v>
      </c>
      <c r="I561" s="49">
        <f>SUMIFS(BOM!Q:Q,BOM!A:A,'All Products'!A561,BOM!I:I,'All Products'!I$3)</f>
        <v>3.7839999999999998</v>
      </c>
      <c r="J561" s="49">
        <f>SUMIFS(BOM!Q:Q,BOM!A:A,'All Products'!A561,BOM!I:I,'All Products'!J$3)+0.03</f>
        <v>0.17</v>
      </c>
      <c r="K561" s="29">
        <f t="shared" si="121"/>
        <v>0.37585551330798478</v>
      </c>
      <c r="L561" s="49">
        <f>SUMIF(BOM!A:A,'All Products'!A561,BOM!S:S)</f>
        <v>2.2848749999999995</v>
      </c>
      <c r="M561" s="49">
        <f>SUMIF(BOM!A:A,'All Products'!A561,BOM!V:V)</f>
        <v>0.21833249999999998</v>
      </c>
      <c r="N561" s="29">
        <f t="shared" si="122"/>
        <v>0.23794748098859311</v>
      </c>
      <c r="O561" s="55">
        <v>0</v>
      </c>
      <c r="P561" s="49">
        <f t="shared" si="123"/>
        <v>6.4572074999999991</v>
      </c>
      <c r="Q561" s="11">
        <f t="shared" si="135"/>
        <v>4.0627925000000005</v>
      </c>
      <c r="R561" s="29">
        <f t="shared" si="124"/>
        <v>0.38619700570342214</v>
      </c>
      <c r="S561" s="91">
        <v>0</v>
      </c>
      <c r="T561" s="91">
        <f t="shared" si="130"/>
        <v>0</v>
      </c>
      <c r="U561" s="90">
        <f t="shared" si="131"/>
        <v>0</v>
      </c>
      <c r="V561" s="90">
        <f t="shared" si="132"/>
        <v>0</v>
      </c>
      <c r="W561" s="90">
        <f t="shared" si="133"/>
        <v>0</v>
      </c>
      <c r="Y561" s="34">
        <f t="shared" si="125"/>
        <v>0.64030418250950571</v>
      </c>
      <c r="Z561" s="34"/>
      <c r="AE561" s="4"/>
    </row>
    <row r="562" spans="1:31" x14ac:dyDescent="0.25">
      <c r="A562" s="1" t="s">
        <v>4307</v>
      </c>
      <c r="B562" s="1" t="s">
        <v>656</v>
      </c>
      <c r="C562" s="1" t="s">
        <v>4308</v>
      </c>
      <c r="D562" s="1" t="s">
        <v>554</v>
      </c>
      <c r="E562" s="1">
        <f>VLOOKUP(A562,BOM!A:E,5,0)</f>
        <v>2.5</v>
      </c>
      <c r="F562" s="122">
        <v>18.38</v>
      </c>
      <c r="G562" s="10">
        <v>18.43</v>
      </c>
      <c r="H562" s="11" t="s">
        <v>1874</v>
      </c>
      <c r="I562" s="49">
        <f>SUMIFS(BOM!Q:Q,BOM!A:A,'All Products'!A562,BOM!I:I,'All Products'!I$3)</f>
        <v>1.7028985507246377</v>
      </c>
      <c r="J562" s="49">
        <f>SUMIFS(BOM!Q:Q,BOM!A:A,'All Products'!A562,BOM!I:I,'All Products'!J$3)+0.03</f>
        <v>0.17</v>
      </c>
      <c r="K562" s="29">
        <f t="shared" si="121"/>
        <v>0.10162227621945945</v>
      </c>
      <c r="L562" s="49">
        <f>SUMIF(BOM!A:A,'All Products'!A562,BOM!S:S)</f>
        <v>3.5457875000000003</v>
      </c>
      <c r="M562" s="49">
        <f>SUMIF(BOM!A:A,'All Products'!A562,BOM!V:V)</f>
        <v>0.29618749999999999</v>
      </c>
      <c r="N562" s="29">
        <f t="shared" si="122"/>
        <v>0.20846310363537712</v>
      </c>
      <c r="O562" s="55">
        <v>0</v>
      </c>
      <c r="P562" s="49">
        <f t="shared" si="123"/>
        <v>5.7148735507246382</v>
      </c>
      <c r="Q562" s="11">
        <f t="shared" si="135"/>
        <v>12.715126449275362</v>
      </c>
      <c r="R562" s="29">
        <f t="shared" si="124"/>
        <v>0.68991462014516336</v>
      </c>
      <c r="S562" s="91">
        <v>22.2</v>
      </c>
      <c r="T562" s="91">
        <f t="shared" si="130"/>
        <v>409.14599999999996</v>
      </c>
      <c r="U562" s="90">
        <f t="shared" si="131"/>
        <v>282.27580717391299</v>
      </c>
      <c r="V562" s="90">
        <f t="shared" si="132"/>
        <v>282.27580717391299</v>
      </c>
      <c r="W562" s="90">
        <f t="shared" si="133"/>
        <v>0</v>
      </c>
      <c r="Y562" s="34">
        <f t="shared" si="125"/>
        <v>0.90760181493626491</v>
      </c>
      <c r="Z562" s="34"/>
      <c r="AE562" s="4"/>
    </row>
    <row r="563" spans="1:31" x14ac:dyDescent="0.25">
      <c r="A563" s="1" t="s">
        <v>4309</v>
      </c>
      <c r="B563" s="1" t="s">
        <v>656</v>
      </c>
      <c r="C563" s="1" t="s">
        <v>4310</v>
      </c>
      <c r="D563" s="1" t="s">
        <v>554</v>
      </c>
      <c r="E563" s="1">
        <f>VLOOKUP(A563,BOM!A:E,5,0)</f>
        <v>1</v>
      </c>
      <c r="F563" s="122">
        <v>7.36</v>
      </c>
      <c r="G563" s="10">
        <v>7.38</v>
      </c>
      <c r="H563" s="11" t="s">
        <v>1874</v>
      </c>
      <c r="I563" s="49">
        <f>SUMIFS(BOM!Q:Q,BOM!A:A,'All Products'!A563,BOM!I:I,'All Products'!I$3)</f>
        <v>0.6811594202898551</v>
      </c>
      <c r="J563" s="49">
        <f>SUMIFS(BOM!Q:Q,BOM!A:A,'All Products'!A563,BOM!I:I,'All Products'!J$3)+0.03</f>
        <v>0.17</v>
      </c>
      <c r="K563" s="29">
        <f t="shared" si="121"/>
        <v>0.11533325478182319</v>
      </c>
      <c r="L563" s="49">
        <f>SUMIF(BOM!A:A,'All Products'!A563,BOM!S:S)</f>
        <v>1.418315</v>
      </c>
      <c r="M563" s="49">
        <f>SUMIF(BOM!A:A,'All Products'!A563,BOM!V:V)</f>
        <v>0.21833249999999998</v>
      </c>
      <c r="N563" s="29">
        <f t="shared" si="122"/>
        <v>0.2217679539295393</v>
      </c>
      <c r="O563" s="55">
        <v>0</v>
      </c>
      <c r="P563" s="49">
        <f t="shared" si="123"/>
        <v>2.487806920289855</v>
      </c>
      <c r="Q563" s="11">
        <f t="shared" si="135"/>
        <v>4.8921930797101449</v>
      </c>
      <c r="R563" s="29">
        <f t="shared" si="124"/>
        <v>0.66289879128863749</v>
      </c>
      <c r="S563" s="91">
        <v>0</v>
      </c>
      <c r="T563" s="91">
        <f t="shared" si="130"/>
        <v>0</v>
      </c>
      <c r="U563" s="90">
        <f t="shared" si="131"/>
        <v>0</v>
      </c>
      <c r="V563" s="90">
        <f t="shared" si="132"/>
        <v>0</v>
      </c>
      <c r="W563" s="90">
        <f t="shared" si="133"/>
        <v>0</v>
      </c>
      <c r="Y563" s="34">
        <f t="shared" si="125"/>
        <v>0.90770197557048027</v>
      </c>
      <c r="Z563" s="34"/>
      <c r="AE563" s="4"/>
    </row>
    <row r="564" spans="1:31" x14ac:dyDescent="0.25">
      <c r="A564" s="1" t="s">
        <v>1858</v>
      </c>
      <c r="B564" s="1" t="s">
        <v>552</v>
      </c>
      <c r="C564" s="1" t="s">
        <v>1761</v>
      </c>
      <c r="D564" s="1" t="s">
        <v>554</v>
      </c>
      <c r="E564" s="1">
        <f>VLOOKUP(A564,BOM!A:E,5,0)</f>
        <v>2.5</v>
      </c>
      <c r="F564" s="122">
        <v>14.25</v>
      </c>
      <c r="G564" s="10">
        <v>14.42</v>
      </c>
      <c r="H564" s="11" t="s">
        <v>1874</v>
      </c>
      <c r="I564" s="49">
        <f>SUMIFS(BOM!Q:Q,BOM!A:A,'All Products'!A564,BOM!I:I,'All Products'!I$3)</f>
        <v>6.8814432989690726</v>
      </c>
      <c r="J564" s="49">
        <f>SUMIFS(BOM!Q:Q,BOM!A:A,'All Products'!A564,BOM!I:I,'All Products'!J$3)+0.03</f>
        <v>0.45000000000000007</v>
      </c>
      <c r="K564" s="29">
        <f t="shared" si="121"/>
        <v>0.5084218653931396</v>
      </c>
      <c r="L564" s="49">
        <f>SUMIF(BOM!A:A,'All Products'!A564,BOM!S:S)</f>
        <v>1.7448453608247423</v>
      </c>
      <c r="M564" s="49">
        <f>SUMIF(BOM!A:A,'All Products'!A564,BOM!V:V)</f>
        <v>0.29618749999999999</v>
      </c>
      <c r="N564" s="29">
        <f t="shared" si="122"/>
        <v>0.14154180726939961</v>
      </c>
      <c r="O564" s="55">
        <v>0</v>
      </c>
      <c r="P564" s="49">
        <f t="shared" si="123"/>
        <v>9.3724761597938162</v>
      </c>
      <c r="Q564" s="11">
        <f t="shared" si="135"/>
        <v>5.0475238402061837</v>
      </c>
      <c r="R564" s="29">
        <f t="shared" si="124"/>
        <v>0.35003632733746071</v>
      </c>
      <c r="S564" s="93">
        <v>1</v>
      </c>
      <c r="T564" s="91">
        <f t="shared" si="130"/>
        <v>14.42</v>
      </c>
      <c r="U564" s="90">
        <f t="shared" si="131"/>
        <v>5.0475238402061837</v>
      </c>
      <c r="V564" s="90">
        <f t="shared" si="132"/>
        <v>5.0475238402061837</v>
      </c>
      <c r="W564" s="90">
        <f t="shared" si="133"/>
        <v>0</v>
      </c>
      <c r="Y564" s="34">
        <f t="shared" si="125"/>
        <v>0.52278479202711003</v>
      </c>
      <c r="Z564" s="34"/>
      <c r="AE564" s="4"/>
    </row>
    <row r="565" spans="1:31" x14ac:dyDescent="0.25">
      <c r="A565" s="1" t="s">
        <v>4314</v>
      </c>
      <c r="B565" s="1" t="s">
        <v>656</v>
      </c>
      <c r="C565" s="1" t="s">
        <v>4315</v>
      </c>
      <c r="D565" s="2" t="s">
        <v>554</v>
      </c>
      <c r="E565" s="1">
        <f>VLOOKUP(A565,BOM!A:E,5,0)</f>
        <v>1</v>
      </c>
      <c r="F565" s="122">
        <v>2.94</v>
      </c>
      <c r="G565" s="10">
        <v>3.06</v>
      </c>
      <c r="H565" s="11" t="s">
        <v>1874</v>
      </c>
      <c r="I565" s="49">
        <f>SUMIFS(BOM!Q:Q,BOM!A:A,'All Products'!A565,BOM!I:I,'All Products'!I$3)</f>
        <v>0.57588313036911165</v>
      </c>
      <c r="J565" s="49">
        <f>SUMIFS(BOM!Q:Q,BOM!A:A,'All Products'!A565,BOM!I:I,'All Products'!J$3)+0.03</f>
        <v>0.17</v>
      </c>
      <c r="K565" s="29">
        <f t="shared" si="121"/>
        <v>0.24375265698336984</v>
      </c>
      <c r="L565" s="49">
        <f>SUMIF(BOM!A:A,'All Products'!A565,BOM!S:S)</f>
        <v>1.4347602124568632</v>
      </c>
      <c r="M565" s="49">
        <f>SUMIF(BOM!A:A,'All Products'!A565,BOM!V:V)</f>
        <v>0.21833249999999998</v>
      </c>
      <c r="N565" s="29">
        <f t="shared" si="122"/>
        <v>0.54022637661988993</v>
      </c>
      <c r="O565" s="55">
        <v>0</v>
      </c>
      <c r="P565" s="49">
        <f t="shared" si="123"/>
        <v>2.3989758428259749</v>
      </c>
      <c r="Q565" s="11">
        <f t="shared" si="135"/>
        <v>0.66102415717402518</v>
      </c>
      <c r="R565" s="29">
        <f t="shared" si="124"/>
        <v>0.21602096639674026</v>
      </c>
      <c r="S565" s="91">
        <v>9</v>
      </c>
      <c r="T565" s="91">
        <f t="shared" si="130"/>
        <v>27.54</v>
      </c>
      <c r="U565" s="90">
        <f t="shared" si="131"/>
        <v>5.9492174145662267</v>
      </c>
      <c r="V565" s="90">
        <f t="shared" si="132"/>
        <v>5.9492174145662267</v>
      </c>
      <c r="W565" s="90">
        <f t="shared" si="133"/>
        <v>0</v>
      </c>
      <c r="Y565" s="34">
        <f t="shared" si="125"/>
        <v>0.81180289857218568</v>
      </c>
      <c r="Z565" s="34"/>
      <c r="AE565" s="4"/>
    </row>
    <row r="566" spans="1:31" x14ac:dyDescent="0.25">
      <c r="A566" s="1" t="s">
        <v>4312</v>
      </c>
      <c r="B566" s="2" t="s">
        <v>656</v>
      </c>
      <c r="C566" s="1" t="s">
        <v>4313</v>
      </c>
      <c r="D566" s="2" t="s">
        <v>554</v>
      </c>
      <c r="E566" s="1">
        <f>VLOOKUP(A566,BOM!A:E,5,0)</f>
        <v>1</v>
      </c>
      <c r="F566" s="122">
        <v>2.61</v>
      </c>
      <c r="G566" s="10">
        <v>2.77</v>
      </c>
      <c r="H566" s="11" t="s">
        <v>1874</v>
      </c>
      <c r="I566" s="49">
        <f>SUMIFS(BOM!Q:Q,BOM!A:A,'All Products'!A566,BOM!I:I,'All Products'!I$3)</f>
        <v>0.5044470994291782</v>
      </c>
      <c r="J566" s="49">
        <f>SUMIFS(BOM!Q:Q,BOM!A:A,'All Products'!A566,BOM!I:I,'All Products'!J$3)+0.03</f>
        <v>0.17</v>
      </c>
      <c r="K566" s="29">
        <f t="shared" si="121"/>
        <v>0.24348270737515459</v>
      </c>
      <c r="L566" s="49">
        <f>SUMIF(BOM!A:A,'All Products'!A566,BOM!S:S)</f>
        <v>0.9326755319148935</v>
      </c>
      <c r="M566" s="49">
        <f>SUMIF(BOM!A:A,'All Products'!A566,BOM!V:V)</f>
        <v>0.21833249999999998</v>
      </c>
      <c r="N566" s="29">
        <f t="shared" si="122"/>
        <v>0.41552636531223591</v>
      </c>
      <c r="O566" s="55">
        <v>0</v>
      </c>
      <c r="P566" s="49">
        <f t="shared" si="123"/>
        <v>1.8254551313440719</v>
      </c>
      <c r="Q566" s="11">
        <f t="shared" si="135"/>
        <v>0.94454486865592813</v>
      </c>
      <c r="R566" s="29">
        <f t="shared" si="124"/>
        <v>0.34099092731260944</v>
      </c>
      <c r="S566" s="91">
        <v>0</v>
      </c>
      <c r="T566" s="91">
        <f t="shared" si="130"/>
        <v>0</v>
      </c>
      <c r="U566" s="90">
        <f t="shared" si="131"/>
        <v>0</v>
      </c>
      <c r="V566" s="90">
        <f t="shared" si="132"/>
        <v>0</v>
      </c>
      <c r="W566" s="90">
        <f t="shared" si="133"/>
        <v>0</v>
      </c>
      <c r="Y566" s="34">
        <f t="shared" si="125"/>
        <v>0.8178891337800801</v>
      </c>
      <c r="Z566" s="34"/>
      <c r="AE566" s="4"/>
    </row>
    <row r="567" spans="1:31" x14ac:dyDescent="0.25">
      <c r="A567" s="1" t="s">
        <v>4319</v>
      </c>
      <c r="B567" s="2" t="s">
        <v>656</v>
      </c>
      <c r="C567" s="1" t="s">
        <v>4322</v>
      </c>
      <c r="D567" s="2" t="s">
        <v>554</v>
      </c>
      <c r="E567" s="1">
        <f>VLOOKUP(A567,BOM!A:E,5,0)</f>
        <v>2.5</v>
      </c>
      <c r="F567" s="122">
        <v>6.52</v>
      </c>
      <c r="G567" s="10">
        <v>6.92</v>
      </c>
      <c r="H567" s="11" t="s">
        <v>1874</v>
      </c>
      <c r="I567" s="49">
        <f>SUMIFS(BOM!Q:Q,BOM!A:A,'All Products'!A567,BOM!I:I,'All Products'!I$3)</f>
        <v>1.2611177485729457</v>
      </c>
      <c r="J567" s="49">
        <f>SUMIFS(BOM!Q:Q,BOM!A:A,'All Products'!A567,BOM!I:I,'All Products'!J$3)+0.03</f>
        <v>0.17</v>
      </c>
      <c r="K567" s="29">
        <f t="shared" si="121"/>
        <v>0.2068089232041829</v>
      </c>
      <c r="L567" s="49">
        <f>SUMIF(BOM!A:A,'All Products'!A567,BOM!S:S)</f>
        <v>2.3316888297872338</v>
      </c>
      <c r="M567" s="49">
        <f>SUMIF(BOM!A:A,'All Products'!A567,BOM!V:V)</f>
        <v>0.29618749999999999</v>
      </c>
      <c r="N567" s="29">
        <f t="shared" si="122"/>
        <v>0.3797509147091378</v>
      </c>
      <c r="O567" s="55">
        <v>0</v>
      </c>
      <c r="P567" s="49">
        <f t="shared" si="123"/>
        <v>4.058994078360179</v>
      </c>
      <c r="Q567" s="11">
        <f t="shared" si="135"/>
        <v>2.8610059216398209</v>
      </c>
      <c r="R567" s="29">
        <f t="shared" si="124"/>
        <v>0.41344016208667933</v>
      </c>
      <c r="S567" s="91">
        <v>0</v>
      </c>
      <c r="T567" s="91">
        <f t="shared" si="130"/>
        <v>0</v>
      </c>
      <c r="U567" s="90">
        <f t="shared" si="131"/>
        <v>0</v>
      </c>
      <c r="V567" s="90">
        <f t="shared" si="132"/>
        <v>0</v>
      </c>
      <c r="W567" s="90">
        <f t="shared" si="133"/>
        <v>0</v>
      </c>
      <c r="Y567" s="34">
        <f t="shared" si="125"/>
        <v>0.81775755078425638</v>
      </c>
      <c r="Z567" s="34"/>
      <c r="AE567" s="4"/>
    </row>
    <row r="568" spans="1:31" x14ac:dyDescent="0.25">
      <c r="A568" s="1" t="s">
        <v>4320</v>
      </c>
      <c r="B568" s="2" t="s">
        <v>656</v>
      </c>
      <c r="C568" s="1" t="s">
        <v>4323</v>
      </c>
      <c r="D568" s="2" t="s">
        <v>554</v>
      </c>
      <c r="E568" s="1">
        <f>VLOOKUP(A568,BOM!A:E,5,0)</f>
        <v>1</v>
      </c>
      <c r="F568" s="122">
        <v>18.309999999999999</v>
      </c>
      <c r="G568" s="10">
        <v>18.93</v>
      </c>
      <c r="H568" s="11" t="s">
        <v>1874</v>
      </c>
      <c r="I568" s="49">
        <f>SUMIFS(BOM!Q:Q,BOM!A:A,'All Products'!A568,BOM!I:I,'All Products'!I$3)</f>
        <v>2.7638709677419353</v>
      </c>
      <c r="J568" s="49">
        <f>SUMIFS(BOM!Q:Q,BOM!A:A,'All Products'!A568,BOM!I:I,'All Products'!J$3)+0.03</f>
        <v>0.17</v>
      </c>
      <c r="K568" s="29">
        <f t="shared" si="121"/>
        <v>0.15498525978562785</v>
      </c>
      <c r="L568" s="49">
        <f>SUMIF(BOM!A:A,'All Products'!A568,BOM!S:S)</f>
        <v>9.3026521985815585</v>
      </c>
      <c r="M568" s="49">
        <f>SUMIF(BOM!A:A,'All Products'!A568,BOM!V:V)</f>
        <v>0.21833249999999998</v>
      </c>
      <c r="N568" s="29">
        <f t="shared" si="122"/>
        <v>0.50295745898476274</v>
      </c>
      <c r="O568" s="55">
        <v>0</v>
      </c>
      <c r="P568" s="49">
        <f t="shared" si="123"/>
        <v>12.454855666323493</v>
      </c>
      <c r="Q568" s="11">
        <f t="shared" si="135"/>
        <v>6.4751443336765071</v>
      </c>
      <c r="R568" s="29">
        <f t="shared" si="124"/>
        <v>0.34205728122960949</v>
      </c>
      <c r="S568" s="91">
        <v>0</v>
      </c>
      <c r="T568" s="91">
        <f t="shared" si="130"/>
        <v>0</v>
      </c>
      <c r="U568" s="90">
        <f t="shared" si="131"/>
        <v>0</v>
      </c>
      <c r="V568" s="90">
        <f t="shared" si="132"/>
        <v>0</v>
      </c>
      <c r="W568" s="90">
        <f t="shared" si="133"/>
        <v>0</v>
      </c>
      <c r="Y568" s="34">
        <f t="shared" si="125"/>
        <v>0.85399519451970751</v>
      </c>
      <c r="Z568" s="34"/>
      <c r="AE568" s="4"/>
    </row>
    <row r="569" spans="1:31" x14ac:dyDescent="0.25">
      <c r="A569" s="1" t="s">
        <v>4321</v>
      </c>
      <c r="B569" s="2" t="s">
        <v>656</v>
      </c>
      <c r="C569" s="1" t="s">
        <v>4324</v>
      </c>
      <c r="D569" s="2" t="s">
        <v>554</v>
      </c>
      <c r="E569" s="1">
        <f>VLOOKUP(A569,BOM!A:E,5,0)</f>
        <v>2.5</v>
      </c>
      <c r="F569" s="122">
        <v>45.77</v>
      </c>
      <c r="G569" s="10">
        <v>47.33</v>
      </c>
      <c r="H569" s="11" t="s">
        <v>1874</v>
      </c>
      <c r="I569" s="49">
        <f>SUMIFS(BOM!Q:Q,BOM!A:A,'All Products'!A569,BOM!I:I,'All Products'!I$3)</f>
        <v>6.9096774193548383</v>
      </c>
      <c r="J569" s="49">
        <f>SUMIFS(BOM!Q:Q,BOM!A:A,'All Products'!A569,BOM!I:I,'All Products'!J$3)+0.03</f>
        <v>0.17</v>
      </c>
      <c r="K569" s="29">
        <f t="shared" si="121"/>
        <v>0.14958118359084804</v>
      </c>
      <c r="L569" s="49">
        <f>SUMIF(BOM!A:A,'All Products'!A569,BOM!S:S)</f>
        <v>23.256630496453898</v>
      </c>
      <c r="M569" s="49">
        <f>SUMIF(BOM!A:A,'All Products'!A569,BOM!V:V)</f>
        <v>0.29618749999999999</v>
      </c>
      <c r="N569" s="29">
        <f t="shared" si="122"/>
        <v>0.49762979075541725</v>
      </c>
      <c r="O569" s="55">
        <v>0</v>
      </c>
      <c r="P569" s="49">
        <f t="shared" si="123"/>
        <v>30.632495415808737</v>
      </c>
      <c r="Q569" s="11">
        <f t="shared" si="135"/>
        <v>16.697504584191261</v>
      </c>
      <c r="R569" s="29">
        <f t="shared" si="124"/>
        <v>0.35278902565373466</v>
      </c>
      <c r="S569" s="91">
        <v>0</v>
      </c>
      <c r="T569" s="91">
        <f t="shared" si="130"/>
        <v>0</v>
      </c>
      <c r="U569" s="90">
        <f t="shared" si="131"/>
        <v>0</v>
      </c>
      <c r="V569" s="90">
        <f t="shared" si="132"/>
        <v>0</v>
      </c>
      <c r="W569" s="90">
        <f t="shared" si="133"/>
        <v>0</v>
      </c>
      <c r="Y569" s="34">
        <f t="shared" si="125"/>
        <v>0.85401061864874639</v>
      </c>
      <c r="Z569" s="34"/>
      <c r="AE569" s="4"/>
    </row>
    <row r="570" spans="1:31" x14ac:dyDescent="0.25">
      <c r="A570" s="1" t="s">
        <v>4345</v>
      </c>
      <c r="B570" s="1" t="s">
        <v>552</v>
      </c>
      <c r="C570" s="1" t="s">
        <v>4346</v>
      </c>
      <c r="D570" s="2" t="s">
        <v>554</v>
      </c>
      <c r="E570" s="1">
        <f>VLOOKUP(A570,BOM!A:E,5,0)</f>
        <v>2.6</v>
      </c>
      <c r="F570" s="122">
        <v>17.22</v>
      </c>
      <c r="G570" s="10">
        <v>17.09</v>
      </c>
      <c r="H570" s="11" t="s">
        <v>1874</v>
      </c>
      <c r="I570" s="49">
        <f>SUMIFS(BOM!Q:Q,BOM!A:A,'All Products'!A570,BOM!I:I,'All Products'!I$3)</f>
        <v>4.8133407120743037</v>
      </c>
      <c r="J570" s="49">
        <f>SUMIFS(BOM!Q:Q,BOM!A:A,'All Products'!A570,BOM!I:I,'All Products'!J$3)+0.03</f>
        <v>0.45000000000000007</v>
      </c>
      <c r="K570" s="29">
        <f t="shared" si="121"/>
        <v>0.30797780644086037</v>
      </c>
      <c r="L570" s="49">
        <f>SUMIF(BOM!A:A,'All Products'!A570,BOM!S:S)</f>
        <v>0.59468214473684211</v>
      </c>
      <c r="M570" s="49">
        <f>SUMIF(BOM!A:A,'All Products'!A570,BOM!V:V)</f>
        <v>0.59237499999999998</v>
      </c>
      <c r="N570" s="29">
        <f t="shared" si="122"/>
        <v>6.9459165871084971E-2</v>
      </c>
      <c r="O570" s="55">
        <v>0</v>
      </c>
      <c r="P570" s="49">
        <f t="shared" si="123"/>
        <v>6.4503978568111453</v>
      </c>
      <c r="Q570" s="11">
        <f t="shared" si="135"/>
        <v>10.639602143188855</v>
      </c>
      <c r="R570" s="29">
        <f t="shared" si="124"/>
        <v>0.62256302768805472</v>
      </c>
      <c r="S570" s="91">
        <v>0</v>
      </c>
      <c r="T570" s="91">
        <f t="shared" si="130"/>
        <v>0</v>
      </c>
      <c r="U570" s="90">
        <f t="shared" si="131"/>
        <v>0</v>
      </c>
      <c r="V570" s="90">
        <f t="shared" si="132"/>
        <v>0</v>
      </c>
      <c r="W570" s="90">
        <f t="shared" si="133"/>
        <v>0</v>
      </c>
      <c r="Y570" s="34">
        <f t="shared" si="125"/>
        <v>0.71835338138827942</v>
      </c>
      <c r="Z570" s="34"/>
      <c r="AE570" s="4"/>
    </row>
    <row r="571" spans="1:31" x14ac:dyDescent="0.25">
      <c r="A571" s="1" t="s">
        <v>4347</v>
      </c>
      <c r="B571" s="2" t="s">
        <v>656</v>
      </c>
      <c r="C571" s="1" t="s">
        <v>4348</v>
      </c>
      <c r="D571" s="2" t="s">
        <v>554</v>
      </c>
      <c r="E571" s="1">
        <f>VLOOKUP(A571,BOM!A:E,5,0)</f>
        <v>2.5</v>
      </c>
      <c r="F571" s="110">
        <v>7.16</v>
      </c>
      <c r="G571" s="10">
        <v>7.45</v>
      </c>
      <c r="H571" s="11" t="s">
        <v>1874</v>
      </c>
      <c r="I571" s="49">
        <f>SUMIFS(BOM!Q:Q,BOM!A:A,'All Products'!A571,BOM!I:I,'All Products'!I$3)</f>
        <v>1.4397078259227789</v>
      </c>
      <c r="J571" s="49">
        <f>SUMIFS(BOM!Q:Q,BOM!A:A,'All Products'!A571,BOM!I:I,'All Products'!J$3)+0.03</f>
        <v>0.17</v>
      </c>
      <c r="K571" s="29">
        <f t="shared" si="121"/>
        <v>0.21606816455339312</v>
      </c>
      <c r="L571" s="49">
        <f>SUMIF(BOM!A:A,'All Products'!A571,BOM!S:S)</f>
        <v>3.5869005311421582</v>
      </c>
      <c r="M571" s="49">
        <f>SUMIF(BOM!A:A,'All Products'!A571,BOM!V:V)</f>
        <v>0.29618749999999999</v>
      </c>
      <c r="N571" s="29">
        <f t="shared" si="122"/>
        <v>0.52121986995196756</v>
      </c>
      <c r="O571" s="55">
        <v>0</v>
      </c>
      <c r="P571" s="49">
        <f t="shared" si="123"/>
        <v>5.4927958570649373</v>
      </c>
      <c r="Q571" s="11">
        <f t="shared" si="135"/>
        <v>1.9572041429350628</v>
      </c>
      <c r="R571" s="29">
        <f t="shared" si="124"/>
        <v>0.26271196549463932</v>
      </c>
      <c r="S571" s="91">
        <v>0</v>
      </c>
      <c r="T571" s="91">
        <f t="shared" si="130"/>
        <v>0</v>
      </c>
      <c r="U571" s="90">
        <f t="shared" si="131"/>
        <v>0</v>
      </c>
      <c r="V571" s="90">
        <f t="shared" si="132"/>
        <v>0</v>
      </c>
      <c r="W571" s="90">
        <f t="shared" si="133"/>
        <v>0</v>
      </c>
      <c r="Y571" s="34">
        <f t="shared" si="125"/>
        <v>0.8067506273929157</v>
      </c>
      <c r="Z571" s="34"/>
      <c r="AE571" s="4"/>
    </row>
    <row r="572" spans="1:31" x14ac:dyDescent="0.25">
      <c r="A572" s="1" t="s">
        <v>4349</v>
      </c>
      <c r="B572" s="2" t="s">
        <v>656</v>
      </c>
      <c r="C572" s="1" t="s">
        <v>4351</v>
      </c>
      <c r="D572" s="2" t="s">
        <v>554</v>
      </c>
      <c r="E572" s="1">
        <f>VLOOKUP(A572,BOM!A:E,5,0)</f>
        <v>2.5</v>
      </c>
      <c r="F572" s="110">
        <v>24.34</v>
      </c>
      <c r="G572" s="10">
        <v>25.24</v>
      </c>
      <c r="H572" s="11" t="s">
        <v>1874</v>
      </c>
      <c r="I572" s="49">
        <f>SUMIFS(BOM!Q:Q,BOM!A:A,'All Products'!A572,BOM!I:I,'All Products'!I$3)</f>
        <v>9.0707381911956713</v>
      </c>
      <c r="J572" s="49">
        <f>SUMIFS(BOM!Q:Q,BOM!A:A,'All Products'!A572,BOM!I:I,'All Products'!J$3)+0.03</f>
        <v>0.17</v>
      </c>
      <c r="K572" s="29">
        <f t="shared" si="121"/>
        <v>0.36611482532470968</v>
      </c>
      <c r="L572" s="49">
        <f>SUMIF(BOM!A:A,'All Products'!A572,BOM!S:S)</f>
        <v>4.1873563222270223</v>
      </c>
      <c r="M572" s="49">
        <f>SUMIF(BOM!A:A,'All Products'!A572,BOM!V:V)</f>
        <v>0.29618749999999999</v>
      </c>
      <c r="N572" s="29">
        <f t="shared" si="122"/>
        <v>0.17763644303593593</v>
      </c>
      <c r="O572" s="55">
        <v>0</v>
      </c>
      <c r="P572" s="49">
        <f t="shared" si="123"/>
        <v>13.724282013422695</v>
      </c>
      <c r="Q572" s="11">
        <f t="shared" si="135"/>
        <v>11.515717986577304</v>
      </c>
      <c r="R572" s="29">
        <f t="shared" si="124"/>
        <v>0.45624873163935437</v>
      </c>
      <c r="S572" s="91">
        <v>0</v>
      </c>
      <c r="T572" s="91">
        <f t="shared" si="130"/>
        <v>0</v>
      </c>
      <c r="U572" s="90">
        <f t="shared" si="131"/>
        <v>0</v>
      </c>
      <c r="V572" s="90">
        <f t="shared" si="132"/>
        <v>0</v>
      </c>
      <c r="W572" s="90">
        <f t="shared" si="133"/>
        <v>0</v>
      </c>
      <c r="Y572" s="34">
        <f t="shared" si="125"/>
        <v>0.64062051540429199</v>
      </c>
      <c r="Z572" s="34"/>
      <c r="AE572" s="4"/>
    </row>
    <row r="573" spans="1:31" x14ac:dyDescent="0.25">
      <c r="A573" s="1" t="s">
        <v>4350</v>
      </c>
      <c r="B573" s="2" t="s">
        <v>656</v>
      </c>
      <c r="C573" s="1" t="s">
        <v>4352</v>
      </c>
      <c r="D573" s="2" t="s">
        <v>554</v>
      </c>
      <c r="E573" s="1">
        <f>VLOOKUP(A573,BOM!A:E,5,0)</f>
        <v>1</v>
      </c>
      <c r="F573" s="110">
        <v>9.74</v>
      </c>
      <c r="G573" s="10">
        <v>10.11</v>
      </c>
      <c r="H573" s="11" t="s">
        <v>1874</v>
      </c>
      <c r="I573" s="49">
        <f>SUMIFS(BOM!Q:Q,BOM!A:A,'All Products'!A573,BOM!I:I,'All Products'!I$3)</f>
        <v>3.6282952764782688</v>
      </c>
      <c r="J573" s="49">
        <f>SUMIFS(BOM!Q:Q,BOM!A:A,'All Products'!A573,BOM!I:I,'All Products'!J$3)+0.03</f>
        <v>0.17</v>
      </c>
      <c r="K573" s="29">
        <f t="shared" si="121"/>
        <v>0.37569686216402265</v>
      </c>
      <c r="L573" s="49">
        <f>SUMIF(BOM!A:A,'All Products'!A573,BOM!S:S)</f>
        <v>1.6749425288908089</v>
      </c>
      <c r="M573" s="49">
        <f>SUMIF(BOM!A:A,'All Products'!A573,BOM!V:V)</f>
        <v>0.21833249999999998</v>
      </c>
      <c r="N573" s="29">
        <f t="shared" si="122"/>
        <v>0.18726755973202858</v>
      </c>
      <c r="O573" s="55">
        <v>0</v>
      </c>
      <c r="P573" s="49">
        <f t="shared" si="123"/>
        <v>5.691570305369078</v>
      </c>
      <c r="Q573" s="11">
        <f t="shared" si="135"/>
        <v>4.4184296946309214</v>
      </c>
      <c r="R573" s="29">
        <f t="shared" si="124"/>
        <v>0.43703557810394872</v>
      </c>
      <c r="S573" s="91">
        <v>0</v>
      </c>
      <c r="T573" s="91">
        <f t="shared" si="130"/>
        <v>0</v>
      </c>
      <c r="U573" s="90">
        <f t="shared" si="131"/>
        <v>0</v>
      </c>
      <c r="V573" s="90">
        <f t="shared" si="132"/>
        <v>0</v>
      </c>
      <c r="W573" s="90">
        <f t="shared" si="133"/>
        <v>0</v>
      </c>
      <c r="Y573" s="34">
        <f t="shared" si="125"/>
        <v>0.64111817245516622</v>
      </c>
      <c r="Z573" s="34"/>
      <c r="AE573" s="4"/>
    </row>
    <row r="574" spans="1:31" x14ac:dyDescent="0.25">
      <c r="A574" s="1" t="s">
        <v>4358</v>
      </c>
      <c r="B574" s="2" t="s">
        <v>656</v>
      </c>
      <c r="C574" s="1" t="s">
        <v>4366</v>
      </c>
      <c r="D574" s="2" t="s">
        <v>554</v>
      </c>
      <c r="E574" s="1">
        <f>VLOOKUP(A574,BOM!A:E,5,0)</f>
        <v>2.5</v>
      </c>
      <c r="F574" s="110">
        <v>3.72</v>
      </c>
      <c r="G574" s="10">
        <v>4.1399999999999997</v>
      </c>
      <c r="H574" s="11" t="s">
        <v>1874</v>
      </c>
      <c r="I574" s="49">
        <f>SUMIFS(BOM!Q:Q,BOM!A:A,'All Products'!A574,BOM!I:I,'All Products'!I$3)</f>
        <v>1.6981998199819983</v>
      </c>
      <c r="J574" s="49">
        <f>SUMIFS(BOM!Q:Q,BOM!A:A,'All Products'!A574,BOM!I:I,'All Products'!J$3)+0.03</f>
        <v>0.17</v>
      </c>
      <c r="K574" s="29">
        <f t="shared" si="121"/>
        <v>0.45125599516473391</v>
      </c>
      <c r="L574" s="49">
        <f>SUMIF(BOM!A:A,'All Products'!A574,BOM!S:S)</f>
        <v>1.6122674767476748</v>
      </c>
      <c r="M574" s="49">
        <f>SUMIF(BOM!A:A,'All Products'!A574,BOM!V:V)</f>
        <v>0.29618749999999999</v>
      </c>
      <c r="N574" s="29">
        <f t="shared" si="122"/>
        <v>0.46097946298253017</v>
      </c>
      <c r="O574" s="55">
        <v>0</v>
      </c>
      <c r="P574" s="49">
        <f t="shared" si="123"/>
        <v>3.7766547967296731</v>
      </c>
      <c r="Q574" s="11">
        <f t="shared" si="135"/>
        <v>0.3633452032703266</v>
      </c>
      <c r="R574" s="29">
        <f t="shared" si="124"/>
        <v>8.7764541852735897E-2</v>
      </c>
      <c r="S574" s="91">
        <v>0</v>
      </c>
      <c r="T574" s="91">
        <f t="shared" si="130"/>
        <v>0</v>
      </c>
      <c r="U574" s="90">
        <f t="shared" ref="U574:U581" si="136">IFERROR(S574*Q574,0)</f>
        <v>0</v>
      </c>
      <c r="V574" s="90">
        <f t="shared" si="132"/>
        <v>0</v>
      </c>
      <c r="W574" s="90">
        <f t="shared" ref="W574:W581" si="137">V574-U574</f>
        <v>0</v>
      </c>
      <c r="Y574" s="34">
        <f t="shared" si="125"/>
        <v>0.5898068067676332</v>
      </c>
      <c r="Z574" s="34"/>
      <c r="AE574" s="4"/>
    </row>
    <row r="575" spans="1:31" x14ac:dyDescent="0.25">
      <c r="A575" s="1" t="s">
        <v>4359</v>
      </c>
      <c r="B575" s="2" t="s">
        <v>656</v>
      </c>
      <c r="C575" s="1" t="s">
        <v>4367</v>
      </c>
      <c r="D575" s="2" t="s">
        <v>554</v>
      </c>
      <c r="E575" s="1">
        <f>VLOOKUP(A575,BOM!A:E,5,0)</f>
        <v>1</v>
      </c>
      <c r="F575" s="110">
        <v>1.49</v>
      </c>
      <c r="G575" s="10">
        <v>1.75</v>
      </c>
      <c r="H575" s="11" t="s">
        <v>1874</v>
      </c>
      <c r="I575" s="49">
        <f>SUMIFS(BOM!Q:Q,BOM!A:A,'All Products'!A575,BOM!I:I,'All Products'!I$3)</f>
        <v>0.67927992799279924</v>
      </c>
      <c r="J575" s="49">
        <f>SUMIFS(BOM!Q:Q,BOM!A:A,'All Products'!A575,BOM!I:I,'All Products'!J$3)+0.03</f>
        <v>0.17</v>
      </c>
      <c r="K575" s="29">
        <f t="shared" si="121"/>
        <v>0.48530281599588532</v>
      </c>
      <c r="L575" s="49">
        <f>SUMIF(BOM!A:A,'All Products'!A575,BOM!S:S)</f>
        <v>0.64490699069906987</v>
      </c>
      <c r="M575" s="49">
        <f>SUMIF(BOM!A:A,'All Products'!A575,BOM!V:V)</f>
        <v>0.21833249999999998</v>
      </c>
      <c r="N575" s="29">
        <f t="shared" si="122"/>
        <v>0.49327970897089707</v>
      </c>
      <c r="O575" s="55">
        <v>0</v>
      </c>
      <c r="P575" s="49">
        <f t="shared" si="123"/>
        <v>1.7125194186918691</v>
      </c>
      <c r="Q575" s="11">
        <f t="shared" si="135"/>
        <v>3.7480581308130922E-2</v>
      </c>
      <c r="R575" s="29">
        <f t="shared" si="124"/>
        <v>2.141747503321767E-2</v>
      </c>
      <c r="S575" s="91">
        <v>0</v>
      </c>
      <c r="T575" s="91">
        <f t="shared" si="130"/>
        <v>0</v>
      </c>
      <c r="U575" s="90">
        <f t="shared" si="136"/>
        <v>0</v>
      </c>
      <c r="V575" s="90">
        <f t="shared" si="132"/>
        <v>0</v>
      </c>
      <c r="W575" s="90">
        <f t="shared" si="137"/>
        <v>0</v>
      </c>
      <c r="Y575" s="34">
        <f t="shared" si="125"/>
        <v>0.61184004114697188</v>
      </c>
      <c r="Z575" s="34"/>
      <c r="AE575" s="4"/>
    </row>
    <row r="576" spans="1:31" x14ac:dyDescent="0.25">
      <c r="A576" s="1" t="s">
        <v>4360</v>
      </c>
      <c r="B576" s="2" t="s">
        <v>656</v>
      </c>
      <c r="C576" s="1" t="s">
        <v>4368</v>
      </c>
      <c r="D576" s="2" t="s">
        <v>554</v>
      </c>
      <c r="E576" s="1">
        <f>VLOOKUP(A576,BOM!A:E,5,0)</f>
        <v>2.5</v>
      </c>
      <c r="F576" s="110">
        <v>6.89</v>
      </c>
      <c r="G576" s="10">
        <v>7.05</v>
      </c>
      <c r="H576" s="11" t="s">
        <v>1874</v>
      </c>
      <c r="I576" s="49">
        <f>SUMIFS(BOM!Q:Q,BOM!A:A,'All Products'!A576,BOM!I:I,'All Products'!I$3)</f>
        <v>2.8345864661654141</v>
      </c>
      <c r="J576" s="49">
        <f>SUMIFS(BOM!Q:Q,BOM!A:A,'All Products'!A576,BOM!I:I,'All Products'!J$3)+0.03</f>
        <v>0.17</v>
      </c>
      <c r="K576" s="29">
        <f t="shared" si="121"/>
        <v>0.42618247747027149</v>
      </c>
      <c r="L576" s="49">
        <f>SUMIF(BOM!A:A,'All Products'!A576,BOM!S:S)</f>
        <v>1.2877058718224133</v>
      </c>
      <c r="M576" s="49">
        <f>SUMIF(BOM!A:A,'All Products'!A576,BOM!V:V)</f>
        <v>0.29618749999999999</v>
      </c>
      <c r="N576" s="29">
        <f t="shared" si="122"/>
        <v>0.22466572649963309</v>
      </c>
      <c r="O576" s="55">
        <v>0</v>
      </c>
      <c r="P576" s="49">
        <f t="shared" si="123"/>
        <v>4.5884798379878271</v>
      </c>
      <c r="Q576" s="11">
        <f t="shared" si="135"/>
        <v>2.4615201620121727</v>
      </c>
      <c r="R576" s="29">
        <f t="shared" si="124"/>
        <v>0.34915179603009544</v>
      </c>
      <c r="S576" s="91">
        <v>0</v>
      </c>
      <c r="T576" s="91">
        <f t="shared" si="130"/>
        <v>0</v>
      </c>
      <c r="U576" s="90">
        <f t="shared" si="136"/>
        <v>0</v>
      </c>
      <c r="V576" s="90">
        <f t="shared" si="132"/>
        <v>0</v>
      </c>
      <c r="W576" s="90">
        <f t="shared" si="137"/>
        <v>0</v>
      </c>
      <c r="Y576" s="34">
        <f t="shared" si="125"/>
        <v>0.5979309977070334</v>
      </c>
      <c r="Z576" s="34"/>
      <c r="AE576" s="4"/>
    </row>
    <row r="577" spans="1:31" x14ac:dyDescent="0.25">
      <c r="A577" s="1" t="s">
        <v>4361</v>
      </c>
      <c r="B577" s="2" t="s">
        <v>656</v>
      </c>
      <c r="C577" s="1" t="s">
        <v>4369</v>
      </c>
      <c r="D577" s="2" t="s">
        <v>554</v>
      </c>
      <c r="E577" s="1">
        <f>VLOOKUP(A577,BOM!A:E,5,0)</f>
        <v>1</v>
      </c>
      <c r="F577" s="110">
        <v>2.77</v>
      </c>
      <c r="G577" s="10">
        <v>2.85</v>
      </c>
      <c r="H577" s="11" t="s">
        <v>1874</v>
      </c>
      <c r="I577" s="49">
        <f>SUMIFS(BOM!Q:Q,BOM!A:A,'All Products'!A577,BOM!I:I,'All Products'!I$3)</f>
        <v>1.1338345864661656</v>
      </c>
      <c r="J577" s="49">
        <f>SUMIFS(BOM!Q:Q,BOM!A:A,'All Products'!A577,BOM!I:I,'All Products'!J$3)+0.03</f>
        <v>0.17</v>
      </c>
      <c r="K577" s="29">
        <f t="shared" si="121"/>
        <v>0.45748581981268965</v>
      </c>
      <c r="L577" s="49">
        <f>SUMIF(BOM!A:A,'All Products'!A577,BOM!S:S)</f>
        <v>0.5150823487289653</v>
      </c>
      <c r="M577" s="49">
        <f>SUMIF(BOM!A:A,'All Products'!A577,BOM!V:V)</f>
        <v>0.21833249999999998</v>
      </c>
      <c r="N577" s="29">
        <f t="shared" si="122"/>
        <v>0.25733854341367202</v>
      </c>
      <c r="O577" s="55">
        <v>0</v>
      </c>
      <c r="P577" s="49">
        <f t="shared" si="123"/>
        <v>2.0372494351951307</v>
      </c>
      <c r="Q577" s="11">
        <f t="shared" si="135"/>
        <v>0.8127505648048694</v>
      </c>
      <c r="R577" s="29">
        <f t="shared" si="124"/>
        <v>0.28517563677363839</v>
      </c>
      <c r="S577" s="91">
        <v>0</v>
      </c>
      <c r="T577" s="91">
        <f t="shared" si="130"/>
        <v>0</v>
      </c>
      <c r="U577" s="90">
        <f t="shared" si="136"/>
        <v>0</v>
      </c>
      <c r="V577" s="90">
        <f t="shared" si="132"/>
        <v>0</v>
      </c>
      <c r="W577" s="90">
        <f t="shared" si="137"/>
        <v>0</v>
      </c>
      <c r="Y577" s="34">
        <f t="shared" si="125"/>
        <v>0.60216330299432785</v>
      </c>
      <c r="Z577" s="34"/>
      <c r="AE577" s="4"/>
    </row>
    <row r="578" spans="1:31" x14ac:dyDescent="0.25">
      <c r="A578" s="1" t="s">
        <v>4362</v>
      </c>
      <c r="B578" s="2" t="s">
        <v>656</v>
      </c>
      <c r="C578" s="1" t="s">
        <v>4370</v>
      </c>
      <c r="D578" s="2" t="s">
        <v>554</v>
      </c>
      <c r="E578" s="1">
        <f>VLOOKUP(A578,BOM!A:E,5,0)</f>
        <v>2.5</v>
      </c>
      <c r="F578" s="110">
        <v>5.94</v>
      </c>
      <c r="G578" s="10">
        <v>5.97</v>
      </c>
      <c r="H578" s="11" t="s">
        <v>1874</v>
      </c>
      <c r="I578" s="49">
        <f>SUMIFS(BOM!Q:Q,BOM!A:A,'All Products'!A578,BOM!I:I,'All Products'!I$3)</f>
        <v>2.2826732673267327</v>
      </c>
      <c r="J578" s="49">
        <f>SUMIFS(BOM!Q:Q,BOM!A:A,'All Products'!A578,BOM!I:I,'All Products'!J$3)+0.03</f>
        <v>0.17</v>
      </c>
      <c r="K578" s="29">
        <f t="shared" si="121"/>
        <v>0.41083304310330532</v>
      </c>
      <c r="L578" s="49">
        <f>SUMIF(BOM!A:A,'All Products'!A578,BOM!S:S)</f>
        <v>0.21156249999999999</v>
      </c>
      <c r="M578" s="49">
        <f>SUMIF(BOM!A:A,'All Products'!A578,BOM!V:V)</f>
        <v>0.29618749999999999</v>
      </c>
      <c r="N578" s="29">
        <f t="shared" si="122"/>
        <v>8.5050251256281392E-2</v>
      </c>
      <c r="O578" s="55">
        <v>0</v>
      </c>
      <c r="P578" s="49">
        <f t="shared" si="123"/>
        <v>2.9604232673267323</v>
      </c>
      <c r="Q578" s="11">
        <f t="shared" si="135"/>
        <v>3.0095767326732674</v>
      </c>
      <c r="R578" s="29">
        <f t="shared" si="124"/>
        <v>0.50411670564041333</v>
      </c>
      <c r="S578" s="91">
        <v>0</v>
      </c>
      <c r="T578" s="91">
        <f t="shared" si="130"/>
        <v>0</v>
      </c>
      <c r="U578" s="90">
        <f t="shared" si="136"/>
        <v>0</v>
      </c>
      <c r="V578" s="90">
        <f t="shared" si="132"/>
        <v>0</v>
      </c>
      <c r="W578" s="90">
        <f t="shared" si="137"/>
        <v>0</v>
      </c>
      <c r="Y578" s="34">
        <f t="shared" si="125"/>
        <v>0.61764266878949203</v>
      </c>
      <c r="Z578" s="34"/>
      <c r="AE578" s="4"/>
    </row>
    <row r="579" spans="1:31" x14ac:dyDescent="0.25">
      <c r="A579" s="1" t="s">
        <v>4363</v>
      </c>
      <c r="B579" s="2" t="s">
        <v>656</v>
      </c>
      <c r="C579" s="1" t="s">
        <v>4371</v>
      </c>
      <c r="D579" s="2" t="s">
        <v>554</v>
      </c>
      <c r="E579" s="1">
        <f>VLOOKUP(A579,BOM!A:E,5,0)</f>
        <v>1</v>
      </c>
      <c r="F579" s="110">
        <v>2.38</v>
      </c>
      <c r="G579" s="10">
        <v>2.4</v>
      </c>
      <c r="H579" s="11" t="s">
        <v>1874</v>
      </c>
      <c r="I579" s="49">
        <f>SUMIFS(BOM!Q:Q,BOM!A:A,'All Products'!A579,BOM!I:I,'All Products'!I$3)</f>
        <v>0.9130693069306931</v>
      </c>
      <c r="J579" s="49">
        <f>SUMIFS(BOM!Q:Q,BOM!A:A,'All Products'!A579,BOM!I:I,'All Products'!J$3)+0.03</f>
        <v>0.17</v>
      </c>
      <c r="K579" s="29">
        <f t="shared" si="121"/>
        <v>0.45127887788778881</v>
      </c>
      <c r="L579" s="49">
        <f>SUMIF(BOM!A:A,'All Products'!A579,BOM!S:S)</f>
        <v>8.4624999999999992E-2</v>
      </c>
      <c r="M579" s="49">
        <f>SUMIF(BOM!A:A,'All Products'!A579,BOM!V:V)</f>
        <v>0.21833249999999998</v>
      </c>
      <c r="N579" s="29">
        <f t="shared" si="122"/>
        <v>0.12623229166666666</v>
      </c>
      <c r="O579" s="55">
        <v>0</v>
      </c>
      <c r="P579" s="49">
        <f t="shared" si="123"/>
        <v>1.3860268069306931</v>
      </c>
      <c r="Q579" s="11">
        <f t="shared" si="135"/>
        <v>1.0139731930693068</v>
      </c>
      <c r="R579" s="29">
        <f t="shared" si="124"/>
        <v>0.42248883044554453</v>
      </c>
      <c r="S579" s="91">
        <v>0</v>
      </c>
      <c r="T579" s="91">
        <f t="shared" si="130"/>
        <v>0</v>
      </c>
      <c r="U579" s="90">
        <f t="shared" si="136"/>
        <v>0</v>
      </c>
      <c r="V579" s="90">
        <f t="shared" si="132"/>
        <v>0</v>
      </c>
      <c r="W579" s="90">
        <f t="shared" si="137"/>
        <v>0</v>
      </c>
      <c r="Y579" s="34">
        <f t="shared" si="125"/>
        <v>0.61955445544554455</v>
      </c>
      <c r="Z579" s="34"/>
      <c r="AE579" s="4"/>
    </row>
    <row r="580" spans="1:31" x14ac:dyDescent="0.25">
      <c r="A580" s="1" t="s">
        <v>4364</v>
      </c>
      <c r="B580" s="2" t="s">
        <v>656</v>
      </c>
      <c r="C580" s="1" t="s">
        <v>4372</v>
      </c>
      <c r="D580" s="2" t="s">
        <v>554</v>
      </c>
      <c r="E580" s="1">
        <f>VLOOKUP(A580,BOM!A:E,5,0)</f>
        <v>2.5</v>
      </c>
      <c r="F580" s="110">
        <v>12.67</v>
      </c>
      <c r="G580" s="10">
        <v>12.77</v>
      </c>
      <c r="H580" s="11" t="s">
        <v>1874</v>
      </c>
      <c r="I580" s="49">
        <f>SUMIFS(BOM!Q:Q,BOM!A:A,'All Products'!A580,BOM!I:I,'All Products'!I$3)</f>
        <v>4.774844720496894</v>
      </c>
      <c r="J580" s="49">
        <f>SUMIFS(BOM!Q:Q,BOM!A:A,'All Products'!A580,BOM!I:I,'All Products'!J$3)+0.03</f>
        <v>0.17</v>
      </c>
      <c r="K580" s="29">
        <f t="shared" ref="K580:K643" si="138">(I580+J580)/G580</f>
        <v>0.38722354898174582</v>
      </c>
      <c r="L580" s="49">
        <f>SUMIF(BOM!A:A,'All Products'!A580,BOM!S:S)</f>
        <v>0.813461254066844</v>
      </c>
      <c r="M580" s="49">
        <f>SUMIF(BOM!A:A,'All Products'!A580,BOM!V:V)</f>
        <v>0.29618749999999999</v>
      </c>
      <c r="N580" s="29">
        <f t="shared" ref="N580:N643" si="139">(L580+M580)/G580</f>
        <v>8.6894968995054347E-2</v>
      </c>
      <c r="O580" s="55">
        <v>0</v>
      </c>
      <c r="P580" s="49">
        <f t="shared" ref="P580:P643" si="140">I580+J580+M580+L580+O580</f>
        <v>6.0544934745637384</v>
      </c>
      <c r="Q580" s="11">
        <f t="shared" si="135"/>
        <v>6.7155065254362611</v>
      </c>
      <c r="R580" s="29">
        <f t="shared" ref="R580:R643" si="141">IFERROR((G580-P580)/G580,0)</f>
        <v>0.52588148202319984</v>
      </c>
      <c r="S580" s="91">
        <v>0</v>
      </c>
      <c r="T580" s="91">
        <f t="shared" si="130"/>
        <v>0</v>
      </c>
      <c r="U580" s="90">
        <f t="shared" si="136"/>
        <v>0</v>
      </c>
      <c r="V580" s="90">
        <f t="shared" si="132"/>
        <v>0</v>
      </c>
      <c r="W580" s="90">
        <f t="shared" si="137"/>
        <v>0</v>
      </c>
      <c r="Y580" s="34">
        <f t="shared" si="125"/>
        <v>0.62608890207541945</v>
      </c>
      <c r="Z580" s="34"/>
      <c r="AE580" s="4"/>
    </row>
    <row r="581" spans="1:31" x14ac:dyDescent="0.25">
      <c r="A581" s="1" t="s">
        <v>4365</v>
      </c>
      <c r="B581" s="2" t="s">
        <v>656</v>
      </c>
      <c r="C581" s="1" t="s">
        <v>4373</v>
      </c>
      <c r="D581" s="2" t="s">
        <v>554</v>
      </c>
      <c r="E581" s="1">
        <f>VLOOKUP(A581,BOM!A:E,5,0)</f>
        <v>1</v>
      </c>
      <c r="F581" s="110">
        <v>5.0599999999999996</v>
      </c>
      <c r="G581" s="10">
        <v>5.1100000000000003</v>
      </c>
      <c r="H581" s="11" t="s">
        <v>1874</v>
      </c>
      <c r="I581" s="49">
        <f>SUMIFS(BOM!Q:Q,BOM!A:A,'All Products'!A581,BOM!I:I,'All Products'!I$3)</f>
        <v>1.9099378881987579</v>
      </c>
      <c r="J581" s="49">
        <f>SUMIFS(BOM!Q:Q,BOM!A:A,'All Products'!A581,BOM!I:I,'All Products'!J$3)+0.03</f>
        <v>0.17</v>
      </c>
      <c r="K581" s="29">
        <f t="shared" si="138"/>
        <v>0.40703285483341639</v>
      </c>
      <c r="L581" s="49">
        <f>SUMIF(BOM!A:A,'All Products'!A581,BOM!S:S)</f>
        <v>0.3253845016267376</v>
      </c>
      <c r="M581" s="49">
        <f>SUMIF(BOM!A:A,'All Products'!A581,BOM!V:V)</f>
        <v>0.21833249999999998</v>
      </c>
      <c r="N581" s="29">
        <f t="shared" si="139"/>
        <v>0.10640254434965511</v>
      </c>
      <c r="O581" s="55">
        <v>0</v>
      </c>
      <c r="P581" s="49">
        <f t="shared" si="140"/>
        <v>2.6236548898254952</v>
      </c>
      <c r="Q581" s="11">
        <f t="shared" si="135"/>
        <v>2.4863451101745051</v>
      </c>
      <c r="R581" s="29">
        <f t="shared" si="141"/>
        <v>0.48656460081692854</v>
      </c>
      <c r="S581" s="91">
        <v>0</v>
      </c>
      <c r="T581" s="91">
        <f t="shared" si="130"/>
        <v>0</v>
      </c>
      <c r="U581" s="90">
        <f t="shared" si="136"/>
        <v>0</v>
      </c>
      <c r="V581" s="90">
        <f t="shared" si="132"/>
        <v>0</v>
      </c>
      <c r="W581" s="90">
        <f t="shared" si="137"/>
        <v>0</v>
      </c>
      <c r="Y581" s="34">
        <f t="shared" si="125"/>
        <v>0.62623524692783605</v>
      </c>
      <c r="Z581" s="34"/>
      <c r="AE581" s="4"/>
    </row>
    <row r="582" spans="1:31" x14ac:dyDescent="0.25">
      <c r="A582" s="1" t="s">
        <v>4374</v>
      </c>
      <c r="B582" s="1" t="s">
        <v>552</v>
      </c>
      <c r="C582" s="1" t="s">
        <v>185</v>
      </c>
      <c r="D582" s="2" t="s">
        <v>554</v>
      </c>
      <c r="E582" s="1">
        <f>VLOOKUP(A582,BOM!A:E,5,0)</f>
        <v>2.5</v>
      </c>
      <c r="F582" s="110">
        <v>15</v>
      </c>
      <c r="G582" s="145">
        <v>15.17</v>
      </c>
      <c r="H582" s="11" t="s">
        <v>1874</v>
      </c>
      <c r="I582" s="49">
        <f>SUMIFS(BOM!Q:Q,BOM!A:A,'All Products'!A582,BOM!I:I,'All Products'!I$3)</f>
        <v>6.1722707936982975</v>
      </c>
      <c r="J582" s="49">
        <f>SUMIFS(BOM!Q:Q,BOM!A:A,'All Products'!A582,BOM!I:I,'All Products'!J$3)+0.03</f>
        <v>0.45000000000000007</v>
      </c>
      <c r="K582" s="29">
        <f t="shared" si="138"/>
        <v>0.43653729688189175</v>
      </c>
      <c r="L582" s="49">
        <f>SUMIF(BOM!A:A,'All Products'!A582,BOM!S:S)</f>
        <v>0.87251852425842413</v>
      </c>
      <c r="M582" s="49">
        <f>SUMIF(BOM!A:A,'All Products'!A582,BOM!V:V)</f>
        <v>0.29618749999999999</v>
      </c>
      <c r="N582" s="29">
        <f t="shared" si="139"/>
        <v>7.7040608059223747E-2</v>
      </c>
      <c r="O582" s="55">
        <v>0</v>
      </c>
      <c r="P582" s="49">
        <f t="shared" si="140"/>
        <v>7.7909768179567216</v>
      </c>
      <c r="Q582" s="11"/>
      <c r="R582" s="29">
        <f t="shared" si="141"/>
        <v>0.48642209505888451</v>
      </c>
      <c r="Y582" s="34">
        <f t="shared" si="125"/>
        <v>0.59312651326972332</v>
      </c>
      <c r="Z582" s="34"/>
      <c r="AE582" s="4"/>
    </row>
    <row r="583" spans="1:31" x14ac:dyDescent="0.25">
      <c r="A583" s="1" t="s">
        <v>4376</v>
      </c>
      <c r="B583" s="2" t="s">
        <v>4377</v>
      </c>
      <c r="C583" s="1" t="str">
        <f>_xlfn.XLOOKUP(A583,BOM!A:A,BOM!C:C)</f>
        <v>PEPPER RED DICED 25MM 1KG</v>
      </c>
      <c r="D583" s="2" t="s">
        <v>554</v>
      </c>
      <c r="E583" s="1">
        <f>VLOOKUP(A583,BOM!A:E,5,0)</f>
        <v>1</v>
      </c>
      <c r="F583" s="110">
        <v>8.5</v>
      </c>
      <c r="G583" s="10">
        <v>9.0500000000000007</v>
      </c>
      <c r="H583" s="11" t="s">
        <v>1874</v>
      </c>
      <c r="I583" s="49">
        <f>SUMIFS(BOM!Q:Q,BOM!A:A,'All Products'!A583,BOM!I:I,'All Products'!I$3)</f>
        <v>3.9090909090909092</v>
      </c>
      <c r="J583" s="49">
        <f>SUMIFS(BOM!Q:Q,BOM!A:A,'All Products'!A583,BOM!I:I,'All Products'!J$3)+0.03</f>
        <v>0.17</v>
      </c>
      <c r="K583" s="29">
        <f t="shared" si="138"/>
        <v>0.45072827724761422</v>
      </c>
      <c r="L583" s="49">
        <f>SUMIF(BOM!A:A,'All Products'!A583,BOM!S:S)</f>
        <v>2.0309999999999997</v>
      </c>
      <c r="M583" s="49">
        <f>SUMIF(BOM!A:A,'All Products'!A583,BOM!V:V)</f>
        <v>0.21833249999999998</v>
      </c>
      <c r="N583" s="29">
        <f t="shared" si="139"/>
        <v>0.24854502762430933</v>
      </c>
      <c r="O583" s="55">
        <v>0</v>
      </c>
      <c r="P583" s="49">
        <f t="shared" si="140"/>
        <v>6.3284234090909086</v>
      </c>
      <c r="Q583" s="11">
        <f t="shared" ref="Q583:Q614" si="142">G583-P583</f>
        <v>2.7215765909090921</v>
      </c>
      <c r="R583" s="29">
        <f t="shared" si="141"/>
        <v>0.30072669512807643</v>
      </c>
      <c r="AA583">
        <f t="shared" ref="AA583:AA614" si="143">Z583*F583</f>
        <v>0</v>
      </c>
      <c r="AB583">
        <f t="shared" ref="AB583:AB614" si="144">Z583*(G583)</f>
        <v>0</v>
      </c>
      <c r="AE583" s="4"/>
    </row>
    <row r="584" spans="1:31" x14ac:dyDescent="0.25">
      <c r="A584" s="1" t="s">
        <v>4379</v>
      </c>
      <c r="B584" s="2" t="s">
        <v>4377</v>
      </c>
      <c r="C584" s="1" t="str">
        <f>_xlfn.XLOOKUP(A584,BOM!A:A,BOM!C:C)</f>
        <v>PEPPER MIXED DICED 20MM 1KG</v>
      </c>
      <c r="D584" s="2" t="s">
        <v>554</v>
      </c>
      <c r="E584" s="1">
        <f>VLOOKUP(A584,BOM!A:E,5,0)</f>
        <v>1</v>
      </c>
      <c r="F584" s="110">
        <v>8.5</v>
      </c>
      <c r="G584" s="10">
        <v>8.51</v>
      </c>
      <c r="H584" s="11" t="s">
        <v>1874</v>
      </c>
      <c r="I584" s="49">
        <f>SUMIFS(BOM!Q:Q,BOM!A:A,'All Products'!A584,BOM!I:I,'All Products'!I$3)</f>
        <v>3.7839999999999998</v>
      </c>
      <c r="J584" s="49">
        <f>SUMIFS(BOM!Q:Q,BOM!A:A,'All Products'!A584,BOM!I:I,'All Products'!J$3)+0.03</f>
        <v>0.17</v>
      </c>
      <c r="K584" s="29">
        <f t="shared" si="138"/>
        <v>0.46462984723854289</v>
      </c>
      <c r="L584" s="49">
        <f>SUMIF(BOM!A:A,'All Products'!A584,BOM!S:S)</f>
        <v>2.2848749999999995</v>
      </c>
      <c r="M584" s="49">
        <f>SUMIF(BOM!A:A,'All Products'!A584,BOM!V:V)</f>
        <v>0.21833249999999998</v>
      </c>
      <c r="N584" s="29">
        <f t="shared" si="139"/>
        <v>0.29414894242068146</v>
      </c>
      <c r="O584" s="55">
        <v>0</v>
      </c>
      <c r="P584" s="49">
        <f t="shared" si="140"/>
        <v>6.4572074999999991</v>
      </c>
      <c r="Q584" s="11">
        <f t="shared" si="142"/>
        <v>2.0527925000000007</v>
      </c>
      <c r="R584" s="29">
        <f t="shared" si="141"/>
        <v>0.24122121034077565</v>
      </c>
      <c r="AA584">
        <f t="shared" si="143"/>
        <v>0</v>
      </c>
      <c r="AB584">
        <f t="shared" si="144"/>
        <v>0</v>
      </c>
      <c r="AE584" s="4"/>
    </row>
    <row r="585" spans="1:31" x14ac:dyDescent="0.25">
      <c r="A585" s="1" t="s">
        <v>4380</v>
      </c>
      <c r="B585" s="2" t="s">
        <v>4377</v>
      </c>
      <c r="C585" s="1" t="str">
        <f>_xlfn.XLOOKUP(A585,BOM!A:A,BOM!C:C)</f>
        <v>PEELED SWEET POTATO WEDGES 1KG</v>
      </c>
      <c r="D585" s="2" t="s">
        <v>554</v>
      </c>
      <c r="E585" s="1">
        <f>VLOOKUP(A585,BOM!A:E,5,0)</f>
        <v>1</v>
      </c>
      <c r="F585" s="110">
        <v>4.96</v>
      </c>
      <c r="G585" s="10">
        <v>4.45</v>
      </c>
      <c r="H585" s="11" t="s">
        <v>1874</v>
      </c>
      <c r="I585" s="49">
        <f>SUMIFS(BOM!Q:Q,BOM!A:A,'All Products'!A585,BOM!I:I,'All Products'!I$3)</f>
        <v>1.0550222222222223</v>
      </c>
      <c r="J585" s="49">
        <f>SUMIFS(BOM!Q:Q,BOM!A:A,'All Products'!A585,BOM!I:I,'All Products'!J$3)+0.03</f>
        <v>0.17</v>
      </c>
      <c r="K585" s="29">
        <f t="shared" si="138"/>
        <v>0.27528589263420722</v>
      </c>
      <c r="L585" s="49">
        <f>SUMIF(BOM!A:A,'All Products'!A585,BOM!S:S)</f>
        <v>0.62961</v>
      </c>
      <c r="M585" s="49">
        <f>SUMIF(BOM!A:A,'All Products'!A585,BOM!V:V)</f>
        <v>0.21833249999999998</v>
      </c>
      <c r="N585" s="29">
        <f t="shared" si="139"/>
        <v>0.19054887640449439</v>
      </c>
      <c r="O585" s="55">
        <v>0</v>
      </c>
      <c r="P585" s="49">
        <f t="shared" si="140"/>
        <v>2.0729647222222223</v>
      </c>
      <c r="Q585" s="11">
        <f t="shared" si="142"/>
        <v>2.3770352777777779</v>
      </c>
      <c r="R585" s="29">
        <f t="shared" si="141"/>
        <v>0.53416523096129842</v>
      </c>
      <c r="AA585">
        <f t="shared" si="143"/>
        <v>0</v>
      </c>
      <c r="AB585">
        <f t="shared" si="144"/>
        <v>0</v>
      </c>
      <c r="AE585" s="4"/>
    </row>
    <row r="586" spans="1:31" x14ac:dyDescent="0.25">
      <c r="A586" s="1" t="s">
        <v>4381</v>
      </c>
      <c r="B586" s="2" t="s">
        <v>4377</v>
      </c>
      <c r="C586" s="1" t="str">
        <f>_xlfn.XLOOKUP(A586,BOM!A:A,BOM!C:C)</f>
        <v>PINEAPPLE SLICES 1 X 400G</v>
      </c>
      <c r="D586" s="2" t="s">
        <v>554</v>
      </c>
      <c r="E586" s="1">
        <f>VLOOKUP(A586,BOM!A:E,5,0)</f>
        <v>0.4</v>
      </c>
      <c r="F586" s="110">
        <v>4.4000000000000004</v>
      </c>
      <c r="G586" s="10">
        <v>4.16</v>
      </c>
      <c r="H586" s="11" t="s">
        <v>1874</v>
      </c>
      <c r="I586" s="49">
        <f>SUMIFS(BOM!Q:Q,BOM!A:A,'All Products'!A586,BOM!I:I,'All Products'!I$3)</f>
        <v>0.89068965517241383</v>
      </c>
      <c r="J586" s="49">
        <f>SUMIFS(BOM!Q:Q,BOM!A:A,'All Products'!A586,BOM!I:I,'All Products'!J$3)+0.03</f>
        <v>0.43000000000000005</v>
      </c>
      <c r="K586" s="29">
        <f t="shared" si="138"/>
        <v>0.31747347480106103</v>
      </c>
      <c r="L586" s="49">
        <f>SUMIF(BOM!A:A,'All Products'!A586,BOM!S:S)</f>
        <v>0.21393200000000001</v>
      </c>
      <c r="M586" s="49">
        <f>SUMIF(BOM!A:A,'All Products'!A586,BOM!V:V)</f>
        <v>0.15232499999999999</v>
      </c>
      <c r="N586" s="29">
        <f t="shared" si="139"/>
        <v>8.8042548076923077E-2</v>
      </c>
      <c r="O586" s="55">
        <v>0</v>
      </c>
      <c r="P586" s="49">
        <f t="shared" si="140"/>
        <v>1.6869466551724139</v>
      </c>
      <c r="Q586" s="11">
        <f t="shared" si="142"/>
        <v>2.4730533448275862</v>
      </c>
      <c r="R586" s="29">
        <f t="shared" si="141"/>
        <v>0.59448397712201595</v>
      </c>
      <c r="AA586">
        <f t="shared" si="143"/>
        <v>0</v>
      </c>
      <c r="AB586">
        <f t="shared" si="144"/>
        <v>0</v>
      </c>
      <c r="AE586" s="4"/>
    </row>
    <row r="587" spans="1:31" x14ac:dyDescent="0.25">
      <c r="A587" s="1" t="s">
        <v>4382</v>
      </c>
      <c r="B587" s="2" t="s">
        <v>4377</v>
      </c>
      <c r="C587" s="1" t="str">
        <f>_xlfn.XLOOKUP(A587,BOM!A:A,BOM!C:C)</f>
        <v>POTATOES 1/4 CUT ROAST 2.5KG</v>
      </c>
      <c r="D587" s="2" t="s">
        <v>554</v>
      </c>
      <c r="E587" s="1">
        <f>VLOOKUP(A587,BOM!A:E,5,0)</f>
        <v>2.5</v>
      </c>
      <c r="F587" s="110">
        <v>4.92</v>
      </c>
      <c r="G587" s="10">
        <v>4.42</v>
      </c>
      <c r="H587" s="11" t="s">
        <v>1874</v>
      </c>
      <c r="I587" s="49">
        <f>SUMIFS(BOM!Q:Q,BOM!A:A,'All Products'!A587,BOM!I:I,'All Products'!I$3)</f>
        <v>1.4333333333333333</v>
      </c>
      <c r="J587" s="49">
        <f>SUMIFS(BOM!Q:Q,BOM!A:A,'All Products'!A587,BOM!I:I,'All Products'!J$3)+0.03</f>
        <v>0.17</v>
      </c>
      <c r="K587" s="29">
        <f t="shared" si="138"/>
        <v>0.36274509803921567</v>
      </c>
      <c r="L587" s="49">
        <f>SUMIF(BOM!A:A,'All Products'!A587,BOM!S:S)</f>
        <v>1.6078749999999999</v>
      </c>
      <c r="M587" s="49">
        <f>SUMIF(BOM!A:A,'All Products'!A587,BOM!V:V)</f>
        <v>0.21833249999999998</v>
      </c>
      <c r="N587" s="29">
        <f t="shared" si="139"/>
        <v>0.41316911764705883</v>
      </c>
      <c r="O587" s="55">
        <v>0</v>
      </c>
      <c r="P587" s="49">
        <f t="shared" si="140"/>
        <v>3.4295408333333333</v>
      </c>
      <c r="Q587" s="11">
        <f t="shared" si="142"/>
        <v>0.99045916666666667</v>
      </c>
      <c r="R587" s="29">
        <f t="shared" si="141"/>
        <v>0.2240857843137255</v>
      </c>
      <c r="AA587">
        <f t="shared" si="143"/>
        <v>0</v>
      </c>
      <c r="AB587">
        <f t="shared" si="144"/>
        <v>0</v>
      </c>
      <c r="AE587" s="4"/>
    </row>
    <row r="588" spans="1:31" x14ac:dyDescent="0.25">
      <c r="A588" s="1" t="s">
        <v>4383</v>
      </c>
      <c r="B588" s="2" t="s">
        <v>4377</v>
      </c>
      <c r="C588" s="1" t="str">
        <f>_xlfn.XLOOKUP(A588,BOM!A:A,BOM!C:C)</f>
        <v>WATERMELON TRIANGLES 1 X 400G</v>
      </c>
      <c r="D588" s="2" t="s">
        <v>554</v>
      </c>
      <c r="E588" s="1">
        <f>VLOOKUP(A588,BOM!A:E,5,0)</f>
        <v>0.4</v>
      </c>
      <c r="F588" s="110">
        <v>4.4800000000000004</v>
      </c>
      <c r="G588" s="10">
        <v>4.38</v>
      </c>
      <c r="H588" s="11" t="s">
        <v>1874</v>
      </c>
      <c r="I588" s="49">
        <f>SUMIFS(BOM!Q:Q,BOM!A:A,'All Products'!A588,BOM!I:I,'All Products'!I$3)</f>
        <v>0.70833333333333337</v>
      </c>
      <c r="J588" s="49">
        <f>SUMIFS(BOM!Q:Q,BOM!A:A,'All Products'!A588,BOM!I:I,'All Products'!J$3)+0.03</f>
        <v>0.43000000000000005</v>
      </c>
      <c r="K588" s="29">
        <f t="shared" si="138"/>
        <v>0.25989345509893458</v>
      </c>
      <c r="L588" s="49">
        <f>SUMIF(BOM!A:A,'All Products'!A588,BOM!S:S)</f>
        <v>0.35339399999999999</v>
      </c>
      <c r="M588" s="49">
        <f>SUMIF(BOM!A:A,'All Products'!A588,BOM!V:V)</f>
        <v>0.15232499999999999</v>
      </c>
      <c r="N588" s="29">
        <f t="shared" si="139"/>
        <v>0.1154609589041096</v>
      </c>
      <c r="O588" s="55">
        <v>0</v>
      </c>
      <c r="P588" s="49">
        <f t="shared" si="140"/>
        <v>1.6440523333333334</v>
      </c>
      <c r="Q588" s="11">
        <f t="shared" si="142"/>
        <v>2.7359476666666662</v>
      </c>
      <c r="R588" s="29">
        <f t="shared" si="141"/>
        <v>0.62464558599695574</v>
      </c>
      <c r="AA588">
        <f t="shared" si="143"/>
        <v>0</v>
      </c>
      <c r="AB588">
        <f t="shared" si="144"/>
        <v>0</v>
      </c>
      <c r="AE588" s="4"/>
    </row>
    <row r="589" spans="1:31" x14ac:dyDescent="0.25">
      <c r="A589" s="1" t="s">
        <v>4384</v>
      </c>
      <c r="B589" s="2" t="s">
        <v>4377</v>
      </c>
      <c r="C589" s="1" t="str">
        <f>_xlfn.XLOOKUP(A589,BOM!A:A,BOM!C:C)</f>
        <v>SWEET POTATOES DICED 20MM 2.5KG</v>
      </c>
      <c r="D589" s="2" t="s">
        <v>554</v>
      </c>
      <c r="E589" s="1">
        <f>VLOOKUP(A589,BOM!A:E,5,0)</f>
        <v>2.5</v>
      </c>
      <c r="F589" s="110">
        <v>8.3800000000000008</v>
      </c>
      <c r="G589" s="10">
        <v>7.94</v>
      </c>
      <c r="H589" s="11" t="s">
        <v>1874</v>
      </c>
      <c r="I589" s="49">
        <f>SUMIFS(BOM!Q:Q,BOM!A:A,'All Products'!A589,BOM!I:I,'All Products'!I$3)</f>
        <v>3.0136986301369864</v>
      </c>
      <c r="J589" s="49">
        <f>SUMIFS(BOM!Q:Q,BOM!A:A,'All Products'!A589,BOM!I:I,'All Products'!J$3)+0.03</f>
        <v>0.17</v>
      </c>
      <c r="K589" s="29">
        <f t="shared" si="138"/>
        <v>0.40096960077292015</v>
      </c>
      <c r="L589" s="49">
        <f>SUMIF(BOM!A:A,'All Products'!A589,BOM!S:S)</f>
        <v>1.5401749999999998</v>
      </c>
      <c r="M589" s="49">
        <f>SUMIF(BOM!A:A,'All Products'!A589,BOM!V:V)</f>
        <v>0.21833249999999998</v>
      </c>
      <c r="N589" s="29">
        <f t="shared" si="139"/>
        <v>0.22147449622166243</v>
      </c>
      <c r="O589" s="55">
        <v>0</v>
      </c>
      <c r="P589" s="49">
        <f t="shared" si="140"/>
        <v>4.9422061301369862</v>
      </c>
      <c r="Q589" s="11">
        <f t="shared" si="142"/>
        <v>2.9977938698630142</v>
      </c>
      <c r="R589" s="29">
        <f t="shared" si="141"/>
        <v>0.37755590300541741</v>
      </c>
      <c r="AA589">
        <f t="shared" si="143"/>
        <v>0</v>
      </c>
      <c r="AB589">
        <f t="shared" si="144"/>
        <v>0</v>
      </c>
      <c r="AE589" s="4"/>
    </row>
    <row r="590" spans="1:31" x14ac:dyDescent="0.25">
      <c r="A590" s="1" t="s">
        <v>4385</v>
      </c>
      <c r="B590" s="2" t="s">
        <v>4377</v>
      </c>
      <c r="C590" s="1" t="str">
        <f>_xlfn.XLOOKUP(A590,BOM!A:A,BOM!C:C)</f>
        <v>BROCCOLI FLORETS 20G 2.5KG</v>
      </c>
      <c r="D590" s="2" t="s">
        <v>554</v>
      </c>
      <c r="E590" s="1">
        <f>VLOOKUP(A590,BOM!A:E,5,0)</f>
        <v>2.5</v>
      </c>
      <c r="F590" s="110">
        <v>15.98</v>
      </c>
      <c r="G590" s="10">
        <v>15.93</v>
      </c>
      <c r="H590" s="11" t="s">
        <v>1874</v>
      </c>
      <c r="I590" s="49">
        <f>SUMIFS(BOM!Q:Q,BOM!A:A,'All Products'!A590,BOM!I:I,'All Products'!I$3)</f>
        <v>4.3965517241379315</v>
      </c>
      <c r="J590" s="49">
        <f>SUMIFS(BOM!Q:Q,BOM!A:A,'All Products'!A590,BOM!I:I,'All Products'!J$3)+0.03</f>
        <v>0.17</v>
      </c>
      <c r="K590" s="29">
        <f t="shared" si="138"/>
        <v>0.2866636361668507</v>
      </c>
      <c r="L590" s="49">
        <f>SUMIF(BOM!A:A,'All Products'!A590,BOM!S:S)</f>
        <v>2.284875</v>
      </c>
      <c r="M590" s="49">
        <f>SUMIF(BOM!A:A,'All Products'!A590,BOM!V:V)</f>
        <v>0.21833249999999998</v>
      </c>
      <c r="N590" s="29">
        <f t="shared" si="139"/>
        <v>0.15713794726930319</v>
      </c>
      <c r="O590" s="55">
        <v>0</v>
      </c>
      <c r="P590" s="49">
        <f t="shared" si="140"/>
        <v>7.0697592241379308</v>
      </c>
      <c r="Q590" s="11">
        <f t="shared" si="142"/>
        <v>8.8602407758620689</v>
      </c>
      <c r="R590" s="29">
        <f t="shared" si="141"/>
        <v>0.55619841656384617</v>
      </c>
      <c r="AA590">
        <f t="shared" si="143"/>
        <v>0</v>
      </c>
      <c r="AB590">
        <f t="shared" si="144"/>
        <v>0</v>
      </c>
      <c r="AE590" s="4"/>
    </row>
    <row r="591" spans="1:31" x14ac:dyDescent="0.25">
      <c r="A591" s="1" t="s">
        <v>4386</v>
      </c>
      <c r="B591" s="2" t="s">
        <v>4377</v>
      </c>
      <c r="C591" s="1" t="str">
        <f>_xlfn.XLOOKUP(A591,BOM!A:A,BOM!C:C)</f>
        <v>WHITE ONIONS DICED 10MM 1KG</v>
      </c>
      <c r="D591" s="2" t="s">
        <v>554</v>
      </c>
      <c r="E591" s="1">
        <f>VLOOKUP(A591,BOM!A:E,5,0)</f>
        <v>1</v>
      </c>
      <c r="F591" s="110">
        <v>1.87</v>
      </c>
      <c r="G591" s="10">
        <v>1.6</v>
      </c>
      <c r="H591" s="11" t="s">
        <v>1874</v>
      </c>
      <c r="I591" s="49">
        <f>SUMIFS(BOM!Q:Q,BOM!A:A,'All Products'!A591,BOM!I:I,'All Products'!I$3)</f>
        <v>0.98024170754011131</v>
      </c>
      <c r="J591" s="49">
        <f>SUMIFS(BOM!Q:Q,BOM!A:A,'All Products'!A591,BOM!I:I,'All Products'!J$3)+0.03</f>
        <v>0.17</v>
      </c>
      <c r="K591" s="29">
        <f t="shared" si="138"/>
        <v>0.71890106721256952</v>
      </c>
      <c r="L591" s="49">
        <f>SUMIF(BOM!A:A,'All Products'!A591,BOM!S:S)</f>
        <v>0.220025</v>
      </c>
      <c r="M591" s="49">
        <f>SUMIF(BOM!A:A,'All Products'!A591,BOM!V:V)</f>
        <v>0.21833249999999998</v>
      </c>
      <c r="N591" s="29">
        <f t="shared" si="139"/>
        <v>0.27397343749999997</v>
      </c>
      <c r="O591" s="55">
        <v>0</v>
      </c>
      <c r="P591" s="49">
        <f t="shared" si="140"/>
        <v>1.5885992075401112</v>
      </c>
      <c r="Q591" s="11">
        <f t="shared" si="142"/>
        <v>1.1400792459888898E-2</v>
      </c>
      <c r="R591" s="29">
        <f t="shared" si="141"/>
        <v>7.125495287430561E-3</v>
      </c>
      <c r="AA591">
        <f t="shared" si="143"/>
        <v>0</v>
      </c>
      <c r="AB591">
        <f t="shared" si="144"/>
        <v>0</v>
      </c>
      <c r="AE591" s="4"/>
    </row>
    <row r="592" spans="1:31" x14ac:dyDescent="0.25">
      <c r="A592" s="1" t="s">
        <v>4387</v>
      </c>
      <c r="B592" s="2" t="s">
        <v>4377</v>
      </c>
      <c r="C592" s="1" t="str">
        <f>_xlfn.XLOOKUP(A592,BOM!A:A,BOM!C:C)</f>
        <v>DICED MUSHROOM BUTTONS 5MM 1KG</v>
      </c>
      <c r="D592" s="2" t="s">
        <v>554</v>
      </c>
      <c r="E592" s="1">
        <f>VLOOKUP(A592,BOM!A:E,5,0)</f>
        <v>1</v>
      </c>
      <c r="F592" s="110">
        <v>5.19</v>
      </c>
      <c r="G592" s="10">
        <v>4.8600000000000003</v>
      </c>
      <c r="H592" s="11" t="s">
        <v>1874</v>
      </c>
      <c r="I592" s="49">
        <f>SUMIFS(BOM!Q:Q,BOM!A:A,'All Products'!A592,BOM!I:I,'All Products'!I$3)</f>
        <v>1.8877551020408165</v>
      </c>
      <c r="J592" s="49">
        <f>SUMIFS(BOM!Q:Q,BOM!A:A,'All Products'!A592,BOM!I:I,'All Products'!J$3)+0.03</f>
        <v>0.17</v>
      </c>
      <c r="K592" s="29">
        <f t="shared" si="138"/>
        <v>0.42340639959687582</v>
      </c>
      <c r="L592" s="49">
        <f>SUMIF(BOM!A:A,'All Products'!A592,BOM!S:S)</f>
        <v>3.7234999999999997E-2</v>
      </c>
      <c r="M592" s="49">
        <f>SUMIF(BOM!A:A,'All Products'!A592,BOM!V:V)</f>
        <v>0.21833249999999998</v>
      </c>
      <c r="N592" s="29">
        <f t="shared" si="139"/>
        <v>5.2585905349794237E-2</v>
      </c>
      <c r="O592" s="55">
        <v>0</v>
      </c>
      <c r="P592" s="49">
        <f t="shared" si="140"/>
        <v>2.3133226020408162</v>
      </c>
      <c r="Q592" s="11">
        <f t="shared" si="142"/>
        <v>2.5466773979591841</v>
      </c>
      <c r="R592" s="29">
        <f t="shared" si="141"/>
        <v>0.52400769505333</v>
      </c>
      <c r="AA592">
        <f t="shared" si="143"/>
        <v>0</v>
      </c>
      <c r="AB592">
        <f t="shared" si="144"/>
        <v>0</v>
      </c>
      <c r="AE592" s="4"/>
    </row>
    <row r="593" spans="1:31" x14ac:dyDescent="0.25">
      <c r="A593" s="1" t="s">
        <v>4388</v>
      </c>
      <c r="B593" s="2" t="s">
        <v>4377</v>
      </c>
      <c r="C593" s="1" t="str">
        <f>_xlfn.XLOOKUP(A593,BOM!A:A,BOM!C:C)</f>
        <v>MELON SLICES 1 X 400G</v>
      </c>
      <c r="D593" s="2" t="s">
        <v>554</v>
      </c>
      <c r="E593" s="1">
        <f>VLOOKUP(A593,BOM!A:E,5,0)</f>
        <v>0.4</v>
      </c>
      <c r="F593" s="110">
        <v>4.1500000000000004</v>
      </c>
      <c r="G593" s="10">
        <v>4.21</v>
      </c>
      <c r="H593" s="11" t="s">
        <v>1874</v>
      </c>
      <c r="I593" s="49">
        <f>SUMIFS(BOM!Q:Q,BOM!A:A,'All Products'!A593,BOM!I:I,'All Products'!I$3)</f>
        <v>0.56310160427807487</v>
      </c>
      <c r="J593" s="49">
        <f>SUMIFS(BOM!Q:Q,BOM!A:A,'All Products'!A593,BOM!I:I,'All Products'!J$3)+0.03</f>
        <v>0.43000000000000005</v>
      </c>
      <c r="K593" s="29">
        <f t="shared" si="138"/>
        <v>0.2358911174057185</v>
      </c>
      <c r="L593" s="49">
        <f>SUMIF(BOM!A:A,'All Products'!A593,BOM!S:S)</f>
        <v>0.32631399999999999</v>
      </c>
      <c r="M593" s="49">
        <f>SUMIF(BOM!A:A,'All Products'!A593,BOM!V:V)</f>
        <v>0.15232499999999999</v>
      </c>
      <c r="N593" s="29">
        <f t="shared" si="139"/>
        <v>0.11369097387173396</v>
      </c>
      <c r="O593" s="55">
        <v>0</v>
      </c>
      <c r="P593" s="49">
        <f t="shared" si="140"/>
        <v>1.471740604278075</v>
      </c>
      <c r="Q593" s="11">
        <f t="shared" si="142"/>
        <v>2.7382593957219248</v>
      </c>
      <c r="R593" s="29">
        <f t="shared" si="141"/>
        <v>0.65041790872254746</v>
      </c>
      <c r="AA593">
        <f t="shared" si="143"/>
        <v>0</v>
      </c>
      <c r="AB593">
        <f t="shared" si="144"/>
        <v>0</v>
      </c>
      <c r="AE593" s="4"/>
    </row>
    <row r="594" spans="1:31" x14ac:dyDescent="0.25">
      <c r="A594" s="1" t="s">
        <v>4389</v>
      </c>
      <c r="B594" s="2" t="s">
        <v>4377</v>
      </c>
      <c r="C594" s="1" t="str">
        <f>_xlfn.XLOOKUP(A594,BOM!A:A,BOM!C:C)</f>
        <v>GINGER PUREE 1KG</v>
      </c>
      <c r="D594" s="2" t="s">
        <v>554</v>
      </c>
      <c r="E594" s="1">
        <f>VLOOKUP(A594,BOM!A:E,5,0)</f>
        <v>1</v>
      </c>
      <c r="F594" s="110">
        <v>47.22</v>
      </c>
      <c r="G594" s="10">
        <v>48.59</v>
      </c>
      <c r="H594" s="11" t="s">
        <v>1874</v>
      </c>
      <c r="I594" s="49">
        <f>SUMIFS(BOM!Q:Q,BOM!A:A,'All Products'!A594,BOM!I:I,'All Products'!I$3)</f>
        <v>2.342857142857143</v>
      </c>
      <c r="J594" s="49">
        <f>SUMIFS(BOM!Q:Q,BOM!A:A,'All Products'!A594,BOM!I:I,'All Products'!J$3)+0.03</f>
        <v>0.17</v>
      </c>
      <c r="K594" s="29">
        <f t="shared" si="138"/>
        <v>5.171552053626554E-2</v>
      </c>
      <c r="L594" s="49">
        <f>SUMIF(BOM!A:A,'All Products'!A594,BOM!S:S)</f>
        <v>0.524675</v>
      </c>
      <c r="M594" s="49">
        <f>SUMIF(BOM!A:A,'All Products'!A594,BOM!V:V)</f>
        <v>0.21833249999999998</v>
      </c>
      <c r="N594" s="29">
        <f t="shared" si="139"/>
        <v>1.5291366536324347E-2</v>
      </c>
      <c r="O594" s="55">
        <v>0</v>
      </c>
      <c r="P594" s="49">
        <f t="shared" si="140"/>
        <v>3.2558646428571425</v>
      </c>
      <c r="Q594" s="11">
        <f t="shared" si="142"/>
        <v>45.334135357142863</v>
      </c>
      <c r="R594" s="29">
        <f t="shared" si="141"/>
        <v>0.93299311292741016</v>
      </c>
      <c r="AA594">
        <f t="shared" si="143"/>
        <v>0</v>
      </c>
      <c r="AB594">
        <f t="shared" si="144"/>
        <v>0</v>
      </c>
      <c r="AE594" s="4"/>
    </row>
    <row r="595" spans="1:31" x14ac:dyDescent="0.25">
      <c r="A595" s="1" t="s">
        <v>4390</v>
      </c>
      <c r="B595" s="2" t="s">
        <v>4377</v>
      </c>
      <c r="C595" s="1" t="str">
        <f>_xlfn.XLOOKUP(A595,BOM!A:A,BOM!C:C)</f>
        <v>GARLIC PUREE 1KG SP</v>
      </c>
      <c r="D595" s="2" t="s">
        <v>554</v>
      </c>
      <c r="E595" s="1">
        <f>VLOOKUP(A595,BOM!A:E,5,0)</f>
        <v>1</v>
      </c>
      <c r="F595" s="110">
        <v>7.44</v>
      </c>
      <c r="G595" s="10">
        <v>23.8</v>
      </c>
      <c r="H595" s="11" t="s">
        <v>1874</v>
      </c>
      <c r="I595" s="49">
        <f>SUMIFS(BOM!Q:Q,BOM!A:A,'All Products'!A595,BOM!I:I,'All Products'!I$3)</f>
        <v>3.887323943661972</v>
      </c>
      <c r="J595" s="49">
        <f>SUMIFS(BOM!Q:Q,BOM!A:A,'All Products'!A595,BOM!I:I,'All Products'!J$3)+0.03</f>
        <v>0.17</v>
      </c>
      <c r="K595" s="29">
        <f t="shared" si="138"/>
        <v>0.17047579595218368</v>
      </c>
      <c r="L595" s="49">
        <f>SUMIF(BOM!A:A,'All Products'!A595,BOM!S:S)</f>
        <v>0.37573499999999999</v>
      </c>
      <c r="M595" s="49">
        <f>SUMIF(BOM!A:A,'All Products'!A595,BOM!V:V)</f>
        <v>0.21833249999999998</v>
      </c>
      <c r="N595" s="29">
        <f t="shared" si="139"/>
        <v>2.4960819327731091E-2</v>
      </c>
      <c r="O595" s="55">
        <v>0</v>
      </c>
      <c r="P595" s="49">
        <f t="shared" si="140"/>
        <v>4.6513914436619714</v>
      </c>
      <c r="Q595" s="11">
        <f t="shared" si="142"/>
        <v>19.148608556338029</v>
      </c>
      <c r="R595" s="29">
        <f t="shared" si="141"/>
        <v>0.80456338472008526</v>
      </c>
      <c r="AA595">
        <f t="shared" si="143"/>
        <v>0</v>
      </c>
      <c r="AB595">
        <f t="shared" si="144"/>
        <v>0</v>
      </c>
      <c r="AE595" s="4"/>
    </row>
    <row r="596" spans="1:31" x14ac:dyDescent="0.25">
      <c r="A596" s="1" t="s">
        <v>4391</v>
      </c>
      <c r="B596" s="2" t="s">
        <v>4377</v>
      </c>
      <c r="C596" s="1" t="str">
        <f>_xlfn.XLOOKUP(A596,BOM!A:A,BOM!C:C)</f>
        <v>CUCUMBER STICKS 1 X 400G</v>
      </c>
      <c r="D596" s="2" t="s">
        <v>554</v>
      </c>
      <c r="E596" s="1">
        <f>VLOOKUP(A596,BOM!A:E,5,0)</f>
        <v>0.4</v>
      </c>
      <c r="F596" s="110">
        <v>4.3899999999999997</v>
      </c>
      <c r="G596" s="10">
        <v>4.18</v>
      </c>
      <c r="H596" s="11" t="s">
        <v>1874</v>
      </c>
      <c r="I596" s="49">
        <f>SUMIFS(BOM!Q:Q,BOM!A:A,'All Products'!A596,BOM!I:I,'All Products'!I$3)</f>
        <v>0.81379310344827582</v>
      </c>
      <c r="J596" s="49">
        <f>SUMIFS(BOM!Q:Q,BOM!A:A,'All Products'!A596,BOM!I:I,'All Products'!J$3)+0.03</f>
        <v>0.43000000000000005</v>
      </c>
      <c r="K596" s="29">
        <f t="shared" si="138"/>
        <v>0.29755815871968322</v>
      </c>
      <c r="L596" s="49">
        <f>SUMIF(BOM!A:A,'All Products'!A596,BOM!S:S)</f>
        <v>0.132692</v>
      </c>
      <c r="M596" s="49">
        <f>SUMIF(BOM!A:A,'All Products'!A596,BOM!V:V)</f>
        <v>0.15232499999999999</v>
      </c>
      <c r="N596" s="29">
        <f t="shared" si="139"/>
        <v>6.8185885167464114E-2</v>
      </c>
      <c r="O596" s="55">
        <v>0</v>
      </c>
      <c r="P596" s="49">
        <f t="shared" si="140"/>
        <v>1.5288101034482759</v>
      </c>
      <c r="Q596" s="11">
        <f t="shared" si="142"/>
        <v>2.651189896551724</v>
      </c>
      <c r="R596" s="29">
        <f t="shared" si="141"/>
        <v>0.63425595611285268</v>
      </c>
      <c r="AA596">
        <f t="shared" si="143"/>
        <v>0</v>
      </c>
      <c r="AB596">
        <f t="shared" si="144"/>
        <v>0</v>
      </c>
      <c r="AE596" s="4"/>
    </row>
    <row r="597" spans="1:31" x14ac:dyDescent="0.25">
      <c r="A597" s="1" t="s">
        <v>4392</v>
      </c>
      <c r="B597" s="2" t="s">
        <v>4377</v>
      </c>
      <c r="C597" s="1" t="str">
        <f>_xlfn.XLOOKUP(A597,BOM!A:A,BOM!C:C)</f>
        <v>RED ONIONS DICED 5MM 1KG</v>
      </c>
      <c r="D597" s="2" t="s">
        <v>554</v>
      </c>
      <c r="E597" s="1">
        <f>VLOOKUP(A597,BOM!A:E,5,0)</f>
        <v>1</v>
      </c>
      <c r="F597" s="110">
        <v>3.11</v>
      </c>
      <c r="G597" s="10">
        <v>2.65</v>
      </c>
      <c r="H597" s="11" t="s">
        <v>1874</v>
      </c>
      <c r="I597" s="49">
        <f>SUMIFS(BOM!Q:Q,BOM!A:A,'All Products'!A597,BOM!I:I,'All Products'!I$3)</f>
        <v>1.3333333333333333</v>
      </c>
      <c r="J597" s="49">
        <f>SUMIFS(BOM!Q:Q,BOM!A:A,'All Products'!A597,BOM!I:I,'All Products'!J$3)+0.03</f>
        <v>0.17</v>
      </c>
      <c r="K597" s="29">
        <f t="shared" si="138"/>
        <v>0.56729559748427671</v>
      </c>
      <c r="L597" s="49">
        <f>SUMIF(BOM!A:A,'All Products'!A597,BOM!S:S)</f>
        <v>0.25048999999999999</v>
      </c>
      <c r="M597" s="49">
        <f>SUMIF(BOM!A:A,'All Products'!A597,BOM!V:V)</f>
        <v>0.21833249999999998</v>
      </c>
      <c r="N597" s="29">
        <f t="shared" si="139"/>
        <v>0.17691415094339621</v>
      </c>
      <c r="O597" s="55">
        <v>0</v>
      </c>
      <c r="P597" s="49">
        <f t="shared" si="140"/>
        <v>1.9721558333333333</v>
      </c>
      <c r="Q597" s="11">
        <f t="shared" si="142"/>
        <v>0.67784416666666658</v>
      </c>
      <c r="R597" s="29">
        <f t="shared" si="141"/>
        <v>0.25579025157232704</v>
      </c>
      <c r="AA597">
        <f t="shared" si="143"/>
        <v>0</v>
      </c>
      <c r="AB597">
        <f t="shared" si="144"/>
        <v>0</v>
      </c>
      <c r="AE597" s="4"/>
    </row>
    <row r="598" spans="1:31" x14ac:dyDescent="0.25">
      <c r="A598" s="1" t="s">
        <v>4393</v>
      </c>
      <c r="B598" s="2" t="s">
        <v>4377</v>
      </c>
      <c r="C598" s="1" t="str">
        <f>_xlfn.XLOOKUP(A598,BOM!A:A,BOM!C:C)</f>
        <v>CARROT DICED 10MM 2.5KG</v>
      </c>
      <c r="D598" s="2" t="s">
        <v>554</v>
      </c>
      <c r="E598" s="1">
        <f>VLOOKUP(A598,BOM!A:E,5,0)</f>
        <v>2.5</v>
      </c>
      <c r="F598" s="110">
        <v>3.82</v>
      </c>
      <c r="G598" s="10">
        <v>3.7</v>
      </c>
      <c r="H598" s="11" t="s">
        <v>1874</v>
      </c>
      <c r="I598" s="49">
        <f>SUMIFS(BOM!Q:Q,BOM!A:A,'All Products'!A598,BOM!I:I,'All Products'!I$3)</f>
        <v>1.3380281690140845</v>
      </c>
      <c r="J598" s="49">
        <f>SUMIFS(BOM!Q:Q,BOM!A:A,'All Products'!A598,BOM!I:I,'All Products'!J$3)+0.03</f>
        <v>0.17</v>
      </c>
      <c r="K598" s="29">
        <f t="shared" si="138"/>
        <v>0.40757518081461741</v>
      </c>
      <c r="L598" s="49">
        <f>SUMIF(BOM!A:A,'All Products'!A598,BOM!S:S)</f>
        <v>1.0578124999999998</v>
      </c>
      <c r="M598" s="49">
        <f>SUMIF(BOM!A:A,'All Products'!A598,BOM!V:V)</f>
        <v>0.21833249999999998</v>
      </c>
      <c r="N598" s="29">
        <f t="shared" si="139"/>
        <v>0.344904054054054</v>
      </c>
      <c r="O598" s="55">
        <v>0</v>
      </c>
      <c r="P598" s="49">
        <f t="shared" si="140"/>
        <v>2.7841731690140845</v>
      </c>
      <c r="Q598" s="11">
        <f t="shared" si="142"/>
        <v>0.91582683098591566</v>
      </c>
      <c r="R598" s="29">
        <f t="shared" si="141"/>
        <v>0.24752076513132854</v>
      </c>
      <c r="AA598">
        <f t="shared" si="143"/>
        <v>0</v>
      </c>
      <c r="AB598">
        <f t="shared" si="144"/>
        <v>0</v>
      </c>
      <c r="AE598" s="4"/>
    </row>
    <row r="599" spans="1:31" x14ac:dyDescent="0.25">
      <c r="A599" s="1" t="s">
        <v>4394</v>
      </c>
      <c r="B599" s="2" t="s">
        <v>4377</v>
      </c>
      <c r="C599" s="1" t="str">
        <f>_xlfn.XLOOKUP(A599,BOM!A:A,BOM!C:C)</f>
        <v>CAULIFLOWER FLORETS 30G 2.5KG</v>
      </c>
      <c r="D599" s="2" t="s">
        <v>554</v>
      </c>
      <c r="E599" s="1">
        <f>VLOOKUP(A599,BOM!A:E,5,0)</f>
        <v>2.5</v>
      </c>
      <c r="F599" s="110">
        <v>31.78</v>
      </c>
      <c r="G599" s="10">
        <v>36.32</v>
      </c>
      <c r="H599" s="11" t="s">
        <v>1874</v>
      </c>
      <c r="I599" s="49">
        <f>SUMIFS(BOM!Q:Q,BOM!A:A,'All Products'!A599,BOM!I:I,'All Products'!I$3)</f>
        <v>4.2857142857142856</v>
      </c>
      <c r="J599" s="49">
        <f>SUMIFS(BOM!Q:Q,BOM!A:A,'All Products'!A599,BOM!I:I,'All Products'!J$3)+0.03</f>
        <v>0.17</v>
      </c>
      <c r="K599" s="29">
        <f t="shared" si="138"/>
        <v>0.12267935808684707</v>
      </c>
      <c r="L599" s="49">
        <f>SUMIF(BOM!A:A,'All Products'!A599,BOM!S:S)</f>
        <v>4.0958499999999995</v>
      </c>
      <c r="M599" s="49">
        <f>SUMIF(BOM!A:A,'All Products'!A599,BOM!V:V)</f>
        <v>0.21833249999999998</v>
      </c>
      <c r="N599" s="29">
        <f t="shared" si="139"/>
        <v>0.11878255781938324</v>
      </c>
      <c r="O599" s="55">
        <v>0</v>
      </c>
      <c r="P599" s="49">
        <f t="shared" si="140"/>
        <v>8.769896785714284</v>
      </c>
      <c r="Q599" s="11">
        <f t="shared" si="142"/>
        <v>27.550103214285716</v>
      </c>
      <c r="R599" s="29">
        <f t="shared" si="141"/>
        <v>0.75853808409376977</v>
      </c>
      <c r="AA599">
        <f t="shared" si="143"/>
        <v>0</v>
      </c>
      <c r="AB599">
        <f t="shared" si="144"/>
        <v>0</v>
      </c>
      <c r="AE599" s="4">
        <v>6.7142857142857144</v>
      </c>
    </row>
    <row r="600" spans="1:31" x14ac:dyDescent="0.25">
      <c r="A600" s="1" t="s">
        <v>4395</v>
      </c>
      <c r="B600" s="2" t="s">
        <v>4377</v>
      </c>
      <c r="C600" s="1" t="str">
        <f>_xlfn.XLOOKUP(A600,BOM!A:A,BOM!C:C)</f>
        <v>PREP DICED BUTTERNUT 15MM X2.5KG</v>
      </c>
      <c r="D600" s="2" t="s">
        <v>554</v>
      </c>
      <c r="E600" s="1">
        <f>VLOOKUP(A600,BOM!A:E,5,0)</f>
        <v>2.5</v>
      </c>
      <c r="F600" s="110">
        <v>7.78</v>
      </c>
      <c r="G600" s="10">
        <v>7.48</v>
      </c>
      <c r="H600" s="11" t="s">
        <v>1874</v>
      </c>
      <c r="I600" s="49">
        <f>SUMIFS(BOM!Q:Q,BOM!A:A,'All Products'!A600,BOM!I:I,'All Products'!I$3)</f>
        <v>2.2260273972602742</v>
      </c>
      <c r="J600" s="49">
        <f>SUMIFS(BOM!Q:Q,BOM!A:A,'All Products'!A600,BOM!I:I,'All Products'!J$3)+0.03</f>
        <v>0.17</v>
      </c>
      <c r="K600" s="29">
        <f t="shared" si="138"/>
        <v>0.32032451835030401</v>
      </c>
      <c r="L600" s="49">
        <f>SUMIF(BOM!A:A,'All Products'!A600,BOM!S:S)</f>
        <v>1.4386249999999998</v>
      </c>
      <c r="M600" s="49">
        <f>SUMIF(BOM!A:A,'All Products'!A600,BOM!V:V)</f>
        <v>0.21833249999999998</v>
      </c>
      <c r="N600" s="29">
        <f t="shared" si="139"/>
        <v>0.22151838235294113</v>
      </c>
      <c r="O600" s="55">
        <v>0</v>
      </c>
      <c r="P600" s="49">
        <f t="shared" si="140"/>
        <v>4.0529848972602736</v>
      </c>
      <c r="Q600" s="11">
        <f t="shared" si="142"/>
        <v>3.4270151027397269</v>
      </c>
      <c r="R600" s="29">
        <f t="shared" si="141"/>
        <v>0.45815709929675491</v>
      </c>
      <c r="AA600">
        <f t="shared" si="143"/>
        <v>0</v>
      </c>
      <c r="AB600">
        <f t="shared" si="144"/>
        <v>0</v>
      </c>
      <c r="AE600" s="4"/>
    </row>
    <row r="601" spans="1:31" x14ac:dyDescent="0.25">
      <c r="A601" s="1" t="s">
        <v>4396</v>
      </c>
      <c r="B601" s="2" t="s">
        <v>4377</v>
      </c>
      <c r="C601" s="1" t="str">
        <f>_xlfn.XLOOKUP(A601,BOM!A:A,BOM!C:C)</f>
        <v>MIX CELARIAC,SWEDE,SQUASH 1KG</v>
      </c>
      <c r="D601" s="2" t="s">
        <v>554</v>
      </c>
      <c r="E601" s="1">
        <f>VLOOKUP(A601,BOM!A:E,5,0)</f>
        <v>1</v>
      </c>
      <c r="F601" s="110">
        <v>4.0599999999999996</v>
      </c>
      <c r="G601" s="10">
        <v>3.76</v>
      </c>
      <c r="H601" s="11" t="s">
        <v>1874</v>
      </c>
      <c r="I601" s="49">
        <f>SUMIFS(BOM!Q:Q,BOM!A:A,'All Products'!A601,BOM!I:I,'All Products'!I$3)</f>
        <v>0.78861929564411504</v>
      </c>
      <c r="J601" s="49">
        <f>SUMIFS(BOM!Q:Q,BOM!A:A,'All Products'!A601,BOM!I:I,'All Products'!J$3)+0.03</f>
        <v>0.17</v>
      </c>
      <c r="K601" s="29">
        <f t="shared" si="138"/>
        <v>0.2549519403308817</v>
      </c>
      <c r="L601" s="49">
        <f>SUMIF(BOM!A:A,'All Products'!A601,BOM!S:S)</f>
        <v>1.09372735</v>
      </c>
      <c r="M601" s="49">
        <f>SUMIF(BOM!A:A,'All Products'!A601,BOM!V:V)</f>
        <v>0.21833249999999998</v>
      </c>
      <c r="N601" s="29">
        <f t="shared" si="139"/>
        <v>0.34895208776595749</v>
      </c>
      <c r="O601" s="55">
        <v>0</v>
      </c>
      <c r="P601" s="49">
        <f t="shared" si="140"/>
        <v>2.2706791456441149</v>
      </c>
      <c r="Q601" s="11">
        <f t="shared" si="142"/>
        <v>1.4893208543558849</v>
      </c>
      <c r="R601" s="29">
        <f t="shared" si="141"/>
        <v>0.39609597190316093</v>
      </c>
      <c r="AA601">
        <f t="shared" si="143"/>
        <v>0</v>
      </c>
      <c r="AB601">
        <f t="shared" si="144"/>
        <v>0</v>
      </c>
      <c r="AE601" s="4"/>
    </row>
    <row r="602" spans="1:31" x14ac:dyDescent="0.25">
      <c r="A602" s="1" t="s">
        <v>4397</v>
      </c>
      <c r="B602" s="2" t="s">
        <v>4377</v>
      </c>
      <c r="C602" s="1" t="str">
        <f>_xlfn.XLOOKUP(A602,BOM!A:A,BOM!C:C)</f>
        <v>COURGETTE HALF MOON 1KG</v>
      </c>
      <c r="D602" s="2" t="s">
        <v>554</v>
      </c>
      <c r="E602" s="1">
        <f>VLOOKUP(A602,BOM!A:E,5,0)</f>
        <v>1</v>
      </c>
      <c r="F602" s="110">
        <v>4.78</v>
      </c>
      <c r="G602" s="10">
        <v>4.45</v>
      </c>
      <c r="H602" s="11" t="s">
        <v>1874</v>
      </c>
      <c r="I602" s="49">
        <f>SUMIFS(BOM!Q:Q,BOM!A:A,'All Products'!A602,BOM!I:I,'All Products'!I$3)</f>
        <v>1.1702127659574468</v>
      </c>
      <c r="J602" s="49">
        <f>SUMIFS(BOM!Q:Q,BOM!A:A,'All Products'!A602,BOM!I:I,'All Products'!J$3)+0.03</f>
        <v>0.17</v>
      </c>
      <c r="K602" s="29">
        <f t="shared" si="138"/>
        <v>0.30117140808032511</v>
      </c>
      <c r="L602" s="49">
        <f>SUMIF(BOM!A:A,'All Products'!A602,BOM!S:S)</f>
        <v>0.38588999999999996</v>
      </c>
      <c r="M602" s="49">
        <f>SUMIF(BOM!A:A,'All Products'!A602,BOM!V:V)</f>
        <v>0.21833249999999998</v>
      </c>
      <c r="N602" s="29">
        <f t="shared" si="139"/>
        <v>0.13578033707865164</v>
      </c>
      <c r="O602" s="55">
        <v>0</v>
      </c>
      <c r="P602" s="49">
        <f t="shared" si="140"/>
        <v>1.9444352659574466</v>
      </c>
      <c r="Q602" s="11">
        <f t="shared" si="142"/>
        <v>2.5055647340425535</v>
      </c>
      <c r="R602" s="29">
        <f t="shared" si="141"/>
        <v>0.56304825484102328</v>
      </c>
      <c r="AA602">
        <f t="shared" si="143"/>
        <v>0</v>
      </c>
      <c r="AB602">
        <f t="shared" si="144"/>
        <v>0</v>
      </c>
      <c r="AE602" s="4"/>
    </row>
    <row r="603" spans="1:31" x14ac:dyDescent="0.25">
      <c r="A603" s="1" t="s">
        <v>4398</v>
      </c>
      <c r="B603" s="2" t="s">
        <v>4377</v>
      </c>
      <c r="C603" s="1" t="str">
        <f>_xlfn.XLOOKUP(A603,BOM!A:A,BOM!C:C)</f>
        <v>SUGARSNAP T&amp;T 2.5KG</v>
      </c>
      <c r="D603" s="2" t="s">
        <v>554</v>
      </c>
      <c r="E603" s="1">
        <f>VLOOKUP(A603,BOM!A:E,5,0)</f>
        <v>2.5</v>
      </c>
      <c r="F603" s="110">
        <v>45.67</v>
      </c>
      <c r="G603" s="10">
        <v>44.62</v>
      </c>
      <c r="H603" s="11" t="s">
        <v>1874</v>
      </c>
      <c r="I603" s="49">
        <f>SUMIFS(BOM!Q:Q,BOM!A:A,'All Products'!A603,BOM!I:I,'All Products'!I$3)</f>
        <v>9.9117647058823533</v>
      </c>
      <c r="J603" s="49">
        <f>SUMIFS(BOM!Q:Q,BOM!A:A,'All Products'!A603,BOM!I:I,'All Products'!J$3)+0.03</f>
        <v>0.17</v>
      </c>
      <c r="K603" s="29">
        <f t="shared" si="138"/>
        <v>0.22594721438553012</v>
      </c>
      <c r="L603" s="49">
        <f>SUMIF(BOM!A:A,'All Products'!A603,BOM!S:S)</f>
        <v>11.424375</v>
      </c>
      <c r="M603" s="49">
        <f>SUMIF(BOM!A:A,'All Products'!A603,BOM!V:V)</f>
        <v>0.21833249999999998</v>
      </c>
      <c r="N603" s="29">
        <f t="shared" si="139"/>
        <v>0.260930244285074</v>
      </c>
      <c r="O603" s="55">
        <v>0</v>
      </c>
      <c r="P603" s="49">
        <f t="shared" si="140"/>
        <v>21.724472205882353</v>
      </c>
      <c r="Q603" s="11">
        <f t="shared" si="142"/>
        <v>22.895527794117644</v>
      </c>
      <c r="R603" s="29">
        <f t="shared" si="141"/>
        <v>0.51312254132939594</v>
      </c>
      <c r="AA603">
        <f t="shared" si="143"/>
        <v>0</v>
      </c>
      <c r="AB603">
        <f t="shared" si="144"/>
        <v>0</v>
      </c>
      <c r="AE603" s="4"/>
    </row>
    <row r="604" spans="1:31" x14ac:dyDescent="0.25">
      <c r="A604" s="1" t="s">
        <v>4399</v>
      </c>
      <c r="B604" s="2" t="s">
        <v>4377</v>
      </c>
      <c r="C604" s="1" t="str">
        <f>_xlfn.XLOOKUP(A604,BOM!A:A,BOM!C:C)</f>
        <v>PARSNIP DICED 20MM 2.5KG</v>
      </c>
      <c r="D604" s="2" t="s">
        <v>554</v>
      </c>
      <c r="E604" s="1">
        <f>VLOOKUP(A604,BOM!A:E,5,0)</f>
        <v>2.5</v>
      </c>
      <c r="F604" s="110">
        <v>13.59</v>
      </c>
      <c r="G604" s="10">
        <v>13.9</v>
      </c>
      <c r="H604" s="11" t="s">
        <v>1874</v>
      </c>
      <c r="I604" s="49">
        <f>SUMIFS(BOM!Q:Q,BOM!A:A,'All Products'!A604,BOM!I:I,'All Products'!I$3)</f>
        <v>3.3928571428571423</v>
      </c>
      <c r="J604" s="49">
        <f>SUMIFS(BOM!Q:Q,BOM!A:A,'All Products'!A604,BOM!I:I,'All Products'!J$3)+0.03</f>
        <v>0.17</v>
      </c>
      <c r="K604" s="29">
        <f t="shared" si="138"/>
        <v>0.25632065775950663</v>
      </c>
      <c r="L604" s="49">
        <f>SUMIF(BOM!A:A,'All Products'!A604,BOM!S:S)</f>
        <v>6.4568874999999988</v>
      </c>
      <c r="M604" s="49">
        <f>SUMIF(BOM!A:A,'All Products'!A604,BOM!V:V)</f>
        <v>0.21833249999999998</v>
      </c>
      <c r="N604" s="29">
        <f t="shared" si="139"/>
        <v>0.48023165467625889</v>
      </c>
      <c r="O604" s="55">
        <v>0</v>
      </c>
      <c r="P604" s="49">
        <f t="shared" si="140"/>
        <v>10.23807714285714</v>
      </c>
      <c r="Q604" s="11">
        <f t="shared" si="142"/>
        <v>3.6619228571428604</v>
      </c>
      <c r="R604" s="29">
        <f t="shared" si="141"/>
        <v>0.26344768756423453</v>
      </c>
      <c r="AA604">
        <f t="shared" si="143"/>
        <v>0</v>
      </c>
      <c r="AB604">
        <f t="shared" si="144"/>
        <v>0</v>
      </c>
      <c r="AE604" s="4"/>
    </row>
    <row r="605" spans="1:31" x14ac:dyDescent="0.25">
      <c r="A605" s="1" t="s">
        <v>4400</v>
      </c>
      <c r="B605" s="2" t="s">
        <v>4377</v>
      </c>
      <c r="C605" s="1" t="str">
        <f>_xlfn.XLOOKUP(A605,BOM!A:A,BOM!C:C)</f>
        <v>PREP ORANGE SEGEMENTS 400G</v>
      </c>
      <c r="D605" s="2" t="s">
        <v>554</v>
      </c>
      <c r="E605" s="1">
        <f>VLOOKUP(A605,BOM!A:E,5,0)</f>
        <v>0.4</v>
      </c>
      <c r="F605" s="110">
        <v>3.5</v>
      </c>
      <c r="G605" s="10">
        <v>3.3</v>
      </c>
      <c r="H605" s="11" t="s">
        <v>1874</v>
      </c>
      <c r="I605" s="49">
        <f>SUMIFS(BOM!Q:Q,BOM!A:A,'All Products'!A605,BOM!I:I,'All Products'!I$3)</f>
        <v>0.68085106382978733</v>
      </c>
      <c r="J605" s="49">
        <f>SUMIFS(BOM!Q:Q,BOM!A:A,'All Products'!A605,BOM!I:I,'All Products'!J$3)+0.03</f>
        <v>0.43000000000000005</v>
      </c>
      <c r="K605" s="29">
        <f t="shared" si="138"/>
        <v>0.336621534493875</v>
      </c>
      <c r="L605" s="49">
        <f>SUMIF(BOM!A:A,'All Products'!A605,BOM!S:S)</f>
        <v>0.66616799999999987</v>
      </c>
      <c r="M605" s="49">
        <f>SUMIF(BOM!A:A,'All Products'!A605,BOM!V:V)</f>
        <v>0.15232499999999999</v>
      </c>
      <c r="N605" s="29">
        <f t="shared" si="139"/>
        <v>0.24802818181818181</v>
      </c>
      <c r="O605" s="55">
        <v>0</v>
      </c>
      <c r="P605" s="49">
        <f t="shared" si="140"/>
        <v>1.9293440638297874</v>
      </c>
      <c r="Q605" s="11">
        <f t="shared" si="142"/>
        <v>1.3706559361702124</v>
      </c>
      <c r="R605" s="29">
        <f t="shared" si="141"/>
        <v>0.41535028368794319</v>
      </c>
      <c r="AA605">
        <f t="shared" si="143"/>
        <v>0</v>
      </c>
      <c r="AB605">
        <f t="shared" si="144"/>
        <v>0</v>
      </c>
      <c r="AE605" s="4"/>
    </row>
    <row r="606" spans="1:31" x14ac:dyDescent="0.25">
      <c r="A606" s="1" t="s">
        <v>4401</v>
      </c>
      <c r="B606" s="2" t="s">
        <v>4377</v>
      </c>
      <c r="C606" s="1" t="str">
        <f>_xlfn.XLOOKUP(A606,BOM!A:A,BOM!C:C)</f>
        <v>NEW POTATOES WITH SKIN 1/4 2.5KG</v>
      </c>
      <c r="D606" s="2" t="s">
        <v>554</v>
      </c>
      <c r="E606" s="1">
        <f>VLOOKUP(A606,BOM!A:E,5,0)</f>
        <v>2.5</v>
      </c>
      <c r="F606" s="110">
        <v>4.6399999999999997</v>
      </c>
      <c r="G606" s="10">
        <v>5.19</v>
      </c>
      <c r="H606" s="11" t="s">
        <v>1874</v>
      </c>
      <c r="I606" s="49">
        <f>SUMIFS(BOM!Q:Q,BOM!A:A,'All Products'!A606,BOM!I:I,'All Products'!I$3)</f>
        <v>2.3979591836734691</v>
      </c>
      <c r="J606" s="49">
        <f>SUMIFS(BOM!Q:Q,BOM!A:A,'All Products'!A606,BOM!I:I,'All Products'!J$3)+0.03</f>
        <v>0.17</v>
      </c>
      <c r="K606" s="29">
        <f t="shared" si="138"/>
        <v>0.49478982344382827</v>
      </c>
      <c r="L606" s="49">
        <f>SUMIF(BOM!A:A,'All Products'!A606,BOM!S:S)</f>
        <v>1.2693749999999999</v>
      </c>
      <c r="M606" s="49">
        <f>SUMIF(BOM!A:A,'All Products'!A606,BOM!V:V)</f>
        <v>0.21833249999999998</v>
      </c>
      <c r="N606" s="29">
        <f t="shared" si="139"/>
        <v>0.28664884393063583</v>
      </c>
      <c r="O606" s="55">
        <v>0</v>
      </c>
      <c r="P606" s="49">
        <f t="shared" si="140"/>
        <v>4.0556666836734685</v>
      </c>
      <c r="Q606" s="11">
        <f t="shared" si="142"/>
        <v>1.1343333163265319</v>
      </c>
      <c r="R606" s="29">
        <f t="shared" si="141"/>
        <v>0.21856133262553598</v>
      </c>
      <c r="AA606">
        <f t="shared" si="143"/>
        <v>0</v>
      </c>
      <c r="AB606">
        <f t="shared" si="144"/>
        <v>0</v>
      </c>
      <c r="AE606" s="4"/>
    </row>
    <row r="607" spans="1:31" x14ac:dyDescent="0.25">
      <c r="A607" s="1" t="s">
        <v>4402</v>
      </c>
      <c r="B607" s="2" t="s">
        <v>4377</v>
      </c>
      <c r="C607" s="1" t="str">
        <f>_xlfn.XLOOKUP(A607,BOM!A:A,BOM!C:C)</f>
        <v>COURGETTE MATCH 2.5MM 1KG</v>
      </c>
      <c r="D607" s="2" t="s">
        <v>554</v>
      </c>
      <c r="E607" s="1">
        <f>VLOOKUP(A607,BOM!A:E,5,0)</f>
        <v>1</v>
      </c>
      <c r="F607" s="110">
        <v>4.17</v>
      </c>
      <c r="G607" s="10">
        <v>3.83</v>
      </c>
      <c r="H607" s="11" t="s">
        <v>1874</v>
      </c>
      <c r="I607" s="49">
        <f>SUMIFS(BOM!Q:Q,BOM!A:A,'All Products'!A607,BOM!I:I,'All Products'!I$3)</f>
        <v>1.4666666666666668</v>
      </c>
      <c r="J607" s="49">
        <f>SUMIFS(BOM!Q:Q,BOM!A:A,'All Products'!A607,BOM!I:I,'All Products'!J$3)+0.03</f>
        <v>0.17</v>
      </c>
      <c r="K607" s="29">
        <f t="shared" si="138"/>
        <v>0.42732811140121846</v>
      </c>
      <c r="L607" s="49">
        <f>SUMIF(BOM!A:A,'All Products'!A607,BOM!S:S)</f>
        <v>0.40620000000000001</v>
      </c>
      <c r="M607" s="49">
        <f>SUMIF(BOM!A:A,'All Products'!A607,BOM!V:V)</f>
        <v>0.21833249999999998</v>
      </c>
      <c r="N607" s="29">
        <f t="shared" si="139"/>
        <v>0.16306331592689294</v>
      </c>
      <c r="O607" s="55">
        <v>0</v>
      </c>
      <c r="P607" s="49">
        <f t="shared" si="140"/>
        <v>2.2611991666666666</v>
      </c>
      <c r="Q607" s="11">
        <f t="shared" si="142"/>
        <v>1.5688008333333334</v>
      </c>
      <c r="R607" s="29">
        <f t="shared" si="141"/>
        <v>0.4096085726718886</v>
      </c>
      <c r="AA607">
        <f t="shared" si="143"/>
        <v>0</v>
      </c>
      <c r="AB607">
        <f t="shared" si="144"/>
        <v>0</v>
      </c>
      <c r="AE607" s="4"/>
    </row>
    <row r="608" spans="1:31" x14ac:dyDescent="0.25">
      <c r="A608" s="1" t="s">
        <v>4403</v>
      </c>
      <c r="B608" s="2" t="s">
        <v>4377</v>
      </c>
      <c r="C608" s="1" t="str">
        <f>_xlfn.XLOOKUP(A608,BOM!A:A,BOM!C:C)</f>
        <v>PEPPER RED DICED 10MM 1KG</v>
      </c>
      <c r="D608" s="2" t="s">
        <v>554</v>
      </c>
      <c r="E608" s="1">
        <f>VLOOKUP(A608,BOM!A:E,5,0)</f>
        <v>1</v>
      </c>
      <c r="F608" s="110">
        <v>7.18</v>
      </c>
      <c r="G608" s="10">
        <v>7.07</v>
      </c>
      <c r="H608" s="11" t="s">
        <v>1874</v>
      </c>
      <c r="I608" s="49">
        <f>SUMIFS(BOM!Q:Q,BOM!A:A,'All Products'!A608,BOM!I:I,'All Products'!I$3)</f>
        <v>2.4571428571428573</v>
      </c>
      <c r="J608" s="49">
        <f>SUMIFS(BOM!Q:Q,BOM!A:A,'All Products'!A608,BOM!I:I,'All Products'!J$3)+0.03</f>
        <v>0.17</v>
      </c>
      <c r="K608" s="29">
        <f t="shared" si="138"/>
        <v>0.37159022024651445</v>
      </c>
      <c r="L608" s="49">
        <f>SUMIF(BOM!A:A,'All Products'!A608,BOM!S:S)</f>
        <v>0.34865499999999999</v>
      </c>
      <c r="M608" s="49">
        <f>SUMIF(BOM!A:A,'All Products'!A608,BOM!V:V)</f>
        <v>0.21833249999999998</v>
      </c>
      <c r="N608" s="29">
        <f t="shared" si="139"/>
        <v>8.0196251768033938E-2</v>
      </c>
      <c r="O608" s="55">
        <v>0</v>
      </c>
      <c r="P608" s="49">
        <f t="shared" si="140"/>
        <v>3.194130357142857</v>
      </c>
      <c r="Q608" s="11">
        <f t="shared" si="142"/>
        <v>3.8758696428571433</v>
      </c>
      <c r="R608" s="29">
        <f t="shared" si="141"/>
        <v>0.54821352798545164</v>
      </c>
      <c r="AA608">
        <f t="shared" si="143"/>
        <v>0</v>
      </c>
      <c r="AB608">
        <f t="shared" si="144"/>
        <v>0</v>
      </c>
      <c r="AE608" s="4"/>
    </row>
    <row r="609" spans="1:31" x14ac:dyDescent="0.25">
      <c r="A609" s="1" t="s">
        <v>4404</v>
      </c>
      <c r="B609" s="2" t="s">
        <v>4377</v>
      </c>
      <c r="C609" s="1" t="str">
        <f>_xlfn.XLOOKUP(A609,BOM!A:A,BOM!C:C)</f>
        <v>POTATOES SLICED 10MM 2.5KG</v>
      </c>
      <c r="D609" s="2" t="s">
        <v>554</v>
      </c>
      <c r="E609" s="1">
        <f>VLOOKUP(A609,BOM!A:E,5,0)</f>
        <v>2.5</v>
      </c>
      <c r="F609" s="110">
        <v>6.62</v>
      </c>
      <c r="G609" s="10">
        <v>5.49</v>
      </c>
      <c r="H609" s="11" t="s">
        <v>1874</v>
      </c>
      <c r="I609" s="49">
        <f>SUMIFS(BOM!Q:Q,BOM!A:A,'All Products'!A609,BOM!I:I,'All Products'!I$3)</f>
        <v>1.1842105263157896</v>
      </c>
      <c r="J609" s="49">
        <f>SUMIFS(BOM!Q:Q,BOM!A:A,'All Products'!A609,BOM!I:I,'All Products'!J$3)+0.03</f>
        <v>0.17</v>
      </c>
      <c r="K609" s="29">
        <f t="shared" si="138"/>
        <v>0.24666858402837696</v>
      </c>
      <c r="L609" s="49">
        <f>SUMIF(BOM!A:A,'All Products'!A609,BOM!S:S)</f>
        <v>2.9026375</v>
      </c>
      <c r="M609" s="49">
        <f>SUMIF(BOM!A:A,'All Products'!A609,BOM!V:V)</f>
        <v>0.29618749999999999</v>
      </c>
      <c r="N609" s="29">
        <f t="shared" si="139"/>
        <v>0.58266393442622944</v>
      </c>
      <c r="O609" s="55">
        <v>0</v>
      </c>
      <c r="P609" s="49">
        <f t="shared" si="140"/>
        <v>4.5530355263157896</v>
      </c>
      <c r="Q609" s="11">
        <f t="shared" si="142"/>
        <v>0.93696447368421065</v>
      </c>
      <c r="R609" s="29">
        <f t="shared" si="141"/>
        <v>0.17066748154539355</v>
      </c>
      <c r="AA609">
        <f t="shared" si="143"/>
        <v>0</v>
      </c>
      <c r="AB609">
        <f t="shared" si="144"/>
        <v>0</v>
      </c>
      <c r="AE609" s="4"/>
    </row>
    <row r="610" spans="1:31" x14ac:dyDescent="0.25">
      <c r="A610" s="134" t="s">
        <v>4405</v>
      </c>
      <c r="B610" s="2" t="s">
        <v>4377</v>
      </c>
      <c r="C610" s="1" t="str">
        <f>_xlfn.XLOOKUP(A610,BOM!A:A,BOM!C:C)</f>
        <v>PREP SWEET POTS DICE 25MM 2.5K</v>
      </c>
      <c r="D610" s="2" t="s">
        <v>554</v>
      </c>
      <c r="E610" s="1">
        <f>VLOOKUP(A610,BOM!A:E,5,0)</f>
        <v>2.5</v>
      </c>
      <c r="F610" s="110">
        <v>7.5</v>
      </c>
      <c r="G610" s="10">
        <v>6.71</v>
      </c>
      <c r="H610" s="11" t="s">
        <v>1874</v>
      </c>
      <c r="I610" s="49">
        <f>SUMIFS(BOM!Q:Q,BOM!A:A,'All Products'!A610,BOM!I:I,'All Products'!I$3)</f>
        <v>2.6829268292682928</v>
      </c>
      <c r="J610" s="49">
        <f>SUMIFS(BOM!Q:Q,BOM!A:A,'All Products'!A610,BOM!I:I,'All Products'!J$3)+0.03</f>
        <v>0.17</v>
      </c>
      <c r="K610" s="29">
        <f t="shared" si="138"/>
        <v>0.42517538439169789</v>
      </c>
      <c r="L610" s="49">
        <f>SUMIF(BOM!A:A,'All Products'!A610,BOM!S:S)</f>
        <v>3.1141999999999999</v>
      </c>
      <c r="M610" s="49">
        <f>SUMIF(BOM!A:A,'All Products'!A610,BOM!V:V)</f>
        <v>0.29618749999999999</v>
      </c>
      <c r="N610" s="29">
        <f t="shared" si="139"/>
        <v>0.50825447093889708</v>
      </c>
      <c r="O610" s="55">
        <v>0</v>
      </c>
      <c r="P610" s="49">
        <f t="shared" si="140"/>
        <v>6.263314329268292</v>
      </c>
      <c r="Q610" s="11">
        <f t="shared" si="142"/>
        <v>0.44668567073170795</v>
      </c>
      <c r="R610" s="29">
        <f t="shared" si="141"/>
        <v>6.6570144669405057E-2</v>
      </c>
      <c r="AA610">
        <f t="shared" si="143"/>
        <v>0</v>
      </c>
      <c r="AB610">
        <f t="shared" si="144"/>
        <v>0</v>
      </c>
      <c r="AE610" s="4"/>
    </row>
    <row r="611" spans="1:31" x14ac:dyDescent="0.25">
      <c r="A611" s="1" t="s">
        <v>4406</v>
      </c>
      <c r="B611" s="2" t="s">
        <v>4377</v>
      </c>
      <c r="C611" s="1" t="str">
        <f>_xlfn.XLOOKUP(A611,BOM!A:A,BOM!C:C)</f>
        <v>SWEET POTATOES GRATED 1KG</v>
      </c>
      <c r="D611" s="2" t="s">
        <v>554</v>
      </c>
      <c r="E611" s="1">
        <f>VLOOKUP(A611,BOM!A:E,5,0)</f>
        <v>1</v>
      </c>
      <c r="F611" s="110">
        <v>4.3499999999999996</v>
      </c>
      <c r="G611" s="10">
        <v>3.86</v>
      </c>
      <c r="H611" s="11" t="s">
        <v>1874</v>
      </c>
      <c r="I611" s="49">
        <f>SUMIFS(BOM!Q:Q,BOM!A:A,'All Products'!A611,BOM!I:I,'All Products'!I$3)</f>
        <v>1.0731707317073171</v>
      </c>
      <c r="J611" s="49">
        <f>SUMIFS(BOM!Q:Q,BOM!A:A,'All Products'!A611,BOM!I:I,'All Products'!J$3)+0.03</f>
        <v>0.17</v>
      </c>
      <c r="K611" s="29">
        <f t="shared" si="138"/>
        <v>0.32206495640085936</v>
      </c>
      <c r="L611" s="49">
        <f>SUMIF(BOM!A:A,'All Products'!A611,BOM!S:S)</f>
        <v>6.7699999999999996E-2</v>
      </c>
      <c r="M611" s="49">
        <f>SUMIF(BOM!A:A,'All Products'!A611,BOM!V:V)</f>
        <v>0.21833249999999998</v>
      </c>
      <c r="N611" s="29">
        <f t="shared" si="139"/>
        <v>7.4101683937823834E-2</v>
      </c>
      <c r="O611" s="55">
        <v>0</v>
      </c>
      <c r="P611" s="49">
        <f t="shared" si="140"/>
        <v>1.5292032317073172</v>
      </c>
      <c r="Q611" s="11">
        <f t="shared" si="142"/>
        <v>2.3307967682926827</v>
      </c>
      <c r="R611" s="29">
        <f t="shared" si="141"/>
        <v>0.60383335966131679</v>
      </c>
      <c r="AA611">
        <f t="shared" si="143"/>
        <v>0</v>
      </c>
      <c r="AB611">
        <f t="shared" si="144"/>
        <v>0</v>
      </c>
      <c r="AE611" s="4"/>
    </row>
    <row r="612" spans="1:31" x14ac:dyDescent="0.25">
      <c r="A612" s="1" t="s">
        <v>4407</v>
      </c>
      <c r="B612" s="2" t="s">
        <v>4377</v>
      </c>
      <c r="C612" s="1" t="str">
        <f>_xlfn.XLOOKUP(A612,BOM!A:A,BOM!C:C)</f>
        <v>NHS DICED ONION 15MM 2.5KG</v>
      </c>
      <c r="D612" s="2" t="s">
        <v>554</v>
      </c>
      <c r="E612" s="1">
        <f>VLOOKUP(A612,BOM!A:E,5,0)</f>
        <v>2.5</v>
      </c>
      <c r="F612" s="110">
        <v>4.68</v>
      </c>
      <c r="G612" s="10">
        <v>4.4400000000000004</v>
      </c>
      <c r="H612" s="11" t="s">
        <v>1874</v>
      </c>
      <c r="I612" s="49">
        <f>SUMIFS(BOM!Q:Q,BOM!A:A,'All Products'!A612,BOM!I:I,'All Products'!I$3)</f>
        <v>2.43366368286445</v>
      </c>
      <c r="J612" s="49">
        <f>SUMIFS(BOM!Q:Q,BOM!A:A,'All Products'!A612,BOM!I:I,'All Products'!J$3)+0.03</f>
        <v>0.17</v>
      </c>
      <c r="K612" s="29">
        <f t="shared" si="138"/>
        <v>0.5864107393838851</v>
      </c>
      <c r="L612" s="49">
        <f>SUMIF(BOM!A:A,'All Products'!A612,BOM!S:S)</f>
        <v>0.33003749999999998</v>
      </c>
      <c r="M612" s="49">
        <f>SUMIF(BOM!A:A,'All Products'!A612,BOM!V:V)</f>
        <v>0.29618749999999999</v>
      </c>
      <c r="N612" s="29">
        <f t="shared" si="139"/>
        <v>0.14104166666666665</v>
      </c>
      <c r="O612" s="55">
        <v>0</v>
      </c>
      <c r="P612" s="49">
        <f t="shared" si="140"/>
        <v>3.2298886828644497</v>
      </c>
      <c r="Q612" s="11">
        <f t="shared" si="142"/>
        <v>1.2101113171355506</v>
      </c>
      <c r="R612" s="29">
        <f t="shared" si="141"/>
        <v>0.27254759394944833</v>
      </c>
      <c r="AA612">
        <f t="shared" si="143"/>
        <v>0</v>
      </c>
      <c r="AB612">
        <f t="shared" si="144"/>
        <v>0</v>
      </c>
      <c r="AE612" s="4"/>
    </row>
    <row r="613" spans="1:31" x14ac:dyDescent="0.25">
      <c r="A613" s="1" t="s">
        <v>4408</v>
      </c>
      <c r="B613" s="2" t="s">
        <v>4377</v>
      </c>
      <c r="C613" s="1" t="str">
        <f>_xlfn.XLOOKUP(A613,BOM!A:A,BOM!C:C)</f>
        <v>AUBERGINE DICED 10MM 1KG</v>
      </c>
      <c r="D613" s="2" t="s">
        <v>554</v>
      </c>
      <c r="E613" s="1">
        <f>VLOOKUP(A613,BOM!A:E,5,0)</f>
        <v>1</v>
      </c>
      <c r="F613" s="110">
        <v>6.5</v>
      </c>
      <c r="G613" s="10">
        <v>6.36</v>
      </c>
      <c r="H613" s="11" t="s">
        <v>1874</v>
      </c>
      <c r="I613" s="49">
        <f>SUMIFS(BOM!Q:Q,BOM!A:A,'All Products'!A613,BOM!I:I,'All Products'!I$3)</f>
        <v>1.7866666666666666</v>
      </c>
      <c r="J613" s="49">
        <f>SUMIFS(BOM!Q:Q,BOM!A:A,'All Products'!A613,BOM!I:I,'All Products'!J$3)+0.03</f>
        <v>0.17</v>
      </c>
      <c r="K613" s="29">
        <f t="shared" si="138"/>
        <v>0.30765199161425572</v>
      </c>
      <c r="L613" s="49">
        <f>SUMIF(BOM!A:A,'All Products'!A613,BOM!S:S)</f>
        <v>0.59914499999999993</v>
      </c>
      <c r="M613" s="49">
        <f>SUMIF(BOM!A:A,'All Products'!A613,BOM!V:V)</f>
        <v>0.21833249999999998</v>
      </c>
      <c r="N613" s="29">
        <f t="shared" si="139"/>
        <v>0.12853419811320752</v>
      </c>
      <c r="O613" s="55">
        <v>0</v>
      </c>
      <c r="P613" s="49">
        <f t="shared" si="140"/>
        <v>2.7741441666666664</v>
      </c>
      <c r="Q613" s="11">
        <f t="shared" si="142"/>
        <v>3.5858558333333339</v>
      </c>
      <c r="R613" s="29">
        <f t="shared" si="141"/>
        <v>0.56381381027253674</v>
      </c>
      <c r="AA613">
        <f t="shared" si="143"/>
        <v>0</v>
      </c>
      <c r="AB613">
        <f t="shared" si="144"/>
        <v>0</v>
      </c>
      <c r="AE613" s="4"/>
    </row>
    <row r="614" spans="1:31" x14ac:dyDescent="0.25">
      <c r="A614" s="1" t="s">
        <v>4409</v>
      </c>
      <c r="B614" s="2" t="s">
        <v>4377</v>
      </c>
      <c r="C614" s="1" t="str">
        <f>_xlfn.XLOOKUP(A614,BOM!A:A,BOM!C:C)</f>
        <v>RED ONIONS DICED 20MM 1KG</v>
      </c>
      <c r="D614" s="2" t="s">
        <v>554</v>
      </c>
      <c r="E614" s="1">
        <f>VLOOKUP(A614,BOM!A:E,5,0)</f>
        <v>1</v>
      </c>
      <c r="F614" s="110">
        <v>3.5</v>
      </c>
      <c r="G614" s="10">
        <v>3.26</v>
      </c>
      <c r="H614" s="11" t="s">
        <v>1874</v>
      </c>
      <c r="I614" s="49">
        <f>SUMIFS(BOM!Q:Q,BOM!A:A,'All Products'!A614,BOM!I:I,'All Products'!I$3)</f>
        <v>1.3670886075949367</v>
      </c>
      <c r="J614" s="49">
        <f>SUMIFS(BOM!Q:Q,BOM!A:A,'All Products'!A614,BOM!I:I,'All Products'!J$3)+0.03</f>
        <v>0.17</v>
      </c>
      <c r="K614" s="29">
        <f t="shared" si="138"/>
        <v>0.47149957288188243</v>
      </c>
      <c r="L614" s="49">
        <f>SUMIF(BOM!A:A,'All Products'!A614,BOM!S:S)</f>
        <v>1.6924999999999999</v>
      </c>
      <c r="M614" s="49">
        <f>SUMIF(BOM!A:A,'All Products'!A614,BOM!V:V)</f>
        <v>0.21833249999999998</v>
      </c>
      <c r="N614" s="29">
        <f t="shared" si="139"/>
        <v>0.58614493865030681</v>
      </c>
      <c r="O614" s="55">
        <v>0</v>
      </c>
      <c r="P614" s="49">
        <f t="shared" si="140"/>
        <v>3.4479211075949365</v>
      </c>
      <c r="Q614" s="11">
        <f t="shared" si="142"/>
        <v>-0.18792110759493674</v>
      </c>
      <c r="R614" s="29">
        <f t="shared" si="141"/>
        <v>-5.7644511532189191E-2</v>
      </c>
      <c r="Z614" s="34"/>
      <c r="AA614">
        <f t="shared" si="143"/>
        <v>0</v>
      </c>
      <c r="AB614">
        <f t="shared" si="144"/>
        <v>0</v>
      </c>
      <c r="AE614" s="4"/>
    </row>
    <row r="615" spans="1:31" x14ac:dyDescent="0.25">
      <c r="A615" s="1" t="s">
        <v>4410</v>
      </c>
      <c r="B615" s="2" t="s">
        <v>4377</v>
      </c>
      <c r="C615" s="1" t="str">
        <f>_xlfn.XLOOKUP(A615,BOM!A:A,BOM!C:C)</f>
        <v>CARROT STICKS 10X6MM 400G</v>
      </c>
      <c r="D615" s="2" t="s">
        <v>554</v>
      </c>
      <c r="E615" s="1">
        <f>VLOOKUP(A615,BOM!A:E,5,0)</f>
        <v>0.4</v>
      </c>
      <c r="F615" s="110">
        <v>2.0299999999999998</v>
      </c>
      <c r="G615" s="10">
        <v>1.81</v>
      </c>
      <c r="H615" s="11" t="s">
        <v>1874</v>
      </c>
      <c r="I615" s="49">
        <f>SUMIFS(BOM!Q:Q,BOM!A:A,'All Products'!A615,BOM!I:I,'All Products'!I$3)</f>
        <v>0.27636363636363637</v>
      </c>
      <c r="J615" s="49">
        <f>SUMIFS(BOM!Q:Q,BOM!A:A,'All Products'!A615,BOM!I:I,'All Products'!J$3)+0.03</f>
        <v>0.43000000000000005</v>
      </c>
      <c r="K615" s="29">
        <f t="shared" si="138"/>
        <v>0.39025615268709191</v>
      </c>
      <c r="L615" s="49">
        <f>SUMIF(BOM!A:A,'All Products'!A615,BOM!S:S)</f>
        <v>0.27486199999999994</v>
      </c>
      <c r="M615" s="49">
        <f>SUMIF(BOM!A:A,'All Products'!A615,BOM!V:V)</f>
        <v>0.15232499999999999</v>
      </c>
      <c r="N615" s="29">
        <f t="shared" si="139"/>
        <v>0.23601491712707179</v>
      </c>
      <c r="O615" s="55">
        <v>0</v>
      </c>
      <c r="P615" s="49">
        <f t="shared" si="140"/>
        <v>1.1335506363636363</v>
      </c>
      <c r="Q615" s="11">
        <f t="shared" ref="Q615:Q645" si="145">G615-P615</f>
        <v>0.67644936363636377</v>
      </c>
      <c r="R615" s="29">
        <f t="shared" si="141"/>
        <v>0.37372893018583631</v>
      </c>
      <c r="AA615">
        <f t="shared" ref="AA615:AA634" si="146">Z615*F615</f>
        <v>0</v>
      </c>
      <c r="AB615">
        <f t="shared" ref="AB615:AB634" si="147">Z615*(G615)</f>
        <v>0</v>
      </c>
      <c r="AE615" s="4"/>
    </row>
    <row r="616" spans="1:31" x14ac:dyDescent="0.25">
      <c r="A616" s="1" t="s">
        <v>4411</v>
      </c>
      <c r="B616" s="2" t="s">
        <v>4377</v>
      </c>
      <c r="C616" s="1" t="str">
        <f>_xlfn.XLOOKUP(A616,BOM!A:A,BOM!C:C)</f>
        <v>CAULIFLOWER DICED 20MM 2.5KG</v>
      </c>
      <c r="D616" s="2" t="s">
        <v>554</v>
      </c>
      <c r="E616" s="1">
        <f>VLOOKUP(A616,BOM!A:E,5,0)</f>
        <v>2.5</v>
      </c>
      <c r="F616" s="110">
        <v>11.66</v>
      </c>
      <c r="G616" s="10">
        <v>13.65</v>
      </c>
      <c r="H616" s="11" t="s">
        <v>1874</v>
      </c>
      <c r="I616" s="49">
        <f>SUMIFS(BOM!Q:Q,BOM!A:A,'All Products'!A616,BOM!I:I,'All Products'!I$3)</f>
        <v>3</v>
      </c>
      <c r="J616" s="49">
        <f>SUMIFS(BOM!Q:Q,BOM!A:A,'All Products'!A616,BOM!I:I,'All Products'!J$3)+0.03</f>
        <v>0.17</v>
      </c>
      <c r="K616" s="29">
        <f t="shared" si="138"/>
        <v>0.23223443223443221</v>
      </c>
      <c r="L616" s="49">
        <f>SUMIF(BOM!A:A,'All Products'!A616,BOM!S:S)</f>
        <v>2.4795124999999998</v>
      </c>
      <c r="M616" s="49">
        <f>SUMIF(BOM!A:A,'All Products'!A616,BOM!V:V)</f>
        <v>0.21833249999999998</v>
      </c>
      <c r="N616" s="29">
        <f t="shared" si="139"/>
        <v>0.1976443223443223</v>
      </c>
      <c r="O616" s="55">
        <v>0</v>
      </c>
      <c r="P616" s="49">
        <f t="shared" si="140"/>
        <v>5.8678449999999991</v>
      </c>
      <c r="Q616" s="11">
        <f t="shared" si="145"/>
        <v>7.7821550000000013</v>
      </c>
      <c r="R616" s="29">
        <f t="shared" si="141"/>
        <v>0.57012124542124554</v>
      </c>
      <c r="AA616">
        <f t="shared" si="146"/>
        <v>0</v>
      </c>
      <c r="AB616">
        <f t="shared" si="147"/>
        <v>0</v>
      </c>
      <c r="AE616" s="4">
        <v>4.6999999999999993</v>
      </c>
    </row>
    <row r="617" spans="1:31" x14ac:dyDescent="0.25">
      <c r="A617" s="1" t="s">
        <v>4412</v>
      </c>
      <c r="B617" s="2" t="s">
        <v>4377</v>
      </c>
      <c r="C617" s="1" t="str">
        <f>_xlfn.XLOOKUP(A617,BOM!A:A,BOM!C:C)</f>
        <v>CARROT 1/2 MOON 5MM 2.5KG</v>
      </c>
      <c r="D617" s="2" t="s">
        <v>554</v>
      </c>
      <c r="E617" s="1">
        <f>VLOOKUP(A617,BOM!A:E,5,0)</f>
        <v>2.5</v>
      </c>
      <c r="F617" s="110">
        <v>8.2100000000000009</v>
      </c>
      <c r="G617" s="10">
        <v>8.5500000000000007</v>
      </c>
      <c r="H617" s="11" t="s">
        <v>1874</v>
      </c>
      <c r="I617" s="49">
        <f>SUMIFS(BOM!Q:Q,BOM!A:A,'All Products'!A617,BOM!I:I,'All Products'!I$3)</f>
        <v>1.8269230769230769</v>
      </c>
      <c r="J617" s="49">
        <f>SUMIFS(BOM!Q:Q,BOM!A:A,'All Products'!A617,BOM!I:I,'All Products'!J$3)+0.03</f>
        <v>0.17</v>
      </c>
      <c r="K617" s="29">
        <f t="shared" si="138"/>
        <v>0.23355825461088617</v>
      </c>
      <c r="L617" s="49">
        <f>SUMIF(BOM!A:A,'All Products'!A617,BOM!S:S)</f>
        <v>4.5274374999999996</v>
      </c>
      <c r="M617" s="49">
        <f>SUMIF(BOM!A:A,'All Products'!A617,BOM!V:V)</f>
        <v>0.21833249999999998</v>
      </c>
      <c r="N617" s="29">
        <f t="shared" si="139"/>
        <v>0.55506081871345014</v>
      </c>
      <c r="O617" s="55">
        <v>0</v>
      </c>
      <c r="P617" s="49">
        <f t="shared" si="140"/>
        <v>6.7426930769230768</v>
      </c>
      <c r="Q617" s="11">
        <f t="shared" si="145"/>
        <v>1.8073069230769239</v>
      </c>
      <c r="R617" s="29">
        <f t="shared" si="141"/>
        <v>0.21138092667566361</v>
      </c>
      <c r="AA617">
        <f t="shared" si="146"/>
        <v>0</v>
      </c>
      <c r="AB617">
        <f t="shared" si="147"/>
        <v>0</v>
      </c>
      <c r="AE617" s="4"/>
    </row>
    <row r="618" spans="1:31" x14ac:dyDescent="0.25">
      <c r="A618" s="1" t="s">
        <v>4413</v>
      </c>
      <c r="B618" s="2" t="s">
        <v>4377</v>
      </c>
      <c r="C618" s="1" t="str">
        <f>_xlfn.XLOOKUP(A618,BOM!A:A,BOM!C:C)</f>
        <v>BUTTERNUT SQUASH WEDGES 1KG</v>
      </c>
      <c r="D618" s="2" t="s">
        <v>554</v>
      </c>
      <c r="E618" s="1">
        <f>VLOOKUP(A618,BOM!A:E,5,0)</f>
        <v>1</v>
      </c>
      <c r="F618" s="110">
        <v>3.35</v>
      </c>
      <c r="G618" s="10">
        <v>2.98</v>
      </c>
      <c r="H618" s="11" t="s">
        <v>1874</v>
      </c>
      <c r="I618" s="49">
        <f>SUMIFS(BOM!Q:Q,BOM!A:A,'All Products'!A618,BOM!I:I,'All Products'!I$3)</f>
        <v>1.625</v>
      </c>
      <c r="J618" s="49">
        <f>SUMIFS(BOM!Q:Q,BOM!A:A,'All Products'!A618,BOM!I:I,'All Products'!J$3)+0.03</f>
        <v>0.17</v>
      </c>
      <c r="K618" s="29">
        <f t="shared" si="138"/>
        <v>0.6023489932885906</v>
      </c>
      <c r="L618" s="49">
        <f>SUMIF(BOM!A:A,'All Products'!A618,BOM!S:S)</f>
        <v>0.51790499999999995</v>
      </c>
      <c r="M618" s="49">
        <f>SUMIF(BOM!A:A,'All Products'!A618,BOM!V:V)</f>
        <v>0.21833249999999998</v>
      </c>
      <c r="N618" s="29">
        <f t="shared" si="139"/>
        <v>0.24705956375838922</v>
      </c>
      <c r="O618" s="55">
        <v>0</v>
      </c>
      <c r="P618" s="49">
        <f t="shared" si="140"/>
        <v>2.5312374999999996</v>
      </c>
      <c r="Q618" s="11">
        <f t="shared" si="145"/>
        <v>0.4487625000000004</v>
      </c>
      <c r="R618" s="29">
        <f t="shared" si="141"/>
        <v>0.15059144295302027</v>
      </c>
      <c r="AA618">
        <f t="shared" si="146"/>
        <v>0</v>
      </c>
      <c r="AB618">
        <f t="shared" si="147"/>
        <v>0</v>
      </c>
      <c r="AE618" s="4"/>
    </row>
    <row r="619" spans="1:31" x14ac:dyDescent="0.25">
      <c r="A619" s="1" t="s">
        <v>4414</v>
      </c>
      <c r="B619" s="2" t="s">
        <v>4377</v>
      </c>
      <c r="C619" s="1" t="str">
        <f>_xlfn.XLOOKUP(A619,BOM!A:A,BOM!C:C)</f>
        <v>GREEN BEANS SLICED 25MM 2.5KG</v>
      </c>
      <c r="D619" s="2" t="s">
        <v>554</v>
      </c>
      <c r="E619" s="1">
        <f>VLOOKUP(A619,BOM!A:E,5,0)</f>
        <v>2.5</v>
      </c>
      <c r="F619" s="110">
        <v>48.86</v>
      </c>
      <c r="G619" s="10">
        <v>49.44</v>
      </c>
      <c r="H619" s="11" t="s">
        <v>1874</v>
      </c>
      <c r="I619" s="49" t="e">
        <f>SUMIFS(BOM!Q:Q,BOM!A:A,'All Products'!A619,BOM!I:I,'All Products'!I$3)</f>
        <v>#N/A</v>
      </c>
      <c r="J619" s="49">
        <f>SUMIFS(BOM!Q:Q,BOM!A:A,'All Products'!A619,BOM!I:I,'All Products'!J$3)+0.03</f>
        <v>0.17</v>
      </c>
      <c r="K619" s="29" t="e">
        <f t="shared" si="138"/>
        <v>#N/A</v>
      </c>
      <c r="L619" s="49">
        <f>SUMIF(BOM!A:A,'All Products'!A619,BOM!S:S)</f>
        <v>15.596387499999999</v>
      </c>
      <c r="M619" s="49">
        <f>SUMIF(BOM!A:A,'All Products'!A619,BOM!V:V)</f>
        <v>0.29618749999999999</v>
      </c>
      <c r="N619" s="29">
        <f t="shared" si="139"/>
        <v>0.32145175970873785</v>
      </c>
      <c r="O619" s="55">
        <v>0</v>
      </c>
      <c r="P619" s="49" t="e">
        <f t="shared" si="140"/>
        <v>#N/A</v>
      </c>
      <c r="Q619" s="11" t="e">
        <f t="shared" si="145"/>
        <v>#N/A</v>
      </c>
      <c r="R619" s="29">
        <f t="shared" si="141"/>
        <v>0</v>
      </c>
      <c r="AA619">
        <f t="shared" si="146"/>
        <v>0</v>
      </c>
      <c r="AB619">
        <f t="shared" si="147"/>
        <v>0</v>
      </c>
      <c r="AE619" s="4"/>
    </row>
    <row r="620" spans="1:31" x14ac:dyDescent="0.25">
      <c r="A620" s="1" t="s">
        <v>4415</v>
      </c>
      <c r="B620" s="2" t="s">
        <v>4377</v>
      </c>
      <c r="C620" s="1" t="str">
        <f>_xlfn.XLOOKUP(A620,BOM!A:A,BOM!C:C)</f>
        <v>PREP PINEAPPLE CUBED 2KG</v>
      </c>
      <c r="D620" s="2" t="s">
        <v>554</v>
      </c>
      <c r="E620" s="1">
        <f>VLOOKUP(A620,BOM!A:E,5,0)</f>
        <v>2</v>
      </c>
      <c r="F620" s="110">
        <v>14</v>
      </c>
      <c r="G620" s="10">
        <v>13.87</v>
      </c>
      <c r="H620" s="11" t="s">
        <v>1874</v>
      </c>
      <c r="I620" s="49">
        <f>SUMIFS(BOM!Q:Q,BOM!A:A,'All Products'!A620,BOM!I:I,'All Products'!I$3)</f>
        <v>4.666666666666667</v>
      </c>
      <c r="J620" s="49">
        <f>SUMIFS(BOM!Q:Q,BOM!A:A,'All Products'!A620,BOM!I:I,'All Products'!J$3)+0.03</f>
        <v>0.17</v>
      </c>
      <c r="K620" s="29">
        <f t="shared" si="138"/>
        <v>0.34871425138187939</v>
      </c>
      <c r="L620" s="49">
        <f>SUMIF(BOM!A:A,'All Products'!A620,BOM!S:S)</f>
        <v>2.6267599999999995</v>
      </c>
      <c r="M620" s="49">
        <f>SUMIF(BOM!A:A,'All Products'!A620,BOM!V:V)</f>
        <v>0.18617500000000001</v>
      </c>
      <c r="N620" s="29">
        <f t="shared" si="139"/>
        <v>0.20280713770728187</v>
      </c>
      <c r="O620" s="55">
        <v>0</v>
      </c>
      <c r="P620" s="49">
        <f t="shared" si="140"/>
        <v>7.6496016666666673</v>
      </c>
      <c r="Q620" s="11">
        <f t="shared" si="145"/>
        <v>6.2203983333333319</v>
      </c>
      <c r="R620" s="29">
        <f t="shared" si="141"/>
        <v>0.44847861091083868</v>
      </c>
      <c r="AA620">
        <f t="shared" si="146"/>
        <v>0</v>
      </c>
      <c r="AB620">
        <f t="shared" si="147"/>
        <v>0</v>
      </c>
      <c r="AE620" s="4"/>
    </row>
    <row r="621" spans="1:31" x14ac:dyDescent="0.25">
      <c r="A621" s="1" t="s">
        <v>4416</v>
      </c>
      <c r="B621" s="2" t="s">
        <v>4377</v>
      </c>
      <c r="C621" s="1" t="str">
        <f>_xlfn.XLOOKUP(A621,BOM!A:A,BOM!C:C)</f>
        <v>SPRING ONION SLICES 4MM 2.5KG</v>
      </c>
      <c r="D621" s="2" t="s">
        <v>554</v>
      </c>
      <c r="E621" s="1">
        <f>VLOOKUP(A621,BOM!A:E,5,0)</f>
        <v>2.5</v>
      </c>
      <c r="F621" s="110">
        <v>25.92</v>
      </c>
      <c r="G621" s="10">
        <v>27.37</v>
      </c>
      <c r="H621" s="11" t="s">
        <v>1874</v>
      </c>
      <c r="I621" s="49">
        <f>SUMIFS(BOM!Q:Q,BOM!A:A,'All Products'!A621,BOM!I:I,'All Products'!I$3)</f>
        <v>11.666666666666666</v>
      </c>
      <c r="J621" s="49">
        <f>SUMIFS(BOM!Q:Q,BOM!A:A,'All Products'!A621,BOM!I:I,'All Products'!J$3)+0.03</f>
        <v>0.17</v>
      </c>
      <c r="K621" s="29">
        <f t="shared" si="138"/>
        <v>0.43246863962976489</v>
      </c>
      <c r="L621" s="49">
        <f>SUMIF(BOM!A:A,'All Products'!A621,BOM!S:S)</f>
        <v>9.1733499999999992</v>
      </c>
      <c r="M621" s="49">
        <f>SUMIF(BOM!A:A,'All Products'!A621,BOM!V:V)</f>
        <v>0.21833249999999998</v>
      </c>
      <c r="N621" s="29">
        <f t="shared" si="139"/>
        <v>0.34313783339422727</v>
      </c>
      <c r="O621" s="55">
        <v>0</v>
      </c>
      <c r="P621" s="49">
        <f t="shared" si="140"/>
        <v>21.228349166666668</v>
      </c>
      <c r="Q621" s="11">
        <f t="shared" si="145"/>
        <v>6.1416508333333333</v>
      </c>
      <c r="R621" s="29">
        <f t="shared" si="141"/>
        <v>0.22439352697600778</v>
      </c>
      <c r="AA621">
        <f t="shared" si="146"/>
        <v>0</v>
      </c>
      <c r="AB621">
        <f t="shared" si="147"/>
        <v>0</v>
      </c>
      <c r="AE621" s="4"/>
    </row>
    <row r="622" spans="1:31" x14ac:dyDescent="0.25">
      <c r="A622" s="1" t="s">
        <v>4417</v>
      </c>
      <c r="B622" s="2" t="s">
        <v>4377</v>
      </c>
      <c r="C622" s="1" t="str">
        <f>_xlfn.XLOOKUP(A622,BOM!A:A,BOM!C:C)</f>
        <v>POTATOES DICE 10MM 1KG</v>
      </c>
      <c r="D622" s="2" t="s">
        <v>554</v>
      </c>
      <c r="E622" s="1">
        <f>VLOOKUP(A622,BOM!A:E,5,0)</f>
        <v>1</v>
      </c>
      <c r="F622" s="110">
        <v>2.6</v>
      </c>
      <c r="G622" s="10">
        <v>2.1800000000000002</v>
      </c>
      <c r="H622" s="11" t="s">
        <v>1874</v>
      </c>
      <c r="I622" s="49">
        <f>SUMIFS(BOM!Q:Q,BOM!A:A,'All Products'!A622,BOM!I:I,'All Products'!I$3)</f>
        <v>0.90476190476190477</v>
      </c>
      <c r="J622" s="49">
        <f>SUMIFS(BOM!Q:Q,BOM!A:A,'All Products'!A622,BOM!I:I,'All Products'!J$3)+0.03</f>
        <v>0.17</v>
      </c>
      <c r="K622" s="29">
        <f t="shared" si="138"/>
        <v>0.49301004805591958</v>
      </c>
      <c r="L622" s="49">
        <f>SUMIF(BOM!A:A,'All Products'!A622,BOM!S:S)</f>
        <v>0.62622499999999992</v>
      </c>
      <c r="M622" s="49">
        <f>SUMIF(BOM!A:A,'All Products'!A622,BOM!V:V)</f>
        <v>0.21833249999999998</v>
      </c>
      <c r="N622" s="29">
        <f t="shared" si="139"/>
        <v>0.3874116972477063</v>
      </c>
      <c r="O622" s="55">
        <v>0</v>
      </c>
      <c r="P622" s="49">
        <f t="shared" si="140"/>
        <v>1.9193194047619047</v>
      </c>
      <c r="Q622" s="11">
        <f t="shared" si="145"/>
        <v>0.2606805952380955</v>
      </c>
      <c r="R622" s="29">
        <f t="shared" si="141"/>
        <v>0.11957825469637408</v>
      </c>
      <c r="AA622">
        <f t="shared" si="146"/>
        <v>0</v>
      </c>
      <c r="AB622">
        <f t="shared" si="147"/>
        <v>0</v>
      </c>
      <c r="AE622" s="4"/>
    </row>
    <row r="623" spans="1:31" x14ac:dyDescent="0.25">
      <c r="A623" s="1" t="s">
        <v>4418</v>
      </c>
      <c r="B623" s="2" t="s">
        <v>4377</v>
      </c>
      <c r="C623" s="1" t="str">
        <f>_xlfn.XLOOKUP(A623,BOM!A:A,BOM!C:C)</f>
        <v>AUBERGINE DICED 20MM 1KG</v>
      </c>
      <c r="D623" s="2" t="s">
        <v>554</v>
      </c>
      <c r="E623" s="1">
        <f>VLOOKUP(A623,BOM!A:E,5,0)</f>
        <v>1</v>
      </c>
      <c r="F623" s="110">
        <v>3.76</v>
      </c>
      <c r="G623" s="10">
        <v>3.59</v>
      </c>
      <c r="H623" s="11" t="s">
        <v>1874</v>
      </c>
      <c r="I623" s="49">
        <f>SUMIFS(BOM!Q:Q,BOM!A:A,'All Products'!A623,BOM!I:I,'All Products'!I$3)</f>
        <v>1.7866666666666666</v>
      </c>
      <c r="J623" s="49">
        <f>SUMIFS(BOM!Q:Q,BOM!A:A,'All Products'!A623,BOM!I:I,'All Products'!J$3)+0.03</f>
        <v>0.17</v>
      </c>
      <c r="K623" s="29">
        <f t="shared" si="138"/>
        <v>0.54503249767873718</v>
      </c>
      <c r="L623" s="49">
        <f>SUMIF(BOM!A:A,'All Products'!A623,BOM!S:S)</f>
        <v>0.78531999999999991</v>
      </c>
      <c r="M623" s="49">
        <f>SUMIF(BOM!A:A,'All Products'!A623,BOM!V:V)</f>
        <v>0.21833249999999998</v>
      </c>
      <c r="N623" s="29">
        <f t="shared" si="139"/>
        <v>0.27956894150417821</v>
      </c>
      <c r="O623" s="55">
        <v>0</v>
      </c>
      <c r="P623" s="49">
        <f t="shared" si="140"/>
        <v>2.9603191666666664</v>
      </c>
      <c r="Q623" s="11">
        <f t="shared" si="145"/>
        <v>0.62968083333333347</v>
      </c>
      <c r="R623" s="29">
        <f t="shared" si="141"/>
        <v>0.17539856081708455</v>
      </c>
      <c r="AA623">
        <f t="shared" si="146"/>
        <v>0</v>
      </c>
      <c r="AB623">
        <f t="shared" si="147"/>
        <v>0</v>
      </c>
      <c r="AE623" s="4"/>
    </row>
    <row r="624" spans="1:31" x14ac:dyDescent="0.25">
      <c r="A624" s="1" t="s">
        <v>4419</v>
      </c>
      <c r="B624" s="2" t="s">
        <v>4377</v>
      </c>
      <c r="C624" s="1" t="str">
        <f>_xlfn.XLOOKUP(A624,BOM!A:A,BOM!C:C)</f>
        <v>KALE CHOPPED 1KG</v>
      </c>
      <c r="D624" s="2" t="s">
        <v>554</v>
      </c>
      <c r="E624" s="1">
        <f>VLOOKUP(A624,BOM!A:E,5,0)</f>
        <v>1</v>
      </c>
      <c r="F624" s="110">
        <v>4.2</v>
      </c>
      <c r="G624" s="10">
        <v>4.16</v>
      </c>
      <c r="H624" s="11" t="s">
        <v>1874</v>
      </c>
      <c r="I624" s="49">
        <f>SUMIFS(BOM!Q:Q,BOM!A:A,'All Products'!A624,BOM!I:I,'All Products'!I$3)</f>
        <v>2.0714285714285716</v>
      </c>
      <c r="J624" s="49">
        <f>SUMIFS(BOM!Q:Q,BOM!A:A,'All Products'!A624,BOM!I:I,'All Products'!J$3)+0.03</f>
        <v>0.17</v>
      </c>
      <c r="K624" s="29">
        <f t="shared" si="138"/>
        <v>0.53880494505494503</v>
      </c>
      <c r="L624" s="49">
        <f>SUMIF(BOM!A:A,'All Products'!A624,BOM!S:S)</f>
        <v>1.4115449999999998</v>
      </c>
      <c r="M624" s="49">
        <f>SUMIF(BOM!A:A,'All Products'!A624,BOM!V:V)</f>
        <v>0.21833249999999998</v>
      </c>
      <c r="N624" s="29">
        <f t="shared" si="139"/>
        <v>0.39179747596153841</v>
      </c>
      <c r="O624" s="55">
        <v>0</v>
      </c>
      <c r="P624" s="49">
        <f t="shared" si="140"/>
        <v>3.8713060714285712</v>
      </c>
      <c r="Q624" s="11">
        <f t="shared" si="145"/>
        <v>0.28869392857142895</v>
      </c>
      <c r="R624" s="29">
        <f t="shared" si="141"/>
        <v>6.9397578983516575E-2</v>
      </c>
      <c r="AA624" s="4">
        <f>P624/E624</f>
        <v>3.8713060714285712</v>
      </c>
      <c r="AB624">
        <f t="shared" si="147"/>
        <v>0</v>
      </c>
      <c r="AE624" s="4"/>
    </row>
    <row r="625" spans="1:31" x14ac:dyDescent="0.25">
      <c r="A625" s="2" t="s">
        <v>4420</v>
      </c>
      <c r="B625" s="2" t="s">
        <v>4377</v>
      </c>
      <c r="C625" s="2" t="str">
        <f>_xlfn.XLOOKUP(A625,BOM!A:A,BOM!C:C)</f>
        <v>CARROT DICED 20MM 2.5KG</v>
      </c>
      <c r="D625" s="2" t="s">
        <v>554</v>
      </c>
      <c r="E625" s="2">
        <f>VLOOKUP(A625,BOM!A:E,5,0)</f>
        <v>2.5</v>
      </c>
      <c r="F625" s="110">
        <v>6.17</v>
      </c>
      <c r="G625" s="10">
        <v>6.1</v>
      </c>
      <c r="H625" s="11" t="s">
        <v>1874</v>
      </c>
      <c r="I625" s="49">
        <f>SUMIFS(BOM!Q:Q,BOM!A:A,'All Products'!A625,BOM!I:I,'All Products'!I$3)</f>
        <v>1.3194444444444444</v>
      </c>
      <c r="J625" s="49">
        <f>SUMIFS(BOM!Q:Q,BOM!A:A,'All Products'!A625,BOM!I:I,'All Products'!J$3)+0.03</f>
        <v>0.17</v>
      </c>
      <c r="K625" s="29">
        <f t="shared" si="138"/>
        <v>0.24417122040072858</v>
      </c>
      <c r="L625" s="49">
        <f>SUMIF(BOM!A:A,'All Products'!A625,BOM!S:S)</f>
        <v>1.0578124999999998</v>
      </c>
      <c r="M625" s="49">
        <f>SUMIF(BOM!A:A,'All Products'!A625,BOM!V:V)</f>
        <v>0.21833249999999998</v>
      </c>
      <c r="N625" s="29">
        <f t="shared" si="139"/>
        <v>0.20920409836065573</v>
      </c>
      <c r="O625" s="55">
        <v>0</v>
      </c>
      <c r="P625" s="49">
        <f t="shared" si="140"/>
        <v>2.7655894444444442</v>
      </c>
      <c r="Q625" s="11">
        <f t="shared" si="145"/>
        <v>3.3344105555555554</v>
      </c>
      <c r="R625" s="29">
        <f t="shared" si="141"/>
        <v>0.54662468123861563</v>
      </c>
      <c r="AA625">
        <f t="shared" si="146"/>
        <v>0</v>
      </c>
      <c r="AB625">
        <f t="shared" si="147"/>
        <v>0</v>
      </c>
      <c r="AE625" s="4"/>
    </row>
    <row r="626" spans="1:31" x14ac:dyDescent="0.25">
      <c r="A626" s="1" t="s">
        <v>4421</v>
      </c>
      <c r="B626" s="2" t="s">
        <v>4377</v>
      </c>
      <c r="C626" s="1" t="str">
        <f>_xlfn.XLOOKUP(A626,BOM!A:A,BOM!C:C)</f>
        <v>DICED FENNEL 5MM 1KG</v>
      </c>
      <c r="D626" s="2" t="s">
        <v>554</v>
      </c>
      <c r="E626" s="1">
        <f>VLOOKUP(A626,BOM!A:E,5,0)</f>
        <v>1</v>
      </c>
      <c r="F626" s="110">
        <v>5.32</v>
      </c>
      <c r="G626" s="10">
        <v>5.12</v>
      </c>
      <c r="H626" s="11" t="s">
        <v>1874</v>
      </c>
      <c r="I626" s="49">
        <f>SUMIFS(BOM!Q:Q,BOM!A:A,'All Products'!A626,BOM!I:I,'All Products'!I$3)</f>
        <v>2.2380952380952377</v>
      </c>
      <c r="J626" s="49">
        <f>SUMIFS(BOM!Q:Q,BOM!A:A,'All Products'!A626,BOM!I:I,'All Products'!J$3)+0.03</f>
        <v>0.17</v>
      </c>
      <c r="K626" s="29">
        <f t="shared" si="138"/>
        <v>0.47033110119047611</v>
      </c>
      <c r="L626" s="49">
        <f>SUMIF(BOM!A:A,'All Products'!A626,BOM!S:S)</f>
        <v>0.83270999999999995</v>
      </c>
      <c r="M626" s="49">
        <f>SUMIF(BOM!A:A,'All Products'!A626,BOM!V:V)</f>
        <v>0.21833249999999998</v>
      </c>
      <c r="N626" s="29">
        <f t="shared" si="139"/>
        <v>0.20528173828124996</v>
      </c>
      <c r="O626" s="55">
        <v>0</v>
      </c>
      <c r="P626" s="49">
        <f t="shared" si="140"/>
        <v>3.4591377380952375</v>
      </c>
      <c r="Q626" s="11">
        <f t="shared" si="145"/>
        <v>1.6608622619047626</v>
      </c>
      <c r="R626" s="29">
        <f t="shared" si="141"/>
        <v>0.32438716052827393</v>
      </c>
      <c r="AA626">
        <f t="shared" si="146"/>
        <v>0</v>
      </c>
      <c r="AB626">
        <f t="shared" si="147"/>
        <v>0</v>
      </c>
      <c r="AE626" s="4"/>
    </row>
    <row r="627" spans="1:31" x14ac:dyDescent="0.25">
      <c r="A627" s="1" t="s">
        <v>4422</v>
      </c>
      <c r="B627" s="2" t="s">
        <v>4377</v>
      </c>
      <c r="C627" s="1" t="str">
        <f>_xlfn.XLOOKUP(A627,BOM!A:A,BOM!C:C)</f>
        <v>PREP CARROTS GRATED 1 X 1KG</v>
      </c>
      <c r="D627" s="2" t="s">
        <v>554</v>
      </c>
      <c r="E627" s="1">
        <f>VLOOKUP(A627,BOM!A:E,5,0)</f>
        <v>1</v>
      </c>
      <c r="F627" s="110">
        <v>2.8</v>
      </c>
      <c r="G627" s="10">
        <v>2.67</v>
      </c>
      <c r="H627" s="11" t="s">
        <v>1874</v>
      </c>
      <c r="I627" s="49">
        <f>SUMIFS(BOM!Q:Q,BOM!A:A,'All Products'!A627,BOM!I:I,'All Products'!I$3)</f>
        <v>0.5066666666666666</v>
      </c>
      <c r="J627" s="49">
        <f>SUMIFS(BOM!Q:Q,BOM!A:A,'All Products'!A627,BOM!I:I,'All Products'!J$3)+0.03</f>
        <v>0.17</v>
      </c>
      <c r="K627" s="29">
        <f t="shared" si="138"/>
        <v>0.25343320848938827</v>
      </c>
      <c r="L627" s="49">
        <f>SUMIF(BOM!A:A,'All Products'!A627,BOM!S:S)</f>
        <v>0.308035</v>
      </c>
      <c r="M627" s="49">
        <f>SUMIF(BOM!A:A,'All Products'!A627,BOM!V:V)</f>
        <v>0.21833249999999998</v>
      </c>
      <c r="N627" s="29">
        <f t="shared" si="139"/>
        <v>0.19714138576779025</v>
      </c>
      <c r="O627" s="55">
        <v>0</v>
      </c>
      <c r="P627" s="49">
        <f t="shared" si="140"/>
        <v>1.2030341666666666</v>
      </c>
      <c r="Q627" s="11">
        <f t="shared" si="145"/>
        <v>1.4669658333333333</v>
      </c>
      <c r="R627" s="29">
        <f t="shared" si="141"/>
        <v>0.5494254057428215</v>
      </c>
      <c r="AA627">
        <f t="shared" si="146"/>
        <v>0</v>
      </c>
      <c r="AB627">
        <f t="shared" si="147"/>
        <v>0</v>
      </c>
      <c r="AE627" s="4"/>
    </row>
    <row r="628" spans="1:31" x14ac:dyDescent="0.25">
      <c r="A628" s="1" t="s">
        <v>4423</v>
      </c>
      <c r="B628" s="2" t="s">
        <v>4377</v>
      </c>
      <c r="C628" s="1" t="str">
        <f>_xlfn.XLOOKUP(A628,BOM!A:A,BOM!C:C)</f>
        <v>DICED FENNEL 12MM 1KG</v>
      </c>
      <c r="D628" s="2" t="s">
        <v>554</v>
      </c>
      <c r="E628" s="1">
        <f>VLOOKUP(A628,BOM!A:E,5,0)</f>
        <v>1</v>
      </c>
      <c r="F628" s="110">
        <v>6</v>
      </c>
      <c r="G628" s="10">
        <v>6.18</v>
      </c>
      <c r="H628" s="11" t="s">
        <v>1874</v>
      </c>
      <c r="I628" s="49">
        <f>SUMIFS(BOM!Q:Q,BOM!A:A,'All Products'!A628,BOM!I:I,'All Products'!I$3)</f>
        <v>2.6111111111111107</v>
      </c>
      <c r="J628" s="49">
        <f>SUMIFS(BOM!Q:Q,BOM!A:A,'All Products'!A628,BOM!I:I,'All Products'!J$3)+0.03</f>
        <v>0.17</v>
      </c>
      <c r="K628" s="29">
        <f t="shared" si="138"/>
        <v>0.45001797914419267</v>
      </c>
      <c r="L628" s="49">
        <f>SUMIF(BOM!A:A,'All Products'!A628,BOM!S:S)</f>
        <v>3.0126499999999998</v>
      </c>
      <c r="M628" s="49">
        <f>SUMIF(BOM!A:A,'All Products'!A628,BOM!V:V)</f>
        <v>0.21833249999999998</v>
      </c>
      <c r="N628" s="29">
        <f t="shared" si="139"/>
        <v>0.52281270226537213</v>
      </c>
      <c r="O628" s="55">
        <v>0</v>
      </c>
      <c r="P628" s="49">
        <f t="shared" si="140"/>
        <v>6.0120936111111103</v>
      </c>
      <c r="Q628" s="11">
        <f t="shared" si="145"/>
        <v>0.16790638888888942</v>
      </c>
      <c r="R628" s="29">
        <f t="shared" si="141"/>
        <v>2.7169318590435185E-2</v>
      </c>
      <c r="AA628">
        <f t="shared" si="146"/>
        <v>0</v>
      </c>
      <c r="AB628">
        <f t="shared" si="147"/>
        <v>0</v>
      </c>
      <c r="AE628" s="4"/>
    </row>
    <row r="629" spans="1:31" x14ac:dyDescent="0.25">
      <c r="A629" s="1" t="s">
        <v>4424</v>
      </c>
      <c r="B629" s="2" t="s">
        <v>4377</v>
      </c>
      <c r="C629" s="1" t="str">
        <f>_xlfn.XLOOKUP(A629,BOM!A:A,BOM!C:C)</f>
        <v>CELERIAC DICED 10MM 1KG</v>
      </c>
      <c r="D629" s="2" t="s">
        <v>554</v>
      </c>
      <c r="E629" s="1">
        <f>VLOOKUP(A629,BOM!A:E,5,0)</f>
        <v>1</v>
      </c>
      <c r="F629" s="110">
        <v>3.61</v>
      </c>
      <c r="G629" s="10">
        <v>3.49</v>
      </c>
      <c r="H629" s="11" t="s">
        <v>1874</v>
      </c>
      <c r="I629" s="49">
        <f>SUMIFS(BOM!Q:Q,BOM!A:A,'All Products'!A629,BOM!I:I,'All Products'!I$3)</f>
        <v>0.91666666666666674</v>
      </c>
      <c r="J629" s="49">
        <f>SUMIFS(BOM!Q:Q,BOM!A:A,'All Products'!A629,BOM!I:I,'All Products'!J$3)+0.03</f>
        <v>0.17</v>
      </c>
      <c r="K629" s="29">
        <f t="shared" si="138"/>
        <v>0.31136580706781281</v>
      </c>
      <c r="L629" s="49">
        <f>SUMIF(BOM!A:A,'All Products'!A629,BOM!S:S)</f>
        <v>0.67699999999999994</v>
      </c>
      <c r="M629" s="49">
        <f>SUMIF(BOM!A:A,'All Products'!A629,BOM!V:V)</f>
        <v>0.21833249999999998</v>
      </c>
      <c r="N629" s="29">
        <f t="shared" si="139"/>
        <v>0.25654226361031512</v>
      </c>
      <c r="O629" s="55">
        <v>0</v>
      </c>
      <c r="P629" s="49">
        <f t="shared" si="140"/>
        <v>1.9819991666666668</v>
      </c>
      <c r="Q629" s="11">
        <f t="shared" si="145"/>
        <v>1.5080008333333335</v>
      </c>
      <c r="R629" s="29">
        <f t="shared" si="141"/>
        <v>0.43209192932187201</v>
      </c>
      <c r="AA629">
        <f t="shared" si="146"/>
        <v>0</v>
      </c>
      <c r="AB629">
        <f t="shared" si="147"/>
        <v>0</v>
      </c>
      <c r="AE629" s="4"/>
    </row>
    <row r="630" spans="1:31" x14ac:dyDescent="0.25">
      <c r="A630" s="1" t="s">
        <v>4425</v>
      </c>
      <c r="B630" s="2" t="s">
        <v>4377</v>
      </c>
      <c r="C630" s="1" t="str">
        <f>_xlfn.XLOOKUP(A630,BOM!A:A,BOM!C:C)</f>
        <v>PEPPER RED DICED 20MM 1KG</v>
      </c>
      <c r="D630" s="2" t="s">
        <v>554</v>
      </c>
      <c r="E630" s="1">
        <f>VLOOKUP(A630,BOM!A:E,5,0)</f>
        <v>1</v>
      </c>
      <c r="F630" s="110">
        <v>9</v>
      </c>
      <c r="G630" s="10">
        <v>9.4499999999999993</v>
      </c>
      <c r="H630" s="11" t="s">
        <v>1874</v>
      </c>
      <c r="I630" s="49">
        <f>SUMIFS(BOM!Q:Q,BOM!A:A,'All Products'!A630,BOM!I:I,'All Products'!I$3)</f>
        <v>3.7839999999999994</v>
      </c>
      <c r="J630" s="49">
        <f>SUMIFS(BOM!Q:Q,BOM!A:A,'All Products'!A630,BOM!I:I,'All Products'!J$3)+0.03</f>
        <v>0.17</v>
      </c>
      <c r="K630" s="29">
        <f t="shared" si="138"/>
        <v>0.41841269841269835</v>
      </c>
      <c r="L630" s="49">
        <f>SUMIF(BOM!A:A,'All Products'!A630,BOM!S:S)</f>
        <v>2.284875</v>
      </c>
      <c r="M630" s="49">
        <f>SUMIF(BOM!A:A,'All Products'!A630,BOM!V:V)</f>
        <v>0.21833249999999998</v>
      </c>
      <c r="N630" s="29">
        <f t="shared" si="139"/>
        <v>0.26488968253968254</v>
      </c>
      <c r="O630" s="55">
        <v>0</v>
      </c>
      <c r="P630" s="49">
        <f t="shared" si="140"/>
        <v>6.4572074999999991</v>
      </c>
      <c r="Q630" s="11">
        <f t="shared" si="145"/>
        <v>2.9927925000000002</v>
      </c>
      <c r="R630" s="29">
        <f t="shared" si="141"/>
        <v>0.31669761904761912</v>
      </c>
      <c r="AA630">
        <f t="shared" si="146"/>
        <v>0</v>
      </c>
      <c r="AB630">
        <f t="shared" si="147"/>
        <v>0</v>
      </c>
      <c r="AE630" s="4"/>
    </row>
    <row r="631" spans="1:31" x14ac:dyDescent="0.25">
      <c r="A631" s="1" t="s">
        <v>4426</v>
      </c>
      <c r="B631" s="2" t="s">
        <v>4377</v>
      </c>
      <c r="C631" s="1" t="str">
        <f>_xlfn.XLOOKUP(A631,BOM!A:A,BOM!C:C)</f>
        <v>SWEDE DICE 10MM 1KG</v>
      </c>
      <c r="D631" s="2" t="s">
        <v>554</v>
      </c>
      <c r="E631" s="1">
        <f>VLOOKUP(A631,BOM!A:E,5,0)</f>
        <v>1</v>
      </c>
      <c r="F631" s="110">
        <v>2.89</v>
      </c>
      <c r="G631" s="10">
        <v>2.44</v>
      </c>
      <c r="H631" s="11" t="s">
        <v>1874</v>
      </c>
      <c r="I631" s="49">
        <f>SUMIFS(BOM!Q:Q,BOM!A:A,'All Products'!A631,BOM!I:I,'All Products'!I$3)</f>
        <v>0.62650602409638567</v>
      </c>
      <c r="J631" s="49">
        <f>SUMIFS(BOM!Q:Q,BOM!A:A,'All Products'!A631,BOM!I:I,'All Products'!J$3)+0.03</f>
        <v>0.17</v>
      </c>
      <c r="K631" s="29">
        <f t="shared" si="138"/>
        <v>0.32643689512146956</v>
      </c>
      <c r="L631" s="49">
        <f>SUMIF(BOM!A:A,'All Products'!A631,BOM!S:S)</f>
        <v>0.64314999999999989</v>
      </c>
      <c r="M631" s="49">
        <f>SUMIF(BOM!A:A,'All Products'!A631,BOM!V:V)</f>
        <v>0.21833249999999998</v>
      </c>
      <c r="N631" s="29">
        <f t="shared" si="139"/>
        <v>0.35306659836065574</v>
      </c>
      <c r="O631" s="55">
        <v>0</v>
      </c>
      <c r="P631" s="49">
        <f t="shared" si="140"/>
        <v>1.6579885240963856</v>
      </c>
      <c r="Q631" s="11">
        <f t="shared" si="145"/>
        <v>0.78201147590361431</v>
      </c>
      <c r="R631" s="29">
        <f t="shared" si="141"/>
        <v>0.3204965065178747</v>
      </c>
      <c r="AA631">
        <f t="shared" si="146"/>
        <v>0</v>
      </c>
      <c r="AB631">
        <f t="shared" si="147"/>
        <v>0</v>
      </c>
      <c r="AE631" s="4"/>
    </row>
    <row r="632" spans="1:31" x14ac:dyDescent="0.25">
      <c r="A632" s="1" t="s">
        <v>4427</v>
      </c>
      <c r="B632" s="2" t="s">
        <v>4377</v>
      </c>
      <c r="C632" s="1" t="str">
        <f>_xlfn.XLOOKUP(A632,BOM!A:A,BOM!C:C)</f>
        <v>PREP DICED BUTTERNUT 15MM X2.5KG</v>
      </c>
      <c r="D632" s="2" t="s">
        <v>554</v>
      </c>
      <c r="E632" s="1">
        <f>VLOOKUP(A632,BOM!A:E,5,0)</f>
        <v>2.5</v>
      </c>
      <c r="F632" s="110">
        <v>7.5</v>
      </c>
      <c r="G632" s="10">
        <v>7.13</v>
      </c>
      <c r="H632" s="11" t="s">
        <v>1874</v>
      </c>
      <c r="I632" s="49">
        <f>SUMIFS(BOM!Q:Q,BOM!A:A,'All Products'!A632,BOM!I:I,'All Products'!I$3)</f>
        <v>2.2260273972602742</v>
      </c>
      <c r="J632" s="49">
        <f>SUMIFS(BOM!Q:Q,BOM!A:A,'All Products'!A632,BOM!I:I,'All Products'!J$3)+0.03</f>
        <v>0.17</v>
      </c>
      <c r="K632" s="29">
        <f t="shared" si="138"/>
        <v>0.33604872331841151</v>
      </c>
      <c r="L632" s="49">
        <f>SUMIF(BOM!A:A,'All Products'!A632,BOM!S:S)</f>
        <v>1.4386249999999998</v>
      </c>
      <c r="M632" s="49">
        <f>SUMIF(BOM!A:A,'All Products'!A632,BOM!V:V)</f>
        <v>0.21833249999999998</v>
      </c>
      <c r="N632" s="29">
        <f t="shared" si="139"/>
        <v>0.23239235624123419</v>
      </c>
      <c r="O632" s="55">
        <v>0</v>
      </c>
      <c r="P632" s="49">
        <f t="shared" si="140"/>
        <v>4.0529848972602736</v>
      </c>
      <c r="Q632" s="11">
        <f t="shared" si="145"/>
        <v>3.0770151027397263</v>
      </c>
      <c r="R632" s="29">
        <f t="shared" si="141"/>
        <v>0.43155892044035432</v>
      </c>
      <c r="AA632">
        <f t="shared" si="146"/>
        <v>0</v>
      </c>
      <c r="AB632">
        <f t="shared" si="147"/>
        <v>0</v>
      </c>
      <c r="AE632" s="4"/>
    </row>
    <row r="633" spans="1:31" x14ac:dyDescent="0.25">
      <c r="A633" s="1" t="s">
        <v>4428</v>
      </c>
      <c r="B633" s="2" t="s">
        <v>4377</v>
      </c>
      <c r="C633" s="1" t="str">
        <f>_xlfn.XLOOKUP(A633,BOM!A:A,BOM!C:C)</f>
        <v>RED ONIONS DICED 15MM 1KG</v>
      </c>
      <c r="D633" s="2" t="s">
        <v>554</v>
      </c>
      <c r="E633" s="1">
        <f>VLOOKUP(A633,BOM!A:E,5,0)</f>
        <v>1</v>
      </c>
      <c r="F633" s="110">
        <v>3.11</v>
      </c>
      <c r="G633" s="10">
        <v>2.67</v>
      </c>
      <c r="H633" s="11" t="s">
        <v>1874</v>
      </c>
      <c r="I633" s="49">
        <f>SUMIFS(BOM!Q:Q,BOM!A:A,'All Products'!A633,BOM!I:I,'All Products'!I$3)</f>
        <v>1.2272727272727275</v>
      </c>
      <c r="J633" s="49">
        <f>SUMIFS(BOM!Q:Q,BOM!A:A,'All Products'!A633,BOM!I:I,'All Products'!J$3)+0.03</f>
        <v>0.17</v>
      </c>
      <c r="K633" s="29">
        <f t="shared" si="138"/>
        <v>0.52332311882873683</v>
      </c>
      <c r="L633" s="49">
        <f>SUMIF(BOM!A:A,'All Products'!A633,BOM!S:S)</f>
        <v>0.16924999999999998</v>
      </c>
      <c r="M633" s="49">
        <f>SUMIF(BOM!A:A,'All Products'!A633,BOM!V:V)</f>
        <v>0.21833249999999998</v>
      </c>
      <c r="N633" s="29">
        <f t="shared" si="139"/>
        <v>0.14516198501872657</v>
      </c>
      <c r="O633" s="55">
        <v>0</v>
      </c>
      <c r="P633" s="49">
        <f t="shared" si="140"/>
        <v>1.7848552272727274</v>
      </c>
      <c r="Q633" s="11">
        <f t="shared" si="145"/>
        <v>0.88514477272727254</v>
      </c>
      <c r="R633" s="29">
        <f t="shared" si="141"/>
        <v>0.33151489615253654</v>
      </c>
      <c r="AA633">
        <f t="shared" si="146"/>
        <v>0</v>
      </c>
      <c r="AB633">
        <f t="shared" si="147"/>
        <v>0</v>
      </c>
      <c r="AE633" s="4"/>
    </row>
    <row r="634" spans="1:31" x14ac:dyDescent="0.25">
      <c r="A634" s="1" t="s">
        <v>4429</v>
      </c>
      <c r="B634" s="2" t="s">
        <v>4377</v>
      </c>
      <c r="C634" s="1" t="str">
        <f>_xlfn.XLOOKUP(A634,BOM!A:A,BOM!C:C)</f>
        <v>WHITE ONIONS DICED 15MM 1KG</v>
      </c>
      <c r="D634" s="2" t="s">
        <v>554</v>
      </c>
      <c r="E634" s="1">
        <f>VLOOKUP(A634,BOM!A:E,5,0)</f>
        <v>1</v>
      </c>
      <c r="F634" s="110">
        <v>1.87</v>
      </c>
      <c r="G634" s="10">
        <v>1.88</v>
      </c>
      <c r="H634" s="11" t="s">
        <v>1874</v>
      </c>
      <c r="I634" s="49">
        <f>SUMIFS(BOM!Q:Q,BOM!A:A,'All Products'!A634,BOM!I:I,'All Products'!I$3)</f>
        <v>0.97346547314578002</v>
      </c>
      <c r="J634" s="49">
        <f>SUMIFS(BOM!Q:Q,BOM!A:A,'All Products'!A634,BOM!I:I,'All Products'!J$3)+0.03</f>
        <v>0.17</v>
      </c>
      <c r="K634" s="29">
        <f t="shared" si="138"/>
        <v>0.60822631550307449</v>
      </c>
      <c r="L634" s="49">
        <f>SUMIF(BOM!A:A,'All Products'!A634,BOM!S:S)</f>
        <v>0.13201499999999999</v>
      </c>
      <c r="M634" s="49">
        <f>SUMIF(BOM!A:A,'All Products'!A634,BOM!V:V)</f>
        <v>0.21833249999999998</v>
      </c>
      <c r="N634" s="29">
        <f t="shared" si="139"/>
        <v>0.18635505319148937</v>
      </c>
      <c r="O634" s="55">
        <v>0</v>
      </c>
      <c r="P634" s="49">
        <f t="shared" si="140"/>
        <v>1.4938129731457801</v>
      </c>
      <c r="Q634" s="11">
        <f t="shared" si="145"/>
        <v>0.38618702685421979</v>
      </c>
      <c r="R634" s="29">
        <f t="shared" si="141"/>
        <v>0.20541863130543608</v>
      </c>
      <c r="AA634">
        <f t="shared" si="146"/>
        <v>0</v>
      </c>
      <c r="AB634">
        <f t="shared" si="147"/>
        <v>0</v>
      </c>
      <c r="AE634" s="4"/>
    </row>
    <row r="635" spans="1:31" x14ac:dyDescent="0.25">
      <c r="A635" s="1" t="s">
        <v>4490</v>
      </c>
      <c r="B635" s="2" t="s">
        <v>552</v>
      </c>
      <c r="C635" s="1" t="str">
        <f>_xlfn.XLOOKUP(A635,BOM!A:A,BOM!C:C)</f>
        <v>CABBAGE KALE COLESLAW 1X5KG</v>
      </c>
      <c r="D635" s="2" t="s">
        <v>554</v>
      </c>
      <c r="E635" s="1">
        <f>VLOOKUP(A635,BOM!A:E,5,0)</f>
        <v>5</v>
      </c>
      <c r="F635" s="110">
        <v>16.059999999999999</v>
      </c>
      <c r="G635" s="10">
        <v>15.76</v>
      </c>
      <c r="H635" s="11" t="s">
        <v>1874</v>
      </c>
      <c r="I635" s="49">
        <f>SUMIFS(BOM!Q:Q,BOM!A:A,'All Products'!A635,BOM!I:I,'All Products'!I$3)</f>
        <v>3.4285303015395039</v>
      </c>
      <c r="J635" s="49">
        <f>SUMIFS(BOM!Q:Q,BOM!A:A,'All Products'!A635,BOM!I:I,'All Products'!J$3)+0.03</f>
        <v>0.45000000000000007</v>
      </c>
      <c r="K635" s="29">
        <f t="shared" si="138"/>
        <v>0.24609963842255736</v>
      </c>
      <c r="L635" s="49">
        <f>SUMIF(BOM!A:A,'All Products'!A635,BOM!S:S)</f>
        <v>1.9309064293395735</v>
      </c>
      <c r="M635" s="49">
        <f>SUMIF(BOM!A:A,'All Products'!A635,BOM!V:V)</f>
        <v>0.40112249999999999</v>
      </c>
      <c r="N635" s="29">
        <f t="shared" si="139"/>
        <v>0.14797137876520136</v>
      </c>
      <c r="O635" s="55">
        <v>0</v>
      </c>
      <c r="P635" s="49">
        <f t="shared" si="140"/>
        <v>6.2105592308790776</v>
      </c>
      <c r="Q635" s="11">
        <f t="shared" si="145"/>
        <v>9.5494407691209222</v>
      </c>
      <c r="R635" s="29">
        <f t="shared" si="141"/>
        <v>0.60592898281224128</v>
      </c>
      <c r="AA635" s="4">
        <f>P635/E635</f>
        <v>1.2421118461758156</v>
      </c>
    </row>
    <row r="636" spans="1:31" x14ac:dyDescent="0.25">
      <c r="A636" s="1" t="s">
        <v>4492</v>
      </c>
      <c r="B636" s="2" t="s">
        <v>656</v>
      </c>
      <c r="C636" s="1" t="str">
        <f>_xlfn.XLOOKUP(A636,BOM!A:A,BOM!C:C)</f>
        <v>OKRA T&amp;T 3-4CM H/C RTC 2.5KG</v>
      </c>
      <c r="D636" s="2" t="s">
        <v>554</v>
      </c>
      <c r="E636" s="1">
        <f>VLOOKUP(A636,BOM!A:E,5,0)</f>
        <v>2.5</v>
      </c>
      <c r="F636" s="110">
        <v>47.13</v>
      </c>
      <c r="G636" s="10">
        <v>52.86</v>
      </c>
      <c r="H636" s="11" t="s">
        <v>1874</v>
      </c>
      <c r="I636" s="49">
        <f>SUMIFS(BOM!Q:Q,BOM!A:A,'All Products'!A636,BOM!I:I,'All Products'!I$3)</f>
        <v>15.107142857142858</v>
      </c>
      <c r="J636" s="49">
        <f>SUMIFS(BOM!Q:Q,BOM!A:A,'All Products'!A636,BOM!I:I,'All Products'!J$3)+0.03</f>
        <v>0.17</v>
      </c>
      <c r="K636" s="29">
        <f t="shared" si="138"/>
        <v>0.28901140478893034</v>
      </c>
      <c r="L636" s="49">
        <f>SUMIF(BOM!A:A,'All Products'!A636,BOM!S:S)</f>
        <v>10.180451127819548</v>
      </c>
      <c r="M636" s="49">
        <f>SUMIF(BOM!A:A,'All Products'!A636,BOM!V:V)</f>
        <v>0.29618749999999999</v>
      </c>
      <c r="N636" s="29">
        <f t="shared" si="139"/>
        <v>0.19819596344721052</v>
      </c>
      <c r="O636" s="55">
        <v>0</v>
      </c>
      <c r="P636" s="49">
        <f t="shared" si="140"/>
        <v>25.753781484962406</v>
      </c>
      <c r="Q636" s="11">
        <f t="shared" si="145"/>
        <v>27.106218515037593</v>
      </c>
      <c r="R636" s="29">
        <f t="shared" si="141"/>
        <v>0.51279263176385914</v>
      </c>
    </row>
    <row r="637" spans="1:31" x14ac:dyDescent="0.25">
      <c r="A637" s="1" t="s">
        <v>4496</v>
      </c>
      <c r="B637" s="2" t="s">
        <v>656</v>
      </c>
      <c r="C637" s="1" t="str">
        <f>_xlfn.XLOOKUP(A637,BOM!A:A,BOM!C:C)</f>
        <v>CUCMBR RIBBONS 14CMX2MM HC 1KG</v>
      </c>
      <c r="D637" s="2" t="s">
        <v>554</v>
      </c>
      <c r="E637" s="1">
        <f>VLOOKUP(A637,BOM!A:E,5,0)</f>
        <v>1</v>
      </c>
      <c r="F637" s="110">
        <v>16.93</v>
      </c>
      <c r="G637" s="10">
        <v>17.23</v>
      </c>
      <c r="H637" s="11" t="s">
        <v>1874</v>
      </c>
      <c r="I637" s="49">
        <f>SUMIFS(BOM!Q:Q,BOM!A:A,'All Products'!A637,BOM!I:I,'All Products'!I$3)</f>
        <v>5.8999999999999995</v>
      </c>
      <c r="J637" s="49">
        <f>SUMIFS(BOM!Q:Q,BOM!A:A,'All Products'!A637,BOM!I:I,'All Products'!J$3)+0.03</f>
        <v>0.17</v>
      </c>
      <c r="K637" s="29">
        <f t="shared" si="138"/>
        <v>0.35229251305861864</v>
      </c>
      <c r="L637" s="49">
        <f>SUMIF(BOM!A:A,'All Products'!A637,BOM!S:S)</f>
        <v>4.4749699999999999</v>
      </c>
      <c r="M637" s="49">
        <f>SUMIF(BOM!A:A,'All Products'!A637,BOM!V:V)</f>
        <v>0.21833249999999998</v>
      </c>
      <c r="N637" s="29">
        <f t="shared" si="139"/>
        <v>0.27239132327336041</v>
      </c>
      <c r="O637" s="55">
        <v>0</v>
      </c>
      <c r="P637" s="49">
        <f t="shared" si="140"/>
        <v>10.763302499999998</v>
      </c>
      <c r="Q637" s="11">
        <f t="shared" si="145"/>
        <v>6.4666975000000022</v>
      </c>
      <c r="R637" s="29">
        <f t="shared" si="141"/>
        <v>0.37531616366802101</v>
      </c>
    </row>
    <row r="638" spans="1:31" x14ac:dyDescent="0.25">
      <c r="A638" s="1" t="s">
        <v>4499</v>
      </c>
      <c r="B638" s="2" t="s">
        <v>656</v>
      </c>
      <c r="C638" s="1" t="str">
        <f>_xlfn.XLOOKUP(A638,BOM!A:A,BOM!C:C)</f>
        <v>CUCMBR RIBBON 14CMX2MM HC 2.5K</v>
      </c>
      <c r="D638" s="2" t="s">
        <v>554</v>
      </c>
      <c r="E638" s="1">
        <f>VLOOKUP(A638,BOM!A:E,5,0)</f>
        <v>2.5</v>
      </c>
      <c r="F638" s="110">
        <v>42.32</v>
      </c>
      <c r="G638" s="10">
        <v>43.05</v>
      </c>
      <c r="H638" s="11" t="s">
        <v>1874</v>
      </c>
      <c r="I638" s="49">
        <f>SUMIFS(BOM!Q:Q,BOM!A:A,'All Products'!A638,BOM!I:I,'All Products'!I$3)</f>
        <v>14.75</v>
      </c>
      <c r="J638" s="49">
        <f>SUMIFS(BOM!Q:Q,BOM!A:A,'All Products'!A638,BOM!I:I,'All Products'!J$3)+0.03</f>
        <v>0.17</v>
      </c>
      <c r="K638" s="29">
        <f t="shared" si="138"/>
        <v>0.34657375145180025</v>
      </c>
      <c r="L638" s="49">
        <f>SUMIF(BOM!A:A,'All Products'!A638,BOM!S:S)</f>
        <v>11.187425000000001</v>
      </c>
      <c r="M638" s="49">
        <f>SUMIF(BOM!A:A,'All Products'!A638,BOM!V:V)</f>
        <v>0.29618749999999999</v>
      </c>
      <c r="N638" s="29">
        <f t="shared" si="139"/>
        <v>0.26675058072009294</v>
      </c>
      <c r="O638" s="55">
        <v>0</v>
      </c>
      <c r="P638" s="49">
        <f t="shared" si="140"/>
        <v>26.403612500000001</v>
      </c>
      <c r="Q638" s="11">
        <f t="shared" si="145"/>
        <v>16.646387499999996</v>
      </c>
      <c r="R638" s="29">
        <f t="shared" si="141"/>
        <v>0.38667566782810681</v>
      </c>
    </row>
    <row r="639" spans="1:31" x14ac:dyDescent="0.25">
      <c r="A639" s="1" t="s">
        <v>4501</v>
      </c>
      <c r="B639" s="2" t="s">
        <v>552</v>
      </c>
      <c r="C639" s="1" t="str">
        <f>_xlfn.XLOOKUP(A639,BOM!A:A,BOM!C:C)</f>
        <v>COLESLAW MIX 8X500G</v>
      </c>
      <c r="D639" s="2" t="s">
        <v>554</v>
      </c>
      <c r="E639" s="1">
        <v>4</v>
      </c>
      <c r="F639" s="110">
        <v>10.32</v>
      </c>
      <c r="G639" s="10">
        <v>10.62</v>
      </c>
      <c r="H639" s="11" t="s">
        <v>1874</v>
      </c>
      <c r="I639" s="49">
        <f>SUMIFS(BOM!Q:Q,BOM!A:A,'All Products'!A639,BOM!I:I,'All Products'!I$3)</f>
        <v>2.093369084703105</v>
      </c>
      <c r="J639" s="49">
        <f>SUMIFS(BOM!Q:Q,BOM!A:A,'All Products'!A639,BOM!I:I,'All Products'!J$3)+0.03</f>
        <v>0.73000000000000009</v>
      </c>
      <c r="K639" s="29">
        <f t="shared" si="138"/>
        <v>0.26585396277807016</v>
      </c>
      <c r="L639" s="49">
        <f>SUMIF(BOM!A:A,'All Products'!A639,BOM!S:S)</f>
        <v>1.2183119442766797</v>
      </c>
      <c r="M639" s="49">
        <f>SUMIF(BOM!A:A,'All Products'!A639,BOM!V:V)</f>
        <v>0.67699999999999994</v>
      </c>
      <c r="N639" s="29">
        <f t="shared" si="139"/>
        <v>0.17846628477181542</v>
      </c>
      <c r="O639" s="55">
        <v>0</v>
      </c>
      <c r="P639" s="49">
        <f t="shared" si="140"/>
        <v>4.7186810289797849</v>
      </c>
      <c r="Q639" s="11">
        <f t="shared" si="145"/>
        <v>5.9013189710202143</v>
      </c>
      <c r="R639" s="29">
        <f t="shared" si="141"/>
        <v>0.55567975245011436</v>
      </c>
    </row>
    <row r="640" spans="1:31" x14ac:dyDescent="0.25">
      <c r="A640" s="1" t="s">
        <v>4503</v>
      </c>
      <c r="B640" s="2" t="s">
        <v>4377</v>
      </c>
      <c r="C640" s="1" t="str">
        <f>_xlfn.XLOOKUP(A640,BOM!A:A,BOM!C:C)</f>
        <v>LEEK DICED 10MM 2.5KG</v>
      </c>
      <c r="D640" s="2" t="s">
        <v>554</v>
      </c>
      <c r="E640" s="1">
        <v>2.5</v>
      </c>
      <c r="F640" s="110">
        <v>12.67</v>
      </c>
      <c r="G640" s="10">
        <v>12.62</v>
      </c>
      <c r="H640" s="11" t="s">
        <v>1874</v>
      </c>
      <c r="I640" s="49">
        <f>SUMIFS(BOM!Q:Q,BOM!A:A,'All Products'!A640,BOM!I:I,'All Products'!I$3)</f>
        <v>4.774844720496894</v>
      </c>
      <c r="J640" s="49">
        <f>SUMIFS(BOM!Q:Q,BOM!A:A,'All Products'!A640,BOM!I:I,'All Products'!J$3)+0.03</f>
        <v>0.17</v>
      </c>
      <c r="K640" s="29">
        <f t="shared" si="138"/>
        <v>0.39182604758295519</v>
      </c>
      <c r="L640" s="49">
        <f>SUMIF(BOM!A:A,'All Products'!A640,BOM!S:S)</f>
        <v>0.813461254066844</v>
      </c>
      <c r="M640" s="49">
        <f>SUMIF(BOM!A:A,'All Products'!A640,BOM!V:V)</f>
        <v>0.29618749999999999</v>
      </c>
      <c r="N640" s="29">
        <f t="shared" si="139"/>
        <v>8.7927793507673865E-2</v>
      </c>
      <c r="O640" s="55">
        <v>0</v>
      </c>
      <c r="P640" s="49">
        <f t="shared" si="140"/>
        <v>6.0544934745637384</v>
      </c>
      <c r="Q640" s="11">
        <f t="shared" si="145"/>
        <v>6.5655065254362608</v>
      </c>
      <c r="R640" s="29">
        <f t="shared" si="141"/>
        <v>0.52024615890937098</v>
      </c>
    </row>
    <row r="641" spans="1:18" x14ac:dyDescent="0.25">
      <c r="A641" s="104" t="s">
        <v>4506</v>
      </c>
      <c r="B641" s="2" t="s">
        <v>656</v>
      </c>
      <c r="C641" s="1" t="str">
        <f>_xlfn.XLOOKUP(A641,BOM!A:A,BOM!C:C)</f>
        <v>POMME NEUF 1.5X1.5X6CM RTW 1KG</v>
      </c>
      <c r="D641" s="2" t="s">
        <v>554</v>
      </c>
      <c r="E641" s="1">
        <f>VLOOKUP(A641,BOM!A:E,5,0)</f>
        <v>1</v>
      </c>
      <c r="F641" s="110">
        <v>6.5</v>
      </c>
      <c r="G641" s="10">
        <v>6.26</v>
      </c>
      <c r="H641" s="11" t="s">
        <v>1874</v>
      </c>
      <c r="I641" s="49">
        <f>SUMIFS(BOM!Q:Q,BOM!A:A,'All Products'!A641,BOM!I:I,'All Products'!I$3)</f>
        <v>1.2244897959183674</v>
      </c>
      <c r="J641" s="49">
        <f>SUMIFS(BOM!Q:Q,BOM!A:A,'All Products'!A641,BOM!I:I,'All Products'!J$3)+0.03</f>
        <v>0.17</v>
      </c>
      <c r="K641" s="29">
        <f t="shared" si="138"/>
        <v>0.22276194822977113</v>
      </c>
      <c r="L641" s="49">
        <f>SUMIF(BOM!A:A,'All Products'!A641,BOM!S:S)</f>
        <v>1.6389617346938776</v>
      </c>
      <c r="M641" s="49">
        <f>SUMIF(BOM!A:A,'All Products'!A641,BOM!V:V)</f>
        <v>0.21833249999999998</v>
      </c>
      <c r="N641" s="29">
        <f t="shared" si="139"/>
        <v>0.29669236975940538</v>
      </c>
      <c r="O641" s="55">
        <v>0</v>
      </c>
      <c r="P641" s="49">
        <f t="shared" si="140"/>
        <v>3.251784030612245</v>
      </c>
      <c r="Q641" s="11">
        <f t="shared" si="145"/>
        <v>3.0082159693877548</v>
      </c>
      <c r="R641" s="29">
        <f t="shared" si="141"/>
        <v>0.48054568201082348</v>
      </c>
    </row>
    <row r="642" spans="1:18" x14ac:dyDescent="0.25">
      <c r="A642" s="104" t="s">
        <v>4508</v>
      </c>
      <c r="B642" s="2" t="s">
        <v>656</v>
      </c>
      <c r="C642" s="1" t="str">
        <f>_xlfn.XLOOKUP(A642,BOM!A:A,BOM!C:C)</f>
        <v>POMME NEUF 1.5X1.5X6CM RTW 2.5KG</v>
      </c>
      <c r="D642" s="2" t="s">
        <v>554</v>
      </c>
      <c r="E642" s="1">
        <f>VLOOKUP(A642,BOM!A:E,5,0)</f>
        <v>2.5</v>
      </c>
      <c r="F642" s="110">
        <v>16.25</v>
      </c>
      <c r="G642" s="10">
        <v>15.64</v>
      </c>
      <c r="H642" s="11" t="s">
        <v>1874</v>
      </c>
      <c r="I642" s="49">
        <f>SUMIFS(BOM!Q:Q,BOM!A:A,'All Products'!A642,BOM!I:I,'All Products'!I$3)</f>
        <v>3.0612244897959187</v>
      </c>
      <c r="J642" s="49">
        <f>SUMIFS(BOM!Q:Q,BOM!A:A,'All Products'!A642,BOM!I:I,'All Products'!J$3)+0.03</f>
        <v>0.17</v>
      </c>
      <c r="K642" s="29">
        <f t="shared" si="138"/>
        <v>0.20660003131687457</v>
      </c>
      <c r="L642" s="49">
        <f>SUMIF(BOM!A:A,'All Products'!A642,BOM!S:S)</f>
        <v>4.0974043367346935</v>
      </c>
      <c r="M642" s="49">
        <f>SUMIF(BOM!A:A,'All Products'!A642,BOM!V:V)</f>
        <v>0.29618749999999999</v>
      </c>
      <c r="N642" s="29">
        <f t="shared" si="139"/>
        <v>0.28092019416462233</v>
      </c>
      <c r="O642" s="55">
        <v>0</v>
      </c>
      <c r="P642" s="49">
        <f t="shared" si="140"/>
        <v>7.6248163265306115</v>
      </c>
      <c r="Q642" s="11">
        <f t="shared" si="145"/>
        <v>8.0151836734693891</v>
      </c>
      <c r="R642" s="29">
        <f t="shared" si="141"/>
        <v>0.51247977451850313</v>
      </c>
    </row>
    <row r="643" spans="1:18" x14ac:dyDescent="0.25">
      <c r="A643" s="1" t="s">
        <v>4511</v>
      </c>
      <c r="B643" s="2" t="s">
        <v>656</v>
      </c>
      <c r="C643" s="1" t="str">
        <f>_xlfn.XLOOKUP(A643,BOM!A:A,BOM!C:C)</f>
        <v>REDBABY BEET PLD 15G HC RTW 50EA</v>
      </c>
      <c r="D643" s="2" t="s">
        <v>554</v>
      </c>
      <c r="E643" s="1">
        <f>VLOOKUP(A643,BOM!A:E,5,0)</f>
        <v>0.8</v>
      </c>
      <c r="F643" s="110">
        <v>51.58</v>
      </c>
      <c r="G643" s="10">
        <v>52.54</v>
      </c>
      <c r="H643" s="11" t="s">
        <v>1874</v>
      </c>
      <c r="I643" s="49">
        <f>SUMIFS(BOM!Q:Q,BOM!A:A,'All Products'!A643,BOM!I:I,'All Products'!I$3)</f>
        <v>13.1648</v>
      </c>
      <c r="J643" s="49">
        <f>SUMIFS(BOM!Q:Q,BOM!A:A,'All Products'!A643,BOM!I:I,'All Products'!J$3)+0.03</f>
        <v>0.17</v>
      </c>
      <c r="K643" s="29">
        <f t="shared" si="138"/>
        <v>0.25380281690140843</v>
      </c>
      <c r="L643" s="49">
        <f>SUMIF(BOM!A:A,'All Products'!A643,BOM!S:S)</f>
        <v>6.3468749999999998</v>
      </c>
      <c r="M643" s="49">
        <f>SUMIF(BOM!A:A,'All Products'!A643,BOM!V:V)</f>
        <v>0.29618749999999999</v>
      </c>
      <c r="N643" s="29">
        <f t="shared" si="139"/>
        <v>0.1264381899505139</v>
      </c>
      <c r="O643" s="55">
        <v>0</v>
      </c>
      <c r="P643" s="49">
        <f t="shared" si="140"/>
        <v>19.977862500000001</v>
      </c>
      <c r="Q643" s="11">
        <f t="shared" si="145"/>
        <v>32.562137499999999</v>
      </c>
      <c r="R643" s="29">
        <f t="shared" si="141"/>
        <v>0.61975899314807759</v>
      </c>
    </row>
    <row r="644" spans="1:18" x14ac:dyDescent="0.25">
      <c r="A644" s="1" t="s">
        <v>4536</v>
      </c>
      <c r="B644" s="2" t="s">
        <v>656</v>
      </c>
      <c r="C644" s="1" t="str">
        <f>_xlfn.XLOOKUP(A644,BOM!A:A,BOM!C:C)</f>
        <v>REDBABY BEET PLD 15G HC RTW 100EA</v>
      </c>
      <c r="D644" s="2" t="s">
        <v>554</v>
      </c>
      <c r="E644" s="1">
        <f>VLOOKUP(A644,BOM!A:E,5,0)</f>
        <v>1.6</v>
      </c>
      <c r="F644" s="110">
        <v>103.17</v>
      </c>
      <c r="G644" s="10">
        <v>105.09</v>
      </c>
      <c r="H644" s="11" t="s">
        <v>1874</v>
      </c>
      <c r="I644" s="49">
        <f>SUMIFS(BOM!Q:Q,BOM!A:A,'All Products'!A644,BOM!I:I,'All Products'!I$3)</f>
        <v>26.329599999999999</v>
      </c>
      <c r="J644" s="49">
        <f>SUMIFS(BOM!Q:Q,BOM!A:A,'All Products'!A644,BOM!I:I,'All Products'!J$3)+0.03</f>
        <v>0.17</v>
      </c>
      <c r="K644" s="29">
        <f t="shared" ref="K644:K707" si="148">(I644+J644)/G644</f>
        <v>0.25216100485298315</v>
      </c>
      <c r="L644" s="49">
        <f>SUMIF(BOM!A:A,'All Products'!A644,BOM!S:S)</f>
        <v>12.69375</v>
      </c>
      <c r="M644" s="49">
        <f>SUMIF(BOM!A:A,'All Products'!A644,BOM!V:V)</f>
        <v>0.39773749999999997</v>
      </c>
      <c r="N644" s="29">
        <f t="shared" ref="N644:N707" si="149">(L644+M644)/G644</f>
        <v>0.12457405557141497</v>
      </c>
      <c r="O644" s="55">
        <v>0</v>
      </c>
      <c r="P644" s="49">
        <f t="shared" ref="P644:P707" si="150">I644+J644+M644+L644+O644</f>
        <v>39.5910875</v>
      </c>
      <c r="Q644" s="11">
        <f t="shared" si="145"/>
        <v>65.498912500000003</v>
      </c>
      <c r="R644" s="29">
        <f t="shared" ref="R644:R707" si="151">IFERROR((G644-P644)/G644,0)</f>
        <v>0.62326493957560192</v>
      </c>
    </row>
    <row r="645" spans="1:18" x14ac:dyDescent="0.25">
      <c r="A645" s="1" t="s">
        <v>1863</v>
      </c>
      <c r="B645" s="2" t="s">
        <v>552</v>
      </c>
      <c r="C645" s="1" t="str">
        <f>_xlfn.XLOOKUP(A645,BOM!A:A,BOM!C:C)</f>
        <v>Prep Shallots 2.5kg</v>
      </c>
      <c r="D645" s="2" t="s">
        <v>554</v>
      </c>
      <c r="E645" s="1">
        <f>VLOOKUP(A645,BOM!A:E,5,0)</f>
        <v>2.5</v>
      </c>
      <c r="F645" s="110">
        <v>20.5</v>
      </c>
      <c r="G645" s="10">
        <v>21.74</v>
      </c>
      <c r="H645" s="11" t="s">
        <v>1874</v>
      </c>
      <c r="I645" s="49">
        <f>SUMIFS(BOM!Q:Q,BOM!A:A,'All Products'!A645,BOM!I:I,'All Products'!I$3)</f>
        <v>2.5649350649350651</v>
      </c>
      <c r="J645" s="49">
        <f>SUMIFS(BOM!Q:Q,BOM!A:A,'All Products'!A645,BOM!I:I,'All Products'!J$3)+0.03</f>
        <v>0.17</v>
      </c>
      <c r="K645" s="29">
        <f t="shared" si="148"/>
        <v>0.12580198090777669</v>
      </c>
      <c r="L645" s="49">
        <f>SUMIF(BOM!A:A,'All Products'!A645,BOM!S:S)</f>
        <v>6.5941558441558428</v>
      </c>
      <c r="M645" s="49">
        <f>SUMIF(BOM!A:A,'All Products'!A645,BOM!V:V)</f>
        <v>0.29618749999999999</v>
      </c>
      <c r="N645" s="29">
        <f t="shared" si="149"/>
        <v>0.31694311610652454</v>
      </c>
      <c r="O645" s="55">
        <v>0</v>
      </c>
      <c r="P645" s="49">
        <f t="shared" si="150"/>
        <v>9.6252784090909067</v>
      </c>
      <c r="Q645" s="11">
        <f t="shared" si="145"/>
        <v>12.114721590909092</v>
      </c>
      <c r="R645" s="29">
        <f t="shared" si="151"/>
        <v>0.5572549029856988</v>
      </c>
    </row>
    <row r="646" spans="1:18" x14ac:dyDescent="0.25">
      <c r="A646" s="1" t="s">
        <v>4514</v>
      </c>
      <c r="B646" s="2" t="s">
        <v>552</v>
      </c>
      <c r="C646" s="1" t="str">
        <f>_xlfn.XLOOKUP(A646,BOM!A:A,BOM!C:C)</f>
        <v>PEAR - WILLIAMS, PLD, CRD, BTM - 1KG</v>
      </c>
      <c r="D646" s="2" t="s">
        <v>554</v>
      </c>
      <c r="E646" s="1">
        <f>VLOOKUP(A646,BOM!A:E,5,0)</f>
        <v>1</v>
      </c>
      <c r="F646" s="110">
        <v>8.8000000000000007</v>
      </c>
      <c r="G646" s="145">
        <v>8.86</v>
      </c>
      <c r="H646" s="11" t="s">
        <v>1874</v>
      </c>
      <c r="I646" s="49" t="e">
        <f>SUMIFS(BOM!Q:Q,BOM!A:A,'All Products'!A646,BOM!I:I,'All Products'!I$3)</f>
        <v>#N/A</v>
      </c>
      <c r="J646" s="49">
        <f>SUMIFS(BOM!Q:Q,BOM!A:A,'All Products'!A646,BOM!I:I,'All Products'!J$3)+0.03</f>
        <v>0.17</v>
      </c>
      <c r="K646" s="29" t="e">
        <f t="shared" si="148"/>
        <v>#N/A</v>
      </c>
      <c r="L646" s="49">
        <f>SUMIF(BOM!A:A,'All Products'!A646,BOM!S:S)</f>
        <v>3.0772727272727272</v>
      </c>
      <c r="M646" s="49">
        <f>SUMIF(BOM!A:A,'All Products'!A646,BOM!V:V)</f>
        <v>0.21833249999999998</v>
      </c>
      <c r="N646" s="29">
        <f t="shared" si="149"/>
        <v>0.37196447260414528</v>
      </c>
      <c r="O646" s="55">
        <v>0</v>
      </c>
      <c r="P646" s="49" t="e">
        <f t="shared" si="150"/>
        <v>#N/A</v>
      </c>
      <c r="Q646" s="29">
        <v>0.47040496261453946</v>
      </c>
      <c r="R646" s="29">
        <f t="shared" si="151"/>
        <v>0</v>
      </c>
    </row>
    <row r="647" spans="1:18" x14ac:dyDescent="0.25">
      <c r="A647" s="1" t="s">
        <v>1778</v>
      </c>
      <c r="B647" s="2" t="s">
        <v>552</v>
      </c>
      <c r="C647" s="1" t="str">
        <f>_xlfn.XLOOKUP(A647,BOM!A:A,BOM!C:C)</f>
        <v>PREP ONION RED WHOLE 2.5KG</v>
      </c>
      <c r="D647" s="2" t="s">
        <v>554</v>
      </c>
      <c r="E647" s="1">
        <f>VLOOKUP(A647,BOM!A:E,5,0)</f>
        <v>2.5</v>
      </c>
      <c r="F647" s="110"/>
      <c r="G647" s="145">
        <v>4.16</v>
      </c>
      <c r="H647" s="11" t="s">
        <v>1874</v>
      </c>
      <c r="I647" s="49">
        <f>SUMIFS(BOM!Q:Q,BOM!A:A,'All Products'!A647,BOM!I:I,'All Products'!I$3)</f>
        <v>2.7</v>
      </c>
      <c r="J647" s="49">
        <f>SUMIFS(BOM!Q:Q,BOM!A:A,'All Products'!A647,BOM!I:I,'All Products'!J$3)+0.03</f>
        <v>0.45000000000000007</v>
      </c>
      <c r="K647" s="29">
        <f t="shared" si="148"/>
        <v>0.75721153846153855</v>
      </c>
      <c r="L647" s="49">
        <f>SUMIF(BOM!A:A,'All Products'!A647,BOM!S:S)</f>
        <v>0.42312499999999997</v>
      </c>
      <c r="M647" s="49">
        <f>SUMIF(BOM!A:A,'All Products'!A647,BOM!V:V)</f>
        <v>0.29618749999999999</v>
      </c>
      <c r="N647" s="29">
        <f t="shared" si="149"/>
        <v>0.17291165865384614</v>
      </c>
      <c r="O647" s="55">
        <v>0</v>
      </c>
      <c r="P647" s="49">
        <f t="shared" si="150"/>
        <v>3.8693125000000004</v>
      </c>
      <c r="Q647" s="29">
        <v>0.47040496261453946</v>
      </c>
      <c r="R647" s="29">
        <f t="shared" si="151"/>
        <v>6.9876802884615327E-2</v>
      </c>
    </row>
    <row r="648" spans="1:18" x14ac:dyDescent="0.25">
      <c r="A648" s="1" t="s">
        <v>1854</v>
      </c>
      <c r="B648" s="2" t="s">
        <v>552</v>
      </c>
      <c r="C648" s="1" t="str">
        <f>_xlfn.XLOOKUP(A648,BOM!A:A,BOM!C:C)</f>
        <v>SHREDDED SPROUTS X 2.5KG</v>
      </c>
      <c r="D648" s="2" t="s">
        <v>554</v>
      </c>
      <c r="E648" s="1">
        <f>VLOOKUP(A648,BOM!A:E,5,0)</f>
        <v>2.5</v>
      </c>
      <c r="F648" s="110">
        <v>11.83</v>
      </c>
      <c r="G648" s="10">
        <v>11.97</v>
      </c>
      <c r="H648" s="11" t="s">
        <v>1874</v>
      </c>
      <c r="I648" s="49">
        <f>SUMIFS(BOM!Q:Q,BOM!A:A,'All Products'!A648,BOM!I:I,'All Products'!I$3)</f>
        <v>0</v>
      </c>
      <c r="J648" s="49">
        <f>SUMIFS(BOM!Q:Q,BOM!A:A,'All Products'!A648,BOM!I:I,'All Products'!J$3)+0.03</f>
        <v>0.45000000000000007</v>
      </c>
      <c r="K648" s="29">
        <f t="shared" si="148"/>
        <v>3.759398496240602E-2</v>
      </c>
      <c r="L648" s="49">
        <f>SUMIF(BOM!A:A,'All Products'!A648,BOM!S:S)</f>
        <v>0.63664641203703698</v>
      </c>
      <c r="M648" s="49">
        <f>SUMIF(BOM!A:A,'All Products'!A648,BOM!V:V)</f>
        <v>0.29618749999999999</v>
      </c>
      <c r="N648" s="29">
        <f t="shared" si="149"/>
        <v>7.7930986803428318E-2</v>
      </c>
      <c r="O648" s="55">
        <v>0</v>
      </c>
      <c r="P648" s="49">
        <f t="shared" si="150"/>
        <v>1.382833912037037</v>
      </c>
      <c r="Q648" s="11">
        <f>G648-P648</f>
        <v>10.587166087962963</v>
      </c>
      <c r="R648" s="29">
        <f t="shared" si="151"/>
        <v>0.88447502823416557</v>
      </c>
    </row>
    <row r="649" spans="1:18" x14ac:dyDescent="0.25">
      <c r="A649" s="1" t="s">
        <v>4542</v>
      </c>
      <c r="B649" s="2" t="s">
        <v>552</v>
      </c>
      <c r="C649" s="1" t="str">
        <f>_xlfn.XLOOKUP(A649,BOM!A:A,BOM!C:C)</f>
        <v>MUSH, CHEST – JULIENNE 2.5KG</v>
      </c>
      <c r="D649" s="2" t="s">
        <v>554</v>
      </c>
      <c r="E649" s="1">
        <f>VLOOKUP(A649,BOM!A:E,5,0)</f>
        <v>2.5</v>
      </c>
      <c r="F649" s="110">
        <v>17.78</v>
      </c>
      <c r="G649" s="145">
        <v>17.93</v>
      </c>
      <c r="H649" s="11" t="s">
        <v>1874</v>
      </c>
      <c r="I649" s="49">
        <f>SUMIFS(BOM!Q:Q,BOM!A:A,'All Products'!A649,BOM!I:I,'All Products'!I$3)</f>
        <v>5.5555555555555554</v>
      </c>
      <c r="J649" s="49">
        <f>SUMIFS(BOM!Q:Q,BOM!A:A,'All Products'!A649,BOM!I:I,'All Products'!J$3)+0.03</f>
        <v>0.45000000000000007</v>
      </c>
      <c r="K649" s="29">
        <f t="shared" si="148"/>
        <v>0.33494453739852514</v>
      </c>
      <c r="L649" s="49">
        <f>SUMIF(BOM!A:A,'All Products'!A649,BOM!S:S)</f>
        <v>3.1342592592592591</v>
      </c>
      <c r="M649" s="49">
        <f>SUMIF(BOM!A:A,'All Products'!A649,BOM!V:V)</f>
        <v>0.29618749999999999</v>
      </c>
      <c r="N649" s="29">
        <f t="shared" si="149"/>
        <v>0.19132441490570323</v>
      </c>
      <c r="O649" s="55">
        <v>0</v>
      </c>
      <c r="P649" s="49">
        <f t="shared" si="150"/>
        <v>9.4360023148148144</v>
      </c>
      <c r="Q649" s="29">
        <v>0.47040496261453946</v>
      </c>
      <c r="R649" s="29">
        <f t="shared" si="151"/>
        <v>0.47373104769577162</v>
      </c>
    </row>
    <row r="650" spans="1:18" x14ac:dyDescent="0.25">
      <c r="A650" s="1" t="s">
        <v>4544</v>
      </c>
      <c r="B650" s="2" t="s">
        <v>552</v>
      </c>
      <c r="C650" s="1" t="str">
        <f>_xlfn.XLOOKUP(A650,BOM!A:A,BOM!C:C)</f>
        <v>PEPPER, RED - JULIENNE 2.5KG</v>
      </c>
      <c r="D650" s="2" t="s">
        <v>554</v>
      </c>
      <c r="E650" s="1">
        <f>VLOOKUP(A650,BOM!A:E,5,0)</f>
        <v>2.5</v>
      </c>
      <c r="F650" s="110">
        <v>24.2</v>
      </c>
      <c r="G650" s="145">
        <v>24.48</v>
      </c>
      <c r="H650" s="11" t="s">
        <v>1874</v>
      </c>
      <c r="I650" s="49">
        <f>SUMIFS(BOM!Q:Q,BOM!A:A,'All Products'!A650,BOM!I:I,'All Products'!I$3)</f>
        <v>8.5515829494772273</v>
      </c>
      <c r="J650" s="49">
        <f>SUMIFS(BOM!Q:Q,BOM!A:A,'All Products'!A650,BOM!I:I,'All Products'!J$3)+0.03</f>
        <v>0.45000000000000007</v>
      </c>
      <c r="K650" s="29">
        <f t="shared" si="148"/>
        <v>0.36771172179237038</v>
      </c>
      <c r="L650" s="49">
        <f>SUMIF(BOM!A:A,'All Products'!A650,BOM!S:S)</f>
        <v>3.6010638297872344</v>
      </c>
      <c r="M650" s="49">
        <f>SUMIF(BOM!A:A,'All Products'!A650,BOM!V:V)</f>
        <v>0.29618749999999999</v>
      </c>
      <c r="N650" s="29">
        <f t="shared" si="149"/>
        <v>0.15920144321026283</v>
      </c>
      <c r="O650" s="55">
        <v>0</v>
      </c>
      <c r="P650" s="49">
        <f t="shared" si="150"/>
        <v>12.898834279264461</v>
      </c>
      <c r="Q650" s="29">
        <v>1.4704049626145399</v>
      </c>
      <c r="R650" s="29">
        <f t="shared" si="151"/>
        <v>0.47308683499736681</v>
      </c>
    </row>
    <row r="651" spans="1:18" x14ac:dyDescent="0.25">
      <c r="A651" s="1" t="s">
        <v>4545</v>
      </c>
      <c r="B651" s="2" t="s">
        <v>552</v>
      </c>
      <c r="C651" s="1" t="str">
        <f>_xlfn.XLOOKUP(A651,BOM!A:A,BOM!C:C)</f>
        <v>CARROT - JULIENNE 2.5KG</v>
      </c>
      <c r="D651" s="2" t="s">
        <v>554</v>
      </c>
      <c r="E651" s="1">
        <f>VLOOKUP(A651,BOM!A:E,5,0)</f>
        <v>2.5</v>
      </c>
      <c r="F651" s="110">
        <v>4.5999999999999996</v>
      </c>
      <c r="G651" s="145">
        <v>4.7699999999999996</v>
      </c>
      <c r="H651" s="11" t="s">
        <v>1874</v>
      </c>
      <c r="I651" s="49">
        <f>SUMIFS(BOM!Q:Q,BOM!A:A,'All Products'!A651,BOM!I:I,'All Products'!I$3)</f>
        <v>1.2611177485729457</v>
      </c>
      <c r="J651" s="49">
        <f>SUMIFS(BOM!Q:Q,BOM!A:A,'All Products'!A651,BOM!I:I,'All Products'!J$3)+0.03</f>
        <v>0.45000000000000007</v>
      </c>
      <c r="K651" s="29">
        <f t="shared" si="148"/>
        <v>0.35872489487902426</v>
      </c>
      <c r="L651" s="49">
        <f>SUMIF(BOM!A:A,'All Products'!A651,BOM!S:S)</f>
        <v>0.76612632978723405</v>
      </c>
      <c r="M651" s="49">
        <f>SUMIF(BOM!A:A,'All Products'!A651,BOM!V:V)</f>
        <v>0.29618749999999999</v>
      </c>
      <c r="N651" s="29">
        <f t="shared" si="149"/>
        <v>0.22270730184218746</v>
      </c>
      <c r="O651" s="55">
        <v>0</v>
      </c>
      <c r="P651" s="49">
        <f t="shared" si="150"/>
        <v>2.7734315783601797</v>
      </c>
      <c r="Q651" s="29">
        <v>2.4704049626145399</v>
      </c>
      <c r="R651" s="29">
        <f t="shared" si="151"/>
        <v>0.41856780327878829</v>
      </c>
    </row>
    <row r="652" spans="1:18" x14ac:dyDescent="0.25">
      <c r="A652" s="1" t="s">
        <v>4546</v>
      </c>
      <c r="B652" s="2" t="s">
        <v>552</v>
      </c>
      <c r="C652" s="1" t="str">
        <f>_xlfn.XLOOKUP(A652,BOM!A:A,BOM!C:C)</f>
        <v>PEPPER, GREEN - JULIENNE 2.5KG</v>
      </c>
      <c r="D652" s="2" t="s">
        <v>554</v>
      </c>
      <c r="E652" s="1">
        <f>VLOOKUP(A652,BOM!A:E,5,0)</f>
        <v>2.5</v>
      </c>
      <c r="F652" s="110">
        <v>29.2</v>
      </c>
      <c r="G652" s="145">
        <v>29.48</v>
      </c>
      <c r="H652" s="11" t="s">
        <v>1874</v>
      </c>
      <c r="I652" s="49">
        <f>SUMIFS(BOM!Q:Q,BOM!A:A,'All Products'!A652,BOM!I:I,'All Products'!I$3)</f>
        <v>8.5515829494772273</v>
      </c>
      <c r="J652" s="49">
        <f>SUMIFS(BOM!Q:Q,BOM!A:A,'All Products'!A652,BOM!I:I,'All Products'!J$3)+0.03</f>
        <v>0.45000000000000007</v>
      </c>
      <c r="K652" s="29">
        <f t="shared" si="148"/>
        <v>0.30534541891035366</v>
      </c>
      <c r="L652" s="49">
        <f>SUMIF(BOM!A:A,'All Products'!A652,BOM!S:S)</f>
        <v>3.6010638297872344</v>
      </c>
      <c r="M652" s="49">
        <f>SUMIF(BOM!A:A,'All Products'!A652,BOM!V:V)</f>
        <v>0.29618749999999999</v>
      </c>
      <c r="N652" s="29">
        <f t="shared" si="149"/>
        <v>0.13219984158029965</v>
      </c>
      <c r="O652" s="55">
        <v>0</v>
      </c>
      <c r="P652" s="49">
        <f t="shared" si="150"/>
        <v>12.898834279264461</v>
      </c>
      <c r="Q652" s="29">
        <v>3.4704049626145399</v>
      </c>
      <c r="R652" s="29">
        <f t="shared" si="151"/>
        <v>0.56245473950934666</v>
      </c>
    </row>
    <row r="653" spans="1:18" x14ac:dyDescent="0.25">
      <c r="A653" s="1" t="s">
        <v>4547</v>
      </c>
      <c r="B653" s="2" t="s">
        <v>552</v>
      </c>
      <c r="C653" s="1" t="str">
        <f>_xlfn.XLOOKUP(A653,BOM!A:A,BOM!C:C)</f>
        <v>ONION, WHT – JULIENNE 2.5KG</v>
      </c>
      <c r="D653" s="2" t="s">
        <v>554</v>
      </c>
      <c r="E653" s="1">
        <f>VLOOKUP(A653,BOM!A:E,5,0)</f>
        <v>2.5</v>
      </c>
      <c r="F653" s="110">
        <v>13.42</v>
      </c>
      <c r="G653" s="145">
        <v>13.61</v>
      </c>
      <c r="H653" s="11" t="s">
        <v>1874</v>
      </c>
      <c r="I653" s="49">
        <f>SUMIFS(BOM!Q:Q,BOM!A:A,'All Products'!A653,BOM!I:I,'All Products'!I$3)</f>
        <v>2.3952144967842868</v>
      </c>
      <c r="J653" s="49">
        <f>SUMIFS(BOM!Q:Q,BOM!A:A,'All Products'!A653,BOM!I:I,'All Products'!J$3)+0.03</f>
        <v>0.45000000000000007</v>
      </c>
      <c r="K653" s="29">
        <f t="shared" si="148"/>
        <v>0.20905323268069706</v>
      </c>
      <c r="L653" s="49">
        <f>SUMIF(BOM!A:A,'All Products'!A653,BOM!S:S)</f>
        <v>1.1001249999999998</v>
      </c>
      <c r="M653" s="49">
        <f>SUMIF(BOM!A:A,'All Products'!A653,BOM!V:V)</f>
        <v>0.29618749999999999</v>
      </c>
      <c r="N653" s="29">
        <f t="shared" si="149"/>
        <v>0.10259459955914768</v>
      </c>
      <c r="O653" s="55">
        <v>0</v>
      </c>
      <c r="P653" s="49">
        <f t="shared" si="150"/>
        <v>4.2415269967842866</v>
      </c>
      <c r="Q653" s="29">
        <v>4.4704049626145403</v>
      </c>
      <c r="R653" s="29">
        <f t="shared" si="151"/>
        <v>0.68835216776015518</v>
      </c>
    </row>
    <row r="654" spans="1:18" x14ac:dyDescent="0.25">
      <c r="A654" s="1" t="s">
        <v>4552</v>
      </c>
      <c r="B654" s="2" t="s">
        <v>552</v>
      </c>
      <c r="C654" s="1" t="s">
        <v>4562</v>
      </c>
      <c r="D654" s="2" t="s">
        <v>554</v>
      </c>
      <c r="E654" s="1">
        <v>1</v>
      </c>
      <c r="F654" s="110">
        <v>11.2</v>
      </c>
      <c r="G654" s="145">
        <v>11.34</v>
      </c>
      <c r="H654" s="11" t="s">
        <v>1874</v>
      </c>
      <c r="I654" s="49">
        <f>SUMIFS(BOM!Q:Q,BOM!A:A,'All Products'!A654,BOM!I:I,'All Products'!I$3)</f>
        <v>3.9090909090909092</v>
      </c>
      <c r="J654" s="49">
        <f>SUMIFS(BOM!Q:Q,BOM!A:A,'All Products'!A654,BOM!I:I,'All Products'!J$3)+0.03</f>
        <v>0.45000000000000007</v>
      </c>
      <c r="K654" s="29">
        <f t="shared" si="148"/>
        <v>0.38439955106621776</v>
      </c>
      <c r="L654" s="49">
        <f>SUMIF(BOM!A:A,'All Products'!A654,BOM!S:S)</f>
        <v>2.0309999999999997</v>
      </c>
      <c r="M654" s="49">
        <f>SUMIF(BOM!A:A,'All Products'!A654,BOM!V:V)</f>
        <v>0.21833249999999998</v>
      </c>
      <c r="N654" s="29">
        <f t="shared" si="149"/>
        <v>0.19835383597883594</v>
      </c>
      <c r="O654" s="55">
        <v>0</v>
      </c>
      <c r="P654" s="49">
        <f t="shared" si="150"/>
        <v>6.6084234090909089</v>
      </c>
      <c r="Q654" s="29">
        <v>0.69886317709009294</v>
      </c>
      <c r="R654" s="29">
        <f t="shared" si="151"/>
        <v>0.41724661295494631</v>
      </c>
    </row>
    <row r="655" spans="1:18" x14ac:dyDescent="0.25">
      <c r="A655" s="1" t="s">
        <v>4553</v>
      </c>
      <c r="B655" s="2" t="s">
        <v>552</v>
      </c>
      <c r="C655" s="1" t="s">
        <v>4563</v>
      </c>
      <c r="D655" s="2" t="s">
        <v>554</v>
      </c>
      <c r="E655" s="1">
        <v>2.5</v>
      </c>
      <c r="F655" s="110">
        <v>7.8</v>
      </c>
      <c r="G655" s="145">
        <v>8.56</v>
      </c>
      <c r="H655" s="11" t="s">
        <v>1874</v>
      </c>
      <c r="I655" s="49">
        <f>SUMIFS(BOM!Q:Q,BOM!A:A,'All Products'!A655,BOM!I:I,'All Products'!I$3)</f>
        <v>3.0927835051546393</v>
      </c>
      <c r="J655" s="49">
        <f>SUMIFS(BOM!Q:Q,BOM!A:A,'All Products'!A655,BOM!I:I,'All Products'!J$3)+0.03</f>
        <v>0.45000000000000007</v>
      </c>
      <c r="K655" s="29">
        <f t="shared" si="148"/>
        <v>0.41387657770498121</v>
      </c>
      <c r="L655" s="49">
        <f>SUMIF(BOM!A:A,'All Products'!A655,BOM!S:S)</f>
        <v>0.63468749999999996</v>
      </c>
      <c r="M655" s="49">
        <f>SUMIF(BOM!A:A,'All Products'!A655,BOM!V:V)</f>
        <v>0.29618749999999999</v>
      </c>
      <c r="N655" s="29">
        <f t="shared" si="149"/>
        <v>0.10874707943925231</v>
      </c>
      <c r="O655" s="55">
        <v>0</v>
      </c>
      <c r="P655" s="49">
        <f t="shared" si="150"/>
        <v>4.4736585051546394</v>
      </c>
      <c r="Q655" s="29">
        <v>0.69886317709009294</v>
      </c>
      <c r="R655" s="29">
        <f t="shared" si="151"/>
        <v>0.47737634285576647</v>
      </c>
    </row>
    <row r="656" spans="1:18" x14ac:dyDescent="0.25">
      <c r="A656" s="1" t="s">
        <v>4554</v>
      </c>
      <c r="B656" s="2" t="s">
        <v>552</v>
      </c>
      <c r="C656" s="1" t="s">
        <v>4564</v>
      </c>
      <c r="D656" s="2" t="s">
        <v>554</v>
      </c>
      <c r="E656" s="1">
        <v>1</v>
      </c>
      <c r="F656" s="110">
        <v>7.4</v>
      </c>
      <c r="G656" s="145">
        <v>7.39</v>
      </c>
      <c r="H656" s="11" t="s">
        <v>1874</v>
      </c>
      <c r="I656" s="49">
        <f>SUMIFS(BOM!Q:Q,BOM!A:A,'All Products'!A656,BOM!I:I,'All Products'!I$3)</f>
        <v>2.1022727272727275</v>
      </c>
      <c r="J656" s="49">
        <f>SUMIFS(BOM!Q:Q,BOM!A:A,'All Products'!A656,BOM!I:I,'All Products'!J$3)+0.03</f>
        <v>0.45000000000000007</v>
      </c>
      <c r="K656" s="29">
        <f t="shared" si="148"/>
        <v>0.34536843400172229</v>
      </c>
      <c r="L656" s="49">
        <f>SUMIF(BOM!A:A,'All Products'!A656,BOM!S:S)</f>
        <v>1.9232954545454544</v>
      </c>
      <c r="M656" s="49">
        <f>SUMIF(BOM!A:A,'All Products'!A656,BOM!V:V)</f>
        <v>0.21833249999999998</v>
      </c>
      <c r="N656" s="29">
        <f t="shared" si="149"/>
        <v>0.28980080575716571</v>
      </c>
      <c r="O656" s="55">
        <v>0</v>
      </c>
      <c r="P656" s="49">
        <f t="shared" si="150"/>
        <v>4.6939006818181817</v>
      </c>
      <c r="Q656" s="29">
        <v>0.69886317709009294</v>
      </c>
      <c r="R656" s="29">
        <f t="shared" si="151"/>
        <v>0.36483076024111205</v>
      </c>
    </row>
    <row r="657" spans="1:31" x14ac:dyDescent="0.25">
      <c r="A657" s="1" t="s">
        <v>4555</v>
      </c>
      <c r="B657" s="2" t="s">
        <v>552</v>
      </c>
      <c r="C657" s="1" t="s">
        <v>4565</v>
      </c>
      <c r="D657" s="2" t="s">
        <v>554</v>
      </c>
      <c r="E657" s="1">
        <v>2.5</v>
      </c>
      <c r="F657" s="110">
        <v>5.2</v>
      </c>
      <c r="G657" s="145">
        <v>5.4</v>
      </c>
      <c r="H657" s="11" t="s">
        <v>1874</v>
      </c>
      <c r="I657" s="49">
        <f>SUMIFS(BOM!Q:Q,BOM!A:A,'All Products'!A657,BOM!I:I,'All Products'!I$3)</f>
        <v>1.3221806564596952</v>
      </c>
      <c r="J657" s="49">
        <f>SUMIFS(BOM!Q:Q,BOM!A:A,'All Products'!A657,BOM!I:I,'All Products'!J$3)+0.03</f>
        <v>0.4</v>
      </c>
      <c r="K657" s="29">
        <f t="shared" si="148"/>
        <v>0.31892234378883244</v>
      </c>
      <c r="L657" s="49">
        <f>SUMIF(BOM!A:A,'All Products'!A657,BOM!S:S)</f>
        <v>1.0506755971646655</v>
      </c>
      <c r="M657" s="49">
        <f>SUMIF(BOM!A:A,'All Products'!A657,BOM!V:V)</f>
        <v>0.29618749999999999</v>
      </c>
      <c r="N657" s="29">
        <f t="shared" si="149"/>
        <v>0.24941909206753066</v>
      </c>
      <c r="O657" s="55">
        <v>0</v>
      </c>
      <c r="P657" s="49">
        <f t="shared" si="150"/>
        <v>3.0690437536243609</v>
      </c>
      <c r="Q657" s="29">
        <v>0.69886317709009294</v>
      </c>
      <c r="R657" s="29">
        <f t="shared" si="151"/>
        <v>0.4316585641436369</v>
      </c>
    </row>
    <row r="658" spans="1:31" x14ac:dyDescent="0.25">
      <c r="A658" s="1" t="s">
        <v>4556</v>
      </c>
      <c r="B658" s="2" t="s">
        <v>552</v>
      </c>
      <c r="C658" s="1" t="s">
        <v>4566</v>
      </c>
      <c r="D658" s="2" t="s">
        <v>554</v>
      </c>
      <c r="E658" s="1">
        <v>2.5</v>
      </c>
      <c r="F658" s="110">
        <v>5.8</v>
      </c>
      <c r="G658" s="145">
        <v>7.1</v>
      </c>
      <c r="H658" s="11" t="s">
        <v>1874</v>
      </c>
      <c r="I658" s="49">
        <f>SUMIFS(BOM!Q:Q,BOM!A:A,'All Products'!A658,BOM!I:I,'All Products'!I$3)</f>
        <v>2.3686643835616441</v>
      </c>
      <c r="J658" s="49">
        <f>SUMIFS(BOM!Q:Q,BOM!A:A,'All Products'!A658,BOM!I:I,'All Products'!J$3)+0.03</f>
        <v>0.45000000000000007</v>
      </c>
      <c r="K658" s="29">
        <f t="shared" si="148"/>
        <v>0.39699498360023161</v>
      </c>
      <c r="L658" s="49">
        <f>SUMIF(BOM!A:A,'All Products'!A658,BOM!S:S)</f>
        <v>0.42312499999999997</v>
      </c>
      <c r="M658" s="49">
        <f>SUMIF(BOM!A:A,'All Products'!A658,BOM!V:V)</f>
        <v>0.29618749999999999</v>
      </c>
      <c r="N658" s="29">
        <f t="shared" si="149"/>
        <v>0.10131161971830986</v>
      </c>
      <c r="O658" s="55">
        <v>0</v>
      </c>
      <c r="P658" s="49">
        <f t="shared" si="150"/>
        <v>3.5379768835616439</v>
      </c>
      <c r="Q658" s="29">
        <v>0.69886317709009294</v>
      </c>
      <c r="R658" s="29">
        <f t="shared" si="151"/>
        <v>0.50169339668145863</v>
      </c>
    </row>
    <row r="659" spans="1:31" x14ac:dyDescent="0.25">
      <c r="A659" s="1" t="s">
        <v>4557</v>
      </c>
      <c r="B659" s="2" t="s">
        <v>552</v>
      </c>
      <c r="C659" s="1" t="s">
        <v>4567</v>
      </c>
      <c r="D659" s="2" t="s">
        <v>554</v>
      </c>
      <c r="E659" s="1">
        <v>1</v>
      </c>
      <c r="F659" s="110">
        <v>11.2</v>
      </c>
      <c r="G659" s="145">
        <v>11.36</v>
      </c>
      <c r="H659" s="11" t="s">
        <v>1874</v>
      </c>
      <c r="I659" s="49">
        <f>SUMIFS(BOM!Q:Q,BOM!A:A,'All Products'!A659,BOM!I:I,'All Products'!I$3)</f>
        <v>3.8181818181818183</v>
      </c>
      <c r="J659" s="49">
        <f>SUMIFS(BOM!Q:Q,BOM!A:A,'All Products'!A659,BOM!I:I,'All Products'!J$3)+0.03</f>
        <v>0.45000000000000007</v>
      </c>
      <c r="K659" s="29">
        <f t="shared" si="148"/>
        <v>0.37572023047375164</v>
      </c>
      <c r="L659" s="49">
        <f>SUMIF(BOM!A:A,'All Products'!A659,BOM!S:S)</f>
        <v>2.1156249999999996</v>
      </c>
      <c r="M659" s="49">
        <f>SUMIF(BOM!A:A,'All Products'!A659,BOM!V:V)</f>
        <v>0.21833249999999998</v>
      </c>
      <c r="N659" s="29">
        <f t="shared" si="149"/>
        <v>0.20545400528169011</v>
      </c>
      <c r="O659" s="55">
        <v>0</v>
      </c>
      <c r="P659" s="49">
        <f t="shared" si="150"/>
        <v>6.602139318181818</v>
      </c>
      <c r="Q659" s="29">
        <v>0.69886317709009294</v>
      </c>
      <c r="R659" s="29">
        <f t="shared" si="151"/>
        <v>0.41882576424455825</v>
      </c>
    </row>
    <row r="660" spans="1:31" x14ac:dyDescent="0.25">
      <c r="A660" s="1" t="s">
        <v>4558</v>
      </c>
      <c r="B660" s="2" t="s">
        <v>552</v>
      </c>
      <c r="C660" s="1" t="s">
        <v>4568</v>
      </c>
      <c r="D660" s="2" t="s">
        <v>554</v>
      </c>
      <c r="E660" s="1">
        <v>2.5</v>
      </c>
      <c r="F660" s="110">
        <v>5.0999999999999996</v>
      </c>
      <c r="G660" s="145">
        <v>6.4</v>
      </c>
      <c r="H660" s="11" t="s">
        <v>1874</v>
      </c>
      <c r="I660" s="49">
        <f>SUMIFS(BOM!Q:Q,BOM!A:A,'All Products'!A660,BOM!I:I,'All Products'!I$3)</f>
        <v>2.3686643835616441</v>
      </c>
      <c r="J660" s="49">
        <f>SUMIFS(BOM!Q:Q,BOM!A:A,'All Products'!A660,BOM!I:I,'All Products'!J$3)+0.03</f>
        <v>0.45000000000000007</v>
      </c>
      <c r="K660" s="29">
        <f t="shared" si="148"/>
        <v>0.44041630993150688</v>
      </c>
      <c r="L660" s="49">
        <f>SUMIF(BOM!A:A,'All Products'!A660,BOM!S:S)</f>
        <v>0.42312499999999997</v>
      </c>
      <c r="M660" s="49">
        <f>SUMIF(BOM!A:A,'All Products'!A660,BOM!V:V)</f>
        <v>0.29618749999999999</v>
      </c>
      <c r="N660" s="29">
        <f t="shared" si="149"/>
        <v>0.112392578125</v>
      </c>
      <c r="O660" s="55">
        <v>0</v>
      </c>
      <c r="P660" s="49">
        <f t="shared" si="150"/>
        <v>3.5379768835616439</v>
      </c>
      <c r="Q660" s="29">
        <v>0.69886317709009294</v>
      </c>
      <c r="R660" s="29">
        <f t="shared" si="151"/>
        <v>0.4471911119434932</v>
      </c>
    </row>
    <row r="661" spans="1:31" x14ac:dyDescent="0.25">
      <c r="A661" s="1" t="s">
        <v>4559</v>
      </c>
      <c r="B661" s="2" t="s">
        <v>552</v>
      </c>
      <c r="C661" s="1" t="s">
        <v>4569</v>
      </c>
      <c r="D661" s="2" t="s">
        <v>554</v>
      </c>
      <c r="E661" s="1">
        <v>2.5</v>
      </c>
      <c r="F661" s="110">
        <v>10.3</v>
      </c>
      <c r="G661" s="145">
        <v>10.62</v>
      </c>
      <c r="H661" s="11" t="s">
        <v>1874</v>
      </c>
      <c r="I661" s="49">
        <f>SUMIFS(BOM!Q:Q,BOM!A:A,'All Products'!A661,BOM!I:I,'All Products'!I$3)</f>
        <v>2.8252595155709348</v>
      </c>
      <c r="J661" s="49">
        <f>SUMIFS(BOM!Q:Q,BOM!A:A,'All Products'!A661,BOM!I:I,'All Products'!J$3)+0.03</f>
        <v>0.45000000000000007</v>
      </c>
      <c r="K661" s="29">
        <f t="shared" si="148"/>
        <v>0.30840485080705604</v>
      </c>
      <c r="L661" s="49">
        <f>SUMIF(BOM!A:A,'All Products'!A661,BOM!S:S)</f>
        <v>3.5138408304498268</v>
      </c>
      <c r="M661" s="49">
        <f>SUMIF(BOM!A:A,'All Products'!A661,BOM!V:V)</f>
        <v>0.29618749999999999</v>
      </c>
      <c r="N661" s="29">
        <f t="shared" si="149"/>
        <v>0.35875972979753551</v>
      </c>
      <c r="O661" s="55">
        <v>0</v>
      </c>
      <c r="P661" s="49">
        <f t="shared" si="150"/>
        <v>7.085287846020762</v>
      </c>
      <c r="Q661" s="29">
        <v>0.69886317709009294</v>
      </c>
      <c r="R661" s="29">
        <f t="shared" si="151"/>
        <v>0.33283541939540845</v>
      </c>
    </row>
    <row r="662" spans="1:31" x14ac:dyDescent="0.25">
      <c r="A662" s="1" t="s">
        <v>4560</v>
      </c>
      <c r="B662" s="2" t="s">
        <v>552</v>
      </c>
      <c r="C662" s="1" t="s">
        <v>4570</v>
      </c>
      <c r="D662" s="2" t="s">
        <v>554</v>
      </c>
      <c r="E662" s="1">
        <v>2.5</v>
      </c>
      <c r="F662" s="110">
        <v>4.2</v>
      </c>
      <c r="G662" s="145">
        <v>4.4000000000000004</v>
      </c>
      <c r="H662" s="11" t="s">
        <v>1874</v>
      </c>
      <c r="I662" s="49">
        <f>SUMIFS(BOM!Q:Q,BOM!A:A,'All Products'!A662,BOM!I:I,'All Products'!I$3)</f>
        <v>1.2957370433305011</v>
      </c>
      <c r="J662" s="49">
        <f>SUMIFS(BOM!Q:Q,BOM!A:A,'All Products'!A662,BOM!I:I,'All Products'!J$3)+0.03</f>
        <v>0.45000000000000007</v>
      </c>
      <c r="K662" s="29">
        <f t="shared" si="148"/>
        <v>0.39675841893875019</v>
      </c>
      <c r="L662" s="49">
        <f>SUMIF(BOM!A:A,'All Products'!A662,BOM!S:S)</f>
        <v>0.97154381136127599</v>
      </c>
      <c r="M662" s="49">
        <f>SUMIF(BOM!A:A,'All Products'!A662,BOM!V:V)</f>
        <v>0.29618749999999999</v>
      </c>
      <c r="N662" s="29">
        <f t="shared" si="149"/>
        <v>0.28812075258210817</v>
      </c>
      <c r="O662" s="55">
        <v>0</v>
      </c>
      <c r="P662" s="49">
        <f t="shared" si="150"/>
        <v>3.0134683546917769</v>
      </c>
      <c r="Q662" s="29">
        <v>0.69886317709009294</v>
      </c>
      <c r="R662" s="29">
        <f t="shared" si="151"/>
        <v>0.31512082847914169</v>
      </c>
    </row>
    <row r="663" spans="1:31" x14ac:dyDescent="0.25">
      <c r="A663" s="1" t="s">
        <v>4561</v>
      </c>
      <c r="B663" s="2" t="s">
        <v>552</v>
      </c>
      <c r="C663" s="1" t="s">
        <v>4571</v>
      </c>
      <c r="D663" s="2" t="s">
        <v>554</v>
      </c>
      <c r="E663" s="1">
        <v>2.5</v>
      </c>
      <c r="F663" s="110">
        <v>15.6</v>
      </c>
      <c r="G663" s="145">
        <v>13.54</v>
      </c>
      <c r="H663" s="11" t="s">
        <v>1874</v>
      </c>
      <c r="I663" s="49">
        <f>SUMIFS(BOM!Q:Q,BOM!A:A,'All Products'!A663,BOM!I:I,'All Products'!I$3)</f>
        <v>4.3965517241379315</v>
      </c>
      <c r="J663" s="49">
        <f>SUMIFS(BOM!Q:Q,BOM!A:A,'All Products'!A663,BOM!I:I,'All Products'!J$3)+0.03</f>
        <v>0.45000000000000007</v>
      </c>
      <c r="K663" s="29">
        <f t="shared" si="148"/>
        <v>0.35794325879896099</v>
      </c>
      <c r="L663" s="49">
        <f>SUMIF(BOM!A:A,'All Products'!A663,BOM!S:S)</f>
        <v>2.284875</v>
      </c>
      <c r="M663" s="49">
        <f>SUMIF(BOM!A:A,'All Products'!A663,BOM!V:V)</f>
        <v>0.29618749999999999</v>
      </c>
      <c r="N663" s="29">
        <f t="shared" si="149"/>
        <v>0.19062499999999999</v>
      </c>
      <c r="O663" s="55">
        <v>0</v>
      </c>
      <c r="P663" s="49">
        <f t="shared" si="150"/>
        <v>7.4276142241379315</v>
      </c>
      <c r="Q663" s="29">
        <v>0.69886317709009294</v>
      </c>
      <c r="R663" s="29">
        <f t="shared" si="151"/>
        <v>0.45143174120103902</v>
      </c>
    </row>
    <row r="664" spans="1:31" x14ac:dyDescent="0.25">
      <c r="A664" s="1" t="s">
        <v>4573</v>
      </c>
      <c r="B664" s="2" t="s">
        <v>552</v>
      </c>
      <c r="C664" s="1" t="str">
        <f>_xlfn.XLOOKUP(A664,BOM!A:A,BOM!C:C)</f>
        <v>BROCCOLI FLORETS 20G 2.5KG</v>
      </c>
      <c r="D664" s="2" t="s">
        <v>554</v>
      </c>
      <c r="E664" s="1">
        <f>VLOOKUP(A664,BOM!A:E,5,0)</f>
        <v>1</v>
      </c>
      <c r="F664" s="110">
        <v>6.3920000000000003</v>
      </c>
      <c r="G664" s="10">
        <v>15.07</v>
      </c>
      <c r="H664" s="11" t="s">
        <v>1874</v>
      </c>
      <c r="I664" s="49">
        <f>SUMIFS(BOM!Q:Q,BOM!A:A,'All Products'!A664,BOM!I:I,'All Products'!I$3)</f>
        <v>1.7586206896551726</v>
      </c>
      <c r="J664" s="49">
        <f>SUMIFS(BOM!Q:Q,BOM!A:A,'All Products'!A664,BOM!I:I,'All Products'!J$3)+0.03</f>
        <v>0.45000000000000007</v>
      </c>
      <c r="K664" s="29">
        <f t="shared" si="148"/>
        <v>0.14655744456902275</v>
      </c>
      <c r="L664" s="49">
        <f>SUMIF(BOM!A:A,'All Products'!A664,BOM!S:S)</f>
        <v>0.91394999999999993</v>
      </c>
      <c r="M664" s="49">
        <f>SUMIF(BOM!A:A,'All Products'!A664,BOM!V:V)</f>
        <v>0.21833249999999998</v>
      </c>
      <c r="N664" s="29">
        <f t="shared" si="149"/>
        <v>7.51348706038487E-2</v>
      </c>
      <c r="O664" s="55">
        <v>0</v>
      </c>
      <c r="P664" s="49">
        <f t="shared" si="150"/>
        <v>3.3409031896551724</v>
      </c>
      <c r="Q664" s="11">
        <f t="shared" ref="Q664:Q704" si="152">G664-P664</f>
        <v>11.729096810344828</v>
      </c>
      <c r="R664" s="29">
        <f t="shared" si="151"/>
        <v>0.77830768482712853</v>
      </c>
      <c r="AE664" s="4"/>
    </row>
    <row r="665" spans="1:31" x14ac:dyDescent="0.25">
      <c r="A665" s="1" t="s">
        <v>4574</v>
      </c>
      <c r="B665" s="2" t="s">
        <v>4377</v>
      </c>
      <c r="C665" s="1" t="str">
        <f>_xlfn.XLOOKUP(A665,BOM!A:A,BOM!C:C)</f>
        <v>MIX CELARIAC,SWEDE,SQUASH 1KG</v>
      </c>
      <c r="D665" s="2" t="s">
        <v>554</v>
      </c>
      <c r="E665" s="1">
        <v>2.5</v>
      </c>
      <c r="F665" s="110">
        <v>9.67</v>
      </c>
      <c r="G665" s="10">
        <v>9.26</v>
      </c>
      <c r="H665" s="11" t="s">
        <v>1874</v>
      </c>
      <c r="I665" s="49">
        <f>SUMIFS(BOM!Q:Q,BOM!A:A,'All Products'!A665,BOM!I:I,'All Products'!I$3)</f>
        <v>1.9700000000000002</v>
      </c>
      <c r="J665" s="49">
        <f>SUMIFS(BOM!Q:Q,BOM!A:A,'All Products'!A665,BOM!I:I,'All Products'!J$3)+0.03</f>
        <v>0.17</v>
      </c>
      <c r="K665" s="29">
        <f t="shared" si="148"/>
        <v>0.2311015118790497</v>
      </c>
      <c r="L665" s="49">
        <f>SUMIF(BOM!A:A,'All Products'!A665,BOM!S:S)</f>
        <v>2.2200000000000002</v>
      </c>
      <c r="M665" s="49">
        <f>SUMIF(BOM!A:A,'All Products'!A665,BOM!V:V)</f>
        <v>0.21833249999999998</v>
      </c>
      <c r="N665" s="29">
        <f t="shared" si="149"/>
        <v>0.26331884449244058</v>
      </c>
      <c r="O665" s="55">
        <v>0</v>
      </c>
      <c r="P665" s="49">
        <f t="shared" si="150"/>
        <v>4.5783325000000001</v>
      </c>
      <c r="Q665" s="11">
        <f t="shared" si="152"/>
        <v>4.6816674999999996</v>
      </c>
      <c r="R665" s="29">
        <f t="shared" si="151"/>
        <v>0.50557964362850971</v>
      </c>
      <c r="AA665">
        <f>Z665*F665</f>
        <v>0</v>
      </c>
      <c r="AB665">
        <f>Z665*(G665)</f>
        <v>0</v>
      </c>
      <c r="AC665" t="s">
        <v>4575</v>
      </c>
    </row>
    <row r="666" spans="1:31" x14ac:dyDescent="0.25">
      <c r="A666" s="1" t="s">
        <v>2308</v>
      </c>
      <c r="B666" s="2" t="s">
        <v>552</v>
      </c>
      <c r="C666" s="1" t="s">
        <v>2309</v>
      </c>
      <c r="D666" s="1" t="s">
        <v>554</v>
      </c>
      <c r="E666" s="1">
        <f>VLOOKUP(A666,BOM!A:E,5,0)</f>
        <v>5</v>
      </c>
      <c r="F666" s="122">
        <v>14.02</v>
      </c>
      <c r="G666" s="10">
        <v>13.76</v>
      </c>
      <c r="H666" s="11" t="s">
        <v>1874</v>
      </c>
      <c r="I666" s="49">
        <f>SUMIFS(BOM!Q:Q,BOM!A:A,'All Products'!A666,BOM!I:I,'All Products'!I$3)</f>
        <v>5.3409090909090899</v>
      </c>
      <c r="J666" s="49">
        <f>SUMIFS(BOM!Q:Q,BOM!A:A,'All Products'!A666,BOM!I:I,'All Products'!J$3)+0.03</f>
        <v>0.17</v>
      </c>
      <c r="K666" s="29">
        <f t="shared" si="148"/>
        <v>0.40050211416490478</v>
      </c>
      <c r="L666" s="49">
        <f>SUMIF(BOM!A:A,'All Products'!A666,BOM!S:S)</f>
        <v>6.1545454545454534</v>
      </c>
      <c r="M666" s="49">
        <f>SUMIF(BOM!A:A,'All Products'!A666,BOM!V:V)</f>
        <v>0.29618749999999999</v>
      </c>
      <c r="N666" s="29">
        <f t="shared" si="149"/>
        <v>0.4688032670454545</v>
      </c>
      <c r="O666" s="55">
        <v>0</v>
      </c>
      <c r="P666" s="49">
        <f t="shared" si="150"/>
        <v>11.961642045454543</v>
      </c>
      <c r="Q666" s="11">
        <f t="shared" si="152"/>
        <v>1.7983579545454571</v>
      </c>
      <c r="R666" s="29">
        <f t="shared" si="151"/>
        <v>0.13069461878964078</v>
      </c>
    </row>
    <row r="667" spans="1:31" x14ac:dyDescent="0.25">
      <c r="A667" s="1" t="s">
        <v>4578</v>
      </c>
      <c r="B667" s="2" t="s">
        <v>552</v>
      </c>
      <c r="C667" s="2" t="s">
        <v>4579</v>
      </c>
      <c r="D667" s="1" t="s">
        <v>554</v>
      </c>
      <c r="E667" s="110">
        <f>VLOOKUP(A667,BOM!A:E,5,0)</f>
        <v>1</v>
      </c>
      <c r="F667" s="110">
        <v>6.84</v>
      </c>
      <c r="G667" s="10">
        <v>7.32</v>
      </c>
      <c r="H667" s="11" t="s">
        <v>1874</v>
      </c>
      <c r="I667" s="49">
        <f>SUMIFS(BOM!Q:Q,BOM!A:A,'All Products'!A667,BOM!I:I,'All Products'!I$3)</f>
        <v>2.2389134125636665</v>
      </c>
      <c r="J667" s="49">
        <f>SUMIFS(BOM!Q:Q,BOM!A:A,'All Products'!A667,BOM!I:I,'All Products'!J$3)+0.03</f>
        <v>0.45000000000000007</v>
      </c>
      <c r="K667" s="29">
        <f t="shared" si="148"/>
        <v>0.3673378978912113</v>
      </c>
      <c r="L667" s="49">
        <f>SUMIF(BOM!A:A,'All Products'!A667,BOM!S:S)</f>
        <v>1.9746570131905439</v>
      </c>
      <c r="M667" s="49">
        <f>SUMIF(BOM!A:A,'All Products'!A667,BOM!V:V)</f>
        <v>0.21833249999999998</v>
      </c>
      <c r="N667" s="29">
        <f t="shared" si="149"/>
        <v>0.29958873131018354</v>
      </c>
      <c r="O667" s="55">
        <v>0</v>
      </c>
      <c r="P667" s="49">
        <f t="shared" si="150"/>
        <v>4.8819029257542104</v>
      </c>
      <c r="Q667" s="11">
        <f t="shared" si="152"/>
        <v>2.4380970742457899</v>
      </c>
      <c r="R667" s="29">
        <f t="shared" si="151"/>
        <v>0.33307337079860516</v>
      </c>
    </row>
    <row r="668" spans="1:31" x14ac:dyDescent="0.25">
      <c r="A668" s="1" t="s">
        <v>4580</v>
      </c>
      <c r="B668" s="2" t="s">
        <v>656</v>
      </c>
      <c r="C668" s="1" t="s">
        <v>4581</v>
      </c>
      <c r="D668" s="2" t="s">
        <v>554</v>
      </c>
      <c r="E668" s="110">
        <v>1</v>
      </c>
      <c r="F668" s="110">
        <v>18.850000000000001</v>
      </c>
      <c r="G668" s="10">
        <v>19.059999999999999</v>
      </c>
      <c r="H668" s="11" t="s">
        <v>1874</v>
      </c>
      <c r="I668" s="49">
        <f>SUMIFS(BOM!Q:Q,BOM!A:A,'All Products'!A668,BOM!I:I,'All Products'!I$3)</f>
        <v>6.0428571428571427</v>
      </c>
      <c r="J668" s="49">
        <f>SUMIFS(BOM!Q:Q,BOM!A:A,'All Products'!A668,BOM!I:I,'All Products'!J$3)+0.03</f>
        <v>0.17</v>
      </c>
      <c r="K668" s="29">
        <f t="shared" si="148"/>
        <v>0.3259631239694199</v>
      </c>
      <c r="L668" s="49">
        <f>SUMIF(BOM!A:A,'All Products'!A668,BOM!S:S)</f>
        <v>4.072180451127819</v>
      </c>
      <c r="M668" s="49">
        <f>SUMIF(BOM!A:A,'All Products'!A668,BOM!V:V)</f>
        <v>0.21833249999999998</v>
      </c>
      <c r="N668" s="29">
        <f t="shared" si="149"/>
        <v>0.22510561128687404</v>
      </c>
      <c r="O668" s="55">
        <v>0</v>
      </c>
      <c r="P668" s="49">
        <f t="shared" si="150"/>
        <v>10.503370093984962</v>
      </c>
      <c r="Q668" s="11">
        <f t="shared" si="152"/>
        <v>8.5566299060150364</v>
      </c>
      <c r="R668" s="29">
        <f t="shared" si="151"/>
        <v>0.44893126474370604</v>
      </c>
    </row>
    <row r="669" spans="1:31" x14ac:dyDescent="0.25">
      <c r="A669" s="1" t="s">
        <v>4582</v>
      </c>
      <c r="B669" s="2" t="s">
        <v>4377</v>
      </c>
      <c r="C669" s="1" t="s">
        <v>4583</v>
      </c>
      <c r="D669" s="2" t="s">
        <v>554</v>
      </c>
      <c r="E669" s="110">
        <v>5</v>
      </c>
      <c r="F669" s="110">
        <v>9.35</v>
      </c>
      <c r="G669" s="10">
        <v>9.43</v>
      </c>
      <c r="H669" s="11" t="s">
        <v>1874</v>
      </c>
      <c r="I669" s="49">
        <f>SUMIFS(BOM!Q:Q,BOM!A:A,'All Products'!A669,BOM!I:I,'All Products'!I$3)</f>
        <v>4.8673273657289</v>
      </c>
      <c r="J669" s="49">
        <f>SUMIFS(BOM!Q:Q,BOM!A:A,'All Products'!A669,BOM!I:I,'All Products'!J$3)+0.03</f>
        <v>0.17</v>
      </c>
      <c r="K669" s="29">
        <f t="shared" si="148"/>
        <v>0.53418105681112404</v>
      </c>
      <c r="L669" s="49">
        <f>SUMIF(BOM!A:A,'All Products'!A669,BOM!S:S)</f>
        <v>0.66007499999999997</v>
      </c>
      <c r="M669" s="49">
        <f>SUMIF(BOM!A:A,'All Products'!A669,BOM!V:V)</f>
        <v>0.40112249999999999</v>
      </c>
      <c r="N669" s="29">
        <f t="shared" si="149"/>
        <v>0.11253419936373277</v>
      </c>
      <c r="O669" s="55">
        <v>0</v>
      </c>
      <c r="P669" s="49">
        <f t="shared" si="150"/>
        <v>6.0985248657288995</v>
      </c>
      <c r="Q669" s="11">
        <f t="shared" si="152"/>
        <v>3.3314751342711002</v>
      </c>
      <c r="R669" s="29">
        <f t="shared" si="151"/>
        <v>0.35328474382514319</v>
      </c>
      <c r="AA669">
        <f t="shared" ref="AA669:AA696" si="153">Z669*F669</f>
        <v>0</v>
      </c>
      <c r="AB669">
        <f t="shared" ref="AB669:AB696" si="154">Z669*(G669)</f>
        <v>0</v>
      </c>
    </row>
    <row r="670" spans="1:31" x14ac:dyDescent="0.25">
      <c r="A670" s="1" t="s">
        <v>4584</v>
      </c>
      <c r="B670" s="2" t="s">
        <v>4377</v>
      </c>
      <c r="C670" s="1" t="s">
        <v>4585</v>
      </c>
      <c r="D670" s="2" t="s">
        <v>554</v>
      </c>
      <c r="E670" s="110">
        <v>5</v>
      </c>
      <c r="F670" s="110">
        <v>15.55</v>
      </c>
      <c r="G670" s="10">
        <v>14.78</v>
      </c>
      <c r="H670" s="11" t="s">
        <v>1874</v>
      </c>
      <c r="I670" s="49">
        <f>SUMIFS(BOM!Q:Q,BOM!A:A,'All Products'!A670,BOM!I:I,'All Products'!I$3)</f>
        <v>6.1363636363636367</v>
      </c>
      <c r="J670" s="49">
        <f>SUMIFS(BOM!Q:Q,BOM!A:A,'All Products'!A670,BOM!I:I,'All Products'!J$3)+0.03</f>
        <v>0.17</v>
      </c>
      <c r="K670" s="29">
        <f t="shared" si="148"/>
        <v>0.42668224873908234</v>
      </c>
      <c r="L670" s="49">
        <f>SUMIF(BOM!A:A,'All Products'!A670,BOM!S:S)</f>
        <v>0.84624999999999995</v>
      </c>
      <c r="M670" s="49">
        <f>SUMIF(BOM!A:A,'All Products'!A670,BOM!V:V)</f>
        <v>0.40112249999999999</v>
      </c>
      <c r="N670" s="29">
        <f t="shared" si="149"/>
        <v>8.4395974289580511E-2</v>
      </c>
      <c r="O670" s="55">
        <v>0</v>
      </c>
      <c r="P670" s="49">
        <f t="shared" si="150"/>
        <v>7.5537361363636357</v>
      </c>
      <c r="Q670" s="11">
        <f t="shared" si="152"/>
        <v>7.2262638636363636</v>
      </c>
      <c r="R670" s="29">
        <f t="shared" si="151"/>
        <v>0.48892177697133721</v>
      </c>
      <c r="AA670">
        <f t="shared" si="153"/>
        <v>0</v>
      </c>
      <c r="AB670">
        <f t="shared" si="154"/>
        <v>0</v>
      </c>
    </row>
    <row r="671" spans="1:31" x14ac:dyDescent="0.25">
      <c r="A671" s="1" t="s">
        <v>4586</v>
      </c>
      <c r="B671" s="2" t="s">
        <v>4377</v>
      </c>
      <c r="C671" s="1" t="s">
        <v>4475</v>
      </c>
      <c r="D671" s="2" t="s">
        <v>554</v>
      </c>
      <c r="E671" s="110">
        <v>5</v>
      </c>
      <c r="F671" s="110">
        <v>24.8</v>
      </c>
      <c r="G671" s="10">
        <v>23.63</v>
      </c>
      <c r="H671" s="11" t="s">
        <v>1874</v>
      </c>
      <c r="I671" s="49">
        <f>SUMIFS(BOM!Q:Q,BOM!A:A,'All Products'!A671,BOM!I:I,'All Products'!I$3)</f>
        <v>5.2751111111111104</v>
      </c>
      <c r="J671" s="49">
        <f>SUMIFS(BOM!Q:Q,BOM!A:A,'All Products'!A671,BOM!I:I,'All Products'!J$3)+0.03</f>
        <v>0.17</v>
      </c>
      <c r="K671" s="29">
        <f t="shared" si="148"/>
        <v>0.23043212488832462</v>
      </c>
      <c r="L671" s="49">
        <f>SUMIF(BOM!A:A,'All Products'!A671,BOM!S:S)</f>
        <v>3.14805</v>
      </c>
      <c r="M671" s="49">
        <f>SUMIF(BOM!A:A,'All Products'!A671,BOM!V:V)</f>
        <v>0.40112249999999999</v>
      </c>
      <c r="N671" s="29">
        <f t="shared" si="149"/>
        <v>0.15019773592890395</v>
      </c>
      <c r="O671" s="55">
        <v>0</v>
      </c>
      <c r="P671" s="49">
        <f t="shared" si="150"/>
        <v>8.9942836111111095</v>
      </c>
      <c r="Q671" s="11">
        <f t="shared" si="152"/>
        <v>14.635716388888889</v>
      </c>
      <c r="R671" s="29">
        <f t="shared" si="151"/>
        <v>0.61937013918277151</v>
      </c>
      <c r="AA671">
        <f t="shared" si="153"/>
        <v>0</v>
      </c>
      <c r="AB671">
        <f t="shared" si="154"/>
        <v>0</v>
      </c>
    </row>
    <row r="672" spans="1:31" x14ac:dyDescent="0.25">
      <c r="A672" s="1" t="s">
        <v>4587</v>
      </c>
      <c r="B672" s="2" t="s">
        <v>4377</v>
      </c>
      <c r="C672" s="1" t="s">
        <v>4476</v>
      </c>
      <c r="D672" s="2" t="s">
        <v>554</v>
      </c>
      <c r="E672" s="110">
        <v>5</v>
      </c>
      <c r="F672" s="110">
        <v>9.84</v>
      </c>
      <c r="G672" s="10">
        <v>9.3800000000000008</v>
      </c>
      <c r="H672" s="11" t="s">
        <v>1874</v>
      </c>
      <c r="I672" s="49">
        <f>SUMIFS(BOM!Q:Q,BOM!A:A,'All Products'!A672,BOM!I:I,'All Products'!I$3)</f>
        <v>2.8666666666666667</v>
      </c>
      <c r="J672" s="49">
        <f>SUMIFS(BOM!Q:Q,BOM!A:A,'All Products'!A672,BOM!I:I,'All Products'!J$3)+0.03</f>
        <v>0.17</v>
      </c>
      <c r="K672" s="29">
        <f t="shared" si="148"/>
        <v>0.32373845060412221</v>
      </c>
      <c r="L672" s="49">
        <f>SUMIF(BOM!A:A,'All Products'!A672,BOM!S:S)</f>
        <v>3.2157499999999999</v>
      </c>
      <c r="M672" s="49">
        <f>SUMIF(BOM!A:A,'All Products'!A672,BOM!V:V)</f>
        <v>0.40112249999999999</v>
      </c>
      <c r="N672" s="29">
        <f t="shared" si="149"/>
        <v>0.3855940831556503</v>
      </c>
      <c r="O672" s="55">
        <v>0</v>
      </c>
      <c r="P672" s="49">
        <f t="shared" si="150"/>
        <v>6.6535391666666666</v>
      </c>
      <c r="Q672" s="11">
        <f t="shared" si="152"/>
        <v>2.7264608333333342</v>
      </c>
      <c r="R672" s="29">
        <f t="shared" si="151"/>
        <v>0.29066746624022749</v>
      </c>
      <c r="AA672">
        <f t="shared" si="153"/>
        <v>0</v>
      </c>
      <c r="AB672">
        <f t="shared" si="154"/>
        <v>0</v>
      </c>
    </row>
    <row r="673" spans="1:28" x14ac:dyDescent="0.25">
      <c r="A673" s="1" t="s">
        <v>4588</v>
      </c>
      <c r="B673" s="2" t="s">
        <v>4377</v>
      </c>
      <c r="C673" s="1" t="s">
        <v>4479</v>
      </c>
      <c r="D673" s="2" t="s">
        <v>554</v>
      </c>
      <c r="E673" s="110">
        <v>2.5</v>
      </c>
      <c r="F673" s="110">
        <v>12.98</v>
      </c>
      <c r="G673" s="10">
        <v>12.87</v>
      </c>
      <c r="H673" s="11" t="s">
        <v>1874</v>
      </c>
      <c r="I673" s="49">
        <f>SUMIFS(BOM!Q:Q,BOM!A:A,'All Products'!A673,BOM!I:I,'All Products'!I$3)</f>
        <v>4.7193877551020407</v>
      </c>
      <c r="J673" s="49">
        <f>SUMIFS(BOM!Q:Q,BOM!A:A,'All Products'!A673,BOM!I:I,'All Products'!J$3)+0.03</f>
        <v>0.17</v>
      </c>
      <c r="K673" s="29">
        <f t="shared" si="148"/>
        <v>0.37990580847723704</v>
      </c>
      <c r="L673" s="49">
        <f>SUMIF(BOM!A:A,'All Products'!A673,BOM!S:S)</f>
        <v>9.3087500000000004E-2</v>
      </c>
      <c r="M673" s="49">
        <f>SUMIF(BOM!A:A,'All Products'!A673,BOM!V:V)</f>
        <v>0.29618749999999999</v>
      </c>
      <c r="N673" s="29">
        <f t="shared" si="149"/>
        <v>3.0246697746697748E-2</v>
      </c>
      <c r="O673" s="55">
        <v>0</v>
      </c>
      <c r="P673" s="49">
        <f t="shared" si="150"/>
        <v>5.2786627551020411</v>
      </c>
      <c r="Q673" s="11">
        <f t="shared" si="152"/>
        <v>7.5913372448979581</v>
      </c>
      <c r="R673" s="29">
        <f t="shared" si="151"/>
        <v>0.58984749377606516</v>
      </c>
      <c r="AA673">
        <f t="shared" si="153"/>
        <v>0</v>
      </c>
      <c r="AB673">
        <f t="shared" si="154"/>
        <v>0</v>
      </c>
    </row>
    <row r="674" spans="1:28" x14ac:dyDescent="0.25">
      <c r="A674" s="1" t="s">
        <v>4589</v>
      </c>
      <c r="B674" s="2" t="s">
        <v>4377</v>
      </c>
      <c r="C674" s="1" t="s">
        <v>4590</v>
      </c>
      <c r="D674" s="2" t="s">
        <v>554</v>
      </c>
      <c r="E674" s="110">
        <v>2.5</v>
      </c>
      <c r="F674" s="110">
        <v>22.5</v>
      </c>
      <c r="G674" s="10">
        <v>23.02</v>
      </c>
      <c r="H674" s="11" t="s">
        <v>1874</v>
      </c>
      <c r="I674" s="49">
        <f>SUMIFS(BOM!Q:Q,BOM!A:A,'All Products'!A674,BOM!I:I,'All Products'!I$3)</f>
        <v>9.4599999999999991</v>
      </c>
      <c r="J674" s="49">
        <f>SUMIFS(BOM!Q:Q,BOM!A:A,'All Products'!A674,BOM!I:I,'All Products'!J$3)+0.03</f>
        <v>0.17</v>
      </c>
      <c r="K674" s="29">
        <f t="shared" si="148"/>
        <v>0.41833188531711551</v>
      </c>
      <c r="L674" s="49">
        <f>SUMIF(BOM!A:A,'All Products'!A674,BOM!S:S)</f>
        <v>5.7121874999999998</v>
      </c>
      <c r="M674" s="49">
        <f>SUMIF(BOM!A:A,'All Products'!A674,BOM!V:V)</f>
        <v>0.29618749999999999</v>
      </c>
      <c r="N674" s="29">
        <f t="shared" si="149"/>
        <v>0.26100673327541268</v>
      </c>
      <c r="O674" s="55">
        <v>0</v>
      </c>
      <c r="P674" s="49">
        <f t="shared" si="150"/>
        <v>15.638375</v>
      </c>
      <c r="Q674" s="11">
        <f t="shared" si="152"/>
        <v>7.3816249999999997</v>
      </c>
      <c r="R674" s="29">
        <f t="shared" si="151"/>
        <v>0.32066138140747175</v>
      </c>
      <c r="AA674">
        <f t="shared" si="153"/>
        <v>0</v>
      </c>
      <c r="AB674">
        <f t="shared" si="154"/>
        <v>0</v>
      </c>
    </row>
    <row r="675" spans="1:28" x14ac:dyDescent="0.25">
      <c r="A675" s="1" t="s">
        <v>4591</v>
      </c>
      <c r="B675" s="2" t="s">
        <v>4377</v>
      </c>
      <c r="C675" s="1" t="s">
        <v>4592</v>
      </c>
      <c r="D675" s="2" t="s">
        <v>554</v>
      </c>
      <c r="E675" s="110">
        <v>2.5</v>
      </c>
      <c r="F675" s="110">
        <v>21.25</v>
      </c>
      <c r="G675" s="10">
        <v>21.97</v>
      </c>
      <c r="H675" s="11" t="s">
        <v>1874</v>
      </c>
      <c r="I675" s="49">
        <f>SUMIFS(BOM!Q:Q,BOM!A:A,'All Products'!A675,BOM!I:I,'All Products'!I$3)</f>
        <v>9.4578000000000007</v>
      </c>
      <c r="J675" s="49">
        <f>SUMIFS(BOM!Q:Q,BOM!A:A,'All Products'!A675,BOM!I:I,'All Products'!J$3)+0.03</f>
        <v>0.17</v>
      </c>
      <c r="K675" s="29">
        <f t="shared" si="148"/>
        <v>0.43822485207100598</v>
      </c>
      <c r="L675" s="49">
        <f>SUMIF(BOM!A:A,'All Products'!A675,BOM!S:S)</f>
        <v>5.7121874999999989</v>
      </c>
      <c r="M675" s="49">
        <f>SUMIF(BOM!A:A,'All Products'!A675,BOM!V:V)</f>
        <v>0.29618749999999999</v>
      </c>
      <c r="N675" s="29">
        <f t="shared" si="149"/>
        <v>0.27348088302230311</v>
      </c>
      <c r="O675" s="55">
        <v>0</v>
      </c>
      <c r="P675" s="49">
        <f t="shared" si="150"/>
        <v>15.636175</v>
      </c>
      <c r="Q675" s="11">
        <f t="shared" si="152"/>
        <v>6.3338249999999992</v>
      </c>
      <c r="R675" s="29">
        <f t="shared" si="151"/>
        <v>0.28829426490669091</v>
      </c>
      <c r="AA675">
        <f t="shared" si="153"/>
        <v>0</v>
      </c>
      <c r="AB675">
        <f t="shared" si="154"/>
        <v>0</v>
      </c>
    </row>
    <row r="676" spans="1:28" x14ac:dyDescent="0.25">
      <c r="A676" s="1" t="s">
        <v>4593</v>
      </c>
      <c r="B676" s="2" t="s">
        <v>4377</v>
      </c>
      <c r="C676" s="1" t="s">
        <v>4478</v>
      </c>
      <c r="D676" s="2" t="s">
        <v>554</v>
      </c>
      <c r="E676" s="110">
        <v>5</v>
      </c>
      <c r="F676" s="110">
        <v>41.9</v>
      </c>
      <c r="G676" s="10">
        <v>41.15</v>
      </c>
      <c r="H676" s="11" t="s">
        <v>1874</v>
      </c>
      <c r="I676" s="49">
        <f>SUMIFS(BOM!Q:Q,BOM!A:A,'All Products'!A676,BOM!I:I,'All Products'!I$3)</f>
        <v>6.0273972602739727</v>
      </c>
      <c r="J676" s="49">
        <f>SUMIFS(BOM!Q:Q,BOM!A:A,'All Products'!A676,BOM!I:I,'All Products'!J$3)+0.03</f>
        <v>0.17</v>
      </c>
      <c r="K676" s="29">
        <f t="shared" si="148"/>
        <v>0.15060503670167613</v>
      </c>
      <c r="L676" s="49">
        <f>SUMIF(BOM!A:A,'All Products'!A676,BOM!S:S)</f>
        <v>3.0803499999999997</v>
      </c>
      <c r="M676" s="49">
        <f>SUMIF(BOM!A:A,'All Products'!A676,BOM!V:V)</f>
        <v>0.40112249999999999</v>
      </c>
      <c r="N676" s="29">
        <f t="shared" si="149"/>
        <v>8.4604434993924657E-2</v>
      </c>
      <c r="O676" s="55">
        <v>0</v>
      </c>
      <c r="P676" s="49">
        <f t="shared" si="150"/>
        <v>9.6788697602739724</v>
      </c>
      <c r="Q676" s="11">
        <f t="shared" si="152"/>
        <v>31.471130239726026</v>
      </c>
      <c r="R676" s="29">
        <f t="shared" si="151"/>
        <v>0.7647905283043992</v>
      </c>
      <c r="AA676">
        <f t="shared" si="153"/>
        <v>0</v>
      </c>
      <c r="AB676">
        <f t="shared" si="154"/>
        <v>0</v>
      </c>
    </row>
    <row r="677" spans="1:28" x14ac:dyDescent="0.25">
      <c r="A677" s="1" t="s">
        <v>4594</v>
      </c>
      <c r="B677" s="2" t="s">
        <v>4377</v>
      </c>
      <c r="C677" s="1" t="s">
        <v>4595</v>
      </c>
      <c r="D677" s="2" t="s">
        <v>554</v>
      </c>
      <c r="E677" s="110">
        <v>5</v>
      </c>
      <c r="F677" s="110">
        <v>15</v>
      </c>
      <c r="G677" s="10">
        <v>14.83</v>
      </c>
      <c r="H677" s="11" t="s">
        <v>1874</v>
      </c>
      <c r="I677" s="49">
        <f>SUMIFS(BOM!Q:Q,BOM!A:A,'All Products'!A677,BOM!I:I,'All Products'!I$3)</f>
        <v>4.4520547945205484</v>
      </c>
      <c r="J677" s="49">
        <f>SUMIFS(BOM!Q:Q,BOM!A:A,'All Products'!A677,BOM!I:I,'All Products'!J$3)+0.03</f>
        <v>0.17</v>
      </c>
      <c r="K677" s="29">
        <f t="shared" si="148"/>
        <v>0.31166923766153393</v>
      </c>
      <c r="L677" s="49">
        <f>SUMIF(BOM!A:A,'All Products'!A677,BOM!S:S)</f>
        <v>2.8772499999999996</v>
      </c>
      <c r="M677" s="49">
        <f>SUMIF(BOM!A:A,'All Products'!A677,BOM!V:V)</f>
        <v>0.40112249999999999</v>
      </c>
      <c r="N677" s="29">
        <f t="shared" si="149"/>
        <v>0.22106355360755223</v>
      </c>
      <c r="O677" s="55">
        <v>0</v>
      </c>
      <c r="P677" s="49">
        <f t="shared" si="150"/>
        <v>7.9004272945205472</v>
      </c>
      <c r="Q677" s="11">
        <f t="shared" si="152"/>
        <v>6.9295727054794529</v>
      </c>
      <c r="R677" s="29">
        <f t="shared" si="151"/>
        <v>0.46726720873091387</v>
      </c>
      <c r="AA677">
        <f t="shared" si="153"/>
        <v>0</v>
      </c>
      <c r="AB677">
        <f t="shared" si="154"/>
        <v>0</v>
      </c>
    </row>
    <row r="678" spans="1:28" x14ac:dyDescent="0.25">
      <c r="A678" s="1" t="s">
        <v>4574</v>
      </c>
      <c r="B678" s="2" t="s">
        <v>4377</v>
      </c>
      <c r="C678" s="1" t="s">
        <v>4596</v>
      </c>
      <c r="D678" s="2" t="s">
        <v>554</v>
      </c>
      <c r="E678" s="110">
        <v>2.5</v>
      </c>
      <c r="F678" s="110">
        <v>9.67</v>
      </c>
      <c r="G678" s="10">
        <v>9.26</v>
      </c>
      <c r="H678" s="11" t="s">
        <v>1874</v>
      </c>
      <c r="I678" s="49">
        <f>SUMIFS(BOM!Q:Q,BOM!A:A,'All Products'!A678,BOM!I:I,'All Products'!I$3)</f>
        <v>1.9700000000000002</v>
      </c>
      <c r="J678" s="49">
        <f>SUMIFS(BOM!Q:Q,BOM!A:A,'All Products'!A678,BOM!I:I,'All Products'!J$3)+0.03</f>
        <v>0.17</v>
      </c>
      <c r="K678" s="29">
        <f t="shared" si="148"/>
        <v>0.2311015118790497</v>
      </c>
      <c r="L678" s="49">
        <f>SUMIF(BOM!A:A,'All Products'!A678,BOM!S:S)</f>
        <v>2.2200000000000002</v>
      </c>
      <c r="M678" s="49">
        <f>SUMIF(BOM!A:A,'All Products'!A678,BOM!V:V)</f>
        <v>0.21833249999999998</v>
      </c>
      <c r="N678" s="29">
        <f t="shared" si="149"/>
        <v>0.26331884449244058</v>
      </c>
      <c r="O678" s="55">
        <v>0</v>
      </c>
      <c r="P678" s="49">
        <f t="shared" si="150"/>
        <v>4.5783325000000001</v>
      </c>
      <c r="Q678" s="11">
        <f t="shared" si="152"/>
        <v>4.6816674999999996</v>
      </c>
      <c r="R678" s="29">
        <f t="shared" si="151"/>
        <v>0.50557964362850971</v>
      </c>
      <c r="AA678">
        <f t="shared" si="153"/>
        <v>0</v>
      </c>
      <c r="AB678">
        <f t="shared" si="154"/>
        <v>0</v>
      </c>
    </row>
    <row r="679" spans="1:28" x14ac:dyDescent="0.25">
      <c r="A679" s="1" t="s">
        <v>4597</v>
      </c>
      <c r="B679" s="2" t="s">
        <v>4377</v>
      </c>
      <c r="C679" s="1" t="s">
        <v>4483</v>
      </c>
      <c r="D679" s="2" t="s">
        <v>554</v>
      </c>
      <c r="E679" s="110">
        <v>2.5</v>
      </c>
      <c r="F679" s="110">
        <v>11.95</v>
      </c>
      <c r="G679" s="10">
        <v>11.83</v>
      </c>
      <c r="H679" s="11" t="s">
        <v>1874</v>
      </c>
      <c r="I679" s="49">
        <f>SUMIFS(BOM!Q:Q,BOM!A:A,'All Products'!A679,BOM!I:I,'All Products'!I$3)</f>
        <v>2.9255319148936172</v>
      </c>
      <c r="J679" s="49">
        <f>SUMIFS(BOM!Q:Q,BOM!A:A,'All Products'!A679,BOM!I:I,'All Products'!J$3)+0.03</f>
        <v>0.17</v>
      </c>
      <c r="K679" s="29">
        <f t="shared" si="148"/>
        <v>0.26166795561230916</v>
      </c>
      <c r="L679" s="49">
        <f>SUMIF(BOM!A:A,'All Products'!A679,BOM!S:S)</f>
        <v>0.96472499999999983</v>
      </c>
      <c r="M679" s="49">
        <f>SUMIF(BOM!A:A,'All Products'!A679,BOM!V:V)</f>
        <v>0.29618749999999999</v>
      </c>
      <c r="N679" s="29">
        <f t="shared" si="149"/>
        <v>0.10658601014370243</v>
      </c>
      <c r="O679" s="55">
        <v>0</v>
      </c>
      <c r="P679" s="49">
        <f t="shared" si="150"/>
        <v>4.356444414893617</v>
      </c>
      <c r="Q679" s="11">
        <f t="shared" si="152"/>
        <v>7.4735555851063831</v>
      </c>
      <c r="R679" s="29">
        <f t="shared" si="151"/>
        <v>0.63174603424398845</v>
      </c>
      <c r="AA679">
        <f t="shared" si="153"/>
        <v>0</v>
      </c>
      <c r="AB679">
        <f t="shared" si="154"/>
        <v>0</v>
      </c>
    </row>
    <row r="680" spans="1:28" x14ac:dyDescent="0.25">
      <c r="A680" s="1" t="s">
        <v>4598</v>
      </c>
      <c r="B680" s="2" t="s">
        <v>4377</v>
      </c>
      <c r="C680" s="1" t="s">
        <v>4599</v>
      </c>
      <c r="D680" s="2" t="s">
        <v>554</v>
      </c>
      <c r="E680" s="110">
        <v>2.5</v>
      </c>
      <c r="F680" s="110">
        <v>10.43</v>
      </c>
      <c r="G680" s="10">
        <v>10.19</v>
      </c>
      <c r="H680" s="11" t="s">
        <v>1874</v>
      </c>
      <c r="I680" s="49">
        <f>SUMIFS(BOM!Q:Q,BOM!A:A,'All Products'!A680,BOM!I:I,'All Products'!I$3)</f>
        <v>3.666666666666667</v>
      </c>
      <c r="J680" s="49">
        <f>SUMIFS(BOM!Q:Q,BOM!A:A,'All Products'!A680,BOM!I:I,'All Products'!J$3)+0.03</f>
        <v>0.17</v>
      </c>
      <c r="K680" s="29">
        <f t="shared" si="148"/>
        <v>0.37651292116454044</v>
      </c>
      <c r="L680" s="49">
        <f>SUMIF(BOM!A:A,'All Products'!A680,BOM!S:S)</f>
        <v>1.0155000000000001</v>
      </c>
      <c r="M680" s="49">
        <f>SUMIF(BOM!A:A,'All Products'!A680,BOM!V:V)</f>
        <v>0.29618749999999999</v>
      </c>
      <c r="N680" s="29">
        <f t="shared" si="149"/>
        <v>0.1287230127576055</v>
      </c>
      <c r="O680" s="55">
        <v>0</v>
      </c>
      <c r="P680" s="49">
        <f t="shared" si="150"/>
        <v>5.1483541666666675</v>
      </c>
      <c r="Q680" s="11">
        <f t="shared" si="152"/>
        <v>5.041645833333332</v>
      </c>
      <c r="R680" s="29">
        <f t="shared" si="151"/>
        <v>0.494764066077854</v>
      </c>
      <c r="AA680">
        <f t="shared" si="153"/>
        <v>0</v>
      </c>
      <c r="AB680">
        <f t="shared" si="154"/>
        <v>0</v>
      </c>
    </row>
    <row r="681" spans="1:28" x14ac:dyDescent="0.25">
      <c r="A681" s="1" t="s">
        <v>4600</v>
      </c>
      <c r="B681" s="2" t="s">
        <v>4377</v>
      </c>
      <c r="C681" s="1" t="s">
        <v>4601</v>
      </c>
      <c r="D681" s="2" t="s">
        <v>554</v>
      </c>
      <c r="E681" s="110">
        <v>5</v>
      </c>
      <c r="F681" s="110">
        <v>9.2799999999999994</v>
      </c>
      <c r="G681" s="10">
        <v>10.95</v>
      </c>
      <c r="H681" s="11" t="s">
        <v>1874</v>
      </c>
      <c r="I681" s="49">
        <f>SUMIFS(BOM!Q:Q,BOM!A:A,'All Products'!A681,BOM!I:I,'All Products'!I$3)</f>
        <v>4.7959183673469381</v>
      </c>
      <c r="J681" s="49">
        <f>SUMIFS(BOM!Q:Q,BOM!A:A,'All Products'!A681,BOM!I:I,'All Products'!J$3)+0.03</f>
        <v>0.17</v>
      </c>
      <c r="K681" s="29">
        <f t="shared" si="148"/>
        <v>0.45350852669835051</v>
      </c>
      <c r="L681" s="49">
        <f>SUMIF(BOM!A:A,'All Products'!A681,BOM!S:S)</f>
        <v>2.5387499999999998</v>
      </c>
      <c r="M681" s="49">
        <f>SUMIF(BOM!A:A,'All Products'!A681,BOM!V:V)</f>
        <v>0.40112249999999999</v>
      </c>
      <c r="N681" s="29">
        <f t="shared" si="149"/>
        <v>0.2684815068493151</v>
      </c>
      <c r="O681" s="55">
        <v>0</v>
      </c>
      <c r="P681" s="49">
        <f t="shared" si="150"/>
        <v>7.905790867346937</v>
      </c>
      <c r="Q681" s="11">
        <f t="shared" si="152"/>
        <v>3.0442091326530623</v>
      </c>
      <c r="R681" s="29">
        <f t="shared" si="151"/>
        <v>0.27800996645233444</v>
      </c>
      <c r="AA681">
        <f t="shared" si="153"/>
        <v>0</v>
      </c>
      <c r="AB681">
        <f t="shared" si="154"/>
        <v>0</v>
      </c>
    </row>
    <row r="682" spans="1:28" x14ac:dyDescent="0.25">
      <c r="A682" s="1" t="s">
        <v>4602</v>
      </c>
      <c r="B682" s="2" t="s">
        <v>4377</v>
      </c>
      <c r="C682" s="1" t="s">
        <v>4603</v>
      </c>
      <c r="D682" s="2" t="s">
        <v>554</v>
      </c>
      <c r="E682" s="110">
        <v>5</v>
      </c>
      <c r="F682" s="110">
        <v>32.5</v>
      </c>
      <c r="G682" s="10">
        <v>33.22</v>
      </c>
      <c r="H682" s="11" t="s">
        <v>1874</v>
      </c>
      <c r="I682" s="49">
        <f>SUMIFS(BOM!Q:Q,BOM!A:A,'All Products'!A682,BOM!I:I,'All Products'!I$3)</f>
        <v>8.9333333333333336</v>
      </c>
      <c r="J682" s="49">
        <f>SUMIFS(BOM!Q:Q,BOM!A:A,'All Products'!A682,BOM!I:I,'All Products'!J$3)+0.03</f>
        <v>0.17</v>
      </c>
      <c r="K682" s="29">
        <f t="shared" si="148"/>
        <v>0.27403170780654224</v>
      </c>
      <c r="L682" s="49">
        <f>SUMIF(BOM!A:A,'All Products'!A682,BOM!S:S)</f>
        <v>2.9957249999999997</v>
      </c>
      <c r="M682" s="49">
        <f>SUMIF(BOM!A:A,'All Products'!A682,BOM!V:V)</f>
        <v>0.40112249999999999</v>
      </c>
      <c r="N682" s="29">
        <f t="shared" si="149"/>
        <v>0.10225308549066826</v>
      </c>
      <c r="O682" s="55">
        <v>0</v>
      </c>
      <c r="P682" s="49">
        <f t="shared" si="150"/>
        <v>12.500180833333333</v>
      </c>
      <c r="Q682" s="11">
        <f t="shared" si="152"/>
        <v>20.719819166666667</v>
      </c>
      <c r="R682" s="29">
        <f t="shared" si="151"/>
        <v>0.62371520670278957</v>
      </c>
      <c r="AA682">
        <f t="shared" si="153"/>
        <v>0</v>
      </c>
      <c r="AB682">
        <f t="shared" si="154"/>
        <v>0</v>
      </c>
    </row>
    <row r="683" spans="1:28" x14ac:dyDescent="0.25">
      <c r="A683" s="1" t="s">
        <v>4604</v>
      </c>
      <c r="B683" s="2" t="s">
        <v>4377</v>
      </c>
      <c r="C683" s="1" t="s">
        <v>4484</v>
      </c>
      <c r="D683" s="2" t="s">
        <v>554</v>
      </c>
      <c r="E683" s="110">
        <v>5</v>
      </c>
      <c r="F683" s="110">
        <v>21.75</v>
      </c>
      <c r="G683" s="10">
        <v>20.7</v>
      </c>
      <c r="H683" s="11" t="s">
        <v>1874</v>
      </c>
      <c r="I683" s="49">
        <f>SUMIFS(BOM!Q:Q,BOM!A:A,'All Products'!A683,BOM!I:I,'All Products'!I$3)</f>
        <v>5.3658536585365857</v>
      </c>
      <c r="J683" s="49">
        <f>SUMIFS(BOM!Q:Q,BOM!A:A,'All Products'!A683,BOM!I:I,'All Products'!J$3)+0.03</f>
        <v>0.17</v>
      </c>
      <c r="K683" s="29">
        <f t="shared" si="148"/>
        <v>0.26743254389065629</v>
      </c>
      <c r="L683" s="49">
        <f>SUMIF(BOM!A:A,'All Products'!A683,BOM!S:S)</f>
        <v>0.33849999999999997</v>
      </c>
      <c r="M683" s="49">
        <f>SUMIF(BOM!A:A,'All Products'!A683,BOM!V:V)</f>
        <v>0.40112249999999999</v>
      </c>
      <c r="N683" s="29">
        <f t="shared" si="149"/>
        <v>3.5730555555555557E-2</v>
      </c>
      <c r="O683" s="55">
        <v>0</v>
      </c>
      <c r="P683" s="49">
        <f t="shared" si="150"/>
        <v>6.275476158536585</v>
      </c>
      <c r="Q683" s="11">
        <f t="shared" si="152"/>
        <v>14.424523841463415</v>
      </c>
      <c r="R683" s="29">
        <f t="shared" si="151"/>
        <v>0.69683690055378822</v>
      </c>
      <c r="AA683">
        <f t="shared" si="153"/>
        <v>0</v>
      </c>
      <c r="AB683">
        <f t="shared" si="154"/>
        <v>0</v>
      </c>
    </row>
    <row r="684" spans="1:28" x14ac:dyDescent="0.25">
      <c r="A684" s="1" t="s">
        <v>4605</v>
      </c>
      <c r="B684" s="2" t="s">
        <v>4377</v>
      </c>
      <c r="C684" s="1" t="s">
        <v>4606</v>
      </c>
      <c r="D684" s="2" t="s">
        <v>554</v>
      </c>
      <c r="E684" s="110">
        <v>5</v>
      </c>
      <c r="F684" s="110">
        <v>13.24</v>
      </c>
      <c r="G684" s="10">
        <v>12.14</v>
      </c>
      <c r="H684" s="11" t="s">
        <v>1874</v>
      </c>
      <c r="I684" s="49">
        <f>SUMIFS(BOM!Q:Q,BOM!A:A,'All Products'!A684,BOM!I:I,'All Products'!I$3)</f>
        <v>2.3684210526315792</v>
      </c>
      <c r="J684" s="49">
        <f>SUMIFS(BOM!Q:Q,BOM!A:A,'All Products'!A684,BOM!I:I,'All Products'!J$3)+0.03</f>
        <v>0.17</v>
      </c>
      <c r="K684" s="29">
        <f t="shared" si="148"/>
        <v>0.20909563860227176</v>
      </c>
      <c r="L684" s="49">
        <f>SUMIF(BOM!A:A,'All Products'!A684,BOM!S:S)</f>
        <v>5.805275</v>
      </c>
      <c r="M684" s="49">
        <f>SUMIF(BOM!A:A,'All Products'!A684,BOM!V:V)</f>
        <v>0.40112249999999999</v>
      </c>
      <c r="N684" s="29">
        <f t="shared" si="149"/>
        <v>0.51123537891268522</v>
      </c>
      <c r="O684" s="55">
        <v>0</v>
      </c>
      <c r="P684" s="49">
        <f t="shared" si="150"/>
        <v>8.7448185526315783</v>
      </c>
      <c r="Q684" s="11">
        <f t="shared" si="152"/>
        <v>3.3951814473684223</v>
      </c>
      <c r="R684" s="29">
        <f t="shared" si="151"/>
        <v>0.27966898248504302</v>
      </c>
      <c r="AA684">
        <f t="shared" si="153"/>
        <v>0</v>
      </c>
      <c r="AB684">
        <f t="shared" si="154"/>
        <v>0</v>
      </c>
    </row>
    <row r="685" spans="1:28" x14ac:dyDescent="0.25">
      <c r="A685" s="1" t="s">
        <v>4607</v>
      </c>
      <c r="B685" s="2" t="s">
        <v>4377</v>
      </c>
      <c r="C685" s="1" t="s">
        <v>4608</v>
      </c>
      <c r="D685" s="2" t="s">
        <v>554</v>
      </c>
      <c r="E685" s="110">
        <v>5</v>
      </c>
      <c r="F685" s="110">
        <v>7.64</v>
      </c>
      <c r="G685" s="10">
        <v>7.98</v>
      </c>
      <c r="H685" s="11" t="s">
        <v>1874</v>
      </c>
      <c r="I685" s="49">
        <f>SUMIFS(BOM!Q:Q,BOM!A:A,'All Products'!A685,BOM!I:I,'All Products'!I$3)</f>
        <v>2.676056338028169</v>
      </c>
      <c r="J685" s="49">
        <f>SUMIFS(BOM!Q:Q,BOM!A:A,'All Products'!A685,BOM!I:I,'All Products'!J$3)+0.03</f>
        <v>0.17</v>
      </c>
      <c r="K685" s="29">
        <f t="shared" si="148"/>
        <v>0.35664866391330435</v>
      </c>
      <c r="L685" s="49">
        <f>SUMIF(BOM!A:A,'All Products'!A685,BOM!S:S)</f>
        <v>2.1156249999999996</v>
      </c>
      <c r="M685" s="49">
        <f>SUMIF(BOM!A:A,'All Products'!A685,BOM!V:V)</f>
        <v>0.40112249999999999</v>
      </c>
      <c r="N685" s="29">
        <f t="shared" si="149"/>
        <v>0.31538189223057639</v>
      </c>
      <c r="O685" s="55">
        <v>0</v>
      </c>
      <c r="P685" s="49">
        <f t="shared" si="150"/>
        <v>5.3628038380281691</v>
      </c>
      <c r="Q685" s="11">
        <f t="shared" si="152"/>
        <v>2.6171961619718314</v>
      </c>
      <c r="R685" s="29">
        <f t="shared" si="151"/>
        <v>0.3279694438561192</v>
      </c>
      <c r="AA685">
        <f t="shared" si="153"/>
        <v>0</v>
      </c>
      <c r="AB685">
        <f t="shared" si="154"/>
        <v>0</v>
      </c>
    </row>
    <row r="686" spans="1:28" x14ac:dyDescent="0.25">
      <c r="A686" s="1" t="s">
        <v>4609</v>
      </c>
      <c r="B686" s="2" t="s">
        <v>4377</v>
      </c>
      <c r="C686" s="1" t="s">
        <v>4610</v>
      </c>
      <c r="D686" s="2" t="s">
        <v>554</v>
      </c>
      <c r="E686" s="110">
        <v>2.5</v>
      </c>
      <c r="F686" s="110">
        <v>17.95</v>
      </c>
      <c r="G686" s="10">
        <v>18.39</v>
      </c>
      <c r="H686" s="11" t="s">
        <v>1874</v>
      </c>
      <c r="I686" s="49">
        <f>SUMIFS(BOM!Q:Q,BOM!A:A,'All Products'!A686,BOM!I:I,'All Products'!I$3)</f>
        <v>6.1428571428571432</v>
      </c>
      <c r="J686" s="49">
        <f>SUMIFS(BOM!Q:Q,BOM!A:A,'All Products'!A686,BOM!I:I,'All Products'!J$3)+0.03</f>
        <v>0.17</v>
      </c>
      <c r="K686" s="29">
        <f t="shared" si="148"/>
        <v>0.34327662549522259</v>
      </c>
      <c r="L686" s="49">
        <f>SUMIF(BOM!A:A,'All Products'!A686,BOM!S:S)</f>
        <v>0.87163749999999995</v>
      </c>
      <c r="M686" s="49">
        <f>SUMIF(BOM!A:A,'All Products'!A686,BOM!V:V)</f>
        <v>0.29618749999999999</v>
      </c>
      <c r="N686" s="29">
        <f t="shared" si="149"/>
        <v>6.3503262642740615E-2</v>
      </c>
      <c r="O686" s="55">
        <v>0</v>
      </c>
      <c r="P686" s="49">
        <f t="shared" si="150"/>
        <v>7.4806821428571437</v>
      </c>
      <c r="Q686" s="11">
        <f t="shared" si="152"/>
        <v>10.909317857142856</v>
      </c>
      <c r="R686" s="29">
        <f t="shared" si="151"/>
        <v>0.59322011186203671</v>
      </c>
      <c r="AA686">
        <f t="shared" si="153"/>
        <v>0</v>
      </c>
      <c r="AB686">
        <f t="shared" si="154"/>
        <v>0</v>
      </c>
    </row>
    <row r="687" spans="1:28" x14ac:dyDescent="0.25">
      <c r="A687" s="1" t="s">
        <v>4611</v>
      </c>
      <c r="B687" s="2" t="s">
        <v>4377</v>
      </c>
      <c r="C687" s="1" t="s">
        <v>4612</v>
      </c>
      <c r="D687" s="2" t="s">
        <v>554</v>
      </c>
      <c r="E687" s="110">
        <v>5</v>
      </c>
      <c r="F687" s="110">
        <v>12.34</v>
      </c>
      <c r="G687" s="10">
        <v>12.78</v>
      </c>
      <c r="H687" s="11" t="s">
        <v>1874</v>
      </c>
      <c r="I687" s="49">
        <f>SUMIFS(BOM!Q:Q,BOM!A:A,'All Products'!A687,BOM!I:I,'All Products'!I$3)</f>
        <v>2.6388888888888888</v>
      </c>
      <c r="J687" s="49">
        <f>SUMIFS(BOM!Q:Q,BOM!A:A,'All Products'!A687,BOM!I:I,'All Products'!J$3)+0.03</f>
        <v>0.17</v>
      </c>
      <c r="K687" s="29">
        <f t="shared" si="148"/>
        <v>0.21978786298035125</v>
      </c>
      <c r="L687" s="49">
        <f>SUMIF(BOM!A:A,'All Products'!A687,BOM!S:S)</f>
        <v>2.1156249999999996</v>
      </c>
      <c r="M687" s="49">
        <f>SUMIF(BOM!A:A,'All Products'!A687,BOM!V:V)</f>
        <v>0.40112249999999999</v>
      </c>
      <c r="N687" s="29">
        <f t="shared" si="149"/>
        <v>0.19692859937402191</v>
      </c>
      <c r="O687" s="55">
        <v>0</v>
      </c>
      <c r="P687" s="49">
        <f t="shared" si="150"/>
        <v>5.3256363888888885</v>
      </c>
      <c r="Q687" s="11">
        <f t="shared" si="152"/>
        <v>7.4543636111111109</v>
      </c>
      <c r="R687" s="29">
        <f t="shared" si="151"/>
        <v>0.5832835376456269</v>
      </c>
      <c r="AA687">
        <f t="shared" si="153"/>
        <v>0</v>
      </c>
      <c r="AB687">
        <f t="shared" si="154"/>
        <v>0</v>
      </c>
    </row>
    <row r="688" spans="1:28" x14ac:dyDescent="0.25">
      <c r="A688" s="1" t="s">
        <v>4613</v>
      </c>
      <c r="B688" s="2" t="s">
        <v>4377</v>
      </c>
      <c r="C688" s="1" t="s">
        <v>4626</v>
      </c>
      <c r="D688" s="2" t="s">
        <v>554</v>
      </c>
      <c r="E688" s="110">
        <v>2.5</v>
      </c>
      <c r="F688" s="110">
        <v>13.88</v>
      </c>
      <c r="G688" s="10">
        <v>12.59</v>
      </c>
      <c r="H688" s="11" t="s">
        <v>1874</v>
      </c>
      <c r="I688" s="49">
        <f>SUMIFS(BOM!Q:Q,BOM!A:A,'All Products'!A688,BOM!I:I,'All Products'!I$3)</f>
        <v>5.1534722222222218</v>
      </c>
      <c r="J688" s="49">
        <f>SUMIFS(BOM!Q:Q,BOM!A:A,'All Products'!A688,BOM!I:I,'All Products'!J$3)+0.03</f>
        <v>0.17</v>
      </c>
      <c r="K688" s="29">
        <f t="shared" si="148"/>
        <v>0.42283337746006527</v>
      </c>
      <c r="L688" s="49">
        <f>SUMIF(BOM!A:A,'All Products'!A688,BOM!S:S)</f>
        <v>1.1001249999999998</v>
      </c>
      <c r="M688" s="49">
        <f>SUMIF(BOM!A:A,'All Products'!A688,BOM!V:V)</f>
        <v>0.29618749999999999</v>
      </c>
      <c r="N688" s="29">
        <f t="shared" si="149"/>
        <v>0.11090647339158061</v>
      </c>
      <c r="O688" s="55">
        <v>0</v>
      </c>
      <c r="P688" s="49">
        <f t="shared" si="150"/>
        <v>6.7197847222222222</v>
      </c>
      <c r="Q688" s="11">
        <f t="shared" si="152"/>
        <v>5.8702152777777776</v>
      </c>
      <c r="R688" s="29">
        <f t="shared" si="151"/>
        <v>0.46626014914835406</v>
      </c>
      <c r="AA688">
        <f t="shared" si="153"/>
        <v>0</v>
      </c>
      <c r="AB688">
        <f t="shared" si="154"/>
        <v>0</v>
      </c>
    </row>
    <row r="689" spans="1:28" x14ac:dyDescent="0.25">
      <c r="A689" s="1" t="s">
        <v>4615</v>
      </c>
      <c r="B689" s="2" t="s">
        <v>4377</v>
      </c>
      <c r="C689" s="1" t="s">
        <v>4616</v>
      </c>
      <c r="D689" s="2" t="s">
        <v>554</v>
      </c>
      <c r="E689" s="110">
        <v>2.5</v>
      </c>
      <c r="F689" s="110">
        <v>10.5</v>
      </c>
      <c r="G689" s="10">
        <v>11.17</v>
      </c>
      <c r="H689" s="11" t="s">
        <v>1874</v>
      </c>
      <c r="I689" s="49">
        <f>SUMIFS(BOM!Q:Q,BOM!A:A,'All Products'!A689,BOM!I:I,'All Products'!I$3)</f>
        <v>5.1785714285714288</v>
      </c>
      <c r="J689" s="49">
        <f>SUMIFS(BOM!Q:Q,BOM!A:A,'All Products'!A689,BOM!I:I,'All Products'!J$3)+0.03</f>
        <v>0.17</v>
      </c>
      <c r="K689" s="29">
        <f t="shared" si="148"/>
        <v>0.47883361043611716</v>
      </c>
      <c r="L689" s="49">
        <f>SUMIF(BOM!A:A,'All Products'!A689,BOM!S:S)</f>
        <v>3.5288624999999998</v>
      </c>
      <c r="M689" s="49">
        <f>SUMIF(BOM!A:A,'All Products'!A689,BOM!V:V)</f>
        <v>0.29618749999999999</v>
      </c>
      <c r="N689" s="29">
        <f t="shared" si="149"/>
        <v>0.34243957027752908</v>
      </c>
      <c r="O689" s="55">
        <v>0</v>
      </c>
      <c r="P689" s="49">
        <f t="shared" si="150"/>
        <v>9.1736214285714297</v>
      </c>
      <c r="Q689" s="11">
        <f t="shared" si="152"/>
        <v>1.9963785714285702</v>
      </c>
      <c r="R689" s="29">
        <f t="shared" si="151"/>
        <v>0.17872681928635364</v>
      </c>
      <c r="AA689" s="4">
        <f>P689/E689</f>
        <v>3.6694485714285721</v>
      </c>
      <c r="AB689">
        <f t="shared" si="154"/>
        <v>0</v>
      </c>
    </row>
    <row r="690" spans="1:28" x14ac:dyDescent="0.25">
      <c r="A690" s="1" t="s">
        <v>4617</v>
      </c>
      <c r="B690" s="2" t="s">
        <v>4377</v>
      </c>
      <c r="C690" s="1" t="s">
        <v>4618</v>
      </c>
      <c r="D690" s="2" t="s">
        <v>554</v>
      </c>
      <c r="E690" s="110">
        <v>2.5</v>
      </c>
      <c r="F690" s="110">
        <v>7</v>
      </c>
      <c r="G690" s="10">
        <v>7.23</v>
      </c>
      <c r="H690" s="11" t="s">
        <v>1874</v>
      </c>
      <c r="I690" s="49">
        <f>SUMIFS(BOM!Q:Q,BOM!A:A,'All Products'!A690,BOM!I:I,'All Products'!I$3)</f>
        <v>1.2666666666666668</v>
      </c>
      <c r="J690" s="49">
        <f>SUMIFS(BOM!Q:Q,BOM!A:A,'All Products'!A690,BOM!I:I,'All Products'!J$3)+0.03</f>
        <v>0.17</v>
      </c>
      <c r="K690" s="29">
        <f t="shared" si="148"/>
        <v>0.1987090825265099</v>
      </c>
      <c r="L690" s="49">
        <f>SUMIF(BOM!A:A,'All Products'!A690,BOM!S:S)</f>
        <v>0.77008749999999992</v>
      </c>
      <c r="M690" s="49">
        <f>SUMIF(BOM!A:A,'All Products'!A690,BOM!V:V)</f>
        <v>0.29618749999999999</v>
      </c>
      <c r="N690" s="29">
        <f t="shared" si="149"/>
        <v>0.14747925311203317</v>
      </c>
      <c r="O690" s="55">
        <v>0</v>
      </c>
      <c r="P690" s="49">
        <f t="shared" si="150"/>
        <v>2.5029416666666666</v>
      </c>
      <c r="Q690" s="11">
        <f t="shared" si="152"/>
        <v>4.7270583333333338</v>
      </c>
      <c r="R690" s="29">
        <f t="shared" si="151"/>
        <v>0.65381166436145688</v>
      </c>
      <c r="AA690">
        <f t="shared" si="153"/>
        <v>0</v>
      </c>
      <c r="AB690">
        <f t="shared" si="154"/>
        <v>0</v>
      </c>
    </row>
    <row r="691" spans="1:28" x14ac:dyDescent="0.25">
      <c r="A691" s="1" t="s">
        <v>4619</v>
      </c>
      <c r="B691" s="2" t="s">
        <v>4377</v>
      </c>
      <c r="C691" s="1" t="s">
        <v>4487</v>
      </c>
      <c r="D691" s="2" t="s">
        <v>554</v>
      </c>
      <c r="E691" s="110">
        <v>2.5</v>
      </c>
      <c r="F691" s="110">
        <v>13.3</v>
      </c>
      <c r="G691" s="10">
        <v>13.49</v>
      </c>
      <c r="H691" s="11" t="s">
        <v>1874</v>
      </c>
      <c r="I691" s="49">
        <f>SUMIFS(BOM!Q:Q,BOM!A:A,'All Products'!A691,BOM!I:I,'All Products'!I$3)</f>
        <v>5.5952380952380949</v>
      </c>
      <c r="J691" s="49">
        <f>SUMIFS(BOM!Q:Q,BOM!A:A,'All Products'!A691,BOM!I:I,'All Products'!J$3)+0.03</f>
        <v>0.17</v>
      </c>
      <c r="K691" s="29">
        <f t="shared" si="148"/>
        <v>0.42737124501394325</v>
      </c>
      <c r="L691" s="49">
        <f>SUMIF(BOM!A:A,'All Products'!A691,BOM!S:S)</f>
        <v>2.0817749999999999</v>
      </c>
      <c r="M691" s="49">
        <f>SUMIF(BOM!A:A,'All Products'!A691,BOM!V:V)</f>
        <v>0.29618749999999999</v>
      </c>
      <c r="N691" s="29">
        <f t="shared" si="149"/>
        <v>0.1762759451445515</v>
      </c>
      <c r="O691" s="55">
        <v>0</v>
      </c>
      <c r="P691" s="49">
        <f t="shared" si="150"/>
        <v>8.1432005952380955</v>
      </c>
      <c r="Q691" s="11">
        <f t="shared" si="152"/>
        <v>5.3467994047619047</v>
      </c>
      <c r="R691" s="29">
        <f t="shared" si="151"/>
        <v>0.39635280984150517</v>
      </c>
      <c r="AA691">
        <f t="shared" si="153"/>
        <v>0</v>
      </c>
      <c r="AB691">
        <f t="shared" si="154"/>
        <v>0</v>
      </c>
    </row>
    <row r="692" spans="1:28" x14ac:dyDescent="0.25">
      <c r="A692" s="1" t="s">
        <v>4620</v>
      </c>
      <c r="B692" s="2" t="s">
        <v>4377</v>
      </c>
      <c r="C692" s="1" t="s">
        <v>4488</v>
      </c>
      <c r="D692" s="2" t="s">
        <v>554</v>
      </c>
      <c r="E692" s="110">
        <v>2.5</v>
      </c>
      <c r="F692" s="110">
        <v>15</v>
      </c>
      <c r="G692" s="10">
        <v>15.35</v>
      </c>
      <c r="H692" s="11" t="s">
        <v>1874</v>
      </c>
      <c r="I692" s="49">
        <f>SUMIFS(BOM!Q:Q,BOM!A:A,'All Products'!A692,BOM!I:I,'All Products'!I$3)</f>
        <v>6.5277777777777777</v>
      </c>
      <c r="J692" s="49">
        <f>SUMIFS(BOM!Q:Q,BOM!A:A,'All Products'!A692,BOM!I:I,'All Products'!J$3)+0.03</f>
        <v>0.17</v>
      </c>
      <c r="K692" s="29">
        <f t="shared" si="148"/>
        <v>0.43633731451321028</v>
      </c>
      <c r="L692" s="49">
        <f>SUMIF(BOM!A:A,'All Products'!A692,BOM!S:S)</f>
        <v>7.5316249999999991</v>
      </c>
      <c r="M692" s="49">
        <f>SUMIF(BOM!A:A,'All Products'!A692,BOM!V:V)</f>
        <v>0.29618749999999999</v>
      </c>
      <c r="N692" s="29">
        <f t="shared" si="149"/>
        <v>0.50995521172638436</v>
      </c>
      <c r="O692" s="55">
        <v>0</v>
      </c>
      <c r="P692" s="49">
        <f t="shared" si="150"/>
        <v>14.525590277777777</v>
      </c>
      <c r="Q692" s="11">
        <f t="shared" si="152"/>
        <v>0.82440972222222264</v>
      </c>
      <c r="R692" s="29">
        <f t="shared" si="151"/>
        <v>5.3707473760405383E-2</v>
      </c>
      <c r="AA692">
        <f t="shared" si="153"/>
        <v>0</v>
      </c>
      <c r="AB692">
        <f t="shared" si="154"/>
        <v>0</v>
      </c>
    </row>
    <row r="693" spans="1:28" x14ac:dyDescent="0.25">
      <c r="A693" s="1" t="s">
        <v>4621</v>
      </c>
      <c r="B693" s="2" t="s">
        <v>4377</v>
      </c>
      <c r="C693" s="1" t="s">
        <v>4622</v>
      </c>
      <c r="D693" s="2" t="s">
        <v>554</v>
      </c>
      <c r="E693" s="110">
        <v>2.5</v>
      </c>
      <c r="F693" s="110">
        <v>9.0299999999999994</v>
      </c>
      <c r="G693" s="10">
        <v>9.43</v>
      </c>
      <c r="H693" s="11" t="s">
        <v>1874</v>
      </c>
      <c r="I693" s="49">
        <f>SUMIFS(BOM!Q:Q,BOM!A:A,'All Products'!A693,BOM!I:I,'All Products'!I$3)</f>
        <v>2.291666666666667</v>
      </c>
      <c r="J693" s="49">
        <f>SUMIFS(BOM!Q:Q,BOM!A:A,'All Products'!A693,BOM!I:I,'All Products'!J$3)+0.03</f>
        <v>0.17</v>
      </c>
      <c r="K693" s="29">
        <f t="shared" si="148"/>
        <v>0.2610463061152351</v>
      </c>
      <c r="L693" s="49">
        <f>SUMIF(BOM!A:A,'All Products'!A693,BOM!S:S)</f>
        <v>1.6924999999999999</v>
      </c>
      <c r="M693" s="49">
        <f>SUMIF(BOM!A:A,'All Products'!A693,BOM!V:V)</f>
        <v>0.29618749999999999</v>
      </c>
      <c r="N693" s="29">
        <f t="shared" si="149"/>
        <v>0.21088944856839872</v>
      </c>
      <c r="O693" s="55">
        <v>0</v>
      </c>
      <c r="P693" s="49">
        <f t="shared" si="150"/>
        <v>4.4503541666666671</v>
      </c>
      <c r="Q693" s="11">
        <f t="shared" si="152"/>
        <v>4.9796458333333327</v>
      </c>
      <c r="R693" s="29">
        <f t="shared" si="151"/>
        <v>0.5280642453163662</v>
      </c>
      <c r="AA693">
        <f t="shared" si="153"/>
        <v>0</v>
      </c>
      <c r="AB693">
        <f t="shared" si="154"/>
        <v>0</v>
      </c>
    </row>
    <row r="694" spans="1:28" x14ac:dyDescent="0.25">
      <c r="A694" s="1" t="s">
        <v>4623</v>
      </c>
      <c r="B694" s="2" t="s">
        <v>4377</v>
      </c>
      <c r="C694" s="1" t="s">
        <v>4624</v>
      </c>
      <c r="D694" s="2" t="s">
        <v>554</v>
      </c>
      <c r="E694" s="110">
        <v>2.5</v>
      </c>
      <c r="F694" s="110">
        <v>7.23</v>
      </c>
      <c r="G694" s="10">
        <v>6.82</v>
      </c>
      <c r="H694" s="11" t="s">
        <v>1874</v>
      </c>
      <c r="I694" s="49">
        <f>SUMIFS(BOM!Q:Q,BOM!A:A,'All Products'!A694,BOM!I:I,'All Products'!I$3)</f>
        <v>1.566265060240964</v>
      </c>
      <c r="J694" s="49">
        <f>SUMIFS(BOM!Q:Q,BOM!A:A,'All Products'!A694,BOM!I:I,'All Products'!J$3)+0.03</f>
        <v>0.17</v>
      </c>
      <c r="K694" s="29">
        <f t="shared" si="148"/>
        <v>0.25458431968342576</v>
      </c>
      <c r="L694" s="49">
        <f>SUMIF(BOM!A:A,'All Products'!A694,BOM!S:S)</f>
        <v>1.6078749999999999</v>
      </c>
      <c r="M694" s="49">
        <f>SUMIF(BOM!A:A,'All Products'!A694,BOM!V:V)</f>
        <v>0.29618749999999999</v>
      </c>
      <c r="N694" s="29">
        <f t="shared" si="149"/>
        <v>0.27918804985337242</v>
      </c>
      <c r="O694" s="55">
        <v>0</v>
      </c>
      <c r="P694" s="49">
        <f t="shared" si="150"/>
        <v>3.6403275602409639</v>
      </c>
      <c r="Q694" s="11">
        <f t="shared" si="152"/>
        <v>3.1796724397590364</v>
      </c>
      <c r="R694" s="29">
        <f t="shared" si="151"/>
        <v>0.46622763046320181</v>
      </c>
      <c r="AA694">
        <f t="shared" si="153"/>
        <v>0</v>
      </c>
      <c r="AB694">
        <f t="shared" si="154"/>
        <v>0</v>
      </c>
    </row>
    <row r="695" spans="1:28" x14ac:dyDescent="0.25">
      <c r="A695" s="2" t="s">
        <v>4576</v>
      </c>
      <c r="B695" s="2" t="s">
        <v>4377</v>
      </c>
      <c r="C695" s="2" t="s">
        <v>4614</v>
      </c>
      <c r="D695" s="2" t="s">
        <v>554</v>
      </c>
      <c r="E695" s="110">
        <v>2.5</v>
      </c>
      <c r="F695" s="110">
        <v>13.88</v>
      </c>
      <c r="G695" s="10">
        <v>12.59</v>
      </c>
      <c r="H695" s="11" t="s">
        <v>1874</v>
      </c>
      <c r="I695" s="49">
        <f>SUMIFS(BOM!Q:Q,BOM!A:A,'All Products'!A695,BOM!I:I,'All Products'!I$3)</f>
        <v>5.1534722222222218</v>
      </c>
      <c r="J695" s="49">
        <f>SUMIFS(BOM!Q:Q,BOM!A:A,'All Products'!A695,BOM!I:I,'All Products'!J$3)+0.03</f>
        <v>0.17</v>
      </c>
      <c r="K695" s="29">
        <f t="shared" si="148"/>
        <v>0.42283337746006527</v>
      </c>
      <c r="L695" s="49">
        <f>SUMIF(BOM!A:A,'All Products'!A695,BOM!S:S)</f>
        <v>1.1001249999999998</v>
      </c>
      <c r="M695" s="49">
        <f>SUMIF(BOM!A:A,'All Products'!A695,BOM!V:V)</f>
        <v>0.29618749999999999</v>
      </c>
      <c r="N695" s="29">
        <f t="shared" si="149"/>
        <v>0.11090647339158061</v>
      </c>
      <c r="O695" s="55">
        <v>0</v>
      </c>
      <c r="P695" s="49">
        <f t="shared" si="150"/>
        <v>6.7197847222222222</v>
      </c>
      <c r="Q695" s="11">
        <f t="shared" si="152"/>
        <v>5.8702152777777776</v>
      </c>
      <c r="R695" s="29">
        <f t="shared" si="151"/>
        <v>0.46626014914835406</v>
      </c>
      <c r="AA695">
        <f t="shared" si="153"/>
        <v>0</v>
      </c>
      <c r="AB695">
        <f t="shared" si="154"/>
        <v>0</v>
      </c>
    </row>
    <row r="696" spans="1:28" x14ac:dyDescent="0.25">
      <c r="A696" s="1" t="s">
        <v>4629</v>
      </c>
      <c r="B696" s="1" t="str">
        <f>B695</f>
        <v>NK</v>
      </c>
      <c r="C696" s="1" t="s">
        <v>4630</v>
      </c>
      <c r="D696" s="1" t="s">
        <v>554</v>
      </c>
      <c r="E696" s="110">
        <f>E695</f>
        <v>2.5</v>
      </c>
      <c r="F696" s="110">
        <v>6.53</v>
      </c>
      <c r="G696" s="10">
        <v>6.06</v>
      </c>
      <c r="H696" s="11" t="s">
        <v>1874</v>
      </c>
      <c r="I696" s="49">
        <f>SUMIFS(BOM!Q:Q,BOM!A:A,'All Products'!A696,BOM!I:I,'All Products'!I$3)</f>
        <v>0.92465753424657537</v>
      </c>
      <c r="J696" s="49">
        <f>SUMIFS(BOM!Q:Q,BOM!A:A,'All Products'!A696,BOM!I:I,'All Products'!J$3)+0.03</f>
        <v>0.17</v>
      </c>
      <c r="K696" s="29">
        <f t="shared" si="148"/>
        <v>0.18063655680636559</v>
      </c>
      <c r="L696" s="49">
        <f>SUMIF(BOM!A:A,'All Products'!A696,BOM!S:S)</f>
        <v>1.9379124999999997</v>
      </c>
      <c r="M696" s="49">
        <f>SUMIF(BOM!A:A,'All Products'!A696,BOM!V:V)</f>
        <v>0.29618749999999999</v>
      </c>
      <c r="N696" s="29">
        <f t="shared" si="149"/>
        <v>0.36866336633663366</v>
      </c>
      <c r="O696" s="55">
        <v>0</v>
      </c>
      <c r="P696" s="49">
        <f t="shared" si="150"/>
        <v>3.3287575342465754</v>
      </c>
      <c r="Q696" s="11">
        <f t="shared" si="152"/>
        <v>2.7312424657534242</v>
      </c>
      <c r="R696" s="29">
        <f t="shared" si="151"/>
        <v>0.45070007685700075</v>
      </c>
      <c r="AA696">
        <f t="shared" si="153"/>
        <v>0</v>
      </c>
      <c r="AB696">
        <f t="shared" si="154"/>
        <v>0</v>
      </c>
    </row>
    <row r="697" spans="1:28" x14ac:dyDescent="0.25">
      <c r="A697" s="1" t="s">
        <v>4635</v>
      </c>
      <c r="B697" s="2" t="s">
        <v>656</v>
      </c>
      <c r="C697" s="1" t="s">
        <v>4632</v>
      </c>
      <c r="D697" s="1" t="s">
        <v>554</v>
      </c>
      <c r="E697" s="110">
        <v>1</v>
      </c>
      <c r="F697" s="110">
        <v>19.149999999999999</v>
      </c>
      <c r="G697" s="10">
        <v>19.32</v>
      </c>
      <c r="H697" s="11" t="s">
        <v>1874</v>
      </c>
      <c r="I697" s="49">
        <f>SUMIFS(BOM!Q:Q,BOM!A:A,'All Products'!A697,BOM!I:I,'All Products'!I$3)</f>
        <v>2.3787878787878789</v>
      </c>
      <c r="J697" s="49">
        <f>SUMIFS(BOM!Q:Q,BOM!A:A,'All Products'!A697,BOM!I:I,'All Products'!J$3)+0.03</f>
        <v>0.17</v>
      </c>
      <c r="K697" s="29">
        <f t="shared" si="148"/>
        <v>0.13192483844657757</v>
      </c>
      <c r="L697" s="49">
        <f>SUMIF(BOM!A:A,'All Products'!A697,BOM!S:S)</f>
        <v>2.2036349999999998</v>
      </c>
      <c r="M697" s="49">
        <f>SUMIF(BOM!A:A,'All Products'!A697,BOM!V:V)</f>
        <v>0.21833249999999998</v>
      </c>
      <c r="N697" s="29">
        <f t="shared" si="149"/>
        <v>0.1253606366459627</v>
      </c>
      <c r="O697" s="55">
        <v>0</v>
      </c>
      <c r="P697" s="49">
        <f t="shared" si="150"/>
        <v>4.970755378787878</v>
      </c>
      <c r="Q697" s="11">
        <f t="shared" si="152"/>
        <v>14.349244621212122</v>
      </c>
      <c r="R697" s="29">
        <f t="shared" si="151"/>
        <v>0.74271452490745971</v>
      </c>
    </row>
    <row r="698" spans="1:28" x14ac:dyDescent="0.25">
      <c r="A698" s="1" t="s">
        <v>4634</v>
      </c>
      <c r="B698" s="2" t="s">
        <v>656</v>
      </c>
      <c r="C698" s="1" t="s">
        <v>4633</v>
      </c>
      <c r="D698" s="1" t="s">
        <v>554</v>
      </c>
      <c r="E698" s="110">
        <v>2.5</v>
      </c>
      <c r="F698" s="110">
        <v>48.75</v>
      </c>
      <c r="G698" s="10">
        <v>49.19</v>
      </c>
      <c r="H698" s="11" t="s">
        <v>1874</v>
      </c>
      <c r="I698" s="49">
        <f>SUMIFS(BOM!Q:Q,BOM!A:A,'All Products'!A698,BOM!I:I,'All Products'!I$3)</f>
        <v>5.9469696969696972</v>
      </c>
      <c r="J698" s="49">
        <f>SUMIFS(BOM!Q:Q,BOM!A:A,'All Products'!A698,BOM!I:I,'All Products'!J$3)+0.03</f>
        <v>0.17</v>
      </c>
      <c r="K698" s="29">
        <f t="shared" si="148"/>
        <v>0.12435392756596254</v>
      </c>
      <c r="L698" s="49">
        <f>SUMIF(BOM!A:A,'All Products'!A698,BOM!S:S)</f>
        <v>5.5090874999999988</v>
      </c>
      <c r="M698" s="49">
        <f>SUMIF(BOM!A:A,'All Products'!A698,BOM!V:V)</f>
        <v>0.29618749999999999</v>
      </c>
      <c r="N698" s="29">
        <f t="shared" si="149"/>
        <v>0.11801738158162227</v>
      </c>
      <c r="O698" s="55">
        <v>0</v>
      </c>
      <c r="P698" s="49">
        <f t="shared" si="150"/>
        <v>11.922244696969695</v>
      </c>
      <c r="Q698" s="11">
        <f t="shared" si="152"/>
        <v>37.267755303030299</v>
      </c>
      <c r="R698" s="29">
        <f t="shared" si="151"/>
        <v>0.75762869085241513</v>
      </c>
    </row>
    <row r="699" spans="1:28" x14ac:dyDescent="0.25">
      <c r="A699" s="1" t="s">
        <v>4637</v>
      </c>
      <c r="B699" s="2" t="s">
        <v>656</v>
      </c>
      <c r="C699" s="1" t="s">
        <v>4643</v>
      </c>
      <c r="D699" s="1" t="s">
        <v>554</v>
      </c>
      <c r="E699" s="110">
        <v>1</v>
      </c>
      <c r="F699" s="110">
        <v>10.63</v>
      </c>
      <c r="G699" s="10">
        <v>10.74</v>
      </c>
      <c r="H699" s="11" t="s">
        <v>1874</v>
      </c>
      <c r="I699" s="49">
        <f>SUMIFS(BOM!Q:Q,BOM!A:A,'All Products'!A699,BOM!I:I,'All Products'!I$3)</f>
        <v>4.0384615384615383</v>
      </c>
      <c r="J699" s="49">
        <f>SUMIFS(BOM!Q:Q,BOM!A:A,'All Products'!A699,BOM!I:I,'All Products'!J$3)+0.03</f>
        <v>0.17</v>
      </c>
      <c r="K699" s="29">
        <f t="shared" si="148"/>
        <v>0.39184930525712647</v>
      </c>
      <c r="L699" s="49">
        <f>SUMIF(BOM!A:A,'All Products'!A699,BOM!S:S)</f>
        <v>1.1910185185185183</v>
      </c>
      <c r="M699" s="49">
        <f>SUMIF(BOM!A:A,'All Products'!A699,BOM!V:V)</f>
        <v>0.21833249999999998</v>
      </c>
      <c r="N699" s="29">
        <f t="shared" si="149"/>
        <v>0.13122448961997377</v>
      </c>
      <c r="O699" s="55">
        <v>0</v>
      </c>
      <c r="P699" s="49">
        <f t="shared" si="150"/>
        <v>5.6178125569800565</v>
      </c>
      <c r="Q699" s="11">
        <f t="shared" si="152"/>
        <v>5.1221874430199437</v>
      </c>
      <c r="R699" s="29">
        <f t="shared" si="151"/>
        <v>0.47692620512289979</v>
      </c>
    </row>
    <row r="700" spans="1:28" x14ac:dyDescent="0.25">
      <c r="A700" s="1" t="s">
        <v>4638</v>
      </c>
      <c r="B700" s="2" t="s">
        <v>656</v>
      </c>
      <c r="C700" s="1" t="s">
        <v>4644</v>
      </c>
      <c r="D700" s="1" t="s">
        <v>554</v>
      </c>
      <c r="E700" s="110">
        <v>2.5</v>
      </c>
      <c r="F700" s="110"/>
      <c r="G700" s="10">
        <v>18.29</v>
      </c>
      <c r="H700" s="11" t="s">
        <v>1873</v>
      </c>
      <c r="I700" s="49">
        <f>SUMIFS(BOM!Q:Q,BOM!A:A,'All Products'!A700,BOM!I:I,'All Products'!I$3)</f>
        <v>10.096153846153847</v>
      </c>
      <c r="J700" s="49">
        <f>SUMIFS(BOM!Q:Q,BOM!A:A,'All Products'!A700,BOM!I:I,'All Products'!J$3)+0.03</f>
        <v>0.17</v>
      </c>
      <c r="K700" s="29">
        <f t="shared" si="148"/>
        <v>0.56129873407074071</v>
      </c>
      <c r="L700" s="49">
        <f>SUMIF(BOM!A:A,'All Products'!A700,BOM!S:S)</f>
        <v>2.9775462962962957</v>
      </c>
      <c r="M700" s="49">
        <f>SUMIF(BOM!A:A,'All Products'!A700,BOM!V:V)</f>
        <v>0.29618749999999999</v>
      </c>
      <c r="N700" s="29">
        <f t="shared" si="149"/>
        <v>0.17899036611789479</v>
      </c>
      <c r="O700" s="55">
        <v>0</v>
      </c>
      <c r="P700" s="49">
        <f t="shared" si="150"/>
        <v>13.539887642450143</v>
      </c>
      <c r="Q700" s="11">
        <f t="shared" si="152"/>
        <v>4.7501123575498561</v>
      </c>
      <c r="R700" s="29">
        <f t="shared" si="151"/>
        <v>0.25971089981136447</v>
      </c>
    </row>
    <row r="701" spans="1:28" x14ac:dyDescent="0.25">
      <c r="A701" s="2" t="s">
        <v>4639</v>
      </c>
      <c r="B701" s="2" t="s">
        <v>656</v>
      </c>
      <c r="C701" s="2" t="s">
        <v>723</v>
      </c>
      <c r="D701" s="2" t="s">
        <v>554</v>
      </c>
      <c r="E701" s="110">
        <v>1</v>
      </c>
      <c r="F701" s="110">
        <v>4.7699999999999996</v>
      </c>
      <c r="G701" s="10">
        <v>5.0199999999999996</v>
      </c>
      <c r="H701" s="11" t="s">
        <v>1874</v>
      </c>
      <c r="I701" s="49">
        <f>SUMIFS(BOM!Q:Q,BOM!A:A,'All Products'!A701,BOM!I:I,'All Products'!I$3)</f>
        <v>0.71200678465546996</v>
      </c>
      <c r="J701" s="49">
        <f>SUMIFS(BOM!Q:Q,BOM!A:A,'All Products'!A701,BOM!I:I,'All Products'!J$3)+0.03</f>
        <v>0.17</v>
      </c>
      <c r="K701" s="29">
        <f t="shared" si="148"/>
        <v>0.17569856268037254</v>
      </c>
      <c r="L701" s="49">
        <f>SUMIF(BOM!A:A,'All Products'!A701,BOM!S:S)</f>
        <v>0.62008987373422331</v>
      </c>
      <c r="M701" s="49">
        <f>SUMIF(BOM!A:A,'All Products'!A701,BOM!V:V)</f>
        <v>0.21833249999999998</v>
      </c>
      <c r="N701" s="29">
        <f t="shared" si="149"/>
        <v>0.16701640911040308</v>
      </c>
      <c r="O701" s="55">
        <v>0</v>
      </c>
      <c r="P701" s="49">
        <f t="shared" si="150"/>
        <v>1.7204291583896933</v>
      </c>
      <c r="Q701" s="11">
        <f t="shared" si="152"/>
        <v>3.299570841610306</v>
      </c>
      <c r="R701" s="29">
        <f t="shared" si="151"/>
        <v>0.65728502820922441</v>
      </c>
    </row>
    <row r="702" spans="1:28" x14ac:dyDescent="0.25">
      <c r="A702" s="2" t="s">
        <v>4640</v>
      </c>
      <c r="B702" s="2" t="s">
        <v>656</v>
      </c>
      <c r="C702" s="2" t="s">
        <v>724</v>
      </c>
      <c r="D702" s="2" t="s">
        <v>554</v>
      </c>
      <c r="E702" s="110">
        <v>2.5</v>
      </c>
      <c r="F702" s="110">
        <v>11.92</v>
      </c>
      <c r="G702" s="10">
        <v>12.53</v>
      </c>
      <c r="H702" s="11" t="s">
        <v>1874</v>
      </c>
      <c r="I702" s="49">
        <f>SUMIFS(BOM!Q:Q,BOM!A:A,'All Products'!A702,BOM!I:I,'All Products'!I$3)</f>
        <v>1.780016961638675</v>
      </c>
      <c r="J702" s="49">
        <f>SUMIFS(BOM!Q:Q,BOM!A:A,'All Products'!A702,BOM!I:I,'All Products'!J$3)+0.03</f>
        <v>0.17</v>
      </c>
      <c r="K702" s="29">
        <f t="shared" si="148"/>
        <v>0.1556278500908759</v>
      </c>
      <c r="L702" s="49">
        <f>SUMIF(BOM!A:A,'All Products'!A702,BOM!S:S)</f>
        <v>1.5502246843355585</v>
      </c>
      <c r="M702" s="49">
        <f>SUMIF(BOM!A:A,'All Products'!A702,BOM!V:V)</f>
        <v>0.29618749999999999</v>
      </c>
      <c r="N702" s="29">
        <f t="shared" si="149"/>
        <v>0.14735931239709166</v>
      </c>
      <c r="O702" s="55">
        <v>0</v>
      </c>
      <c r="P702" s="49">
        <f t="shared" si="150"/>
        <v>3.7964291459742334</v>
      </c>
      <c r="Q702" s="11">
        <f t="shared" si="152"/>
        <v>8.7335708540257659</v>
      </c>
      <c r="R702" s="29">
        <f t="shared" si="151"/>
        <v>0.69701283751203247</v>
      </c>
    </row>
    <row r="703" spans="1:28" x14ac:dyDescent="0.25">
      <c r="A703" s="2" t="s">
        <v>4641</v>
      </c>
      <c r="B703" s="2" t="s">
        <v>656</v>
      </c>
      <c r="C703" s="2" t="s">
        <v>4645</v>
      </c>
      <c r="D703" s="2" t="s">
        <v>554</v>
      </c>
      <c r="E703" s="110">
        <v>1</v>
      </c>
      <c r="F703" s="110">
        <v>4.09</v>
      </c>
      <c r="G703" s="10">
        <v>3.95</v>
      </c>
      <c r="H703" s="11" t="s">
        <v>1874</v>
      </c>
      <c r="I703" s="49">
        <f>SUMIFS(BOM!Q:Q,BOM!A:A,'All Products'!A703,BOM!I:I,'All Products'!I$3)</f>
        <v>1.1481622911694513</v>
      </c>
      <c r="J703" s="49">
        <f>SUMIFS(BOM!Q:Q,BOM!A:A,'All Products'!A703,BOM!I:I,'All Products'!J$3)+0.03</f>
        <v>0.17</v>
      </c>
      <c r="K703" s="29">
        <f t="shared" si="148"/>
        <v>0.33371197244796236</v>
      </c>
      <c r="L703" s="49">
        <f>SUMIF(BOM!A:A,'All Products'!A703,BOM!S:S)</f>
        <v>1.0167656722354812</v>
      </c>
      <c r="M703" s="49">
        <f>SUMIF(BOM!A:A,'All Products'!A703,BOM!V:V)</f>
        <v>0.21833249999999998</v>
      </c>
      <c r="N703" s="29">
        <f t="shared" si="149"/>
        <v>0.31268308157860281</v>
      </c>
      <c r="O703" s="55">
        <v>0</v>
      </c>
      <c r="P703" s="49">
        <f t="shared" si="150"/>
        <v>2.5532604634049325</v>
      </c>
      <c r="Q703" s="11">
        <f t="shared" si="152"/>
        <v>1.3967395365950677</v>
      </c>
      <c r="R703" s="29">
        <f t="shared" si="151"/>
        <v>0.35360494597343484</v>
      </c>
    </row>
    <row r="704" spans="1:28" x14ac:dyDescent="0.25">
      <c r="A704" s="2" t="s">
        <v>4642</v>
      </c>
      <c r="B704" s="2" t="s">
        <v>656</v>
      </c>
      <c r="C704" s="2" t="s">
        <v>4646</v>
      </c>
      <c r="D704" s="2" t="s">
        <v>554</v>
      </c>
      <c r="E704" s="110">
        <v>2.5</v>
      </c>
      <c r="F704" s="110">
        <v>6.59</v>
      </c>
      <c r="G704" s="10">
        <v>6.16</v>
      </c>
      <c r="H704" s="11" t="s">
        <v>1874</v>
      </c>
      <c r="I704" s="49">
        <f>SUMIFS(BOM!Q:Q,BOM!A:A,'All Products'!A704,BOM!I:I,'All Products'!I$3)</f>
        <v>2.8704057279236279</v>
      </c>
      <c r="J704" s="49">
        <f>SUMIFS(BOM!Q:Q,BOM!A:A,'All Products'!A704,BOM!I:I,'All Products'!J$3)+0.03</f>
        <v>0.17</v>
      </c>
      <c r="K704" s="29">
        <f t="shared" si="148"/>
        <v>0.49357235842916036</v>
      </c>
      <c r="L704" s="49">
        <f>SUMIF(BOM!A:A,'All Products'!A704,BOM!S:S)</f>
        <v>2.5419141805887033</v>
      </c>
      <c r="M704" s="49">
        <f>SUMIF(BOM!A:A,'All Products'!A704,BOM!V:V)</f>
        <v>0.29618749999999999</v>
      </c>
      <c r="N704" s="29">
        <f t="shared" si="149"/>
        <v>0.46073079230336089</v>
      </c>
      <c r="O704" s="55">
        <v>0</v>
      </c>
      <c r="P704" s="49">
        <f t="shared" si="150"/>
        <v>5.8785074085123306</v>
      </c>
      <c r="Q704" s="11">
        <f t="shared" si="152"/>
        <v>0.28149259148766959</v>
      </c>
      <c r="R704" s="29">
        <f t="shared" si="151"/>
        <v>4.5696849267478828E-2</v>
      </c>
    </row>
    <row r="705" spans="1:28" x14ac:dyDescent="0.25">
      <c r="A705" s="1" t="s">
        <v>4660</v>
      </c>
      <c r="B705" s="2" t="s">
        <v>656</v>
      </c>
      <c r="C705" s="1" t="s">
        <v>4648</v>
      </c>
      <c r="D705" s="1" t="s">
        <v>554</v>
      </c>
      <c r="E705" s="110">
        <v>1</v>
      </c>
      <c r="F705" s="110"/>
      <c r="G705" s="145" t="e">
        <v>#N/A</v>
      </c>
      <c r="H705" s="11" t="s">
        <v>1874</v>
      </c>
      <c r="I705" s="49">
        <f>SUMIFS(BOM!Q:Q,BOM!A:A,'All Products'!A705,BOM!I:I,'All Products'!I$3)</f>
        <v>17.991774137931031</v>
      </c>
      <c r="J705" s="49">
        <f>SUMIFS(BOM!Q:Q,BOM!A:A,'All Products'!A705,BOM!I:I,'All Products'!J$3)+0.14</f>
        <v>0.98000000000000009</v>
      </c>
      <c r="K705" s="29" t="e">
        <f t="shared" si="148"/>
        <v>#N/A</v>
      </c>
      <c r="L705" s="49">
        <f>SUMIF(BOM!A:A,'All Products'!A705,BOM!S:S)</f>
        <v>9.294345180250783</v>
      </c>
      <c r="M705" s="49">
        <f>SUMIF(BOM!A:A,'All Products'!A705,BOM!V:V)</f>
        <v>0.43666499999999997</v>
      </c>
      <c r="N705" s="29" t="e">
        <f t="shared" si="149"/>
        <v>#N/A</v>
      </c>
      <c r="O705" s="55">
        <v>0</v>
      </c>
      <c r="P705" s="49">
        <f t="shared" si="150"/>
        <v>28.702784318181816</v>
      </c>
      <c r="Q705" s="11">
        <v>0.81662746128401587</v>
      </c>
      <c r="R705" s="29">
        <f t="shared" si="151"/>
        <v>0</v>
      </c>
    </row>
    <row r="706" spans="1:28" x14ac:dyDescent="0.25">
      <c r="A706" s="1" t="s">
        <v>4660</v>
      </c>
      <c r="B706" s="2" t="s">
        <v>656</v>
      </c>
      <c r="C706" s="1" t="s">
        <v>4649</v>
      </c>
      <c r="D706" s="1" t="s">
        <v>554</v>
      </c>
      <c r="E706" s="110">
        <v>2.5</v>
      </c>
      <c r="F706" s="110"/>
      <c r="G706" s="145" t="e">
        <v>#N/A</v>
      </c>
      <c r="H706" s="11" t="s">
        <v>1874</v>
      </c>
      <c r="I706" s="49">
        <f>SUMIFS(BOM!Q:Q,BOM!A:A,'All Products'!A706,BOM!I:I,'All Products'!I$3)</f>
        <v>17.991774137931031</v>
      </c>
      <c r="J706" s="49">
        <f>SUMIFS(BOM!Q:Q,BOM!A:A,'All Products'!A706,BOM!I:I,'All Products'!J$3)+0.14</f>
        <v>0.98000000000000009</v>
      </c>
      <c r="K706" s="29" t="e">
        <f t="shared" si="148"/>
        <v>#N/A</v>
      </c>
      <c r="L706" s="49">
        <f>SUMIF(BOM!A:A,'All Products'!A706,BOM!S:S)</f>
        <v>9.294345180250783</v>
      </c>
      <c r="M706" s="49">
        <f>SUMIF(BOM!A:A,'All Products'!A706,BOM!V:V)</f>
        <v>0.43666499999999997</v>
      </c>
      <c r="N706" s="29" t="e">
        <f t="shared" si="149"/>
        <v>#N/A</v>
      </c>
      <c r="O706" s="55">
        <v>0</v>
      </c>
      <c r="P706" s="49">
        <f t="shared" si="150"/>
        <v>28.702784318181816</v>
      </c>
      <c r="Q706" s="11">
        <v>0.81662746128401587</v>
      </c>
      <c r="R706" s="29">
        <f t="shared" si="151"/>
        <v>0</v>
      </c>
    </row>
    <row r="707" spans="1:28" x14ac:dyDescent="0.25">
      <c r="A707" s="1" t="s">
        <v>4660</v>
      </c>
      <c r="B707" s="2" t="s">
        <v>656</v>
      </c>
      <c r="C707" s="1" t="s">
        <v>4650</v>
      </c>
      <c r="D707" s="1" t="s">
        <v>554</v>
      </c>
      <c r="E707" s="110">
        <v>1</v>
      </c>
      <c r="F707" s="110"/>
      <c r="G707" s="145" t="e">
        <v>#N/A</v>
      </c>
      <c r="H707" s="11" t="s">
        <v>1874</v>
      </c>
      <c r="I707" s="49">
        <f>SUMIFS(BOM!Q:Q,BOM!A:A,'All Products'!A707,BOM!I:I,'All Products'!I$3)</f>
        <v>17.991774137931031</v>
      </c>
      <c r="J707" s="49">
        <f>SUMIFS(BOM!Q:Q,BOM!A:A,'All Products'!A707,BOM!I:I,'All Products'!J$3)+0.14</f>
        <v>0.98000000000000009</v>
      </c>
      <c r="K707" s="29" t="e">
        <f t="shared" si="148"/>
        <v>#N/A</v>
      </c>
      <c r="L707" s="49">
        <f>SUMIF(BOM!A:A,'All Products'!A707,BOM!S:S)</f>
        <v>9.294345180250783</v>
      </c>
      <c r="M707" s="49">
        <f>SUMIF(BOM!A:A,'All Products'!A707,BOM!V:V)</f>
        <v>0.43666499999999997</v>
      </c>
      <c r="N707" s="29" t="e">
        <f t="shared" si="149"/>
        <v>#N/A</v>
      </c>
      <c r="O707" s="55">
        <v>0</v>
      </c>
      <c r="P707" s="49">
        <f t="shared" si="150"/>
        <v>28.702784318181816</v>
      </c>
      <c r="Q707" s="11">
        <v>0.81662746128401587</v>
      </c>
      <c r="R707" s="29">
        <f t="shared" si="151"/>
        <v>0</v>
      </c>
    </row>
    <row r="708" spans="1:28" x14ac:dyDescent="0.25">
      <c r="A708" s="1" t="s">
        <v>4660</v>
      </c>
      <c r="B708" s="2" t="s">
        <v>656</v>
      </c>
      <c r="C708" s="1" t="s">
        <v>4651</v>
      </c>
      <c r="D708" s="1" t="s">
        <v>554</v>
      </c>
      <c r="E708" s="110">
        <v>2.5</v>
      </c>
      <c r="F708" s="110"/>
      <c r="G708" s="145" t="e">
        <v>#N/A</v>
      </c>
      <c r="H708" s="11" t="s">
        <v>1874</v>
      </c>
      <c r="I708" s="49">
        <f>SUMIFS(BOM!Q:Q,BOM!A:A,'All Products'!A708,BOM!I:I,'All Products'!I$3)</f>
        <v>17.991774137931031</v>
      </c>
      <c r="J708" s="49">
        <f>SUMIFS(BOM!Q:Q,BOM!A:A,'All Products'!A708,BOM!I:I,'All Products'!J$3)+0.14</f>
        <v>0.98000000000000009</v>
      </c>
      <c r="K708" s="29" t="e">
        <f t="shared" ref="K708:K736" si="155">(I708+J708)/G708</f>
        <v>#N/A</v>
      </c>
      <c r="L708" s="49">
        <f>SUMIF(BOM!A:A,'All Products'!A708,BOM!S:S)</f>
        <v>9.294345180250783</v>
      </c>
      <c r="M708" s="49">
        <f>SUMIF(BOM!A:A,'All Products'!A708,BOM!V:V)</f>
        <v>0.43666499999999997</v>
      </c>
      <c r="N708" s="29" t="e">
        <f t="shared" ref="N708:N736" si="156">(L708+M708)/G708</f>
        <v>#N/A</v>
      </c>
      <c r="O708" s="55">
        <v>0</v>
      </c>
      <c r="P708" s="49">
        <f t="shared" ref="P708:P717" si="157">I708+J708+M708+L708+O708</f>
        <v>28.702784318181816</v>
      </c>
      <c r="Q708" s="11">
        <v>0.81662746128401587</v>
      </c>
      <c r="R708" s="29">
        <f t="shared" ref="R708:R736" si="158">IFERROR((G708-P708)/G708,0)</f>
        <v>0</v>
      </c>
    </row>
    <row r="709" spans="1:28" x14ac:dyDescent="0.25">
      <c r="A709" s="1" t="s">
        <v>1029</v>
      </c>
      <c r="B709" s="2" t="s">
        <v>656</v>
      </c>
      <c r="C709" s="1" t="s">
        <v>4652</v>
      </c>
      <c r="D709" s="1" t="s">
        <v>554</v>
      </c>
      <c r="E709" s="110">
        <v>1</v>
      </c>
      <c r="F709" s="110">
        <v>7.25</v>
      </c>
      <c r="G709" s="10">
        <v>10.51</v>
      </c>
      <c r="H709" s="11" t="s">
        <v>1874</v>
      </c>
      <c r="I709" s="49">
        <f>SUMIFS(BOM!Q:Q,BOM!A:A,'All Products'!A709,BOM!I:I,'All Products'!I$3)</f>
        <v>3.2120000000000006</v>
      </c>
      <c r="J709" s="49">
        <f>SUMIFS(BOM!Q:Q,BOM!A:A,'All Products'!A709,BOM!I:I,'All Products'!J$3)+0.03</f>
        <v>0.17</v>
      </c>
      <c r="K709" s="29">
        <f t="shared" si="155"/>
        <v>0.32178877259752625</v>
      </c>
      <c r="L709" s="49">
        <f>SUMIF(BOM!A:A,'All Products'!A709,BOM!S:S)</f>
        <v>2.7079999999999997</v>
      </c>
      <c r="M709" s="49">
        <f>SUMIF(BOM!A:A,'All Products'!A709,BOM!V:V)</f>
        <v>0.21720416666666661</v>
      </c>
      <c r="N709" s="29">
        <f t="shared" si="156"/>
        <v>0.27832580082461145</v>
      </c>
      <c r="O709" s="55">
        <v>0</v>
      </c>
      <c r="P709" s="49">
        <f t="shared" si="157"/>
        <v>6.3072041666666667</v>
      </c>
      <c r="Q709" s="11">
        <f>G709-P709</f>
        <v>4.2027958333333331</v>
      </c>
      <c r="R709" s="29">
        <f t="shared" si="158"/>
        <v>0.39988542657786236</v>
      </c>
    </row>
    <row r="710" spans="1:28" x14ac:dyDescent="0.25">
      <c r="A710" s="1" t="s">
        <v>1031</v>
      </c>
      <c r="B710" s="2" t="s">
        <v>656</v>
      </c>
      <c r="C710" s="1" t="s">
        <v>4653</v>
      </c>
      <c r="D710" s="1" t="s">
        <v>554</v>
      </c>
      <c r="E710" s="110">
        <v>2.5</v>
      </c>
      <c r="F710" s="110">
        <v>18.12</v>
      </c>
      <c r="G710" s="10">
        <v>26.25</v>
      </c>
      <c r="H710" s="11" t="s">
        <v>1874</v>
      </c>
      <c r="I710" s="49">
        <f>SUMIFS(BOM!Q:Q,BOM!A:A,'All Products'!A710,BOM!I:I,'All Products'!I$3)</f>
        <v>8.0300000000000011</v>
      </c>
      <c r="J710" s="49">
        <f>SUMIFS(BOM!Q:Q,BOM!A:A,'All Products'!A710,BOM!I:I,'All Products'!J$3)+0.03</f>
        <v>0.17</v>
      </c>
      <c r="K710" s="29">
        <f t="shared" si="155"/>
        <v>0.31238095238095243</v>
      </c>
      <c r="L710" s="49">
        <f>SUMIF(BOM!A:A,'All Products'!A710,BOM!S:S)</f>
        <v>6.77</v>
      </c>
      <c r="M710" s="49">
        <f>SUMIF(BOM!A:A,'All Products'!A710,BOM!V:V)</f>
        <v>0.29618749999999999</v>
      </c>
      <c r="N710" s="29">
        <f t="shared" si="156"/>
        <v>0.26918809523809523</v>
      </c>
      <c r="O710" s="55">
        <v>0</v>
      </c>
      <c r="P710" s="49">
        <f t="shared" si="157"/>
        <v>15.266187500000001</v>
      </c>
      <c r="Q710" s="11">
        <f>G710-P710</f>
        <v>10.983812499999999</v>
      </c>
      <c r="R710" s="29">
        <f t="shared" si="158"/>
        <v>0.41843095238095235</v>
      </c>
    </row>
    <row r="711" spans="1:28" x14ac:dyDescent="0.25">
      <c r="A711" s="1" t="s">
        <v>4660</v>
      </c>
      <c r="B711" s="2" t="s">
        <v>656</v>
      </c>
      <c r="C711" s="1" t="s">
        <v>4654</v>
      </c>
      <c r="D711" s="1" t="s">
        <v>554</v>
      </c>
      <c r="E711" s="110">
        <v>1</v>
      </c>
      <c r="F711" s="110"/>
      <c r="G711" s="145" t="e">
        <v>#N/A</v>
      </c>
      <c r="H711" s="11" t="s">
        <v>1874</v>
      </c>
      <c r="I711" s="49">
        <f>SUMIFS(BOM!Q:Q,BOM!A:A,'All Products'!A711,BOM!I:I,'All Products'!I$3)</f>
        <v>17.991774137931031</v>
      </c>
      <c r="J711" s="49">
        <f>SUMIFS(BOM!Q:Q,BOM!A:A,'All Products'!A711,BOM!I:I,'All Products'!J$3)+0.03</f>
        <v>0.87000000000000011</v>
      </c>
      <c r="K711" s="29" t="e">
        <f t="shared" si="155"/>
        <v>#N/A</v>
      </c>
      <c r="L711" s="49">
        <f>SUMIF(BOM!A:A,'All Products'!A711,BOM!S:S)</f>
        <v>9.294345180250783</v>
      </c>
      <c r="M711" s="49">
        <f>SUMIF(BOM!A:A,'All Products'!A711,BOM!V:V)</f>
        <v>0.43666499999999997</v>
      </c>
      <c r="N711" s="29" t="e">
        <f t="shared" si="156"/>
        <v>#N/A</v>
      </c>
      <c r="O711" s="55">
        <v>0</v>
      </c>
      <c r="P711" s="49">
        <f t="shared" si="157"/>
        <v>28.592784318181817</v>
      </c>
      <c r="Q711" s="11">
        <v>0.81662746128401587</v>
      </c>
      <c r="R711" s="29">
        <f t="shared" si="158"/>
        <v>0</v>
      </c>
    </row>
    <row r="712" spans="1:28" x14ac:dyDescent="0.25">
      <c r="A712" s="1" t="s">
        <v>4660</v>
      </c>
      <c r="B712" s="2" t="s">
        <v>656</v>
      </c>
      <c r="C712" s="1" t="s">
        <v>4655</v>
      </c>
      <c r="D712" s="1" t="s">
        <v>554</v>
      </c>
      <c r="E712" s="110">
        <v>2.5</v>
      </c>
      <c r="F712" s="110"/>
      <c r="G712" s="145" t="e">
        <v>#N/A</v>
      </c>
      <c r="H712" s="11" t="s">
        <v>1874</v>
      </c>
      <c r="I712" s="49">
        <f>SUMIFS(BOM!Q:Q,BOM!A:A,'All Products'!A712,BOM!I:I,'All Products'!I$3)</f>
        <v>17.991774137931031</v>
      </c>
      <c r="J712" s="49">
        <f>SUMIFS(BOM!Q:Q,BOM!A:A,'All Products'!A712,BOM!I:I,'All Products'!J$3)+0.14</f>
        <v>0.98000000000000009</v>
      </c>
      <c r="K712" s="29" t="e">
        <f t="shared" si="155"/>
        <v>#N/A</v>
      </c>
      <c r="L712" s="49">
        <f>SUMIF(BOM!A:A,'All Products'!A712,BOM!S:S)</f>
        <v>9.294345180250783</v>
      </c>
      <c r="M712" s="49">
        <f>SUMIF(BOM!A:A,'All Products'!A712,BOM!V:V)</f>
        <v>0.43666499999999997</v>
      </c>
      <c r="N712" s="29" t="e">
        <f t="shared" si="156"/>
        <v>#N/A</v>
      </c>
      <c r="O712" s="55">
        <v>0</v>
      </c>
      <c r="P712" s="49">
        <f t="shared" si="157"/>
        <v>28.702784318181816</v>
      </c>
      <c r="Q712" s="11">
        <v>0.81662746128401587</v>
      </c>
      <c r="R712" s="29">
        <f t="shared" si="158"/>
        <v>0</v>
      </c>
    </row>
    <row r="713" spans="1:28" x14ac:dyDescent="0.25">
      <c r="A713" s="1" t="s">
        <v>4694</v>
      </c>
      <c r="B713" s="2" t="s">
        <v>552</v>
      </c>
      <c r="C713" s="1" t="s">
        <v>4696</v>
      </c>
      <c r="D713" s="1" t="s">
        <v>554</v>
      </c>
      <c r="E713" s="110">
        <v>2.5</v>
      </c>
      <c r="F713" s="110"/>
      <c r="G713" s="10">
        <v>21.83</v>
      </c>
      <c r="H713" s="11" t="s">
        <v>1874</v>
      </c>
      <c r="I713" s="49">
        <f>SUMIFS(BOM!Q:Q,BOM!A:A,'All Products'!A713,BOM!I:I,'All Products'!I$3)</f>
        <v>4.5886075949367084</v>
      </c>
      <c r="J713" s="49">
        <f>SUMIFS(BOM!Q:Q,BOM!A:A,'All Products'!A713,BOM!I:I,'All Products'!J$3)+0.03</f>
        <v>0.45000000000000007</v>
      </c>
      <c r="K713" s="29">
        <f t="shared" si="155"/>
        <v>0.23081115872362387</v>
      </c>
      <c r="L713" s="49">
        <f>SUMIF(BOM!A:A,'All Products'!A713,BOM!S:S)</f>
        <v>3.9858374999999997</v>
      </c>
      <c r="M713" s="49">
        <f>SUMIF(BOM!A:A,'All Products'!A713,BOM!V:V)</f>
        <v>0.29618749999999999</v>
      </c>
      <c r="N713" s="29">
        <f t="shared" si="156"/>
        <v>0.19615322950068714</v>
      </c>
      <c r="O713" s="55">
        <v>0</v>
      </c>
      <c r="P713" s="49">
        <f t="shared" si="157"/>
        <v>9.3206325949367077</v>
      </c>
      <c r="Q713" s="11">
        <f t="shared" ref="Q713:Q725" si="159">G713-P713</f>
        <v>12.509367405063291</v>
      </c>
      <c r="R713" s="29">
        <f t="shared" si="158"/>
        <v>0.57303561177568907</v>
      </c>
      <c r="AA713" s="4">
        <f>P713/E713</f>
        <v>3.728253037974683</v>
      </c>
      <c r="AB713" s="44">
        <f>SUM(AB583:AB696)</f>
        <v>0</v>
      </c>
    </row>
    <row r="714" spans="1:28" x14ac:dyDescent="0.25">
      <c r="A714" s="1" t="s">
        <v>4695</v>
      </c>
      <c r="B714" s="2" t="s">
        <v>552</v>
      </c>
      <c r="C714" s="1" t="s">
        <v>4697</v>
      </c>
      <c r="D714" s="1" t="s">
        <v>554</v>
      </c>
      <c r="E714" s="110">
        <v>1</v>
      </c>
      <c r="F714" s="110"/>
      <c r="G714" s="10">
        <v>6.19</v>
      </c>
      <c r="H714" s="11" t="s">
        <v>1874</v>
      </c>
      <c r="I714" s="49">
        <f>SUMIFS(BOM!Q:Q,BOM!A:A,'All Products'!A714,BOM!I:I,'All Products'!I$3)</f>
        <v>2.1413043478260869</v>
      </c>
      <c r="J714" s="49">
        <f>SUMIFS(BOM!Q:Q,BOM!A:A,'All Products'!A714,BOM!I:I,'All Products'!J$3)+0.03</f>
        <v>0.45000000000000007</v>
      </c>
      <c r="K714" s="29">
        <f t="shared" si="155"/>
        <v>0.4186275198426635</v>
      </c>
      <c r="L714" s="49">
        <f>SUMIF(BOM!A:A,'All Products'!A714,BOM!S:S)</f>
        <v>0.33849999999999997</v>
      </c>
      <c r="M714" s="49">
        <f>SUMIF(BOM!A:A,'All Products'!A714,BOM!V:V)</f>
        <v>0.21833249999999998</v>
      </c>
      <c r="N714" s="29">
        <f t="shared" si="156"/>
        <v>8.9956785137318238E-2</v>
      </c>
      <c r="O714" s="55">
        <v>0</v>
      </c>
      <c r="P714" s="49">
        <f t="shared" si="157"/>
        <v>3.1481368478260867</v>
      </c>
      <c r="Q714" s="11">
        <f t="shared" si="159"/>
        <v>3.0418631521739137</v>
      </c>
      <c r="R714" s="29">
        <f t="shared" si="158"/>
        <v>0.49141569502001831</v>
      </c>
      <c r="AB714" s="120">
        <v>28939</v>
      </c>
    </row>
    <row r="715" spans="1:28" x14ac:dyDescent="0.25">
      <c r="A715" s="1" t="s">
        <v>4700</v>
      </c>
      <c r="B715" s="1" t="s">
        <v>656</v>
      </c>
      <c r="C715" s="1" t="s">
        <v>546</v>
      </c>
      <c r="D715" s="1" t="s">
        <v>554</v>
      </c>
      <c r="E715" s="110">
        <f>VLOOKUP(A715,BOM!A:E,5,0)</f>
        <v>2.5</v>
      </c>
      <c r="F715" s="110"/>
      <c r="G715" s="10">
        <v>6.87</v>
      </c>
      <c r="H715" s="11" t="s">
        <v>1874</v>
      </c>
      <c r="I715" s="49">
        <f>SUMIFS(BOM!Q:Q,BOM!A:A,'All Products'!A715,BOM!I:I,'All Products'!I$3)</f>
        <v>2.5892857142857144</v>
      </c>
      <c r="J715" s="49">
        <f>SUMIFS(BOM!Q:Q,BOM!A:A,'All Products'!A715,BOM!I:I,'All Products'!J$3)+0.03</f>
        <v>0.17</v>
      </c>
      <c r="K715" s="29">
        <f t="shared" si="155"/>
        <v>0.40164275317113746</v>
      </c>
      <c r="L715" s="49">
        <f>SUMIF(BOM!A:A,'All Products'!A715,BOM!S:S)</f>
        <v>0.44005</v>
      </c>
      <c r="M715" s="49">
        <f>SUMIF(BOM!A:A,'All Products'!A715,BOM!V:V)</f>
        <v>0.29618749999999999</v>
      </c>
      <c r="N715" s="29">
        <f t="shared" si="156"/>
        <v>0.10716703056768559</v>
      </c>
      <c r="O715" s="55">
        <v>0</v>
      </c>
      <c r="P715" s="49">
        <f t="shared" si="157"/>
        <v>3.495523214285714</v>
      </c>
      <c r="Q715" s="11">
        <f t="shared" si="159"/>
        <v>3.3744767857142861</v>
      </c>
      <c r="R715" s="29">
        <f t="shared" si="158"/>
        <v>0.49119021626117704</v>
      </c>
    </row>
    <row r="716" spans="1:28" x14ac:dyDescent="0.25">
      <c r="A716" s="1" t="s">
        <v>4701</v>
      </c>
      <c r="B716" s="1" t="s">
        <v>656</v>
      </c>
      <c r="C716" s="1" t="s">
        <v>155</v>
      </c>
      <c r="D716" s="1" t="s">
        <v>554</v>
      </c>
      <c r="E716" s="110">
        <f>VLOOKUP(A716,BOM!A:E,5,0)</f>
        <v>2.5</v>
      </c>
      <c r="F716" s="110"/>
      <c r="G716" s="10">
        <v>5.12</v>
      </c>
      <c r="H716" s="11" t="s">
        <v>1874</v>
      </c>
      <c r="I716" s="49">
        <f>SUMIFS(BOM!Q:Q,BOM!A:A,'All Products'!A716,BOM!I:I,'All Products'!I$3)</f>
        <v>2.3499999999999996</v>
      </c>
      <c r="J716" s="49">
        <f>SUMIFS(BOM!Q:Q,BOM!A:A,'All Products'!A716,BOM!I:I,'All Products'!J$3)+0.03</f>
        <v>0.17</v>
      </c>
      <c r="K716" s="29">
        <f t="shared" si="155"/>
        <v>0.49218749999999989</v>
      </c>
      <c r="L716" s="49">
        <f>SUMIF(BOM!A:A,'All Products'!A716,BOM!S:S)</f>
        <v>0.9308749999999999</v>
      </c>
      <c r="M716" s="49">
        <f>SUMIF(BOM!A:A,'All Products'!A716,BOM!V:V)</f>
        <v>0.29618749999999999</v>
      </c>
      <c r="N716" s="29">
        <f t="shared" si="156"/>
        <v>0.23966064453124999</v>
      </c>
      <c r="O716" s="55">
        <v>0</v>
      </c>
      <c r="P716" s="49">
        <f t="shared" si="157"/>
        <v>3.7470624999999993</v>
      </c>
      <c r="Q716" s="11">
        <f t="shared" si="159"/>
        <v>1.3729375000000008</v>
      </c>
      <c r="R716" s="29">
        <f t="shared" si="158"/>
        <v>0.26815185546875014</v>
      </c>
    </row>
    <row r="717" spans="1:28" x14ac:dyDescent="0.25">
      <c r="A717" s="1" t="s">
        <v>4702</v>
      </c>
      <c r="B717" s="1" t="s">
        <v>656</v>
      </c>
      <c r="C717" s="1" t="s">
        <v>143</v>
      </c>
      <c r="D717" s="1" t="s">
        <v>554</v>
      </c>
      <c r="E717" s="110">
        <f>VLOOKUP(A717,BOM!A:E,5,0)</f>
        <v>2.5</v>
      </c>
      <c r="F717" s="110"/>
      <c r="G717" s="10">
        <v>8.76</v>
      </c>
      <c r="H717" s="11" t="s">
        <v>1874</v>
      </c>
      <c r="I717" s="49">
        <f>SUMIFS(BOM!Q:Q,BOM!A:A,'All Products'!A717,BOM!I:I,'All Products'!I$3)</f>
        <v>3.1333333333333333</v>
      </c>
      <c r="J717" s="49">
        <f>SUMIFS(BOM!Q:Q,BOM!A:A,'All Products'!A717,BOM!I:I,'All Products'!J$3)+0.03</f>
        <v>0.17</v>
      </c>
      <c r="K717" s="29">
        <f t="shared" si="155"/>
        <v>0.37709284627092848</v>
      </c>
      <c r="L717" s="49">
        <f>SUMIF(BOM!A:A,'All Products'!A717,BOM!S:S)</f>
        <v>3.8081249999999995</v>
      </c>
      <c r="M717" s="49">
        <f>SUMIF(BOM!A:A,'All Products'!A717,BOM!V:V)</f>
        <v>0.29618749999999999</v>
      </c>
      <c r="N717" s="29">
        <f t="shared" si="156"/>
        <v>0.46852882420091324</v>
      </c>
      <c r="O717" s="55">
        <v>0</v>
      </c>
      <c r="P717" s="49">
        <f t="shared" si="157"/>
        <v>7.4076458333333326</v>
      </c>
      <c r="Q717" s="11">
        <f t="shared" si="159"/>
        <v>1.3523541666666672</v>
      </c>
      <c r="R717" s="29">
        <f t="shared" si="158"/>
        <v>0.15437832952815836</v>
      </c>
    </row>
    <row r="718" spans="1:28" x14ac:dyDescent="0.25">
      <c r="A718" s="1" t="s">
        <v>4706</v>
      </c>
      <c r="B718" s="2" t="s">
        <v>552</v>
      </c>
      <c r="C718" s="1" t="s">
        <v>4709</v>
      </c>
      <c r="D718" s="1" t="s">
        <v>554</v>
      </c>
      <c r="E718" s="1">
        <v>2.5</v>
      </c>
      <c r="F718" s="1"/>
      <c r="G718" s="10">
        <v>9.81</v>
      </c>
      <c r="H718" s="11" t="s">
        <v>1874</v>
      </c>
      <c r="I718" s="49">
        <f>SUMIFS(BOM!Q:Q,BOM!A:A,'All Products'!A718,BOM!I:I,'All Products'!I$3)</f>
        <v>3.064516129032258</v>
      </c>
      <c r="J718" s="49">
        <f>SUMIFS(BOM!Q:Q,BOM!A:A,'All Products'!A718,BOM!I:I,'All Products'!J$3)+0.03</f>
        <v>0.45000000000000007</v>
      </c>
      <c r="K718" s="29">
        <f t="shared" si="155"/>
        <v>0.35825852487586729</v>
      </c>
      <c r="L718" s="49">
        <f>SUMIF(BOM!A:A,'All Products'!A718,BOM!S:S)</f>
        <v>3.3003749999999998</v>
      </c>
      <c r="M718" s="49">
        <f>SUMIF(BOM!A:A,'All Products'!A718,BOM!V:V)</f>
        <v>0.29618749999999999</v>
      </c>
      <c r="N718" s="29">
        <f t="shared" si="156"/>
        <v>0.3666220693170234</v>
      </c>
      <c r="O718" s="55">
        <v>0</v>
      </c>
      <c r="P718" s="49">
        <f t="shared" ref="P718:P754" si="160">I718+J718+M718+L718+O718</f>
        <v>7.1110786290322583</v>
      </c>
      <c r="Q718" s="11">
        <f t="shared" si="159"/>
        <v>2.6989213709677422</v>
      </c>
      <c r="R718" s="29">
        <f t="shared" si="158"/>
        <v>0.27511940580710931</v>
      </c>
    </row>
    <row r="719" spans="1:28" x14ac:dyDescent="0.25">
      <c r="A719" s="1" t="s">
        <v>4707</v>
      </c>
      <c r="B719" s="2" t="s">
        <v>552</v>
      </c>
      <c r="C719" s="1" t="s">
        <v>4708</v>
      </c>
      <c r="D719" s="1" t="s">
        <v>554</v>
      </c>
      <c r="E719" s="1">
        <v>2.5</v>
      </c>
      <c r="F719" s="1"/>
      <c r="G719" s="10">
        <v>11.85</v>
      </c>
      <c r="H719" s="11" t="s">
        <v>1874</v>
      </c>
      <c r="I719" s="49">
        <f>SUMIFS(BOM!Q:Q,BOM!A:A,'All Products'!A719,BOM!I:I,'All Products'!I$3)</f>
        <v>2.6669050598962989</v>
      </c>
      <c r="J719" s="49">
        <f>SUMIFS(BOM!Q:Q,BOM!A:A,'All Products'!A719,BOM!I:I,'All Products'!J$3)+0.03</f>
        <v>0.45000000000000007</v>
      </c>
      <c r="K719" s="29">
        <f t="shared" si="155"/>
        <v>0.26302996286044716</v>
      </c>
      <c r="L719" s="49">
        <f>SUMIF(BOM!A:A,'All Products'!A719,BOM!S:S)</f>
        <v>1.5294131652661063</v>
      </c>
      <c r="M719" s="49">
        <f>SUMIF(BOM!A:A,'All Products'!A719,BOM!V:V)</f>
        <v>0.29618749999999999</v>
      </c>
      <c r="N719" s="29">
        <f t="shared" si="156"/>
        <v>0.15405912787055751</v>
      </c>
      <c r="O719" s="55">
        <v>0</v>
      </c>
      <c r="P719" s="49">
        <f t="shared" si="160"/>
        <v>4.9425057251624054</v>
      </c>
      <c r="Q719" s="11">
        <f t="shared" si="159"/>
        <v>6.9074942748375943</v>
      </c>
      <c r="R719" s="29">
        <f t="shared" si="158"/>
        <v>0.58291090926899536</v>
      </c>
    </row>
    <row r="720" spans="1:28" x14ac:dyDescent="0.25">
      <c r="A720" s="1" t="s">
        <v>4728</v>
      </c>
      <c r="B720" s="2" t="s">
        <v>552</v>
      </c>
      <c r="C720" s="1" t="s">
        <v>4711</v>
      </c>
      <c r="D720" s="1" t="s">
        <v>554</v>
      </c>
      <c r="E720" s="1">
        <v>2</v>
      </c>
      <c r="F720" s="1"/>
      <c r="G720" s="10">
        <v>5.85</v>
      </c>
      <c r="H720" s="11" t="s">
        <v>1874</v>
      </c>
      <c r="I720" s="49">
        <f>SUMIFS(BOM!Q:Q,BOM!A:A,'All Products'!A720,BOM!I:I,'All Products'!I$3)</f>
        <v>1.5927388661677622</v>
      </c>
      <c r="J720" s="49">
        <f>SUMIFS(BOM!Q:Q,BOM!A:A,'All Products'!A720,BOM!I:I,'All Products'!J$3)+0.03</f>
        <v>0.59000000000000008</v>
      </c>
      <c r="K720" s="29">
        <f t="shared" si="155"/>
        <v>0.37311775490047216</v>
      </c>
      <c r="L720" s="49">
        <f>SUMIF(BOM!A:A,'All Products'!A720,BOM!S:S)</f>
        <v>0.59592342963522049</v>
      </c>
      <c r="M720" s="49">
        <f>SUMIF(BOM!A:A,'All Products'!A720,BOM!V:V)</f>
        <v>0.29618749999999999</v>
      </c>
      <c r="N720" s="29">
        <f t="shared" si="156"/>
        <v>0.15249759480943942</v>
      </c>
      <c r="O720" s="55">
        <v>0</v>
      </c>
      <c r="P720" s="49">
        <f t="shared" si="160"/>
        <v>3.0748497958029821</v>
      </c>
      <c r="Q720" s="11">
        <f t="shared" si="159"/>
        <v>2.7751502041970175</v>
      </c>
      <c r="R720" s="29">
        <f t="shared" si="158"/>
        <v>0.47438465029008847</v>
      </c>
    </row>
    <row r="721" spans="1:27" x14ac:dyDescent="0.25">
      <c r="A721" s="1" t="s">
        <v>4712</v>
      </c>
      <c r="B721" s="2" t="s">
        <v>552</v>
      </c>
      <c r="C721" s="1" t="s">
        <v>4713</v>
      </c>
      <c r="D721" s="1" t="s">
        <v>554</v>
      </c>
      <c r="E721" s="1">
        <v>1</v>
      </c>
      <c r="F721" s="1"/>
      <c r="G721" s="10">
        <v>6.56</v>
      </c>
      <c r="H721" s="11" t="s">
        <v>1874</v>
      </c>
      <c r="I721" s="49">
        <f>SUMIFS(BOM!Q:Q,BOM!A:A,'All Products'!A721,BOM!I:I,'All Products'!I$3)</f>
        <v>2.0375139977603585</v>
      </c>
      <c r="J721" s="49">
        <f>SUMIFS(BOM!Q:Q,BOM!A:A,'All Products'!A721,BOM!I:I,'All Products'!J$3)+0.03</f>
        <v>0.45000000000000007</v>
      </c>
      <c r="K721" s="29">
        <f t="shared" si="155"/>
        <v>0.37919420697566447</v>
      </c>
      <c r="L721" s="49">
        <f>SUMIF(BOM!A:A,'All Products'!A721,BOM!S:S)</f>
        <v>0.26064499999999996</v>
      </c>
      <c r="M721" s="49">
        <f>SUMIF(BOM!A:A,'All Products'!A721,BOM!V:V)</f>
        <v>0.21720416666666661</v>
      </c>
      <c r="N721" s="29">
        <f t="shared" si="156"/>
        <v>7.2842860772357715E-2</v>
      </c>
      <c r="O721" s="55">
        <v>0</v>
      </c>
      <c r="P721" s="49">
        <f t="shared" si="160"/>
        <v>2.9653631644270249</v>
      </c>
      <c r="Q721" s="11">
        <f t="shared" si="159"/>
        <v>3.5946368355729748</v>
      </c>
      <c r="R721" s="29">
        <f t="shared" si="158"/>
        <v>0.5479629322519779</v>
      </c>
    </row>
    <row r="722" spans="1:27" x14ac:dyDescent="0.25">
      <c r="A722" s="1" t="s">
        <v>4723</v>
      </c>
      <c r="B722" s="2" t="s">
        <v>552</v>
      </c>
      <c r="C722" s="1" t="s">
        <v>4724</v>
      </c>
      <c r="D722" s="1" t="s">
        <v>554</v>
      </c>
      <c r="E722" s="1">
        <v>1</v>
      </c>
      <c r="F722" s="1"/>
      <c r="G722" s="10">
        <v>12.88</v>
      </c>
      <c r="H722" s="11" t="s">
        <v>1874</v>
      </c>
      <c r="I722" s="49">
        <f>SUMIFS(BOM!Q:Q,BOM!A:A,'All Products'!A722,BOM!I:I,'All Products'!I$3)</f>
        <v>1.1142857142857143</v>
      </c>
      <c r="J722" s="49">
        <f>SUMIFS(BOM!Q:Q,BOM!A:A,'All Products'!A722,BOM!I:I,'All Products'!J$3)+0.03</f>
        <v>0.45000000000000007</v>
      </c>
      <c r="K722" s="29">
        <f t="shared" si="155"/>
        <v>0.12145075421472938</v>
      </c>
      <c r="L722" s="49">
        <f>SUMIF(BOM!A:A,'All Products'!A722,BOM!S:S)</f>
        <v>3.2428299999999997</v>
      </c>
      <c r="M722" s="49">
        <f>SUMIF(BOM!A:A,'All Products'!A722,BOM!V:V)</f>
        <v>0.21720416666666661</v>
      </c>
      <c r="N722" s="29">
        <f t="shared" si="156"/>
        <v>0.26863619306418213</v>
      </c>
      <c r="O722" s="55">
        <v>0</v>
      </c>
      <c r="P722" s="49">
        <f t="shared" si="160"/>
        <v>5.0243198809523806</v>
      </c>
      <c r="Q722" s="11">
        <f t="shared" si="159"/>
        <v>7.8556801190476202</v>
      </c>
      <c r="R722" s="29">
        <f t="shared" si="158"/>
        <v>0.60991305272108853</v>
      </c>
    </row>
    <row r="723" spans="1:27" x14ac:dyDescent="0.25">
      <c r="A723" s="1" t="s">
        <v>4719</v>
      </c>
      <c r="B723" s="2" t="s">
        <v>552</v>
      </c>
      <c r="C723" s="1" t="s">
        <v>4718</v>
      </c>
      <c r="D723" s="1" t="s">
        <v>554</v>
      </c>
      <c r="E723" s="1">
        <v>1</v>
      </c>
      <c r="F723" s="1"/>
      <c r="G723" s="10">
        <v>5.0199999999999996</v>
      </c>
      <c r="H723" s="11" t="s">
        <v>1874</v>
      </c>
      <c r="I723" s="49">
        <f>SUMIFS(BOM!Q:Q,BOM!A:A,'All Products'!A723,BOM!I:I,'All Products'!I$3)</f>
        <v>0.50423507462686556</v>
      </c>
      <c r="J723" s="49">
        <f>SUMIFS(BOM!Q:Q,BOM!A:A,'All Products'!A723,BOM!I:I,'All Products'!J$3)+0.03</f>
        <v>0.45000000000000007</v>
      </c>
      <c r="K723" s="29">
        <f t="shared" si="155"/>
        <v>0.1900866682523637</v>
      </c>
      <c r="L723" s="49">
        <f>SUMIF(BOM!A:A,'All Products'!A723,BOM!S:S)</f>
        <v>1.2209577114427859</v>
      </c>
      <c r="M723" s="49">
        <f>SUMIF(BOM!A:A,'All Products'!A723,BOM!V:V)</f>
        <v>0.21720416666666661</v>
      </c>
      <c r="N723" s="29">
        <f t="shared" si="156"/>
        <v>0.2864864299022814</v>
      </c>
      <c r="O723" s="55">
        <v>0</v>
      </c>
      <c r="P723" s="49">
        <f t="shared" si="160"/>
        <v>2.392396952736318</v>
      </c>
      <c r="Q723" s="11">
        <f t="shared" si="159"/>
        <v>2.6276030472636815</v>
      </c>
      <c r="R723" s="29">
        <f t="shared" si="158"/>
        <v>0.5234269018453549</v>
      </c>
    </row>
    <row r="724" spans="1:27" x14ac:dyDescent="0.25">
      <c r="A724" s="1" t="s">
        <v>4720</v>
      </c>
      <c r="B724" s="2" t="s">
        <v>552</v>
      </c>
      <c r="C724" s="1" t="s">
        <v>4721</v>
      </c>
      <c r="D724" s="1" t="s">
        <v>554</v>
      </c>
      <c r="E724" s="1">
        <v>1</v>
      </c>
      <c r="F724" s="1"/>
      <c r="G724" s="10">
        <v>5.92</v>
      </c>
      <c r="H724" s="85" t="s">
        <v>1874</v>
      </c>
      <c r="I724" s="128">
        <f>SUMIFS(BOM!Q:Q,BOM!A:A,'All Products'!A724,BOM!I:I,'All Products'!I$3)</f>
        <v>0.70129870129870131</v>
      </c>
      <c r="J724" s="128">
        <f>SUMIFS(BOM!Q:Q,BOM!A:A,'All Products'!A724,BOM!I:I,'All Products'!J$3)+0.03</f>
        <v>0.45000000000000007</v>
      </c>
      <c r="K724" s="129">
        <f t="shared" si="155"/>
        <v>0.19447613197613201</v>
      </c>
      <c r="L724" s="128">
        <f>SUMIF(BOM!A:A,'All Products'!A724,BOM!S:S)</f>
        <v>1.289685</v>
      </c>
      <c r="M724" s="128">
        <f>SUMIF(BOM!A:A,'All Products'!A724,BOM!V:V)</f>
        <v>0.21720416666666661</v>
      </c>
      <c r="N724" s="129">
        <f t="shared" si="156"/>
        <v>0.25454208896396396</v>
      </c>
      <c r="O724" s="55">
        <v>0</v>
      </c>
      <c r="P724" s="128">
        <f t="shared" si="160"/>
        <v>2.6581878679653679</v>
      </c>
      <c r="Q724" s="11">
        <f t="shared" si="159"/>
        <v>3.2618121320346321</v>
      </c>
      <c r="R724" s="129">
        <f t="shared" si="158"/>
        <v>0.55098177905990409</v>
      </c>
    </row>
    <row r="725" spans="1:27" x14ac:dyDescent="0.25">
      <c r="A725" s="1" t="s">
        <v>4726</v>
      </c>
      <c r="B725" s="2" t="s">
        <v>552</v>
      </c>
      <c r="C725" s="1" t="s">
        <v>4727</v>
      </c>
      <c r="D725" s="1" t="s">
        <v>554</v>
      </c>
      <c r="E725" s="1">
        <v>1</v>
      </c>
      <c r="F725" s="1"/>
      <c r="G725" s="10">
        <v>5.18</v>
      </c>
      <c r="H725" s="11" t="s">
        <v>1874</v>
      </c>
      <c r="I725" s="49">
        <f>SUMIFS(BOM!Q:Q,BOM!A:A,'All Products'!A725,BOM!I:I,'All Products'!I$3)</f>
        <v>1.7368421052631582</v>
      </c>
      <c r="J725" s="49">
        <f>SUMIFS(BOM!Q:Q,BOM!A:A,'All Products'!A725,BOM!I:I,'All Products'!J$3)+0.03</f>
        <v>0.94000000000000006</v>
      </c>
      <c r="K725" s="29">
        <f t="shared" si="155"/>
        <v>0.51676488518593788</v>
      </c>
      <c r="L725" s="49">
        <f>SUMIF(BOM!A:A,'All Products'!A725,BOM!S:S)</f>
        <v>0.49511834381551351</v>
      </c>
      <c r="M725" s="49">
        <f>SUMIF(BOM!A:A,'All Products'!A725,BOM!V:V)</f>
        <v>0.21833249999999998</v>
      </c>
      <c r="N725" s="29">
        <f t="shared" si="156"/>
        <v>0.13773182313040802</v>
      </c>
      <c r="O725" s="55">
        <v>0</v>
      </c>
      <c r="P725" s="49">
        <f t="shared" si="160"/>
        <v>3.3902929490786717</v>
      </c>
      <c r="Q725" s="11">
        <f t="shared" si="159"/>
        <v>1.789707050921328</v>
      </c>
      <c r="R725" s="29">
        <f t="shared" si="158"/>
        <v>0.34550329168365407</v>
      </c>
    </row>
    <row r="726" spans="1:27" x14ac:dyDescent="0.25">
      <c r="A726" s="1" t="s">
        <v>4729</v>
      </c>
      <c r="B726" s="2" t="s">
        <v>552</v>
      </c>
      <c r="C726" s="1" t="s">
        <v>105</v>
      </c>
      <c r="D726" s="1" t="s">
        <v>554</v>
      </c>
      <c r="E726" s="1">
        <f>VLOOKUP(A726,BOM!A:E,5,0)</f>
        <v>2.7</v>
      </c>
      <c r="F726" s="122">
        <v>16.3</v>
      </c>
      <c r="G726" s="145">
        <v>15.27</v>
      </c>
      <c r="H726" s="11" t="s">
        <v>1874</v>
      </c>
      <c r="I726" s="49">
        <f>SUMIFS(BOM!Q:Q,BOM!A:A,'All Products'!A726,BOM!I:I,'All Products'!I$3)</f>
        <v>6.265975000000001</v>
      </c>
      <c r="J726" s="49">
        <f>SUMIFS(BOM!Q:Q,BOM!A:A,'All Products'!A726,BOM!I:I,'All Products'!J$3)+0.03</f>
        <v>0.75000000000000011</v>
      </c>
      <c r="K726" s="29">
        <f t="shared" si="155"/>
        <v>0.45946136214800271</v>
      </c>
      <c r="L726" s="49">
        <f>SUMIF(BOM!A:A,'All Products'!A726,BOM!S:S)</f>
        <v>2.3093222222222223</v>
      </c>
      <c r="M726" s="49">
        <f>SUMIF(BOM!A:A,'All Products'!A726,BOM!V:V)</f>
        <v>0.27079999999999999</v>
      </c>
      <c r="N726" s="29">
        <f t="shared" si="156"/>
        <v>0.16896674670741468</v>
      </c>
      <c r="O726" s="55">
        <v>0</v>
      </c>
      <c r="P726" s="49">
        <f t="shared" si="160"/>
        <v>9.5960972222222232</v>
      </c>
      <c r="Q726" s="11">
        <v>6.3863215963348097</v>
      </c>
      <c r="R726" s="29">
        <f t="shared" si="158"/>
        <v>0.37157189114458261</v>
      </c>
    </row>
    <row r="727" spans="1:27" x14ac:dyDescent="0.25">
      <c r="A727" s="1" t="s">
        <v>4730</v>
      </c>
      <c r="B727" s="1" t="s">
        <v>552</v>
      </c>
      <c r="C727" s="1" t="s">
        <v>570</v>
      </c>
      <c r="D727" s="1" t="s">
        <v>554</v>
      </c>
      <c r="E727" s="1">
        <f>VLOOKUP(A727,BOM!A:E,5,0)</f>
        <v>2</v>
      </c>
      <c r="F727" s="122">
        <v>2.17</v>
      </c>
      <c r="G727" s="145">
        <v>2.2400000000000002</v>
      </c>
      <c r="H727" s="11" t="s">
        <v>1874</v>
      </c>
      <c r="I727" s="49">
        <f>SUMIFS(BOM!Q:Q,BOM!A:A,'All Products'!A727,BOM!I:I,'All Products'!I$3)</f>
        <v>1.0693587484474705</v>
      </c>
      <c r="J727" s="49">
        <f>SUMIFS(BOM!Q:Q,BOM!A:A,'All Products'!A727,BOM!I:I,'All Products'!J$3)+0.03</f>
        <v>0.47000000000000008</v>
      </c>
      <c r="K727" s="29">
        <f t="shared" si="155"/>
        <v>0.68721372698547789</v>
      </c>
      <c r="L727" s="49">
        <f>SUMIF(BOM!A:A,'All Products'!A727,BOM!S:S)</f>
        <v>0.60690891712347139</v>
      </c>
      <c r="M727" s="49">
        <f>SUMIF(BOM!A:A,'All Products'!A727,BOM!V:V)</f>
        <v>0.27079999999999999</v>
      </c>
      <c r="N727" s="29">
        <f t="shared" si="156"/>
        <v>0.39183433800154965</v>
      </c>
      <c r="O727" s="55">
        <v>0</v>
      </c>
      <c r="P727" s="49">
        <f t="shared" si="160"/>
        <v>2.4170676655709418</v>
      </c>
      <c r="Q727" s="11">
        <v>6.3863215963348097</v>
      </c>
      <c r="R727" s="29">
        <f t="shared" si="158"/>
        <v>-7.9048064987027475E-2</v>
      </c>
      <c r="Z727" s="34"/>
    </row>
    <row r="728" spans="1:27" x14ac:dyDescent="0.25">
      <c r="A728" s="1" t="s">
        <v>4743</v>
      </c>
      <c r="B728" s="1" t="s">
        <v>552</v>
      </c>
      <c r="C728" s="1" t="s">
        <v>4744</v>
      </c>
      <c r="D728" s="1" t="s">
        <v>554</v>
      </c>
      <c r="E728" s="1">
        <v>0.5</v>
      </c>
      <c r="F728" s="122"/>
      <c r="G728" s="10">
        <v>2.59</v>
      </c>
      <c r="H728" s="11" t="s">
        <v>1874</v>
      </c>
      <c r="I728" s="49">
        <f>SUMIFS(BOM!Q:Q,BOM!A:A,'All Products'!A728,BOM!I:I,'All Products'!I$3)</f>
        <v>0.34285303015395041</v>
      </c>
      <c r="J728" s="49">
        <f>SUMIFS(BOM!Q:Q,BOM!A:A,'All Products'!A728,BOM!I:I,'All Products'!J$3)+0.03</f>
        <v>0.24000000000000002</v>
      </c>
      <c r="K728" s="29">
        <f t="shared" si="155"/>
        <v>0.22503977998222024</v>
      </c>
      <c r="L728" s="49">
        <f>SUMIF(BOM!A:A,'All Products'!A728,BOM!S:S)</f>
        <v>0.19309064293395733</v>
      </c>
      <c r="M728" s="49">
        <f>SUMIF(BOM!A:A,'All Products'!A728,BOM!V:V)</f>
        <v>0.15232499999999999</v>
      </c>
      <c r="N728" s="29">
        <f t="shared" si="156"/>
        <v>0.13336511310191404</v>
      </c>
      <c r="O728" s="55">
        <v>0</v>
      </c>
      <c r="P728" s="49">
        <f t="shared" si="160"/>
        <v>0.92826867308790773</v>
      </c>
      <c r="Q728" s="11">
        <f>G728-P728</f>
        <v>1.6617313269120921</v>
      </c>
      <c r="R728" s="29">
        <f t="shared" si="158"/>
        <v>0.64159510691586574</v>
      </c>
      <c r="AA728" s="4">
        <f>P728/E728</f>
        <v>1.8565373461758155</v>
      </c>
    </row>
    <row r="729" spans="1:27" x14ac:dyDescent="0.25">
      <c r="A729" s="1" t="s">
        <v>4751</v>
      </c>
      <c r="B729" s="2" t="s">
        <v>552</v>
      </c>
      <c r="C729" s="2" t="s">
        <v>608</v>
      </c>
      <c r="D729" s="2" t="s">
        <v>554</v>
      </c>
      <c r="E729" s="110">
        <v>1</v>
      </c>
      <c r="F729" s="1"/>
      <c r="G729" s="33">
        <v>3.51</v>
      </c>
      <c r="H729" s="11" t="s">
        <v>1874</v>
      </c>
      <c r="I729" s="49">
        <f>SUMIFS(BOM!Q:Q,BOM!A:A,'All Products'!A729,BOM!I:I,'All Products'!I$3)</f>
        <v>1.2421788737578212</v>
      </c>
      <c r="J729" s="49">
        <f>SUMIFS(BOM!Q:Q,BOM!A:A,'All Products'!A729,BOM!I:I,'All Products'!J$3)+0.03</f>
        <v>0.51</v>
      </c>
      <c r="K729" s="29">
        <f t="shared" si="155"/>
        <v>0.49919626032986364</v>
      </c>
      <c r="L729" s="49">
        <f>SUMIF(BOM!A:A,'All Products'!A729,BOM!S:S)</f>
        <v>0.31141999999999992</v>
      </c>
      <c r="M729" s="49">
        <f>SUMIF(BOM!A:A,'All Products'!A729,BOM!V:V)</f>
        <v>0.21833249999999998</v>
      </c>
      <c r="N729" s="29">
        <f t="shared" si="156"/>
        <v>0.15092663817663815</v>
      </c>
      <c r="O729" s="55">
        <v>0</v>
      </c>
      <c r="P729" s="49">
        <f t="shared" si="160"/>
        <v>2.2819313737578213</v>
      </c>
      <c r="Q729" s="11">
        <v>6.3863215963348097</v>
      </c>
      <c r="R729" s="29">
        <f t="shared" si="158"/>
        <v>0.34987710149349815</v>
      </c>
    </row>
    <row r="730" spans="1:27" x14ac:dyDescent="0.25">
      <c r="A730" s="1" t="s">
        <v>4752</v>
      </c>
      <c r="B730" s="2" t="s">
        <v>552</v>
      </c>
      <c r="C730" s="1" t="s">
        <v>4753</v>
      </c>
      <c r="D730" s="2" t="s">
        <v>554</v>
      </c>
      <c r="E730" s="1">
        <v>0.5</v>
      </c>
      <c r="F730" s="1"/>
      <c r="G730" s="145">
        <v>3.11</v>
      </c>
      <c r="H730" s="11" t="s">
        <v>1874</v>
      </c>
      <c r="I730" s="49">
        <f>SUMIFS(BOM!Q:Q,BOM!A:A,'All Products'!A730,BOM!I:I,'All Products'!I$3)</f>
        <v>0.75</v>
      </c>
      <c r="J730" s="49">
        <f>SUMIFS(BOM!Q:Q,BOM!A:A,'All Products'!A730,BOM!I:I,'All Products'!J$3)+0.03</f>
        <v>0.15000000000000002</v>
      </c>
      <c r="K730" s="29">
        <f t="shared" si="155"/>
        <v>0.28938906752411575</v>
      </c>
      <c r="L730" s="49">
        <f>SUMIF(BOM!A:A,'All Products'!A730,BOM!S:S)</f>
        <v>0.59237499999999998</v>
      </c>
      <c r="M730" s="49">
        <f>SUMIF(BOM!A:A,'All Products'!A730,BOM!V:V)</f>
        <v>0.15232499999999999</v>
      </c>
      <c r="N730" s="29">
        <f t="shared" si="156"/>
        <v>0.23945337620578777</v>
      </c>
      <c r="O730" s="55">
        <v>0</v>
      </c>
      <c r="P730" s="49">
        <f t="shared" si="160"/>
        <v>1.6446999999999998</v>
      </c>
      <c r="Q730" s="11">
        <v>6.3863215963348097</v>
      </c>
      <c r="R730" s="29">
        <f t="shared" si="158"/>
        <v>0.47115755627009648</v>
      </c>
    </row>
    <row r="731" spans="1:27" x14ac:dyDescent="0.25">
      <c r="A731" s="1" t="s">
        <v>4755</v>
      </c>
      <c r="B731" s="2" t="s">
        <v>552</v>
      </c>
      <c r="C731" s="1" t="s">
        <v>4756</v>
      </c>
      <c r="D731" s="2" t="s">
        <v>554</v>
      </c>
      <c r="E731" s="1">
        <v>0.65</v>
      </c>
      <c r="F731" s="1"/>
      <c r="G731" s="145">
        <v>2.7</v>
      </c>
      <c r="H731" s="11" t="s">
        <v>1874</v>
      </c>
      <c r="I731" s="49">
        <f>SUMIFS(BOM!Q:Q,BOM!A:A,'All Products'!A731,BOM!I:I,'All Products'!I$3)</f>
        <v>0.93210980750127537</v>
      </c>
      <c r="J731" s="49">
        <f>SUMIFS(BOM!Q:Q,BOM!A:A,'All Products'!A731,BOM!I:I,'All Products'!J$3)+0.03</f>
        <v>0.2</v>
      </c>
      <c r="K731" s="29">
        <f t="shared" si="155"/>
        <v>0.41929992870417604</v>
      </c>
      <c r="L731" s="49">
        <f>SUMIF(BOM!A:A,'All Products'!A731,BOM!S:S)</f>
        <v>0.11745616480494242</v>
      </c>
      <c r="M731" s="49">
        <f>SUMIF(BOM!A:A,'All Products'!A731,BOM!V:V)</f>
        <v>0.16924999999999998</v>
      </c>
      <c r="N731" s="29">
        <f t="shared" si="156"/>
        <v>0.10618746844627494</v>
      </c>
      <c r="O731" s="55">
        <v>0</v>
      </c>
      <c r="P731" s="49">
        <f t="shared" si="160"/>
        <v>1.4188159723062177</v>
      </c>
      <c r="Q731" s="11">
        <v>6.3863215963348097</v>
      </c>
      <c r="R731" s="29">
        <f t="shared" si="158"/>
        <v>0.47451260284954905</v>
      </c>
    </row>
    <row r="732" spans="1:27" x14ac:dyDescent="0.25">
      <c r="A732" s="1" t="s">
        <v>4760</v>
      </c>
      <c r="B732" s="1" t="s">
        <v>552</v>
      </c>
      <c r="C732" s="1" t="s">
        <v>4761</v>
      </c>
      <c r="D732" s="1" t="s">
        <v>554</v>
      </c>
      <c r="E732" s="1">
        <v>2.5</v>
      </c>
      <c r="F732" s="1"/>
      <c r="G732" s="145">
        <v>12.35</v>
      </c>
      <c r="H732" s="11" t="s">
        <v>1874</v>
      </c>
      <c r="I732" s="49">
        <f>SUMIFS(BOM!Q:Q,BOM!A:A,'All Products'!A732,BOM!I:I,'All Products'!I$3)</f>
        <v>1.7532467532467533</v>
      </c>
      <c r="J732" s="49">
        <f>SUMIFS(BOM!Q:Q,BOM!A:A,'All Products'!A732,BOM!I:I,'All Products'!J$3)+0.03</f>
        <v>0.75000000000000011</v>
      </c>
      <c r="K732" s="29">
        <f t="shared" si="155"/>
        <v>0.20269204479730796</v>
      </c>
      <c r="L732" s="49">
        <f>SUMIF(BOM!A:A,'All Products'!A732,BOM!S:S)</f>
        <v>3.2242124999999997</v>
      </c>
      <c r="M732" s="49">
        <f>SUMIF(BOM!A:A,'All Products'!A732,BOM!V:V)</f>
        <v>0.29618749999999999</v>
      </c>
      <c r="N732" s="29">
        <f t="shared" si="156"/>
        <v>0.28505263157894734</v>
      </c>
      <c r="O732" s="55">
        <v>0</v>
      </c>
      <c r="P732" s="49">
        <f t="shared" si="160"/>
        <v>6.0236467532467532</v>
      </c>
      <c r="Q732" s="11">
        <v>6.3863215963348097</v>
      </c>
      <c r="R732" s="29">
        <f t="shared" si="158"/>
        <v>0.51225532362374471</v>
      </c>
    </row>
    <row r="733" spans="1:27" x14ac:dyDescent="0.25">
      <c r="A733" s="1" t="s">
        <v>4762</v>
      </c>
      <c r="B733" s="2" t="s">
        <v>552</v>
      </c>
      <c r="C733" s="1" t="s">
        <v>4763</v>
      </c>
      <c r="D733" s="2" t="s">
        <v>554</v>
      </c>
      <c r="E733" s="1">
        <v>1</v>
      </c>
      <c r="F733" s="1"/>
      <c r="G733" s="145">
        <v>7.31</v>
      </c>
      <c r="H733" s="11" t="s">
        <v>1874</v>
      </c>
      <c r="I733" s="49">
        <f>SUMIFS(BOM!Q:Q,BOM!A:A,'All Products'!A733,BOM!I:I,'All Products'!I$3)</f>
        <v>1.4816584564860427</v>
      </c>
      <c r="J733" s="49">
        <f>SUMIFS(BOM!Q:Q,BOM!A:A,'All Products'!A733,BOM!I:I,'All Products'!J$3)+0.03</f>
        <v>0.45000000000000007</v>
      </c>
      <c r="K733" s="29">
        <f t="shared" si="155"/>
        <v>0.26424876285718779</v>
      </c>
      <c r="L733" s="49">
        <f>SUMIF(BOM!A:A,'All Products'!A733,BOM!S:S)</f>
        <v>0.48994490000000002</v>
      </c>
      <c r="M733" s="49">
        <f>SUMIF(BOM!A:A,'All Products'!A733,BOM!V:V)</f>
        <v>0.76162499999999989</v>
      </c>
      <c r="N733" s="29">
        <f t="shared" si="156"/>
        <v>0.17121339261285909</v>
      </c>
      <c r="O733" s="55">
        <v>0</v>
      </c>
      <c r="P733" s="49">
        <f t="shared" si="160"/>
        <v>3.1832283564860431</v>
      </c>
      <c r="Q733" s="11">
        <v>6.3863215963348097</v>
      </c>
      <c r="R733" s="29">
        <f t="shared" si="158"/>
        <v>0.56453784452995304</v>
      </c>
    </row>
    <row r="734" spans="1:27" x14ac:dyDescent="0.25">
      <c r="A734" s="1" t="s">
        <v>4764</v>
      </c>
      <c r="B734" s="2" t="s">
        <v>552</v>
      </c>
      <c r="C734" s="1" t="s">
        <v>4765</v>
      </c>
      <c r="D734" s="2" t="s">
        <v>554</v>
      </c>
      <c r="E734" s="1">
        <v>2</v>
      </c>
      <c r="F734" s="1"/>
      <c r="G734" s="145">
        <v>14.62</v>
      </c>
      <c r="H734" s="11" t="s">
        <v>1874</v>
      </c>
      <c r="I734" s="49">
        <f>SUMIFS(BOM!Q:Q,BOM!A:A,'All Products'!A734,BOM!I:I,'All Products'!I$3)</f>
        <v>1.5342465753424659</v>
      </c>
      <c r="J734" s="49">
        <f>SUMIFS(BOM!Q:Q,BOM!A:A,'All Products'!A734,BOM!I:I,'All Products'!J$3)+0.03</f>
        <v>0.75000000000000011</v>
      </c>
      <c r="K734" s="29">
        <f t="shared" si="155"/>
        <v>0.1562412158236981</v>
      </c>
      <c r="L734" s="49">
        <f>SUMIF(BOM!A:A,'All Products'!A734,BOM!S:S)</f>
        <v>2.9449499999999995</v>
      </c>
      <c r="M734" s="49">
        <f>SUMIF(BOM!A:A,'All Products'!A734,BOM!V:V)</f>
        <v>0.27079999999999999</v>
      </c>
      <c r="N734" s="29">
        <f t="shared" si="156"/>
        <v>0.21995554035567713</v>
      </c>
      <c r="O734" s="55">
        <v>0</v>
      </c>
      <c r="P734" s="49">
        <f t="shared" si="160"/>
        <v>5.4999965753424656</v>
      </c>
      <c r="Q734" s="11">
        <v>6.3863215963348097</v>
      </c>
      <c r="R734" s="29">
        <f t="shared" si="158"/>
        <v>0.62380324382062469</v>
      </c>
    </row>
    <row r="735" spans="1:27" x14ac:dyDescent="0.25">
      <c r="A735" s="1" t="s">
        <v>4766</v>
      </c>
      <c r="B735" s="2" t="s">
        <v>552</v>
      </c>
      <c r="C735" s="1" t="s">
        <v>4767</v>
      </c>
      <c r="D735" s="2" t="s">
        <v>554</v>
      </c>
      <c r="E735" s="1">
        <v>2</v>
      </c>
      <c r="F735" s="1"/>
      <c r="G735" s="145">
        <v>4.1500000000000004</v>
      </c>
      <c r="H735" s="11" t="s">
        <v>1874</v>
      </c>
      <c r="I735" s="49">
        <f>SUMIFS(BOM!Q:Q,BOM!A:A,'All Products'!A735,BOM!I:I,'All Products'!I$3)</f>
        <v>1.0693587484474705</v>
      </c>
      <c r="J735" s="49">
        <f>SUMIFS(BOM!Q:Q,BOM!A:A,'All Products'!A735,BOM!I:I,'All Products'!J$3)+0.03</f>
        <v>0.47000000000000008</v>
      </c>
      <c r="K735" s="29">
        <f t="shared" si="155"/>
        <v>0.37092981890300497</v>
      </c>
      <c r="L735" s="49">
        <f>SUMIF(BOM!A:A,'All Products'!A735,BOM!S:S)</f>
        <v>0.60690891712347139</v>
      </c>
      <c r="M735" s="49">
        <f>SUMIF(BOM!A:A,'All Products'!A735,BOM!V:V)</f>
        <v>0.27079999999999999</v>
      </c>
      <c r="N735" s="29">
        <f t="shared" si="156"/>
        <v>0.21149612460806536</v>
      </c>
      <c r="O735" s="55">
        <v>0</v>
      </c>
      <c r="P735" s="49">
        <f t="shared" si="160"/>
        <v>2.4170676655709418</v>
      </c>
      <c r="Q735" s="11">
        <v>6.3863215963348097</v>
      </c>
      <c r="R735" s="29">
        <f t="shared" si="158"/>
        <v>0.41757405648892976</v>
      </c>
    </row>
    <row r="736" spans="1:27" x14ac:dyDescent="0.25">
      <c r="A736" s="1" t="s">
        <v>4768</v>
      </c>
      <c r="B736" s="2" t="s">
        <v>552</v>
      </c>
      <c r="C736" s="1" t="s">
        <v>4769</v>
      </c>
      <c r="D736" s="2" t="s">
        <v>554</v>
      </c>
      <c r="E736" s="1">
        <v>4</v>
      </c>
      <c r="F736" s="1"/>
      <c r="G736" s="153">
        <v>29.28</v>
      </c>
      <c r="H736" s="11" t="s">
        <v>1874</v>
      </c>
      <c r="I736" s="49">
        <f>SUMIFS(BOM!Q:Q,BOM!A:A,'All Products'!A736,BOM!I:I,'All Products'!I$3)</f>
        <v>5.9266338259441707</v>
      </c>
      <c r="J736" s="49">
        <f>SUMIFS(BOM!Q:Q,BOM!A:A,'All Products'!A736,BOM!I:I,'All Products'!J$3)+0.03</f>
        <v>1.7100000000000002</v>
      </c>
      <c r="K736" s="29">
        <f t="shared" si="155"/>
        <v>0.26081399678771072</v>
      </c>
      <c r="L736" s="49">
        <f>SUMIF(BOM!A:A,'All Products'!A736,BOM!S:S)</f>
        <v>1.9597796000000001</v>
      </c>
      <c r="M736" s="49">
        <f>SUMIF(BOM!A:A,'All Products'!A736,BOM!V:V)</f>
        <v>3.0464999999999995</v>
      </c>
      <c r="N736" s="29">
        <f t="shared" si="156"/>
        <v>0.17097949453551908</v>
      </c>
      <c r="O736" s="55">
        <v>0</v>
      </c>
      <c r="P736" s="49">
        <f t="shared" si="160"/>
        <v>12.642913425944169</v>
      </c>
      <c r="Q736" s="11">
        <v>6.3863215963348097</v>
      </c>
      <c r="R736" s="29">
        <f t="shared" si="158"/>
        <v>0.56820650867677025</v>
      </c>
    </row>
    <row r="737" spans="1:26" x14ac:dyDescent="0.25">
      <c r="A737" s="1" t="s">
        <v>4782</v>
      </c>
      <c r="B737" s="2" t="s">
        <v>552</v>
      </c>
      <c r="C737" s="1" t="s">
        <v>4783</v>
      </c>
      <c r="D737" s="2" t="s">
        <v>554</v>
      </c>
      <c r="E737" s="1">
        <v>5</v>
      </c>
      <c r="F737" s="1"/>
      <c r="G737" s="12">
        <v>8.73</v>
      </c>
      <c r="H737" s="11" t="s">
        <v>1874</v>
      </c>
      <c r="I737" s="49">
        <f>SUMIFS(BOM!Q:Q,BOM!A:A,'All Products'!A737,BOM!I:I,'All Products'!I$3)</f>
        <v>3.4375000000000004</v>
      </c>
      <c r="J737" s="49">
        <f>SUMIFS(BOM!Q:Q,BOM!A:A,'All Products'!A737,BOM!I:I,'All Products'!J$3)+0.03</f>
        <v>0.45000000000000007</v>
      </c>
      <c r="K737" s="29">
        <f t="shared" ref="K737:K754" si="161">(I737+J737)/G737</f>
        <v>0.44530355097365409</v>
      </c>
      <c r="L737" s="49">
        <f>SUMIF(BOM!A:A,'All Products'!A737,BOM!S:S)</f>
        <v>1.0154999999999998</v>
      </c>
      <c r="M737" s="49">
        <f>SUMIF(BOM!A:A,'All Products'!A737,BOM!V:V)</f>
        <v>0.27079999999999999</v>
      </c>
      <c r="N737" s="29">
        <f t="shared" ref="N737:N754" si="162">(L737+M737)/G737</f>
        <v>0.14734249713631153</v>
      </c>
      <c r="O737" s="55">
        <v>0</v>
      </c>
      <c r="P737" s="49">
        <f t="shared" si="160"/>
        <v>5.1738</v>
      </c>
      <c r="Q737" s="11">
        <v>6.3863215963348097</v>
      </c>
      <c r="R737" s="29">
        <f t="shared" ref="R737:R754" si="163">IFERROR((G737-P737)/G737,0)</f>
        <v>0.40735395189003437</v>
      </c>
    </row>
    <row r="738" spans="1:26" x14ac:dyDescent="0.25">
      <c r="A738" s="1" t="s">
        <v>4785</v>
      </c>
      <c r="B738" s="2" t="s">
        <v>552</v>
      </c>
      <c r="C738" s="1" t="s">
        <v>4786</v>
      </c>
      <c r="D738" s="2" t="s">
        <v>554</v>
      </c>
      <c r="E738" s="1">
        <v>2.5</v>
      </c>
      <c r="F738" s="1"/>
      <c r="G738" s="153"/>
      <c r="H738" s="11" t="s">
        <v>1874</v>
      </c>
      <c r="I738" s="49">
        <f>SUMIFS(BOM!Q:Q,BOM!A:A,'All Products'!A738,BOM!I:I,'All Products'!I$3)</f>
        <v>1.2281558031168001</v>
      </c>
      <c r="J738" s="49">
        <f>SUMIFS(BOM!Q:Q,BOM!A:A,'All Products'!A738,BOM!I:I,'All Products'!J$3)+0.03</f>
        <v>0.45000000000000007</v>
      </c>
      <c r="K738" s="29" t="e">
        <f t="shared" si="161"/>
        <v>#DIV/0!</v>
      </c>
      <c r="L738" s="49">
        <f>SUMIF(BOM!A:A,'All Products'!A738,BOM!S:S)</f>
        <v>0.72861709033455635</v>
      </c>
      <c r="M738" s="49">
        <f>SUMIF(BOM!A:A,'All Products'!A738,BOM!V:V)</f>
        <v>0.29618749999999999</v>
      </c>
      <c r="N738" s="29" t="e">
        <f t="shared" si="162"/>
        <v>#DIV/0!</v>
      </c>
      <c r="O738" s="55">
        <v>0</v>
      </c>
      <c r="P738" s="49">
        <f t="shared" si="160"/>
        <v>2.7029603934513564</v>
      </c>
      <c r="Q738" s="11">
        <v>6.3863215963348097</v>
      </c>
      <c r="R738" s="29">
        <f t="shared" si="163"/>
        <v>0</v>
      </c>
    </row>
    <row r="739" spans="1:26" x14ac:dyDescent="0.25">
      <c r="A739" s="1" t="s">
        <v>4787</v>
      </c>
      <c r="B739" s="2" t="s">
        <v>552</v>
      </c>
      <c r="C739" s="1" t="s">
        <v>1763</v>
      </c>
      <c r="D739" s="2" t="s">
        <v>554</v>
      </c>
      <c r="E739" s="1">
        <v>2.5</v>
      </c>
      <c r="F739" s="1"/>
      <c r="G739" s="1">
        <v>4.16</v>
      </c>
      <c r="H739" s="11" t="s">
        <v>1874</v>
      </c>
      <c r="I739" s="49">
        <f>SUMIFS(BOM!Q:Q,BOM!A:A,'All Products'!A739,BOM!I:I,'All Products'!I$3)</f>
        <v>2.7</v>
      </c>
      <c r="J739" s="49">
        <f>SUMIFS(BOM!Q:Q,BOM!A:A,'All Products'!A739,BOM!I:I,'All Products'!J$3)+0.03</f>
        <v>0.45000000000000007</v>
      </c>
      <c r="K739" s="29">
        <f t="shared" si="161"/>
        <v>0.75721153846153855</v>
      </c>
      <c r="L739" s="49">
        <f>SUMIF(BOM!A:A,'All Products'!A739,BOM!S:S)</f>
        <v>0.42312499999999997</v>
      </c>
      <c r="M739" s="49">
        <f>SUMIF(BOM!A:A,'All Products'!A739,BOM!V:V)</f>
        <v>0.29618749999999999</v>
      </c>
      <c r="N739" s="29">
        <f t="shared" si="162"/>
        <v>0.17291165865384614</v>
      </c>
      <c r="O739" s="55">
        <v>0</v>
      </c>
      <c r="P739" s="49">
        <f t="shared" si="160"/>
        <v>3.8693125000000004</v>
      </c>
      <c r="Q739" s="11">
        <v>6.3863215963348097</v>
      </c>
      <c r="R739" s="29">
        <f t="shared" si="163"/>
        <v>6.9876802884615327E-2</v>
      </c>
    </row>
    <row r="740" spans="1:26" x14ac:dyDescent="0.25">
      <c r="A740" s="1" t="s">
        <v>4788</v>
      </c>
      <c r="B740" s="1" t="s">
        <v>552</v>
      </c>
      <c r="C740" s="1" t="s">
        <v>1105</v>
      </c>
      <c r="D740" s="1" t="s">
        <v>554</v>
      </c>
      <c r="E740" s="1">
        <v>1</v>
      </c>
      <c r="F740" s="1">
        <v>2.92</v>
      </c>
      <c r="G740" s="1">
        <v>2.92</v>
      </c>
      <c r="H740" s="11" t="s">
        <v>1874</v>
      </c>
      <c r="I740" s="49">
        <f>SUMIFS(BOM!Q:Q,BOM!A:A,'All Products'!A740,BOM!I:I,'All Products'!I$3)</f>
        <v>1.1301038062283739</v>
      </c>
      <c r="J740" s="49">
        <f>SUMIFS(BOM!Q:Q,BOM!A:A,'All Products'!A740,BOM!I:I,'All Products'!J$3)+0.03</f>
        <v>0.4</v>
      </c>
      <c r="K740" s="29">
        <f t="shared" si="161"/>
        <v>0.52400815281793622</v>
      </c>
      <c r="L740" s="49">
        <f>SUMIF(BOM!A:A,'All Products'!A740,BOM!S:S)</f>
        <v>1.4055363321799308</v>
      </c>
      <c r="M740" s="49">
        <f>SUMIF(BOM!A:A,'All Products'!A740,BOM!V:V)</f>
        <v>0.21720416666666661</v>
      </c>
      <c r="N740" s="29">
        <f t="shared" si="162"/>
        <v>0.55573304755020458</v>
      </c>
      <c r="O740" s="55">
        <v>0</v>
      </c>
      <c r="P740" s="49">
        <f t="shared" si="160"/>
        <v>3.1528443050749715</v>
      </c>
      <c r="Q740" s="11">
        <v>6.3863215963348097</v>
      </c>
      <c r="R740" s="29">
        <f t="shared" si="163"/>
        <v>-7.9741200368140946E-2</v>
      </c>
      <c r="Z740" s="34"/>
    </row>
    <row r="741" spans="1:26" x14ac:dyDescent="0.25">
      <c r="A741" s="1" t="s">
        <v>4789</v>
      </c>
      <c r="B741" s="1" t="s">
        <v>552</v>
      </c>
      <c r="C741" s="1" t="s">
        <v>581</v>
      </c>
      <c r="D741" s="1" t="s">
        <v>554</v>
      </c>
      <c r="E741" s="1">
        <v>2.5</v>
      </c>
      <c r="F741" s="1"/>
      <c r="G741" s="1">
        <v>6.09</v>
      </c>
      <c r="H741" s="11" t="s">
        <v>1874</v>
      </c>
      <c r="I741" s="49">
        <f>SUMIFS(BOM!Q:Q,BOM!A:A,'All Products'!A741,BOM!I:I,'All Products'!I$3)</f>
        <v>2.6983784417238059</v>
      </c>
      <c r="J741" s="49">
        <f>SUMIFS(BOM!Q:Q,BOM!A:A,'All Products'!A741,BOM!I:I,'All Products'!J$3)+0.03</f>
        <v>0.4</v>
      </c>
      <c r="K741" s="29">
        <f t="shared" si="161"/>
        <v>0.50876493295957403</v>
      </c>
      <c r="L741" s="49">
        <f>SUMIF(BOM!A:A,'All Products'!A741,BOM!S:S)</f>
        <v>1.1022468510140422</v>
      </c>
      <c r="M741" s="49">
        <f>SUMIF(BOM!A:A,'All Products'!A741,BOM!V:V)</f>
        <v>0.29618749999999999</v>
      </c>
      <c r="N741" s="29">
        <f t="shared" si="162"/>
        <v>0.22962797225189527</v>
      </c>
      <c r="O741" s="55">
        <v>0</v>
      </c>
      <c r="P741" s="49">
        <f t="shared" si="160"/>
        <v>4.4968127927378481</v>
      </c>
      <c r="Q741" s="11">
        <v>6.3863215963348097</v>
      </c>
      <c r="R741" s="29">
        <f t="shared" si="163"/>
        <v>0.26160709478853067</v>
      </c>
    </row>
    <row r="742" spans="1:26" x14ac:dyDescent="0.25">
      <c r="A742" s="1" t="s">
        <v>4790</v>
      </c>
      <c r="B742" s="1" t="s">
        <v>552</v>
      </c>
      <c r="C742" s="1" t="s">
        <v>565</v>
      </c>
      <c r="D742" s="1" t="s">
        <v>554</v>
      </c>
      <c r="E742" s="1">
        <v>2.5</v>
      </c>
      <c r="F742" s="1"/>
      <c r="G742" s="10">
        <v>7.81</v>
      </c>
      <c r="H742" s="11" t="s">
        <v>1874</v>
      </c>
      <c r="I742" s="49">
        <f>SUMIFS(BOM!Q:Q,BOM!A:A,'All Products'!A742,BOM!I:I,'All Products'!I$3)</f>
        <v>2.2569444444444446</v>
      </c>
      <c r="J742" s="49">
        <f>SUMIFS(BOM!Q:Q,BOM!A:A,'All Products'!A742,BOM!I:I,'All Products'!J$3)+0.03</f>
        <v>0.4</v>
      </c>
      <c r="K742" s="29">
        <f t="shared" si="161"/>
        <v>0.3401977521695832</v>
      </c>
      <c r="L742" s="49">
        <f>SUMIF(BOM!A:A,'All Products'!A742,BOM!S:S)</f>
        <v>2.4710499999999995</v>
      </c>
      <c r="M742" s="49">
        <f>SUMIF(BOM!A:A,'All Products'!A742,BOM!V:V)</f>
        <v>0.29618749999999999</v>
      </c>
      <c r="N742" s="29">
        <f t="shared" si="162"/>
        <v>0.35431978233034567</v>
      </c>
      <c r="O742" s="55">
        <v>0</v>
      </c>
      <c r="P742" s="49">
        <f t="shared" si="160"/>
        <v>5.4241819444444435</v>
      </c>
      <c r="Q742" s="11">
        <f t="shared" ref="Q742:Q754" si="164">G742-P742</f>
        <v>2.3858180555555561</v>
      </c>
      <c r="R742" s="29">
        <f t="shared" si="163"/>
        <v>0.30548246550007124</v>
      </c>
    </row>
    <row r="743" spans="1:26" x14ac:dyDescent="0.25">
      <c r="A743" s="1" t="s">
        <v>4791</v>
      </c>
      <c r="B743" s="1" t="s">
        <v>552</v>
      </c>
      <c r="C743" s="1" t="s">
        <v>553</v>
      </c>
      <c r="D743" s="1" t="s">
        <v>554</v>
      </c>
      <c r="E743" s="1">
        <v>1</v>
      </c>
      <c r="F743" s="1"/>
      <c r="G743" s="10">
        <v>1.72</v>
      </c>
      <c r="I743" s="49">
        <f>SUMIFS(BOM!Q:Q,BOM!A:A,'All Products'!A743,BOM!I:I,'All Products'!I$3)</f>
        <v>0.5044470994291782</v>
      </c>
      <c r="J743" s="49">
        <f>SUMIFS(BOM!Q:Q,BOM!A:A,'All Products'!A743,BOM!I:I,'All Products'!J$3)+0.03</f>
        <v>0.39</v>
      </c>
      <c r="K743" s="29">
        <f t="shared" si="161"/>
        <v>0.52002738338905707</v>
      </c>
      <c r="L743" s="49">
        <f>SUMIF(BOM!A:A,'All Products'!A743,BOM!S:S)</f>
        <v>0.30645053191489363</v>
      </c>
      <c r="M743" s="49">
        <f>SUMIF(BOM!A:A,'All Products'!A743,BOM!V:V)</f>
        <v>0.21720416666666661</v>
      </c>
      <c r="N743" s="29">
        <f t="shared" si="162"/>
        <v>0.30445040615206992</v>
      </c>
      <c r="O743" s="55">
        <v>0</v>
      </c>
      <c r="P743" s="49">
        <f t="shared" si="160"/>
        <v>1.4181017980107384</v>
      </c>
      <c r="Q743" s="11">
        <f t="shared" si="164"/>
        <v>0.30189820198926154</v>
      </c>
      <c r="R743" s="29">
        <f t="shared" si="163"/>
        <v>0.17552221045887298</v>
      </c>
    </row>
    <row r="744" spans="1:26" x14ac:dyDescent="0.25">
      <c r="A744" s="1" t="s">
        <v>4792</v>
      </c>
      <c r="B744" s="1" t="s">
        <v>552</v>
      </c>
      <c r="C744" s="1" t="s">
        <v>571</v>
      </c>
      <c r="D744" s="1" t="s">
        <v>554</v>
      </c>
      <c r="E744" s="1">
        <v>4</v>
      </c>
      <c r="F744" s="10">
        <v>6.56</v>
      </c>
      <c r="G744" s="10">
        <v>6.56</v>
      </c>
      <c r="H744" s="11" t="s">
        <v>1874</v>
      </c>
      <c r="I744" s="49">
        <f>SUMIFS(BOM!Q:Q,BOM!A:A,'All Products'!A744,BOM!I:I,'All Products'!I$3)</f>
        <v>2.0177883977167128</v>
      </c>
      <c r="J744" s="49">
        <f>SUMIFS(BOM!Q:Q,BOM!A:A,'All Products'!A744,BOM!I:I,'All Products'!J$3)+0.03</f>
        <v>0.63000000000000012</v>
      </c>
      <c r="K744" s="29">
        <f t="shared" si="161"/>
        <v>0.40362628013974289</v>
      </c>
      <c r="L744" s="49">
        <f>SUMIF(BOM!A:A,'All Products'!A744,BOM!S:S)</f>
        <v>1.2258021276595745</v>
      </c>
      <c r="M744" s="49">
        <f>SUMIF(BOM!A:A,'All Products'!A744,BOM!V:V)</f>
        <v>0.59237499999999998</v>
      </c>
      <c r="N744" s="29">
        <f t="shared" si="162"/>
        <v>0.2771611475090815</v>
      </c>
      <c r="O744" s="55">
        <v>0</v>
      </c>
      <c r="P744" s="49">
        <f t="shared" si="160"/>
        <v>4.465965525376288</v>
      </c>
      <c r="Q744" s="11">
        <f t="shared" si="164"/>
        <v>2.0940344746237116</v>
      </c>
      <c r="R744" s="29">
        <f t="shared" si="163"/>
        <v>0.31921257235117556</v>
      </c>
    </row>
    <row r="745" spans="1:26" x14ac:dyDescent="0.25">
      <c r="A745" s="1" t="s">
        <v>4795</v>
      </c>
      <c r="B745" s="2" t="s">
        <v>552</v>
      </c>
      <c r="C745" s="1" t="s">
        <v>4797</v>
      </c>
      <c r="D745" s="1" t="s">
        <v>554</v>
      </c>
      <c r="E745" s="1">
        <v>0.84</v>
      </c>
      <c r="F745" s="1"/>
      <c r="G745" s="10">
        <v>13.12</v>
      </c>
      <c r="H745" s="11" t="s">
        <v>1874</v>
      </c>
      <c r="I745" s="49">
        <f>SUMIFS(BOM!Q:Q,BOM!A:A,'All Products'!A745,BOM!I:I,'All Products'!I$3)</f>
        <v>3.8007310344827587</v>
      </c>
      <c r="J745" s="49">
        <f>SUMIFS(BOM!Q:Q,BOM!A:A,'All Products'!A745,BOM!I:I,'All Products'!J$3)+0.03</f>
        <v>1.85</v>
      </c>
      <c r="K745" s="29">
        <f t="shared" si="161"/>
        <v>0.43069596299411272</v>
      </c>
      <c r="L745" s="49">
        <f>SUMIF(BOM!A:A,'All Products'!A745,BOM!S:S)</f>
        <v>1.5516019475999998</v>
      </c>
      <c r="M745" s="49">
        <f>SUMIF(BOM!A:A,'All Products'!A745,BOM!V:V)</f>
        <v>0.8123999999999999</v>
      </c>
      <c r="N745" s="29">
        <f t="shared" si="162"/>
        <v>0.18018307527439023</v>
      </c>
      <c r="O745" s="55">
        <v>0</v>
      </c>
      <c r="P745" s="49">
        <f t="shared" si="160"/>
        <v>8.0147329820827586</v>
      </c>
      <c r="Q745" s="11">
        <f t="shared" si="164"/>
        <v>5.1052670179172406</v>
      </c>
      <c r="R745" s="29">
        <f t="shared" si="163"/>
        <v>0.38912096173149702</v>
      </c>
    </row>
    <row r="746" spans="1:26" x14ac:dyDescent="0.25">
      <c r="A746" s="1" t="s">
        <v>4796</v>
      </c>
      <c r="B746" s="2" t="s">
        <v>552</v>
      </c>
      <c r="C746" s="1" t="s">
        <v>4798</v>
      </c>
      <c r="D746" s="1" t="s">
        <v>554</v>
      </c>
      <c r="E746" s="1">
        <v>1.02</v>
      </c>
      <c r="F746" s="1"/>
      <c r="G746" s="10">
        <v>12.08</v>
      </c>
      <c r="H746" s="11" t="s">
        <v>1874</v>
      </c>
      <c r="I746" s="49">
        <f>SUMIFS(BOM!Q:Q,BOM!A:A,'All Products'!A746,BOM!I:I,'All Products'!I$3)</f>
        <v>2.3582120084180902</v>
      </c>
      <c r="J746" s="49">
        <f>SUMIFS(BOM!Q:Q,BOM!A:A,'All Products'!A746,BOM!I:I,'All Products'!J$3)+0.03</f>
        <v>1.85</v>
      </c>
      <c r="K746" s="29">
        <f t="shared" si="161"/>
        <v>0.34836192122666315</v>
      </c>
      <c r="L746" s="49">
        <f>SUMIF(BOM!A:A,'All Products'!A746,BOM!S:S)</f>
        <v>0.93045496410839146</v>
      </c>
      <c r="M746" s="49">
        <f>SUMIF(BOM!A:A,'All Products'!A746,BOM!V:V)</f>
        <v>0.8123999999999999</v>
      </c>
      <c r="N746" s="29">
        <f t="shared" si="162"/>
        <v>0.14427607318778074</v>
      </c>
      <c r="O746" s="55">
        <v>0</v>
      </c>
      <c r="P746" s="49">
        <f t="shared" si="160"/>
        <v>5.9510669725264824</v>
      </c>
      <c r="Q746" s="11">
        <f t="shared" si="164"/>
        <v>6.1289330274735176</v>
      </c>
      <c r="R746" s="29">
        <f t="shared" si="163"/>
        <v>0.50736200558555611</v>
      </c>
    </row>
    <row r="747" spans="1:26" ht="19.5" customHeight="1" x14ac:dyDescent="0.25">
      <c r="A747" s="1" t="s">
        <v>4805</v>
      </c>
      <c r="B747" s="2" t="s">
        <v>552</v>
      </c>
      <c r="C747" s="1" t="s">
        <v>4806</v>
      </c>
      <c r="D747" s="1" t="s">
        <v>554</v>
      </c>
      <c r="E747" s="1">
        <v>1</v>
      </c>
      <c r="F747" s="1"/>
      <c r="G747" s="10">
        <v>13.78</v>
      </c>
      <c r="H747" s="11" t="s">
        <v>1874</v>
      </c>
      <c r="I747" s="49">
        <f>SUMIFS(BOM!Q:Q,BOM!A:A,'All Products'!A747,BOM!I:I,'All Products'!I$3)</f>
        <v>1.1142857142857143</v>
      </c>
      <c r="J747" s="49">
        <f>SUMIFS(BOM!Q:Q,BOM!A:A,'All Products'!A747,BOM!I:I,'All Products'!J$3)+0.03</f>
        <v>0.73000000000000009</v>
      </c>
      <c r="K747" s="29">
        <f t="shared" si="161"/>
        <v>0.1338378602529546</v>
      </c>
      <c r="L747" s="49">
        <f>SUMIF(BOM!A:A,'All Products'!A747,BOM!S:S)</f>
        <v>3.2428299999999997</v>
      </c>
      <c r="M747" s="49">
        <f>SUMIF(BOM!A:A,'All Products'!A747,BOM!V:V)</f>
        <v>0.21720416666666661</v>
      </c>
      <c r="N747" s="29">
        <f t="shared" si="162"/>
        <v>0.25109101354620217</v>
      </c>
      <c r="O747" s="55">
        <v>0</v>
      </c>
      <c r="P747" s="49">
        <f t="shared" si="160"/>
        <v>5.3043198809523808</v>
      </c>
      <c r="Q747" s="11">
        <f t="shared" si="164"/>
        <v>8.4756801190476185</v>
      </c>
      <c r="R747" s="29">
        <f t="shared" si="163"/>
        <v>0.61507112620084314</v>
      </c>
    </row>
    <row r="748" spans="1:26" x14ac:dyDescent="0.25">
      <c r="A748" s="1" t="s">
        <v>4807</v>
      </c>
      <c r="B748" s="2" t="s">
        <v>552</v>
      </c>
      <c r="C748" s="1" t="s">
        <v>168</v>
      </c>
      <c r="D748" s="1" t="s">
        <v>554</v>
      </c>
      <c r="E748" s="1">
        <v>2.5</v>
      </c>
      <c r="F748" s="1"/>
      <c r="G748" s="10">
        <v>9.01</v>
      </c>
      <c r="H748" s="11" t="s">
        <v>1874</v>
      </c>
      <c r="I748" s="49">
        <f>SUMIFS(BOM!Q:Q,BOM!A:A,'All Products'!A748,BOM!I:I,'All Products'!I$3)</f>
        <v>2.8704057279236279</v>
      </c>
      <c r="J748" s="49">
        <f>SUMIFS(BOM!Q:Q,BOM!A:A,'All Products'!A748,BOM!I:I,'All Products'!J$3)+0.03</f>
        <v>0.17</v>
      </c>
      <c r="K748" s="29">
        <f t="shared" si="161"/>
        <v>0.33744791652870454</v>
      </c>
      <c r="L748" s="49">
        <f>SUMIF(BOM!A:A,'All Products'!A748,BOM!S:S)</f>
        <v>2.4572891805887029</v>
      </c>
      <c r="M748" s="49">
        <f>SUMIF(BOM!A:A,'All Products'!A748,BOM!V:V)</f>
        <v>0.29618749999999999</v>
      </c>
      <c r="N748" s="29">
        <f t="shared" si="162"/>
        <v>0.30560229529286381</v>
      </c>
      <c r="O748" s="55">
        <v>0</v>
      </c>
      <c r="P748" s="49">
        <f t="shared" si="160"/>
        <v>5.7938824085123306</v>
      </c>
      <c r="Q748" s="11">
        <f t="shared" si="164"/>
        <v>3.2161175914876692</v>
      </c>
      <c r="R748" s="29">
        <f t="shared" si="163"/>
        <v>0.35694978817843165</v>
      </c>
    </row>
    <row r="749" spans="1:26" x14ac:dyDescent="0.25">
      <c r="A749" s="1" t="s">
        <v>4810</v>
      </c>
      <c r="B749" s="1" t="s">
        <v>552</v>
      </c>
      <c r="C749" s="1" t="s">
        <v>394</v>
      </c>
      <c r="D749" s="1" t="s">
        <v>554</v>
      </c>
      <c r="E749" s="1">
        <f>VLOOKUP(A749,BOM!A:E,5,0)</f>
        <v>1.35</v>
      </c>
      <c r="F749" s="122">
        <v>7.93</v>
      </c>
      <c r="G749" s="10">
        <v>8.16</v>
      </c>
      <c r="H749" s="11" t="s">
        <v>1874</v>
      </c>
      <c r="I749" s="49">
        <f>SUMIFS(BOM!Q:Q,BOM!A:A,'All Products'!A749,BOM!I:I,'All Products'!I$3)</f>
        <v>4.0496074112734863</v>
      </c>
      <c r="J749" s="49">
        <f>SUMIFS(BOM!Q:Q,BOM!A:A,'All Products'!A749,BOM!I:I,'All Products'!J$3)+0.03</f>
        <v>0.73000000000000009</v>
      </c>
      <c r="K749" s="29">
        <f t="shared" si="161"/>
        <v>0.5857362023619469</v>
      </c>
      <c r="L749" s="49">
        <f>SUMIF(BOM!A:A,'All Products'!A749,BOM!S:S)</f>
        <v>1.4537472463380687</v>
      </c>
      <c r="M749" s="49">
        <f>SUMIF(BOM!A:A,'All Products'!A749,BOM!V:V)</f>
        <v>0.21833249999999998</v>
      </c>
      <c r="N749" s="29">
        <f t="shared" si="162"/>
        <v>0.20491173361986137</v>
      </c>
      <c r="O749" s="55">
        <v>0</v>
      </c>
      <c r="P749" s="49">
        <f t="shared" si="160"/>
        <v>6.4516871576115555</v>
      </c>
      <c r="Q749" s="11">
        <f t="shared" si="164"/>
        <v>1.7083128423884446</v>
      </c>
      <c r="R749" s="29">
        <f t="shared" si="163"/>
        <v>0.20935206401819173</v>
      </c>
    </row>
    <row r="750" spans="1:26" x14ac:dyDescent="0.25">
      <c r="A750" s="1" t="s">
        <v>4811</v>
      </c>
      <c r="B750" s="1" t="s">
        <v>552</v>
      </c>
      <c r="C750" s="1" t="s">
        <v>290</v>
      </c>
      <c r="D750" s="1" t="s">
        <v>554</v>
      </c>
      <c r="E750" s="1">
        <v>4</v>
      </c>
      <c r="F750" s="1"/>
      <c r="G750" s="10">
        <v>9.56</v>
      </c>
      <c r="H750" s="11" t="s">
        <v>1874</v>
      </c>
      <c r="I750" s="49">
        <f>SUMIFS(BOM!Q:Q,BOM!A:A,'All Products'!A750,BOM!I:I,'All Products'!I$3)</f>
        <v>1.8907573392334531</v>
      </c>
      <c r="J750" s="49">
        <f>SUMIFS(BOM!Q:Q,BOM!A:A,'All Products'!A750,BOM!I:I,'All Products'!J$3)+0.03</f>
        <v>0.95000000000000007</v>
      </c>
      <c r="K750" s="29">
        <f t="shared" si="161"/>
        <v>0.29715034929220219</v>
      </c>
      <c r="L750" s="49">
        <f>SUMIF(BOM!A:A,'All Products'!A750,BOM!S:S)</f>
        <v>1.1249724131570109</v>
      </c>
      <c r="M750" s="49">
        <f>SUMIF(BOM!A:A,'All Products'!A750,BOM!V:V)</f>
        <v>0.77854999999999985</v>
      </c>
      <c r="N750" s="29">
        <f t="shared" si="162"/>
        <v>0.19911322313357852</v>
      </c>
      <c r="O750" s="55">
        <v>0</v>
      </c>
      <c r="P750" s="49">
        <f t="shared" si="160"/>
        <v>4.7442797523904634</v>
      </c>
      <c r="Q750" s="11">
        <f t="shared" si="164"/>
        <v>4.8157202476095371</v>
      </c>
      <c r="R750" s="29">
        <f t="shared" si="163"/>
        <v>0.50373642757421933</v>
      </c>
    </row>
    <row r="751" spans="1:26" x14ac:dyDescent="0.25">
      <c r="A751" s="1" t="s">
        <v>4813</v>
      </c>
      <c r="B751" s="1" t="s">
        <v>552</v>
      </c>
      <c r="C751" s="1" t="s">
        <v>4812</v>
      </c>
      <c r="D751" s="1" t="s">
        <v>554</v>
      </c>
      <c r="E751" s="1">
        <v>10</v>
      </c>
      <c r="F751" s="1"/>
      <c r="G751" s="10">
        <v>14.2</v>
      </c>
      <c r="H751" s="11" t="s">
        <v>1874</v>
      </c>
      <c r="I751" s="49">
        <f>SUMIFS(BOM!Q:Q,BOM!A:A,'All Products'!A751,BOM!I:I,'All Products'!I$3)</f>
        <v>4.9932659585046828</v>
      </c>
      <c r="J751" s="49">
        <f>SUMIFS(BOM!Q:Q,BOM!A:A,'All Products'!A751,BOM!I:I,'All Products'!J$3)+0.03</f>
        <v>0.31000000000000005</v>
      </c>
      <c r="K751" s="29">
        <f t="shared" si="161"/>
        <v>0.37346943369751295</v>
      </c>
      <c r="L751" s="49">
        <f>SUMIF(BOM!A:A,'All Products'!A751,BOM!S:S)</f>
        <v>2.8605592878224613</v>
      </c>
      <c r="M751" s="49">
        <f>SUMIF(BOM!A:A,'All Products'!A751,BOM!V:V)</f>
        <v>0.50774999999999992</v>
      </c>
      <c r="N751" s="29">
        <f t="shared" si="162"/>
        <v>0.23720487942411697</v>
      </c>
      <c r="O751" s="55">
        <v>0</v>
      </c>
      <c r="P751" s="49">
        <f t="shared" si="160"/>
        <v>8.6715752463271443</v>
      </c>
      <c r="Q751" s="11">
        <f t="shared" si="164"/>
        <v>5.528424753672855</v>
      </c>
      <c r="R751" s="29">
        <f t="shared" si="163"/>
        <v>0.3893256868783701</v>
      </c>
    </row>
    <row r="752" spans="1:26" x14ac:dyDescent="0.25">
      <c r="A752" s="134" t="s">
        <v>4816</v>
      </c>
      <c r="B752" s="134" t="s">
        <v>552</v>
      </c>
      <c r="C752" s="134" t="s">
        <v>4817</v>
      </c>
      <c r="D752" s="1" t="s">
        <v>554</v>
      </c>
      <c r="E752" s="1">
        <v>3</v>
      </c>
      <c r="F752" s="1"/>
      <c r="G752" s="10">
        <v>16.100000000000001</v>
      </c>
      <c r="H752" s="11" t="s">
        <v>1874</v>
      </c>
      <c r="I752" s="49">
        <f>SUMIFS(BOM!Q:Q,BOM!A:A,'All Products'!A752,BOM!I:I,'All Products'!I$3)</f>
        <v>6.7789073084685203</v>
      </c>
      <c r="J752" s="49">
        <f>SUMIFS(BOM!Q:Q,BOM!A:A,'All Products'!A752,BOM!I:I,'All Products'!J$3)+0.08</f>
        <v>0.84</v>
      </c>
      <c r="K752" s="29">
        <f t="shared" si="161"/>
        <v>0.47322405642661614</v>
      </c>
      <c r="L752" s="49">
        <f>SUMIF(BOM!A:A,'All Products'!A752,BOM!S:S)</f>
        <v>2.0960568191489362</v>
      </c>
      <c r="M752" s="49">
        <f>SUMIF(BOM!A:A,'All Products'!A752,BOM!V:V)</f>
        <v>0.8123999999999999</v>
      </c>
      <c r="N752" s="29">
        <f t="shared" si="162"/>
        <v>0.18064949187260471</v>
      </c>
      <c r="O752" s="55">
        <v>0</v>
      </c>
      <c r="P752" s="49">
        <f t="shared" si="160"/>
        <v>10.527364127617457</v>
      </c>
      <c r="Q752" s="11">
        <f t="shared" si="164"/>
        <v>5.5726358723825449</v>
      </c>
      <c r="R752" s="29">
        <f t="shared" si="163"/>
        <v>0.34612645170077916</v>
      </c>
    </row>
    <row r="753" spans="1:18" x14ac:dyDescent="0.25">
      <c r="A753" s="1" t="s">
        <v>4823</v>
      </c>
      <c r="B753" s="1" t="s">
        <v>552</v>
      </c>
      <c r="C753" s="1" t="s">
        <v>4825</v>
      </c>
      <c r="D753" s="1" t="s">
        <v>554</v>
      </c>
      <c r="E753" s="1">
        <v>2</v>
      </c>
      <c r="F753" s="1"/>
      <c r="G753" s="10">
        <v>16.14</v>
      </c>
      <c r="H753" s="11" t="s">
        <v>1874</v>
      </c>
      <c r="I753" s="49">
        <f>SUMIFS(BOM!Q:Q,BOM!A:A,'All Products'!A753,BOM!I:I,'All Products'!I$3)</f>
        <v>4.7826086956521738</v>
      </c>
      <c r="J753" s="49">
        <f>SUMIFS(BOM!Q:Q,BOM!A:A,'All Products'!A753,BOM!I:I,'All Products'!J$3)+0.03</f>
        <v>0.24000000000000002</v>
      </c>
      <c r="K753" s="29">
        <f t="shared" si="161"/>
        <v>0.31119012984214212</v>
      </c>
      <c r="L753" s="49">
        <f>SUMIF(BOM!A:A,'All Products'!A753,BOM!S:S)</f>
        <v>3.0600399999999999</v>
      </c>
      <c r="M753" s="49">
        <f>SUMIF(BOM!A:A,'All Products'!A753,BOM!V:V)</f>
        <v>0.27079999999999999</v>
      </c>
      <c r="N753" s="29">
        <f t="shared" si="162"/>
        <v>0.20637174721189588</v>
      </c>
      <c r="O753" s="55">
        <v>0</v>
      </c>
      <c r="P753" s="49">
        <f t="shared" si="160"/>
        <v>8.3534486956521743</v>
      </c>
      <c r="Q753" s="11">
        <f t="shared" si="164"/>
        <v>7.7865513043478263</v>
      </c>
      <c r="R753" s="29">
        <f t="shared" si="163"/>
        <v>0.48243812294596194</v>
      </c>
    </row>
    <row r="754" spans="1:18" x14ac:dyDescent="0.25">
      <c r="A754" s="1" t="s">
        <v>4824</v>
      </c>
      <c r="B754" s="1" t="s">
        <v>552</v>
      </c>
      <c r="C754" s="1" t="s">
        <v>4826</v>
      </c>
      <c r="D754" s="1" t="s">
        <v>554</v>
      </c>
      <c r="E754" s="1">
        <v>2</v>
      </c>
      <c r="F754" s="1"/>
      <c r="G754" s="10">
        <v>8.36</v>
      </c>
      <c r="H754" s="11" t="s">
        <v>1874</v>
      </c>
      <c r="I754" s="49">
        <f>SUMIFS(BOM!Q:Q,BOM!A:A,'All Products'!A754,BOM!I:I,'All Products'!I$3)</f>
        <v>1.9183673469387754</v>
      </c>
      <c r="J754" s="49">
        <f>SUMIFS(BOM!Q:Q,BOM!A:A,'All Products'!A754,BOM!I:I,'All Products'!J$3)+0.03</f>
        <v>0.24000000000000002</v>
      </c>
      <c r="K754" s="29">
        <f t="shared" si="161"/>
        <v>0.25817791231325071</v>
      </c>
      <c r="L754" s="49">
        <f>SUMIF(BOM!A:A,'All Products'!A754,BOM!S:S)</f>
        <v>2.8433999999999999</v>
      </c>
      <c r="M754" s="49">
        <f>SUMIF(BOM!A:A,'All Products'!A754,BOM!V:V)</f>
        <v>0.27079999999999999</v>
      </c>
      <c r="N754" s="29">
        <f t="shared" si="162"/>
        <v>0.37251196172248807</v>
      </c>
      <c r="O754" s="55">
        <v>0</v>
      </c>
      <c r="P754" s="49">
        <f t="shared" si="160"/>
        <v>5.272567346938775</v>
      </c>
      <c r="Q754" s="11">
        <f t="shared" si="164"/>
        <v>3.0874326530612244</v>
      </c>
      <c r="R754" s="29">
        <f t="shared" si="163"/>
        <v>0.36931012596426133</v>
      </c>
    </row>
    <row r="755" spans="1:18" x14ac:dyDescent="0.25">
      <c r="A755" s="1" t="s">
        <v>4838</v>
      </c>
      <c r="B755" s="1" t="s">
        <v>552</v>
      </c>
      <c r="C755" s="1" t="s">
        <v>4840</v>
      </c>
      <c r="D755" s="1" t="s">
        <v>554</v>
      </c>
      <c r="E755" s="1">
        <v>5</v>
      </c>
      <c r="F755" s="1"/>
      <c r="G755" s="10">
        <v>6.5</v>
      </c>
      <c r="H755" s="11" t="s">
        <v>1874</v>
      </c>
      <c r="I755" s="49">
        <f>SUMIFS(BOM!Q:Q,BOM!A:A,'All Products'!A755,BOM!I:I,'All Products'!I$3)</f>
        <v>1.6438356164383561</v>
      </c>
      <c r="J755" s="49">
        <f>SUMIFS(BOM!Q:Q,BOM!A:A,'All Products'!A755,BOM!I:I,'All Products'!J$3)+0.03</f>
        <v>0.18</v>
      </c>
      <c r="K755" s="29">
        <f t="shared" ref="K755:K757" si="165">(I755+J755)/G755</f>
        <v>0.28059009483667013</v>
      </c>
      <c r="L755" s="49">
        <f>SUMIF(BOM!A:A,'All Products'!A755,BOM!S:S)</f>
        <v>1.4724749999999998</v>
      </c>
      <c r="M755" s="49">
        <f>SUMIF(BOM!A:A,'All Products'!A755,BOM!V:V)</f>
        <v>0.33849999999999997</v>
      </c>
      <c r="N755" s="29">
        <f t="shared" ref="N755:N757" si="166">(L755+M755)/G755</f>
        <v>0.27861153846153841</v>
      </c>
      <c r="O755" s="55">
        <v>0</v>
      </c>
      <c r="P755" s="49">
        <f t="shared" ref="P755:P757" si="167">I755+J755+M755+L755+O755</f>
        <v>3.6348106164383558</v>
      </c>
      <c r="Q755" s="11">
        <f t="shared" ref="Q755:Q757" si="168">G755-P755</f>
        <v>2.8651893835616442</v>
      </c>
      <c r="R755" s="29">
        <f t="shared" ref="R755:R757" si="169">IFERROR((G755-P755)/G755,0)</f>
        <v>0.4407983667017914</v>
      </c>
    </row>
    <row r="756" spans="1:18" x14ac:dyDescent="0.25">
      <c r="A756" s="1" t="s">
        <v>4841</v>
      </c>
      <c r="B756" s="1" t="s">
        <v>656</v>
      </c>
      <c r="C756" s="1" t="s">
        <v>4842</v>
      </c>
      <c r="D756" s="2" t="s">
        <v>554</v>
      </c>
      <c r="E756" s="1">
        <v>1</v>
      </c>
      <c r="F756" s="110"/>
      <c r="G756" s="10">
        <v>2.6</v>
      </c>
      <c r="H756" s="11" t="s">
        <v>1874</v>
      </c>
      <c r="I756" s="49">
        <f>SUMIFS(BOM!Q:Q,BOM!A:A,'All Products'!A756,BOM!I:I,'All Products'!I$3)</f>
        <v>0.47116237799467614</v>
      </c>
      <c r="J756" s="49">
        <f>SUMIFS(BOM!Q:Q,BOM!A:A,'All Products'!A756,BOM!I:I,'All Products'!J$3)+0.03</f>
        <v>0.17</v>
      </c>
      <c r="K756" s="29">
        <f t="shared" si="165"/>
        <v>0.24660091461333697</v>
      </c>
      <c r="L756" s="49">
        <f>SUMIF(BOM!A:A,'All Products'!A756,BOM!S:S)</f>
        <v>1.1626839248742975</v>
      </c>
      <c r="M756" s="49">
        <f>SUMIF(BOM!A:A,'All Products'!A756,BOM!V:V)</f>
        <v>0.21720416666666661</v>
      </c>
      <c r="N756" s="29">
        <f t="shared" si="166"/>
        <v>0.53072618905421698</v>
      </c>
      <c r="O756" s="55">
        <v>0</v>
      </c>
      <c r="P756" s="49">
        <f t="shared" si="167"/>
        <v>2.0210504695356404</v>
      </c>
      <c r="Q756" s="11">
        <f t="shared" si="168"/>
        <v>0.57894953046435971</v>
      </c>
      <c r="R756" s="29">
        <f t="shared" si="169"/>
        <v>0.22267289633244602</v>
      </c>
    </row>
    <row r="757" spans="1:18" x14ac:dyDescent="0.25">
      <c r="A757" s="1" t="s">
        <v>4843</v>
      </c>
      <c r="B757" s="1" t="s">
        <v>552</v>
      </c>
      <c r="C757" s="1" t="s">
        <v>4844</v>
      </c>
      <c r="D757" s="2" t="s">
        <v>554</v>
      </c>
      <c r="E757" s="1">
        <v>1</v>
      </c>
      <c r="F757" s="1"/>
      <c r="G757" s="10">
        <v>9.92</v>
      </c>
      <c r="H757" s="11" t="s">
        <v>1874</v>
      </c>
      <c r="I757" s="49">
        <f>SUMIFS(BOM!Q:Q,BOM!A:A,'All Products'!A757,BOM!I:I,'All Products'!I$3)</f>
        <v>3.4198376837025677</v>
      </c>
      <c r="J757" s="49">
        <f>SUMIFS(BOM!Q:Q,BOM!A:A,'All Products'!A757,BOM!I:I,'All Products'!J$3)+0.03</f>
        <v>0.17</v>
      </c>
      <c r="K757" s="29">
        <f t="shared" si="165"/>
        <v>0.36187879876033946</v>
      </c>
      <c r="L757" s="49">
        <f>SUMIF(BOM!A:A,'All Products'!A757,BOM!S:S)</f>
        <v>1.4404255319148938</v>
      </c>
      <c r="M757" s="49">
        <f>SUMIF(BOM!A:A,'All Products'!A757,BOM!V:V)</f>
        <v>0.21720416666666661</v>
      </c>
      <c r="N757" s="29">
        <f t="shared" si="166"/>
        <v>0.16709976800217344</v>
      </c>
      <c r="O757" s="55">
        <v>0</v>
      </c>
      <c r="P757" s="49">
        <f t="shared" si="167"/>
        <v>5.2474673822841282</v>
      </c>
      <c r="Q757" s="11">
        <f t="shared" si="168"/>
        <v>4.6725326177158717</v>
      </c>
      <c r="R757" s="29">
        <f t="shared" si="169"/>
        <v>0.47102143323748707</v>
      </c>
    </row>
    <row r="758" spans="1:18" x14ac:dyDescent="0.25">
      <c r="A758" s="1" t="s">
        <v>4851</v>
      </c>
      <c r="B758" s="1" t="s">
        <v>552</v>
      </c>
      <c r="C758" s="1" t="s">
        <v>4866</v>
      </c>
      <c r="D758" s="2" t="s">
        <v>554</v>
      </c>
      <c r="E758" s="1">
        <v>5</v>
      </c>
      <c r="F758" s="1"/>
      <c r="G758" s="10">
        <v>8.32</v>
      </c>
      <c r="H758" s="11" t="s">
        <v>1874</v>
      </c>
      <c r="I758" s="49">
        <f>SUMIFS(BOM!Q:Q,BOM!A:A,'All Products'!A758,BOM!I:I,'All Products'!I$3)</f>
        <v>2.0527821447900827</v>
      </c>
      <c r="J758" s="49">
        <f>SUMIFS(BOM!Q:Q,BOM!A:A,'All Products'!A758,BOM!I:I,'All Products'!J$3)+0.03</f>
        <v>0.45000000000000007</v>
      </c>
      <c r="K758" s="29">
        <f t="shared" ref="K758:K772" si="170">(I758+J758)/G758</f>
        <v>0.30081516163342342</v>
      </c>
      <c r="L758" s="49">
        <f>SUMIF(BOM!A:A,'All Products'!A758,BOM!S:S)</f>
        <v>4.7362650253859426</v>
      </c>
      <c r="M758" s="49">
        <f>SUMIF(BOM!A:A,'All Products'!A758,BOM!V:V)</f>
        <v>0.40112249999999999</v>
      </c>
      <c r="N758" s="29">
        <f t="shared" ref="N758:N772" si="171">(L758+M758)/G758</f>
        <v>0.61747446218581037</v>
      </c>
      <c r="O758" s="55">
        <v>0</v>
      </c>
      <c r="P758" s="49">
        <f t="shared" ref="P758:P772" si="172">I758+J758+M758+L758+O758</f>
        <v>7.6401696701760251</v>
      </c>
      <c r="Q758" s="11">
        <f t="shared" ref="Q758:Q772" si="173">G758-P758</f>
        <v>0.67983032982397518</v>
      </c>
      <c r="R758" s="29">
        <f t="shared" ref="R758:R772" si="174">IFERROR((G758-P758)/G758,0)</f>
        <v>8.171037618076625E-2</v>
      </c>
    </row>
    <row r="759" spans="1:18" x14ac:dyDescent="0.25">
      <c r="A759" s="1" t="s">
        <v>4859</v>
      </c>
      <c r="B759" s="1" t="s">
        <v>552</v>
      </c>
      <c r="C759" s="1" t="s">
        <v>4867</v>
      </c>
      <c r="D759" s="2" t="s">
        <v>554</v>
      </c>
      <c r="E759" s="1">
        <v>1</v>
      </c>
      <c r="F759" s="1"/>
      <c r="G759" s="10">
        <v>3.01</v>
      </c>
      <c r="H759" s="11" t="s">
        <v>1874</v>
      </c>
      <c r="I759" s="49">
        <f>SUMIFS(BOM!Q:Q,BOM!A:A,'All Products'!A759,BOM!I:I,'All Products'!I$3)</f>
        <v>0.89652023952071624</v>
      </c>
      <c r="J759" s="49">
        <f>SUMIFS(BOM!Q:Q,BOM!A:A,'All Products'!A759,BOM!I:I,'All Products'!J$3)+0.03</f>
        <v>0.4</v>
      </c>
      <c r="K759" s="29">
        <f t="shared" si="170"/>
        <v>0.43073762110322805</v>
      </c>
      <c r="L759" s="49">
        <f>SUMIF(BOM!A:A,'All Products'!A759,BOM!S:S)</f>
        <v>0.57639525370895051</v>
      </c>
      <c r="M759" s="49">
        <f>SUMIF(BOM!A:A,'All Products'!A759,BOM!V:V)</f>
        <v>0.21833249999999998</v>
      </c>
      <c r="N759" s="29">
        <f t="shared" si="171"/>
        <v>0.26402915405612976</v>
      </c>
      <c r="O759" s="55">
        <v>0</v>
      </c>
      <c r="P759" s="49">
        <f t="shared" si="172"/>
        <v>2.0912479932296666</v>
      </c>
      <c r="Q759" s="11">
        <f t="shared" si="173"/>
        <v>0.9187520067703332</v>
      </c>
      <c r="R759" s="29">
        <f t="shared" si="174"/>
        <v>0.3052332248406423</v>
      </c>
    </row>
    <row r="760" spans="1:18" x14ac:dyDescent="0.25">
      <c r="A760" s="1" t="s">
        <v>4852</v>
      </c>
      <c r="B760" s="1" t="s">
        <v>552</v>
      </c>
      <c r="C760" s="1" t="s">
        <v>4868</v>
      </c>
      <c r="D760" s="2" t="s">
        <v>554</v>
      </c>
      <c r="E760" s="1">
        <v>1</v>
      </c>
      <c r="F760" s="1">
        <f>1.35*8</f>
        <v>10.8</v>
      </c>
      <c r="G760" s="10">
        <v>1.72</v>
      </c>
      <c r="H760" s="11" t="s">
        <v>1874</v>
      </c>
      <c r="I760" s="49">
        <f>SUMIFS(BOM!Q:Q,BOM!A:A,'All Products'!A760,BOM!I:I,'All Products'!I$3)</f>
        <v>0.5044470994291782</v>
      </c>
      <c r="J760" s="49">
        <f>SUMIFS(BOM!Q:Q,BOM!A:A,'All Products'!A760,BOM!I:I,'All Products'!J$3)+0.03</f>
        <v>0.39</v>
      </c>
      <c r="K760" s="29">
        <f t="shared" si="170"/>
        <v>0.52002738338905707</v>
      </c>
      <c r="L760" s="49">
        <f>SUMIF(BOM!A:A,'All Products'!A760,BOM!S:S)</f>
        <v>0.30645053191489363</v>
      </c>
      <c r="M760" s="49">
        <f>SUMIF(BOM!A:A,'All Products'!A760,BOM!V:V)</f>
        <v>0.18617500000000001</v>
      </c>
      <c r="N760" s="29">
        <f t="shared" si="171"/>
        <v>0.2864101929737754</v>
      </c>
      <c r="O760" s="55">
        <v>0</v>
      </c>
      <c r="P760" s="49">
        <f t="shared" si="172"/>
        <v>1.3870726313440718</v>
      </c>
      <c r="Q760" s="11">
        <f t="shared" si="173"/>
        <v>0.3329273686559282</v>
      </c>
      <c r="R760" s="29">
        <f t="shared" si="174"/>
        <v>0.19356242363716755</v>
      </c>
    </row>
    <row r="761" spans="1:18" x14ac:dyDescent="0.25">
      <c r="A761" s="1" t="s">
        <v>4855</v>
      </c>
      <c r="B761" s="1" t="s">
        <v>552</v>
      </c>
      <c r="C761" s="1" t="s">
        <v>4869</v>
      </c>
      <c r="D761" s="2" t="s">
        <v>554</v>
      </c>
      <c r="E761" s="1">
        <v>2.5</v>
      </c>
      <c r="F761" s="1"/>
      <c r="G761" s="10">
        <v>3.73</v>
      </c>
      <c r="H761" s="11" t="s">
        <v>1874</v>
      </c>
      <c r="I761" s="49">
        <f>SUMIFS(BOM!Q:Q,BOM!A:A,'All Products'!A761,BOM!I:I,'All Products'!I$3)</f>
        <v>1.322180656459695</v>
      </c>
      <c r="J761" s="49">
        <f>SUMIFS(BOM!Q:Q,BOM!A:A,'All Products'!A761,BOM!I:I,'All Products'!J$3)+0.03</f>
        <v>0.4</v>
      </c>
      <c r="K761" s="29">
        <f t="shared" si="170"/>
        <v>0.46171063175863131</v>
      </c>
      <c r="L761" s="49">
        <f>SUMIF(BOM!A:A,'All Products'!A761,BOM!S:S)</f>
        <v>1.4480148164122626</v>
      </c>
      <c r="M761" s="49">
        <f>SUMIF(BOM!A:A,'All Products'!A761,BOM!V:V)</f>
        <v>0.29618749999999999</v>
      </c>
      <c r="N761" s="29">
        <f t="shared" si="171"/>
        <v>0.46761456204082108</v>
      </c>
      <c r="O761" s="55">
        <v>0</v>
      </c>
      <c r="P761" s="49">
        <f t="shared" si="172"/>
        <v>3.4663829728719575</v>
      </c>
      <c r="Q761" s="11">
        <f t="shared" si="173"/>
        <v>0.26361702712804247</v>
      </c>
      <c r="R761" s="29">
        <f t="shared" si="174"/>
        <v>7.0674806200547585E-2</v>
      </c>
    </row>
    <row r="762" spans="1:18" x14ac:dyDescent="0.25">
      <c r="A762" s="1" t="s">
        <v>4865</v>
      </c>
      <c r="B762" s="1" t="s">
        <v>552</v>
      </c>
      <c r="C762" s="1" t="s">
        <v>4870</v>
      </c>
      <c r="D762" s="2" t="s">
        <v>554</v>
      </c>
      <c r="E762" s="1">
        <v>2.5</v>
      </c>
      <c r="F762" s="1"/>
      <c r="G762" s="10">
        <v>4.08</v>
      </c>
      <c r="H762" s="11" t="s">
        <v>1874</v>
      </c>
      <c r="I762" s="49">
        <f>SUMIFS(BOM!Q:Q,BOM!A:A,'All Products'!A762,BOM!I:I,'All Products'!I$3)</f>
        <v>1.2139844243068514</v>
      </c>
      <c r="J762" s="49">
        <f>SUMIFS(BOM!Q:Q,BOM!A:A,'All Products'!A762,BOM!I:I,'All Products'!J$3)+0.03</f>
        <v>0.4</v>
      </c>
      <c r="K762" s="29">
        <f t="shared" si="170"/>
        <v>0.39558441772226749</v>
      </c>
      <c r="L762" s="49">
        <f>SUMIF(BOM!A:A,'All Products'!A762,BOM!S:S)</f>
        <v>0.73002149971884911</v>
      </c>
      <c r="M762" s="49">
        <f>SUMIF(BOM!A:A,'All Products'!A762,BOM!V:V)</f>
        <v>0.29618749999999999</v>
      </c>
      <c r="N762" s="29">
        <f t="shared" si="171"/>
        <v>0.25152181365658066</v>
      </c>
      <c r="O762" s="55">
        <v>0</v>
      </c>
      <c r="P762" s="49">
        <f t="shared" si="172"/>
        <v>2.6401934240257003</v>
      </c>
      <c r="Q762" s="11">
        <f t="shared" si="173"/>
        <v>1.4398065759742997</v>
      </c>
      <c r="R762" s="29">
        <f t="shared" si="174"/>
        <v>0.3528937686211519</v>
      </c>
    </row>
    <row r="763" spans="1:18" x14ac:dyDescent="0.25">
      <c r="A763" s="1" t="s">
        <v>4854</v>
      </c>
      <c r="B763" s="1" t="s">
        <v>552</v>
      </c>
      <c r="C763" s="1" t="s">
        <v>4871</v>
      </c>
      <c r="D763" s="2" t="s">
        <v>554</v>
      </c>
      <c r="E763" s="1">
        <v>1</v>
      </c>
      <c r="F763" s="1"/>
      <c r="G763" s="10">
        <v>1.64</v>
      </c>
      <c r="H763" s="11" t="s">
        <v>1874</v>
      </c>
      <c r="I763" s="49">
        <f>SUMIFS(BOM!Q:Q,BOM!A:A,'All Products'!A763,BOM!I:I,'All Products'!I$3)</f>
        <v>0.5044470994291782</v>
      </c>
      <c r="J763" s="49">
        <f>SUMIFS(BOM!Q:Q,BOM!A:A,'All Products'!A763,BOM!I:I,'All Products'!J$3)+0.03</f>
        <v>0.18000000000000002</v>
      </c>
      <c r="K763" s="29">
        <f t="shared" si="170"/>
        <v>0.4173457923348648</v>
      </c>
      <c r="L763" s="49">
        <f>SUMIF(BOM!A:A,'All Products'!A763,BOM!S:S)</f>
        <v>0.30645053191489363</v>
      </c>
      <c r="M763" s="49">
        <f>SUMIF(BOM!A:A,'All Products'!A763,BOM!V:V)</f>
        <v>0.59237499999999998</v>
      </c>
      <c r="N763" s="29">
        <f t="shared" si="171"/>
        <v>0.54806434872859378</v>
      </c>
      <c r="O763" s="55">
        <v>0</v>
      </c>
      <c r="P763" s="49">
        <f t="shared" si="172"/>
        <v>1.5832726313440719</v>
      </c>
      <c r="Q763" s="11">
        <f t="shared" si="173"/>
        <v>5.6727368655927979E-2</v>
      </c>
      <c r="R763" s="29">
        <f t="shared" si="174"/>
        <v>3.458985893654145E-2</v>
      </c>
    </row>
    <row r="764" spans="1:18" x14ac:dyDescent="0.25">
      <c r="A764" s="1" t="s">
        <v>4862</v>
      </c>
      <c r="B764" s="1" t="s">
        <v>552</v>
      </c>
      <c r="C764" s="1" t="s">
        <v>4872</v>
      </c>
      <c r="D764" s="2" t="s">
        <v>554</v>
      </c>
      <c r="E764" s="1">
        <v>2.5</v>
      </c>
      <c r="F764" s="1"/>
      <c r="G764" s="10">
        <v>3.6</v>
      </c>
      <c r="H764" s="11" t="s">
        <v>1874</v>
      </c>
      <c r="I764" s="49">
        <f>SUMIFS(BOM!Q:Q,BOM!A:A,'All Products'!A764,BOM!I:I,'All Products'!I$3)</f>
        <v>1.4568326456395553</v>
      </c>
      <c r="J764" s="49">
        <f>SUMIFS(BOM!Q:Q,BOM!A:A,'All Products'!A764,BOM!I:I,'All Products'!J$3)+0.03</f>
        <v>0.4</v>
      </c>
      <c r="K764" s="29">
        <f t="shared" si="170"/>
        <v>0.51578684601098757</v>
      </c>
      <c r="L764" s="49">
        <f>SUMIF(BOM!A:A,'All Products'!A764,BOM!S:S)</f>
        <v>0.70047058011049723</v>
      </c>
      <c r="M764" s="49">
        <f>SUMIF(BOM!A:A,'All Products'!A764,BOM!V:V)</f>
        <v>0.29618749999999999</v>
      </c>
      <c r="N764" s="29">
        <f t="shared" si="171"/>
        <v>0.27684946669736032</v>
      </c>
      <c r="O764" s="55">
        <v>0</v>
      </c>
      <c r="P764" s="49">
        <f t="shared" si="172"/>
        <v>2.8534907257500524</v>
      </c>
      <c r="Q764" s="11">
        <f t="shared" si="173"/>
        <v>0.74650927424994773</v>
      </c>
      <c r="R764" s="29">
        <f t="shared" si="174"/>
        <v>0.20736368729165214</v>
      </c>
    </row>
    <row r="765" spans="1:18" x14ac:dyDescent="0.25">
      <c r="A765" s="1" t="s">
        <v>4853</v>
      </c>
      <c r="B765" s="1" t="s">
        <v>552</v>
      </c>
      <c r="C765" s="1" t="s">
        <v>4873</v>
      </c>
      <c r="D765" s="2" t="s">
        <v>554</v>
      </c>
      <c r="E765" s="1">
        <v>1</v>
      </c>
      <c r="F765" s="1"/>
      <c r="G765" s="10">
        <v>1.95</v>
      </c>
      <c r="H765" s="11" t="s">
        <v>1874</v>
      </c>
      <c r="I765" s="49">
        <f>SUMIFS(BOM!Q:Q,BOM!A:A,'All Products'!A765,BOM!I:I,'All Products'!I$3)</f>
        <v>0.45953516952849938</v>
      </c>
      <c r="J765" s="49">
        <f>SUMIFS(BOM!Q:Q,BOM!A:A,'All Products'!A765,BOM!I:I,'All Products'!J$3)+0.03</f>
        <v>0.39</v>
      </c>
      <c r="K765" s="29">
        <f t="shared" si="170"/>
        <v>0.43565906129666637</v>
      </c>
      <c r="L765" s="49">
        <f>SUMIF(BOM!A:A,'All Products'!A765,BOM!S:S)</f>
        <v>0.28806692200540729</v>
      </c>
      <c r="M765" s="49">
        <f>SUMIF(BOM!A:A,'All Products'!A765,BOM!V:V)</f>
        <v>0.18617500000000001</v>
      </c>
      <c r="N765" s="29">
        <f t="shared" si="171"/>
        <v>0.24320098564379861</v>
      </c>
      <c r="O765" s="55">
        <v>0</v>
      </c>
      <c r="P765" s="49">
        <f t="shared" si="172"/>
        <v>1.3237770915339067</v>
      </c>
      <c r="Q765" s="11">
        <f t="shared" si="173"/>
        <v>0.6262229084660933</v>
      </c>
      <c r="R765" s="29">
        <f t="shared" si="174"/>
        <v>0.32113995305953502</v>
      </c>
    </row>
    <row r="766" spans="1:18" x14ac:dyDescent="0.25">
      <c r="A766" s="1" t="s">
        <v>4858</v>
      </c>
      <c r="B766" s="1" t="s">
        <v>552</v>
      </c>
      <c r="C766" s="1" t="s">
        <v>4874</v>
      </c>
      <c r="D766" s="2" t="s">
        <v>554</v>
      </c>
      <c r="E766" s="1">
        <v>2.5</v>
      </c>
      <c r="F766" s="1"/>
      <c r="G766" s="10">
        <v>6.01</v>
      </c>
      <c r="H766" s="11" t="s">
        <v>1874</v>
      </c>
      <c r="I766" s="49">
        <f>SUMIFS(BOM!Q:Q,BOM!A:A,'All Products'!A766,BOM!I:I,'All Products'!I$3)</f>
        <v>3.1877446294005183</v>
      </c>
      <c r="J766" s="49">
        <f>SUMIFS(BOM!Q:Q,BOM!A:A,'All Products'!A766,BOM!I:I,'All Products'!J$3)+0.03</f>
        <v>0.4</v>
      </c>
      <c r="K766" s="29">
        <f t="shared" si="170"/>
        <v>0.59696250073219936</v>
      </c>
      <c r="L766" s="49">
        <f>SUMIF(BOM!A:A,'All Products'!A766,BOM!S:S)</f>
        <v>0.61776249999999988</v>
      </c>
      <c r="M766" s="49">
        <f>SUMIF(BOM!A:A,'All Products'!A766,BOM!V:V)</f>
        <v>0.29618749999999999</v>
      </c>
      <c r="N766" s="29">
        <f t="shared" si="171"/>
        <v>0.15207154742096504</v>
      </c>
      <c r="O766" s="55">
        <v>0</v>
      </c>
      <c r="P766" s="49">
        <f t="shared" si="172"/>
        <v>4.501694629400518</v>
      </c>
      <c r="Q766" s="11">
        <f t="shared" si="173"/>
        <v>1.5083053705994818</v>
      </c>
      <c r="R766" s="29">
        <f t="shared" si="174"/>
        <v>0.25096595184683557</v>
      </c>
    </row>
    <row r="767" spans="1:18" x14ac:dyDescent="0.25">
      <c r="A767" s="1" t="s">
        <v>4857</v>
      </c>
      <c r="B767" s="1" t="s">
        <v>552</v>
      </c>
      <c r="C767" s="1" t="s">
        <v>4875</v>
      </c>
      <c r="D767" s="2" t="s">
        <v>554</v>
      </c>
      <c r="E767" s="1">
        <v>2.5</v>
      </c>
      <c r="F767" s="1"/>
      <c r="G767" s="10">
        <v>5.98</v>
      </c>
      <c r="H767" s="11" t="s">
        <v>1874</v>
      </c>
      <c r="I767" s="49">
        <f>SUMIFS(BOM!Q:Q,BOM!A:A,'All Products'!A767,BOM!I:I,'All Products'!I$3)</f>
        <v>2.4369561514854508</v>
      </c>
      <c r="J767" s="49">
        <f>SUMIFS(BOM!Q:Q,BOM!A:A,'All Products'!A767,BOM!I:I,'All Products'!J$3)+0.03</f>
        <v>0.4</v>
      </c>
      <c r="K767" s="29">
        <f t="shared" si="170"/>
        <v>0.47440738319154691</v>
      </c>
      <c r="L767" s="49">
        <f>SUMIF(BOM!A:A,'All Products'!A767,BOM!S:S)</f>
        <v>0.61776249999999988</v>
      </c>
      <c r="M767" s="49">
        <f>SUMIF(BOM!A:A,'All Products'!A767,BOM!V:V)</f>
        <v>0.29618749999999999</v>
      </c>
      <c r="N767" s="29">
        <f t="shared" si="171"/>
        <v>0.15283444816053507</v>
      </c>
      <c r="O767" s="55">
        <v>0</v>
      </c>
      <c r="P767" s="49">
        <f t="shared" si="172"/>
        <v>3.7509061514854505</v>
      </c>
      <c r="Q767" s="11">
        <f t="shared" si="173"/>
        <v>2.2290938485145499</v>
      </c>
      <c r="R767" s="29">
        <f t="shared" si="174"/>
        <v>0.372758168647918</v>
      </c>
    </row>
    <row r="768" spans="1:18" x14ac:dyDescent="0.25">
      <c r="A768" s="1" t="s">
        <v>4856</v>
      </c>
      <c r="B768" s="1" t="s">
        <v>552</v>
      </c>
      <c r="C768" s="1" t="s">
        <v>4876</v>
      </c>
      <c r="D768" s="2" t="s">
        <v>554</v>
      </c>
      <c r="E768" s="1">
        <v>2.5</v>
      </c>
      <c r="F768" s="1"/>
      <c r="G768" s="10">
        <v>6.36</v>
      </c>
      <c r="H768" s="11" t="s">
        <v>1874</v>
      </c>
      <c r="I768" s="49">
        <f>SUMIFS(BOM!Q:Q,BOM!A:A,'All Products'!A768,BOM!I:I,'All Products'!I$3)</f>
        <v>2.6479274491771281</v>
      </c>
      <c r="J768" s="49">
        <f>SUMIFS(BOM!Q:Q,BOM!A:A,'All Products'!A768,BOM!I:I,'All Products'!J$3)+0.03</f>
        <v>0.4</v>
      </c>
      <c r="K768" s="29">
        <f t="shared" si="170"/>
        <v>0.47923387565678111</v>
      </c>
      <c r="L768" s="49">
        <f>SUMIF(BOM!A:A,'All Products'!A768,BOM!S:S)</f>
        <v>0.5500624999999999</v>
      </c>
      <c r="M768" s="49">
        <f>SUMIF(BOM!A:A,'All Products'!A768,BOM!V:V)</f>
        <v>0.29618749999999999</v>
      </c>
      <c r="N768" s="29">
        <f t="shared" si="171"/>
        <v>0.13305817610062892</v>
      </c>
      <c r="O768" s="55">
        <v>0</v>
      </c>
      <c r="P768" s="49">
        <f t="shared" si="172"/>
        <v>3.8941774491771275</v>
      </c>
      <c r="Q768" s="11">
        <f t="shared" si="173"/>
        <v>2.4658225508228728</v>
      </c>
      <c r="R768" s="29">
        <f t="shared" si="174"/>
        <v>0.38770794824259003</v>
      </c>
    </row>
    <row r="769" spans="1:18" x14ac:dyDescent="0.25">
      <c r="A769" s="1" t="s">
        <v>4863</v>
      </c>
      <c r="B769" s="1" t="s">
        <v>552</v>
      </c>
      <c r="C769" s="1" t="s">
        <v>4877</v>
      </c>
      <c r="D769" s="2" t="s">
        <v>554</v>
      </c>
      <c r="E769" s="1">
        <v>2.5</v>
      </c>
      <c r="F769" s="1"/>
      <c r="G769" s="10">
        <v>3.64</v>
      </c>
      <c r="H769" s="11" t="s">
        <v>1874</v>
      </c>
      <c r="I769" s="49">
        <f>SUMIFS(BOM!Q:Q,BOM!A:A,'All Products'!A769,BOM!I:I,'All Products'!I$3)</f>
        <v>2.3686643835616441</v>
      </c>
      <c r="J769" s="49">
        <f>SUMIFS(BOM!Q:Q,BOM!A:A,'All Products'!A769,BOM!I:I,'All Products'!J$3)+0.03</f>
        <v>0.4</v>
      </c>
      <c r="K769" s="29">
        <f t="shared" si="170"/>
        <v>0.76062208339605597</v>
      </c>
      <c r="L769" s="49">
        <f>SUMIF(BOM!A:A,'All Products'!A769,BOM!S:S)</f>
        <v>0.16924999999999998</v>
      </c>
      <c r="M769" s="49">
        <f>SUMIF(BOM!A:A,'All Products'!A769,BOM!V:V)</f>
        <v>0.29618749999999999</v>
      </c>
      <c r="N769" s="29">
        <f t="shared" si="171"/>
        <v>0.12786744505494504</v>
      </c>
      <c r="O769" s="55">
        <v>0</v>
      </c>
      <c r="P769" s="49">
        <f t="shared" si="172"/>
        <v>3.2341018835616437</v>
      </c>
      <c r="Q769" s="11">
        <f t="shared" si="173"/>
        <v>0.40589811643835638</v>
      </c>
      <c r="R769" s="29">
        <f t="shared" si="174"/>
        <v>0.111510471548999</v>
      </c>
    </row>
    <row r="770" spans="1:18" x14ac:dyDescent="0.25">
      <c r="A770" s="1" t="s">
        <v>4864</v>
      </c>
      <c r="B770" s="1" t="s">
        <v>552</v>
      </c>
      <c r="C770" s="1" t="s">
        <v>4878</v>
      </c>
      <c r="D770" s="2" t="s">
        <v>554</v>
      </c>
      <c r="E770" s="1">
        <v>2.5</v>
      </c>
      <c r="F770" s="1"/>
      <c r="G770" s="10">
        <v>4.16</v>
      </c>
      <c r="H770" s="11" t="s">
        <v>1874</v>
      </c>
      <c r="I770" s="49">
        <f>SUMIFS(BOM!Q:Q,BOM!A:A,'All Products'!A770,BOM!I:I,'All Products'!I$3)</f>
        <v>2.7</v>
      </c>
      <c r="J770" s="49">
        <f>SUMIFS(BOM!Q:Q,BOM!A:A,'All Products'!A770,BOM!I:I,'All Products'!J$3)+0.03</f>
        <v>0.45000000000000007</v>
      </c>
      <c r="K770" s="29">
        <f t="shared" si="170"/>
        <v>0.75721153846153855</v>
      </c>
      <c r="L770" s="49">
        <f>SUMIF(BOM!A:A,'All Products'!A770,BOM!S:S)</f>
        <v>0.42312499999999997</v>
      </c>
      <c r="M770" s="49">
        <f>SUMIF(BOM!A:A,'All Products'!A770,BOM!V:V)</f>
        <v>0.29618749999999999</v>
      </c>
      <c r="N770" s="29">
        <f t="shared" si="171"/>
        <v>0.17291165865384614</v>
      </c>
      <c r="O770" s="55">
        <v>0</v>
      </c>
      <c r="P770" s="49">
        <f t="shared" si="172"/>
        <v>3.8693125000000004</v>
      </c>
      <c r="Q770" s="11">
        <f t="shared" si="173"/>
        <v>0.29068749999999977</v>
      </c>
      <c r="R770" s="29">
        <f t="shared" si="174"/>
        <v>6.9876802884615327E-2</v>
      </c>
    </row>
    <row r="771" spans="1:18" x14ac:dyDescent="0.25">
      <c r="A771" s="1" t="s">
        <v>4860</v>
      </c>
      <c r="B771" s="1" t="s">
        <v>552</v>
      </c>
      <c r="C771" s="1" t="s">
        <v>4879</v>
      </c>
      <c r="D771" s="2" t="s">
        <v>554</v>
      </c>
      <c r="E771" s="1">
        <v>2.5</v>
      </c>
      <c r="F771" s="1"/>
      <c r="G771" s="10">
        <v>6.09</v>
      </c>
      <c r="H771" s="11" t="s">
        <v>1874</v>
      </c>
      <c r="I771" s="49">
        <f>SUMIFS(BOM!Q:Q,BOM!A:A,'All Products'!A771,BOM!I:I,'All Products'!I$3)</f>
        <v>2.6983784417238059</v>
      </c>
      <c r="J771" s="49">
        <f>SUMIFS(BOM!Q:Q,BOM!A:A,'All Products'!A771,BOM!I:I,'All Products'!J$3)+0.03</f>
        <v>0.4</v>
      </c>
      <c r="K771" s="29">
        <f t="shared" si="170"/>
        <v>0.50876493295957403</v>
      </c>
      <c r="L771" s="49">
        <f>SUMIF(BOM!A:A,'All Products'!A771,BOM!S:S)</f>
        <v>1.1022468510140422</v>
      </c>
      <c r="M771" s="49">
        <f>SUMIF(BOM!A:A,'All Products'!A771,BOM!V:V)</f>
        <v>0.29618749999999999</v>
      </c>
      <c r="N771" s="29">
        <f t="shared" si="171"/>
        <v>0.22962797225189527</v>
      </c>
      <c r="O771" s="55">
        <v>0</v>
      </c>
      <c r="P771" s="49">
        <f t="shared" si="172"/>
        <v>4.4968127927378481</v>
      </c>
      <c r="Q771" s="11">
        <f t="shared" si="173"/>
        <v>1.5931872072621518</v>
      </c>
      <c r="R771" s="29">
        <f t="shared" si="174"/>
        <v>0.26160709478853067</v>
      </c>
    </row>
    <row r="772" spans="1:18" x14ac:dyDescent="0.25">
      <c r="A772" s="1" t="s">
        <v>4861</v>
      </c>
      <c r="B772" s="1" t="s">
        <v>552</v>
      </c>
      <c r="C772" s="1" t="s">
        <v>4880</v>
      </c>
      <c r="D772" s="2" t="s">
        <v>554</v>
      </c>
      <c r="E772" s="1">
        <v>1</v>
      </c>
      <c r="F772" s="1"/>
      <c r="G772" s="10">
        <v>4.78</v>
      </c>
      <c r="H772" s="11" t="s">
        <v>1874</v>
      </c>
      <c r="I772" s="49">
        <f>SUMIFS(BOM!Q:Q,BOM!A:A,'All Products'!A772,BOM!I:I,'All Products'!I$3)</f>
        <v>1.8600333657588632</v>
      </c>
      <c r="J772" s="49">
        <f>SUMIFS(BOM!Q:Q,BOM!A:A,'All Products'!A772,BOM!I:I,'All Products'!J$3)+0.03</f>
        <v>0.12</v>
      </c>
      <c r="K772" s="29">
        <f t="shared" si="170"/>
        <v>0.41423292170687515</v>
      </c>
      <c r="L772" s="49">
        <f>SUMIF(BOM!A:A,'All Products'!A772,BOM!S:S)</f>
        <v>1.1602167994072523</v>
      </c>
      <c r="M772" s="49">
        <f>SUMIF(BOM!A:A,'All Products'!A772,BOM!V:V)</f>
        <v>0.21833249999999998</v>
      </c>
      <c r="N772" s="29">
        <f t="shared" si="171"/>
        <v>0.2883994350224377</v>
      </c>
      <c r="O772" s="55">
        <v>0</v>
      </c>
      <c r="P772" s="49">
        <f t="shared" si="172"/>
        <v>3.3585826651661153</v>
      </c>
      <c r="Q772" s="11">
        <f t="shared" si="173"/>
        <v>1.421417334833885</v>
      </c>
      <c r="R772" s="29">
        <f t="shared" si="174"/>
        <v>0.29736764327068721</v>
      </c>
    </row>
    <row r="773" spans="1:18" x14ac:dyDescent="0.25">
      <c r="A773" s="1" t="s">
        <v>4882</v>
      </c>
      <c r="B773" s="1" t="s">
        <v>552</v>
      </c>
      <c r="C773" s="1" t="s">
        <v>4884</v>
      </c>
      <c r="D773" s="2" t="s">
        <v>554</v>
      </c>
      <c r="E773" s="1">
        <v>2</v>
      </c>
      <c r="F773" s="1"/>
      <c r="G773" s="10">
        <v>9.75</v>
      </c>
      <c r="H773" s="11" t="s">
        <v>1874</v>
      </c>
      <c r="I773" s="49">
        <f>SUMIFS(BOM!Q:Q,BOM!A:A,'All Products'!A773,BOM!I:I,'All Products'!I$3)</f>
        <v>3.8284912275654128</v>
      </c>
      <c r="J773" s="49">
        <f>SUMIFS(BOM!Q:Q,BOM!A:A,'All Products'!A773,BOM!I:I,'All Products'!J$3)+0.03</f>
        <v>0.75000000000000011</v>
      </c>
      <c r="K773" s="29">
        <f t="shared" ref="K773:K774" si="175">(I773+J773)/G773</f>
        <v>0.46958884385286292</v>
      </c>
      <c r="L773" s="49">
        <f>SUMIF(BOM!A:A,'All Products'!A773,BOM!S:S)</f>
        <v>2.5716748022517555</v>
      </c>
      <c r="M773" s="49">
        <f>SUMIF(BOM!A:A,'All Products'!A773,BOM!V:V)</f>
        <v>0.80393749999999997</v>
      </c>
      <c r="N773" s="29">
        <f t="shared" ref="N773:N774" si="176">(L773+M773)/G773</f>
        <v>0.34621664638479543</v>
      </c>
      <c r="O773" s="55">
        <v>0</v>
      </c>
      <c r="P773" s="49">
        <f t="shared" ref="P773:P774" si="177">I773+J773+M773+L773+O773</f>
        <v>7.9541035298171687</v>
      </c>
      <c r="Q773" s="11">
        <f t="shared" ref="Q773:Q774" si="178">G773-P773</f>
        <v>1.7958964701828313</v>
      </c>
      <c r="R773" s="29">
        <f t="shared" ref="R773:R774" si="179">IFERROR((G773-P773)/G773,0)</f>
        <v>0.18419450976234167</v>
      </c>
    </row>
    <row r="774" spans="1:18" x14ac:dyDescent="0.25">
      <c r="A774" s="1" t="s">
        <v>4883</v>
      </c>
      <c r="B774" s="1" t="s">
        <v>552</v>
      </c>
      <c r="C774" s="1" t="s">
        <v>4885</v>
      </c>
      <c r="D774" s="2" t="s">
        <v>554</v>
      </c>
      <c r="E774" s="1">
        <v>2</v>
      </c>
      <c r="F774" s="1"/>
      <c r="G774" s="10">
        <v>10.63</v>
      </c>
      <c r="H774" s="11" t="s">
        <v>1874</v>
      </c>
      <c r="I774" s="49">
        <f>SUMIFS(BOM!Q:Q,BOM!A:A,'All Products'!A774,BOM!I:I,'All Products'!I$3)</f>
        <v>3.5440999999999998</v>
      </c>
      <c r="J774" s="49">
        <f>SUMIFS(BOM!Q:Q,BOM!A:A,'All Products'!A774,BOM!I:I,'All Products'!J$3)+0.03</f>
        <v>0.75000000000000011</v>
      </c>
      <c r="K774" s="29">
        <f t="shared" si="175"/>
        <v>0.40396048918156163</v>
      </c>
      <c r="L774" s="49">
        <f>SUMIF(BOM!A:A,'All Products'!A774,BOM!S:S)</f>
        <v>1.0980320684072049</v>
      </c>
      <c r="M774" s="49">
        <f>SUMIF(BOM!A:A,'All Products'!A774,BOM!V:V)</f>
        <v>0.27079999999999999</v>
      </c>
      <c r="N774" s="29">
        <f t="shared" si="176"/>
        <v>0.12877065554159969</v>
      </c>
      <c r="O774" s="55">
        <v>0</v>
      </c>
      <c r="P774" s="49">
        <f t="shared" si="177"/>
        <v>5.6629320684072058</v>
      </c>
      <c r="Q774" s="11">
        <f t="shared" si="178"/>
        <v>4.967067931592795</v>
      </c>
      <c r="R774" s="29">
        <f t="shared" si="179"/>
        <v>0.46726885527683865</v>
      </c>
    </row>
    <row r="775" spans="1:18" x14ac:dyDescent="0.25">
      <c r="A775" s="1" t="s">
        <v>4888</v>
      </c>
      <c r="B775" s="1" t="s">
        <v>552</v>
      </c>
      <c r="C775" s="1" t="s">
        <v>2645</v>
      </c>
      <c r="D775" s="2" t="s">
        <v>554</v>
      </c>
      <c r="E775" s="1">
        <v>0.5</v>
      </c>
      <c r="F775" s="1"/>
      <c r="G775" s="10">
        <v>1.2</v>
      </c>
      <c r="H775" s="11" t="s">
        <v>1874</v>
      </c>
      <c r="I775" s="49">
        <f>SUMIFS(BOM!Q:Q,BOM!A:A,'All Products'!A775,BOM!I:I,'All Products'!I$3)</f>
        <v>0.23634466740418164</v>
      </c>
      <c r="J775" s="49">
        <f>SUMIFS(BOM!Q:Q,BOM!A:A,'All Products'!A775,BOM!I:I,'All Products'!J$3)+0.03</f>
        <v>0.18000000000000002</v>
      </c>
      <c r="K775" s="29">
        <f t="shared" ref="K775" si="180">(I775+J775)/G775</f>
        <v>0.34695388950348471</v>
      </c>
      <c r="L775" s="49">
        <f>SUMIF(BOM!A:A,'All Products'!A775,BOM!S:S)</f>
        <v>0.14062155164462636</v>
      </c>
      <c r="M775" s="49">
        <f>SUMIF(BOM!A:A,'All Products'!A775,BOM!V:V)</f>
        <v>0.18786749999999997</v>
      </c>
      <c r="N775" s="29">
        <f t="shared" ref="N775" si="181">(L775+M775)/G775</f>
        <v>0.27374087637052197</v>
      </c>
      <c r="O775" s="55">
        <v>0</v>
      </c>
      <c r="P775" s="49">
        <f t="shared" ref="P775" si="182">I775+J775+M775+L775+O775</f>
        <v>0.74483371904880791</v>
      </c>
      <c r="Q775" s="11">
        <f t="shared" ref="Q775" si="183">G775-P775</f>
        <v>0.45516628095119205</v>
      </c>
      <c r="R775" s="29">
        <f t="shared" ref="R775" si="184">IFERROR((G775-P775)/G775,0)</f>
        <v>0.37930523412599337</v>
      </c>
    </row>
    <row r="776" spans="1:18" x14ac:dyDescent="0.25">
      <c r="A776" s="1" t="s">
        <v>4890</v>
      </c>
      <c r="B776" s="1" t="s">
        <v>552</v>
      </c>
      <c r="C776" s="1" t="s">
        <v>2645</v>
      </c>
      <c r="D776" s="2" t="s">
        <v>554</v>
      </c>
      <c r="E776" s="1">
        <v>0.5</v>
      </c>
      <c r="F776" s="1"/>
      <c r="G776" s="10">
        <v>1.63</v>
      </c>
      <c r="H776" s="11" t="s">
        <v>1874</v>
      </c>
      <c r="I776" s="49">
        <f>SUMIFS(BOM!Q:Q,BOM!A:A,'All Products'!A776,BOM!I:I,'All Products'!I$3)</f>
        <v>0.23634466740418164</v>
      </c>
      <c r="J776" s="49">
        <f>SUMIFS(BOM!Q:Q,BOM!A:A,'All Products'!A776,BOM!I:I,'All Products'!J$3)+0.03</f>
        <v>0.18000000000000002</v>
      </c>
      <c r="K776" s="29">
        <f t="shared" ref="K776" si="185">(I776+J776)/G776</f>
        <v>0.25542617632158382</v>
      </c>
      <c r="L776" s="49">
        <f>SUMIF(BOM!A:A,'All Products'!A776,BOM!S:S)</f>
        <v>0.14062155164462636</v>
      </c>
      <c r="M776" s="49">
        <f>SUMIF(BOM!A:A,'All Products'!A776,BOM!V:V)</f>
        <v>0.18786749999999997</v>
      </c>
      <c r="N776" s="29">
        <f t="shared" ref="N776" si="186">(L776+M776)/G776</f>
        <v>0.20152702554885052</v>
      </c>
      <c r="O776" s="55">
        <v>0</v>
      </c>
      <c r="P776" s="49">
        <f t="shared" ref="P776" si="187">I776+J776+M776+L776+O776</f>
        <v>0.74483371904880791</v>
      </c>
      <c r="Q776" s="11">
        <f t="shared" ref="Q776" si="188">G776-P776</f>
        <v>0.88516628095119199</v>
      </c>
      <c r="R776" s="29">
        <f t="shared" ref="R776" si="189">IFERROR((G776-P776)/G776,0)</f>
        <v>0.54304679812956569</v>
      </c>
    </row>
    <row r="777" spans="1:18" x14ac:dyDescent="0.25">
      <c r="A777" s="1" t="s">
        <v>4892</v>
      </c>
      <c r="B777" s="1" t="s">
        <v>552</v>
      </c>
      <c r="C777" s="1" t="s">
        <v>4893</v>
      </c>
      <c r="D777" s="2" t="s">
        <v>554</v>
      </c>
      <c r="E777" s="1">
        <v>4</v>
      </c>
      <c r="F777" s="1"/>
      <c r="G777" s="10">
        <v>12</v>
      </c>
      <c r="H777" s="11" t="s">
        <v>1874</v>
      </c>
      <c r="I777" s="49">
        <f>SUMIFS(BOM!Q:Q,BOM!A:A,'All Products'!A777,BOM!I:I,'All Products'!I$3)</f>
        <v>4.975609756097561</v>
      </c>
      <c r="J777" s="49">
        <f>SUMIFS(BOM!Q:Q,BOM!A:A,'All Products'!A777,BOM!I:I,'All Products'!J$3)+0.03</f>
        <v>0.45000000000000007</v>
      </c>
      <c r="K777" s="29">
        <f t="shared" ref="K777" si="190">(I777+J777)/G777</f>
        <v>0.45213414634146343</v>
      </c>
      <c r="L777" s="49">
        <f>SUMIF(BOM!A:A,'All Products'!A777,BOM!S:S)</f>
        <v>0.78531999999999991</v>
      </c>
      <c r="M777" s="49">
        <f>SUMIF(BOM!A:A,'All Products'!A777,BOM!V:V)</f>
        <v>0.59237499999999998</v>
      </c>
      <c r="N777" s="29">
        <f t="shared" ref="N777" si="191">(L777+M777)/G777</f>
        <v>0.11480791666666666</v>
      </c>
      <c r="O777" s="55">
        <v>0</v>
      </c>
      <c r="P777" s="49">
        <f t="shared" ref="P777" si="192">I777+J777+M777+L777+O777</f>
        <v>6.8033047560975604</v>
      </c>
      <c r="Q777" s="11">
        <f t="shared" ref="Q777" si="193">G777-P777</f>
        <v>5.1966952439024396</v>
      </c>
      <c r="R777" s="29">
        <f t="shared" ref="R777" si="194">IFERROR((G777-P777)/G777,0)</f>
        <v>0.43305793699186995</v>
      </c>
    </row>
    <row r="778" spans="1:18" x14ac:dyDescent="0.25">
      <c r="A778" s="1" t="s">
        <v>4895</v>
      </c>
      <c r="B778" s="1" t="s">
        <v>552</v>
      </c>
      <c r="C778" s="1" t="s">
        <v>4896</v>
      </c>
      <c r="D778" s="2" t="s">
        <v>554</v>
      </c>
      <c r="E778" s="1">
        <v>1</v>
      </c>
      <c r="F778" s="1"/>
      <c r="G778" s="10">
        <v>6.34</v>
      </c>
      <c r="H778" s="11" t="s">
        <v>1874</v>
      </c>
      <c r="I778" s="49">
        <f>SUMIFS(BOM!Q:Q,BOM!A:A,'All Products'!A778,BOM!I:I,'All Products'!I$3)</f>
        <v>1.7586206896551726</v>
      </c>
      <c r="J778" s="49">
        <f>SUMIFS(BOM!Q:Q,BOM!A:A,'All Products'!A778,BOM!I:I,'All Products'!J$3)+0.03</f>
        <v>0.45000000000000007</v>
      </c>
      <c r="K778" s="29">
        <f t="shared" ref="K778:K779" si="195">(I778+J778)/G778</f>
        <v>0.34836288480365502</v>
      </c>
      <c r="L778" s="49">
        <f>SUMIF(BOM!A:A,'All Products'!A778,BOM!S:S)</f>
        <v>0.91394999999999993</v>
      </c>
      <c r="M778" s="49">
        <f>SUMIF(BOM!A:A,'All Products'!A778,BOM!V:V)</f>
        <v>0.21833249999999998</v>
      </c>
      <c r="N778" s="29">
        <f t="shared" ref="N778:N779" si="196">(L778+M778)/G778</f>
        <v>0.17859345425867507</v>
      </c>
      <c r="O778" s="55">
        <v>0</v>
      </c>
      <c r="P778" s="49">
        <f t="shared" ref="P778:P779" si="197">I778+J778+M778+L778+O778</f>
        <v>3.3409031896551724</v>
      </c>
      <c r="Q778" s="11">
        <f t="shared" ref="Q778:Q779" si="198">G778-P778</f>
        <v>2.9990968103448274</v>
      </c>
      <c r="R778" s="29">
        <f t="shared" ref="R778:R779" si="199">IFERROR((G778-P778)/G778,0)</f>
        <v>0.47304366093766997</v>
      </c>
    </row>
    <row r="779" spans="1:18" x14ac:dyDescent="0.25">
      <c r="A779" s="1" t="s">
        <v>4897</v>
      </c>
      <c r="B779" s="1" t="s">
        <v>552</v>
      </c>
      <c r="C779" s="1" t="s">
        <v>125</v>
      </c>
      <c r="D779" s="2" t="s">
        <v>554</v>
      </c>
      <c r="E779" s="1">
        <v>2.5</v>
      </c>
      <c r="F779" s="1"/>
      <c r="G779" s="10">
        <v>9.44</v>
      </c>
      <c r="H779" s="11" t="s">
        <v>1874</v>
      </c>
      <c r="I779" s="49">
        <f>SUMIFS(BOM!Q:Q,BOM!A:A,'All Products'!A779,BOM!I:I,'All Products'!I$3)</f>
        <v>1.6017929569445053</v>
      </c>
      <c r="J779" s="49">
        <f>SUMIFS(BOM!Q:Q,BOM!A:A,'All Products'!A779,BOM!I:I,'All Products'!J$3)+0.03</f>
        <v>0.4</v>
      </c>
      <c r="K779" s="29">
        <f t="shared" si="195"/>
        <v>0.21205433865937559</v>
      </c>
      <c r="L779" s="49">
        <f>SUMIF(BOM!A:A,'All Products'!A779,BOM!S:S)</f>
        <v>0.84624999999999995</v>
      </c>
      <c r="M779" s="49">
        <f>SUMIF(BOM!A:A,'All Products'!A779,BOM!V:V)</f>
        <v>0.29618749999999999</v>
      </c>
      <c r="N779" s="29">
        <f t="shared" si="196"/>
        <v>0.1210209216101695</v>
      </c>
      <c r="O779" s="55">
        <v>0</v>
      </c>
      <c r="P779" s="49">
        <f t="shared" si="197"/>
        <v>3.1442304569445052</v>
      </c>
      <c r="Q779" s="11">
        <f t="shared" si="198"/>
        <v>6.2957695430554939</v>
      </c>
      <c r="R779" s="29">
        <f t="shared" si="199"/>
        <v>0.66692473973045485</v>
      </c>
    </row>
    <row r="780" spans="1:18" x14ac:dyDescent="0.25">
      <c r="A780" s="1" t="s">
        <v>4898</v>
      </c>
      <c r="B780" s="1" t="s">
        <v>552</v>
      </c>
      <c r="C780" s="1" t="s">
        <v>4902</v>
      </c>
      <c r="D780" s="2" t="s">
        <v>554</v>
      </c>
      <c r="E780" s="1">
        <v>1</v>
      </c>
      <c r="F780" s="1"/>
      <c r="G780" s="10">
        <v>1.72</v>
      </c>
      <c r="H780" s="11" t="s">
        <v>1874</v>
      </c>
      <c r="I780" s="49">
        <f>SUMIFS(BOM!Q:Q,BOM!A:A,'All Products'!A780,BOM!I:I,'All Products'!I$3)</f>
        <v>0.5044470994291782</v>
      </c>
      <c r="J780" s="49">
        <f>SUMIFS(BOM!Q:Q,BOM!A:A,'All Products'!A780,BOM!I:I,'All Products'!J$3)+0.03</f>
        <v>0.39</v>
      </c>
      <c r="K780" s="29">
        <f t="shared" ref="K780:K783" si="200">(I780+J780)/G780</f>
        <v>0.52002738338905707</v>
      </c>
      <c r="L780" s="49">
        <f>SUMIF(BOM!A:A,'All Products'!A780,BOM!S:S)</f>
        <v>0.30645053191489363</v>
      </c>
      <c r="M780" s="49">
        <f>SUMIF(BOM!A:A,'All Products'!A780,BOM!V:V)</f>
        <v>0.18617500000000001</v>
      </c>
      <c r="N780" s="29">
        <f t="shared" ref="N780:N783" si="201">(L780+M780)/G780</f>
        <v>0.2864101929737754</v>
      </c>
      <c r="O780" s="55">
        <v>0</v>
      </c>
      <c r="P780" s="49">
        <f t="shared" ref="P780:P783" si="202">I780+J780+M780+L780+O780</f>
        <v>1.3870726313440718</v>
      </c>
      <c r="Q780" s="11">
        <f t="shared" ref="Q780:Q783" si="203">G780-P780</f>
        <v>0.3329273686559282</v>
      </c>
      <c r="R780" s="29">
        <f t="shared" ref="R780:R783" si="204">IFERROR((G780-P780)/G780,0)</f>
        <v>0.19356242363716755</v>
      </c>
    </row>
    <row r="781" spans="1:18" x14ac:dyDescent="0.25">
      <c r="A781" s="1" t="s">
        <v>4899</v>
      </c>
      <c r="B781" s="1" t="s">
        <v>552</v>
      </c>
      <c r="C781" s="1" t="s">
        <v>4903</v>
      </c>
      <c r="D781" s="2" t="s">
        <v>554</v>
      </c>
      <c r="E781" s="1">
        <v>0.5</v>
      </c>
      <c r="F781" s="1"/>
      <c r="G781" s="10">
        <v>1.84</v>
      </c>
      <c r="H781" s="11" t="s">
        <v>1874</v>
      </c>
      <c r="I781" s="49">
        <f>SUMIFS(BOM!Q:Q,BOM!A:A,'All Products'!A781,BOM!I:I,'All Products'!I$3)</f>
        <v>0.33173348390739693</v>
      </c>
      <c r="J781" s="49">
        <f>SUMIFS(BOM!Q:Q,BOM!A:A,'All Products'!A781,BOM!I:I,'All Products'!J$3)+0.03</f>
        <v>0.4</v>
      </c>
      <c r="K781" s="29">
        <f t="shared" si="200"/>
        <v>0.3976812412540201</v>
      </c>
      <c r="L781" s="49">
        <f>SUMIF(BOM!A:A,'All Products'!A781,BOM!S:S)</f>
        <v>0.27079999999999993</v>
      </c>
      <c r="M781" s="49">
        <f>SUMIF(BOM!A:A,'All Products'!A781,BOM!V:V)</f>
        <v>0.18786749999999997</v>
      </c>
      <c r="N781" s="29">
        <f t="shared" si="201"/>
        <v>0.24927581521739123</v>
      </c>
      <c r="O781" s="55">
        <v>0</v>
      </c>
      <c r="P781" s="49">
        <f t="shared" si="202"/>
        <v>1.1904009839073968</v>
      </c>
      <c r="Q781" s="11">
        <f t="shared" si="203"/>
        <v>0.64959901609260329</v>
      </c>
      <c r="R781" s="29">
        <f t="shared" si="204"/>
        <v>0.35304294352858873</v>
      </c>
    </row>
    <row r="782" spans="1:18" x14ac:dyDescent="0.25">
      <c r="A782" s="1" t="s">
        <v>4900</v>
      </c>
      <c r="B782" s="1" t="s">
        <v>552</v>
      </c>
      <c r="C782" s="1" t="s">
        <v>4904</v>
      </c>
      <c r="D782" s="2" t="s">
        <v>554</v>
      </c>
      <c r="E782" s="1">
        <v>2.5</v>
      </c>
      <c r="F782" s="1"/>
      <c r="G782" s="10">
        <v>5</v>
      </c>
      <c r="H782" s="11" t="s">
        <v>1874</v>
      </c>
      <c r="I782" s="49">
        <f>SUMIFS(BOM!Q:Q,BOM!A:A,'All Products'!A782,BOM!I:I,'All Products'!I$3)</f>
        <v>2.3686643835616441</v>
      </c>
      <c r="J782" s="49">
        <f>SUMIFS(BOM!Q:Q,BOM!A:A,'All Products'!A782,BOM!I:I,'All Products'!J$3)+0.03</f>
        <v>0.4</v>
      </c>
      <c r="K782" s="29">
        <f t="shared" si="200"/>
        <v>0.55373287671232885</v>
      </c>
      <c r="L782" s="49">
        <f>SUMIF(BOM!A:A,'All Products'!A782,BOM!S:S)</f>
        <v>0.16924999999999998</v>
      </c>
      <c r="M782" s="49">
        <f>SUMIF(BOM!A:A,'All Products'!A782,BOM!V:V)</f>
        <v>0.29618749999999999</v>
      </c>
      <c r="N782" s="29">
        <f t="shared" si="201"/>
        <v>9.308749999999999E-2</v>
      </c>
      <c r="O782" s="55">
        <v>0</v>
      </c>
      <c r="P782" s="49">
        <f t="shared" si="202"/>
        <v>3.2341018835616437</v>
      </c>
      <c r="Q782" s="11">
        <f t="shared" si="203"/>
        <v>1.7658981164383563</v>
      </c>
      <c r="R782" s="29">
        <f t="shared" si="204"/>
        <v>0.35317962328767127</v>
      </c>
    </row>
    <row r="783" spans="1:18" x14ac:dyDescent="0.25">
      <c r="A783" s="1" t="s">
        <v>4901</v>
      </c>
      <c r="B783" s="1" t="s">
        <v>552</v>
      </c>
      <c r="C783" s="1" t="s">
        <v>559</v>
      </c>
      <c r="D783" s="2" t="s">
        <v>554</v>
      </c>
      <c r="E783" s="1">
        <v>2.5</v>
      </c>
      <c r="F783" s="1"/>
      <c r="G783" s="10">
        <v>3.37</v>
      </c>
      <c r="H783" s="11" t="s">
        <v>1874</v>
      </c>
      <c r="I783" s="49">
        <f>SUMIFS(BOM!Q:Q,BOM!A:A,'All Products'!A783,BOM!I:I,'All Products'!I$3)</f>
        <v>1.1488379238212487</v>
      </c>
      <c r="J783" s="49">
        <f>SUMIFS(BOM!Q:Q,BOM!A:A,'All Products'!A783,BOM!I:I,'All Products'!J$3)+0.03</f>
        <v>0.39</v>
      </c>
      <c r="K783" s="29">
        <f t="shared" si="200"/>
        <v>0.4566284640419136</v>
      </c>
      <c r="L783" s="49">
        <f>SUMIF(BOM!A:A,'All Products'!A783,BOM!S:S)</f>
        <v>0.72016730501351822</v>
      </c>
      <c r="M783" s="49">
        <f>SUMIF(BOM!A:A,'All Products'!A783,BOM!V:V)</f>
        <v>0.29618749999999999</v>
      </c>
      <c r="N783" s="29">
        <f t="shared" si="201"/>
        <v>0.3015889629120232</v>
      </c>
      <c r="O783" s="55">
        <v>0</v>
      </c>
      <c r="P783" s="49">
        <f t="shared" si="202"/>
        <v>2.5551927288347671</v>
      </c>
      <c r="Q783" s="11">
        <f t="shared" si="203"/>
        <v>0.81480727116523299</v>
      </c>
      <c r="R783" s="29">
        <f t="shared" si="204"/>
        <v>0.24178257304606318</v>
      </c>
    </row>
    <row r="784" spans="1:18" x14ac:dyDescent="0.25">
      <c r="A784" s="1" t="s">
        <v>4906</v>
      </c>
      <c r="B784" s="1" t="s">
        <v>552</v>
      </c>
      <c r="C784" s="1" t="s">
        <v>4905</v>
      </c>
      <c r="D784" s="2" t="s">
        <v>554</v>
      </c>
      <c r="E784" s="1">
        <v>4</v>
      </c>
      <c r="F784" s="1"/>
      <c r="G784" s="10">
        <v>12.88</v>
      </c>
      <c r="H784" s="11" t="s">
        <v>1874</v>
      </c>
      <c r="I784" s="49">
        <f>SUMIFS(BOM!Q:Q,BOM!A:A,'All Products'!A784,BOM!I:I,'All Products'!I$3)</f>
        <v>2.3660257982855715</v>
      </c>
      <c r="J784" s="49">
        <f>SUMIFS(BOM!Q:Q,BOM!A:A,'All Products'!A784,BOM!I:I,'All Products'!J$3)+0.03</f>
        <v>0.4</v>
      </c>
      <c r="K784" s="29">
        <f t="shared" ref="K784" si="205">(I784+J784)/G784</f>
        <v>0.21475355576751329</v>
      </c>
      <c r="L784" s="49">
        <f>SUMIF(BOM!A:A,'All Products'!A784,BOM!S:S)</f>
        <v>1.1011223952039495</v>
      </c>
      <c r="M784" s="49">
        <f>SUMIF(BOM!A:A,'All Products'!A784,BOM!V:V)</f>
        <v>0.77854999999999985</v>
      </c>
      <c r="N784" s="29">
        <f t="shared" ref="N784" si="206">(L784+M784)/G784</f>
        <v>0.14593729776428177</v>
      </c>
      <c r="O784" s="55">
        <v>0</v>
      </c>
      <c r="P784" s="49">
        <f t="shared" ref="P784" si="207">I784+J784+M784+L784+O784</f>
        <v>4.6456981934895207</v>
      </c>
      <c r="Q784" s="11">
        <f t="shared" ref="Q784" si="208">G784-P784</f>
        <v>8.23430180651048</v>
      </c>
      <c r="R784" s="29">
        <f t="shared" ref="R784" si="209">IFERROR((G784-P784)/G784,0)</f>
        <v>0.63930914646820491</v>
      </c>
    </row>
  </sheetData>
  <autoFilter ref="A3:AE783" xr:uid="{0A20FD4E-4E0E-44D6-B0F6-48D2B5CCDA54}"/>
  <mergeCells count="1">
    <mergeCell ref="I1:J2"/>
  </mergeCells>
  <conditionalFormatting sqref="A1:A731 A737:A754 A758:A1048576">
    <cfRule type="duplicateValues" dxfId="173" priority="31"/>
  </conditionalFormatting>
  <conditionalFormatting sqref="A3:A552">
    <cfRule type="duplicateValues" dxfId="172" priority="127"/>
  </conditionalFormatting>
  <conditionalFormatting sqref="A530">
    <cfRule type="duplicateValues" dxfId="171" priority="84"/>
  </conditionalFormatting>
  <conditionalFormatting sqref="A532:A552 A3:A529">
    <cfRule type="duplicateValues" dxfId="170" priority="85"/>
  </conditionalFormatting>
  <conditionalFormatting sqref="A715:A717">
    <cfRule type="duplicateValues" dxfId="169" priority="29"/>
    <cfRule type="duplicateValues" dxfId="168" priority="30"/>
  </conditionalFormatting>
  <conditionalFormatting sqref="A727">
    <cfRule type="duplicateValues" dxfId="167" priority="14"/>
    <cfRule type="duplicateValues" dxfId="166" priority="15"/>
  </conditionalFormatting>
  <conditionalFormatting sqref="A732:A736">
    <cfRule type="duplicateValues" dxfId="165" priority="13"/>
  </conditionalFormatting>
  <conditionalFormatting sqref="A742">
    <cfRule type="duplicateValues" dxfId="164" priority="11"/>
    <cfRule type="duplicateValues" dxfId="163" priority="12"/>
  </conditionalFormatting>
  <conditionalFormatting sqref="A743">
    <cfRule type="duplicateValues" dxfId="162" priority="9"/>
    <cfRule type="duplicateValues" dxfId="161" priority="10"/>
  </conditionalFormatting>
  <conditionalFormatting sqref="A744">
    <cfRule type="duplicateValues" dxfId="160" priority="7"/>
    <cfRule type="duplicateValues" dxfId="159" priority="8"/>
  </conditionalFormatting>
  <conditionalFormatting sqref="A755:A757">
    <cfRule type="duplicateValues" dxfId="158" priority="1"/>
  </conditionalFormatting>
  <conditionalFormatting sqref="K4:K784 N4:N784">
    <cfRule type="cellIs" dxfId="157" priority="2" operator="greaterThan">
      <formula>1</formula>
    </cfRule>
    <cfRule type="cellIs" dxfId="156" priority="3" operator="greaterThan">
      <formula>0.6</formula>
    </cfRule>
  </conditionalFormatting>
  <conditionalFormatting sqref="Q646:Q647 Q649:Q663">
    <cfRule type="cellIs" dxfId="155" priority="45" operator="lessThan">
      <formula>0</formula>
    </cfRule>
    <cfRule type="cellIs" dxfId="154" priority="46" operator="lessThan">
      <formula>0.25</formula>
    </cfRule>
    <cfRule type="cellIs" dxfId="153" priority="47" operator="greaterThan">
      <formula>0.7</formula>
    </cfRule>
  </conditionalFormatting>
  <conditionalFormatting sqref="R4:R784">
    <cfRule type="cellIs" dxfId="152" priority="4" operator="lessThan">
      <formula>0</formula>
    </cfRule>
    <cfRule type="cellIs" dxfId="151" priority="5" operator="lessThan">
      <formula>0.25</formula>
    </cfRule>
    <cfRule type="cellIs" dxfId="150" priority="6" operator="greaterThan">
      <formula>0.7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7CD9-A430-46F9-BBEB-4E15F20BEEB7}">
  <sheetPr codeName="Sheet2">
    <tabColor theme="7"/>
  </sheetPr>
  <dimension ref="A1:AT2016"/>
  <sheetViews>
    <sheetView tabSelected="1" zoomScale="70" zoomScaleNormal="70" workbookViewId="0">
      <pane xSplit="3" ySplit="1" topLeftCell="D2004" activePane="bottomRight" state="frozen"/>
      <selection pane="topRight" activeCell="D1" sqref="D1"/>
      <selection pane="bottomLeft" activeCell="A2" sqref="A2"/>
      <selection pane="bottomRight" activeCell="H2030" sqref="H2030"/>
    </sheetView>
  </sheetViews>
  <sheetFormatPr defaultRowHeight="15" x14ac:dyDescent="0.25"/>
  <cols>
    <col min="1" max="1" width="12.140625" customWidth="1"/>
    <col min="2" max="2" width="11.5703125" bestFit="1" customWidth="1"/>
    <col min="3" max="3" width="50" bestFit="1" customWidth="1"/>
    <col min="4" max="4" width="8.140625" bestFit="1" customWidth="1"/>
    <col min="5" max="5" width="11.42578125" style="63" bestFit="1" customWidth="1"/>
    <col min="6" max="6" width="12" bestFit="1" customWidth="1"/>
    <col min="7" max="7" width="37.5703125" bestFit="1" customWidth="1"/>
    <col min="8" max="8" width="39.85546875" bestFit="1" customWidth="1"/>
    <col min="9" max="9" width="16.42578125" bestFit="1" customWidth="1"/>
    <col min="11" max="12" width="9.5703125" bestFit="1" customWidth="1"/>
    <col min="16" max="16" width="19.28515625" customWidth="1"/>
    <col min="19" max="20" width="8.7109375" customWidth="1"/>
    <col min="23" max="23" width="8.7109375" customWidth="1"/>
    <col min="25" max="29" width="8.7109375" customWidth="1"/>
    <col min="30" max="30" width="9.42578125" customWidth="1"/>
    <col min="31" max="31" width="18.7109375" customWidth="1"/>
    <col min="35" max="37" width="8.7109375" customWidth="1"/>
    <col min="38" max="38" width="8" bestFit="1" customWidth="1"/>
    <col min="39" max="39" width="6.42578125" bestFit="1" customWidth="1"/>
  </cols>
  <sheetData>
    <row r="1" spans="1:46" ht="75" x14ac:dyDescent="0.25">
      <c r="A1" s="80" t="s">
        <v>1666</v>
      </c>
      <c r="B1" s="80" t="s">
        <v>547</v>
      </c>
      <c r="C1" s="80" t="s">
        <v>1667</v>
      </c>
      <c r="D1" s="14" t="s">
        <v>550</v>
      </c>
      <c r="E1" s="14" t="s">
        <v>551</v>
      </c>
      <c r="F1" s="14" t="s">
        <v>1668</v>
      </c>
      <c r="G1" s="14" t="s">
        <v>1112</v>
      </c>
      <c r="H1" s="80" t="s">
        <v>1669</v>
      </c>
      <c r="I1" s="14" t="s">
        <v>1674</v>
      </c>
      <c r="J1" s="80" t="s">
        <v>1675</v>
      </c>
      <c r="K1" s="14" t="s">
        <v>1884</v>
      </c>
      <c r="L1" s="14" t="s">
        <v>1885</v>
      </c>
      <c r="M1" s="14" t="s">
        <v>1676</v>
      </c>
      <c r="N1" s="14" t="s">
        <v>1677</v>
      </c>
      <c r="O1" s="14" t="s">
        <v>1113</v>
      </c>
      <c r="P1" s="14" t="s">
        <v>1678</v>
      </c>
      <c r="Q1" s="97" t="s">
        <v>1706</v>
      </c>
      <c r="R1" s="14" t="s">
        <v>1685</v>
      </c>
      <c r="S1" s="14" t="s">
        <v>1869</v>
      </c>
      <c r="T1" s="14" t="s">
        <v>1742</v>
      </c>
      <c r="U1" s="14" t="s">
        <v>1707</v>
      </c>
      <c r="V1" s="14" t="s">
        <v>1870</v>
      </c>
      <c r="W1" s="14" t="s">
        <v>1743</v>
      </c>
      <c r="X1" s="14" t="s">
        <v>1682</v>
      </c>
      <c r="Y1" s="14" t="s">
        <v>1888</v>
      </c>
      <c r="Z1" s="14" t="s">
        <v>1679</v>
      </c>
      <c r="AA1" s="14" t="s">
        <v>1680</v>
      </c>
      <c r="AB1" s="57" t="s">
        <v>1886</v>
      </c>
      <c r="AC1" s="56" t="s">
        <v>1708</v>
      </c>
      <c r="AD1" s="57" t="s">
        <v>1887</v>
      </c>
      <c r="AE1" s="14" t="s">
        <v>1722</v>
      </c>
      <c r="AF1" s="14" t="s">
        <v>1883</v>
      </c>
      <c r="AG1" s="14" t="s">
        <v>1881</v>
      </c>
      <c r="AH1" s="57" t="s">
        <v>1882</v>
      </c>
      <c r="AI1" s="96" t="s">
        <v>1681</v>
      </c>
      <c r="AJ1" s="14" t="s">
        <v>1718</v>
      </c>
      <c r="AK1" s="14" t="s">
        <v>1719</v>
      </c>
      <c r="AL1" s="103" t="s">
        <v>4302</v>
      </c>
      <c r="AM1" s="103" t="s">
        <v>4301</v>
      </c>
      <c r="AN1" s="58" t="s">
        <v>1721</v>
      </c>
      <c r="AO1" s="39">
        <f>20.31/60</f>
        <v>0.33849999999999997</v>
      </c>
      <c r="AP1" s="112" t="s">
        <v>4627</v>
      </c>
      <c r="AQ1" s="112" t="s">
        <v>4628</v>
      </c>
      <c r="AR1" s="135" t="s">
        <v>4731</v>
      </c>
      <c r="AT1" s="135" t="s">
        <v>1686</v>
      </c>
    </row>
    <row r="2" spans="1:46" x14ac:dyDescent="0.25">
      <c r="A2" s="2" t="s">
        <v>122</v>
      </c>
      <c r="B2" s="2" t="s">
        <v>552</v>
      </c>
      <c r="C2" s="2" t="s">
        <v>553</v>
      </c>
      <c r="D2" s="2" t="s">
        <v>554</v>
      </c>
      <c r="E2" s="2">
        <v>1</v>
      </c>
      <c r="F2" s="1" t="str">
        <f>VLOOKUP(H2,'RM Used'!A:B,2,0)</f>
        <v>032ACS</v>
      </c>
      <c r="G2" s="1" t="str">
        <f>IFERROR(VLOOKUP(F2,'RM Cost'!A:B,2,0),"")</f>
        <v>RM - LRG PROCESSING CARROT X 1000KG</v>
      </c>
      <c r="H2" s="2" t="s">
        <v>1351</v>
      </c>
      <c r="I2" s="1" t="str">
        <f>VLOOKUP(F2,'RM Used'!B:D,3,0)</f>
        <v>RM-FOOD</v>
      </c>
      <c r="J2" s="66">
        <v>1</v>
      </c>
      <c r="K2" s="35">
        <f t="shared" ref="K2:K65" si="0">IF(I2="RM-FOOD",J2*E2,"")</f>
        <v>1</v>
      </c>
      <c r="L2" s="35">
        <f t="shared" ref="L2:L65" si="1">IFERROR(K2*Z2,0)</f>
        <v>1</v>
      </c>
      <c r="M2" s="77" cm="1">
        <f t="array" ref="M2">_xlfn.IFS(BOM!I2="RM-PACKING","100%",B2="Reynolds",VLOOKUP(H2,'Yield &amp; Time'!A:V,22,0),BOM!B2="Dnata",VLOOKUP(BOM!H2,'Yield &amp; Time'!A:M,13,0),B2="NK",VLOOKUP(H2,'Yield &amp; Time'!A:X,24,0))</f>
        <v>0.75330000000000008</v>
      </c>
      <c r="N2" s="35">
        <f t="shared" ref="N2:N39" si="2">IFERROR(IF(I2="RM-FOOD",(E2*J2)/M2,1),0)</f>
        <v>1.3274923669188901</v>
      </c>
      <c r="O2" s="1" t="str">
        <f>VLOOKUP(H2,'RM Used'!A:E,5,0)</f>
        <v>KG</v>
      </c>
      <c r="P2" s="11">
        <f>VLOOKUP(H2,'RM Used'!A:F,6,0)</f>
        <v>0.38</v>
      </c>
      <c r="Q2" s="11">
        <f>P2*N2</f>
        <v>0.5044470994291782</v>
      </c>
      <c r="R2" s="11">
        <f>IFERROR(IF(B2="Reynolds",VLOOKUP(H2,'Yield &amp; Time'!A:U,21,0),VLOOKUP(H2,'Yield &amp; Time'!A:L,12,0)),0)</f>
        <v>0.90531914893617027</v>
      </c>
      <c r="S2" s="11">
        <f t="shared" ref="S2:S65" si="3">R2*J2*E2*AO$1</f>
        <v>0.30645053191489363</v>
      </c>
      <c r="T2" s="11">
        <f t="shared" ref="T2:T65" si="4">(R2*Z2*J2*E2)/60</f>
        <v>1.5088652482269505E-2</v>
      </c>
      <c r="U2" s="11">
        <f>IF(A1=A2,0,VLOOKUP(A2,'Packing Time'!A:F,6,0))</f>
        <v>0.55000000000000004</v>
      </c>
      <c r="V2" s="11">
        <f>U2*AO$1</f>
        <v>0.18617500000000001</v>
      </c>
      <c r="W2" s="11">
        <f>(U2*Z2)/60</f>
        <v>9.1666666666666667E-3</v>
      </c>
      <c r="X2" s="11">
        <f t="shared" ref="X2:X65" si="5">((R2*J2*E2)+U2)*AO$1*AP2</f>
        <v>0.54188808510638298</v>
      </c>
      <c r="Y2" s="11">
        <f>X2*Z2</f>
        <v>0.54188808510638298</v>
      </c>
      <c r="Z2" s="37">
        <v>1</v>
      </c>
      <c r="AA2" s="36">
        <f t="shared" ref="AA2:AA65" si="6">Z2*N2</f>
        <v>1.3274923669188901</v>
      </c>
      <c r="AB2" s="11">
        <f t="shared" ref="AB2:AB65" si="7">AA2*P2</f>
        <v>0.5044470994291782</v>
      </c>
      <c r="AC2" s="11">
        <f t="shared" ref="AC2:AC65" si="8">(((R2*J2*E2)+U2)/60)*Z2*AP2</f>
        <v>2.6680851063829794E-2</v>
      </c>
      <c r="AD2" s="36">
        <f>AC2*60*AO$1</f>
        <v>0.54188808510638309</v>
      </c>
      <c r="AE2" s="36" t="str">
        <f>VLOOKUP(H2,'Yield &amp; Time'!A:R,18,0)</f>
        <v>CHLORINE</v>
      </c>
      <c r="AF2" s="36">
        <f>IFERROR(VLOOKUP(AE2,'Chemical Cost'!A:D,4,0),0)</f>
        <v>2.7756518066439469E-2</v>
      </c>
      <c r="AG2" s="114">
        <f t="shared" ref="AG2:AG65" si="9">AF2*N2/3</f>
        <v>1.2282188621814889E-2</v>
      </c>
      <c r="AH2" s="36">
        <f>AF2*AA2/3</f>
        <v>1.2282188621814889E-2</v>
      </c>
      <c r="AI2" s="36">
        <f>IFERROR((Q2*Z2)+(Z2*X2)+AH2,0)</f>
        <v>1.058617373157376</v>
      </c>
      <c r="AJ2" s="36">
        <f>IFERROR(VLOOKUP(A2,'All Products'!A:F,6,0),0)</f>
        <v>1.67</v>
      </c>
      <c r="AK2" s="36">
        <f>AJ2*Z2*J2</f>
        <v>1.67</v>
      </c>
      <c r="AL2" s="23">
        <v>0.85</v>
      </c>
      <c r="AM2" s="23">
        <v>0.15</v>
      </c>
      <c r="AN2" s="54" t="e">
        <v>#N/A</v>
      </c>
      <c r="AO2" s="47"/>
      <c r="AP2" s="4">
        <v>1.1000000000000001</v>
      </c>
      <c r="AQ2" s="111">
        <f t="shared" ref="AQ2:AQ65" si="10">(((R2*J2*E2)+U2)/60)*AP2</f>
        <v>2.6680851063829794E-2</v>
      </c>
      <c r="AR2">
        <f>_xlfn.XLOOKUP(F2,'RM Cost'!A:A,'RM Cost'!S:S)</f>
        <v>0</v>
      </c>
      <c r="AS2" t="str">
        <f>_xlfn.XLOOKUP(A2,[3]Sheet1!$B:$B,[3]Sheet1!$B:$B)</f>
        <v>1145CS</v>
      </c>
      <c r="AT2" t="str">
        <f>_xlfn.XLOOKUP(H2,'Yield &amp; Time'!A:A,'Yield &amp; Time'!O:O)</f>
        <v>Yes</v>
      </c>
    </row>
    <row r="3" spans="1:46" x14ac:dyDescent="0.25">
      <c r="A3" s="2" t="s">
        <v>122</v>
      </c>
      <c r="B3" s="2" t="s">
        <v>552</v>
      </c>
      <c r="C3" s="2" t="s">
        <v>553</v>
      </c>
      <c r="D3" s="2" t="s">
        <v>554</v>
      </c>
      <c r="E3" s="2">
        <v>1</v>
      </c>
      <c r="F3" s="1" t="str">
        <f>VLOOKUP(H3,'RM Used'!A:B,2,0)</f>
        <v>P0001</v>
      </c>
      <c r="G3" s="1" t="str">
        <f>IFERROR(VLOOKUP(F3,'RM Cost'!A:B,2,0),"")</f>
        <v>SOL 30EL # PPLUS 630x1000 BLUE -1</v>
      </c>
      <c r="H3" s="2" t="s">
        <v>4678</v>
      </c>
      <c r="I3" s="1" t="str">
        <f>VLOOKUP(F3,'RM Used'!B:D,3,0)</f>
        <v>RM-PACKING</v>
      </c>
      <c r="J3" s="66">
        <v>1</v>
      </c>
      <c r="K3" s="35" t="str">
        <f t="shared" si="0"/>
        <v/>
      </c>
      <c r="L3" s="35">
        <f t="shared" si="1"/>
        <v>0</v>
      </c>
      <c r="M3" s="77" t="str" cm="1">
        <f t="array" ref="M3">_xlfn.IFS(BOM!I3="RM-PACKING","100%",B3="Reynolds",VLOOKUP(H3,'Yield &amp; Time'!A:V,22,0),BOM!B3="Dnata",VLOOKUP(BOM!H3,'Yield &amp; Time'!A:M,13,0),B3="NK",VLOOKUP(H3,'Yield &amp; Time'!A:X,24,0))</f>
        <v>100%</v>
      </c>
      <c r="N3" s="35">
        <f t="shared" si="2"/>
        <v>1</v>
      </c>
      <c r="O3" s="1" t="str">
        <f>VLOOKUP(H3,'RM Used'!A:E,5,0)</f>
        <v>Count</v>
      </c>
      <c r="P3" s="11">
        <f>VLOOKUP(H3,'RM Used'!A:F,6,0)</f>
        <v>0.08</v>
      </c>
      <c r="Q3" s="11">
        <f t="shared" ref="Q3:Q66" si="11">P3*N3</f>
        <v>0.08</v>
      </c>
      <c r="R3" s="11">
        <f>IFERROR(IF(B3="Reynolds",VLOOKUP(H3,'Yield &amp; Time'!A:U,21,0),VLOOKUP(H3,'Yield &amp; Time'!A:L,12,0)),0)</f>
        <v>0</v>
      </c>
      <c r="S3" s="11">
        <f t="shared" si="3"/>
        <v>0</v>
      </c>
      <c r="T3" s="11">
        <f t="shared" si="4"/>
        <v>0</v>
      </c>
      <c r="U3" s="11">
        <f>IF(A2=A3,0,VLOOKUP(A3,'Packing Time'!A:F,6,0))</f>
        <v>0</v>
      </c>
      <c r="V3" s="11">
        <f t="shared" ref="V3:V66" si="12">U3*AO$1</f>
        <v>0</v>
      </c>
      <c r="W3" s="11">
        <f t="shared" ref="W3:W66" si="13">(U3*Z3)/60</f>
        <v>0</v>
      </c>
      <c r="X3" s="11">
        <f t="shared" si="5"/>
        <v>0</v>
      </c>
      <c r="Y3" s="11">
        <f t="shared" ref="Y3:Y66" si="14">X3*Z3</f>
        <v>0</v>
      </c>
      <c r="Z3" s="37">
        <v>1</v>
      </c>
      <c r="AA3" s="36">
        <f t="shared" si="6"/>
        <v>1</v>
      </c>
      <c r="AB3" s="36">
        <f t="shared" si="7"/>
        <v>0.08</v>
      </c>
      <c r="AC3" s="11">
        <f t="shared" si="8"/>
        <v>0</v>
      </c>
      <c r="AD3" s="36">
        <f t="shared" ref="AD3:AD66" si="15">AC3*60*AO$1</f>
        <v>0</v>
      </c>
      <c r="AE3" s="36"/>
      <c r="AF3" s="36">
        <f>IFERROR(VLOOKUP(AE3,'Chemical Cost'!A:D,4,0),0)</f>
        <v>0</v>
      </c>
      <c r="AG3" s="114">
        <f t="shared" si="9"/>
        <v>0</v>
      </c>
      <c r="AH3" s="36">
        <f t="shared" ref="AH3:AH66" si="16">AF3*AA3/3</f>
        <v>0</v>
      </c>
      <c r="AI3" s="36">
        <f t="shared" ref="AI3:AI66" si="17">IFERROR((Q3*Z3)+(Z3*X3)+AH3,0)</f>
        <v>0.08</v>
      </c>
      <c r="AJ3" s="36">
        <f>IFERROR(VLOOKUP(A3,'All Products'!A:F,6,0),0)</f>
        <v>1.67</v>
      </c>
      <c r="AK3" s="36"/>
      <c r="AL3" s="23">
        <v>0.85</v>
      </c>
      <c r="AM3" s="23">
        <v>0.15</v>
      </c>
      <c r="AN3" s="54" t="e">
        <v>#N/A</v>
      </c>
      <c r="AO3" s="47"/>
      <c r="AP3" s="4">
        <v>1.1000000000000001</v>
      </c>
      <c r="AQ3" s="111">
        <f t="shared" si="10"/>
        <v>0</v>
      </c>
      <c r="AR3">
        <f>_xlfn.XLOOKUP(F3,'RM Cost'!A:A,'RM Cost'!S:S)</f>
        <v>0</v>
      </c>
      <c r="AS3" t="str">
        <f>_xlfn.XLOOKUP(A3,[3]Sheet1!$B:$B,[3]Sheet1!$B:$B)</f>
        <v>1145CS</v>
      </c>
      <c r="AT3" t="e">
        <f>_xlfn.XLOOKUP(H3,'Yield &amp; Time'!A:A,'Yield &amp; Time'!F:F)</f>
        <v>#N/A</v>
      </c>
    </row>
    <row r="4" spans="1:46" x14ac:dyDescent="0.25">
      <c r="A4" s="2" t="s">
        <v>122</v>
      </c>
      <c r="B4" s="2" t="s">
        <v>552</v>
      </c>
      <c r="C4" s="2" t="s">
        <v>553</v>
      </c>
      <c r="D4" s="2" t="s">
        <v>554</v>
      </c>
      <c r="E4" s="2">
        <v>1</v>
      </c>
      <c r="F4" s="1" t="str">
        <f>VLOOKUP(H4,'RM Used'!A:B,2,0)</f>
        <v>P0016</v>
      </c>
      <c r="G4" s="1" t="str">
        <f>IFERROR(VLOOKUP(F4,'RM Cost'!A:B,2,0),"")</f>
        <v>REY 40 30 BOX</v>
      </c>
      <c r="H4" s="2" t="s">
        <v>1332</v>
      </c>
      <c r="I4" s="1" t="str">
        <f>VLOOKUP(F4,'RM Used'!B:D,3,0)</f>
        <v>RM-PACKING</v>
      </c>
      <c r="J4" s="66">
        <v>1</v>
      </c>
      <c r="K4" s="35" t="str">
        <f t="shared" si="0"/>
        <v/>
      </c>
      <c r="L4" s="35">
        <f t="shared" si="1"/>
        <v>0</v>
      </c>
      <c r="M4" s="77" t="str" cm="1">
        <f t="array" ref="M4">_xlfn.IFS(BOM!I4="RM-PACKING","100%",B4="Reynolds",VLOOKUP(H4,'Yield &amp; Time'!A:V,22,0),BOM!B4="Dnata",VLOOKUP(BOM!H4,'Yield &amp; Time'!A:M,13,0),B4="NK",VLOOKUP(H4,'Yield &amp; Time'!A:X,24,0))</f>
        <v>100%</v>
      </c>
      <c r="N4" s="35">
        <f t="shared" si="2"/>
        <v>1</v>
      </c>
      <c r="O4" s="1" t="str">
        <f>VLOOKUP(H4,'RM Used'!A:E,5,0)</f>
        <v>Count</v>
      </c>
      <c r="P4" s="11">
        <f>VLOOKUP(H4,'RM Used'!A:F,6,0)</f>
        <v>0.28000000000000003</v>
      </c>
      <c r="Q4" s="11">
        <f t="shared" si="11"/>
        <v>0.28000000000000003</v>
      </c>
      <c r="R4" s="11">
        <f>IFERROR(IF(B4="Reynolds",VLOOKUP(H4,'Yield &amp; Time'!A:U,21,0),VLOOKUP(H4,'Yield &amp; Time'!A:L,12,0)),0)</f>
        <v>0</v>
      </c>
      <c r="S4" s="11">
        <f t="shared" si="3"/>
        <v>0</v>
      </c>
      <c r="T4" s="11">
        <f t="shared" si="4"/>
        <v>0</v>
      </c>
      <c r="U4" s="11">
        <f>IF(A3=A4,0,VLOOKUP(A4,'Packing Time'!A:F,6,0))</f>
        <v>0</v>
      </c>
      <c r="V4" s="11">
        <f t="shared" si="12"/>
        <v>0</v>
      </c>
      <c r="W4" s="11">
        <f t="shared" si="13"/>
        <v>0</v>
      </c>
      <c r="X4" s="11">
        <f t="shared" si="5"/>
        <v>0</v>
      </c>
      <c r="Y4" s="11">
        <f t="shared" si="14"/>
        <v>0</v>
      </c>
      <c r="Z4" s="37">
        <v>1</v>
      </c>
      <c r="AA4" s="36">
        <f t="shared" si="6"/>
        <v>1</v>
      </c>
      <c r="AB4" s="36">
        <f t="shared" si="7"/>
        <v>0.28000000000000003</v>
      </c>
      <c r="AC4" s="11">
        <f t="shared" si="8"/>
        <v>0</v>
      </c>
      <c r="AD4" s="36">
        <f t="shared" si="15"/>
        <v>0</v>
      </c>
      <c r="AE4" s="36"/>
      <c r="AF4" s="36">
        <f>IFERROR(VLOOKUP(AE4,'Chemical Cost'!A:D,4,0),0)</f>
        <v>0</v>
      </c>
      <c r="AG4" s="114">
        <f t="shared" si="9"/>
        <v>0</v>
      </c>
      <c r="AH4" s="36">
        <f t="shared" si="16"/>
        <v>0</v>
      </c>
      <c r="AI4" s="36">
        <f t="shared" si="17"/>
        <v>0.28000000000000003</v>
      </c>
      <c r="AJ4" s="36">
        <f>IFERROR(VLOOKUP(A4,'All Products'!A:F,6,0),0)</f>
        <v>1.67</v>
      </c>
      <c r="AK4" s="36"/>
      <c r="AL4" s="23">
        <v>0.85</v>
      </c>
      <c r="AM4" s="23">
        <v>0.15</v>
      </c>
      <c r="AN4" s="54" t="e">
        <v>#N/A</v>
      </c>
      <c r="AO4" s="47"/>
      <c r="AP4" s="4">
        <v>1.1000000000000001</v>
      </c>
      <c r="AQ4" s="111">
        <f t="shared" si="10"/>
        <v>0</v>
      </c>
      <c r="AR4">
        <f>_xlfn.XLOOKUP(F4,'RM Cost'!A:A,'RM Cost'!S:S)</f>
        <v>0</v>
      </c>
      <c r="AS4" t="str">
        <f>_xlfn.XLOOKUP(A4,[3]Sheet1!$B:$B,[3]Sheet1!$B:$B)</f>
        <v>1145CS</v>
      </c>
      <c r="AT4" t="e">
        <f>_xlfn.XLOOKUP(H4,'Yield &amp; Time'!A:A,'Yield &amp; Time'!F:F)</f>
        <v>#N/A</v>
      </c>
    </row>
    <row r="5" spans="1:46" x14ac:dyDescent="0.25">
      <c r="A5" s="2" t="s">
        <v>90</v>
      </c>
      <c r="B5" s="2" t="s">
        <v>552</v>
      </c>
      <c r="C5" s="2" t="s">
        <v>568</v>
      </c>
      <c r="D5" s="2" t="s">
        <v>554</v>
      </c>
      <c r="E5" s="2">
        <v>2.5</v>
      </c>
      <c r="F5" s="1" t="str">
        <f>VLOOKUP(H5,'RM Used'!A:B,2,0)</f>
        <v>032ACS</v>
      </c>
      <c r="G5" s="1" t="str">
        <f>IFERROR(VLOOKUP(F5,'RM Cost'!A:B,2,0),"")</f>
        <v>RM - LRG PROCESSING CARROT X 1000KG</v>
      </c>
      <c r="H5" s="2" t="s">
        <v>1342</v>
      </c>
      <c r="I5" s="1" t="str">
        <f>VLOOKUP(F5,'RM Used'!B:D,3,0)</f>
        <v>RM-FOOD</v>
      </c>
      <c r="J5" s="66">
        <v>0.25</v>
      </c>
      <c r="K5" s="35">
        <f t="shared" si="0"/>
        <v>0.625</v>
      </c>
      <c r="L5" s="35">
        <f t="shared" si="1"/>
        <v>0.625</v>
      </c>
      <c r="M5" s="77" cm="1">
        <f t="array" ref="M5">_xlfn.IFS(BOM!I5="RM-PACKING","100%",B5="Reynolds",VLOOKUP(H5,'Yield &amp; Time'!A:V,22,0),BOM!B5="Dnata",VLOOKUP(BOM!H5,'Yield &amp; Time'!A:M,13,0),B5="NK",VLOOKUP(H5,'Yield &amp; Time'!A:X,24,0))</f>
        <v>0.71506673850809344</v>
      </c>
      <c r="N5" s="35">
        <f t="shared" si="2"/>
        <v>0.87404429033294484</v>
      </c>
      <c r="O5" s="1" t="str">
        <f>VLOOKUP(H5,'RM Used'!A:E,5,0)</f>
        <v>KG</v>
      </c>
      <c r="P5" s="11">
        <f>VLOOKUP(H5,'RM Used'!A:F,6,0)</f>
        <v>0.38</v>
      </c>
      <c r="Q5" s="11">
        <f t="shared" si="11"/>
        <v>0.33213683032651903</v>
      </c>
      <c r="R5" s="11">
        <f>IFERROR(IF(B5="Reynolds",VLOOKUP(H5,'Yield &amp; Time'!A:U,21,0),VLOOKUP(H5,'Yield &amp; Time'!A:L,12,0)),0)</f>
        <v>1.2475449219522261</v>
      </c>
      <c r="S5" s="11">
        <f t="shared" si="3"/>
        <v>0.26393372255051784</v>
      </c>
      <c r="T5" s="11">
        <f t="shared" si="4"/>
        <v>1.2995259603669021E-2</v>
      </c>
      <c r="U5" s="11">
        <f>IF(A4=A5,0,VLOOKUP(A5,'Packing Time'!A:F,6,0))</f>
        <v>0.875</v>
      </c>
      <c r="V5" s="11">
        <f t="shared" si="12"/>
        <v>0.29618749999999999</v>
      </c>
      <c r="W5" s="11">
        <f t="shared" si="13"/>
        <v>1.4583333333333334E-2</v>
      </c>
      <c r="X5" s="11">
        <f t="shared" si="5"/>
        <v>0.61613334480556958</v>
      </c>
      <c r="Y5" s="11">
        <f t="shared" si="14"/>
        <v>0.61613334480556958</v>
      </c>
      <c r="Z5" s="37">
        <v>1</v>
      </c>
      <c r="AA5" s="36">
        <f t="shared" si="6"/>
        <v>0.87404429033294484</v>
      </c>
      <c r="AB5" s="36">
        <f t="shared" si="7"/>
        <v>0.33213683032651903</v>
      </c>
      <c r="AC5" s="11">
        <f t="shared" si="8"/>
        <v>3.0336452230702596E-2</v>
      </c>
      <c r="AD5" s="36">
        <f t="shared" si="15"/>
        <v>0.61613334480556969</v>
      </c>
      <c r="AE5" s="36"/>
      <c r="AF5" s="36">
        <f>IFERROR(VLOOKUP(AE5,'Chemical Cost'!A:D,4,0),0)</f>
        <v>0</v>
      </c>
      <c r="AG5" s="114">
        <f t="shared" si="9"/>
        <v>0</v>
      </c>
      <c r="AH5" s="36">
        <f t="shared" si="16"/>
        <v>0</v>
      </c>
      <c r="AI5" s="36">
        <f t="shared" si="17"/>
        <v>0.94827017513208856</v>
      </c>
      <c r="AJ5" s="36">
        <f>IFERROR(VLOOKUP(A5,'All Products'!A:F,6,0),0)</f>
        <v>6.19</v>
      </c>
      <c r="AK5" s="36">
        <f>AJ5*Z5*J5</f>
        <v>1.5475000000000001</v>
      </c>
      <c r="AL5" s="23">
        <v>1</v>
      </c>
      <c r="AM5" s="23"/>
      <c r="AN5" s="54" t="e">
        <v>#N/A</v>
      </c>
      <c r="AO5" s="47"/>
      <c r="AP5" s="4">
        <v>1.1000000000000001</v>
      </c>
      <c r="AQ5" s="111">
        <f t="shared" si="10"/>
        <v>3.0336452230702596E-2</v>
      </c>
      <c r="AR5">
        <f>_xlfn.XLOOKUP(F5,'RM Cost'!A:A,'RM Cost'!S:S)</f>
        <v>0</v>
      </c>
      <c r="AS5" t="str">
        <f>_xlfn.XLOOKUP(A5,[3]Sheet1!$B:$B,[3]Sheet1!$B:$B)</f>
        <v>1480CS</v>
      </c>
      <c r="AT5">
        <f>_xlfn.XLOOKUP(H5,'Yield &amp; Time'!A:A,'Yield &amp; Time'!F:F)</f>
        <v>0</v>
      </c>
    </row>
    <row r="6" spans="1:46" x14ac:dyDescent="0.25">
      <c r="A6" s="2" t="s">
        <v>90</v>
      </c>
      <c r="B6" s="2" t="s">
        <v>552</v>
      </c>
      <c r="C6" s="2" t="s">
        <v>568</v>
      </c>
      <c r="D6" s="2" t="s">
        <v>554</v>
      </c>
      <c r="E6" s="2">
        <v>2.5</v>
      </c>
      <c r="F6" s="1" t="str">
        <f>VLOOKUP(H6,'RM Used'!A:B,2,0)</f>
        <v>3277CS</v>
      </c>
      <c r="G6" s="1" t="str">
        <f>IFERROR(VLOOKUP(F6,'RM Cost'!A:B,2,0),"")</f>
        <v>RM - SWEDE 12.5KG</v>
      </c>
      <c r="H6" s="2" t="s">
        <v>1344</v>
      </c>
      <c r="I6" s="1" t="str">
        <f>VLOOKUP(F6,'RM Used'!B:D,3,0)</f>
        <v>RM-FOOD</v>
      </c>
      <c r="J6" s="66">
        <v>0.25</v>
      </c>
      <c r="K6" s="35">
        <f t="shared" si="0"/>
        <v>0.625</v>
      </c>
      <c r="L6" s="35">
        <f t="shared" si="1"/>
        <v>0.625</v>
      </c>
      <c r="M6" s="77" cm="1">
        <f t="array" ref="M6">_xlfn.IFS(BOM!I6="RM-PACKING","100%",B6="Reynolds",VLOOKUP(H6,'Yield &amp; Time'!A:V,22,0),BOM!B6="Dnata",VLOOKUP(BOM!H6,'Yield &amp; Time'!A:M,13,0),B6="NK",VLOOKUP(H6,'Yield &amp; Time'!A:X,24,0))</f>
        <v>0.82357723577235775</v>
      </c>
      <c r="N6" s="35">
        <f t="shared" si="2"/>
        <v>0.75888450148075026</v>
      </c>
      <c r="O6" s="1" t="str">
        <f>VLOOKUP(H6,'RM Used'!A:E,5,0)</f>
        <v>KG</v>
      </c>
      <c r="P6" s="11">
        <f>VLOOKUP(H6,'RM Used'!A:F,6,0)</f>
        <v>0.52</v>
      </c>
      <c r="Q6" s="11">
        <f t="shared" si="11"/>
        <v>0.39461994076999013</v>
      </c>
      <c r="R6" s="11">
        <f>IFERROR(IF(B6="Reynolds",VLOOKUP(H6,'Yield &amp; Time'!A:U,21,0),VLOOKUP(H6,'Yield &amp; Time'!A:L,12,0)),0)</f>
        <v>1.9442894544830251</v>
      </c>
      <c r="S6" s="11">
        <f t="shared" si="3"/>
        <v>0.41133873771406498</v>
      </c>
      <c r="T6" s="11">
        <f t="shared" si="4"/>
        <v>2.0253015150864848E-2</v>
      </c>
      <c r="U6" s="11">
        <f>IF(A5=A6,0,VLOOKUP(A6,'Packing Time'!A:F,6,0))</f>
        <v>0</v>
      </c>
      <c r="V6" s="11">
        <f t="shared" si="12"/>
        <v>0</v>
      </c>
      <c r="W6" s="11">
        <f t="shared" si="13"/>
        <v>0</v>
      </c>
      <c r="X6" s="11">
        <f t="shared" si="5"/>
        <v>0.45247261148547152</v>
      </c>
      <c r="Y6" s="11">
        <f t="shared" si="14"/>
        <v>0.45247261148547152</v>
      </c>
      <c r="Z6" s="37">
        <v>1</v>
      </c>
      <c r="AA6" s="36">
        <f t="shared" si="6"/>
        <v>0.75888450148075026</v>
      </c>
      <c r="AB6" s="36">
        <f t="shared" si="7"/>
        <v>0.39461994076999013</v>
      </c>
      <c r="AC6" s="11">
        <f t="shared" si="8"/>
        <v>2.2278316665951335E-2</v>
      </c>
      <c r="AD6" s="36">
        <f t="shared" si="15"/>
        <v>0.45247261148547158</v>
      </c>
      <c r="AE6" s="36"/>
      <c r="AF6" s="36">
        <f>IFERROR(VLOOKUP(AE6,'Chemical Cost'!A:D,4,0),0)</f>
        <v>0</v>
      </c>
      <c r="AG6" s="114">
        <f t="shared" si="9"/>
        <v>0</v>
      </c>
      <c r="AH6" s="36">
        <f t="shared" si="16"/>
        <v>0</v>
      </c>
      <c r="AI6" s="36">
        <f t="shared" si="17"/>
        <v>0.84709255225546165</v>
      </c>
      <c r="AJ6" s="36">
        <f>IFERROR(VLOOKUP(A6,'All Products'!A:F,6,0),0)</f>
        <v>6.19</v>
      </c>
      <c r="AK6" s="36">
        <f>AJ6*Z6*J6</f>
        <v>1.5475000000000001</v>
      </c>
      <c r="AL6" s="23">
        <v>1</v>
      </c>
      <c r="AM6" s="23"/>
      <c r="AN6" s="54" t="e">
        <v>#N/A</v>
      </c>
      <c r="AO6" s="47"/>
      <c r="AP6" s="4">
        <v>1.1000000000000001</v>
      </c>
      <c r="AQ6" s="111">
        <f t="shared" si="10"/>
        <v>2.2278316665951335E-2</v>
      </c>
      <c r="AR6">
        <f>_xlfn.XLOOKUP(F6,'RM Cost'!A:A,'RM Cost'!S:S)</f>
        <v>0</v>
      </c>
      <c r="AS6" t="str">
        <f>_xlfn.XLOOKUP(A6,[3]Sheet1!$B:$B,[3]Sheet1!$B:$B)</f>
        <v>1480CS</v>
      </c>
      <c r="AT6">
        <f>_xlfn.XLOOKUP(H6,'Yield &amp; Time'!A:A,'Yield &amp; Time'!F:F)</f>
        <v>0</v>
      </c>
    </row>
    <row r="7" spans="1:46" x14ac:dyDescent="0.25">
      <c r="A7" s="2" t="s">
        <v>90</v>
      </c>
      <c r="B7" s="2" t="s">
        <v>552</v>
      </c>
      <c r="C7" s="2" t="s">
        <v>568</v>
      </c>
      <c r="D7" s="2" t="s">
        <v>554</v>
      </c>
      <c r="E7" s="2">
        <v>2.5</v>
      </c>
      <c r="F7" s="1" t="str">
        <f>VLOOKUP(H7,'RM Used'!A:B,2,0)</f>
        <v>3342CS</v>
      </c>
      <c r="G7" s="1" t="str">
        <f>IFERROR(VLOOKUP(F7,'RM Cost'!A:B,2,0),"")</f>
        <v>RM - ORI MOOLI X 15 EA</v>
      </c>
      <c r="H7" s="2" t="s">
        <v>1345</v>
      </c>
      <c r="I7" s="1" t="str">
        <f>VLOOKUP(F7,'RM Used'!B:D,3,0)</f>
        <v>RM-FOOD</v>
      </c>
      <c r="J7" s="66">
        <v>0.25</v>
      </c>
      <c r="K7" s="35">
        <f t="shared" si="0"/>
        <v>0.625</v>
      </c>
      <c r="L7" s="35">
        <f t="shared" si="1"/>
        <v>0.625</v>
      </c>
      <c r="M7" s="77" cm="1">
        <f t="array" ref="M7">_xlfn.IFS(BOM!I7="RM-PACKING","100%",B7="Reynolds",VLOOKUP(H7,'Yield &amp; Time'!A:V,22,0),BOM!B7="Dnata",VLOOKUP(BOM!H7,'Yield &amp; Time'!A:M,13,0),B7="NK",VLOOKUP(H7,'Yield &amp; Time'!A:X,24,0))</f>
        <v>0.82</v>
      </c>
      <c r="N7" s="35">
        <f t="shared" si="2"/>
        <v>0.76219512195121952</v>
      </c>
      <c r="O7" s="1" t="str">
        <f>VLOOKUP(H7,'RM Used'!A:E,5,0)</f>
        <v>KG</v>
      </c>
      <c r="P7" s="11">
        <f>VLOOKUP(H7,'RM Used'!A:F,6,0)</f>
        <v>1.23</v>
      </c>
      <c r="Q7" s="11">
        <f t="shared" si="11"/>
        <v>0.9375</v>
      </c>
      <c r="R7" s="11">
        <f>IFERROR(IF(B7="Reynolds",VLOOKUP(H7,'Yield &amp; Time'!A:U,21,0),VLOOKUP(H7,'Yield &amp; Time'!A:L,12,0)),0)</f>
        <v>1.3516260162601628</v>
      </c>
      <c r="S7" s="11">
        <f t="shared" si="3"/>
        <v>0.28595337906504065</v>
      </c>
      <c r="T7" s="11">
        <f t="shared" si="4"/>
        <v>1.4079437669376695E-2</v>
      </c>
      <c r="U7" s="11">
        <f>IF(A6=A7,0,VLOOKUP(A7,'Packing Time'!A:F,6,0))</f>
        <v>0</v>
      </c>
      <c r="V7" s="11">
        <f t="shared" si="12"/>
        <v>0</v>
      </c>
      <c r="W7" s="11">
        <f t="shared" si="13"/>
        <v>0</v>
      </c>
      <c r="X7" s="11">
        <f t="shared" si="5"/>
        <v>0.31454871697154474</v>
      </c>
      <c r="Y7" s="11">
        <f t="shared" si="14"/>
        <v>0.31454871697154474</v>
      </c>
      <c r="Z7" s="37">
        <v>1</v>
      </c>
      <c r="AA7" s="36">
        <f t="shared" si="6"/>
        <v>0.76219512195121952</v>
      </c>
      <c r="AB7" s="36">
        <f t="shared" si="7"/>
        <v>0.9375</v>
      </c>
      <c r="AC7" s="11">
        <f t="shared" si="8"/>
        <v>1.5487381436314366E-2</v>
      </c>
      <c r="AD7" s="36">
        <f t="shared" si="15"/>
        <v>0.31454871697154474</v>
      </c>
      <c r="AE7" s="36"/>
      <c r="AF7" s="36">
        <f>IFERROR(VLOOKUP(AE7,'Chemical Cost'!A:D,4,0),0)</f>
        <v>0</v>
      </c>
      <c r="AG7" s="114">
        <f t="shared" si="9"/>
        <v>0</v>
      </c>
      <c r="AH7" s="36">
        <f t="shared" si="16"/>
        <v>0</v>
      </c>
      <c r="AI7" s="36">
        <f t="shared" si="17"/>
        <v>1.2520487169715446</v>
      </c>
      <c r="AJ7" s="36">
        <f>IFERROR(VLOOKUP(A7,'All Products'!A:F,6,0),0)</f>
        <v>6.19</v>
      </c>
      <c r="AK7" s="36">
        <f>AJ7*Z7*J7</f>
        <v>1.5475000000000001</v>
      </c>
      <c r="AL7" s="23">
        <v>1</v>
      </c>
      <c r="AM7" s="23"/>
      <c r="AN7" s="54" t="e">
        <v>#N/A</v>
      </c>
      <c r="AO7" s="47"/>
      <c r="AP7" s="4">
        <v>1.1000000000000001</v>
      </c>
      <c r="AQ7" s="111">
        <f t="shared" si="10"/>
        <v>1.5487381436314366E-2</v>
      </c>
      <c r="AR7">
        <f>_xlfn.XLOOKUP(F7,'RM Cost'!A:A,'RM Cost'!S:S)</f>
        <v>0</v>
      </c>
      <c r="AS7" t="str">
        <f>_xlfn.XLOOKUP(A7,[3]Sheet1!$B:$B,[3]Sheet1!$B:$B)</f>
        <v>1480CS</v>
      </c>
      <c r="AT7">
        <f>_xlfn.XLOOKUP(H7,'Yield &amp; Time'!A:A,'Yield &amp; Time'!F:F)</f>
        <v>0</v>
      </c>
    </row>
    <row r="8" spans="1:46" x14ac:dyDescent="0.25">
      <c r="A8" s="2" t="s">
        <v>90</v>
      </c>
      <c r="B8" s="2" t="s">
        <v>552</v>
      </c>
      <c r="C8" s="2" t="s">
        <v>568</v>
      </c>
      <c r="D8" s="2" t="s">
        <v>554</v>
      </c>
      <c r="E8" s="2">
        <v>2.5</v>
      </c>
      <c r="F8" s="1" t="str">
        <f>VLOOKUP(H8,'RM Used'!A:B,2,0)</f>
        <v>3191CS</v>
      </c>
      <c r="G8" s="1" t="str">
        <f>IFERROR(VLOOKUP(F8,'RM Cost'!A:B,2,0),"")</f>
        <v>RM - PARSNIPS 10KG</v>
      </c>
      <c r="H8" s="2" t="s">
        <v>1346</v>
      </c>
      <c r="I8" s="1" t="str">
        <f>VLOOKUP(F8,'RM Used'!B:D,3,0)</f>
        <v>RM-FOOD</v>
      </c>
      <c r="J8" s="66">
        <v>0.25</v>
      </c>
      <c r="K8" s="35">
        <f t="shared" si="0"/>
        <v>0.625</v>
      </c>
      <c r="L8" s="35">
        <f t="shared" si="1"/>
        <v>0.625</v>
      </c>
      <c r="M8" s="77" cm="1">
        <f t="array" ref="M8">_xlfn.IFS(BOM!I8="RM-PACKING","100%",B8="Reynolds",VLOOKUP(H8,'Yield &amp; Time'!A:V,22,0),BOM!B8="Dnata",VLOOKUP(BOM!H8,'Yield &amp; Time'!A:M,13,0),B8="NK",VLOOKUP(H8,'Yield &amp; Time'!A:X,24,0))</f>
        <v>0.66601941747572801</v>
      </c>
      <c r="N8" s="35">
        <f t="shared" si="2"/>
        <v>0.93841107871720142</v>
      </c>
      <c r="O8" s="1" t="str">
        <f>VLOOKUP(H8,'RM Used'!A:E,5,0)</f>
        <v>KG</v>
      </c>
      <c r="P8" s="11">
        <f>VLOOKUP(H8,'RM Used'!A:F,6,0)</f>
        <v>0.76</v>
      </c>
      <c r="Q8" s="11">
        <f t="shared" si="11"/>
        <v>0.71319241982507309</v>
      </c>
      <c r="R8" s="11">
        <f>IFERROR(IF(B8="Reynolds",VLOOKUP(H8,'Yield &amp; Time'!A:U,21,0),VLOOKUP(H8,'Yield &amp; Time'!A:L,12,0)),0)</f>
        <v>2.906122448979592</v>
      </c>
      <c r="S8" s="11">
        <f t="shared" si="3"/>
        <v>0.61482653061224479</v>
      </c>
      <c r="T8" s="11">
        <f t="shared" si="4"/>
        <v>3.0272108843537416E-2</v>
      </c>
      <c r="U8" s="11">
        <f>IF(A7=A8,0,VLOOKUP(A8,'Packing Time'!A:F,6,0))</f>
        <v>0</v>
      </c>
      <c r="V8" s="11">
        <f t="shared" si="12"/>
        <v>0</v>
      </c>
      <c r="W8" s="11">
        <f t="shared" si="13"/>
        <v>0</v>
      </c>
      <c r="X8" s="11">
        <f t="shared" si="5"/>
        <v>0.67630918367346937</v>
      </c>
      <c r="Y8" s="11">
        <f t="shared" si="14"/>
        <v>0.67630918367346937</v>
      </c>
      <c r="Z8" s="37">
        <v>1</v>
      </c>
      <c r="AA8" s="36">
        <f t="shared" si="6"/>
        <v>0.93841107871720142</v>
      </c>
      <c r="AB8" s="36">
        <f t="shared" si="7"/>
        <v>0.71319241982507309</v>
      </c>
      <c r="AC8" s="11">
        <f t="shared" si="8"/>
        <v>3.3299319727891158E-2</v>
      </c>
      <c r="AD8" s="36">
        <f t="shared" si="15"/>
        <v>0.67630918367346937</v>
      </c>
      <c r="AE8" s="36" t="str">
        <f>VLOOKUP(H8,'Yield &amp; Time'!A:R,18,0)</f>
        <v>SODIUM METABISULPHITE</v>
      </c>
      <c r="AF8" s="36">
        <f>IFERROR(VLOOKUP(AE8,'Chemical Cost'!A:D,4,0),0)</f>
        <v>9.7586225455882462E-3</v>
      </c>
      <c r="AG8" s="114">
        <f t="shared" si="9"/>
        <v>3.0525331699331562E-3</v>
      </c>
      <c r="AH8" s="36">
        <f t="shared" si="16"/>
        <v>3.0525331699331562E-3</v>
      </c>
      <c r="AI8" s="36">
        <f t="shared" si="17"/>
        <v>1.3925541366684755</v>
      </c>
      <c r="AJ8" s="36">
        <f>IFERROR(VLOOKUP(A8,'All Products'!A:F,6,0),0)</f>
        <v>6.19</v>
      </c>
      <c r="AK8" s="36">
        <f>AJ8*Z8*J8</f>
        <v>1.5475000000000001</v>
      </c>
      <c r="AL8" s="23">
        <v>1</v>
      </c>
      <c r="AM8" s="23"/>
      <c r="AN8" s="54" t="e">
        <v>#N/A</v>
      </c>
      <c r="AO8" s="47"/>
      <c r="AP8" s="4">
        <v>1.1000000000000001</v>
      </c>
      <c r="AQ8" s="111">
        <f t="shared" si="10"/>
        <v>3.3299319727891158E-2</v>
      </c>
      <c r="AR8">
        <f>_xlfn.XLOOKUP(F8,'RM Cost'!A:A,'RM Cost'!S:S)</f>
        <v>0</v>
      </c>
      <c r="AS8" t="str">
        <f>_xlfn.XLOOKUP(A8,[3]Sheet1!$B:$B,[3]Sheet1!$B:$B)</f>
        <v>1480CS</v>
      </c>
      <c r="AT8">
        <f>_xlfn.XLOOKUP(H8,'Yield &amp; Time'!A:A,'Yield &amp; Time'!F:F)</f>
        <v>0</v>
      </c>
    </row>
    <row r="9" spans="1:46" x14ac:dyDescent="0.25">
      <c r="A9" s="2" t="s">
        <v>90</v>
      </c>
      <c r="B9" s="2" t="s">
        <v>552</v>
      </c>
      <c r="C9" s="2" t="s">
        <v>568</v>
      </c>
      <c r="D9" s="2" t="s">
        <v>554</v>
      </c>
      <c r="E9" s="2">
        <v>2.5</v>
      </c>
      <c r="F9" s="1" t="str">
        <f>VLOOKUP(H9,'RM Used'!A:B,2,0)</f>
        <v>P0020</v>
      </c>
      <c r="G9" s="1" t="str">
        <f>IFERROR(VLOOKUP(F9,'RM Cost'!A:B,2,0),"")</f>
        <v>PALE BLUE BAG 430X430MM</v>
      </c>
      <c r="H9" s="2" t="s">
        <v>1659</v>
      </c>
      <c r="I9" s="1" t="str">
        <f>VLOOKUP(F9,'RM Used'!B:D,3,0)</f>
        <v>RM-PACKING</v>
      </c>
      <c r="J9" s="66">
        <v>1</v>
      </c>
      <c r="K9" s="35" t="str">
        <f t="shared" si="0"/>
        <v/>
      </c>
      <c r="L9" s="35">
        <f t="shared" si="1"/>
        <v>0</v>
      </c>
      <c r="M9" s="77" t="str" cm="1">
        <f t="array" ref="M9">_xlfn.IFS(BOM!I9="RM-PACKING","100%",B9="Reynolds",VLOOKUP(H9,'Yield &amp; Time'!A:V,22,0),BOM!B9="Dnata",VLOOKUP(BOM!H9,'Yield &amp; Time'!A:M,13,0),B9="NK",VLOOKUP(H9,'Yield &amp; Time'!A:X,24,0))</f>
        <v>100%</v>
      </c>
      <c r="N9" s="35">
        <f t="shared" si="2"/>
        <v>1</v>
      </c>
      <c r="O9" s="1" t="str">
        <f>VLOOKUP(H9,'RM Used'!A:E,5,0)</f>
        <v>Count</v>
      </c>
      <c r="P9" s="11">
        <f>VLOOKUP(H9,'RM Used'!A:F,6,0)</f>
        <v>0.09</v>
      </c>
      <c r="Q9" s="11">
        <f t="shared" si="11"/>
        <v>0.09</v>
      </c>
      <c r="R9" s="11">
        <f>IFERROR(IF(B9="Reynolds",VLOOKUP(H9,'Yield &amp; Time'!A:U,21,0),VLOOKUP(H9,'Yield &amp; Time'!A:L,12,0)),0)</f>
        <v>0</v>
      </c>
      <c r="S9" s="11">
        <f t="shared" si="3"/>
        <v>0</v>
      </c>
      <c r="T9" s="11">
        <f t="shared" si="4"/>
        <v>0</v>
      </c>
      <c r="U9" s="11">
        <f>IF(A8=A9,0,VLOOKUP(A9,'Packing Time'!A:F,6,0))</f>
        <v>0</v>
      </c>
      <c r="V9" s="11">
        <f t="shared" si="12"/>
        <v>0</v>
      </c>
      <c r="W9" s="11">
        <f t="shared" si="13"/>
        <v>0</v>
      </c>
      <c r="X9" s="11">
        <f t="shared" si="5"/>
        <v>0</v>
      </c>
      <c r="Y9" s="11">
        <f t="shared" si="14"/>
        <v>0</v>
      </c>
      <c r="Z9" s="37">
        <v>1</v>
      </c>
      <c r="AA9" s="36">
        <f t="shared" si="6"/>
        <v>1</v>
      </c>
      <c r="AB9" s="36">
        <f t="shared" si="7"/>
        <v>0.09</v>
      </c>
      <c r="AC9" s="11">
        <f t="shared" si="8"/>
        <v>0</v>
      </c>
      <c r="AD9" s="36">
        <f t="shared" si="15"/>
        <v>0</v>
      </c>
      <c r="AE9" s="36"/>
      <c r="AF9" s="36">
        <f>IFERROR(VLOOKUP(AE9,'Chemical Cost'!A:D,4,0),0)</f>
        <v>0</v>
      </c>
      <c r="AG9" s="114">
        <f t="shared" si="9"/>
        <v>0</v>
      </c>
      <c r="AH9" s="36">
        <f t="shared" si="16"/>
        <v>0</v>
      </c>
      <c r="AI9" s="36">
        <f t="shared" si="17"/>
        <v>0.09</v>
      </c>
      <c r="AJ9" s="36">
        <f>IFERROR(VLOOKUP(A9,'All Products'!A:F,6,0),0)</f>
        <v>6.19</v>
      </c>
      <c r="AK9" s="36"/>
      <c r="AL9" s="23">
        <v>1</v>
      </c>
      <c r="AM9" s="23"/>
      <c r="AN9" s="54" t="e">
        <v>#N/A</v>
      </c>
      <c r="AO9" s="47"/>
      <c r="AP9" s="4">
        <v>1.1000000000000001</v>
      </c>
      <c r="AQ9" s="111">
        <f t="shared" si="10"/>
        <v>0</v>
      </c>
      <c r="AR9">
        <f>_xlfn.XLOOKUP(F9,'RM Cost'!A:A,'RM Cost'!S:S)</f>
        <v>0</v>
      </c>
      <c r="AS9" t="str">
        <f>_xlfn.XLOOKUP(A9,[3]Sheet1!$B:$B,[3]Sheet1!$B:$B)</f>
        <v>1480CS</v>
      </c>
      <c r="AT9" t="e">
        <f>_xlfn.XLOOKUP(H9,'Yield &amp; Time'!A:A,'Yield &amp; Time'!F:F)</f>
        <v>#N/A</v>
      </c>
    </row>
    <row r="10" spans="1:46" x14ac:dyDescent="0.25">
      <c r="A10" s="2" t="s">
        <v>90</v>
      </c>
      <c r="B10" s="2" t="s">
        <v>552</v>
      </c>
      <c r="C10" s="2" t="s">
        <v>568</v>
      </c>
      <c r="D10" s="2" t="s">
        <v>554</v>
      </c>
      <c r="E10" s="2">
        <v>2.5</v>
      </c>
      <c r="F10" s="1" t="str">
        <f>VLOOKUP(H10,'RM Used'!A:B,2,0)</f>
        <v>P0016</v>
      </c>
      <c r="G10" s="1" t="str">
        <f>IFERROR(VLOOKUP(F10,'RM Cost'!A:B,2,0),"")</f>
        <v>REY 40 30 BOX</v>
      </c>
      <c r="H10" s="2" t="s">
        <v>1332</v>
      </c>
      <c r="I10" s="1" t="str">
        <f>VLOOKUP(F10,'RM Used'!B:D,3,0)</f>
        <v>RM-PACKING</v>
      </c>
      <c r="J10" s="66">
        <v>1</v>
      </c>
      <c r="K10" s="35" t="str">
        <f t="shared" si="0"/>
        <v/>
      </c>
      <c r="L10" s="35">
        <f t="shared" si="1"/>
        <v>0</v>
      </c>
      <c r="M10" s="77" t="str" cm="1">
        <f t="array" ref="M10">_xlfn.IFS(BOM!I10="RM-PACKING","100%",B10="Reynolds",VLOOKUP(H10,'Yield &amp; Time'!A:V,22,0),BOM!B10="Dnata",VLOOKUP(BOM!H10,'Yield &amp; Time'!A:M,13,0),B10="NK",VLOOKUP(H10,'Yield &amp; Time'!A:X,24,0))</f>
        <v>100%</v>
      </c>
      <c r="N10" s="35">
        <f t="shared" si="2"/>
        <v>1</v>
      </c>
      <c r="O10" s="1" t="str">
        <f>VLOOKUP(H10,'RM Used'!A:E,5,0)</f>
        <v>Count</v>
      </c>
      <c r="P10" s="11">
        <f>VLOOKUP(H10,'RM Used'!A:F,6,0)</f>
        <v>0.28000000000000003</v>
      </c>
      <c r="Q10" s="11">
        <f t="shared" si="11"/>
        <v>0.28000000000000003</v>
      </c>
      <c r="R10" s="11">
        <f>IFERROR(IF(B10="Reynolds",VLOOKUP(H10,'Yield &amp; Time'!A:U,21,0),VLOOKUP(H10,'Yield &amp; Time'!A:L,12,0)),0)</f>
        <v>0</v>
      </c>
      <c r="S10" s="11">
        <f t="shared" si="3"/>
        <v>0</v>
      </c>
      <c r="T10" s="11">
        <f t="shared" si="4"/>
        <v>0</v>
      </c>
      <c r="U10" s="11">
        <f>IF(A9=A10,0,VLOOKUP(A10,'Packing Time'!A:F,6,0))</f>
        <v>0</v>
      </c>
      <c r="V10" s="11">
        <f t="shared" si="12"/>
        <v>0</v>
      </c>
      <c r="W10" s="11">
        <f t="shared" si="13"/>
        <v>0</v>
      </c>
      <c r="X10" s="11">
        <f t="shared" si="5"/>
        <v>0</v>
      </c>
      <c r="Y10" s="11">
        <f t="shared" si="14"/>
        <v>0</v>
      </c>
      <c r="Z10" s="37">
        <v>1</v>
      </c>
      <c r="AA10" s="36">
        <f t="shared" si="6"/>
        <v>1</v>
      </c>
      <c r="AB10" s="36">
        <f t="shared" si="7"/>
        <v>0.28000000000000003</v>
      </c>
      <c r="AC10" s="11">
        <f t="shared" si="8"/>
        <v>0</v>
      </c>
      <c r="AD10" s="36">
        <f t="shared" si="15"/>
        <v>0</v>
      </c>
      <c r="AE10" s="36"/>
      <c r="AF10" s="36">
        <f>IFERROR(VLOOKUP(AE10,'Chemical Cost'!A:D,4,0),0)</f>
        <v>0</v>
      </c>
      <c r="AG10" s="114">
        <f t="shared" si="9"/>
        <v>0</v>
      </c>
      <c r="AH10" s="36">
        <f t="shared" si="16"/>
        <v>0</v>
      </c>
      <c r="AI10" s="36">
        <f t="shared" si="17"/>
        <v>0.28000000000000003</v>
      </c>
      <c r="AJ10" s="36">
        <f>IFERROR(VLOOKUP(A10,'All Products'!A:F,6,0),0)</f>
        <v>6.19</v>
      </c>
      <c r="AK10" s="36"/>
      <c r="AL10" s="23">
        <v>1</v>
      </c>
      <c r="AM10" s="23"/>
      <c r="AN10" s="54" t="e">
        <v>#N/A</v>
      </c>
      <c r="AO10" s="47"/>
      <c r="AP10" s="4">
        <v>1.1000000000000001</v>
      </c>
      <c r="AQ10" s="111">
        <f t="shared" si="10"/>
        <v>0</v>
      </c>
      <c r="AR10">
        <f>_xlfn.XLOOKUP(F10,'RM Cost'!A:A,'RM Cost'!S:S)</f>
        <v>0</v>
      </c>
      <c r="AS10" t="str">
        <f>_xlfn.XLOOKUP(A10,[3]Sheet1!$B:$B,[3]Sheet1!$B:$B)</f>
        <v>1480CS</v>
      </c>
      <c r="AT10" t="e">
        <f>_xlfn.XLOOKUP(H10,'Yield &amp; Time'!A:A,'Yield &amp; Time'!F:F)</f>
        <v>#N/A</v>
      </c>
    </row>
    <row r="11" spans="1:46" x14ac:dyDescent="0.25">
      <c r="A11" s="2" t="s">
        <v>289</v>
      </c>
      <c r="B11" s="2" t="s">
        <v>552</v>
      </c>
      <c r="C11" s="2" t="s">
        <v>290</v>
      </c>
      <c r="D11" s="2" t="s">
        <v>554</v>
      </c>
      <c r="E11" s="2">
        <v>4</v>
      </c>
      <c r="F11" s="1" t="str">
        <f>VLOOKUP(H11,'RM Used'!A:B,2,0)</f>
        <v>032ACS</v>
      </c>
      <c r="G11" s="1" t="str">
        <f>IFERROR(VLOOKUP(F11,'RM Cost'!A:B,2,0),"")</f>
        <v>RM - LRG PROCESSING CARROT X 1000KG</v>
      </c>
      <c r="H11" s="2" t="s">
        <v>1351</v>
      </c>
      <c r="I11" s="1" t="str">
        <f>VLOOKUP(F11,'RM Used'!B:D,3,0)</f>
        <v>RM-FOOD</v>
      </c>
      <c r="J11" s="66">
        <v>0.5</v>
      </c>
      <c r="K11" s="35">
        <f t="shared" si="0"/>
        <v>2</v>
      </c>
      <c r="L11" s="35">
        <f t="shared" si="1"/>
        <v>2</v>
      </c>
      <c r="M11" s="77" cm="1">
        <f t="array" ref="M11">_xlfn.IFS(BOM!I11="RM-PACKING","100%",B11="Reynolds",VLOOKUP(H11,'Yield &amp; Time'!A:V,22,0),BOM!B11="Dnata",VLOOKUP(BOM!H11,'Yield &amp; Time'!A:M,13,0),B11="NK",VLOOKUP(H11,'Yield &amp; Time'!A:X,24,0))</f>
        <v>0.75330000000000008</v>
      </c>
      <c r="N11" s="35">
        <f t="shared" si="2"/>
        <v>2.6549847338377801</v>
      </c>
      <c r="O11" s="1" t="str">
        <f>VLOOKUP(H11,'RM Used'!A:E,5,0)</f>
        <v>KG</v>
      </c>
      <c r="P11" s="11">
        <f>VLOOKUP(H11,'RM Used'!A:F,6,0)</f>
        <v>0.38</v>
      </c>
      <c r="Q11" s="11">
        <f t="shared" si="11"/>
        <v>1.0088941988583564</v>
      </c>
      <c r="R11" s="11">
        <f>IFERROR(IF(B11="Reynolds",VLOOKUP(H11,'Yield &amp; Time'!A:U,21,0),VLOOKUP(H11,'Yield &amp; Time'!A:L,12,0)),0)</f>
        <v>0.90531914893617027</v>
      </c>
      <c r="S11" s="11">
        <f t="shared" si="3"/>
        <v>0.61290106382978726</v>
      </c>
      <c r="T11" s="11">
        <f t="shared" si="4"/>
        <v>3.017730496453901E-2</v>
      </c>
      <c r="U11" s="11">
        <f>IF(A10=A11,0,VLOOKUP(A11,'Packing Time'!A:F,6,0))</f>
        <v>2.2999999999999998</v>
      </c>
      <c r="V11" s="11">
        <f t="shared" si="12"/>
        <v>0.77854999999999985</v>
      </c>
      <c r="W11" s="11">
        <f t="shared" si="13"/>
        <v>3.833333333333333E-2</v>
      </c>
      <c r="X11" s="11">
        <f t="shared" si="5"/>
        <v>1.5305961702127657</v>
      </c>
      <c r="Y11" s="11">
        <f t="shared" si="14"/>
        <v>1.5305961702127657</v>
      </c>
      <c r="Z11" s="37">
        <v>1</v>
      </c>
      <c r="AA11" s="36">
        <f t="shared" si="6"/>
        <v>2.6549847338377801</v>
      </c>
      <c r="AB11" s="36">
        <f t="shared" si="7"/>
        <v>1.0088941988583564</v>
      </c>
      <c r="AC11" s="11">
        <f t="shared" si="8"/>
        <v>7.536170212765958E-2</v>
      </c>
      <c r="AD11" s="36">
        <f t="shared" si="15"/>
        <v>1.5305961702127659</v>
      </c>
      <c r="AE11" s="36" t="str">
        <f>VLOOKUP(H11,'Yield &amp; Time'!A:R,18,0)</f>
        <v>CHLORINE</v>
      </c>
      <c r="AF11" s="36">
        <f>IFERROR(VLOOKUP(AE11,'Chemical Cost'!A:D,4,0),0)</f>
        <v>2.7756518066439469E-2</v>
      </c>
      <c r="AG11" s="114">
        <f t="shared" si="9"/>
        <v>2.4564377243629778E-2</v>
      </c>
      <c r="AH11" s="36">
        <f t="shared" si="16"/>
        <v>2.4564377243629778E-2</v>
      </c>
      <c r="AI11" s="36">
        <f t="shared" si="17"/>
        <v>2.5640547463147518</v>
      </c>
      <c r="AJ11" s="36">
        <f>IFERROR(VLOOKUP(A11,'All Products'!A:F,6,0),0)</f>
        <v>10.32</v>
      </c>
      <c r="AK11" s="36">
        <f>AJ11*Z11*J11</f>
        <v>5.16</v>
      </c>
      <c r="AL11" s="23">
        <v>0.85</v>
      </c>
      <c r="AM11" s="23">
        <v>0.15</v>
      </c>
      <c r="AN11" s="54" t="e">
        <v>#N/A</v>
      </c>
      <c r="AO11" s="47"/>
      <c r="AP11" s="4">
        <v>1.1000000000000001</v>
      </c>
      <c r="AQ11" s="111">
        <f t="shared" si="10"/>
        <v>7.536170212765958E-2</v>
      </c>
      <c r="AR11">
        <f>_xlfn.XLOOKUP(F11,'RM Cost'!A:A,'RM Cost'!S:S)</f>
        <v>0</v>
      </c>
      <c r="AS11" t="str">
        <f>_xlfn.XLOOKUP(A11,[3]Sheet1!$B:$B,[3]Sheet1!$B:$B)</f>
        <v>765ACS</v>
      </c>
      <c r="AT11" t="str">
        <f>_xlfn.XLOOKUP(H11,'Yield &amp; Time'!A:A,'Yield &amp; Time'!O:O)</f>
        <v>Yes</v>
      </c>
    </row>
    <row r="12" spans="1:46" x14ac:dyDescent="0.25">
      <c r="A12" s="2" t="s">
        <v>289</v>
      </c>
      <c r="B12" s="2" t="s">
        <v>552</v>
      </c>
      <c r="C12" s="2" t="s">
        <v>290</v>
      </c>
      <c r="D12" s="2" t="s">
        <v>554</v>
      </c>
      <c r="E12" s="2">
        <v>4</v>
      </c>
      <c r="F12" s="1" t="str">
        <f>VLOOKUP(H12,'RM Used'!A:B,2,0)</f>
        <v>S3998CS</v>
      </c>
      <c r="G12" s="1" t="str">
        <f>IFERROR(VLOOKUP(F12,'RM Cost'!A:B,2,0),"")</f>
        <v>RM - DECORED RED CABBAGE 1/3 1200KG</v>
      </c>
      <c r="H12" s="2" t="s">
        <v>1349</v>
      </c>
      <c r="I12" s="1" t="str">
        <f>VLOOKUP(F12,'RM Used'!B:D,3,0)</f>
        <v>RM-FOOD</v>
      </c>
      <c r="J12" s="66">
        <v>0.5</v>
      </c>
      <c r="K12" s="35">
        <f t="shared" si="0"/>
        <v>2</v>
      </c>
      <c r="L12" s="35">
        <f t="shared" si="1"/>
        <v>2</v>
      </c>
      <c r="M12" s="77" cm="1">
        <f t="array" ref="M12">_xlfn.IFS(BOM!I12="RM-PACKING","100%",B12="Reynolds",VLOOKUP(H12,'Yield &amp; Time'!A:V,22,0),BOM!B12="Dnata",VLOOKUP(BOM!H12,'Yield &amp; Time'!A:M,13,0),B12="NK",VLOOKUP(H12,'Yield &amp; Time'!A:X,24,0))</f>
        <v>0.75138040345821322</v>
      </c>
      <c r="N12" s="35">
        <f t="shared" si="2"/>
        <v>2.6617675824323341</v>
      </c>
      <c r="O12" s="1" t="str">
        <f>VLOOKUP(H12,'RM Used'!A:E,5,0)</f>
        <v>KG</v>
      </c>
      <c r="P12" s="11">
        <f>VLOOKUP(H12,'RM Used'!A:F,6,0)</f>
        <v>0.38</v>
      </c>
      <c r="Q12" s="11">
        <f t="shared" si="11"/>
        <v>1.011471681324287</v>
      </c>
      <c r="R12" s="11">
        <f>IFERROR(IF(B12="Reynolds",VLOOKUP(H12,'Yield &amp; Time'!A:U,21,0),VLOOKUP(H12,'Yield &amp; Time'!A:L,12,0)),0)</f>
        <v>0.76261570798735501</v>
      </c>
      <c r="S12" s="11">
        <f t="shared" si="3"/>
        <v>0.51629083430743927</v>
      </c>
      <c r="T12" s="11">
        <f t="shared" si="4"/>
        <v>2.5420523599578502E-2</v>
      </c>
      <c r="U12" s="11">
        <f>IF(A11=A12,0,VLOOKUP(A12,'Packing Time'!A:F,6,0))</f>
        <v>0</v>
      </c>
      <c r="V12" s="11">
        <f t="shared" si="12"/>
        <v>0</v>
      </c>
      <c r="W12" s="11">
        <f t="shared" si="13"/>
        <v>0</v>
      </c>
      <c r="X12" s="11">
        <f t="shared" si="5"/>
        <v>0.56791991773818329</v>
      </c>
      <c r="Y12" s="11">
        <f t="shared" si="14"/>
        <v>0.56791991773818329</v>
      </c>
      <c r="Z12" s="37">
        <v>1</v>
      </c>
      <c r="AA12" s="36">
        <f t="shared" si="6"/>
        <v>2.6617675824323341</v>
      </c>
      <c r="AB12" s="36">
        <f t="shared" si="7"/>
        <v>1.011471681324287</v>
      </c>
      <c r="AC12" s="11">
        <f t="shared" si="8"/>
        <v>2.7962575959536353E-2</v>
      </c>
      <c r="AD12" s="36">
        <f t="shared" si="15"/>
        <v>0.56791991773818329</v>
      </c>
      <c r="AE12" s="36" t="str">
        <f>VLOOKUP(H12,'Yield &amp; Time'!A:R,18,0)</f>
        <v>CHLORINE</v>
      </c>
      <c r="AF12" s="36">
        <f>IFERROR(VLOOKUP(AE12,'Chemical Cost'!A:D,4,0),0)</f>
        <v>2.7756518066439469E-2</v>
      </c>
      <c r="AG12" s="114">
        <f t="shared" si="9"/>
        <v>2.4627133330148664E-2</v>
      </c>
      <c r="AH12" s="36">
        <f t="shared" si="16"/>
        <v>2.4627133330148664E-2</v>
      </c>
      <c r="AI12" s="36">
        <f t="shared" si="17"/>
        <v>1.6040187323926189</v>
      </c>
      <c r="AJ12" s="36">
        <f>IFERROR(VLOOKUP(A12,'All Products'!A:F,6,0),0)</f>
        <v>10.32</v>
      </c>
      <c r="AK12" s="36">
        <f>AJ12*Z12*J12</f>
        <v>5.16</v>
      </c>
      <c r="AL12" s="23">
        <v>0.85</v>
      </c>
      <c r="AM12" s="23">
        <v>0.15</v>
      </c>
      <c r="AN12" s="54" t="e">
        <v>#N/A</v>
      </c>
      <c r="AO12" s="47"/>
      <c r="AP12" s="4">
        <v>1.1000000000000001</v>
      </c>
      <c r="AQ12" s="111">
        <f t="shared" si="10"/>
        <v>2.7962575959536353E-2</v>
      </c>
      <c r="AR12">
        <f>_xlfn.XLOOKUP(F12,'RM Cost'!A:A,'RM Cost'!S:S)</f>
        <v>0.29914853989077506</v>
      </c>
      <c r="AS12" t="str">
        <f>_xlfn.XLOOKUP(A12,[3]Sheet1!$B:$B,[3]Sheet1!$B:$B)</f>
        <v>765ACS</v>
      </c>
      <c r="AT12" t="str">
        <f>_xlfn.XLOOKUP(H12,'Yield &amp; Time'!A:A,'Yield &amp; Time'!O:O)</f>
        <v>Yes</v>
      </c>
    </row>
    <row r="13" spans="1:46" x14ac:dyDescent="0.25">
      <c r="A13" s="2" t="s">
        <v>289</v>
      </c>
      <c r="B13" s="2" t="s">
        <v>552</v>
      </c>
      <c r="C13" s="2" t="s">
        <v>290</v>
      </c>
      <c r="D13" s="2" t="s">
        <v>554</v>
      </c>
      <c r="E13" s="2">
        <v>4</v>
      </c>
      <c r="F13" s="1" t="str">
        <f>VLOOKUP(H13,'RM Used'!A:B,2,0)</f>
        <v>P0005</v>
      </c>
      <c r="G13" s="1" t="str">
        <f>IFERROR(VLOOKUP(F13,'RM Cost'!A:B,2,0),"")</f>
        <v>SOL 30EL # PPLUS 630x1000 BLUE -8</v>
      </c>
      <c r="H13" s="2" t="s">
        <v>4681</v>
      </c>
      <c r="I13" s="1" t="str">
        <f>VLOOKUP(F13,'RM Used'!B:D,3,0)</f>
        <v>RM-PACKING</v>
      </c>
      <c r="J13" s="66">
        <v>1</v>
      </c>
      <c r="K13" s="35" t="str">
        <f t="shared" si="0"/>
        <v/>
      </c>
      <c r="L13" s="35">
        <f t="shared" si="1"/>
        <v>0</v>
      </c>
      <c r="M13" s="77" t="str" cm="1">
        <f t="array" ref="M13">_xlfn.IFS(BOM!I13="RM-PACKING","100%",B13="Reynolds",VLOOKUP(H13,'Yield &amp; Time'!A:V,22,0),BOM!B13="Dnata",VLOOKUP(BOM!H13,'Yield &amp; Time'!A:M,13,0),B13="NK",VLOOKUP(H13,'Yield &amp; Time'!A:X,24,0))</f>
        <v>100%</v>
      </c>
      <c r="N13" s="35">
        <f t="shared" si="2"/>
        <v>1</v>
      </c>
      <c r="O13" s="1" t="str">
        <f>VLOOKUP(H13,'RM Used'!A:E,5,0)</f>
        <v>Count</v>
      </c>
      <c r="P13" s="11">
        <f>VLOOKUP(H13,'RM Used'!A:F,6,0)</f>
        <v>0.64</v>
      </c>
      <c r="Q13" s="11">
        <f t="shared" si="11"/>
        <v>0.64</v>
      </c>
      <c r="R13" s="11">
        <f>IFERROR(IF(B13="Reynolds",VLOOKUP(H13,'Yield &amp; Time'!A:U,21,0),VLOOKUP(H13,'Yield &amp; Time'!A:L,12,0)),0)</f>
        <v>0</v>
      </c>
      <c r="S13" s="11">
        <f t="shared" si="3"/>
        <v>0</v>
      </c>
      <c r="T13" s="11">
        <f t="shared" si="4"/>
        <v>0</v>
      </c>
      <c r="U13" s="11">
        <f>IF(A12=A13,0,VLOOKUP(A13,'Packing Time'!A:F,6,0))</f>
        <v>0</v>
      </c>
      <c r="V13" s="11">
        <f t="shared" si="12"/>
        <v>0</v>
      </c>
      <c r="W13" s="11">
        <f t="shared" si="13"/>
        <v>0</v>
      </c>
      <c r="X13" s="11">
        <f t="shared" si="5"/>
        <v>0</v>
      </c>
      <c r="Y13" s="11">
        <f t="shared" si="14"/>
        <v>0</v>
      </c>
      <c r="Z13" s="37">
        <v>1</v>
      </c>
      <c r="AA13" s="36">
        <f t="shared" si="6"/>
        <v>1</v>
      </c>
      <c r="AB13" s="36">
        <f t="shared" si="7"/>
        <v>0.64</v>
      </c>
      <c r="AC13" s="11">
        <f t="shared" si="8"/>
        <v>0</v>
      </c>
      <c r="AD13" s="36">
        <f t="shared" si="15"/>
        <v>0</v>
      </c>
      <c r="AE13" s="36"/>
      <c r="AF13" s="36">
        <f>IFERROR(VLOOKUP(AE13,'Chemical Cost'!A:D,4,0),0)</f>
        <v>0</v>
      </c>
      <c r="AG13" s="114">
        <f t="shared" si="9"/>
        <v>0</v>
      </c>
      <c r="AH13" s="36">
        <f t="shared" si="16"/>
        <v>0</v>
      </c>
      <c r="AI13" s="36">
        <f t="shared" si="17"/>
        <v>0.64</v>
      </c>
      <c r="AJ13" s="36">
        <f>IFERROR(VLOOKUP(A13,'All Products'!A:F,6,0),0)</f>
        <v>10.32</v>
      </c>
      <c r="AK13" s="36"/>
      <c r="AL13" s="23">
        <v>0.85</v>
      </c>
      <c r="AM13" s="23">
        <v>0.15</v>
      </c>
      <c r="AN13" s="54" t="e">
        <v>#N/A</v>
      </c>
      <c r="AO13" s="47"/>
      <c r="AP13" s="4">
        <v>1.1000000000000001</v>
      </c>
      <c r="AQ13" s="111">
        <f t="shared" si="10"/>
        <v>0</v>
      </c>
      <c r="AR13">
        <f>_xlfn.XLOOKUP(F13,'RM Cost'!A:A,'RM Cost'!S:S)</f>
        <v>0</v>
      </c>
      <c r="AS13" t="str">
        <f>_xlfn.XLOOKUP(A13,[3]Sheet1!$B:$B,[3]Sheet1!$B:$B)</f>
        <v>765ACS</v>
      </c>
      <c r="AT13" t="e">
        <f>_xlfn.XLOOKUP(H13,'Yield &amp; Time'!A:A,'Yield &amp; Time'!F:F)</f>
        <v>#N/A</v>
      </c>
    </row>
    <row r="14" spans="1:46" x14ac:dyDescent="0.25">
      <c r="A14" s="2" t="s">
        <v>289</v>
      </c>
      <c r="B14" s="2" t="s">
        <v>552</v>
      </c>
      <c r="C14" s="2" t="s">
        <v>290</v>
      </c>
      <c r="D14" s="2" t="s">
        <v>554</v>
      </c>
      <c r="E14" s="2">
        <v>4</v>
      </c>
      <c r="F14" s="1" t="str">
        <f>VLOOKUP(H14,'RM Used'!A:B,2,0)</f>
        <v>P0016</v>
      </c>
      <c r="G14" s="1" t="str">
        <f>IFERROR(VLOOKUP(F14,'RM Cost'!A:B,2,0),"")</f>
        <v>REY 40 30 BOX</v>
      </c>
      <c r="H14" s="2" t="s">
        <v>1332</v>
      </c>
      <c r="I14" s="1" t="str">
        <f>VLOOKUP(F14,'RM Used'!B:D,3,0)</f>
        <v>RM-PACKING</v>
      </c>
      <c r="J14" s="66">
        <v>1</v>
      </c>
      <c r="K14" s="35" t="str">
        <f t="shared" si="0"/>
        <v/>
      </c>
      <c r="L14" s="35">
        <f t="shared" si="1"/>
        <v>0</v>
      </c>
      <c r="M14" s="77" t="str" cm="1">
        <f t="array" ref="M14">_xlfn.IFS(BOM!I14="RM-PACKING","100%",B14="Reynolds",VLOOKUP(H14,'Yield &amp; Time'!A:V,22,0),BOM!B14="Dnata",VLOOKUP(BOM!H14,'Yield &amp; Time'!A:M,13,0),B14="NK",VLOOKUP(H14,'Yield &amp; Time'!A:X,24,0))</f>
        <v>100%</v>
      </c>
      <c r="N14" s="35">
        <f t="shared" si="2"/>
        <v>1</v>
      </c>
      <c r="O14" s="1" t="str">
        <f>VLOOKUP(H14,'RM Used'!A:E,5,0)</f>
        <v>Count</v>
      </c>
      <c r="P14" s="11">
        <f>VLOOKUP(H14,'RM Used'!A:F,6,0)</f>
        <v>0.28000000000000003</v>
      </c>
      <c r="Q14" s="11">
        <f t="shared" si="11"/>
        <v>0.28000000000000003</v>
      </c>
      <c r="R14" s="11">
        <f>IFERROR(IF(B14="Reynolds",VLOOKUP(H14,'Yield &amp; Time'!A:U,21,0),VLOOKUP(H14,'Yield &amp; Time'!A:L,12,0)),0)</f>
        <v>0</v>
      </c>
      <c r="S14" s="11">
        <f t="shared" si="3"/>
        <v>0</v>
      </c>
      <c r="T14" s="11">
        <f t="shared" si="4"/>
        <v>0</v>
      </c>
      <c r="U14" s="11">
        <f>IF(A13=A14,0,VLOOKUP(A14,'Packing Time'!A:F,6,0))</f>
        <v>0</v>
      </c>
      <c r="V14" s="11">
        <f t="shared" si="12"/>
        <v>0</v>
      </c>
      <c r="W14" s="11">
        <f t="shared" si="13"/>
        <v>0</v>
      </c>
      <c r="X14" s="11">
        <f t="shared" si="5"/>
        <v>0</v>
      </c>
      <c r="Y14" s="11">
        <f t="shared" si="14"/>
        <v>0</v>
      </c>
      <c r="Z14" s="37">
        <v>1</v>
      </c>
      <c r="AA14" s="36">
        <f t="shared" si="6"/>
        <v>1</v>
      </c>
      <c r="AB14" s="36">
        <f t="shared" si="7"/>
        <v>0.28000000000000003</v>
      </c>
      <c r="AC14" s="11">
        <f t="shared" si="8"/>
        <v>0</v>
      </c>
      <c r="AD14" s="36">
        <f t="shared" si="15"/>
        <v>0</v>
      </c>
      <c r="AE14" s="36"/>
      <c r="AF14" s="36">
        <f>IFERROR(VLOOKUP(AE14,'Chemical Cost'!A:D,4,0),0)</f>
        <v>0</v>
      </c>
      <c r="AG14" s="114">
        <f t="shared" si="9"/>
        <v>0</v>
      </c>
      <c r="AH14" s="36">
        <f t="shared" si="16"/>
        <v>0</v>
      </c>
      <c r="AI14" s="36">
        <f t="shared" si="17"/>
        <v>0.28000000000000003</v>
      </c>
      <c r="AJ14" s="36">
        <f>IFERROR(VLOOKUP(A14,'All Products'!A:F,6,0),0)</f>
        <v>10.32</v>
      </c>
      <c r="AK14" s="36"/>
      <c r="AL14" s="23">
        <v>0.85</v>
      </c>
      <c r="AM14" s="23">
        <v>0.15</v>
      </c>
      <c r="AN14" s="54" t="e">
        <v>#N/A</v>
      </c>
      <c r="AO14" s="47"/>
      <c r="AP14" s="4">
        <v>1.1000000000000001</v>
      </c>
      <c r="AQ14" s="111">
        <f t="shared" si="10"/>
        <v>0</v>
      </c>
      <c r="AR14">
        <f>_xlfn.XLOOKUP(F14,'RM Cost'!A:A,'RM Cost'!S:S)</f>
        <v>0</v>
      </c>
      <c r="AS14" t="str">
        <f>_xlfn.XLOOKUP(A14,[3]Sheet1!$B:$B,[3]Sheet1!$B:$B)</f>
        <v>765ACS</v>
      </c>
      <c r="AT14" t="e">
        <f>_xlfn.XLOOKUP(H14,'Yield &amp; Time'!A:A,'Yield &amp; Time'!F:F)</f>
        <v>#N/A</v>
      </c>
    </row>
    <row r="15" spans="1:46" x14ac:dyDescent="0.25">
      <c r="A15" s="2" t="s">
        <v>291</v>
      </c>
      <c r="B15" s="2" t="s">
        <v>552</v>
      </c>
      <c r="C15" s="2" t="s">
        <v>557</v>
      </c>
      <c r="D15" s="2" t="s">
        <v>554</v>
      </c>
      <c r="E15" s="2">
        <v>1</v>
      </c>
      <c r="F15" s="1" t="str">
        <f>VLOOKUP(H15,'RM Used'!A:B,2,0)</f>
        <v>S3997CS</v>
      </c>
      <c r="G15" s="1" t="str">
        <f>IFERROR(VLOOKUP(F15,'RM Cost'!A:B,2,0),"")</f>
        <v>RM - DECORE WHITE CABBAGE 1/3 1200KG</v>
      </c>
      <c r="H15" s="2" t="s">
        <v>1350</v>
      </c>
      <c r="I15" s="1" t="str">
        <f>VLOOKUP(F15,'RM Used'!B:D,3,0)</f>
        <v>RM-FOOD</v>
      </c>
      <c r="J15" s="66">
        <v>0.7</v>
      </c>
      <c r="K15" s="35">
        <f t="shared" si="0"/>
        <v>0.7</v>
      </c>
      <c r="L15" s="35">
        <f t="shared" si="1"/>
        <v>0.7</v>
      </c>
      <c r="M15" s="77" cm="1">
        <f t="array" ref="M15">_xlfn.IFS(BOM!I15="RM-PACKING","100%",B15="Reynolds",VLOOKUP(H15,'Yield &amp; Time'!A:V,22,0),BOM!B15="Dnata",VLOOKUP(BOM!H15,'Yield &amp; Time'!A:M,13,0),B15="NK",VLOOKUP(H15,'Yield &amp; Time'!A:X,24,0))</f>
        <v>0.77222322232223217</v>
      </c>
      <c r="N15" s="35">
        <f t="shared" si="2"/>
        <v>0.90647364617572324</v>
      </c>
      <c r="O15" s="1" t="str">
        <f>VLOOKUP(H15,'RM Used'!A:E,5,0)</f>
        <v>KG</v>
      </c>
      <c r="P15" s="11">
        <f>VLOOKUP(H15,'RM Used'!A:F,6,0)</f>
        <v>0.34</v>
      </c>
      <c r="Q15" s="11">
        <f t="shared" si="11"/>
        <v>0.30820103969974594</v>
      </c>
      <c r="R15" s="11">
        <f>IFERROR(IF(B15="Reynolds",VLOOKUP(H15,'Yield &amp; Time'!A:U,21,0),VLOOKUP(H15,'Yield &amp; Time'!A:L,12,0)),0)</f>
        <v>0.82773480662983423</v>
      </c>
      <c r="S15" s="11">
        <f t="shared" si="3"/>
        <v>0.19613176243093919</v>
      </c>
      <c r="T15" s="11">
        <f t="shared" si="4"/>
        <v>9.6569060773480653E-3</v>
      </c>
      <c r="U15" s="11">
        <f>IF(A14=A15,0,VLOOKUP(A15,'Packing Time'!A:F,6,0))</f>
        <v>0.55000000000000004</v>
      </c>
      <c r="V15" s="11">
        <f t="shared" si="12"/>
        <v>0.18617500000000001</v>
      </c>
      <c r="W15" s="11">
        <f t="shared" si="13"/>
        <v>9.1666666666666667E-3</v>
      </c>
      <c r="X15" s="11">
        <f t="shared" si="5"/>
        <v>0.42053743867403309</v>
      </c>
      <c r="Y15" s="11">
        <f t="shared" si="14"/>
        <v>0.42053743867403309</v>
      </c>
      <c r="Z15" s="37">
        <v>1</v>
      </c>
      <c r="AA15" s="36">
        <f t="shared" si="6"/>
        <v>0.90647364617572324</v>
      </c>
      <c r="AB15" s="11">
        <f t="shared" si="7"/>
        <v>0.30820103969974594</v>
      </c>
      <c r="AC15" s="32">
        <f t="shared" si="8"/>
        <v>2.0705930018416207E-2</v>
      </c>
      <c r="AD15" s="11">
        <f t="shared" si="15"/>
        <v>0.42053743867403315</v>
      </c>
      <c r="AE15" s="36" t="str">
        <f>VLOOKUP(H15,'Yield &amp; Time'!A:R,18,0)</f>
        <v>CHLORINE</v>
      </c>
      <c r="AF15" s="36">
        <f>IFERROR(VLOOKUP(AE15,'Chemical Cost'!A:D,4,0),0)</f>
        <v>2.7756518066439469E-2</v>
      </c>
      <c r="AG15" s="114">
        <f t="shared" si="9"/>
        <v>8.3868507122759079E-3</v>
      </c>
      <c r="AH15" s="36">
        <f t="shared" si="16"/>
        <v>8.3868507122759079E-3</v>
      </c>
      <c r="AI15" s="36">
        <f t="shared" si="17"/>
        <v>0.73712532908605499</v>
      </c>
      <c r="AJ15" s="36">
        <f>IFERROR(VLOOKUP(A15,'All Products'!A:F,6,0),0)</f>
        <v>1.91</v>
      </c>
      <c r="AK15" s="36">
        <f>AJ15*Z15*J15</f>
        <v>1.337</v>
      </c>
      <c r="AL15" s="23">
        <v>0.8</v>
      </c>
      <c r="AM15" s="23">
        <v>0.2</v>
      </c>
      <c r="AN15" s="54" t="e">
        <v>#N/A</v>
      </c>
      <c r="AO15" s="47"/>
      <c r="AP15" s="4">
        <v>1.1000000000000001</v>
      </c>
      <c r="AQ15" s="111">
        <f t="shared" si="10"/>
        <v>2.0705930018416207E-2</v>
      </c>
      <c r="AR15">
        <f>_xlfn.XLOOKUP(F15,'RM Cost'!A:A,'RM Cost'!S:S)</f>
        <v>0.29914853989077506</v>
      </c>
      <c r="AS15" t="str">
        <f>_xlfn.XLOOKUP(A15,[3]Sheet1!$B:$B,[3]Sheet1!$B:$B)</f>
        <v>1254CS</v>
      </c>
      <c r="AT15" t="str">
        <f>_xlfn.XLOOKUP(H15,'Yield &amp; Time'!A:A,'Yield &amp; Time'!O:O)</f>
        <v>Yes</v>
      </c>
    </row>
    <row r="16" spans="1:46" x14ac:dyDescent="0.25">
      <c r="A16" s="2" t="s">
        <v>291</v>
      </c>
      <c r="B16" s="2" t="s">
        <v>552</v>
      </c>
      <c r="C16" s="2" t="s">
        <v>557</v>
      </c>
      <c r="D16" s="2" t="s">
        <v>554</v>
      </c>
      <c r="E16" s="2">
        <v>1</v>
      </c>
      <c r="F16" s="1" t="str">
        <f>VLOOKUP(H16,'RM Used'!A:B,2,0)</f>
        <v>032ACS</v>
      </c>
      <c r="G16" s="1" t="str">
        <f>IFERROR(VLOOKUP(F16,'RM Cost'!A:B,2,0),"")</f>
        <v>RM - LRG PROCESSING CARROT X 1000KG</v>
      </c>
      <c r="H16" s="2" t="s">
        <v>1351</v>
      </c>
      <c r="I16" s="1" t="str">
        <f>VLOOKUP(F16,'RM Used'!B:D,3,0)</f>
        <v>RM-FOOD</v>
      </c>
      <c r="J16" s="66">
        <v>0.3</v>
      </c>
      <c r="K16" s="35">
        <f t="shared" si="0"/>
        <v>0.3</v>
      </c>
      <c r="L16" s="35">
        <f t="shared" si="1"/>
        <v>0.3</v>
      </c>
      <c r="M16" s="77" cm="1">
        <f t="array" ref="M16">_xlfn.IFS(BOM!I16="RM-PACKING","100%",B16="Reynolds",VLOOKUP(H16,'Yield &amp; Time'!A:V,22,0),BOM!B16="Dnata",VLOOKUP(BOM!H16,'Yield &amp; Time'!A:M,13,0),B16="NK",VLOOKUP(H16,'Yield &amp; Time'!A:X,24,0))</f>
        <v>0.75330000000000008</v>
      </c>
      <c r="N16" s="35">
        <f t="shared" si="2"/>
        <v>0.39824771007566701</v>
      </c>
      <c r="O16" s="1" t="str">
        <f>VLOOKUP(H16,'RM Used'!A:E,5,0)</f>
        <v>KG</v>
      </c>
      <c r="P16" s="11">
        <f>VLOOKUP(H16,'RM Used'!A:F,6,0)</f>
        <v>0.38</v>
      </c>
      <c r="Q16" s="11">
        <f t="shared" si="11"/>
        <v>0.15133412982875347</v>
      </c>
      <c r="R16" s="11">
        <f>IFERROR(IF(B16="Reynolds",VLOOKUP(H16,'Yield &amp; Time'!A:U,21,0),VLOOKUP(H16,'Yield &amp; Time'!A:L,12,0)),0)</f>
        <v>0.90531914893617027</v>
      </c>
      <c r="S16" s="11">
        <f t="shared" si="3"/>
        <v>9.1935159574468073E-2</v>
      </c>
      <c r="T16" s="11">
        <f t="shared" si="4"/>
        <v>4.5265957446808513E-3</v>
      </c>
      <c r="U16" s="11">
        <f>IF(A15=A16,0,VLOOKUP(A16,'Packing Time'!A:F,6,0))</f>
        <v>0</v>
      </c>
      <c r="V16" s="11">
        <f t="shared" si="12"/>
        <v>0</v>
      </c>
      <c r="W16" s="11">
        <f t="shared" si="13"/>
        <v>0</v>
      </c>
      <c r="X16" s="11">
        <f t="shared" si="5"/>
        <v>0.10112867553191489</v>
      </c>
      <c r="Y16" s="11">
        <f t="shared" si="14"/>
        <v>0.10112867553191489</v>
      </c>
      <c r="Z16" s="37">
        <v>1</v>
      </c>
      <c r="AA16" s="36">
        <f t="shared" si="6"/>
        <v>0.39824771007566701</v>
      </c>
      <c r="AB16" s="11">
        <f t="shared" si="7"/>
        <v>0.15133412982875347</v>
      </c>
      <c r="AC16" s="32">
        <f t="shared" si="8"/>
        <v>4.9792553191489366E-3</v>
      </c>
      <c r="AD16" s="11">
        <f t="shared" si="15"/>
        <v>0.1011286755319149</v>
      </c>
      <c r="AE16" s="36" t="str">
        <f>VLOOKUP(H16,'Yield &amp; Time'!A:R,18,0)</f>
        <v>CHLORINE</v>
      </c>
      <c r="AF16" s="36">
        <f>IFERROR(VLOOKUP(AE16,'Chemical Cost'!A:D,4,0),0)</f>
        <v>2.7756518066439469E-2</v>
      </c>
      <c r="AG16" s="114">
        <f t="shared" si="9"/>
        <v>3.6846565865444668E-3</v>
      </c>
      <c r="AH16" s="36">
        <f t="shared" si="16"/>
        <v>3.6846565865444668E-3</v>
      </c>
      <c r="AI16" s="36">
        <f t="shared" si="17"/>
        <v>0.25614746194721283</v>
      </c>
      <c r="AJ16" s="36">
        <f>IFERROR(VLOOKUP(A16,'All Products'!A:F,6,0),0)</f>
        <v>1.91</v>
      </c>
      <c r="AK16" s="36">
        <f>AJ16*Z16*J16</f>
        <v>0.57299999999999995</v>
      </c>
      <c r="AL16" s="23">
        <v>0.8</v>
      </c>
      <c r="AM16" s="23">
        <v>0.2</v>
      </c>
      <c r="AN16" s="54" t="e">
        <v>#N/A</v>
      </c>
      <c r="AO16" s="47"/>
      <c r="AP16" s="4">
        <v>1.1000000000000001</v>
      </c>
      <c r="AQ16" s="111">
        <f t="shared" si="10"/>
        <v>4.9792553191489366E-3</v>
      </c>
      <c r="AR16">
        <f>_xlfn.XLOOKUP(F16,'RM Cost'!A:A,'RM Cost'!S:S)</f>
        <v>0</v>
      </c>
      <c r="AS16" t="str">
        <f>_xlfn.XLOOKUP(A16,[3]Sheet1!$B:$B,[3]Sheet1!$B:$B)</f>
        <v>1254CS</v>
      </c>
      <c r="AT16" t="str">
        <f>_xlfn.XLOOKUP(H16,'Yield &amp; Time'!A:A,'Yield &amp; Time'!O:O)</f>
        <v>Yes</v>
      </c>
    </row>
    <row r="17" spans="1:46" x14ac:dyDescent="0.25">
      <c r="A17" s="2" t="s">
        <v>291</v>
      </c>
      <c r="B17" s="2" t="s">
        <v>552</v>
      </c>
      <c r="C17" s="2" t="s">
        <v>557</v>
      </c>
      <c r="D17" s="2" t="s">
        <v>554</v>
      </c>
      <c r="E17" s="2">
        <v>1</v>
      </c>
      <c r="F17" s="1" t="str">
        <f>VLOOKUP(H17,'RM Used'!A:B,2,0)</f>
        <v>P0001</v>
      </c>
      <c r="G17" s="1" t="str">
        <f>IFERROR(VLOOKUP(F17,'RM Cost'!A:B,2,0),"")</f>
        <v>SOL 30EL # PPLUS 630x1000 BLUE -1</v>
      </c>
      <c r="H17" s="2" t="s">
        <v>4678</v>
      </c>
      <c r="I17" s="1" t="str">
        <f>VLOOKUP(F17,'RM Used'!B:D,3,0)</f>
        <v>RM-PACKING</v>
      </c>
      <c r="J17" s="66">
        <v>1</v>
      </c>
      <c r="K17" s="35" t="str">
        <f t="shared" si="0"/>
        <v/>
      </c>
      <c r="L17" s="35">
        <f t="shared" si="1"/>
        <v>0</v>
      </c>
      <c r="M17" s="77" t="str" cm="1">
        <f t="array" ref="M17">_xlfn.IFS(BOM!I17="RM-PACKING","100%",B17="Reynolds",VLOOKUP(H17,'Yield &amp; Time'!A:V,22,0),BOM!B17="Dnata",VLOOKUP(BOM!H17,'Yield &amp; Time'!A:M,13,0),B17="NK",VLOOKUP(H17,'Yield &amp; Time'!A:X,24,0))</f>
        <v>100%</v>
      </c>
      <c r="N17" s="35">
        <f t="shared" si="2"/>
        <v>1</v>
      </c>
      <c r="O17" s="1" t="str">
        <f>VLOOKUP(H17,'RM Used'!A:E,5,0)</f>
        <v>Count</v>
      </c>
      <c r="P17" s="11">
        <f>VLOOKUP(H17,'RM Used'!A:F,6,0)</f>
        <v>0.08</v>
      </c>
      <c r="Q17" s="11">
        <f t="shared" si="11"/>
        <v>0.08</v>
      </c>
      <c r="R17" s="11">
        <f>IFERROR(IF(B17="Reynolds",VLOOKUP(H17,'Yield &amp; Time'!A:U,21,0),VLOOKUP(H17,'Yield &amp; Time'!A:L,12,0)),0)</f>
        <v>0</v>
      </c>
      <c r="S17" s="11">
        <f t="shared" si="3"/>
        <v>0</v>
      </c>
      <c r="T17" s="11">
        <f t="shared" si="4"/>
        <v>0</v>
      </c>
      <c r="U17" s="11">
        <f>IF(A16=A17,0,VLOOKUP(A17,'Packing Time'!A:F,6,0))</f>
        <v>0</v>
      </c>
      <c r="V17" s="11">
        <f t="shared" si="12"/>
        <v>0</v>
      </c>
      <c r="W17" s="11">
        <f t="shared" si="13"/>
        <v>0</v>
      </c>
      <c r="X17" s="11">
        <f t="shared" si="5"/>
        <v>0</v>
      </c>
      <c r="Y17" s="11">
        <f t="shared" si="14"/>
        <v>0</v>
      </c>
      <c r="Z17" s="37">
        <v>1</v>
      </c>
      <c r="AA17" s="36">
        <f t="shared" si="6"/>
        <v>1</v>
      </c>
      <c r="AB17" s="11">
        <f t="shared" si="7"/>
        <v>0.08</v>
      </c>
      <c r="AC17" s="11">
        <f t="shared" si="8"/>
        <v>0</v>
      </c>
      <c r="AD17" s="36">
        <f t="shared" si="15"/>
        <v>0</v>
      </c>
      <c r="AE17" s="36"/>
      <c r="AF17" s="36">
        <f>IFERROR(VLOOKUP(AE17,'Chemical Cost'!A:D,4,0),0)</f>
        <v>0</v>
      </c>
      <c r="AG17" s="114">
        <f t="shared" si="9"/>
        <v>0</v>
      </c>
      <c r="AH17" s="36">
        <f t="shared" si="16"/>
        <v>0</v>
      </c>
      <c r="AI17" s="36">
        <f t="shared" si="17"/>
        <v>0.08</v>
      </c>
      <c r="AJ17" s="36">
        <f>IFERROR(VLOOKUP(A17,'All Products'!A:F,6,0),0)</f>
        <v>1.91</v>
      </c>
      <c r="AK17" s="36"/>
      <c r="AL17" s="23">
        <v>0.8</v>
      </c>
      <c r="AM17" s="23">
        <v>0.2</v>
      </c>
      <c r="AN17" s="54" t="e">
        <v>#N/A</v>
      </c>
      <c r="AO17" s="47"/>
      <c r="AP17" s="4">
        <v>1.1000000000000001</v>
      </c>
      <c r="AQ17" s="111">
        <f t="shared" si="10"/>
        <v>0</v>
      </c>
      <c r="AR17">
        <f>_xlfn.XLOOKUP(F17,'RM Cost'!A:A,'RM Cost'!S:S)</f>
        <v>0</v>
      </c>
      <c r="AS17" t="str">
        <f>_xlfn.XLOOKUP(A17,[3]Sheet1!$B:$B,[3]Sheet1!$B:$B)</f>
        <v>1254CS</v>
      </c>
      <c r="AT17" t="e">
        <f>_xlfn.XLOOKUP(H17,'Yield &amp; Time'!A:A,'Yield &amp; Time'!F:F)</f>
        <v>#N/A</v>
      </c>
    </row>
    <row r="18" spans="1:46" x14ac:dyDescent="0.25">
      <c r="A18" s="2" t="s">
        <v>291</v>
      </c>
      <c r="B18" s="2" t="s">
        <v>552</v>
      </c>
      <c r="C18" s="2" t="s">
        <v>557</v>
      </c>
      <c r="D18" s="2" t="s">
        <v>554</v>
      </c>
      <c r="E18" s="2">
        <v>1</v>
      </c>
      <c r="F18" s="1" t="str">
        <f>VLOOKUP(H18,'RM Used'!A:B,2,0)</f>
        <v>P0016</v>
      </c>
      <c r="G18" s="1" t="str">
        <f>IFERROR(VLOOKUP(F18,'RM Cost'!A:B,2,0),"")</f>
        <v>REY 40 30 BOX</v>
      </c>
      <c r="H18" s="2" t="s">
        <v>1332</v>
      </c>
      <c r="I18" s="1" t="str">
        <f>VLOOKUP(F18,'RM Used'!B:D,3,0)</f>
        <v>RM-PACKING</v>
      </c>
      <c r="J18" s="66">
        <v>1</v>
      </c>
      <c r="K18" s="35" t="str">
        <f t="shared" si="0"/>
        <v/>
      </c>
      <c r="L18" s="35">
        <f t="shared" si="1"/>
        <v>0</v>
      </c>
      <c r="M18" s="77" t="str" cm="1">
        <f t="array" ref="M18">_xlfn.IFS(BOM!I18="RM-PACKING","100%",B18="Reynolds",VLOOKUP(H18,'Yield &amp; Time'!A:V,22,0),BOM!B18="Dnata",VLOOKUP(BOM!H18,'Yield &amp; Time'!A:M,13,0),B18="NK",VLOOKUP(H18,'Yield &amp; Time'!A:X,24,0))</f>
        <v>100%</v>
      </c>
      <c r="N18" s="35">
        <f t="shared" si="2"/>
        <v>1</v>
      </c>
      <c r="O18" s="1" t="str">
        <f>VLOOKUP(H18,'RM Used'!A:E,5,0)</f>
        <v>Count</v>
      </c>
      <c r="P18" s="11">
        <f>VLOOKUP(H18,'RM Used'!A:F,6,0)</f>
        <v>0.28000000000000003</v>
      </c>
      <c r="Q18" s="11">
        <f t="shared" si="11"/>
        <v>0.28000000000000003</v>
      </c>
      <c r="R18" s="11">
        <f>IFERROR(IF(B18="Reynolds",VLOOKUP(H18,'Yield &amp; Time'!A:U,21,0),VLOOKUP(H18,'Yield &amp; Time'!A:L,12,0)),0)</f>
        <v>0</v>
      </c>
      <c r="S18" s="11">
        <f t="shared" si="3"/>
        <v>0</v>
      </c>
      <c r="T18" s="11">
        <f t="shared" si="4"/>
        <v>0</v>
      </c>
      <c r="U18" s="11">
        <f>IF(A17=A18,0,VLOOKUP(A18,'Packing Time'!A:F,6,0))</f>
        <v>0</v>
      </c>
      <c r="V18" s="11">
        <f t="shared" si="12"/>
        <v>0</v>
      </c>
      <c r="W18" s="11">
        <f t="shared" si="13"/>
        <v>0</v>
      </c>
      <c r="X18" s="11">
        <f t="shared" si="5"/>
        <v>0</v>
      </c>
      <c r="Y18" s="11">
        <f t="shared" si="14"/>
        <v>0</v>
      </c>
      <c r="Z18" s="37">
        <v>1</v>
      </c>
      <c r="AA18" s="36">
        <f t="shared" si="6"/>
        <v>1</v>
      </c>
      <c r="AB18" s="11">
        <f t="shared" si="7"/>
        <v>0.28000000000000003</v>
      </c>
      <c r="AC18" s="11">
        <f t="shared" si="8"/>
        <v>0</v>
      </c>
      <c r="AD18" s="36">
        <f t="shared" si="15"/>
        <v>0</v>
      </c>
      <c r="AE18" s="36"/>
      <c r="AF18" s="36">
        <f>IFERROR(VLOOKUP(AE18,'Chemical Cost'!A:D,4,0),0)</f>
        <v>0</v>
      </c>
      <c r="AG18" s="114">
        <f t="shared" si="9"/>
        <v>0</v>
      </c>
      <c r="AH18" s="36">
        <f t="shared" si="16"/>
        <v>0</v>
      </c>
      <c r="AI18" s="36">
        <f t="shared" si="17"/>
        <v>0.28000000000000003</v>
      </c>
      <c r="AJ18" s="36">
        <f>IFERROR(VLOOKUP(A18,'All Products'!A:F,6,0),0)</f>
        <v>1.91</v>
      </c>
      <c r="AK18" s="36"/>
      <c r="AL18" s="23">
        <v>0.8</v>
      </c>
      <c r="AM18" s="23">
        <v>0.2</v>
      </c>
      <c r="AN18" s="54" t="e">
        <v>#N/A</v>
      </c>
      <c r="AO18" s="47"/>
      <c r="AP18" s="4">
        <v>1.1000000000000001</v>
      </c>
      <c r="AQ18" s="111">
        <f t="shared" si="10"/>
        <v>0</v>
      </c>
      <c r="AR18">
        <f>_xlfn.XLOOKUP(F18,'RM Cost'!A:A,'RM Cost'!S:S)</f>
        <v>0</v>
      </c>
      <c r="AS18" t="str">
        <f>_xlfn.XLOOKUP(A18,[3]Sheet1!$B:$B,[3]Sheet1!$B:$B)</f>
        <v>1254CS</v>
      </c>
      <c r="AT18" t="e">
        <f>_xlfn.XLOOKUP(H18,'Yield &amp; Time'!A:A,'Yield &amp; Time'!F:F)</f>
        <v>#N/A</v>
      </c>
    </row>
    <row r="19" spans="1:46" x14ac:dyDescent="0.25">
      <c r="A19" s="2" t="s">
        <v>118</v>
      </c>
      <c r="B19" s="2" t="s">
        <v>552</v>
      </c>
      <c r="C19" s="2" t="s">
        <v>559</v>
      </c>
      <c r="D19" s="2" t="s">
        <v>554</v>
      </c>
      <c r="E19" s="2">
        <v>2.5</v>
      </c>
      <c r="F19" s="1" t="str">
        <f>VLOOKUP(H19,'RM Used'!A:B,2,0)</f>
        <v>S3997CS</v>
      </c>
      <c r="G19" s="1" t="str">
        <f>IFERROR(VLOOKUP(F19,'RM Cost'!A:B,2,0),"")</f>
        <v>RM - DECORE WHITE CABBAGE 1/3 1200KG</v>
      </c>
      <c r="H19" s="2" t="s">
        <v>1350</v>
      </c>
      <c r="I19" s="1" t="str">
        <f>VLOOKUP(F19,'RM Used'!B:D,3,0)</f>
        <v>RM-FOOD</v>
      </c>
      <c r="J19" s="66">
        <v>0.7</v>
      </c>
      <c r="K19" s="35">
        <f t="shared" si="0"/>
        <v>1.75</v>
      </c>
      <c r="L19" s="35">
        <f t="shared" si="1"/>
        <v>1.75</v>
      </c>
      <c r="M19" s="77" cm="1">
        <f t="array" ref="M19">_xlfn.IFS(BOM!I19="RM-PACKING","100%",B19="Reynolds",VLOOKUP(H19,'Yield &amp; Time'!A:V,22,0),BOM!B19="Dnata",VLOOKUP(BOM!H19,'Yield &amp; Time'!A:M,13,0),B19="NK",VLOOKUP(H19,'Yield &amp; Time'!A:X,24,0))</f>
        <v>0.77222322232223217</v>
      </c>
      <c r="N19" s="35">
        <f t="shared" si="2"/>
        <v>2.2661841154393083</v>
      </c>
      <c r="O19" s="1" t="str">
        <f>VLOOKUP(H19,'RM Used'!A:E,5,0)</f>
        <v>KG</v>
      </c>
      <c r="P19" s="11">
        <f>VLOOKUP(H19,'RM Used'!A:F,6,0)</f>
        <v>0.34</v>
      </c>
      <c r="Q19" s="11">
        <f t="shared" si="11"/>
        <v>0.77050259924936493</v>
      </c>
      <c r="R19" s="11">
        <f>IFERROR(IF(B19="Reynolds",VLOOKUP(H19,'Yield &amp; Time'!A:U,21,0),VLOOKUP(H19,'Yield &amp; Time'!A:L,12,0)),0)</f>
        <v>0.82773480662983423</v>
      </c>
      <c r="S19" s="11">
        <f t="shared" si="3"/>
        <v>0.49032940607734798</v>
      </c>
      <c r="T19" s="11">
        <f t="shared" si="4"/>
        <v>2.4142265193370163E-2</v>
      </c>
      <c r="U19" s="11">
        <f>IF(A18=A19,0,VLOOKUP(A19,'Packing Time'!A:F,6,0))</f>
        <v>0.875</v>
      </c>
      <c r="V19" s="11">
        <f t="shared" si="12"/>
        <v>0.29618749999999999</v>
      </c>
      <c r="W19" s="11">
        <f t="shared" si="13"/>
        <v>1.4583333333333334E-2</v>
      </c>
      <c r="X19" s="11">
        <f t="shared" si="5"/>
        <v>0.86516859668508284</v>
      </c>
      <c r="Y19" s="11">
        <f t="shared" si="14"/>
        <v>0.86516859668508284</v>
      </c>
      <c r="Z19" s="37">
        <v>1</v>
      </c>
      <c r="AA19" s="36">
        <f t="shared" si="6"/>
        <v>2.2661841154393083</v>
      </c>
      <c r="AB19" s="36">
        <f t="shared" si="7"/>
        <v>0.77050259924936493</v>
      </c>
      <c r="AC19" s="11">
        <f t="shared" si="8"/>
        <v>4.2598158379373856E-2</v>
      </c>
      <c r="AD19" s="36">
        <f t="shared" si="15"/>
        <v>0.86516859668508295</v>
      </c>
      <c r="AE19" s="36" t="str">
        <f>VLOOKUP(H19,'Yield &amp; Time'!A:R,18,0)</f>
        <v>CHLORINE</v>
      </c>
      <c r="AF19" s="36">
        <f>IFERROR(VLOOKUP(AE19,'Chemical Cost'!A:D,4,0),0)</f>
        <v>2.7756518066439469E-2</v>
      </c>
      <c r="AG19" s="114">
        <f t="shared" si="9"/>
        <v>2.0967126780689769E-2</v>
      </c>
      <c r="AH19" s="36">
        <f t="shared" si="16"/>
        <v>2.0967126780689769E-2</v>
      </c>
      <c r="AI19" s="36">
        <f t="shared" si="17"/>
        <v>1.6566383227151373</v>
      </c>
      <c r="AJ19" s="36">
        <f>IFERROR(VLOOKUP(A19,'All Products'!A:F,6,0),0)</f>
        <v>3.29</v>
      </c>
      <c r="AK19" s="36">
        <f>AJ19*Z19*J19</f>
        <v>2.3029999999999999</v>
      </c>
      <c r="AL19" s="23">
        <v>0.8</v>
      </c>
      <c r="AM19" s="23">
        <v>0.2</v>
      </c>
      <c r="AN19" s="54" t="e">
        <v>#N/A</v>
      </c>
      <c r="AO19" s="47"/>
      <c r="AP19" s="4">
        <v>1.1000000000000001</v>
      </c>
      <c r="AQ19" s="111">
        <f t="shared" si="10"/>
        <v>4.2598158379373856E-2</v>
      </c>
      <c r="AR19">
        <f>_xlfn.XLOOKUP(F19,'RM Cost'!A:A,'RM Cost'!S:S)</f>
        <v>0.29914853989077506</v>
      </c>
      <c r="AS19" t="str">
        <f>_xlfn.XLOOKUP(A19,[3]Sheet1!$B:$B,[3]Sheet1!$B:$B)</f>
        <v>1255CS</v>
      </c>
      <c r="AT19" t="str">
        <f>_xlfn.XLOOKUP(H19,'Yield &amp; Time'!A:A,'Yield &amp; Time'!O:O)</f>
        <v>Yes</v>
      </c>
    </row>
    <row r="20" spans="1:46" x14ac:dyDescent="0.25">
      <c r="A20" s="2" t="s">
        <v>118</v>
      </c>
      <c r="B20" s="2" t="s">
        <v>552</v>
      </c>
      <c r="C20" s="2" t="s">
        <v>559</v>
      </c>
      <c r="D20" s="2" t="s">
        <v>554</v>
      </c>
      <c r="E20" s="2">
        <v>2.5</v>
      </c>
      <c r="F20" s="1" t="str">
        <f>VLOOKUP(H20,'RM Used'!A:B,2,0)</f>
        <v>032ACS</v>
      </c>
      <c r="G20" s="1" t="str">
        <f>IFERROR(VLOOKUP(F20,'RM Cost'!A:B,2,0),"")</f>
        <v>RM - LRG PROCESSING CARROT X 1000KG</v>
      </c>
      <c r="H20" s="2" t="s">
        <v>1351</v>
      </c>
      <c r="I20" s="1" t="str">
        <f>VLOOKUP(F20,'RM Used'!B:D,3,0)</f>
        <v>RM-FOOD</v>
      </c>
      <c r="J20" s="66">
        <v>0.3</v>
      </c>
      <c r="K20" s="35">
        <f t="shared" si="0"/>
        <v>0.75</v>
      </c>
      <c r="L20" s="35">
        <f t="shared" si="1"/>
        <v>0.75</v>
      </c>
      <c r="M20" s="77" cm="1">
        <f t="array" ref="M20">_xlfn.IFS(BOM!I20="RM-PACKING","100%",B20="Reynolds",VLOOKUP(H20,'Yield &amp; Time'!A:V,22,0),BOM!B20="Dnata",VLOOKUP(BOM!H20,'Yield &amp; Time'!A:M,13,0),B20="NK",VLOOKUP(H20,'Yield &amp; Time'!A:X,24,0))</f>
        <v>0.75330000000000008</v>
      </c>
      <c r="N20" s="35">
        <f t="shared" si="2"/>
        <v>0.9956192751891676</v>
      </c>
      <c r="O20" s="1" t="str">
        <f>VLOOKUP(H20,'RM Used'!A:E,5,0)</f>
        <v>KG</v>
      </c>
      <c r="P20" s="11">
        <f>VLOOKUP(H20,'RM Used'!A:F,6,0)</f>
        <v>0.38</v>
      </c>
      <c r="Q20" s="11">
        <f t="shared" si="11"/>
        <v>0.37833532457188368</v>
      </c>
      <c r="R20" s="11">
        <f>IFERROR(IF(B20="Reynolds",VLOOKUP(H20,'Yield &amp; Time'!A:U,21,0),VLOOKUP(H20,'Yield &amp; Time'!A:L,12,0)),0)</f>
        <v>0.90531914893617027</v>
      </c>
      <c r="S20" s="11">
        <f t="shared" si="3"/>
        <v>0.22983789893617018</v>
      </c>
      <c r="T20" s="11">
        <f t="shared" si="4"/>
        <v>1.1316489361702127E-2</v>
      </c>
      <c r="U20" s="11">
        <f>IF(A19=A20,0,VLOOKUP(A20,'Packing Time'!A:F,6,0))</f>
        <v>0</v>
      </c>
      <c r="V20" s="11">
        <f t="shared" si="12"/>
        <v>0</v>
      </c>
      <c r="W20" s="11">
        <f t="shared" si="13"/>
        <v>0</v>
      </c>
      <c r="X20" s="11">
        <f t="shared" si="5"/>
        <v>0.25282168882978723</v>
      </c>
      <c r="Y20" s="11">
        <f t="shared" si="14"/>
        <v>0.25282168882978723</v>
      </c>
      <c r="Z20" s="37">
        <v>1</v>
      </c>
      <c r="AA20" s="36">
        <f t="shared" si="6"/>
        <v>0.9956192751891676</v>
      </c>
      <c r="AB20" s="36">
        <f t="shared" si="7"/>
        <v>0.37833532457188368</v>
      </c>
      <c r="AC20" s="11">
        <f t="shared" si="8"/>
        <v>1.2448138297872341E-2</v>
      </c>
      <c r="AD20" s="36">
        <f t="shared" si="15"/>
        <v>0.25282168882978723</v>
      </c>
      <c r="AE20" s="36" t="str">
        <f>VLOOKUP(H20,'Yield &amp; Time'!A:R,18,0)</f>
        <v>CHLORINE</v>
      </c>
      <c r="AF20" s="36">
        <f>IFERROR(VLOOKUP(AE20,'Chemical Cost'!A:D,4,0),0)</f>
        <v>2.7756518066439469E-2</v>
      </c>
      <c r="AG20" s="114">
        <f t="shared" si="9"/>
        <v>9.2116414663611663E-3</v>
      </c>
      <c r="AH20" s="36">
        <f t="shared" si="16"/>
        <v>9.2116414663611663E-3</v>
      </c>
      <c r="AI20" s="36">
        <f t="shared" si="17"/>
        <v>0.64036865486803207</v>
      </c>
      <c r="AJ20" s="36">
        <f>IFERROR(VLOOKUP(A20,'All Products'!A:F,6,0),0)</f>
        <v>3.29</v>
      </c>
      <c r="AK20" s="36">
        <f>AJ20*Z20*J20</f>
        <v>0.98699999999999999</v>
      </c>
      <c r="AL20" s="23">
        <v>0.8</v>
      </c>
      <c r="AM20" s="23">
        <v>0.2</v>
      </c>
      <c r="AN20" s="54" t="e">
        <v>#N/A</v>
      </c>
      <c r="AO20" s="47"/>
      <c r="AP20" s="4">
        <v>1.1000000000000001</v>
      </c>
      <c r="AQ20" s="111">
        <f t="shared" si="10"/>
        <v>1.2448138297872341E-2</v>
      </c>
      <c r="AR20">
        <f>_xlfn.XLOOKUP(F20,'RM Cost'!A:A,'RM Cost'!S:S)</f>
        <v>0</v>
      </c>
      <c r="AS20" t="str">
        <f>_xlfn.XLOOKUP(A20,[3]Sheet1!$B:$B,[3]Sheet1!$B:$B)</f>
        <v>1255CS</v>
      </c>
      <c r="AT20" t="str">
        <f>_xlfn.XLOOKUP(H20,'Yield &amp; Time'!A:A,'Yield &amp; Time'!O:O)</f>
        <v>Yes</v>
      </c>
    </row>
    <row r="21" spans="1:46" x14ac:dyDescent="0.25">
      <c r="A21" s="2" t="s">
        <v>118</v>
      </c>
      <c r="B21" s="2" t="s">
        <v>552</v>
      </c>
      <c r="C21" s="2" t="s">
        <v>559</v>
      </c>
      <c r="D21" s="2" t="s">
        <v>554</v>
      </c>
      <c r="E21" s="2">
        <v>2.5</v>
      </c>
      <c r="F21" s="1" t="str">
        <f>VLOOKUP(H21,'RM Used'!A:B,2,0)</f>
        <v>P0001</v>
      </c>
      <c r="G21" s="1" t="str">
        <f>IFERROR(VLOOKUP(F21,'RM Cost'!A:B,2,0),"")</f>
        <v>SOL 30EL # PPLUS 630x1000 BLUE -1</v>
      </c>
      <c r="H21" s="2" t="s">
        <v>4678</v>
      </c>
      <c r="I21" s="1" t="str">
        <f>VLOOKUP(F21,'RM Used'!B:D,3,0)</f>
        <v>RM-PACKING</v>
      </c>
      <c r="J21" s="66">
        <v>1</v>
      </c>
      <c r="K21" s="35" t="str">
        <f t="shared" si="0"/>
        <v/>
      </c>
      <c r="L21" s="35">
        <f t="shared" si="1"/>
        <v>0</v>
      </c>
      <c r="M21" s="77" t="str" cm="1">
        <f t="array" ref="M21">_xlfn.IFS(BOM!I21="RM-PACKING","100%",B21="Reynolds",VLOOKUP(H21,'Yield &amp; Time'!A:V,22,0),BOM!B21="Dnata",VLOOKUP(BOM!H21,'Yield &amp; Time'!A:M,13,0),B21="NK",VLOOKUP(H21,'Yield &amp; Time'!A:X,24,0))</f>
        <v>100%</v>
      </c>
      <c r="N21" s="35">
        <f t="shared" si="2"/>
        <v>1</v>
      </c>
      <c r="O21" s="1" t="str">
        <f>VLOOKUP(H21,'RM Used'!A:E,5,0)</f>
        <v>Count</v>
      </c>
      <c r="P21" s="11">
        <f>VLOOKUP(H21,'RM Used'!A:F,6,0)</f>
        <v>0.08</v>
      </c>
      <c r="Q21" s="11">
        <f t="shared" si="11"/>
        <v>0.08</v>
      </c>
      <c r="R21" s="11">
        <f>IFERROR(IF(B21="Reynolds",VLOOKUP(H21,'Yield &amp; Time'!A:U,21,0),VLOOKUP(H21,'Yield &amp; Time'!A:L,12,0)),0)</f>
        <v>0</v>
      </c>
      <c r="S21" s="11">
        <f t="shared" si="3"/>
        <v>0</v>
      </c>
      <c r="T21" s="11">
        <f t="shared" si="4"/>
        <v>0</v>
      </c>
      <c r="U21" s="11">
        <f>IF(A20=A21,0,VLOOKUP(A21,'Packing Time'!A:F,6,0))</f>
        <v>0</v>
      </c>
      <c r="V21" s="11">
        <f t="shared" si="12"/>
        <v>0</v>
      </c>
      <c r="W21" s="11">
        <f t="shared" si="13"/>
        <v>0</v>
      </c>
      <c r="X21" s="11">
        <f t="shared" si="5"/>
        <v>0</v>
      </c>
      <c r="Y21" s="11">
        <f t="shared" si="14"/>
        <v>0</v>
      </c>
      <c r="Z21" s="37">
        <v>1</v>
      </c>
      <c r="AA21" s="36">
        <f t="shared" si="6"/>
        <v>1</v>
      </c>
      <c r="AB21" s="36">
        <f t="shared" si="7"/>
        <v>0.08</v>
      </c>
      <c r="AC21" s="11">
        <f t="shared" si="8"/>
        <v>0</v>
      </c>
      <c r="AD21" s="36">
        <f t="shared" si="15"/>
        <v>0</v>
      </c>
      <c r="AE21" s="36"/>
      <c r="AF21" s="36">
        <f>IFERROR(VLOOKUP(AE21,'Chemical Cost'!A:D,4,0),0)</f>
        <v>0</v>
      </c>
      <c r="AG21" s="114">
        <f t="shared" si="9"/>
        <v>0</v>
      </c>
      <c r="AH21" s="36">
        <f t="shared" si="16"/>
        <v>0</v>
      </c>
      <c r="AI21" s="36">
        <f t="shared" si="17"/>
        <v>0.08</v>
      </c>
      <c r="AJ21" s="36">
        <f>IFERROR(VLOOKUP(A21,'All Products'!A:F,6,0),0)</f>
        <v>3.29</v>
      </c>
      <c r="AK21" s="36"/>
      <c r="AL21" s="23">
        <v>0.8</v>
      </c>
      <c r="AM21" s="23">
        <v>0.2</v>
      </c>
      <c r="AN21" s="54" t="e">
        <v>#N/A</v>
      </c>
      <c r="AO21" s="47"/>
      <c r="AP21" s="4">
        <v>1.1000000000000001</v>
      </c>
      <c r="AQ21" s="111">
        <f t="shared" si="10"/>
        <v>0</v>
      </c>
      <c r="AR21">
        <f>_xlfn.XLOOKUP(F21,'RM Cost'!A:A,'RM Cost'!S:S)</f>
        <v>0</v>
      </c>
      <c r="AS21" t="str">
        <f>_xlfn.XLOOKUP(A21,[3]Sheet1!$B:$B,[3]Sheet1!$B:$B)</f>
        <v>1255CS</v>
      </c>
      <c r="AT21" t="e">
        <f>_xlfn.XLOOKUP(H21,'Yield &amp; Time'!A:A,'Yield &amp; Time'!F:F)</f>
        <v>#N/A</v>
      </c>
    </row>
    <row r="22" spans="1:46" x14ac:dyDescent="0.25">
      <c r="A22" s="2" t="s">
        <v>118</v>
      </c>
      <c r="B22" s="2" t="s">
        <v>552</v>
      </c>
      <c r="C22" s="2" t="s">
        <v>559</v>
      </c>
      <c r="D22" s="2" t="s">
        <v>554</v>
      </c>
      <c r="E22" s="2">
        <v>2.5</v>
      </c>
      <c r="F22" s="1" t="str">
        <f>VLOOKUP(H22,'RM Used'!A:B,2,0)</f>
        <v>P0016</v>
      </c>
      <c r="G22" s="1" t="str">
        <f>IFERROR(VLOOKUP(F22,'RM Cost'!A:B,2,0),"")</f>
        <v>REY 40 30 BOX</v>
      </c>
      <c r="H22" s="2" t="s">
        <v>1332</v>
      </c>
      <c r="I22" s="1" t="str">
        <f>VLOOKUP(F22,'RM Used'!B:D,3,0)</f>
        <v>RM-PACKING</v>
      </c>
      <c r="J22" s="66">
        <v>1</v>
      </c>
      <c r="K22" s="35" t="str">
        <f t="shared" si="0"/>
        <v/>
      </c>
      <c r="L22" s="35">
        <f t="shared" si="1"/>
        <v>0</v>
      </c>
      <c r="M22" s="77" t="str" cm="1">
        <f t="array" ref="M22">_xlfn.IFS(BOM!I22="RM-PACKING","100%",B22="Reynolds",VLOOKUP(H22,'Yield &amp; Time'!A:V,22,0),BOM!B22="Dnata",VLOOKUP(BOM!H22,'Yield &amp; Time'!A:M,13,0),B22="NK",VLOOKUP(H22,'Yield &amp; Time'!A:X,24,0))</f>
        <v>100%</v>
      </c>
      <c r="N22" s="35">
        <f t="shared" si="2"/>
        <v>1</v>
      </c>
      <c r="O22" s="1" t="str">
        <f>VLOOKUP(H22,'RM Used'!A:E,5,0)</f>
        <v>Count</v>
      </c>
      <c r="P22" s="11">
        <f>VLOOKUP(H22,'RM Used'!A:F,6,0)</f>
        <v>0.28000000000000003</v>
      </c>
      <c r="Q22" s="11">
        <f t="shared" si="11"/>
        <v>0.28000000000000003</v>
      </c>
      <c r="R22" s="11">
        <f>IFERROR(IF(B22="Reynolds",VLOOKUP(H22,'Yield &amp; Time'!A:U,21,0),VLOOKUP(H22,'Yield &amp; Time'!A:L,12,0)),0)</f>
        <v>0</v>
      </c>
      <c r="S22" s="11">
        <f t="shared" si="3"/>
        <v>0</v>
      </c>
      <c r="T22" s="11">
        <f t="shared" si="4"/>
        <v>0</v>
      </c>
      <c r="U22" s="11">
        <f>IF(A21=A22,0,VLOOKUP(A22,'Packing Time'!A:F,6,0))</f>
        <v>0</v>
      </c>
      <c r="V22" s="11">
        <f t="shared" si="12"/>
        <v>0</v>
      </c>
      <c r="W22" s="11">
        <f t="shared" si="13"/>
        <v>0</v>
      </c>
      <c r="X22" s="11">
        <f t="shared" si="5"/>
        <v>0</v>
      </c>
      <c r="Y22" s="11">
        <f t="shared" si="14"/>
        <v>0</v>
      </c>
      <c r="Z22" s="37">
        <v>1</v>
      </c>
      <c r="AA22" s="36">
        <f t="shared" si="6"/>
        <v>1</v>
      </c>
      <c r="AB22" s="36">
        <f t="shared" si="7"/>
        <v>0.28000000000000003</v>
      </c>
      <c r="AC22" s="11">
        <f t="shared" si="8"/>
        <v>0</v>
      </c>
      <c r="AD22" s="36">
        <f t="shared" si="15"/>
        <v>0</v>
      </c>
      <c r="AE22" s="36"/>
      <c r="AF22" s="36">
        <f>IFERROR(VLOOKUP(AE22,'Chemical Cost'!A:D,4,0),0)</f>
        <v>0</v>
      </c>
      <c r="AG22" s="114">
        <f t="shared" si="9"/>
        <v>0</v>
      </c>
      <c r="AH22" s="36">
        <f t="shared" si="16"/>
        <v>0</v>
      </c>
      <c r="AI22" s="36">
        <f t="shared" si="17"/>
        <v>0.28000000000000003</v>
      </c>
      <c r="AJ22" s="36">
        <f>IFERROR(VLOOKUP(A22,'All Products'!A:F,6,0),0)</f>
        <v>3.29</v>
      </c>
      <c r="AK22" s="36"/>
      <c r="AL22" s="23">
        <v>0.8</v>
      </c>
      <c r="AM22" s="23">
        <v>0.2</v>
      </c>
      <c r="AN22" s="54" t="e">
        <v>#N/A</v>
      </c>
      <c r="AO22" s="47"/>
      <c r="AP22" s="4">
        <v>1.1000000000000001</v>
      </c>
      <c r="AQ22" s="111">
        <f t="shared" si="10"/>
        <v>0</v>
      </c>
      <c r="AR22">
        <f>_xlfn.XLOOKUP(F22,'RM Cost'!A:A,'RM Cost'!S:S)</f>
        <v>0</v>
      </c>
      <c r="AS22" t="str">
        <f>_xlfn.XLOOKUP(A22,[3]Sheet1!$B:$B,[3]Sheet1!$B:$B)</f>
        <v>1255CS</v>
      </c>
      <c r="AT22" t="e">
        <f>_xlfn.XLOOKUP(H22,'Yield &amp; Time'!A:A,'Yield &amp; Time'!F:F)</f>
        <v>#N/A</v>
      </c>
    </row>
    <row r="23" spans="1:46" x14ac:dyDescent="0.25">
      <c r="A23" s="2" t="s">
        <v>562</v>
      </c>
      <c r="B23" s="2" t="s">
        <v>552</v>
      </c>
      <c r="C23" s="2" t="s">
        <v>563</v>
      </c>
      <c r="D23" s="2" t="s">
        <v>554</v>
      </c>
      <c r="E23" s="2">
        <v>3</v>
      </c>
      <c r="F23" s="1" t="str">
        <f>VLOOKUP(H23,'RM Used'!A:B,2,0)</f>
        <v>S3997CS</v>
      </c>
      <c r="G23" s="1" t="str">
        <f>IFERROR(VLOOKUP(F23,'RM Cost'!A:B,2,0),"")</f>
        <v>RM - DECORE WHITE CABBAGE 1/3 1200KG</v>
      </c>
      <c r="H23" s="2" t="s">
        <v>1352</v>
      </c>
      <c r="I23" s="1" t="str">
        <f>VLOOKUP(F23,'RM Used'!B:D,3,0)</f>
        <v>RM-FOOD</v>
      </c>
      <c r="J23" s="66">
        <v>0.37</v>
      </c>
      <c r="K23" s="35">
        <f t="shared" si="0"/>
        <v>1.1099999999999999</v>
      </c>
      <c r="L23" s="35">
        <f t="shared" si="1"/>
        <v>1.1099999999999999</v>
      </c>
      <c r="M23" s="77" cm="1">
        <f t="array" ref="M23">_xlfn.IFS(BOM!I23="RM-PACKING","100%",B23="Reynolds",VLOOKUP(H23,'Yield &amp; Time'!A:V,22,0),BOM!B23="Dnata",VLOOKUP(BOM!H23,'Yield &amp; Time'!A:M,13,0),B23="NK",VLOOKUP(H23,'Yield &amp; Time'!A:X,24,0))</f>
        <v>0.74345249999999996</v>
      </c>
      <c r="N23" s="35">
        <f t="shared" si="2"/>
        <v>1.493034188465302</v>
      </c>
      <c r="O23" s="1" t="str">
        <f>VLOOKUP(H23,'RM Used'!A:E,5,0)</f>
        <v>KG</v>
      </c>
      <c r="P23" s="11">
        <f>VLOOKUP(H23,'RM Used'!A:F,6,0)</f>
        <v>0.34</v>
      </c>
      <c r="Q23" s="11">
        <f t="shared" si="11"/>
        <v>0.50763162407820273</v>
      </c>
      <c r="R23" s="11">
        <f>IFERROR(IF(B23="Reynolds",VLOOKUP(H23,'Yield &amp; Time'!A:U,21,0),VLOOKUP(H23,'Yield &amp; Time'!A:L,12,0)),0)</f>
        <v>0.79828721807060099</v>
      </c>
      <c r="S23" s="11">
        <f t="shared" si="3"/>
        <v>0.29994444788175723</v>
      </c>
      <c r="T23" s="11">
        <f t="shared" si="4"/>
        <v>1.4768313534306117E-2</v>
      </c>
      <c r="U23" s="11">
        <f>IF(A22=A23,0,VLOOKUP(A23,'Packing Time'!A:F,6,0))</f>
        <v>2.4</v>
      </c>
      <c r="V23" s="11">
        <f t="shared" si="12"/>
        <v>0.8123999999999999</v>
      </c>
      <c r="W23" s="11">
        <f t="shared" si="13"/>
        <v>0.04</v>
      </c>
      <c r="X23" s="11">
        <f t="shared" si="5"/>
        <v>1.7797511166108118</v>
      </c>
      <c r="Y23" s="11">
        <f t="shared" si="14"/>
        <v>1.7797511166108118</v>
      </c>
      <c r="Z23" s="37">
        <v>1</v>
      </c>
      <c r="AA23" s="36">
        <f t="shared" si="6"/>
        <v>1.493034188465302</v>
      </c>
      <c r="AB23" s="36">
        <f t="shared" si="7"/>
        <v>0.50763162407820273</v>
      </c>
      <c r="AC23" s="11">
        <f t="shared" si="8"/>
        <v>8.7629301654889802E-2</v>
      </c>
      <c r="AD23" s="36">
        <f t="shared" si="15"/>
        <v>1.7797511166108118</v>
      </c>
      <c r="AE23" s="36" t="str">
        <f>VLOOKUP(H23,'Yield &amp; Time'!A:R,18,0)</f>
        <v>CHLORINE</v>
      </c>
      <c r="AF23" s="36">
        <f>IFERROR(VLOOKUP(AE23,'Chemical Cost'!A:D,4,0),0)</f>
        <v>2.7756518066439469E-2</v>
      </c>
      <c r="AG23" s="114">
        <f t="shared" si="9"/>
        <v>1.3813810141982982E-2</v>
      </c>
      <c r="AH23" s="36">
        <f t="shared" si="16"/>
        <v>1.3813810141982982E-2</v>
      </c>
      <c r="AI23" s="36">
        <f t="shared" si="17"/>
        <v>2.3011965508309977</v>
      </c>
      <c r="AJ23" s="36">
        <f>IFERROR(VLOOKUP(A23,'All Products'!A:F,6,0),0)</f>
        <v>20.46</v>
      </c>
      <c r="AK23" s="36">
        <f>AJ23*Z23*J23</f>
        <v>7.5701999999999998</v>
      </c>
      <c r="AL23" s="23">
        <v>0.85</v>
      </c>
      <c r="AM23" s="23">
        <v>0.15</v>
      </c>
      <c r="AN23" s="54" t="e">
        <v>#N/A</v>
      </c>
      <c r="AO23" s="47"/>
      <c r="AP23" s="4">
        <v>1.6</v>
      </c>
      <c r="AQ23" s="111">
        <f t="shared" si="10"/>
        <v>8.7629301654889802E-2</v>
      </c>
      <c r="AR23">
        <f>_xlfn.XLOOKUP(F23,'RM Cost'!A:A,'RM Cost'!S:S)</f>
        <v>0.29914853989077506</v>
      </c>
      <c r="AS23" t="e">
        <f>_xlfn.XLOOKUP(A23,[3]Sheet1!$B:$B,[3]Sheet1!$B:$B)</f>
        <v>#N/A</v>
      </c>
    </row>
    <row r="24" spans="1:46" x14ac:dyDescent="0.25">
      <c r="A24" s="2" t="s">
        <v>562</v>
      </c>
      <c r="B24" s="2" t="s">
        <v>552</v>
      </c>
      <c r="C24" s="2" t="s">
        <v>563</v>
      </c>
      <c r="D24" s="2" t="s">
        <v>554</v>
      </c>
      <c r="E24" s="2">
        <v>3</v>
      </c>
      <c r="F24" s="1" t="str">
        <f>VLOOKUP(H24,'RM Used'!A:B,2,0)</f>
        <v>3080CS</v>
      </c>
      <c r="G24" s="1" t="str">
        <f>IFERROR(VLOOKUP(F24,'RM Cost'!A:B,2,0),"")</f>
        <v>RM - SAVOY CABBAGE 1 X 5KG</v>
      </c>
      <c r="H24" s="2" t="s">
        <v>1353</v>
      </c>
      <c r="I24" s="1" t="str">
        <f>VLOOKUP(F24,'RM Used'!B:D,3,0)</f>
        <v>RM-FOOD</v>
      </c>
      <c r="J24" s="66">
        <v>0.3</v>
      </c>
      <c r="K24" s="35">
        <f t="shared" si="0"/>
        <v>0.89999999999999991</v>
      </c>
      <c r="L24" s="35">
        <f t="shared" si="1"/>
        <v>0.89999999999999991</v>
      </c>
      <c r="M24" s="77" cm="1">
        <f t="array" ref="M24">_xlfn.IFS(BOM!I24="RM-PACKING","100%",B24="Reynolds",VLOOKUP(H24,'Yield &amp; Time'!A:V,22,0),BOM!B24="Dnata",VLOOKUP(BOM!H24,'Yield &amp; Time'!A:M,13,0),B24="NK",VLOOKUP(H24,'Yield &amp; Time'!A:X,24,0))</f>
        <v>0.72000000000000008</v>
      </c>
      <c r="N24" s="35">
        <f t="shared" si="2"/>
        <v>1.2499999999999998</v>
      </c>
      <c r="O24" s="1" t="str">
        <f>VLOOKUP(H24,'RM Used'!A:E,5,0)</f>
        <v>KG</v>
      </c>
      <c r="P24" s="11">
        <f>VLOOKUP(H24,'RM Used'!A:F,6,0)</f>
        <v>0.76</v>
      </c>
      <c r="Q24" s="11">
        <f t="shared" si="11"/>
        <v>0.94999999999999984</v>
      </c>
      <c r="R24" s="11">
        <f>IFERROR(IF(B24="Reynolds",VLOOKUP(H24,'Yield &amp; Time'!A:U,21,0),VLOOKUP(H24,'Yield &amp; Time'!A:L,12,0)),0)</f>
        <v>0.87031835205992514</v>
      </c>
      <c r="S24" s="11">
        <f t="shared" si="3"/>
        <v>0.26514248595505613</v>
      </c>
      <c r="T24" s="11">
        <f t="shared" si="4"/>
        <v>1.3054775280898875E-2</v>
      </c>
      <c r="U24" s="11">
        <f>IF(A23=A24,0,VLOOKUP(A24,'Packing Time'!A:F,6,0))</f>
        <v>0</v>
      </c>
      <c r="V24" s="11">
        <f t="shared" si="12"/>
        <v>0</v>
      </c>
      <c r="W24" s="11">
        <f t="shared" si="13"/>
        <v>0</v>
      </c>
      <c r="X24" s="11">
        <f t="shared" si="5"/>
        <v>0.42422797752808983</v>
      </c>
      <c r="Y24" s="11">
        <f t="shared" si="14"/>
        <v>0.42422797752808983</v>
      </c>
      <c r="Z24" s="37">
        <v>1</v>
      </c>
      <c r="AA24" s="36">
        <f t="shared" si="6"/>
        <v>1.2499999999999998</v>
      </c>
      <c r="AB24" s="36">
        <f t="shared" si="7"/>
        <v>0.94999999999999984</v>
      </c>
      <c r="AC24" s="11">
        <f t="shared" si="8"/>
        <v>2.0887640449438201E-2</v>
      </c>
      <c r="AD24" s="36">
        <f t="shared" si="15"/>
        <v>0.42422797752808983</v>
      </c>
      <c r="AE24" s="36" t="str">
        <f>VLOOKUP(H24,'Yield &amp; Time'!A:R,18,0)</f>
        <v>CHLORINE</v>
      </c>
      <c r="AF24" s="36">
        <f>IFERROR(VLOOKUP(AE24,'Chemical Cost'!A:D,4,0),0)</f>
        <v>2.7756518066439469E-2</v>
      </c>
      <c r="AG24" s="114">
        <f t="shared" si="9"/>
        <v>1.1565215861016442E-2</v>
      </c>
      <c r="AH24" s="36">
        <f t="shared" si="16"/>
        <v>1.1565215861016442E-2</v>
      </c>
      <c r="AI24" s="36">
        <f t="shared" si="17"/>
        <v>1.3857931933891061</v>
      </c>
      <c r="AJ24" s="36">
        <f>IFERROR(VLOOKUP(A24,'All Products'!A:F,6,0),0)</f>
        <v>20.46</v>
      </c>
      <c r="AK24" s="36">
        <f>AJ24*Z24*J24</f>
        <v>6.1379999999999999</v>
      </c>
      <c r="AL24" s="23">
        <v>0.85</v>
      </c>
      <c r="AM24" s="23">
        <v>0.15</v>
      </c>
      <c r="AN24" s="54" t="e">
        <v>#N/A</v>
      </c>
      <c r="AO24" s="47"/>
      <c r="AP24" s="4">
        <v>1.6</v>
      </c>
      <c r="AQ24" s="111">
        <f t="shared" si="10"/>
        <v>2.0887640449438201E-2</v>
      </c>
      <c r="AR24">
        <f>_xlfn.XLOOKUP(F24,'RM Cost'!A:A,'RM Cost'!S:S)</f>
        <v>0</v>
      </c>
      <c r="AS24" t="e">
        <f>_xlfn.XLOOKUP(A24,[3]Sheet1!$B:$B,[3]Sheet1!$B:$B)</f>
        <v>#N/A</v>
      </c>
    </row>
    <row r="25" spans="1:46" x14ac:dyDescent="0.25">
      <c r="A25" s="2" t="s">
        <v>562</v>
      </c>
      <c r="B25" s="2" t="s">
        <v>552</v>
      </c>
      <c r="C25" s="2" t="s">
        <v>563</v>
      </c>
      <c r="D25" s="2" t="s">
        <v>554</v>
      </c>
      <c r="E25" s="2">
        <v>3</v>
      </c>
      <c r="F25" s="1" t="str">
        <f>VLOOKUP(H25,'RM Used'!A:B,2,0)</f>
        <v>032ACS</v>
      </c>
      <c r="G25" s="1" t="str">
        <f>IFERROR(VLOOKUP(F25,'RM Cost'!A:B,2,0),"")</f>
        <v>RM - LRG PROCESSING CARROT X 1000KG</v>
      </c>
      <c r="H25" s="2" t="s">
        <v>1351</v>
      </c>
      <c r="I25" s="1" t="str">
        <f>VLOOKUP(F25,'RM Used'!B:D,3,0)</f>
        <v>RM-FOOD</v>
      </c>
      <c r="J25" s="66">
        <v>0.2</v>
      </c>
      <c r="K25" s="35">
        <f t="shared" si="0"/>
        <v>0.60000000000000009</v>
      </c>
      <c r="L25" s="35">
        <f t="shared" si="1"/>
        <v>0.60000000000000009</v>
      </c>
      <c r="M25" s="77" cm="1">
        <f t="array" ref="M25">_xlfn.IFS(BOM!I25="RM-PACKING","100%",B25="Reynolds",VLOOKUP(H25,'Yield &amp; Time'!A:V,22,0),BOM!B25="Dnata",VLOOKUP(BOM!H25,'Yield &amp; Time'!A:M,13,0),B25="NK",VLOOKUP(H25,'Yield &amp; Time'!A:X,24,0))</f>
        <v>0.75330000000000008</v>
      </c>
      <c r="N25" s="35">
        <f t="shared" si="2"/>
        <v>0.79649542015133412</v>
      </c>
      <c r="O25" s="1" t="str">
        <f>VLOOKUP(H25,'RM Used'!A:E,5,0)</f>
        <v>KG</v>
      </c>
      <c r="P25" s="11">
        <f>VLOOKUP(H25,'RM Used'!A:F,6,0)</f>
        <v>0.38</v>
      </c>
      <c r="Q25" s="11">
        <f t="shared" si="11"/>
        <v>0.30266825965750699</v>
      </c>
      <c r="R25" s="11">
        <f>IFERROR(IF(B25="Reynolds",VLOOKUP(H25,'Yield &amp; Time'!A:U,21,0),VLOOKUP(H25,'Yield &amp; Time'!A:L,12,0)),0)</f>
        <v>0.90531914893617027</v>
      </c>
      <c r="S25" s="11">
        <f t="shared" si="3"/>
        <v>0.1838703191489362</v>
      </c>
      <c r="T25" s="11">
        <f t="shared" si="4"/>
        <v>9.0531914893617043E-3</v>
      </c>
      <c r="U25" s="11">
        <f>IF(A24=A25,0,VLOOKUP(A25,'Packing Time'!A:F,6,0))</f>
        <v>0</v>
      </c>
      <c r="V25" s="11">
        <f t="shared" si="12"/>
        <v>0</v>
      </c>
      <c r="W25" s="11">
        <f t="shared" si="13"/>
        <v>0</v>
      </c>
      <c r="X25" s="11">
        <f t="shared" si="5"/>
        <v>0.29419251063829793</v>
      </c>
      <c r="Y25" s="11">
        <f t="shared" si="14"/>
        <v>0.29419251063829793</v>
      </c>
      <c r="Z25" s="37">
        <v>1</v>
      </c>
      <c r="AA25" s="36">
        <f t="shared" si="6"/>
        <v>0.79649542015133412</v>
      </c>
      <c r="AB25" s="36">
        <f t="shared" si="7"/>
        <v>0.30266825965750699</v>
      </c>
      <c r="AC25" s="11">
        <f t="shared" si="8"/>
        <v>1.4485106382978728E-2</v>
      </c>
      <c r="AD25" s="36">
        <f t="shared" si="15"/>
        <v>0.29419251063829793</v>
      </c>
      <c r="AE25" s="36" t="str">
        <f>VLOOKUP(H25,'Yield &amp; Time'!A:R,18,0)</f>
        <v>CHLORINE</v>
      </c>
      <c r="AF25" s="36">
        <f>IFERROR(VLOOKUP(AE25,'Chemical Cost'!A:D,4,0),0)</f>
        <v>2.7756518066439469E-2</v>
      </c>
      <c r="AG25" s="114">
        <f t="shared" si="9"/>
        <v>7.3693131730889335E-3</v>
      </c>
      <c r="AH25" s="36">
        <f t="shared" si="16"/>
        <v>7.3693131730889335E-3</v>
      </c>
      <c r="AI25" s="36">
        <f t="shared" si="17"/>
        <v>0.60423008346889384</v>
      </c>
      <c r="AJ25" s="36">
        <f>IFERROR(VLOOKUP(A25,'All Products'!A:F,6,0),0)</f>
        <v>20.46</v>
      </c>
      <c r="AK25" s="36">
        <f>AJ25*Z25*J25</f>
        <v>4.0920000000000005</v>
      </c>
      <c r="AL25" s="23">
        <v>0.85</v>
      </c>
      <c r="AM25" s="23">
        <v>0.15</v>
      </c>
      <c r="AN25" s="54" t="e">
        <v>#N/A</v>
      </c>
      <c r="AO25" s="47"/>
      <c r="AP25" s="4">
        <v>1.6</v>
      </c>
      <c r="AQ25" s="111">
        <f t="shared" si="10"/>
        <v>1.4485106382978728E-2</v>
      </c>
      <c r="AR25">
        <f>_xlfn.XLOOKUP(F25,'RM Cost'!A:A,'RM Cost'!S:S)</f>
        <v>0</v>
      </c>
      <c r="AS25" t="e">
        <f>_xlfn.XLOOKUP(A25,[3]Sheet1!$B:$B,[3]Sheet1!$B:$B)</f>
        <v>#N/A</v>
      </c>
    </row>
    <row r="26" spans="1:46" x14ac:dyDescent="0.25">
      <c r="A26" s="2" t="s">
        <v>562</v>
      </c>
      <c r="B26" s="2" t="s">
        <v>552</v>
      </c>
      <c r="C26" s="2" t="s">
        <v>563</v>
      </c>
      <c r="D26" s="2" t="s">
        <v>554</v>
      </c>
      <c r="E26" s="2">
        <v>3</v>
      </c>
      <c r="F26" s="1" t="str">
        <f>VLOOKUP(H26,'RM Used'!A:B,2,0)</f>
        <v>3112CS</v>
      </c>
      <c r="G26" s="1" t="str">
        <f>IFERROR(VLOOKUP(F26,'RM Cost'!A:B,2,0),"")</f>
        <v>WHOLE LEAF CURLY KALE 5X1KG</v>
      </c>
      <c r="H26" s="2" t="s">
        <v>1354</v>
      </c>
      <c r="I26" s="1" t="str">
        <f>VLOOKUP(F26,'RM Used'!B:D,3,0)</f>
        <v>RM-FOOD</v>
      </c>
      <c r="J26" s="66">
        <v>0.13</v>
      </c>
      <c r="K26" s="35">
        <f t="shared" si="0"/>
        <v>0.39</v>
      </c>
      <c r="L26" s="35">
        <f t="shared" si="1"/>
        <v>0.39</v>
      </c>
      <c r="M26" s="77" cm="1">
        <f t="array" ref="M26">_xlfn.IFS(BOM!I26="RM-PACKING","100%",B26="Reynolds",VLOOKUP(H26,'Yield &amp; Time'!A:V,22,0),BOM!B26="Dnata",VLOOKUP(BOM!H26,'Yield &amp; Time'!A:M,13,0),B26="NK",VLOOKUP(H26,'Yield &amp; Time'!A:X,24,0))</f>
        <v>0.73052362707535112</v>
      </c>
      <c r="N26" s="35">
        <f t="shared" si="2"/>
        <v>0.53386363636363643</v>
      </c>
      <c r="O26" s="1" t="str">
        <f>VLOOKUP(H26,'RM Used'!A:E,5,0)</f>
        <v>KG</v>
      </c>
      <c r="P26" s="11">
        <f>VLOOKUP(H26,'RM Used'!A:F,6,0)</f>
        <v>1.45</v>
      </c>
      <c r="Q26" s="11">
        <f t="shared" si="11"/>
        <v>0.77410227272727283</v>
      </c>
      <c r="R26" s="11">
        <f>IFERROR(IF(B26="Reynolds",VLOOKUP(H26,'Yield &amp; Time'!A:U,21,0),VLOOKUP(H26,'Yield &amp; Time'!A:L,12,0)),0)</f>
        <v>3.3216783216783217</v>
      </c>
      <c r="S26" s="11">
        <f t="shared" si="3"/>
        <v>0.43851136363636356</v>
      </c>
      <c r="T26" s="11">
        <f t="shared" si="4"/>
        <v>2.1590909090909091E-2</v>
      </c>
      <c r="U26" s="11">
        <f>IF(A25=A26,0,VLOOKUP(A26,'Packing Time'!A:F,6,0))</f>
        <v>0</v>
      </c>
      <c r="V26" s="11">
        <f t="shared" si="12"/>
        <v>0</v>
      </c>
      <c r="W26" s="11">
        <f t="shared" si="13"/>
        <v>0</v>
      </c>
      <c r="X26" s="11">
        <f t="shared" si="5"/>
        <v>0.7016181818181817</v>
      </c>
      <c r="Y26" s="11">
        <f t="shared" si="14"/>
        <v>0.7016181818181817</v>
      </c>
      <c r="Z26" s="37">
        <v>1</v>
      </c>
      <c r="AA26" s="36">
        <f t="shared" si="6"/>
        <v>0.53386363636363643</v>
      </c>
      <c r="AB26" s="36">
        <f t="shared" si="7"/>
        <v>0.77410227272727283</v>
      </c>
      <c r="AC26" s="11">
        <f t="shared" si="8"/>
        <v>3.4545454545454546E-2</v>
      </c>
      <c r="AD26" s="36">
        <f t="shared" si="15"/>
        <v>0.70161818181818181</v>
      </c>
      <c r="AE26" s="36" t="str">
        <f>VLOOKUP(H26,'Yield &amp; Time'!A:R,18,0)</f>
        <v>CHLORINE</v>
      </c>
      <c r="AF26" s="36">
        <f>IFERROR(VLOOKUP(AE26,'Chemical Cost'!A:D,4,0),0)</f>
        <v>2.7756518066439469E-2</v>
      </c>
      <c r="AG26" s="114">
        <f t="shared" si="9"/>
        <v>4.9393985559141153E-3</v>
      </c>
      <c r="AH26" s="36">
        <f t="shared" si="16"/>
        <v>4.9393985559141153E-3</v>
      </c>
      <c r="AI26" s="36">
        <f t="shared" si="17"/>
        <v>1.4806598531013686</v>
      </c>
      <c r="AJ26" s="36">
        <f>IFERROR(VLOOKUP(A26,'All Products'!A:F,6,0),0)</f>
        <v>20.46</v>
      </c>
      <c r="AK26" s="36">
        <f>AJ26*Z26*J26</f>
        <v>2.6598000000000002</v>
      </c>
      <c r="AL26" s="23">
        <v>0.85</v>
      </c>
      <c r="AM26" s="23">
        <v>0.15</v>
      </c>
      <c r="AN26" s="54" t="e">
        <v>#N/A</v>
      </c>
      <c r="AO26" s="47"/>
      <c r="AP26" s="4">
        <v>1.6</v>
      </c>
      <c r="AQ26" s="111">
        <f t="shared" si="10"/>
        <v>3.4545454545454546E-2</v>
      </c>
      <c r="AR26">
        <f>_xlfn.XLOOKUP(F26,'RM Cost'!A:A,'RM Cost'!S:S)</f>
        <v>0</v>
      </c>
      <c r="AS26" t="e">
        <f>_xlfn.XLOOKUP(A26,[3]Sheet1!$B:$B,[3]Sheet1!$B:$B)</f>
        <v>#N/A</v>
      </c>
    </row>
    <row r="27" spans="1:46" x14ac:dyDescent="0.25">
      <c r="A27" s="2" t="s">
        <v>562</v>
      </c>
      <c r="B27" s="2" t="s">
        <v>552</v>
      </c>
      <c r="C27" s="2" t="s">
        <v>563</v>
      </c>
      <c r="D27" s="2" t="s">
        <v>554</v>
      </c>
      <c r="E27" s="2">
        <v>3</v>
      </c>
      <c r="F27" s="1" t="str">
        <f>VLOOKUP(H27,'RM Used'!A:B,2,0)</f>
        <v>P0004</v>
      </c>
      <c r="G27" s="1" t="str">
        <f>IFERROR(VLOOKUP(F27,'RM Cost'!A:B,2,0),"")</f>
        <v>SOL 30EL # PPLUS 630x1000 BLUE -6</v>
      </c>
      <c r="H27" s="2" t="s">
        <v>4680</v>
      </c>
      <c r="I27" s="1" t="str">
        <f>VLOOKUP(F27,'RM Used'!B:D,3,0)</f>
        <v>RM-PACKING</v>
      </c>
      <c r="J27" s="66">
        <v>1</v>
      </c>
      <c r="K27" s="35" t="str">
        <f t="shared" si="0"/>
        <v/>
      </c>
      <c r="L27" s="35">
        <f t="shared" si="1"/>
        <v>0</v>
      </c>
      <c r="M27" s="77" t="str" cm="1">
        <f t="array" ref="M27">_xlfn.IFS(BOM!I27="RM-PACKING","100%",B27="Reynolds",VLOOKUP(H27,'Yield &amp; Time'!A:V,22,0),BOM!B27="Dnata",VLOOKUP(BOM!H27,'Yield &amp; Time'!A:M,13,0),B27="NK",VLOOKUP(H27,'Yield &amp; Time'!A:X,24,0))</f>
        <v>100%</v>
      </c>
      <c r="N27" s="35">
        <f t="shared" si="2"/>
        <v>1</v>
      </c>
      <c r="O27" s="1" t="str">
        <f>VLOOKUP(H27,'RM Used'!A:E,5,0)</f>
        <v>Count</v>
      </c>
      <c r="P27" s="11">
        <f>VLOOKUP(H27,'RM Used'!A:F,6,0)</f>
        <v>0.48</v>
      </c>
      <c r="Q27" s="11">
        <f t="shared" si="11"/>
        <v>0.48</v>
      </c>
      <c r="R27" s="11">
        <f>IFERROR(IF(B27="Reynolds",VLOOKUP(H27,'Yield &amp; Time'!A:U,21,0),VLOOKUP(H27,'Yield &amp; Time'!A:L,12,0)),0)</f>
        <v>0</v>
      </c>
      <c r="S27" s="11">
        <f t="shared" si="3"/>
        <v>0</v>
      </c>
      <c r="T27" s="11">
        <f t="shared" si="4"/>
        <v>0</v>
      </c>
      <c r="U27" s="11">
        <f>IF(A26=A27,0,VLOOKUP(A27,'Packing Time'!A:F,6,0))</f>
        <v>0</v>
      </c>
      <c r="V27" s="11">
        <f t="shared" si="12"/>
        <v>0</v>
      </c>
      <c r="W27" s="11">
        <f t="shared" si="13"/>
        <v>0</v>
      </c>
      <c r="X27" s="11">
        <f t="shared" si="5"/>
        <v>0</v>
      </c>
      <c r="Y27" s="11">
        <f t="shared" si="14"/>
        <v>0</v>
      </c>
      <c r="Z27" s="37">
        <v>1</v>
      </c>
      <c r="AA27" s="36">
        <f t="shared" si="6"/>
        <v>1</v>
      </c>
      <c r="AB27" s="36">
        <f t="shared" si="7"/>
        <v>0.48</v>
      </c>
      <c r="AC27" s="11">
        <f t="shared" si="8"/>
        <v>0</v>
      </c>
      <c r="AD27" s="36">
        <f t="shared" si="15"/>
        <v>0</v>
      </c>
      <c r="AE27" s="36"/>
      <c r="AF27" s="36">
        <f>IFERROR(VLOOKUP(AE27,'Chemical Cost'!A:D,4,0),0)</f>
        <v>0</v>
      </c>
      <c r="AG27" s="114">
        <f t="shared" si="9"/>
        <v>0</v>
      </c>
      <c r="AH27" s="36">
        <f t="shared" si="16"/>
        <v>0</v>
      </c>
      <c r="AI27" s="36">
        <f t="shared" si="17"/>
        <v>0.48</v>
      </c>
      <c r="AJ27" s="36">
        <f>IFERROR(VLOOKUP(A27,'All Products'!A:F,6,0),0)</f>
        <v>20.46</v>
      </c>
      <c r="AK27" s="36"/>
      <c r="AL27" s="23">
        <v>0.85</v>
      </c>
      <c r="AM27" s="23">
        <v>0.15</v>
      </c>
      <c r="AN27" s="54" t="e">
        <v>#N/A</v>
      </c>
      <c r="AO27" s="47"/>
      <c r="AP27" s="4">
        <v>1.6</v>
      </c>
      <c r="AQ27" s="111">
        <f t="shared" si="10"/>
        <v>0</v>
      </c>
      <c r="AR27">
        <f>_xlfn.XLOOKUP(F27,'RM Cost'!A:A,'RM Cost'!S:S)</f>
        <v>0</v>
      </c>
      <c r="AS27" t="e">
        <f>_xlfn.XLOOKUP(A27,[3]Sheet1!$B:$B,[3]Sheet1!$B:$B)</f>
        <v>#N/A</v>
      </c>
    </row>
    <row r="28" spans="1:46" x14ac:dyDescent="0.25">
      <c r="A28" s="2" t="s">
        <v>562</v>
      </c>
      <c r="B28" s="2" t="s">
        <v>552</v>
      </c>
      <c r="C28" s="2" t="s">
        <v>563</v>
      </c>
      <c r="D28" s="2" t="s">
        <v>554</v>
      </c>
      <c r="E28" s="2">
        <v>3</v>
      </c>
      <c r="F28" s="1" t="str">
        <f>VLOOKUP(H28,'RM Used'!A:B,2,0)</f>
        <v>P0016</v>
      </c>
      <c r="G28" s="1" t="str">
        <f>IFERROR(VLOOKUP(F28,'RM Cost'!A:B,2,0),"")</f>
        <v>REY 40 30 BOX</v>
      </c>
      <c r="H28" s="2" t="s">
        <v>1332</v>
      </c>
      <c r="I28" s="1" t="str">
        <f>VLOOKUP(F28,'RM Used'!B:D,3,0)</f>
        <v>RM-PACKING</v>
      </c>
      <c r="J28" s="66">
        <v>1</v>
      </c>
      <c r="K28" s="35" t="str">
        <f t="shared" si="0"/>
        <v/>
      </c>
      <c r="L28" s="35">
        <f t="shared" si="1"/>
        <v>0</v>
      </c>
      <c r="M28" s="77" t="str" cm="1">
        <f t="array" ref="M28">_xlfn.IFS(BOM!I28="RM-PACKING","100%",B28="Reynolds",VLOOKUP(H28,'Yield &amp; Time'!A:V,22,0),BOM!B28="Dnata",VLOOKUP(BOM!H28,'Yield &amp; Time'!A:M,13,0),B28="NK",VLOOKUP(H28,'Yield &amp; Time'!A:X,24,0))</f>
        <v>100%</v>
      </c>
      <c r="N28" s="35">
        <f t="shared" si="2"/>
        <v>1</v>
      </c>
      <c r="O28" s="1" t="str">
        <f>VLOOKUP(H28,'RM Used'!A:E,5,0)</f>
        <v>Count</v>
      </c>
      <c r="P28" s="11">
        <f>VLOOKUP(H28,'RM Used'!A:F,6,0)</f>
        <v>0.28000000000000003</v>
      </c>
      <c r="Q28" s="11">
        <f t="shared" si="11"/>
        <v>0.28000000000000003</v>
      </c>
      <c r="R28" s="11">
        <f>IFERROR(IF(B28="Reynolds",VLOOKUP(H28,'Yield &amp; Time'!A:U,21,0),VLOOKUP(H28,'Yield &amp; Time'!A:L,12,0)),0)</f>
        <v>0</v>
      </c>
      <c r="S28" s="11">
        <f t="shared" si="3"/>
        <v>0</v>
      </c>
      <c r="T28" s="11">
        <f t="shared" si="4"/>
        <v>0</v>
      </c>
      <c r="U28" s="11">
        <f>IF(A27=A28,0,VLOOKUP(A28,'Packing Time'!A:F,6,0))</f>
        <v>0</v>
      </c>
      <c r="V28" s="11">
        <f t="shared" si="12"/>
        <v>0</v>
      </c>
      <c r="W28" s="11">
        <f t="shared" si="13"/>
        <v>0</v>
      </c>
      <c r="X28" s="11">
        <f t="shared" si="5"/>
        <v>0</v>
      </c>
      <c r="Y28" s="11">
        <f t="shared" si="14"/>
        <v>0</v>
      </c>
      <c r="Z28" s="37">
        <v>1</v>
      </c>
      <c r="AA28" s="36">
        <f t="shared" si="6"/>
        <v>1</v>
      </c>
      <c r="AB28" s="36">
        <f t="shared" si="7"/>
        <v>0.28000000000000003</v>
      </c>
      <c r="AC28" s="11">
        <f t="shared" si="8"/>
        <v>0</v>
      </c>
      <c r="AD28" s="36">
        <f t="shared" si="15"/>
        <v>0</v>
      </c>
      <c r="AE28" s="36"/>
      <c r="AF28" s="36">
        <f>IFERROR(VLOOKUP(AE28,'Chemical Cost'!A:D,4,0),0)</f>
        <v>0</v>
      </c>
      <c r="AG28" s="114">
        <f t="shared" si="9"/>
        <v>0</v>
      </c>
      <c r="AH28" s="36">
        <f t="shared" si="16"/>
        <v>0</v>
      </c>
      <c r="AI28" s="36">
        <f t="shared" si="17"/>
        <v>0.28000000000000003</v>
      </c>
      <c r="AJ28" s="36">
        <f>IFERROR(VLOOKUP(A28,'All Products'!A:F,6,0),0)</f>
        <v>20.46</v>
      </c>
      <c r="AK28" s="36"/>
      <c r="AL28" s="23">
        <v>0.85</v>
      </c>
      <c r="AM28" s="23">
        <v>0.15</v>
      </c>
      <c r="AN28" s="54" t="e">
        <v>#N/A</v>
      </c>
      <c r="AO28" s="47"/>
      <c r="AP28" s="4">
        <v>1.6</v>
      </c>
      <c r="AQ28" s="111">
        <f t="shared" si="10"/>
        <v>0</v>
      </c>
      <c r="AR28">
        <f>_xlfn.XLOOKUP(F28,'RM Cost'!A:A,'RM Cost'!S:S)</f>
        <v>0</v>
      </c>
      <c r="AS28" t="e">
        <f>_xlfn.XLOOKUP(A28,[3]Sheet1!$B:$B,[3]Sheet1!$B:$B)</f>
        <v>#N/A</v>
      </c>
    </row>
    <row r="29" spans="1:46" x14ac:dyDescent="0.25">
      <c r="A29" s="2" t="s">
        <v>27</v>
      </c>
      <c r="B29" s="2" t="s">
        <v>552</v>
      </c>
      <c r="C29" s="2" t="s">
        <v>28</v>
      </c>
      <c r="D29" s="2" t="s">
        <v>554</v>
      </c>
      <c r="E29" s="2">
        <v>1.5</v>
      </c>
      <c r="F29" s="1" t="str">
        <f>VLOOKUP(H29,'RM Used'!A:B,2,0)</f>
        <v>S3997CS</v>
      </c>
      <c r="G29" s="1" t="str">
        <f>IFERROR(VLOOKUP(F29,'RM Cost'!A:B,2,0),"")</f>
        <v>RM - DECORE WHITE CABBAGE 1/3 1200KG</v>
      </c>
      <c r="H29" s="2" t="s">
        <v>1352</v>
      </c>
      <c r="I29" s="1" t="str">
        <f>VLOOKUP(F29,'RM Used'!B:D,3,0)</f>
        <v>RM-FOOD</v>
      </c>
      <c r="J29" s="66">
        <v>0.3</v>
      </c>
      <c r="K29" s="35">
        <f t="shared" si="0"/>
        <v>0.44999999999999996</v>
      </c>
      <c r="L29" s="35">
        <f t="shared" si="1"/>
        <v>0.44999999999999996</v>
      </c>
      <c r="M29" s="77" cm="1">
        <f t="array" ref="M29">_xlfn.IFS(BOM!I29="RM-PACKING","100%",B29="Reynolds",VLOOKUP(H29,'Yield &amp; Time'!A:V,22,0),BOM!B29="Dnata",VLOOKUP(BOM!H29,'Yield &amp; Time'!A:M,13,0),B29="NK",VLOOKUP(H29,'Yield &amp; Time'!A:X,24,0))</f>
        <v>0.74345249999999996</v>
      </c>
      <c r="N29" s="35">
        <f t="shared" si="2"/>
        <v>0.60528413045890628</v>
      </c>
      <c r="O29" s="1" t="str">
        <f>VLOOKUP(H29,'RM Used'!A:E,5,0)</f>
        <v>KG</v>
      </c>
      <c r="P29" s="11">
        <f>VLOOKUP(H29,'RM Used'!A:F,6,0)</f>
        <v>0.34</v>
      </c>
      <c r="Q29" s="11">
        <f t="shared" si="11"/>
        <v>0.20579660435602815</v>
      </c>
      <c r="R29" s="11">
        <f>IFERROR(IF(B29="Reynolds",VLOOKUP(H29,'Yield &amp; Time'!A:U,21,0),VLOOKUP(H29,'Yield &amp; Time'!A:L,12,0)),0)</f>
        <v>0.79828721807060099</v>
      </c>
      <c r="S29" s="11">
        <f t="shared" si="3"/>
        <v>0.12159910049260428</v>
      </c>
      <c r="T29" s="11">
        <f t="shared" si="4"/>
        <v>5.9871541355295075E-3</v>
      </c>
      <c r="U29" s="11">
        <f>IF(A28=A29,0,VLOOKUP(A29,'Packing Time'!A:F,6,0))</f>
        <v>0.64500000000000002</v>
      </c>
      <c r="V29" s="11">
        <f t="shared" si="12"/>
        <v>0.21833249999999998</v>
      </c>
      <c r="W29" s="11">
        <f t="shared" si="13"/>
        <v>1.0750000000000001E-2</v>
      </c>
      <c r="X29" s="11">
        <f t="shared" si="5"/>
        <v>0.54389056078816689</v>
      </c>
      <c r="Y29" s="11">
        <f t="shared" si="14"/>
        <v>0.54389056078816689</v>
      </c>
      <c r="Z29" s="37">
        <v>1</v>
      </c>
      <c r="AA29" s="36">
        <f t="shared" si="6"/>
        <v>0.60528413045890628</v>
      </c>
      <c r="AB29" s="36">
        <f t="shared" si="7"/>
        <v>0.20579660435602815</v>
      </c>
      <c r="AC29" s="11">
        <f t="shared" si="8"/>
        <v>2.6779446616847214E-2</v>
      </c>
      <c r="AD29" s="36">
        <f t="shared" si="15"/>
        <v>0.54389056078816689</v>
      </c>
      <c r="AE29" s="36" t="str">
        <f>VLOOKUP(H29,'Yield &amp; Time'!A:R,18,0)</f>
        <v>CHLORINE</v>
      </c>
      <c r="AF29" s="36">
        <f>IFERROR(VLOOKUP(AE29,'Chemical Cost'!A:D,4,0),0)</f>
        <v>2.7756518066439469E-2</v>
      </c>
      <c r="AG29" s="114">
        <f t="shared" si="9"/>
        <v>5.600193300803912E-3</v>
      </c>
      <c r="AH29" s="36">
        <f t="shared" si="16"/>
        <v>5.600193300803912E-3</v>
      </c>
      <c r="AI29" s="36">
        <f t="shared" si="17"/>
        <v>0.75528735844499884</v>
      </c>
      <c r="AJ29" s="36">
        <f>IFERROR(VLOOKUP(A29,'All Products'!A:F,6,0),0)</f>
        <v>6.84</v>
      </c>
      <c r="AK29" s="36">
        <f t="shared" ref="AK29:AK35" si="18">AJ29*Z29*J29</f>
        <v>2.052</v>
      </c>
      <c r="AL29" s="23">
        <v>0.8</v>
      </c>
      <c r="AM29" s="23">
        <v>0.2</v>
      </c>
      <c r="AN29" s="54" t="e">
        <v>#N/A</v>
      </c>
      <c r="AO29" s="47"/>
      <c r="AP29" s="4">
        <v>1.6</v>
      </c>
      <c r="AQ29" s="111">
        <f t="shared" si="10"/>
        <v>2.6779446616847214E-2</v>
      </c>
      <c r="AR29">
        <f>_xlfn.XLOOKUP(F29,'RM Cost'!A:A,'RM Cost'!S:S)</f>
        <v>0.29914853989077506</v>
      </c>
      <c r="AS29" t="e">
        <f>_xlfn.XLOOKUP(A29,[3]Sheet1!$B:$B,[3]Sheet1!$B:$B)</f>
        <v>#N/A</v>
      </c>
    </row>
    <row r="30" spans="1:46" x14ac:dyDescent="0.25">
      <c r="A30" s="2" t="s">
        <v>27</v>
      </c>
      <c r="B30" s="2" t="s">
        <v>552</v>
      </c>
      <c r="C30" s="2" t="s">
        <v>28</v>
      </c>
      <c r="D30" s="2" t="s">
        <v>554</v>
      </c>
      <c r="E30" s="2">
        <v>1.5</v>
      </c>
      <c r="F30" s="1" t="str">
        <f>VLOOKUP(H30,'RM Used'!A:B,2,0)</f>
        <v>032ACS</v>
      </c>
      <c r="G30" s="1" t="str">
        <f>IFERROR(VLOOKUP(F30,'RM Cost'!A:B,2,0),"")</f>
        <v>RM - LRG PROCESSING CARROT X 1000KG</v>
      </c>
      <c r="H30" s="2" t="s">
        <v>1351</v>
      </c>
      <c r="I30" s="1" t="str">
        <f>VLOOKUP(F30,'RM Used'!B:D,3,0)</f>
        <v>RM-FOOD</v>
      </c>
      <c r="J30" s="66">
        <v>0.25</v>
      </c>
      <c r="K30" s="35">
        <f t="shared" si="0"/>
        <v>0.375</v>
      </c>
      <c r="L30" s="35">
        <f t="shared" si="1"/>
        <v>0.375</v>
      </c>
      <c r="M30" s="77" cm="1">
        <f t="array" ref="M30">_xlfn.IFS(BOM!I30="RM-PACKING","100%",B30="Reynolds",VLOOKUP(H30,'Yield &amp; Time'!A:V,22,0),BOM!B30="Dnata",VLOOKUP(BOM!H30,'Yield &amp; Time'!A:M,13,0),B30="NK",VLOOKUP(H30,'Yield &amp; Time'!A:X,24,0))</f>
        <v>0.75330000000000008</v>
      </c>
      <c r="N30" s="35">
        <f t="shared" si="2"/>
        <v>0.4978096375945838</v>
      </c>
      <c r="O30" s="1" t="str">
        <f>VLOOKUP(H30,'RM Used'!A:E,5,0)</f>
        <v>KG</v>
      </c>
      <c r="P30" s="11">
        <f>VLOOKUP(H30,'RM Used'!A:F,6,0)</f>
        <v>0.38</v>
      </c>
      <c r="Q30" s="11">
        <f t="shared" si="11"/>
        <v>0.18916766228594184</v>
      </c>
      <c r="R30" s="11">
        <f>IFERROR(IF(B30="Reynolds",VLOOKUP(H30,'Yield &amp; Time'!A:U,21,0),VLOOKUP(H30,'Yield &amp; Time'!A:L,12,0)),0)</f>
        <v>0.90531914893617027</v>
      </c>
      <c r="S30" s="11">
        <f t="shared" si="3"/>
        <v>0.11491894946808509</v>
      </c>
      <c r="T30" s="11">
        <f t="shared" si="4"/>
        <v>5.6582446808510637E-3</v>
      </c>
      <c r="U30" s="11">
        <f>IF(A29=A30,0,VLOOKUP(A30,'Packing Time'!A:F,6,0))</f>
        <v>0</v>
      </c>
      <c r="V30" s="11">
        <f t="shared" si="12"/>
        <v>0</v>
      </c>
      <c r="W30" s="11">
        <f t="shared" si="13"/>
        <v>0</v>
      </c>
      <c r="X30" s="11">
        <f t="shared" si="5"/>
        <v>0.18387031914893615</v>
      </c>
      <c r="Y30" s="11">
        <f t="shared" si="14"/>
        <v>0.18387031914893615</v>
      </c>
      <c r="Z30" s="37">
        <v>1</v>
      </c>
      <c r="AA30" s="36">
        <f t="shared" si="6"/>
        <v>0.4978096375945838</v>
      </c>
      <c r="AB30" s="36">
        <f t="shared" si="7"/>
        <v>0.18916766228594184</v>
      </c>
      <c r="AC30" s="11">
        <f t="shared" si="8"/>
        <v>9.0531914893617026E-3</v>
      </c>
      <c r="AD30" s="36">
        <f t="shared" si="15"/>
        <v>0.18387031914893615</v>
      </c>
      <c r="AE30" s="36" t="str">
        <f>VLOOKUP(H30,'Yield &amp; Time'!A:R,18,0)</f>
        <v>CHLORINE</v>
      </c>
      <c r="AF30" s="36">
        <f>IFERROR(VLOOKUP(AE30,'Chemical Cost'!A:D,4,0),0)</f>
        <v>2.7756518066439469E-2</v>
      </c>
      <c r="AG30" s="114">
        <f t="shared" si="9"/>
        <v>4.6058207331805831E-3</v>
      </c>
      <c r="AH30" s="36">
        <f t="shared" si="16"/>
        <v>4.6058207331805831E-3</v>
      </c>
      <c r="AI30" s="36">
        <f t="shared" si="17"/>
        <v>0.3776438021680586</v>
      </c>
      <c r="AJ30" s="36">
        <f>IFERROR(VLOOKUP(A30,'All Products'!A:F,6,0),0)</f>
        <v>6.84</v>
      </c>
      <c r="AK30" s="36">
        <f t="shared" si="18"/>
        <v>1.71</v>
      </c>
      <c r="AL30" s="23">
        <v>0.8</v>
      </c>
      <c r="AM30" s="23">
        <v>0.2</v>
      </c>
      <c r="AN30" s="54" t="e">
        <v>#N/A</v>
      </c>
      <c r="AO30" s="47"/>
      <c r="AP30" s="4">
        <v>1.6</v>
      </c>
      <c r="AQ30" s="111">
        <f t="shared" si="10"/>
        <v>9.0531914893617026E-3</v>
      </c>
      <c r="AR30">
        <f>_xlfn.XLOOKUP(F30,'RM Cost'!A:A,'RM Cost'!S:S)</f>
        <v>0</v>
      </c>
      <c r="AS30" t="e">
        <f>_xlfn.XLOOKUP(A30,[3]Sheet1!$B:$B,[3]Sheet1!$B:$B)</f>
        <v>#N/A</v>
      </c>
    </row>
    <row r="31" spans="1:46" x14ac:dyDescent="0.25">
      <c r="A31" s="2" t="s">
        <v>27</v>
      </c>
      <c r="B31" s="2" t="s">
        <v>552</v>
      </c>
      <c r="C31" s="2" t="s">
        <v>28</v>
      </c>
      <c r="D31" s="2" t="s">
        <v>554</v>
      </c>
      <c r="E31" s="2">
        <v>1.5</v>
      </c>
      <c r="F31" s="1" t="str">
        <f>VLOOKUP(H31,'RM Used'!A:B,2,0)</f>
        <v>3566CS</v>
      </c>
      <c r="G31" s="1" t="str">
        <f>IFERROR(VLOOKUP(F31,'RM Cost'!A:B,2,0),"")</f>
        <v>PEPPERS RED X 5KG</v>
      </c>
      <c r="H31" s="2" t="s">
        <v>1355</v>
      </c>
      <c r="I31" s="1" t="str">
        <f>VLOOKUP(F31,'RM Used'!B:D,3,0)</f>
        <v>RM-FOOD</v>
      </c>
      <c r="J31" s="66">
        <v>0.15</v>
      </c>
      <c r="K31" s="35">
        <f t="shared" si="0"/>
        <v>0.22499999999999998</v>
      </c>
      <c r="L31" s="35">
        <f t="shared" si="1"/>
        <v>0.22499999999999998</v>
      </c>
      <c r="M31" s="77" cm="1">
        <f t="array" ref="M31">_xlfn.IFS(BOM!I31="RM-PACKING","100%",B31="Reynolds",VLOOKUP(H31,'Yield &amp; Time'!A:V,22,0),BOM!B31="Dnata",VLOOKUP(BOM!H31,'Yield &amp; Time'!A:M,13,0),B31="NK",VLOOKUP(H31,'Yield &amp; Time'!A:X,24,0))</f>
        <v>0.69679992348890596</v>
      </c>
      <c r="N31" s="35">
        <f t="shared" si="2"/>
        <v>0.32290474268914338</v>
      </c>
      <c r="O31" s="1" t="str">
        <f>VLOOKUP(H31,'RM Used'!A:E,5,0)</f>
        <v>KG</v>
      </c>
      <c r="P31" s="11">
        <f>VLOOKUP(H31,'RM Used'!A:F,6,0)</f>
        <v>1.72</v>
      </c>
      <c r="Q31" s="11">
        <f t="shared" si="11"/>
        <v>0.55539615742532655</v>
      </c>
      <c r="R31" s="11">
        <f>IFERROR(IF(B31="Reynolds",VLOOKUP(H31,'Yield &amp; Time'!A:U,21,0),VLOOKUP(H31,'Yield &amp; Time'!A:L,12,0)),0)</f>
        <v>1.4647664250073889</v>
      </c>
      <c r="S31" s="11">
        <f t="shared" si="3"/>
        <v>0.11156027284462525</v>
      </c>
      <c r="T31" s="11">
        <f t="shared" si="4"/>
        <v>5.4928740937777078E-3</v>
      </c>
      <c r="U31" s="11">
        <f>IF(A30=A31,0,VLOOKUP(A31,'Packing Time'!A:F,6,0))</f>
        <v>0</v>
      </c>
      <c r="V31" s="11">
        <f t="shared" si="12"/>
        <v>0</v>
      </c>
      <c r="W31" s="11">
        <f t="shared" si="13"/>
        <v>0</v>
      </c>
      <c r="X31" s="11">
        <f t="shared" si="5"/>
        <v>0.17849643655140041</v>
      </c>
      <c r="Y31" s="11">
        <f t="shared" si="14"/>
        <v>0.17849643655140041</v>
      </c>
      <c r="Z31" s="37">
        <v>1</v>
      </c>
      <c r="AA31" s="36">
        <f t="shared" si="6"/>
        <v>0.32290474268914338</v>
      </c>
      <c r="AB31" s="36">
        <f t="shared" si="7"/>
        <v>0.55539615742532655</v>
      </c>
      <c r="AC31" s="11">
        <f t="shared" si="8"/>
        <v>8.7885985500443329E-3</v>
      </c>
      <c r="AD31" s="36">
        <f t="shared" si="15"/>
        <v>0.17849643655140041</v>
      </c>
      <c r="AE31" s="36" t="str">
        <f>VLOOKUP(H31,'Yield &amp; Time'!A:R,18,0)</f>
        <v>CHLORINE</v>
      </c>
      <c r="AF31" s="36">
        <f>IFERROR(VLOOKUP(AE31,'Chemical Cost'!A:D,4,0),0)</f>
        <v>2.7756518066439469E-2</v>
      </c>
      <c r="AG31" s="114">
        <f t="shared" si="9"/>
        <v>2.9875704413967318E-3</v>
      </c>
      <c r="AH31" s="36">
        <f t="shared" si="16"/>
        <v>2.9875704413967318E-3</v>
      </c>
      <c r="AI31" s="36">
        <f t="shared" si="17"/>
        <v>0.73688016441812365</v>
      </c>
      <c r="AJ31" s="36">
        <f>IFERROR(VLOOKUP(A31,'All Products'!A:F,6,0),0)</f>
        <v>6.84</v>
      </c>
      <c r="AK31" s="36">
        <f t="shared" si="18"/>
        <v>1.026</v>
      </c>
      <c r="AL31" s="23">
        <v>0.8</v>
      </c>
      <c r="AM31" s="23">
        <v>0.2</v>
      </c>
      <c r="AN31" s="54" t="e">
        <v>#N/A</v>
      </c>
      <c r="AO31" s="47"/>
      <c r="AP31" s="4">
        <v>1.6</v>
      </c>
      <c r="AQ31" s="111">
        <f t="shared" si="10"/>
        <v>8.7885985500443329E-3</v>
      </c>
      <c r="AR31">
        <f>_xlfn.XLOOKUP(F31,'RM Cost'!A:A,'RM Cost'!S:S)</f>
        <v>0</v>
      </c>
      <c r="AS31" t="e">
        <f>_xlfn.XLOOKUP(A31,[3]Sheet1!$B:$B,[3]Sheet1!$B:$B)</f>
        <v>#N/A</v>
      </c>
    </row>
    <row r="32" spans="1:46" x14ac:dyDescent="0.25">
      <c r="A32" s="2" t="s">
        <v>27</v>
      </c>
      <c r="B32" s="2" t="s">
        <v>552</v>
      </c>
      <c r="C32" s="2" t="s">
        <v>28</v>
      </c>
      <c r="D32" s="2" t="s">
        <v>554</v>
      </c>
      <c r="E32" s="2">
        <v>1.5</v>
      </c>
      <c r="F32" s="1" t="str">
        <f>VLOOKUP(H32,'RM Used'!A:B,2,0)</f>
        <v>0930CS</v>
      </c>
      <c r="G32" s="1" t="str">
        <f>IFERROR(VLOOKUP(F32,'RM Cost'!A:B,2,0),"")</f>
        <v>RM - COURGETTE STANDARD</v>
      </c>
      <c r="H32" s="2" t="s">
        <v>1356</v>
      </c>
      <c r="I32" s="1" t="str">
        <f>VLOOKUP(F32,'RM Used'!B:D,3,0)</f>
        <v>RM-FOOD</v>
      </c>
      <c r="J32" s="66">
        <v>0.1</v>
      </c>
      <c r="K32" s="35">
        <f t="shared" si="0"/>
        <v>0.15000000000000002</v>
      </c>
      <c r="L32" s="35">
        <f t="shared" si="1"/>
        <v>0.15000000000000002</v>
      </c>
      <c r="M32" s="77" cm="1">
        <f t="array" ref="M32">_xlfn.IFS(BOM!I32="RM-PACKING","100%",B32="Reynolds",VLOOKUP(H32,'Yield &amp; Time'!A:V,22,0),BOM!B32="Dnata",VLOOKUP(BOM!H32,'Yield &amp; Time'!A:M,13,0),B32="NK",VLOOKUP(H32,'Yield &amp; Time'!A:X,24,0))</f>
        <v>0.75000000000000011</v>
      </c>
      <c r="N32" s="35">
        <f t="shared" si="2"/>
        <v>0.2</v>
      </c>
      <c r="O32" s="1" t="str">
        <f>VLOOKUP(H32,'RM Used'!A:E,5,0)</f>
        <v>KG</v>
      </c>
      <c r="P32" s="11">
        <f>VLOOKUP(H32,'RM Used'!A:F,6,0)</f>
        <v>1.1000000000000001</v>
      </c>
      <c r="Q32" s="11">
        <f t="shared" si="11"/>
        <v>0.22000000000000003</v>
      </c>
      <c r="R32" s="11">
        <f>IFERROR(IF(B32="Reynolds",VLOOKUP(H32,'Yield &amp; Time'!A:U,21,0),VLOOKUP(H32,'Yield &amp; Time'!A:L,12,0)),0)</f>
        <v>1.2000000000000002</v>
      </c>
      <c r="S32" s="11">
        <f t="shared" si="3"/>
        <v>6.0930000000000012E-2</v>
      </c>
      <c r="T32" s="11">
        <f t="shared" si="4"/>
        <v>3.0000000000000009E-3</v>
      </c>
      <c r="U32" s="11">
        <f>IF(A31=A32,0,VLOOKUP(A32,'Packing Time'!A:F,6,0))</f>
        <v>0</v>
      </c>
      <c r="V32" s="11">
        <f t="shared" si="12"/>
        <v>0</v>
      </c>
      <c r="W32" s="11">
        <f t="shared" si="13"/>
        <v>0</v>
      </c>
      <c r="X32" s="11">
        <f t="shared" si="5"/>
        <v>9.7488000000000019E-2</v>
      </c>
      <c r="Y32" s="11">
        <f t="shared" si="14"/>
        <v>9.7488000000000019E-2</v>
      </c>
      <c r="Z32" s="37">
        <v>1</v>
      </c>
      <c r="AA32" s="36">
        <f t="shared" si="6"/>
        <v>0.2</v>
      </c>
      <c r="AB32" s="36">
        <f t="shared" si="7"/>
        <v>0.22000000000000003</v>
      </c>
      <c r="AC32" s="11">
        <f t="shared" si="8"/>
        <v>4.8000000000000022E-3</v>
      </c>
      <c r="AD32" s="36">
        <f t="shared" si="15"/>
        <v>9.7488000000000033E-2</v>
      </c>
      <c r="AE32" s="36" t="str">
        <f>VLOOKUP(H32,'Yield &amp; Time'!A:R,18,0)</f>
        <v>CHLORINE</v>
      </c>
      <c r="AF32" s="36">
        <f>IFERROR(VLOOKUP(AE32,'Chemical Cost'!A:D,4,0),0)</f>
        <v>2.7756518066439469E-2</v>
      </c>
      <c r="AG32" s="114">
        <f t="shared" si="9"/>
        <v>1.8504345377626313E-3</v>
      </c>
      <c r="AH32" s="36">
        <f t="shared" si="16"/>
        <v>1.8504345377626313E-3</v>
      </c>
      <c r="AI32" s="36">
        <f t="shared" si="17"/>
        <v>0.31933843453776267</v>
      </c>
      <c r="AJ32" s="36">
        <f>IFERROR(VLOOKUP(A32,'All Products'!A:F,6,0),0)</f>
        <v>6.84</v>
      </c>
      <c r="AK32" s="36">
        <f t="shared" si="18"/>
        <v>0.68400000000000005</v>
      </c>
      <c r="AL32" s="23">
        <v>0.8</v>
      </c>
      <c r="AM32" s="23">
        <v>0.2</v>
      </c>
      <c r="AN32" s="54" t="e">
        <v>#N/A</v>
      </c>
      <c r="AO32" s="47"/>
      <c r="AP32" s="4">
        <v>1.6</v>
      </c>
      <c r="AQ32" s="111">
        <f t="shared" si="10"/>
        <v>4.8000000000000022E-3</v>
      </c>
      <c r="AR32">
        <f>_xlfn.XLOOKUP(F32,'RM Cost'!A:A,'RM Cost'!S:S)</f>
        <v>1.1644775886170367</v>
      </c>
      <c r="AS32" t="e">
        <f>_xlfn.XLOOKUP(A32,[3]Sheet1!$B:$B,[3]Sheet1!$B:$B)</f>
        <v>#N/A</v>
      </c>
    </row>
    <row r="33" spans="1:46" x14ac:dyDescent="0.25">
      <c r="A33" s="2" t="s">
        <v>27</v>
      </c>
      <c r="B33" s="2" t="s">
        <v>552</v>
      </c>
      <c r="C33" s="2" t="s">
        <v>28</v>
      </c>
      <c r="D33" s="2" t="s">
        <v>554</v>
      </c>
      <c r="E33" s="2">
        <v>1.5</v>
      </c>
      <c r="F33" s="1" t="str">
        <f>VLOOKUP(H33,'RM Used'!A:B,2,0)</f>
        <v>3034CS</v>
      </c>
      <c r="G33" s="1" t="str">
        <f>IFERROR(VLOOKUP(F33,'RM Cost'!A:B,2,0),"")</f>
        <v>RM - BROCCOLI 6KG</v>
      </c>
      <c r="H33" s="2" t="s">
        <v>1357</v>
      </c>
      <c r="I33" s="1" t="str">
        <f>VLOOKUP(F33,'RM Used'!B:D,3,0)</f>
        <v>RM-FOOD</v>
      </c>
      <c r="J33" s="66">
        <v>0.1</v>
      </c>
      <c r="K33" s="35">
        <f t="shared" si="0"/>
        <v>0.15000000000000002</v>
      </c>
      <c r="L33" s="35">
        <f t="shared" si="1"/>
        <v>0.15000000000000002</v>
      </c>
      <c r="M33" s="77" cm="1">
        <f t="array" ref="M33">_xlfn.IFS(BOM!I33="RM-PACKING","100%",B33="Reynolds",VLOOKUP(H33,'Yield &amp; Time'!A:V,22,0),BOM!B33="Dnata",VLOOKUP(BOM!H33,'Yield &amp; Time'!A:M,13,0),B33="NK",VLOOKUP(H33,'Yield &amp; Time'!A:X,24,0))</f>
        <v>0.57999999999999996</v>
      </c>
      <c r="N33" s="35">
        <f t="shared" si="2"/>
        <v>0.25862068965517249</v>
      </c>
      <c r="O33" s="1" t="str">
        <f>VLOOKUP(H33,'RM Used'!A:E,5,0)</f>
        <v>KG</v>
      </c>
      <c r="P33" s="11">
        <f>VLOOKUP(H33,'RM Used'!A:F,6,0)</f>
        <v>1.02</v>
      </c>
      <c r="Q33" s="11">
        <f t="shared" si="11"/>
        <v>0.26379310344827595</v>
      </c>
      <c r="R33" s="11">
        <f>IFERROR(IF(B33="Reynolds",VLOOKUP(H33,'Yield &amp; Time'!A:U,21,0),VLOOKUP(H33,'Yield &amp; Time'!A:L,12,0)),0)</f>
        <v>2.7</v>
      </c>
      <c r="S33" s="11">
        <f t="shared" si="3"/>
        <v>0.13709250000000001</v>
      </c>
      <c r="T33" s="11">
        <f t="shared" si="4"/>
        <v>6.7500000000000008E-3</v>
      </c>
      <c r="U33" s="11">
        <f>IF(A32=A33,0,VLOOKUP(A33,'Packing Time'!A:F,6,0))</f>
        <v>0</v>
      </c>
      <c r="V33" s="11">
        <f t="shared" si="12"/>
        <v>0</v>
      </c>
      <c r="W33" s="11">
        <f t="shared" si="13"/>
        <v>0</v>
      </c>
      <c r="X33" s="11">
        <f t="shared" si="5"/>
        <v>0.21934800000000002</v>
      </c>
      <c r="Y33" s="11">
        <f t="shared" si="14"/>
        <v>0.21934800000000002</v>
      </c>
      <c r="Z33" s="37">
        <v>1</v>
      </c>
      <c r="AA33" s="36">
        <f t="shared" si="6"/>
        <v>0.25862068965517249</v>
      </c>
      <c r="AB33" s="36">
        <f t="shared" si="7"/>
        <v>0.26379310344827595</v>
      </c>
      <c r="AC33" s="11">
        <f t="shared" si="8"/>
        <v>1.0800000000000002E-2</v>
      </c>
      <c r="AD33" s="36">
        <f t="shared" si="15"/>
        <v>0.21934800000000002</v>
      </c>
      <c r="AE33" s="36"/>
      <c r="AF33" s="36">
        <f>IFERROR(VLOOKUP(AE33,'Chemical Cost'!A:D,4,0),0)</f>
        <v>0</v>
      </c>
      <c r="AG33" s="114">
        <f t="shared" si="9"/>
        <v>0</v>
      </c>
      <c r="AH33" s="36">
        <f t="shared" si="16"/>
        <v>0</v>
      </c>
      <c r="AI33" s="36">
        <f t="shared" si="17"/>
        <v>0.48314110344827599</v>
      </c>
      <c r="AJ33" s="36">
        <f>IFERROR(VLOOKUP(A33,'All Products'!A:F,6,0),0)</f>
        <v>6.84</v>
      </c>
      <c r="AK33" s="36">
        <f t="shared" si="18"/>
        <v>0.68400000000000005</v>
      </c>
      <c r="AL33" s="23">
        <v>0.8</v>
      </c>
      <c r="AM33" s="23">
        <v>0.2</v>
      </c>
      <c r="AN33" s="54" t="e">
        <v>#N/A</v>
      </c>
      <c r="AO33" s="47"/>
      <c r="AP33" s="4">
        <v>1.6</v>
      </c>
      <c r="AQ33" s="111">
        <f t="shared" si="10"/>
        <v>1.0800000000000002E-2</v>
      </c>
      <c r="AR33">
        <f>_xlfn.XLOOKUP(F33,'RM Cost'!A:A,'RM Cost'!S:S)</f>
        <v>0</v>
      </c>
      <c r="AS33" t="e">
        <f>_xlfn.XLOOKUP(A33,[3]Sheet1!$B:$B,[3]Sheet1!$B:$B)</f>
        <v>#N/A</v>
      </c>
    </row>
    <row r="34" spans="1:46" x14ac:dyDescent="0.25">
      <c r="A34" s="2" t="s">
        <v>27</v>
      </c>
      <c r="B34" s="2" t="s">
        <v>552</v>
      </c>
      <c r="C34" s="2" t="s">
        <v>28</v>
      </c>
      <c r="D34" s="2" t="s">
        <v>554</v>
      </c>
      <c r="E34" s="2">
        <v>1.5</v>
      </c>
      <c r="F34" s="1" t="str">
        <f>VLOOKUP(H34,'RM Used'!A:B,2,0)</f>
        <v>120ACS</v>
      </c>
      <c r="G34" s="1" t="str">
        <f>IFERROR(VLOOKUP(F34,'RM Cost'!A:B,2,0),"")</f>
        <v>RM - BEANS EXTRA FINE PREMIUM 1.5KG</v>
      </c>
      <c r="H34" s="2" t="s">
        <v>1358</v>
      </c>
      <c r="I34" s="1" t="str">
        <f>VLOOKUP(F34,'RM Used'!B:D,3,0)</f>
        <v>RM-FOOD</v>
      </c>
      <c r="J34" s="66">
        <v>0.05</v>
      </c>
      <c r="K34" s="35">
        <f t="shared" si="0"/>
        <v>7.5000000000000011E-2</v>
      </c>
      <c r="L34" s="35">
        <f t="shared" si="1"/>
        <v>7.5000000000000011E-2</v>
      </c>
      <c r="M34" s="77" cm="1">
        <f t="array" ref="M34">_xlfn.IFS(BOM!I34="RM-PACKING","100%",B34="Reynolds",VLOOKUP(H34,'Yield &amp; Time'!A:V,22,0),BOM!B34="Dnata",VLOOKUP(BOM!H34,'Yield &amp; Time'!A:M,13,0),B34="NK",VLOOKUP(H34,'Yield &amp; Time'!A:X,24,0))</f>
        <v>0.74</v>
      </c>
      <c r="N34" s="35">
        <f t="shared" si="2"/>
        <v>0.10135135135135137</v>
      </c>
      <c r="O34" s="1" t="str">
        <f>VLOOKUP(H34,'RM Used'!A:E,5,0)</f>
        <v>KG</v>
      </c>
      <c r="P34" s="11" t="e">
        <f>VLOOKUP(H34,'RM Used'!A:F,6,0)</f>
        <v>#N/A</v>
      </c>
      <c r="Q34" s="11" t="e">
        <f t="shared" si="11"/>
        <v>#N/A</v>
      </c>
      <c r="R34" s="11">
        <f>IFERROR(IF(B34="Reynolds",VLOOKUP(H34,'Yield &amp; Time'!A:U,21,0),VLOOKUP(H34,'Yield &amp; Time'!A:L,12,0)),0)</f>
        <v>12.387387387387387</v>
      </c>
      <c r="S34" s="11">
        <f t="shared" si="3"/>
        <v>0.31448479729729728</v>
      </c>
      <c r="T34" s="11">
        <f t="shared" si="4"/>
        <v>1.5484234234234234E-2</v>
      </c>
      <c r="U34" s="11">
        <f>IF(A33=A34,0,VLOOKUP(A34,'Packing Time'!A:F,6,0))</f>
        <v>0</v>
      </c>
      <c r="V34" s="11">
        <f t="shared" si="12"/>
        <v>0</v>
      </c>
      <c r="W34" s="11">
        <f t="shared" si="13"/>
        <v>0</v>
      </c>
      <c r="X34" s="11">
        <f t="shared" si="5"/>
        <v>0.50317567567567567</v>
      </c>
      <c r="Y34" s="11">
        <f t="shared" si="14"/>
        <v>0.50317567567567567</v>
      </c>
      <c r="Z34" s="37">
        <v>1</v>
      </c>
      <c r="AA34" s="36">
        <f t="shared" si="6"/>
        <v>0.10135135135135137</v>
      </c>
      <c r="AB34" s="36" t="e">
        <f t="shared" si="7"/>
        <v>#N/A</v>
      </c>
      <c r="AC34" s="11">
        <f t="shared" si="8"/>
        <v>2.4774774774774775E-2</v>
      </c>
      <c r="AD34" s="36">
        <f t="shared" si="15"/>
        <v>0.50317567567567556</v>
      </c>
      <c r="AE34" s="36"/>
      <c r="AF34" s="36">
        <f>IFERROR(VLOOKUP(AE34,'Chemical Cost'!A:D,4,0),0)</f>
        <v>0</v>
      </c>
      <c r="AG34" s="114">
        <f t="shared" si="9"/>
        <v>0</v>
      </c>
      <c r="AH34" s="36">
        <f t="shared" si="16"/>
        <v>0</v>
      </c>
      <c r="AI34" s="36">
        <f t="shared" si="17"/>
        <v>0</v>
      </c>
      <c r="AJ34" s="36">
        <f>IFERROR(VLOOKUP(A34,'All Products'!A:F,6,0),0)</f>
        <v>6.84</v>
      </c>
      <c r="AK34" s="36">
        <f t="shared" si="18"/>
        <v>0.34200000000000003</v>
      </c>
      <c r="AL34" s="23">
        <v>0.8</v>
      </c>
      <c r="AM34" s="23">
        <v>0.2</v>
      </c>
      <c r="AN34" s="54" t="e">
        <v>#N/A</v>
      </c>
      <c r="AO34" s="47"/>
      <c r="AP34" s="4">
        <v>1.6</v>
      </c>
      <c r="AQ34" s="111">
        <f t="shared" si="10"/>
        <v>2.4774774774774775E-2</v>
      </c>
      <c r="AR34">
        <f>_xlfn.XLOOKUP(F34,'RM Cost'!A:A,'RM Cost'!S:S)</f>
        <v>0</v>
      </c>
      <c r="AS34" t="e">
        <f>_xlfn.XLOOKUP(A34,[3]Sheet1!$B:$B,[3]Sheet1!$B:$B)</f>
        <v>#N/A</v>
      </c>
    </row>
    <row r="35" spans="1:46" x14ac:dyDescent="0.25">
      <c r="A35" s="2" t="s">
        <v>27</v>
      </c>
      <c r="B35" s="2" t="s">
        <v>552</v>
      </c>
      <c r="C35" s="2" t="s">
        <v>28</v>
      </c>
      <c r="D35" s="2" t="s">
        <v>554</v>
      </c>
      <c r="E35" s="2">
        <v>1.5</v>
      </c>
      <c r="F35" s="1" t="str">
        <f>VLOOKUP(H35,'RM Used'!A:B,2,0)</f>
        <v>3138CS</v>
      </c>
      <c r="G35" s="1" t="str">
        <f>IFERROR(VLOOKUP(F35,'RM Cost'!A:B,2,0),"")</f>
        <v>RM - MANGETOUT 2KG</v>
      </c>
      <c r="H35" s="2" t="s">
        <v>1359</v>
      </c>
      <c r="I35" s="1" t="str">
        <f>VLOOKUP(F35,'RM Used'!B:D,3,0)</f>
        <v>RM-FOOD</v>
      </c>
      <c r="J35" s="66">
        <v>0.05</v>
      </c>
      <c r="K35" s="35">
        <f t="shared" si="0"/>
        <v>7.5000000000000011E-2</v>
      </c>
      <c r="L35" s="35">
        <f t="shared" si="1"/>
        <v>7.5000000000000011E-2</v>
      </c>
      <c r="M35" s="77" cm="1">
        <f t="array" ref="M35">_xlfn.IFS(BOM!I35="RM-PACKING","100%",B35="Reynolds",VLOOKUP(H35,'Yield &amp; Time'!A:V,22,0),BOM!B35="Dnata",VLOOKUP(BOM!H35,'Yield &amp; Time'!A:M,13,0),B35="NK",VLOOKUP(H35,'Yield &amp; Time'!A:X,24,0))</f>
        <v>1</v>
      </c>
      <c r="N35" s="35">
        <f t="shared" si="2"/>
        <v>7.5000000000000011E-2</v>
      </c>
      <c r="O35" s="1" t="str">
        <f>VLOOKUP(H35,'RM Used'!A:E,5,0)</f>
        <v>KG</v>
      </c>
      <c r="P35" s="11">
        <f>VLOOKUP(H35,'RM Used'!A:F,6,0)</f>
        <v>4.13</v>
      </c>
      <c r="Q35" s="11">
        <f t="shared" si="11"/>
        <v>0.30975000000000003</v>
      </c>
      <c r="R35" s="11">
        <f>IFERROR(IF(B35="Reynolds",VLOOKUP(H35,'Yield &amp; Time'!A:U,21,0),VLOOKUP(H35,'Yield &amp; Time'!A:L,12,0)),0)</f>
        <v>0</v>
      </c>
      <c r="S35" s="11">
        <f t="shared" si="3"/>
        <v>0</v>
      </c>
      <c r="T35" s="11">
        <f t="shared" si="4"/>
        <v>0</v>
      </c>
      <c r="U35" s="11">
        <f>IF(A34=A35,0,VLOOKUP(A35,'Packing Time'!A:F,6,0))</f>
        <v>0</v>
      </c>
      <c r="V35" s="11">
        <f t="shared" si="12"/>
        <v>0</v>
      </c>
      <c r="W35" s="11">
        <f t="shared" si="13"/>
        <v>0</v>
      </c>
      <c r="X35" s="11">
        <f t="shared" si="5"/>
        <v>0</v>
      </c>
      <c r="Y35" s="11">
        <f t="shared" si="14"/>
        <v>0</v>
      </c>
      <c r="Z35" s="37">
        <v>1</v>
      </c>
      <c r="AA35" s="36">
        <f t="shared" si="6"/>
        <v>7.5000000000000011E-2</v>
      </c>
      <c r="AB35" s="36">
        <f t="shared" si="7"/>
        <v>0.30975000000000003</v>
      </c>
      <c r="AC35" s="11">
        <f t="shared" si="8"/>
        <v>0</v>
      </c>
      <c r="AD35" s="36">
        <f t="shared" si="15"/>
        <v>0</v>
      </c>
      <c r="AE35" s="36"/>
      <c r="AF35" s="36">
        <f>IFERROR(VLOOKUP(AE35,'Chemical Cost'!A:D,4,0),0)</f>
        <v>0</v>
      </c>
      <c r="AG35" s="114">
        <f t="shared" si="9"/>
        <v>0</v>
      </c>
      <c r="AH35" s="36">
        <f t="shared" si="16"/>
        <v>0</v>
      </c>
      <c r="AI35" s="36">
        <f t="shared" si="17"/>
        <v>0.30975000000000003</v>
      </c>
      <c r="AJ35" s="36">
        <f>IFERROR(VLOOKUP(A35,'All Products'!A:F,6,0),0)</f>
        <v>6.84</v>
      </c>
      <c r="AK35" s="36">
        <f t="shared" si="18"/>
        <v>0.34200000000000003</v>
      </c>
      <c r="AL35" s="23">
        <v>0.8</v>
      </c>
      <c r="AM35" s="23">
        <v>0.2</v>
      </c>
      <c r="AN35" s="54" t="e">
        <v>#N/A</v>
      </c>
      <c r="AO35" s="47"/>
      <c r="AP35" s="4">
        <v>1.6</v>
      </c>
      <c r="AQ35" s="111">
        <f t="shared" si="10"/>
        <v>0</v>
      </c>
      <c r="AR35">
        <f>_xlfn.XLOOKUP(F35,'RM Cost'!A:A,'RM Cost'!S:S)</f>
        <v>0</v>
      </c>
      <c r="AS35" t="e">
        <f>_xlfn.XLOOKUP(A35,[3]Sheet1!$B:$B,[3]Sheet1!$B:$B)</f>
        <v>#N/A</v>
      </c>
    </row>
    <row r="36" spans="1:46" x14ac:dyDescent="0.25">
      <c r="A36" s="2" t="s">
        <v>27</v>
      </c>
      <c r="B36" s="2" t="s">
        <v>552</v>
      </c>
      <c r="C36" s="2" t="s">
        <v>28</v>
      </c>
      <c r="D36" s="2" t="s">
        <v>554</v>
      </c>
      <c r="E36" s="2">
        <v>1.5</v>
      </c>
      <c r="F36" s="1" t="str">
        <f>VLOOKUP(H36,'RM Used'!A:B,2,0)</f>
        <v>P0020</v>
      </c>
      <c r="G36" s="1" t="str">
        <f>IFERROR(VLOOKUP(F36,'RM Cost'!A:B,2,0),"")</f>
        <v>PALE BLUE BAG 430X430MM</v>
      </c>
      <c r="H36" s="2" t="s">
        <v>1659</v>
      </c>
      <c r="I36" s="1" t="str">
        <f>VLOOKUP(F36,'RM Used'!B:D,3,0)</f>
        <v>RM-PACKING</v>
      </c>
      <c r="J36" s="66">
        <v>1</v>
      </c>
      <c r="K36" s="35" t="str">
        <f t="shared" si="0"/>
        <v/>
      </c>
      <c r="L36" s="35">
        <f t="shared" si="1"/>
        <v>0</v>
      </c>
      <c r="M36" s="77" t="str" cm="1">
        <f t="array" ref="M36">_xlfn.IFS(BOM!I36="RM-PACKING","100%",B36="Reynolds",VLOOKUP(H36,'Yield &amp; Time'!A:V,22,0),BOM!B36="Dnata",VLOOKUP(BOM!H36,'Yield &amp; Time'!A:M,13,0),B36="NK",VLOOKUP(H36,'Yield &amp; Time'!A:X,24,0))</f>
        <v>100%</v>
      </c>
      <c r="N36" s="35">
        <f t="shared" si="2"/>
        <v>1</v>
      </c>
      <c r="O36" s="1" t="str">
        <f>VLOOKUP(H36,'RM Used'!A:E,5,0)</f>
        <v>Count</v>
      </c>
      <c r="P36" s="11">
        <f>VLOOKUP(H36,'RM Used'!A:F,6,0)</f>
        <v>0.09</v>
      </c>
      <c r="Q36" s="11">
        <f t="shared" si="11"/>
        <v>0.09</v>
      </c>
      <c r="R36" s="11">
        <f>IFERROR(IF(B36="Reynolds",VLOOKUP(H36,'Yield &amp; Time'!A:U,21,0),VLOOKUP(H36,'Yield &amp; Time'!A:L,12,0)),0)</f>
        <v>0</v>
      </c>
      <c r="S36" s="11">
        <f t="shared" si="3"/>
        <v>0</v>
      </c>
      <c r="T36" s="11">
        <f t="shared" si="4"/>
        <v>0</v>
      </c>
      <c r="U36" s="11">
        <f>IF(A35=A36,0,VLOOKUP(A36,'Packing Time'!A:F,6,0))</f>
        <v>0</v>
      </c>
      <c r="V36" s="11">
        <f t="shared" si="12"/>
        <v>0</v>
      </c>
      <c r="W36" s="11">
        <f t="shared" si="13"/>
        <v>0</v>
      </c>
      <c r="X36" s="11">
        <f t="shared" si="5"/>
        <v>0</v>
      </c>
      <c r="Y36" s="11">
        <f t="shared" si="14"/>
        <v>0</v>
      </c>
      <c r="Z36" s="37">
        <v>1</v>
      </c>
      <c r="AA36" s="36">
        <f t="shared" si="6"/>
        <v>1</v>
      </c>
      <c r="AB36" s="36">
        <f t="shared" si="7"/>
        <v>0.09</v>
      </c>
      <c r="AC36" s="11">
        <f t="shared" si="8"/>
        <v>0</v>
      </c>
      <c r="AD36" s="36">
        <f t="shared" si="15"/>
        <v>0</v>
      </c>
      <c r="AE36" s="36"/>
      <c r="AF36" s="36">
        <f>IFERROR(VLOOKUP(AE36,'Chemical Cost'!A:D,4,0),0)</f>
        <v>0</v>
      </c>
      <c r="AG36" s="114">
        <f t="shared" si="9"/>
        <v>0</v>
      </c>
      <c r="AH36" s="36">
        <f t="shared" si="16"/>
        <v>0</v>
      </c>
      <c r="AI36" s="36">
        <f t="shared" si="17"/>
        <v>0.09</v>
      </c>
      <c r="AJ36" s="36">
        <f>IFERROR(VLOOKUP(A36,'All Products'!A:F,6,0),0)</f>
        <v>6.84</v>
      </c>
      <c r="AK36" s="36"/>
      <c r="AL36" s="23">
        <v>1</v>
      </c>
      <c r="AM36" s="23"/>
      <c r="AN36" s="54" t="e">
        <v>#N/A</v>
      </c>
      <c r="AO36" s="47"/>
      <c r="AP36" s="4">
        <v>1.6</v>
      </c>
      <c r="AQ36" s="111">
        <f t="shared" si="10"/>
        <v>0</v>
      </c>
      <c r="AR36">
        <f>_xlfn.XLOOKUP(F36,'RM Cost'!A:A,'RM Cost'!S:S)</f>
        <v>0</v>
      </c>
      <c r="AS36" t="e">
        <f>_xlfn.XLOOKUP(A36,[3]Sheet1!$B:$B,[3]Sheet1!$B:$B)</f>
        <v>#N/A</v>
      </c>
    </row>
    <row r="37" spans="1:46" x14ac:dyDescent="0.25">
      <c r="A37" s="2" t="s">
        <v>27</v>
      </c>
      <c r="B37" s="2" t="s">
        <v>552</v>
      </c>
      <c r="C37" s="2" t="s">
        <v>28</v>
      </c>
      <c r="D37" s="2" t="s">
        <v>554</v>
      </c>
      <c r="E37" s="2">
        <v>1.5</v>
      </c>
      <c r="F37" s="1" t="str">
        <f>VLOOKUP(H37,'RM Used'!A:B,2,0)</f>
        <v>P0016</v>
      </c>
      <c r="G37" s="1" t="str">
        <f>IFERROR(VLOOKUP(F37,'RM Cost'!A:B,2,0),"")</f>
        <v>REY 40 30 BOX</v>
      </c>
      <c r="H37" s="2" t="s">
        <v>1332</v>
      </c>
      <c r="I37" s="1" t="str">
        <f>VLOOKUP(F37,'RM Used'!B:D,3,0)</f>
        <v>RM-PACKING</v>
      </c>
      <c r="J37" s="66">
        <v>1</v>
      </c>
      <c r="K37" s="35" t="str">
        <f t="shared" si="0"/>
        <v/>
      </c>
      <c r="L37" s="35">
        <f t="shared" si="1"/>
        <v>0</v>
      </c>
      <c r="M37" s="77" t="str" cm="1">
        <f t="array" ref="M37">_xlfn.IFS(BOM!I37="RM-PACKING","100%",B37="Reynolds",VLOOKUP(H37,'Yield &amp; Time'!A:V,22,0),BOM!B37="Dnata",VLOOKUP(BOM!H37,'Yield &amp; Time'!A:M,13,0),B37="NK",VLOOKUP(H37,'Yield &amp; Time'!A:X,24,0))</f>
        <v>100%</v>
      </c>
      <c r="N37" s="35">
        <f t="shared" si="2"/>
        <v>1</v>
      </c>
      <c r="O37" s="1" t="str">
        <f>VLOOKUP(H37,'RM Used'!A:E,5,0)</f>
        <v>Count</v>
      </c>
      <c r="P37" s="11">
        <f>VLOOKUP(H37,'RM Used'!A:F,6,0)</f>
        <v>0.28000000000000003</v>
      </c>
      <c r="Q37" s="11">
        <f t="shared" si="11"/>
        <v>0.28000000000000003</v>
      </c>
      <c r="R37" s="11">
        <f>IFERROR(IF(B37="Reynolds",VLOOKUP(H37,'Yield &amp; Time'!A:U,21,0),VLOOKUP(H37,'Yield &amp; Time'!A:L,12,0)),0)</f>
        <v>0</v>
      </c>
      <c r="S37" s="11">
        <f t="shared" si="3"/>
        <v>0</v>
      </c>
      <c r="T37" s="11">
        <f t="shared" si="4"/>
        <v>0</v>
      </c>
      <c r="U37" s="11">
        <f>IF(A36=A37,0,VLOOKUP(A37,'Packing Time'!A:F,6,0))</f>
        <v>0</v>
      </c>
      <c r="V37" s="11">
        <f t="shared" si="12"/>
        <v>0</v>
      </c>
      <c r="W37" s="11">
        <f t="shared" si="13"/>
        <v>0</v>
      </c>
      <c r="X37" s="11">
        <f t="shared" si="5"/>
        <v>0</v>
      </c>
      <c r="Y37" s="11">
        <f t="shared" si="14"/>
        <v>0</v>
      </c>
      <c r="Z37" s="37">
        <v>1</v>
      </c>
      <c r="AA37" s="36">
        <f t="shared" si="6"/>
        <v>1</v>
      </c>
      <c r="AB37" s="36">
        <f t="shared" si="7"/>
        <v>0.28000000000000003</v>
      </c>
      <c r="AC37" s="11">
        <f t="shared" si="8"/>
        <v>0</v>
      </c>
      <c r="AD37" s="36">
        <f t="shared" si="15"/>
        <v>0</v>
      </c>
      <c r="AE37" s="36"/>
      <c r="AF37" s="36">
        <f>IFERROR(VLOOKUP(AE37,'Chemical Cost'!A:D,4,0),0)</f>
        <v>0</v>
      </c>
      <c r="AG37" s="114">
        <f t="shared" si="9"/>
        <v>0</v>
      </c>
      <c r="AH37" s="36">
        <f t="shared" si="16"/>
        <v>0</v>
      </c>
      <c r="AI37" s="36">
        <f t="shared" si="17"/>
        <v>0.28000000000000003</v>
      </c>
      <c r="AJ37" s="36">
        <f>IFERROR(VLOOKUP(A37,'All Products'!A:F,6,0),0)</f>
        <v>6.84</v>
      </c>
      <c r="AK37" s="36"/>
      <c r="AL37" s="23">
        <v>1</v>
      </c>
      <c r="AM37" s="23"/>
      <c r="AN37" s="54" t="e">
        <v>#N/A</v>
      </c>
      <c r="AO37" s="47"/>
      <c r="AP37" s="4">
        <v>1.6</v>
      </c>
      <c r="AQ37" s="111">
        <f t="shared" si="10"/>
        <v>0</v>
      </c>
      <c r="AR37">
        <f>_xlfn.XLOOKUP(F37,'RM Cost'!A:A,'RM Cost'!S:S)</f>
        <v>0</v>
      </c>
      <c r="AS37" t="e">
        <f>_xlfn.XLOOKUP(A37,[3]Sheet1!$B:$B,[3]Sheet1!$B:$B)</f>
        <v>#N/A</v>
      </c>
    </row>
    <row r="38" spans="1:46" x14ac:dyDescent="0.25">
      <c r="A38" s="2" t="s">
        <v>75</v>
      </c>
      <c r="B38" s="2" t="s">
        <v>552</v>
      </c>
      <c r="C38" s="2" t="s">
        <v>570</v>
      </c>
      <c r="D38" s="2" t="s">
        <v>554</v>
      </c>
      <c r="E38" s="2">
        <v>2</v>
      </c>
      <c r="F38" s="1" t="str">
        <f>VLOOKUP(H38,'RM Used'!A:B,2,0)</f>
        <v>S3998CS</v>
      </c>
      <c r="G38" s="1" t="str">
        <f>IFERROR(VLOOKUP(F38,'RM Cost'!A:B,2,0),"")</f>
        <v>RM - DECORED RED CABBAGE 1/3 1200KG</v>
      </c>
      <c r="H38" s="2" t="s">
        <v>1360</v>
      </c>
      <c r="I38" s="1" t="str">
        <f>VLOOKUP(F38,'RM Used'!B:D,3,0)</f>
        <v>RM-FOOD</v>
      </c>
      <c r="J38" s="66">
        <v>0.8</v>
      </c>
      <c r="K38" s="35">
        <f t="shared" si="0"/>
        <v>1.6</v>
      </c>
      <c r="L38" s="35">
        <f t="shared" si="1"/>
        <v>1.6</v>
      </c>
      <c r="M38" s="77" cm="1">
        <f t="array" ref="M38">_xlfn.IFS(BOM!I38="RM-PACKING","100%",B38="Reynolds",VLOOKUP(H38,'Yield &amp; Time'!A:V,22,0),BOM!B38="Dnata",VLOOKUP(BOM!H38,'Yield &amp; Time'!A:M,13,0),B38="NK",VLOOKUP(H38,'Yield &amp; Time'!A:X,24,0))</f>
        <v>0.70079999999999998</v>
      </c>
      <c r="N38" s="35">
        <f t="shared" si="2"/>
        <v>2.2831050228310503</v>
      </c>
      <c r="O38" s="1" t="str">
        <f>VLOOKUP(H38,'RM Used'!A:E,5,0)</f>
        <v>KG</v>
      </c>
      <c r="P38" s="11">
        <f>VLOOKUP(H38,'RM Used'!A:F,6,0)</f>
        <v>0.38</v>
      </c>
      <c r="Q38" s="11">
        <f t="shared" si="11"/>
        <v>0.86757990867579915</v>
      </c>
      <c r="R38" s="11">
        <f>IFERROR(IF(B38="Reynolds",VLOOKUP(H38,'Yield &amp; Time'!A:U,21,0),VLOOKUP(H38,'Yield &amp; Time'!A:L,12,0)),0)</f>
        <v>0.89425536255080118</v>
      </c>
      <c r="S38" s="11">
        <f t="shared" si="3"/>
        <v>0.48432870435751391</v>
      </c>
      <c r="T38" s="11">
        <f t="shared" si="4"/>
        <v>2.3846809668021367E-2</v>
      </c>
      <c r="U38" s="11">
        <f>IF(A37=A38,0,VLOOKUP(A38,'Packing Time'!A:F,6,0))</f>
        <v>0.875</v>
      </c>
      <c r="V38" s="11">
        <f t="shared" si="12"/>
        <v>0.29618749999999999</v>
      </c>
      <c r="W38" s="11">
        <f t="shared" si="13"/>
        <v>1.4583333333333334E-2</v>
      </c>
      <c r="X38" s="11">
        <f t="shared" si="5"/>
        <v>0.85856782479326532</v>
      </c>
      <c r="Y38" s="11">
        <f t="shared" si="14"/>
        <v>0.85856782479326532</v>
      </c>
      <c r="Z38" s="37">
        <v>1</v>
      </c>
      <c r="AA38" s="36">
        <f t="shared" si="6"/>
        <v>2.2831050228310503</v>
      </c>
      <c r="AB38" s="36">
        <f t="shared" si="7"/>
        <v>0.86757990867579915</v>
      </c>
      <c r="AC38" s="11">
        <f t="shared" si="8"/>
        <v>4.2273157301490172E-2</v>
      </c>
      <c r="AD38" s="36">
        <f t="shared" si="15"/>
        <v>0.85856782479326532</v>
      </c>
      <c r="AE38" s="36" t="str">
        <f>VLOOKUP(H38,'Yield &amp; Time'!A:R,18,0)</f>
        <v>CHLORINE</v>
      </c>
      <c r="AF38" s="36">
        <f>IFERROR(VLOOKUP(AE38,'Chemical Cost'!A:D,4,0),0)</f>
        <v>2.7756518066439469E-2</v>
      </c>
      <c r="AG38" s="114">
        <f t="shared" si="9"/>
        <v>2.1123681937929583E-2</v>
      </c>
      <c r="AH38" s="36">
        <f t="shared" si="16"/>
        <v>2.1123681937929583E-2</v>
      </c>
      <c r="AI38" s="36">
        <f t="shared" si="17"/>
        <v>1.7472714154069942</v>
      </c>
      <c r="AJ38" s="36">
        <f>IFERROR(VLOOKUP(A38,'All Products'!A:F,6,0),0)</f>
        <v>2.17</v>
      </c>
      <c r="AK38" s="36">
        <f>AJ38*Z38*J38</f>
        <v>1.736</v>
      </c>
      <c r="AL38" s="23">
        <v>0.8</v>
      </c>
      <c r="AM38" s="23">
        <v>0.2</v>
      </c>
      <c r="AN38" s="54" t="e">
        <v>#N/A</v>
      </c>
      <c r="AO38" s="47"/>
      <c r="AP38" s="4">
        <v>1.1000000000000001</v>
      </c>
      <c r="AQ38" s="111">
        <f t="shared" si="10"/>
        <v>4.2273157301490172E-2</v>
      </c>
      <c r="AR38">
        <f>_xlfn.XLOOKUP(F38,'RM Cost'!A:A,'RM Cost'!S:S)</f>
        <v>0.29914853989077506</v>
      </c>
      <c r="AS38" t="str">
        <f>_xlfn.XLOOKUP(A38,[3]Sheet1!$B:$B,[3]Sheet1!$B:$B)</f>
        <v>1180CS</v>
      </c>
      <c r="AT38" t="str">
        <f>_xlfn.XLOOKUP(H38,'Yield &amp; Time'!A:A,'Yield &amp; Time'!O:O)</f>
        <v>Yes</v>
      </c>
    </row>
    <row r="39" spans="1:46" x14ac:dyDescent="0.25">
      <c r="A39" s="2" t="s">
        <v>75</v>
      </c>
      <c r="B39" s="2" t="s">
        <v>552</v>
      </c>
      <c r="C39" s="2" t="s">
        <v>570</v>
      </c>
      <c r="D39" s="2" t="s">
        <v>554</v>
      </c>
      <c r="E39" s="2">
        <v>2</v>
      </c>
      <c r="F39" s="1" t="str">
        <f>VLOOKUP(H39,'RM Used'!A:B,2,0)</f>
        <v>032ACS</v>
      </c>
      <c r="G39" s="1" t="str">
        <f>IFERROR(VLOOKUP(F39,'RM Cost'!A:B,2,0),"")</f>
        <v>RM - LRG PROCESSING CARROT X 1000KG</v>
      </c>
      <c r="H39" s="2" t="s">
        <v>1351</v>
      </c>
      <c r="I39" s="1" t="str">
        <f>VLOOKUP(F39,'RM Used'!B:D,3,0)</f>
        <v>RM-FOOD</v>
      </c>
      <c r="J39" s="66">
        <v>0.2</v>
      </c>
      <c r="K39" s="35">
        <f t="shared" si="0"/>
        <v>0.4</v>
      </c>
      <c r="L39" s="35">
        <f t="shared" si="1"/>
        <v>0.4</v>
      </c>
      <c r="M39" s="77" cm="1">
        <f t="array" ref="M39">_xlfn.IFS(BOM!I39="RM-PACKING","100%",B39="Reynolds",VLOOKUP(H39,'Yield &amp; Time'!A:V,22,0),BOM!B39="Dnata",VLOOKUP(BOM!H39,'Yield &amp; Time'!A:M,13,0),B39="NK",VLOOKUP(H39,'Yield &amp; Time'!A:X,24,0))</f>
        <v>0.75330000000000008</v>
      </c>
      <c r="N39" s="35">
        <f t="shared" si="2"/>
        <v>0.53099694676755604</v>
      </c>
      <c r="O39" s="1" t="str">
        <f>VLOOKUP(H39,'RM Used'!A:E,5,0)</f>
        <v>KG</v>
      </c>
      <c r="P39" s="11">
        <f>VLOOKUP(H39,'RM Used'!A:F,6,0)</f>
        <v>0.38</v>
      </c>
      <c r="Q39" s="11">
        <f t="shared" si="11"/>
        <v>0.2017788397716713</v>
      </c>
      <c r="R39" s="11">
        <f>IFERROR(IF(B39="Reynolds",VLOOKUP(H39,'Yield &amp; Time'!A:U,21,0),VLOOKUP(H39,'Yield &amp; Time'!A:L,12,0)),0)</f>
        <v>0.90531914893617027</v>
      </c>
      <c r="S39" s="11">
        <f t="shared" si="3"/>
        <v>0.12258021276595744</v>
      </c>
      <c r="T39" s="11">
        <f t="shared" si="4"/>
        <v>6.0354609929078023E-3</v>
      </c>
      <c r="U39" s="11">
        <f>IF(A38=A39,0,VLOOKUP(A39,'Packing Time'!A:F,6,0))</f>
        <v>0</v>
      </c>
      <c r="V39" s="11">
        <f t="shared" si="12"/>
        <v>0</v>
      </c>
      <c r="W39" s="11">
        <f t="shared" si="13"/>
        <v>0</v>
      </c>
      <c r="X39" s="11">
        <f t="shared" si="5"/>
        <v>0.13483823404255321</v>
      </c>
      <c r="Y39" s="11">
        <f t="shared" si="14"/>
        <v>0.13483823404255321</v>
      </c>
      <c r="Z39" s="37">
        <v>1</v>
      </c>
      <c r="AA39" s="36">
        <f t="shared" si="6"/>
        <v>0.53099694676755604</v>
      </c>
      <c r="AB39" s="36">
        <f t="shared" si="7"/>
        <v>0.2017788397716713</v>
      </c>
      <c r="AC39" s="11">
        <f t="shared" si="8"/>
        <v>6.6390070921985827E-3</v>
      </c>
      <c r="AD39" s="36">
        <f t="shared" si="15"/>
        <v>0.13483823404255321</v>
      </c>
      <c r="AE39" s="36" t="str">
        <f>VLOOKUP(H39,'Yield &amp; Time'!A:R,18,0)</f>
        <v>CHLORINE</v>
      </c>
      <c r="AF39" s="36">
        <f>IFERROR(VLOOKUP(AE39,'Chemical Cost'!A:D,4,0),0)</f>
        <v>2.7756518066439469E-2</v>
      </c>
      <c r="AG39" s="114">
        <f t="shared" si="9"/>
        <v>4.9128754487259554E-3</v>
      </c>
      <c r="AH39" s="36">
        <f t="shared" si="16"/>
        <v>4.9128754487259554E-3</v>
      </c>
      <c r="AI39" s="36">
        <f t="shared" si="17"/>
        <v>0.34152994926295044</v>
      </c>
      <c r="AJ39" s="36">
        <f>IFERROR(VLOOKUP(A39,'All Products'!A:F,6,0),0)</f>
        <v>2.17</v>
      </c>
      <c r="AK39" s="36">
        <f>AJ39*Z39*J39</f>
        <v>0.434</v>
      </c>
      <c r="AL39" s="23">
        <v>0.8</v>
      </c>
      <c r="AM39" s="23">
        <v>0.2</v>
      </c>
      <c r="AN39" s="54" t="e">
        <v>#N/A</v>
      </c>
      <c r="AO39" s="47"/>
      <c r="AP39" s="4">
        <v>1.1000000000000001</v>
      </c>
      <c r="AQ39" s="111">
        <f t="shared" si="10"/>
        <v>6.6390070921985827E-3</v>
      </c>
      <c r="AR39">
        <f>_xlfn.XLOOKUP(F39,'RM Cost'!A:A,'RM Cost'!S:S)</f>
        <v>0</v>
      </c>
      <c r="AS39" t="str">
        <f>_xlfn.XLOOKUP(A39,[3]Sheet1!$B:$B,[3]Sheet1!$B:$B)</f>
        <v>1180CS</v>
      </c>
      <c r="AT39" t="str">
        <f>_xlfn.XLOOKUP(H39,'Yield &amp; Time'!A:A,'Yield &amp; Time'!O:O)</f>
        <v>Yes</v>
      </c>
    </row>
    <row r="40" spans="1:46" x14ac:dyDescent="0.25">
      <c r="A40" s="2" t="s">
        <v>75</v>
      </c>
      <c r="B40" s="2" t="s">
        <v>552</v>
      </c>
      <c r="C40" s="2" t="s">
        <v>570</v>
      </c>
      <c r="D40" s="2" t="s">
        <v>554</v>
      </c>
      <c r="E40" s="2">
        <v>2</v>
      </c>
      <c r="F40" s="1" t="str">
        <f>VLOOKUP(H40,'RM Used'!A:B,2,0)</f>
        <v>P0001</v>
      </c>
      <c r="G40" s="1" t="str">
        <f>IFERROR(VLOOKUP(F40,'RM Cost'!A:B,2,0),"")</f>
        <v>SOL 30EL # PPLUS 630x1000 BLUE -1</v>
      </c>
      <c r="H40" s="2" t="s">
        <v>4678</v>
      </c>
      <c r="I40" s="1" t="str">
        <f>VLOOKUP(F40,'RM Used'!B:D,3,0)</f>
        <v>RM-PACKING</v>
      </c>
      <c r="J40" s="66">
        <v>1</v>
      </c>
      <c r="K40" s="35" t="str">
        <f t="shared" si="0"/>
        <v/>
      </c>
      <c r="L40" s="35">
        <f t="shared" si="1"/>
        <v>0</v>
      </c>
      <c r="M40" s="77" t="str" cm="1">
        <f t="array" ref="M40">_xlfn.IFS(BOM!I40="RM-PACKING","100%",B40="Reynolds",VLOOKUP(H40,'Yield &amp; Time'!A:V,22,0),BOM!B40="Dnata",VLOOKUP(BOM!H40,'Yield &amp; Time'!A:M,13,0),B40="NK",VLOOKUP(H40,'Yield &amp; Time'!A:X,24,0))</f>
        <v>100%</v>
      </c>
      <c r="N40" s="35">
        <v>2</v>
      </c>
      <c r="O40" s="1" t="str">
        <f>VLOOKUP(H40,'RM Used'!A:E,5,0)</f>
        <v>Count</v>
      </c>
      <c r="P40" s="11">
        <f>VLOOKUP(H40,'RM Used'!A:F,6,0)</f>
        <v>0.08</v>
      </c>
      <c r="Q40" s="11">
        <f t="shared" si="11"/>
        <v>0.16</v>
      </c>
      <c r="R40" s="11">
        <f>IFERROR(IF(B40="Reynolds",VLOOKUP(H40,'Yield &amp; Time'!A:U,21,0),VLOOKUP(H40,'Yield &amp; Time'!A:L,12,0)),0)</f>
        <v>0</v>
      </c>
      <c r="S40" s="11">
        <f t="shared" si="3"/>
        <v>0</v>
      </c>
      <c r="T40" s="11">
        <f t="shared" si="4"/>
        <v>0</v>
      </c>
      <c r="U40" s="11">
        <f>IF(A39=A40,0,VLOOKUP(A40,'Packing Time'!A:F,6,0))</f>
        <v>0</v>
      </c>
      <c r="V40" s="11">
        <f t="shared" si="12"/>
        <v>0</v>
      </c>
      <c r="W40" s="11">
        <f t="shared" si="13"/>
        <v>0</v>
      </c>
      <c r="X40" s="11">
        <f t="shared" si="5"/>
        <v>0</v>
      </c>
      <c r="Y40" s="11">
        <f t="shared" si="14"/>
        <v>0</v>
      </c>
      <c r="Z40" s="37">
        <v>1</v>
      </c>
      <c r="AA40" s="36">
        <f t="shared" si="6"/>
        <v>2</v>
      </c>
      <c r="AB40" s="36">
        <f t="shared" si="7"/>
        <v>0.16</v>
      </c>
      <c r="AC40" s="11">
        <f t="shared" si="8"/>
        <v>0</v>
      </c>
      <c r="AD40" s="36">
        <f t="shared" si="15"/>
        <v>0</v>
      </c>
      <c r="AE40" s="36"/>
      <c r="AF40" s="36">
        <f>IFERROR(VLOOKUP(AE40,'Chemical Cost'!A:D,4,0),0)</f>
        <v>0</v>
      </c>
      <c r="AG40" s="114">
        <f t="shared" si="9"/>
        <v>0</v>
      </c>
      <c r="AH40" s="36">
        <f t="shared" si="16"/>
        <v>0</v>
      </c>
      <c r="AI40" s="36">
        <f t="shared" si="17"/>
        <v>0.16</v>
      </c>
      <c r="AJ40" s="36">
        <f>IFERROR(VLOOKUP(A40,'All Products'!A:F,6,0),0)</f>
        <v>2.17</v>
      </c>
      <c r="AK40" s="36"/>
      <c r="AL40" s="23">
        <v>0.8</v>
      </c>
      <c r="AM40" s="23">
        <v>0.2</v>
      </c>
      <c r="AN40" s="54" t="e">
        <v>#N/A</v>
      </c>
      <c r="AO40" s="47"/>
      <c r="AP40" s="4">
        <v>1.1000000000000001</v>
      </c>
      <c r="AQ40" s="111">
        <f t="shared" si="10"/>
        <v>0</v>
      </c>
      <c r="AR40">
        <f>_xlfn.XLOOKUP(F40,'RM Cost'!A:A,'RM Cost'!S:S)</f>
        <v>0</v>
      </c>
      <c r="AS40" t="str">
        <f>_xlfn.XLOOKUP(A40,[3]Sheet1!$B:$B,[3]Sheet1!$B:$B)</f>
        <v>1180CS</v>
      </c>
      <c r="AT40" t="e">
        <f>_xlfn.XLOOKUP(H40,'Yield &amp; Time'!A:A,'Yield &amp; Time'!F:F)</f>
        <v>#N/A</v>
      </c>
    </row>
    <row r="41" spans="1:46" x14ac:dyDescent="0.25">
      <c r="A41" s="2" t="s">
        <v>75</v>
      </c>
      <c r="B41" s="2" t="s">
        <v>552</v>
      </c>
      <c r="C41" s="2" t="s">
        <v>570</v>
      </c>
      <c r="D41" s="2" t="s">
        <v>554</v>
      </c>
      <c r="E41" s="2">
        <v>2</v>
      </c>
      <c r="F41" s="1" t="str">
        <f>VLOOKUP(H41,'RM Used'!A:B,2,0)</f>
        <v>P0016</v>
      </c>
      <c r="G41" s="1" t="str">
        <f>IFERROR(VLOOKUP(F41,'RM Cost'!A:B,2,0),"")</f>
        <v>REY 40 30 BOX</v>
      </c>
      <c r="H41" s="2" t="s">
        <v>1332</v>
      </c>
      <c r="I41" s="1" t="str">
        <f>VLOOKUP(F41,'RM Used'!B:D,3,0)</f>
        <v>RM-PACKING</v>
      </c>
      <c r="J41" s="66">
        <v>1</v>
      </c>
      <c r="K41" s="35" t="str">
        <f t="shared" si="0"/>
        <v/>
      </c>
      <c r="L41" s="35">
        <f t="shared" si="1"/>
        <v>0</v>
      </c>
      <c r="M41" s="77" t="str" cm="1">
        <f t="array" ref="M41">_xlfn.IFS(BOM!I41="RM-PACKING","100%",B41="Reynolds",VLOOKUP(H41,'Yield &amp; Time'!A:V,22,0),BOM!B41="Dnata",VLOOKUP(BOM!H41,'Yield &amp; Time'!A:M,13,0),B41="NK",VLOOKUP(H41,'Yield &amp; Time'!A:X,24,0))</f>
        <v>100%</v>
      </c>
      <c r="N41" s="35">
        <f t="shared" ref="N41:N53" si="19">IFERROR(IF(I41="RM-FOOD",(E41*J41)/M41,1),0)</f>
        <v>1</v>
      </c>
      <c r="O41" s="1" t="str">
        <f>VLOOKUP(H41,'RM Used'!A:E,5,0)</f>
        <v>Count</v>
      </c>
      <c r="P41" s="11">
        <f>VLOOKUP(H41,'RM Used'!A:F,6,0)</f>
        <v>0.28000000000000003</v>
      </c>
      <c r="Q41" s="11">
        <f t="shared" si="11"/>
        <v>0.28000000000000003</v>
      </c>
      <c r="R41" s="11">
        <f>IFERROR(IF(B41="Reynolds",VLOOKUP(H41,'Yield &amp; Time'!A:U,21,0),VLOOKUP(H41,'Yield &amp; Time'!A:L,12,0)),0)</f>
        <v>0</v>
      </c>
      <c r="S41" s="11">
        <f t="shared" si="3"/>
        <v>0</v>
      </c>
      <c r="T41" s="11">
        <f t="shared" si="4"/>
        <v>0</v>
      </c>
      <c r="U41" s="11">
        <f>IF(A40=A41,0,VLOOKUP(A41,'Packing Time'!A:F,6,0))</f>
        <v>0</v>
      </c>
      <c r="V41" s="11">
        <f t="shared" si="12"/>
        <v>0</v>
      </c>
      <c r="W41" s="11">
        <f t="shared" si="13"/>
        <v>0</v>
      </c>
      <c r="X41" s="11">
        <f t="shared" si="5"/>
        <v>0</v>
      </c>
      <c r="Y41" s="11">
        <f t="shared" si="14"/>
        <v>0</v>
      </c>
      <c r="Z41" s="37">
        <v>1</v>
      </c>
      <c r="AA41" s="36">
        <f t="shared" si="6"/>
        <v>1</v>
      </c>
      <c r="AB41" s="36">
        <f t="shared" si="7"/>
        <v>0.28000000000000003</v>
      </c>
      <c r="AC41" s="11">
        <f t="shared" si="8"/>
        <v>0</v>
      </c>
      <c r="AD41" s="36">
        <f t="shared" si="15"/>
        <v>0</v>
      </c>
      <c r="AE41" s="36"/>
      <c r="AF41" s="36">
        <f>IFERROR(VLOOKUP(AE41,'Chemical Cost'!A:D,4,0),0)</f>
        <v>0</v>
      </c>
      <c r="AG41" s="114">
        <f t="shared" si="9"/>
        <v>0</v>
      </c>
      <c r="AH41" s="36">
        <f t="shared" si="16"/>
        <v>0</v>
      </c>
      <c r="AI41" s="36">
        <f t="shared" si="17"/>
        <v>0.28000000000000003</v>
      </c>
      <c r="AJ41" s="36">
        <f>IFERROR(VLOOKUP(A41,'All Products'!A:F,6,0),0)</f>
        <v>2.17</v>
      </c>
      <c r="AK41" s="36"/>
      <c r="AL41" s="23">
        <v>0.8</v>
      </c>
      <c r="AM41" s="23">
        <v>0.2</v>
      </c>
      <c r="AN41" s="54" t="e">
        <v>#N/A</v>
      </c>
      <c r="AO41" s="47"/>
      <c r="AP41" s="4">
        <v>1.1000000000000001</v>
      </c>
      <c r="AQ41" s="111">
        <f t="shared" si="10"/>
        <v>0</v>
      </c>
      <c r="AR41">
        <f>_xlfn.XLOOKUP(F41,'RM Cost'!A:A,'RM Cost'!S:S)</f>
        <v>0</v>
      </c>
      <c r="AS41" t="str">
        <f>_xlfn.XLOOKUP(A41,[3]Sheet1!$B:$B,[3]Sheet1!$B:$B)</f>
        <v>1180CS</v>
      </c>
      <c r="AT41" t="e">
        <f>_xlfn.XLOOKUP(H41,'Yield &amp; Time'!A:A,'Yield &amp; Time'!F:F)</f>
        <v>#N/A</v>
      </c>
    </row>
    <row r="42" spans="1:46" x14ac:dyDescent="0.25">
      <c r="A42" s="2" t="s">
        <v>123</v>
      </c>
      <c r="B42" s="2" t="s">
        <v>552</v>
      </c>
      <c r="C42" s="2" t="s">
        <v>571</v>
      </c>
      <c r="D42" s="2" t="s">
        <v>554</v>
      </c>
      <c r="E42" s="2">
        <v>4</v>
      </c>
      <c r="F42" s="1" t="str">
        <f>VLOOKUP(H42,'RM Used'!A:B,2,0)</f>
        <v>032ACS</v>
      </c>
      <c r="G42" s="1" t="str">
        <f>IFERROR(VLOOKUP(F42,'RM Cost'!A:B,2,0),"")</f>
        <v>RM - LRG PROCESSING CARROT X 1000KG</v>
      </c>
      <c r="H42" s="2" t="s">
        <v>1351</v>
      </c>
      <c r="I42" s="1" t="str">
        <f>VLOOKUP(F42,'RM Used'!B:D,3,0)</f>
        <v>RM-FOOD</v>
      </c>
      <c r="J42" s="66">
        <v>1</v>
      </c>
      <c r="K42" s="35">
        <f t="shared" si="0"/>
        <v>4</v>
      </c>
      <c r="L42" s="35">
        <f t="shared" si="1"/>
        <v>4</v>
      </c>
      <c r="M42" s="77" cm="1">
        <f t="array" ref="M42">_xlfn.IFS(BOM!I42="RM-PACKING","100%",B42="Reynolds",VLOOKUP(H42,'Yield &amp; Time'!A:V,22,0),BOM!B42="Dnata",VLOOKUP(BOM!H42,'Yield &amp; Time'!A:M,13,0),B42="NK",VLOOKUP(H42,'Yield &amp; Time'!A:X,24,0))</f>
        <v>0.75330000000000008</v>
      </c>
      <c r="N42" s="35">
        <f t="shared" si="19"/>
        <v>5.3099694676755602</v>
      </c>
      <c r="O42" s="1" t="str">
        <f>VLOOKUP(H42,'RM Used'!A:E,5,0)</f>
        <v>KG</v>
      </c>
      <c r="P42" s="11">
        <f>VLOOKUP(H42,'RM Used'!A:F,6,0)</f>
        <v>0.38</v>
      </c>
      <c r="Q42" s="11">
        <f t="shared" si="11"/>
        <v>2.0177883977167128</v>
      </c>
      <c r="R42" s="11">
        <f>IFERROR(IF(B42="Reynolds",VLOOKUP(H42,'Yield &amp; Time'!A:U,21,0),VLOOKUP(H42,'Yield &amp; Time'!A:L,12,0)),0)</f>
        <v>0.90531914893617027</v>
      </c>
      <c r="S42" s="11">
        <f t="shared" si="3"/>
        <v>1.2258021276595745</v>
      </c>
      <c r="T42" s="11">
        <f t="shared" si="4"/>
        <v>6.0354609929078019E-2</v>
      </c>
      <c r="U42" s="11">
        <f>IF(A41=A42,0,VLOOKUP(A42,'Packing Time'!A:F,6,0))</f>
        <v>1.75</v>
      </c>
      <c r="V42" s="11">
        <f t="shared" si="12"/>
        <v>0.59237499999999998</v>
      </c>
      <c r="W42" s="11">
        <f t="shared" si="13"/>
        <v>2.9166666666666667E-2</v>
      </c>
      <c r="X42" s="11">
        <f t="shared" si="5"/>
        <v>1.9999948404255321</v>
      </c>
      <c r="Y42" s="11">
        <f t="shared" si="14"/>
        <v>1.9999948404255321</v>
      </c>
      <c r="Z42" s="37">
        <v>1</v>
      </c>
      <c r="AA42" s="36">
        <f t="shared" si="6"/>
        <v>5.3099694676755602</v>
      </c>
      <c r="AB42" s="36">
        <f t="shared" si="7"/>
        <v>2.0177883977167128</v>
      </c>
      <c r="AC42" s="11">
        <f t="shared" si="8"/>
        <v>9.8473404255319169E-2</v>
      </c>
      <c r="AD42" s="36">
        <f t="shared" si="15"/>
        <v>1.9999948404255321</v>
      </c>
      <c r="AE42" s="36" t="str">
        <f>VLOOKUP(H42,'Yield &amp; Time'!A:R,18,0)</f>
        <v>CHLORINE</v>
      </c>
      <c r="AF42" s="36">
        <f>IFERROR(VLOOKUP(AE42,'Chemical Cost'!A:D,4,0),0)</f>
        <v>2.7756518066439469E-2</v>
      </c>
      <c r="AG42" s="114">
        <f t="shared" si="9"/>
        <v>4.9128754487259556E-2</v>
      </c>
      <c r="AH42" s="36">
        <f t="shared" si="16"/>
        <v>4.9128754487259556E-2</v>
      </c>
      <c r="AI42" s="36">
        <f t="shared" si="17"/>
        <v>4.066911992629505</v>
      </c>
      <c r="AJ42" s="36">
        <f>IFERROR(VLOOKUP(A42,'All Products'!A:F,6,0),0)</f>
        <v>6.36</v>
      </c>
      <c r="AK42" s="36">
        <f>AJ42*Z42*J42</f>
        <v>6.36</v>
      </c>
      <c r="AL42" s="23"/>
      <c r="AM42" s="23">
        <v>1</v>
      </c>
      <c r="AN42" s="54" t="e">
        <v>#N/A</v>
      </c>
      <c r="AO42" s="47"/>
      <c r="AP42" s="4">
        <v>1.1000000000000001</v>
      </c>
      <c r="AQ42" s="111">
        <f t="shared" si="10"/>
        <v>9.8473404255319169E-2</v>
      </c>
      <c r="AR42">
        <f>_xlfn.XLOOKUP(F42,'RM Cost'!A:A,'RM Cost'!S:S)</f>
        <v>0</v>
      </c>
      <c r="AS42" t="str">
        <f>_xlfn.XLOOKUP(A42,[3]Sheet1!$B:$B,[3]Sheet1!$B:$B)</f>
        <v>1174CS</v>
      </c>
      <c r="AT42" t="str">
        <f>_xlfn.XLOOKUP(H42,'Yield &amp; Time'!A:A,'Yield &amp; Time'!O:O)</f>
        <v>Yes</v>
      </c>
    </row>
    <row r="43" spans="1:46" x14ac:dyDescent="0.25">
      <c r="A43" s="2" t="s">
        <v>123</v>
      </c>
      <c r="B43" s="2" t="s">
        <v>552</v>
      </c>
      <c r="C43" s="2" t="s">
        <v>571</v>
      </c>
      <c r="D43" s="2" t="s">
        <v>554</v>
      </c>
      <c r="E43" s="2">
        <v>4</v>
      </c>
      <c r="F43" s="1" t="str">
        <f>VLOOKUP(H43,'RM Used'!A:B,2,0)</f>
        <v>P0002</v>
      </c>
      <c r="G43" s="1" t="str">
        <f>IFERROR(VLOOKUP(F43,'RM Cost'!A:B,2,0),"")</f>
        <v>SOL 30EL # PPLUS 630x1000 BLUE -4</v>
      </c>
      <c r="H43" s="2" t="s">
        <v>4679</v>
      </c>
      <c r="I43" s="1" t="str">
        <f>VLOOKUP(F43,'RM Used'!B:D,3,0)</f>
        <v>RM-PACKING</v>
      </c>
      <c r="J43" s="66">
        <v>1</v>
      </c>
      <c r="K43" s="35" t="str">
        <f t="shared" si="0"/>
        <v/>
      </c>
      <c r="L43" s="35">
        <f t="shared" si="1"/>
        <v>0</v>
      </c>
      <c r="M43" s="77" t="str" cm="1">
        <f t="array" ref="M43">_xlfn.IFS(BOM!I43="RM-PACKING","100%",B43="Reynolds",VLOOKUP(H43,'Yield &amp; Time'!A:V,22,0),BOM!B43="Dnata",VLOOKUP(BOM!H43,'Yield &amp; Time'!A:M,13,0),B43="NK",VLOOKUP(H43,'Yield &amp; Time'!A:X,24,0))</f>
        <v>100%</v>
      </c>
      <c r="N43" s="35">
        <f t="shared" si="19"/>
        <v>1</v>
      </c>
      <c r="O43" s="1" t="str">
        <f>VLOOKUP(H43,'RM Used'!A:E,5,0)</f>
        <v>Count</v>
      </c>
      <c r="P43" s="11">
        <f>VLOOKUP(H43,'RM Used'!A:F,6,0)</f>
        <v>0.32</v>
      </c>
      <c r="Q43" s="11">
        <f t="shared" si="11"/>
        <v>0.32</v>
      </c>
      <c r="R43" s="11">
        <f>IFERROR(IF(B43="Reynolds",VLOOKUP(H43,'Yield &amp; Time'!A:U,21,0),VLOOKUP(H43,'Yield &amp; Time'!A:L,12,0)),0)</f>
        <v>0</v>
      </c>
      <c r="S43" s="11">
        <f t="shared" si="3"/>
        <v>0</v>
      </c>
      <c r="T43" s="11">
        <f t="shared" si="4"/>
        <v>0</v>
      </c>
      <c r="U43" s="11">
        <f>IF(A42=A43,0,VLOOKUP(A43,'Packing Time'!A:F,6,0))</f>
        <v>0</v>
      </c>
      <c r="V43" s="11">
        <f t="shared" si="12"/>
        <v>0</v>
      </c>
      <c r="W43" s="11">
        <f t="shared" si="13"/>
        <v>0</v>
      </c>
      <c r="X43" s="11">
        <f t="shared" si="5"/>
        <v>0</v>
      </c>
      <c r="Y43" s="11">
        <f t="shared" si="14"/>
        <v>0</v>
      </c>
      <c r="Z43" s="37">
        <v>1</v>
      </c>
      <c r="AA43" s="36">
        <f t="shared" si="6"/>
        <v>1</v>
      </c>
      <c r="AB43" s="36">
        <f t="shared" si="7"/>
        <v>0.32</v>
      </c>
      <c r="AC43" s="11">
        <f t="shared" si="8"/>
        <v>0</v>
      </c>
      <c r="AD43" s="36">
        <f t="shared" si="15"/>
        <v>0</v>
      </c>
      <c r="AE43" s="36"/>
      <c r="AF43" s="36">
        <f>IFERROR(VLOOKUP(AE43,'Chemical Cost'!A:D,4,0),0)</f>
        <v>0</v>
      </c>
      <c r="AG43" s="114">
        <f t="shared" si="9"/>
        <v>0</v>
      </c>
      <c r="AH43" s="36">
        <f t="shared" si="16"/>
        <v>0</v>
      </c>
      <c r="AI43" s="36">
        <f t="shared" si="17"/>
        <v>0.32</v>
      </c>
      <c r="AJ43" s="36">
        <f>IFERROR(VLOOKUP(A43,'All Products'!A:F,6,0),0)</f>
        <v>6.36</v>
      </c>
      <c r="AK43" s="36"/>
      <c r="AL43" s="23"/>
      <c r="AM43" s="23">
        <v>1</v>
      </c>
      <c r="AN43" s="54" t="e">
        <v>#N/A</v>
      </c>
      <c r="AO43" s="47"/>
      <c r="AP43" s="4">
        <v>1.1000000000000001</v>
      </c>
      <c r="AQ43" s="111">
        <f t="shared" si="10"/>
        <v>0</v>
      </c>
      <c r="AR43">
        <f>_xlfn.XLOOKUP(F43,'RM Cost'!A:A,'RM Cost'!S:S)</f>
        <v>0</v>
      </c>
      <c r="AS43" t="str">
        <f>_xlfn.XLOOKUP(A43,[3]Sheet1!$B:$B,[3]Sheet1!$B:$B)</f>
        <v>1174CS</v>
      </c>
      <c r="AT43" t="e">
        <f>_xlfn.XLOOKUP(H43,'Yield &amp; Time'!A:A,'Yield &amp; Time'!F:F)</f>
        <v>#N/A</v>
      </c>
    </row>
    <row r="44" spans="1:46" x14ac:dyDescent="0.25">
      <c r="A44" s="2" t="s">
        <v>123</v>
      </c>
      <c r="B44" s="2" t="s">
        <v>552</v>
      </c>
      <c r="C44" s="2" t="s">
        <v>571</v>
      </c>
      <c r="D44" s="2" t="s">
        <v>554</v>
      </c>
      <c r="E44" s="2">
        <v>4</v>
      </c>
      <c r="F44" s="1" t="str">
        <f>VLOOKUP(H44,'RM Used'!A:B,2,0)</f>
        <v>P0016</v>
      </c>
      <c r="G44" s="1" t="str">
        <f>IFERROR(VLOOKUP(F44,'RM Cost'!A:B,2,0),"")</f>
        <v>REY 40 30 BOX</v>
      </c>
      <c r="H44" s="2" t="s">
        <v>1332</v>
      </c>
      <c r="I44" s="1" t="str">
        <f>VLOOKUP(F44,'RM Used'!B:D,3,0)</f>
        <v>RM-PACKING</v>
      </c>
      <c r="J44" s="66">
        <v>1</v>
      </c>
      <c r="K44" s="35" t="str">
        <f t="shared" si="0"/>
        <v/>
      </c>
      <c r="L44" s="35">
        <f t="shared" si="1"/>
        <v>0</v>
      </c>
      <c r="M44" s="77" t="str" cm="1">
        <f t="array" ref="M44">_xlfn.IFS(BOM!I44="RM-PACKING","100%",B44="Reynolds",VLOOKUP(H44,'Yield &amp; Time'!A:V,22,0),BOM!B44="Dnata",VLOOKUP(BOM!H44,'Yield &amp; Time'!A:M,13,0),B44="NK",VLOOKUP(H44,'Yield &amp; Time'!A:X,24,0))</f>
        <v>100%</v>
      </c>
      <c r="N44" s="35">
        <f t="shared" si="19"/>
        <v>1</v>
      </c>
      <c r="O44" s="1" t="str">
        <f>VLOOKUP(H44,'RM Used'!A:E,5,0)</f>
        <v>Count</v>
      </c>
      <c r="P44" s="11">
        <f>VLOOKUP(H44,'RM Used'!A:F,6,0)</f>
        <v>0.28000000000000003</v>
      </c>
      <c r="Q44" s="11">
        <f t="shared" si="11"/>
        <v>0.28000000000000003</v>
      </c>
      <c r="R44" s="11">
        <f>IFERROR(IF(B44="Reynolds",VLOOKUP(H44,'Yield &amp; Time'!A:U,21,0),VLOOKUP(H44,'Yield &amp; Time'!A:L,12,0)),0)</f>
        <v>0</v>
      </c>
      <c r="S44" s="11">
        <f t="shared" si="3"/>
        <v>0</v>
      </c>
      <c r="T44" s="11">
        <f t="shared" si="4"/>
        <v>0</v>
      </c>
      <c r="U44" s="11">
        <f>IF(A43=A44,0,VLOOKUP(A44,'Packing Time'!A:F,6,0))</f>
        <v>0</v>
      </c>
      <c r="V44" s="11">
        <f t="shared" si="12"/>
        <v>0</v>
      </c>
      <c r="W44" s="11">
        <f t="shared" si="13"/>
        <v>0</v>
      </c>
      <c r="X44" s="11">
        <f t="shared" si="5"/>
        <v>0</v>
      </c>
      <c r="Y44" s="11">
        <f t="shared" si="14"/>
        <v>0</v>
      </c>
      <c r="Z44" s="37">
        <v>1</v>
      </c>
      <c r="AA44" s="36">
        <f t="shared" si="6"/>
        <v>1</v>
      </c>
      <c r="AB44" s="36">
        <f t="shared" si="7"/>
        <v>0.28000000000000003</v>
      </c>
      <c r="AC44" s="11">
        <f t="shared" si="8"/>
        <v>0</v>
      </c>
      <c r="AD44" s="36">
        <f t="shared" si="15"/>
        <v>0</v>
      </c>
      <c r="AE44" s="36"/>
      <c r="AF44" s="36">
        <f>IFERROR(VLOOKUP(AE44,'Chemical Cost'!A:D,4,0),0)</f>
        <v>0</v>
      </c>
      <c r="AG44" s="114">
        <f t="shared" si="9"/>
        <v>0</v>
      </c>
      <c r="AH44" s="36">
        <f t="shared" si="16"/>
        <v>0</v>
      </c>
      <c r="AI44" s="36">
        <f t="shared" si="17"/>
        <v>0.28000000000000003</v>
      </c>
      <c r="AJ44" s="36">
        <f>IFERROR(VLOOKUP(A44,'All Products'!A:F,6,0),0)</f>
        <v>6.36</v>
      </c>
      <c r="AK44" s="36"/>
      <c r="AL44" s="23"/>
      <c r="AM44" s="23">
        <v>1</v>
      </c>
      <c r="AN44" s="54" t="e">
        <v>#N/A</v>
      </c>
      <c r="AO44" s="47"/>
      <c r="AP44" s="4">
        <v>1.1000000000000001</v>
      </c>
      <c r="AQ44" s="111">
        <f t="shared" si="10"/>
        <v>0</v>
      </c>
      <c r="AR44">
        <f>_xlfn.XLOOKUP(F44,'RM Cost'!A:A,'RM Cost'!S:S)</f>
        <v>0</v>
      </c>
      <c r="AS44" t="str">
        <f>_xlfn.XLOOKUP(A44,[3]Sheet1!$B:$B,[3]Sheet1!$B:$B)</f>
        <v>1174CS</v>
      </c>
      <c r="AT44" t="e">
        <f>_xlfn.XLOOKUP(H44,'Yield &amp; Time'!A:A,'Yield &amp; Time'!F:F)</f>
        <v>#N/A</v>
      </c>
    </row>
    <row r="45" spans="1:46" x14ac:dyDescent="0.25">
      <c r="A45" s="2" t="s">
        <v>224</v>
      </c>
      <c r="B45" s="2" t="s">
        <v>552</v>
      </c>
      <c r="C45" s="2" t="s">
        <v>572</v>
      </c>
      <c r="D45" s="2" t="s">
        <v>554</v>
      </c>
      <c r="E45" s="2">
        <v>2.5</v>
      </c>
      <c r="F45" s="1" t="str">
        <f>VLOOKUP(H45,'RM Used'!A:B,2,0)</f>
        <v>032ACS</v>
      </c>
      <c r="G45" s="1" t="str">
        <f>IFERROR(VLOOKUP(F45,'RM Cost'!A:B,2,0),"")</f>
        <v>RM - LRG PROCESSING CARROT X 1000KG</v>
      </c>
      <c r="H45" s="2" t="s">
        <v>1342</v>
      </c>
      <c r="I45" s="1" t="str">
        <f>VLOOKUP(F45,'RM Used'!B:D,3,0)</f>
        <v>RM-FOOD</v>
      </c>
      <c r="J45" s="66">
        <v>0.25</v>
      </c>
      <c r="K45" s="35">
        <f t="shared" si="0"/>
        <v>0.625</v>
      </c>
      <c r="L45" s="35">
        <f t="shared" si="1"/>
        <v>0.625</v>
      </c>
      <c r="M45" s="77" cm="1">
        <f t="array" ref="M45">_xlfn.IFS(BOM!I45="RM-PACKING","100%",B45="Reynolds",VLOOKUP(H45,'Yield &amp; Time'!A:V,22,0),BOM!B45="Dnata",VLOOKUP(BOM!H45,'Yield &amp; Time'!A:M,13,0),B45="NK",VLOOKUP(H45,'Yield &amp; Time'!A:X,24,0))</f>
        <v>0.71506673850809344</v>
      </c>
      <c r="N45" s="35">
        <f t="shared" si="19"/>
        <v>0.87404429033294484</v>
      </c>
      <c r="O45" s="1" t="str">
        <f>VLOOKUP(H45,'RM Used'!A:E,5,0)</f>
        <v>KG</v>
      </c>
      <c r="P45" s="11">
        <f>VLOOKUP(H45,'RM Used'!A:F,6,0)</f>
        <v>0.38</v>
      </c>
      <c r="Q45" s="11">
        <f t="shared" si="11"/>
        <v>0.33213683032651903</v>
      </c>
      <c r="R45" s="11">
        <f>IFERROR(IF(B45="Reynolds",VLOOKUP(H45,'Yield &amp; Time'!A:U,21,0),VLOOKUP(H45,'Yield &amp; Time'!A:L,12,0)),0)</f>
        <v>1.2475449219522261</v>
      </c>
      <c r="S45" s="11">
        <f t="shared" si="3"/>
        <v>0.26393372255051784</v>
      </c>
      <c r="T45" s="11">
        <f t="shared" si="4"/>
        <v>1.2995259603669021E-2</v>
      </c>
      <c r="U45" s="11">
        <f>IF(A44=A45,0,VLOOKUP(A45,'Packing Time'!A:F,6,0))</f>
        <v>0.875</v>
      </c>
      <c r="V45" s="11">
        <f t="shared" si="12"/>
        <v>0.29618749999999999</v>
      </c>
      <c r="W45" s="11">
        <f t="shared" si="13"/>
        <v>1.4583333333333334E-2</v>
      </c>
      <c r="X45" s="11">
        <f t="shared" si="5"/>
        <v>0.89619395608082852</v>
      </c>
      <c r="Y45" s="11">
        <f t="shared" si="14"/>
        <v>0.89619395608082852</v>
      </c>
      <c r="Z45" s="37">
        <v>1</v>
      </c>
      <c r="AA45" s="36">
        <f t="shared" si="6"/>
        <v>0.87404429033294484</v>
      </c>
      <c r="AB45" s="36">
        <f t="shared" si="7"/>
        <v>0.33213683032651903</v>
      </c>
      <c r="AC45" s="11">
        <f t="shared" si="8"/>
        <v>4.4125748699203771E-2</v>
      </c>
      <c r="AD45" s="36">
        <f t="shared" si="15"/>
        <v>0.89619395608082852</v>
      </c>
      <c r="AE45" s="36"/>
      <c r="AF45" s="36">
        <f>IFERROR(VLOOKUP(AE45,'Chemical Cost'!A:D,4,0),0)</f>
        <v>0</v>
      </c>
      <c r="AG45" s="114">
        <f t="shared" si="9"/>
        <v>0</v>
      </c>
      <c r="AH45" s="36">
        <f t="shared" si="16"/>
        <v>0</v>
      </c>
      <c r="AI45" s="36">
        <f t="shared" si="17"/>
        <v>1.2283307864073476</v>
      </c>
      <c r="AJ45" s="36">
        <f>IFERROR(VLOOKUP(A45,'All Products'!A:F,6,0),0)</f>
        <v>8.09</v>
      </c>
      <c r="AK45" s="36">
        <f>AJ45*Z45*J45</f>
        <v>2.0225</v>
      </c>
      <c r="AL45" s="23">
        <v>1</v>
      </c>
      <c r="AM45" s="23"/>
      <c r="AN45" s="54" t="e">
        <v>#N/A</v>
      </c>
      <c r="AO45" s="47"/>
      <c r="AP45" s="4">
        <v>1.6</v>
      </c>
      <c r="AQ45" s="111">
        <f t="shared" si="10"/>
        <v>4.4125748699203771E-2</v>
      </c>
      <c r="AR45">
        <f>_xlfn.XLOOKUP(F45,'RM Cost'!A:A,'RM Cost'!S:S)</f>
        <v>0</v>
      </c>
      <c r="AS45" t="e">
        <f>_xlfn.XLOOKUP(A45,[3]Sheet1!$B:$B,[3]Sheet1!$B:$B)</f>
        <v>#N/A</v>
      </c>
    </row>
    <row r="46" spans="1:46" x14ac:dyDescent="0.25">
      <c r="A46" s="2" t="s">
        <v>224</v>
      </c>
      <c r="B46" s="2" t="s">
        <v>552</v>
      </c>
      <c r="C46" s="2" t="s">
        <v>572</v>
      </c>
      <c r="D46" s="2" t="s">
        <v>554</v>
      </c>
      <c r="E46" s="2">
        <v>2.5</v>
      </c>
      <c r="F46" s="1" t="str">
        <f>VLOOKUP(H46,'RM Used'!A:B,2,0)</f>
        <v>3277CS</v>
      </c>
      <c r="G46" s="1" t="str">
        <f>IFERROR(VLOOKUP(F46,'RM Cost'!A:B,2,0),"")</f>
        <v>RM - SWEDE 12.5KG</v>
      </c>
      <c r="H46" s="2" t="s">
        <v>1344</v>
      </c>
      <c r="I46" s="1" t="str">
        <f>VLOOKUP(F46,'RM Used'!B:D,3,0)</f>
        <v>RM-FOOD</v>
      </c>
      <c r="J46" s="66">
        <v>0.25</v>
      </c>
      <c r="K46" s="35">
        <f t="shared" si="0"/>
        <v>0.625</v>
      </c>
      <c r="L46" s="35">
        <f t="shared" si="1"/>
        <v>0.625</v>
      </c>
      <c r="M46" s="77" cm="1">
        <f t="array" ref="M46">_xlfn.IFS(BOM!I46="RM-PACKING","100%",B46="Reynolds",VLOOKUP(H46,'Yield &amp; Time'!A:V,22,0),BOM!B46="Dnata",VLOOKUP(BOM!H46,'Yield &amp; Time'!A:M,13,0),B46="NK",VLOOKUP(H46,'Yield &amp; Time'!A:X,24,0))</f>
        <v>0.82357723577235775</v>
      </c>
      <c r="N46" s="35">
        <f t="shared" si="19"/>
        <v>0.75888450148075026</v>
      </c>
      <c r="O46" s="1" t="str">
        <f>VLOOKUP(H46,'RM Used'!A:E,5,0)</f>
        <v>KG</v>
      </c>
      <c r="P46" s="11">
        <f>VLOOKUP(H46,'RM Used'!A:F,6,0)</f>
        <v>0.52</v>
      </c>
      <c r="Q46" s="11">
        <f t="shared" si="11"/>
        <v>0.39461994076999013</v>
      </c>
      <c r="R46" s="11">
        <f>IFERROR(IF(B46="Reynolds",VLOOKUP(H46,'Yield &amp; Time'!A:U,21,0),VLOOKUP(H46,'Yield &amp; Time'!A:L,12,0)),0)</f>
        <v>1.9442894544830251</v>
      </c>
      <c r="S46" s="11">
        <f t="shared" si="3"/>
        <v>0.41133873771406498</v>
      </c>
      <c r="T46" s="11">
        <f t="shared" si="4"/>
        <v>2.0253015150864848E-2</v>
      </c>
      <c r="U46" s="11">
        <f>IF(A45=A46,0,VLOOKUP(A46,'Packing Time'!A:F,6,0))</f>
        <v>0</v>
      </c>
      <c r="V46" s="11">
        <f t="shared" si="12"/>
        <v>0</v>
      </c>
      <c r="W46" s="11">
        <f t="shared" si="13"/>
        <v>0</v>
      </c>
      <c r="X46" s="11">
        <f t="shared" si="5"/>
        <v>0.65814198034250404</v>
      </c>
      <c r="Y46" s="11">
        <f t="shared" si="14"/>
        <v>0.65814198034250404</v>
      </c>
      <c r="Z46" s="37">
        <v>1</v>
      </c>
      <c r="AA46" s="36">
        <f t="shared" si="6"/>
        <v>0.75888450148075026</v>
      </c>
      <c r="AB46" s="36">
        <f t="shared" si="7"/>
        <v>0.39461994076999013</v>
      </c>
      <c r="AC46" s="11">
        <f t="shared" si="8"/>
        <v>3.2404824241383759E-2</v>
      </c>
      <c r="AD46" s="36">
        <f t="shared" si="15"/>
        <v>0.65814198034250415</v>
      </c>
      <c r="AE46" s="36"/>
      <c r="AF46" s="36">
        <f>IFERROR(VLOOKUP(AE46,'Chemical Cost'!A:D,4,0),0)</f>
        <v>0</v>
      </c>
      <c r="AG46" s="114">
        <f t="shared" si="9"/>
        <v>0</v>
      </c>
      <c r="AH46" s="36">
        <f t="shared" si="16"/>
        <v>0</v>
      </c>
      <c r="AI46" s="36">
        <f t="shared" si="17"/>
        <v>1.0527619211124941</v>
      </c>
      <c r="AJ46" s="36">
        <f>IFERROR(VLOOKUP(A46,'All Products'!A:F,6,0),0)</f>
        <v>8.09</v>
      </c>
      <c r="AK46" s="36">
        <f>AJ46*Z46*J46</f>
        <v>2.0225</v>
      </c>
      <c r="AL46" s="23">
        <v>1</v>
      </c>
      <c r="AM46" s="23"/>
      <c r="AN46" s="54" t="e">
        <v>#N/A</v>
      </c>
      <c r="AO46" s="47"/>
      <c r="AP46" s="4">
        <v>1.6</v>
      </c>
      <c r="AQ46" s="111">
        <f t="shared" si="10"/>
        <v>3.2404824241383759E-2</v>
      </c>
      <c r="AR46">
        <f>_xlfn.XLOOKUP(F46,'RM Cost'!A:A,'RM Cost'!S:S)</f>
        <v>0</v>
      </c>
      <c r="AS46" t="e">
        <f>_xlfn.XLOOKUP(A46,[3]Sheet1!$B:$B,[3]Sheet1!$B:$B)</f>
        <v>#N/A</v>
      </c>
    </row>
    <row r="47" spans="1:46" x14ac:dyDescent="0.25">
      <c r="A47" s="2" t="s">
        <v>224</v>
      </c>
      <c r="B47" s="2" t="s">
        <v>552</v>
      </c>
      <c r="C47" s="2" t="s">
        <v>572</v>
      </c>
      <c r="D47" s="2" t="s">
        <v>554</v>
      </c>
      <c r="E47" s="2">
        <v>2.5</v>
      </c>
      <c r="F47" s="1" t="str">
        <f>VLOOKUP(H47,'RM Used'!A:B,2,0)</f>
        <v>3288CS</v>
      </c>
      <c r="G47" s="1" t="str">
        <f>IFERROR(VLOOKUP(F47,'RM Cost'!A:B,2,0),"")</f>
        <v>RM - TURNIPS X5KG</v>
      </c>
      <c r="H47" s="2" t="s">
        <v>1361</v>
      </c>
      <c r="I47" s="1" t="str">
        <f>VLOOKUP(F47,'RM Used'!B:D,3,0)</f>
        <v>RM-FOOD</v>
      </c>
      <c r="J47" s="66">
        <v>0.25</v>
      </c>
      <c r="K47" s="35">
        <f t="shared" si="0"/>
        <v>0.625</v>
      </c>
      <c r="L47" s="35">
        <f t="shared" si="1"/>
        <v>0.625</v>
      </c>
      <c r="M47" s="77" cm="1">
        <f t="array" ref="M47">_xlfn.IFS(BOM!I47="RM-PACKING","100%",B47="Reynolds",VLOOKUP(H47,'Yield &amp; Time'!A:V,22,0),BOM!B47="Dnata",VLOOKUP(BOM!H47,'Yield &amp; Time'!A:M,13,0),B47="NK",VLOOKUP(H47,'Yield &amp; Time'!A:X,24,0))</f>
        <v>0.76295420289855076</v>
      </c>
      <c r="N47" s="35">
        <f t="shared" si="19"/>
        <v>0.81918416285742068</v>
      </c>
      <c r="O47" s="1" t="str">
        <f>VLOOKUP(H47,'RM Used'!A:E,5,0)</f>
        <v>KG</v>
      </c>
      <c r="P47" s="11">
        <f>VLOOKUP(H47,'RM Used'!A:F,6,0)</f>
        <v>0.68</v>
      </c>
      <c r="Q47" s="11">
        <f t="shared" si="11"/>
        <v>0.55704523074304613</v>
      </c>
      <c r="R47" s="11">
        <f>IFERROR(IF(B47="Reynolds",VLOOKUP(H47,'Yield &amp; Time'!A:U,21,0),VLOOKUP(H47,'Yield &amp; Time'!A:L,12,0)),0)</f>
        <v>2.3746747957595802</v>
      </c>
      <c r="S47" s="11">
        <f t="shared" si="3"/>
        <v>0.50239213647788616</v>
      </c>
      <c r="T47" s="11">
        <f t="shared" si="4"/>
        <v>2.4736195789162294E-2</v>
      </c>
      <c r="U47" s="11">
        <f>IF(A46=A47,0,VLOOKUP(A47,'Packing Time'!A:F,6,0))</f>
        <v>0</v>
      </c>
      <c r="V47" s="11">
        <f t="shared" si="12"/>
        <v>0</v>
      </c>
      <c r="W47" s="11">
        <f t="shared" si="13"/>
        <v>0</v>
      </c>
      <c r="X47" s="11">
        <f t="shared" si="5"/>
        <v>0.80382741836461791</v>
      </c>
      <c r="Y47" s="11">
        <f t="shared" si="14"/>
        <v>0.80382741836461791</v>
      </c>
      <c r="Z47" s="37">
        <v>1</v>
      </c>
      <c r="AA47" s="36">
        <f t="shared" si="6"/>
        <v>0.81918416285742068</v>
      </c>
      <c r="AB47" s="36">
        <f t="shared" si="7"/>
        <v>0.55704523074304613</v>
      </c>
      <c r="AC47" s="11">
        <f t="shared" si="8"/>
        <v>3.9577913262659671E-2</v>
      </c>
      <c r="AD47" s="36">
        <f t="shared" si="15"/>
        <v>0.8038274183646178</v>
      </c>
      <c r="AE47" s="36"/>
      <c r="AF47" s="36">
        <f>IFERROR(VLOOKUP(AE47,'Chemical Cost'!A:D,4,0),0)</f>
        <v>0</v>
      </c>
      <c r="AG47" s="114">
        <f t="shared" si="9"/>
        <v>0</v>
      </c>
      <c r="AH47" s="36">
        <f t="shared" si="16"/>
        <v>0</v>
      </c>
      <c r="AI47" s="36">
        <f t="shared" si="17"/>
        <v>1.3608726491076641</v>
      </c>
      <c r="AJ47" s="36">
        <f>IFERROR(VLOOKUP(A47,'All Products'!A:F,6,0),0)</f>
        <v>8.09</v>
      </c>
      <c r="AK47" s="36">
        <f>AJ47*Z47*J47</f>
        <v>2.0225</v>
      </c>
      <c r="AL47" s="23">
        <v>1</v>
      </c>
      <c r="AM47" s="23"/>
      <c r="AN47" s="54" t="e">
        <v>#N/A</v>
      </c>
      <c r="AO47" s="47"/>
      <c r="AP47" s="4">
        <v>1.6</v>
      </c>
      <c r="AQ47" s="111">
        <f t="shared" si="10"/>
        <v>3.9577913262659671E-2</v>
      </c>
      <c r="AR47">
        <f>_xlfn.XLOOKUP(F47,'RM Cost'!A:A,'RM Cost'!S:S)</f>
        <v>0</v>
      </c>
      <c r="AS47" t="e">
        <f>_xlfn.XLOOKUP(A47,[3]Sheet1!$B:$B,[3]Sheet1!$B:$B)</f>
        <v>#N/A</v>
      </c>
    </row>
    <row r="48" spans="1:46" x14ac:dyDescent="0.25">
      <c r="A48" s="2" t="s">
        <v>224</v>
      </c>
      <c r="B48" s="2" t="s">
        <v>552</v>
      </c>
      <c r="C48" s="2" t="s">
        <v>572</v>
      </c>
      <c r="D48" s="2" t="s">
        <v>554</v>
      </c>
      <c r="E48" s="2">
        <v>2.5</v>
      </c>
      <c r="F48" s="1" t="str">
        <f>VLOOKUP(H48,'RM Used'!A:B,2,0)</f>
        <v>3191CS</v>
      </c>
      <c r="G48" s="1" t="str">
        <f>IFERROR(VLOOKUP(F48,'RM Cost'!A:B,2,0),"")</f>
        <v>RM - PARSNIPS 10KG</v>
      </c>
      <c r="H48" s="2" t="s">
        <v>1362</v>
      </c>
      <c r="I48" s="1" t="str">
        <f>VLOOKUP(F48,'RM Used'!B:D,3,0)</f>
        <v>RM-FOOD</v>
      </c>
      <c r="J48" s="66">
        <v>0.25</v>
      </c>
      <c r="K48" s="35">
        <f t="shared" si="0"/>
        <v>0.625</v>
      </c>
      <c r="L48" s="35">
        <f t="shared" si="1"/>
        <v>0.625</v>
      </c>
      <c r="M48" s="77" cm="1">
        <f t="array" ref="M48">_xlfn.IFS(BOM!I48="RM-PACKING","100%",B48="Reynolds",VLOOKUP(H48,'Yield &amp; Time'!A:V,22,0),BOM!B48="Dnata",VLOOKUP(BOM!H48,'Yield &amp; Time'!A:M,13,0),B48="NK",VLOOKUP(H48,'Yield &amp; Time'!A:X,24,0))</f>
        <v>0.55242718446601946</v>
      </c>
      <c r="N48" s="35">
        <f t="shared" si="19"/>
        <v>1.1313708260105446</v>
      </c>
      <c r="O48" s="1" t="str">
        <f>VLOOKUP(H48,'RM Used'!A:E,5,0)</f>
        <v>KG</v>
      </c>
      <c r="P48" s="11">
        <f>VLOOKUP(H48,'RM Used'!A:F,6,0)</f>
        <v>0.76</v>
      </c>
      <c r="Q48" s="11">
        <f t="shared" si="11"/>
        <v>0.85984182776801388</v>
      </c>
      <c r="R48" s="11">
        <f>IFERROR(IF(B48="Reynolds",VLOOKUP(H48,'Yield &amp; Time'!A:U,21,0),VLOOKUP(H48,'Yield &amp; Time'!A:L,12,0)),0)</f>
        <v>7.7801405975395426</v>
      </c>
      <c r="S48" s="11">
        <f t="shared" si="3"/>
        <v>1.6459859951669593</v>
      </c>
      <c r="T48" s="11">
        <f t="shared" si="4"/>
        <v>8.1043131224370235E-2</v>
      </c>
      <c r="U48" s="11">
        <f>IF(A47=A48,0,VLOOKUP(A48,'Packing Time'!A:F,6,0))</f>
        <v>0</v>
      </c>
      <c r="V48" s="11">
        <f t="shared" si="12"/>
        <v>0</v>
      </c>
      <c r="W48" s="11">
        <f t="shared" si="13"/>
        <v>0</v>
      </c>
      <c r="X48" s="11">
        <f t="shared" si="5"/>
        <v>2.6335775922671352</v>
      </c>
      <c r="Y48" s="11">
        <f t="shared" si="14"/>
        <v>2.6335775922671352</v>
      </c>
      <c r="Z48" s="37">
        <v>1</v>
      </c>
      <c r="AA48" s="36">
        <f t="shared" si="6"/>
        <v>1.1313708260105446</v>
      </c>
      <c r="AB48" s="36">
        <f t="shared" si="7"/>
        <v>0.85984182776801388</v>
      </c>
      <c r="AC48" s="11">
        <f t="shared" si="8"/>
        <v>0.12966900995899239</v>
      </c>
      <c r="AD48" s="36">
        <f t="shared" si="15"/>
        <v>2.6335775922671352</v>
      </c>
      <c r="AE48" s="36" t="str">
        <f>VLOOKUP(H48,'Yield &amp; Time'!A:R,18,0)</f>
        <v>SODIUM METABISULPHITE</v>
      </c>
      <c r="AF48" s="36">
        <f>IFERROR(VLOOKUP(AE48,'Chemical Cost'!A:D,4,0),0)</f>
        <v>9.7586225455882462E-3</v>
      </c>
      <c r="AG48" s="114">
        <f t="shared" si="9"/>
        <v>3.6802069500424324E-3</v>
      </c>
      <c r="AH48" s="36">
        <f t="shared" si="16"/>
        <v>3.6802069500424324E-3</v>
      </c>
      <c r="AI48" s="36">
        <f t="shared" si="17"/>
        <v>3.4970996269851917</v>
      </c>
      <c r="AJ48" s="36">
        <f>IFERROR(VLOOKUP(A48,'All Products'!A:F,6,0),0)</f>
        <v>8.09</v>
      </c>
      <c r="AK48" s="36">
        <f>AJ48*Z48*J48</f>
        <v>2.0225</v>
      </c>
      <c r="AL48" s="23">
        <v>1</v>
      </c>
      <c r="AM48" s="23"/>
      <c r="AN48" s="54" t="e">
        <v>#N/A</v>
      </c>
      <c r="AO48" s="47"/>
      <c r="AP48" s="4">
        <v>1.6</v>
      </c>
      <c r="AQ48" s="111">
        <f t="shared" si="10"/>
        <v>0.12966900995899239</v>
      </c>
      <c r="AR48">
        <f>_xlfn.XLOOKUP(F48,'RM Cost'!A:A,'RM Cost'!S:S)</f>
        <v>0</v>
      </c>
      <c r="AS48" t="e">
        <f>_xlfn.XLOOKUP(A48,[3]Sheet1!$B:$B,[3]Sheet1!$B:$B)</f>
        <v>#N/A</v>
      </c>
    </row>
    <row r="49" spans="1:45" x14ac:dyDescent="0.25">
      <c r="A49" s="2" t="s">
        <v>224</v>
      </c>
      <c r="B49" s="2" t="s">
        <v>552</v>
      </c>
      <c r="C49" s="2" t="s">
        <v>572</v>
      </c>
      <c r="D49" s="2" t="s">
        <v>554</v>
      </c>
      <c r="E49" s="2">
        <v>2.5</v>
      </c>
      <c r="F49" s="1" t="str">
        <f>VLOOKUP(H49,'RM Used'!A:B,2,0)</f>
        <v>P0020</v>
      </c>
      <c r="G49" s="1" t="str">
        <f>IFERROR(VLOOKUP(F49,'RM Cost'!A:B,2,0),"")</f>
        <v>PALE BLUE BAG 430X430MM</v>
      </c>
      <c r="H49" s="2" t="s">
        <v>1659</v>
      </c>
      <c r="I49" s="1" t="str">
        <f>VLOOKUP(F49,'RM Used'!B:D,3,0)</f>
        <v>RM-PACKING</v>
      </c>
      <c r="J49" s="66">
        <v>1</v>
      </c>
      <c r="K49" s="35" t="str">
        <f t="shared" si="0"/>
        <v/>
      </c>
      <c r="L49" s="35">
        <f t="shared" si="1"/>
        <v>0</v>
      </c>
      <c r="M49" s="77" t="str" cm="1">
        <f t="array" ref="M49">_xlfn.IFS(BOM!I49="RM-PACKING","100%",B49="Reynolds",VLOOKUP(H49,'Yield &amp; Time'!A:V,22,0),BOM!B49="Dnata",VLOOKUP(BOM!H49,'Yield &amp; Time'!A:M,13,0),B49="NK",VLOOKUP(H49,'Yield &amp; Time'!A:X,24,0))</f>
        <v>100%</v>
      </c>
      <c r="N49" s="35">
        <f t="shared" si="19"/>
        <v>1</v>
      </c>
      <c r="O49" s="1" t="str">
        <f>VLOOKUP(H49,'RM Used'!A:E,5,0)</f>
        <v>Count</v>
      </c>
      <c r="P49" s="11">
        <f>VLOOKUP(H49,'RM Used'!A:F,6,0)</f>
        <v>0.09</v>
      </c>
      <c r="Q49" s="11">
        <f t="shared" si="11"/>
        <v>0.09</v>
      </c>
      <c r="R49" s="11">
        <f>IFERROR(IF(B49="Reynolds",VLOOKUP(H49,'Yield &amp; Time'!A:U,21,0),VLOOKUP(H49,'Yield &amp; Time'!A:L,12,0)),0)</f>
        <v>0</v>
      </c>
      <c r="S49" s="11">
        <f t="shared" si="3"/>
        <v>0</v>
      </c>
      <c r="T49" s="11">
        <f t="shared" si="4"/>
        <v>0</v>
      </c>
      <c r="U49" s="11">
        <f>IF(A48=A49,0,VLOOKUP(A49,'Packing Time'!A:F,6,0))</f>
        <v>0</v>
      </c>
      <c r="V49" s="11">
        <f t="shared" si="12"/>
        <v>0</v>
      </c>
      <c r="W49" s="11">
        <f t="shared" si="13"/>
        <v>0</v>
      </c>
      <c r="X49" s="11">
        <f t="shared" si="5"/>
        <v>0</v>
      </c>
      <c r="Y49" s="11">
        <f t="shared" si="14"/>
        <v>0</v>
      </c>
      <c r="Z49" s="37">
        <v>1</v>
      </c>
      <c r="AA49" s="36">
        <f t="shared" si="6"/>
        <v>1</v>
      </c>
      <c r="AB49" s="36">
        <f t="shared" si="7"/>
        <v>0.09</v>
      </c>
      <c r="AC49" s="11">
        <f t="shared" si="8"/>
        <v>0</v>
      </c>
      <c r="AD49" s="36">
        <f t="shared" si="15"/>
        <v>0</v>
      </c>
      <c r="AE49" s="36"/>
      <c r="AF49" s="36">
        <f>IFERROR(VLOOKUP(AE49,'Chemical Cost'!A:D,4,0),0)</f>
        <v>0</v>
      </c>
      <c r="AG49" s="114">
        <f t="shared" si="9"/>
        <v>0</v>
      </c>
      <c r="AH49" s="36">
        <f t="shared" si="16"/>
        <v>0</v>
      </c>
      <c r="AI49" s="36">
        <f t="shared" si="17"/>
        <v>0.09</v>
      </c>
      <c r="AJ49" s="36">
        <f>IFERROR(VLOOKUP(A49,'All Products'!A:F,6,0),0)</f>
        <v>8.09</v>
      </c>
      <c r="AK49" s="36"/>
      <c r="AL49" s="23">
        <v>1</v>
      </c>
      <c r="AM49" s="23"/>
      <c r="AN49" s="54" t="e">
        <v>#N/A</v>
      </c>
      <c r="AO49" s="47"/>
      <c r="AP49" s="4">
        <v>1.6</v>
      </c>
      <c r="AQ49" s="111">
        <f t="shared" si="10"/>
        <v>0</v>
      </c>
      <c r="AR49">
        <f>_xlfn.XLOOKUP(F49,'RM Cost'!A:A,'RM Cost'!S:S)</f>
        <v>0</v>
      </c>
      <c r="AS49" t="e">
        <f>_xlfn.XLOOKUP(A49,[3]Sheet1!$B:$B,[3]Sheet1!$B:$B)</f>
        <v>#N/A</v>
      </c>
    </row>
    <row r="50" spans="1:45" x14ac:dyDescent="0.25">
      <c r="A50" s="2" t="s">
        <v>224</v>
      </c>
      <c r="B50" s="2" t="s">
        <v>552</v>
      </c>
      <c r="C50" s="2" t="s">
        <v>572</v>
      </c>
      <c r="D50" s="2" t="s">
        <v>554</v>
      </c>
      <c r="E50" s="2">
        <v>2.5</v>
      </c>
      <c r="F50" s="1" t="str">
        <f>VLOOKUP(H50,'RM Used'!A:B,2,0)</f>
        <v>P0016</v>
      </c>
      <c r="G50" s="1" t="str">
        <f>IFERROR(VLOOKUP(F50,'RM Cost'!A:B,2,0),"")</f>
        <v>REY 40 30 BOX</v>
      </c>
      <c r="H50" s="2" t="s">
        <v>1332</v>
      </c>
      <c r="I50" s="1" t="str">
        <f>VLOOKUP(F50,'RM Used'!B:D,3,0)</f>
        <v>RM-PACKING</v>
      </c>
      <c r="J50" s="66">
        <v>1</v>
      </c>
      <c r="K50" s="35" t="str">
        <f t="shared" si="0"/>
        <v/>
      </c>
      <c r="L50" s="35">
        <f t="shared" si="1"/>
        <v>0</v>
      </c>
      <c r="M50" s="77" t="str" cm="1">
        <f t="array" ref="M50">_xlfn.IFS(BOM!I50="RM-PACKING","100%",B50="Reynolds",VLOOKUP(H50,'Yield &amp; Time'!A:V,22,0),BOM!B50="Dnata",VLOOKUP(BOM!H50,'Yield &amp; Time'!A:M,13,0),B50="NK",VLOOKUP(H50,'Yield &amp; Time'!A:X,24,0))</f>
        <v>100%</v>
      </c>
      <c r="N50" s="35">
        <f t="shared" si="19"/>
        <v>1</v>
      </c>
      <c r="O50" s="1" t="str">
        <f>VLOOKUP(H50,'RM Used'!A:E,5,0)</f>
        <v>Count</v>
      </c>
      <c r="P50" s="11">
        <f>VLOOKUP(H50,'RM Used'!A:F,6,0)</f>
        <v>0.28000000000000003</v>
      </c>
      <c r="Q50" s="11">
        <f t="shared" si="11"/>
        <v>0.28000000000000003</v>
      </c>
      <c r="R50" s="11">
        <f>IFERROR(IF(B50="Reynolds",VLOOKUP(H50,'Yield &amp; Time'!A:U,21,0),VLOOKUP(H50,'Yield &amp; Time'!A:L,12,0)),0)</f>
        <v>0</v>
      </c>
      <c r="S50" s="11">
        <f t="shared" si="3"/>
        <v>0</v>
      </c>
      <c r="T50" s="11">
        <f t="shared" si="4"/>
        <v>0</v>
      </c>
      <c r="U50" s="11">
        <f>IF(A49=A50,0,VLOOKUP(A50,'Packing Time'!A:F,6,0))</f>
        <v>0</v>
      </c>
      <c r="V50" s="11">
        <f t="shared" si="12"/>
        <v>0</v>
      </c>
      <c r="W50" s="11">
        <f t="shared" si="13"/>
        <v>0</v>
      </c>
      <c r="X50" s="11">
        <f t="shared" si="5"/>
        <v>0</v>
      </c>
      <c r="Y50" s="11">
        <f t="shared" si="14"/>
        <v>0</v>
      </c>
      <c r="Z50" s="37">
        <v>1</v>
      </c>
      <c r="AA50" s="36">
        <f t="shared" si="6"/>
        <v>1</v>
      </c>
      <c r="AB50" s="36">
        <f t="shared" si="7"/>
        <v>0.28000000000000003</v>
      </c>
      <c r="AC50" s="11">
        <f t="shared" si="8"/>
        <v>0</v>
      </c>
      <c r="AD50" s="36">
        <f t="shared" si="15"/>
        <v>0</v>
      </c>
      <c r="AE50" s="36"/>
      <c r="AF50" s="36">
        <f>IFERROR(VLOOKUP(AE50,'Chemical Cost'!A:D,4,0),0)</f>
        <v>0</v>
      </c>
      <c r="AG50" s="114">
        <f t="shared" si="9"/>
        <v>0</v>
      </c>
      <c r="AH50" s="36">
        <f t="shared" si="16"/>
        <v>0</v>
      </c>
      <c r="AI50" s="36">
        <f t="shared" si="17"/>
        <v>0.28000000000000003</v>
      </c>
      <c r="AJ50" s="36">
        <f>IFERROR(VLOOKUP(A50,'All Products'!A:F,6,0),0)</f>
        <v>8.09</v>
      </c>
      <c r="AK50" s="36"/>
      <c r="AL50" s="23">
        <v>1</v>
      </c>
      <c r="AM50" s="23"/>
      <c r="AN50" s="54" t="e">
        <v>#N/A</v>
      </c>
      <c r="AO50" s="47"/>
      <c r="AP50" s="4">
        <v>1.6</v>
      </c>
      <c r="AQ50" s="111">
        <f t="shared" si="10"/>
        <v>0</v>
      </c>
      <c r="AR50">
        <f>_xlfn.XLOOKUP(F50,'RM Cost'!A:A,'RM Cost'!S:S)</f>
        <v>0</v>
      </c>
      <c r="AS50" t="e">
        <f>_xlfn.XLOOKUP(A50,[3]Sheet1!$B:$B,[3]Sheet1!$B:$B)</f>
        <v>#N/A</v>
      </c>
    </row>
    <row r="51" spans="1:45" x14ac:dyDescent="0.25">
      <c r="A51" s="2" t="s">
        <v>576</v>
      </c>
      <c r="B51" s="2" t="s">
        <v>552</v>
      </c>
      <c r="C51" s="2" t="s">
        <v>577</v>
      </c>
      <c r="D51" s="2" t="s">
        <v>554</v>
      </c>
      <c r="E51" s="2">
        <v>2</v>
      </c>
      <c r="F51" s="1" t="str">
        <f>VLOOKUP(H51,'RM Used'!A:B,2,0)</f>
        <v>3450CS</v>
      </c>
      <c r="G51" s="1" t="str">
        <f>IFERROR(VLOOKUP(F51,'RM Cost'!A:B,2,0),"")</f>
        <v>CHAYOTE (CHOW CHOW) AVE X25</v>
      </c>
      <c r="H51" s="2" t="s">
        <v>1363</v>
      </c>
      <c r="I51" s="1" t="str">
        <f>VLOOKUP(F51,'RM Used'!B:D,3,0)</f>
        <v>RM-FOOD</v>
      </c>
      <c r="J51" s="66">
        <v>0.33</v>
      </c>
      <c r="K51" s="35">
        <f t="shared" si="0"/>
        <v>0.66</v>
      </c>
      <c r="L51" s="35">
        <f t="shared" si="1"/>
        <v>0.66</v>
      </c>
      <c r="M51" s="77" cm="1">
        <f t="array" ref="M51">_xlfn.IFS(BOM!I51="RM-PACKING","100%",B51="Reynolds",VLOOKUP(H51,'Yield &amp; Time'!A:V,22,0),BOM!B51="Dnata",VLOOKUP(BOM!H51,'Yield &amp; Time'!A:M,13,0),B51="NK",VLOOKUP(H51,'Yield &amp; Time'!A:X,24,0))</f>
        <v>0.74099999999999999</v>
      </c>
      <c r="N51" s="35">
        <f t="shared" si="19"/>
        <v>0.89068825910931182</v>
      </c>
      <c r="O51" s="1" t="str">
        <f>VLOOKUP(H51,'RM Used'!A:E,5,0)</f>
        <v>KG</v>
      </c>
      <c r="P51" s="11">
        <f>VLOOKUP(H51,'RM Used'!A:F,6,0)</f>
        <v>2.3199999999999998</v>
      </c>
      <c r="Q51" s="11">
        <f t="shared" si="11"/>
        <v>2.0663967611336034</v>
      </c>
      <c r="R51" s="11">
        <f>IFERROR(IF(B51="Reynolds",VLOOKUP(H51,'Yield &amp; Time'!A:U,21,0),VLOOKUP(H51,'Yield &amp; Time'!A:L,12,0)),0)</f>
        <v>8.8606837606837594</v>
      </c>
      <c r="S51" s="11">
        <f t="shared" si="3"/>
        <v>1.9795653589743587</v>
      </c>
      <c r="T51" s="11">
        <f t="shared" si="4"/>
        <v>9.7467521367521362E-2</v>
      </c>
      <c r="U51" s="11">
        <f>IF(A50=A51,0,VLOOKUP(A51,'Packing Time'!A:F,6,0))</f>
        <v>1.44</v>
      </c>
      <c r="V51" s="11">
        <f t="shared" si="12"/>
        <v>0.48743999999999993</v>
      </c>
      <c r="W51" s="11">
        <f t="shared" si="13"/>
        <v>2.4E-2</v>
      </c>
      <c r="X51" s="11">
        <f t="shared" si="5"/>
        <v>3.947208574358974</v>
      </c>
      <c r="Y51" s="11">
        <f t="shared" si="14"/>
        <v>3.947208574358974</v>
      </c>
      <c r="Z51" s="37">
        <v>1</v>
      </c>
      <c r="AA51" s="36">
        <f t="shared" si="6"/>
        <v>0.89068825910931182</v>
      </c>
      <c r="AB51" s="36">
        <f t="shared" si="7"/>
        <v>2.0663967611336034</v>
      </c>
      <c r="AC51" s="11">
        <f t="shared" si="8"/>
        <v>0.19434803418803417</v>
      </c>
      <c r="AD51" s="36">
        <f t="shared" si="15"/>
        <v>3.9472085743589735</v>
      </c>
      <c r="AE51" s="36" t="str">
        <f>VLOOKUP(H51,'Yield &amp; Time'!A:R,18,0)</f>
        <v>CHLORINE</v>
      </c>
      <c r="AF51" s="36">
        <f>IFERROR(VLOOKUP(AE51,'Chemical Cost'!A:D,4,0),0)</f>
        <v>2.7756518066439469E-2</v>
      </c>
      <c r="AG51" s="114">
        <f t="shared" si="9"/>
        <v>8.2408015851777108E-3</v>
      </c>
      <c r="AH51" s="36">
        <f t="shared" si="16"/>
        <v>8.2408015851777108E-3</v>
      </c>
      <c r="AI51" s="36">
        <f t="shared" si="17"/>
        <v>6.0218461370777554</v>
      </c>
      <c r="AJ51" s="36">
        <f>IFERROR(VLOOKUP(A51,'All Products'!A:F,6,0),0)</f>
        <v>6.22</v>
      </c>
      <c r="AK51" s="36">
        <f>AJ51*Z51*J51</f>
        <v>2.0526</v>
      </c>
      <c r="AL51" s="23">
        <v>0.5</v>
      </c>
      <c r="AM51" s="23">
        <v>0.5</v>
      </c>
      <c r="AN51" s="54" t="e">
        <v>#N/A</v>
      </c>
      <c r="AO51" s="47"/>
      <c r="AP51" s="4">
        <v>1.6</v>
      </c>
      <c r="AQ51" s="111">
        <f t="shared" si="10"/>
        <v>0.19434803418803417</v>
      </c>
      <c r="AR51">
        <f>_xlfn.XLOOKUP(F51,'RM Cost'!A:A,'RM Cost'!S:S)</f>
        <v>0</v>
      </c>
      <c r="AS51" t="e">
        <f>_xlfn.XLOOKUP(A51,[3]Sheet1!$B:$B,[3]Sheet1!$B:$B)</f>
        <v>#N/A</v>
      </c>
    </row>
    <row r="52" spans="1:45" x14ac:dyDescent="0.25">
      <c r="A52" s="2" t="s">
        <v>576</v>
      </c>
      <c r="B52" s="2" t="s">
        <v>552</v>
      </c>
      <c r="C52" s="2" t="s">
        <v>577</v>
      </c>
      <c r="D52" s="2" t="s">
        <v>554</v>
      </c>
      <c r="E52" s="2">
        <v>2</v>
      </c>
      <c r="F52" s="1" t="str">
        <f>VLOOKUP(H52,'RM Used'!A:B,2,0)</f>
        <v>3342CS</v>
      </c>
      <c r="G52" s="1" t="str">
        <f>IFERROR(VLOOKUP(F52,'RM Cost'!A:B,2,0),"")</f>
        <v>RM - ORI MOOLI X 15 EA</v>
      </c>
      <c r="H52" s="2" t="s">
        <v>1364</v>
      </c>
      <c r="I52" s="1" t="str">
        <f>VLOOKUP(F52,'RM Used'!B:D,3,0)</f>
        <v>RM-FOOD</v>
      </c>
      <c r="J52" s="66">
        <v>0.33</v>
      </c>
      <c r="K52" s="35">
        <f t="shared" si="0"/>
        <v>0.66</v>
      </c>
      <c r="L52" s="35">
        <f t="shared" si="1"/>
        <v>0.66</v>
      </c>
      <c r="M52" s="77" cm="1">
        <f t="array" ref="M52">_xlfn.IFS(BOM!I52="RM-PACKING","100%",B52="Reynolds",VLOOKUP(H52,'Yield &amp; Time'!A:V,22,0),BOM!B52="Dnata",VLOOKUP(BOM!H52,'Yield &amp; Time'!A:M,13,0),B52="NK",VLOOKUP(H52,'Yield &amp; Time'!A:X,24,0))</f>
        <v>0.77615999999999985</v>
      </c>
      <c r="N52" s="35">
        <f t="shared" si="19"/>
        <v>0.85034013605442194</v>
      </c>
      <c r="O52" s="1" t="str">
        <f>VLOOKUP(H52,'RM Used'!A:E,5,0)</f>
        <v>KG</v>
      </c>
      <c r="P52" s="11">
        <f>VLOOKUP(H52,'RM Used'!A:F,6,0)</f>
        <v>1.23</v>
      </c>
      <c r="Q52" s="11">
        <f t="shared" si="11"/>
        <v>1.045918367346939</v>
      </c>
      <c r="R52" s="11">
        <f>IFERROR(IF(B52="Reynolds",VLOOKUP(H52,'Yield &amp; Time'!A:U,21,0),VLOOKUP(H52,'Yield &amp; Time'!A:L,12,0)),0)</f>
        <v>1.4605442176870751</v>
      </c>
      <c r="S52" s="11">
        <f t="shared" si="3"/>
        <v>0.32630018367346941</v>
      </c>
      <c r="T52" s="11">
        <f t="shared" si="4"/>
        <v>1.6065986394557825E-2</v>
      </c>
      <c r="U52" s="11">
        <f>IF(A51=A52,0,VLOOKUP(A52,'Packing Time'!A:F,6,0))</f>
        <v>0</v>
      </c>
      <c r="V52" s="11">
        <f t="shared" si="12"/>
        <v>0</v>
      </c>
      <c r="W52" s="11">
        <f t="shared" si="13"/>
        <v>0</v>
      </c>
      <c r="X52" s="11">
        <f t="shared" si="5"/>
        <v>0.52208029387755106</v>
      </c>
      <c r="Y52" s="11">
        <f t="shared" si="14"/>
        <v>0.52208029387755106</v>
      </c>
      <c r="Z52" s="37">
        <v>1</v>
      </c>
      <c r="AA52" s="36">
        <f t="shared" si="6"/>
        <v>0.85034013605442194</v>
      </c>
      <c r="AB52" s="36">
        <f t="shared" si="7"/>
        <v>1.045918367346939</v>
      </c>
      <c r="AC52" s="11">
        <f t="shared" si="8"/>
        <v>2.570557823129252E-2</v>
      </c>
      <c r="AD52" s="36">
        <f t="shared" si="15"/>
        <v>0.52208029387755106</v>
      </c>
      <c r="AE52" s="36" t="str">
        <f>VLOOKUP(H52,'Yield &amp; Time'!A:R,18,0)</f>
        <v>CHLORINE</v>
      </c>
      <c r="AF52" s="36">
        <f>IFERROR(VLOOKUP(AE52,'Chemical Cost'!A:D,4,0),0)</f>
        <v>2.7756518066439469E-2</v>
      </c>
      <c r="AG52" s="114">
        <f t="shared" si="9"/>
        <v>7.8674937830043867E-3</v>
      </c>
      <c r="AH52" s="36">
        <f t="shared" si="16"/>
        <v>7.8674937830043867E-3</v>
      </c>
      <c r="AI52" s="36">
        <f t="shared" si="17"/>
        <v>1.5758661550074944</v>
      </c>
      <c r="AJ52" s="36">
        <f>IFERROR(VLOOKUP(A52,'All Products'!A:F,6,0),0)</f>
        <v>6.22</v>
      </c>
      <c r="AK52" s="36">
        <f>AJ52*Z52*J52</f>
        <v>2.0526</v>
      </c>
      <c r="AL52" s="23">
        <v>0.5</v>
      </c>
      <c r="AM52" s="23">
        <v>0.5</v>
      </c>
      <c r="AN52" s="54" t="e">
        <v>#N/A</v>
      </c>
      <c r="AO52" s="47"/>
      <c r="AP52" s="4">
        <v>1.6</v>
      </c>
      <c r="AQ52" s="111">
        <f t="shared" si="10"/>
        <v>2.570557823129252E-2</v>
      </c>
      <c r="AR52">
        <f>_xlfn.XLOOKUP(F52,'RM Cost'!A:A,'RM Cost'!S:S)</f>
        <v>0</v>
      </c>
      <c r="AS52" t="e">
        <f>_xlfn.XLOOKUP(A52,[3]Sheet1!$B:$B,[3]Sheet1!$B:$B)</f>
        <v>#N/A</v>
      </c>
    </row>
    <row r="53" spans="1:45" x14ac:dyDescent="0.25">
      <c r="A53" s="2" t="s">
        <v>576</v>
      </c>
      <c r="B53" s="2" t="s">
        <v>552</v>
      </c>
      <c r="C53" s="2" t="s">
        <v>577</v>
      </c>
      <c r="D53" s="2" t="s">
        <v>554</v>
      </c>
      <c r="E53" s="2">
        <v>2</v>
      </c>
      <c r="F53" s="1" t="str">
        <f>VLOOKUP(H53,'RM Used'!A:B,2,0)</f>
        <v>032ACS</v>
      </c>
      <c r="G53" s="1" t="str">
        <f>IFERROR(VLOOKUP(F53,'RM Cost'!A:B,2,0),"")</f>
        <v>RM - LRG PROCESSING CARROT X 1000KG</v>
      </c>
      <c r="H53" s="2" t="s">
        <v>1351</v>
      </c>
      <c r="I53" s="1" t="str">
        <f>VLOOKUP(F53,'RM Used'!B:D,3,0)</f>
        <v>RM-FOOD</v>
      </c>
      <c r="J53" s="66">
        <v>0.33</v>
      </c>
      <c r="K53" s="35">
        <f t="shared" si="0"/>
        <v>0.66</v>
      </c>
      <c r="L53" s="35">
        <f t="shared" si="1"/>
        <v>0.66</v>
      </c>
      <c r="M53" s="77" cm="1">
        <f t="array" ref="M53">_xlfn.IFS(BOM!I53="RM-PACKING","100%",B53="Reynolds",VLOOKUP(H53,'Yield &amp; Time'!A:V,22,0),BOM!B53="Dnata",VLOOKUP(BOM!H53,'Yield &amp; Time'!A:M,13,0),B53="NK",VLOOKUP(H53,'Yield &amp; Time'!A:X,24,0))</f>
        <v>0.75330000000000008</v>
      </c>
      <c r="N53" s="35">
        <f t="shared" si="19"/>
        <v>0.87614496216646753</v>
      </c>
      <c r="O53" s="1" t="str">
        <f>VLOOKUP(H53,'RM Used'!A:E,5,0)</f>
        <v>KG</v>
      </c>
      <c r="P53" s="11">
        <f>VLOOKUP(H53,'RM Used'!A:F,6,0)</f>
        <v>0.38</v>
      </c>
      <c r="Q53" s="11">
        <f t="shared" si="11"/>
        <v>0.33293508562325769</v>
      </c>
      <c r="R53" s="11">
        <f>IFERROR(IF(B53="Reynolds",VLOOKUP(H53,'Yield &amp; Time'!A:U,21,0),VLOOKUP(H53,'Yield &amp; Time'!A:L,12,0)),0)</f>
        <v>0.90531914893617027</v>
      </c>
      <c r="S53" s="11">
        <f t="shared" si="3"/>
        <v>0.2022573510638298</v>
      </c>
      <c r="T53" s="11">
        <f t="shared" si="4"/>
        <v>9.9585106382978732E-3</v>
      </c>
      <c r="U53" s="11">
        <f>IF(A52=A53,0,VLOOKUP(A53,'Packing Time'!A:F,6,0))</f>
        <v>0</v>
      </c>
      <c r="V53" s="11">
        <f t="shared" si="12"/>
        <v>0</v>
      </c>
      <c r="W53" s="11">
        <f t="shared" si="13"/>
        <v>0</v>
      </c>
      <c r="X53" s="11">
        <f t="shared" si="5"/>
        <v>0.32361176170212769</v>
      </c>
      <c r="Y53" s="11">
        <f t="shared" si="14"/>
        <v>0.32361176170212769</v>
      </c>
      <c r="Z53" s="37">
        <v>1</v>
      </c>
      <c r="AA53" s="36">
        <f t="shared" si="6"/>
        <v>0.87614496216646753</v>
      </c>
      <c r="AB53" s="36">
        <f t="shared" si="7"/>
        <v>0.33293508562325769</v>
      </c>
      <c r="AC53" s="11">
        <f t="shared" si="8"/>
        <v>1.5933617021276599E-2</v>
      </c>
      <c r="AD53" s="36">
        <f t="shared" si="15"/>
        <v>0.32361176170212769</v>
      </c>
      <c r="AE53" s="36" t="str">
        <f>VLOOKUP(H53,'Yield &amp; Time'!A:R,18,0)</f>
        <v>CHLORINE</v>
      </c>
      <c r="AF53" s="36">
        <f>IFERROR(VLOOKUP(AE53,'Chemical Cost'!A:D,4,0),0)</f>
        <v>2.7756518066439469E-2</v>
      </c>
      <c r="AG53" s="114">
        <f t="shared" si="9"/>
        <v>8.1062444903978268E-3</v>
      </c>
      <c r="AH53" s="36">
        <f t="shared" si="16"/>
        <v>8.1062444903978268E-3</v>
      </c>
      <c r="AI53" s="36">
        <f t="shared" si="17"/>
        <v>0.66465309181578325</v>
      </c>
      <c r="AJ53" s="36">
        <f>IFERROR(VLOOKUP(A53,'All Products'!A:F,6,0),0)</f>
        <v>6.22</v>
      </c>
      <c r="AK53" s="36">
        <f>AJ53*Z53*J53</f>
        <v>2.0526</v>
      </c>
      <c r="AL53" s="23">
        <v>0.5</v>
      </c>
      <c r="AM53" s="23">
        <v>0.5</v>
      </c>
      <c r="AN53" s="54" t="e">
        <v>#N/A</v>
      </c>
      <c r="AO53" s="47"/>
      <c r="AP53" s="4">
        <v>1.6</v>
      </c>
      <c r="AQ53" s="111">
        <f t="shared" si="10"/>
        <v>1.5933617021276599E-2</v>
      </c>
      <c r="AR53">
        <f>_xlfn.XLOOKUP(F53,'RM Cost'!A:A,'RM Cost'!S:S)</f>
        <v>0</v>
      </c>
      <c r="AS53" t="e">
        <f>_xlfn.XLOOKUP(A53,[3]Sheet1!$B:$B,[3]Sheet1!$B:$B)</f>
        <v>#N/A</v>
      </c>
    </row>
    <row r="54" spans="1:45" x14ac:dyDescent="0.25">
      <c r="A54" s="2" t="s">
        <v>576</v>
      </c>
      <c r="B54" s="2" t="s">
        <v>552</v>
      </c>
      <c r="C54" s="2" t="s">
        <v>577</v>
      </c>
      <c r="D54" s="2" t="s">
        <v>554</v>
      </c>
      <c r="E54" s="2">
        <v>2</v>
      </c>
      <c r="F54" s="1" t="str">
        <f>VLOOKUP(H54,'RM Used'!A:B,2,0)</f>
        <v>P0020</v>
      </c>
      <c r="G54" s="1" t="str">
        <f>IFERROR(VLOOKUP(F54,'RM Cost'!A:B,2,0),"")</f>
        <v>PALE BLUE BAG 430X430MM</v>
      </c>
      <c r="H54" s="2" t="s">
        <v>1659</v>
      </c>
      <c r="I54" s="1" t="str">
        <f>VLOOKUP(F54,'RM Used'!B:D,3,0)</f>
        <v>RM-PACKING</v>
      </c>
      <c r="J54" s="66">
        <v>1</v>
      </c>
      <c r="K54" s="35" t="str">
        <f t="shared" si="0"/>
        <v/>
      </c>
      <c r="L54" s="35">
        <f t="shared" si="1"/>
        <v>0</v>
      </c>
      <c r="M54" s="77" t="str" cm="1">
        <f t="array" ref="M54">_xlfn.IFS(BOM!I54="RM-PACKING","100%",B54="Reynolds",VLOOKUP(H54,'Yield &amp; Time'!A:V,22,0),BOM!B54="Dnata",VLOOKUP(BOM!H54,'Yield &amp; Time'!A:M,13,0),B54="NK",VLOOKUP(H54,'Yield &amp; Time'!A:X,24,0))</f>
        <v>100%</v>
      </c>
      <c r="N54" s="35">
        <v>2</v>
      </c>
      <c r="O54" s="1" t="str">
        <f>VLOOKUP(H54,'RM Used'!A:E,5,0)</f>
        <v>Count</v>
      </c>
      <c r="P54" s="11">
        <f>VLOOKUP(H54,'RM Used'!A:F,6,0)</f>
        <v>0.09</v>
      </c>
      <c r="Q54" s="11">
        <f t="shared" si="11"/>
        <v>0.18</v>
      </c>
      <c r="R54" s="11">
        <f>IFERROR(IF(B54="Reynolds",VLOOKUP(H54,'Yield &amp; Time'!A:U,21,0),VLOOKUP(H54,'Yield &amp; Time'!A:L,12,0)),0)</f>
        <v>0</v>
      </c>
      <c r="S54" s="11">
        <f t="shared" si="3"/>
        <v>0</v>
      </c>
      <c r="T54" s="11">
        <f t="shared" si="4"/>
        <v>0</v>
      </c>
      <c r="U54" s="11">
        <f>IF(A53=A54,0,VLOOKUP(A54,'Packing Time'!A:F,6,0))</f>
        <v>0</v>
      </c>
      <c r="V54" s="11">
        <f t="shared" si="12"/>
        <v>0</v>
      </c>
      <c r="W54" s="11">
        <f t="shared" si="13"/>
        <v>0</v>
      </c>
      <c r="X54" s="11">
        <f t="shared" si="5"/>
        <v>0</v>
      </c>
      <c r="Y54" s="11">
        <f t="shared" si="14"/>
        <v>0</v>
      </c>
      <c r="Z54" s="37">
        <v>1</v>
      </c>
      <c r="AA54" s="36">
        <f t="shared" si="6"/>
        <v>2</v>
      </c>
      <c r="AB54" s="36">
        <f t="shared" si="7"/>
        <v>0.18</v>
      </c>
      <c r="AC54" s="11">
        <f t="shared" si="8"/>
        <v>0</v>
      </c>
      <c r="AD54" s="36">
        <f t="shared" si="15"/>
        <v>0</v>
      </c>
      <c r="AE54" s="36"/>
      <c r="AF54" s="36">
        <f>IFERROR(VLOOKUP(AE54,'Chemical Cost'!A:D,4,0),0)</f>
        <v>0</v>
      </c>
      <c r="AG54" s="114">
        <f t="shared" si="9"/>
        <v>0</v>
      </c>
      <c r="AH54" s="36">
        <f t="shared" si="16"/>
        <v>0</v>
      </c>
      <c r="AI54" s="36">
        <f t="shared" si="17"/>
        <v>0.18</v>
      </c>
      <c r="AJ54" s="36">
        <f>IFERROR(VLOOKUP(A54,'All Products'!A:F,6,0),0)</f>
        <v>6.22</v>
      </c>
      <c r="AK54" s="36"/>
      <c r="AL54" s="23">
        <v>0.5</v>
      </c>
      <c r="AM54" s="23">
        <v>0.5</v>
      </c>
      <c r="AN54" s="54" t="e">
        <v>#N/A</v>
      </c>
      <c r="AO54" s="47"/>
      <c r="AP54" s="4">
        <v>1.6</v>
      </c>
      <c r="AQ54" s="111">
        <f t="shared" si="10"/>
        <v>0</v>
      </c>
      <c r="AR54">
        <f>_xlfn.XLOOKUP(F54,'RM Cost'!A:A,'RM Cost'!S:S)</f>
        <v>0</v>
      </c>
      <c r="AS54" t="e">
        <f>_xlfn.XLOOKUP(A54,[3]Sheet1!$B:$B,[3]Sheet1!$B:$B)</f>
        <v>#N/A</v>
      </c>
    </row>
    <row r="55" spans="1:45" x14ac:dyDescent="0.25">
      <c r="A55" s="2" t="s">
        <v>576</v>
      </c>
      <c r="B55" s="2" t="s">
        <v>552</v>
      </c>
      <c r="C55" s="2" t="s">
        <v>577</v>
      </c>
      <c r="D55" s="2" t="s">
        <v>554</v>
      </c>
      <c r="E55" s="2">
        <v>2</v>
      </c>
      <c r="F55" s="1" t="str">
        <f>VLOOKUP(H55,'RM Used'!A:B,2,0)</f>
        <v>P0016</v>
      </c>
      <c r="G55" s="1" t="str">
        <f>IFERROR(VLOOKUP(F55,'RM Cost'!A:B,2,0),"")</f>
        <v>REY 40 30 BOX</v>
      </c>
      <c r="H55" s="2" t="s">
        <v>1332</v>
      </c>
      <c r="I55" s="1" t="str">
        <f>VLOOKUP(F55,'RM Used'!B:D,3,0)</f>
        <v>RM-PACKING</v>
      </c>
      <c r="J55" s="66">
        <v>1</v>
      </c>
      <c r="K55" s="35" t="str">
        <f t="shared" si="0"/>
        <v/>
      </c>
      <c r="L55" s="35">
        <f t="shared" si="1"/>
        <v>0</v>
      </c>
      <c r="M55" s="77" t="str" cm="1">
        <f t="array" ref="M55">_xlfn.IFS(BOM!I55="RM-PACKING","100%",B55="Reynolds",VLOOKUP(H55,'Yield &amp; Time'!A:V,22,0),BOM!B55="Dnata",VLOOKUP(BOM!H55,'Yield &amp; Time'!A:M,13,0),B55="NK",VLOOKUP(H55,'Yield &amp; Time'!A:X,24,0))</f>
        <v>100%</v>
      </c>
      <c r="N55" s="35">
        <f t="shared" ref="N55:N67" si="20">IFERROR(IF(I55="RM-FOOD",(E55*J55)/M55,1),0)</f>
        <v>1</v>
      </c>
      <c r="O55" s="1" t="str">
        <f>VLOOKUP(H55,'RM Used'!A:E,5,0)</f>
        <v>Count</v>
      </c>
      <c r="P55" s="11">
        <f>VLOOKUP(H55,'RM Used'!A:F,6,0)</f>
        <v>0.28000000000000003</v>
      </c>
      <c r="Q55" s="11">
        <f t="shared" si="11"/>
        <v>0.28000000000000003</v>
      </c>
      <c r="R55" s="11">
        <f>IFERROR(IF(B55="Reynolds",VLOOKUP(H55,'Yield &amp; Time'!A:U,21,0),VLOOKUP(H55,'Yield &amp; Time'!A:L,12,0)),0)</f>
        <v>0</v>
      </c>
      <c r="S55" s="11">
        <f t="shared" si="3"/>
        <v>0</v>
      </c>
      <c r="T55" s="11">
        <f t="shared" si="4"/>
        <v>0</v>
      </c>
      <c r="U55" s="11">
        <f>IF(A54=A55,0,VLOOKUP(A55,'Packing Time'!A:F,6,0))</f>
        <v>0</v>
      </c>
      <c r="V55" s="11">
        <f t="shared" si="12"/>
        <v>0</v>
      </c>
      <c r="W55" s="11">
        <f t="shared" si="13"/>
        <v>0</v>
      </c>
      <c r="X55" s="11">
        <f t="shared" si="5"/>
        <v>0</v>
      </c>
      <c r="Y55" s="11">
        <f t="shared" si="14"/>
        <v>0</v>
      </c>
      <c r="Z55" s="37">
        <v>1</v>
      </c>
      <c r="AA55" s="36">
        <f t="shared" si="6"/>
        <v>1</v>
      </c>
      <c r="AB55" s="36">
        <f t="shared" si="7"/>
        <v>0.28000000000000003</v>
      </c>
      <c r="AC55" s="11">
        <f t="shared" si="8"/>
        <v>0</v>
      </c>
      <c r="AD55" s="36">
        <f t="shared" si="15"/>
        <v>0</v>
      </c>
      <c r="AE55" s="36"/>
      <c r="AF55" s="36">
        <f>IFERROR(VLOOKUP(AE55,'Chemical Cost'!A:D,4,0),0)</f>
        <v>0</v>
      </c>
      <c r="AG55" s="114">
        <f t="shared" si="9"/>
        <v>0</v>
      </c>
      <c r="AH55" s="36">
        <f t="shared" si="16"/>
        <v>0</v>
      </c>
      <c r="AI55" s="36">
        <f t="shared" si="17"/>
        <v>0.28000000000000003</v>
      </c>
      <c r="AJ55" s="36">
        <f>IFERROR(VLOOKUP(A55,'All Products'!A:F,6,0),0)</f>
        <v>6.22</v>
      </c>
      <c r="AK55" s="36"/>
      <c r="AL55" s="23">
        <v>0.5</v>
      </c>
      <c r="AM55" s="23">
        <v>0.5</v>
      </c>
      <c r="AN55" s="54" t="e">
        <v>#N/A</v>
      </c>
      <c r="AO55" s="47"/>
      <c r="AP55" s="4">
        <v>1.6</v>
      </c>
      <c r="AQ55" s="111">
        <f t="shared" si="10"/>
        <v>0</v>
      </c>
      <c r="AR55">
        <f>_xlfn.XLOOKUP(F55,'RM Cost'!A:A,'RM Cost'!S:S)</f>
        <v>0</v>
      </c>
      <c r="AS55" t="e">
        <f>_xlfn.XLOOKUP(A55,[3]Sheet1!$B:$B,[3]Sheet1!$B:$B)</f>
        <v>#N/A</v>
      </c>
    </row>
    <row r="56" spans="1:45" x14ac:dyDescent="0.25">
      <c r="A56" s="2" t="s">
        <v>225</v>
      </c>
      <c r="B56" s="2" t="s">
        <v>552</v>
      </c>
      <c r="C56" s="2" t="s">
        <v>587</v>
      </c>
      <c r="D56" s="2" t="s">
        <v>554</v>
      </c>
      <c r="E56" s="2">
        <v>2.5</v>
      </c>
      <c r="F56" s="1" t="str">
        <f>VLOOKUP(H56,'RM Used'!A:B,2,0)</f>
        <v>032ACS</v>
      </c>
      <c r="G56" s="1" t="str">
        <f>IFERROR(VLOOKUP(F56,'RM Cost'!A:B,2,0),"")</f>
        <v>RM - LRG PROCESSING CARROT X 1000KG</v>
      </c>
      <c r="H56" s="2" t="s">
        <v>1430</v>
      </c>
      <c r="I56" s="1" t="str">
        <f>VLOOKUP(F56,'RM Used'!B:D,3,0)</f>
        <v>RM-FOOD</v>
      </c>
      <c r="J56" s="66">
        <v>1</v>
      </c>
      <c r="K56" s="35">
        <f t="shared" si="0"/>
        <v>2.5</v>
      </c>
      <c r="L56" s="35">
        <f t="shared" si="1"/>
        <v>2.5</v>
      </c>
      <c r="M56" s="77" cm="1">
        <f t="array" ref="M56">_xlfn.IFS(BOM!I56="RM-PACKING","100%",B56="Reynolds",VLOOKUP(H56,'Yield &amp; Time'!A:V,22,0),BOM!B56="Dnata",VLOOKUP(BOM!H56,'Yield &amp; Time'!A:M,13,0),B56="NK",VLOOKUP(H56,'Yield &amp; Time'!A:X,24,0))</f>
        <v>0.71850998224686224</v>
      </c>
      <c r="N56" s="35">
        <f t="shared" si="20"/>
        <v>3.4794227801570918</v>
      </c>
      <c r="O56" s="1" t="str">
        <f>VLOOKUP(H56,'RM Used'!A:E,5,0)</f>
        <v>KG</v>
      </c>
      <c r="P56" s="11">
        <f>VLOOKUP(H56,'RM Used'!A:F,6,0)</f>
        <v>0.38</v>
      </c>
      <c r="Q56" s="11">
        <f t="shared" si="11"/>
        <v>1.322180656459695</v>
      </c>
      <c r="R56" s="11">
        <f>IFERROR(IF(B56="Reynolds",VLOOKUP(H56,'Yield &amp; Time'!A:U,21,0),VLOOKUP(H56,'Yield &amp; Time'!A:L,12,0)),0)</f>
        <v>1.7110957948741659</v>
      </c>
      <c r="S56" s="11">
        <f t="shared" si="3"/>
        <v>1.4480148164122626</v>
      </c>
      <c r="T56" s="11">
        <f t="shared" si="4"/>
        <v>7.1295658119756897E-2</v>
      </c>
      <c r="U56" s="11">
        <f>IF(A55=A56,0,VLOOKUP(A56,'Packing Time'!A:F,6,0))</f>
        <v>0.875</v>
      </c>
      <c r="V56" s="11">
        <f t="shared" si="12"/>
        <v>0.29618749999999999</v>
      </c>
      <c r="W56" s="11">
        <f t="shared" si="13"/>
        <v>1.4583333333333334E-2</v>
      </c>
      <c r="X56" s="11">
        <f t="shared" si="5"/>
        <v>2.7907237062596204</v>
      </c>
      <c r="Y56" s="11">
        <f t="shared" si="14"/>
        <v>2.7907237062596204</v>
      </c>
      <c r="Z56" s="37">
        <v>1</v>
      </c>
      <c r="AA56" s="36">
        <f t="shared" si="6"/>
        <v>3.4794227801570918</v>
      </c>
      <c r="AB56" s="36">
        <f t="shared" si="7"/>
        <v>1.322180656459695</v>
      </c>
      <c r="AC56" s="11">
        <f t="shared" si="8"/>
        <v>0.13740638632494437</v>
      </c>
      <c r="AD56" s="36">
        <f t="shared" si="15"/>
        <v>2.79072370625962</v>
      </c>
      <c r="AE56" s="36" t="str">
        <f>VLOOKUP(H56,'Yield &amp; Time'!A:R,18,0)</f>
        <v>CHLORINE</v>
      </c>
      <c r="AF56" s="36">
        <f>IFERROR(VLOOKUP(AE56,'Chemical Cost'!A:D,4,0),0)</f>
        <v>2.7756518066439469E-2</v>
      </c>
      <c r="AG56" s="114">
        <f t="shared" si="9"/>
        <v>3.219222041940379E-2</v>
      </c>
      <c r="AH56" s="36">
        <f t="shared" si="16"/>
        <v>3.219222041940379E-2</v>
      </c>
      <c r="AI56" s="36">
        <f t="shared" si="17"/>
        <v>4.1450965831387192</v>
      </c>
      <c r="AJ56" s="36">
        <f>IFERROR(VLOOKUP(A56,'All Products'!A:F,6,0),0)</f>
        <v>4.04</v>
      </c>
      <c r="AK56" s="36">
        <f>AJ56*Z56*J56</f>
        <v>4.04</v>
      </c>
      <c r="AL56" s="23">
        <v>1</v>
      </c>
      <c r="AM56" s="23"/>
      <c r="AN56" s="54" t="e">
        <v>#N/A</v>
      </c>
      <c r="AO56" s="47"/>
      <c r="AP56" s="4">
        <v>1.6</v>
      </c>
      <c r="AQ56" s="111">
        <f t="shared" si="10"/>
        <v>0.13740638632494437</v>
      </c>
      <c r="AR56">
        <f>_xlfn.XLOOKUP(F56,'RM Cost'!A:A,'RM Cost'!S:S)</f>
        <v>0</v>
      </c>
      <c r="AS56" t="e">
        <f>_xlfn.XLOOKUP(A56,[3]Sheet1!$B:$B,[3]Sheet1!$B:$B)</f>
        <v>#N/A</v>
      </c>
    </row>
    <row r="57" spans="1:45" x14ac:dyDescent="0.25">
      <c r="A57" s="2" t="s">
        <v>225</v>
      </c>
      <c r="B57" s="2" t="s">
        <v>552</v>
      </c>
      <c r="C57" s="2" t="s">
        <v>587</v>
      </c>
      <c r="D57" s="2" t="s">
        <v>554</v>
      </c>
      <c r="E57" s="2">
        <v>2.5</v>
      </c>
      <c r="F57" s="1" t="str">
        <f>VLOOKUP(H57,'RM Used'!A:B,2,0)</f>
        <v>P0020</v>
      </c>
      <c r="G57" s="1" t="str">
        <f>IFERROR(VLOOKUP(F57,'RM Cost'!A:B,2,0),"")</f>
        <v>PALE BLUE BAG 430X430MM</v>
      </c>
      <c r="H57" s="2" t="s">
        <v>1659</v>
      </c>
      <c r="I57" s="1" t="str">
        <f>VLOOKUP(F57,'RM Used'!B:D,3,0)</f>
        <v>RM-PACKING</v>
      </c>
      <c r="J57" s="66">
        <v>1</v>
      </c>
      <c r="K57" s="35" t="str">
        <f t="shared" si="0"/>
        <v/>
      </c>
      <c r="L57" s="35">
        <f t="shared" si="1"/>
        <v>0</v>
      </c>
      <c r="M57" s="77" t="str" cm="1">
        <f t="array" ref="M57">_xlfn.IFS(BOM!I57="RM-PACKING","100%",B57="Reynolds",VLOOKUP(H57,'Yield &amp; Time'!A:V,22,0),BOM!B57="Dnata",VLOOKUP(BOM!H57,'Yield &amp; Time'!A:M,13,0),B57="NK",VLOOKUP(H57,'Yield &amp; Time'!A:X,24,0))</f>
        <v>100%</v>
      </c>
      <c r="N57" s="35">
        <f t="shared" si="20"/>
        <v>1</v>
      </c>
      <c r="O57" s="1" t="str">
        <f>VLOOKUP(H57,'RM Used'!A:E,5,0)</f>
        <v>Count</v>
      </c>
      <c r="P57" s="11">
        <f>VLOOKUP(H57,'RM Used'!A:F,6,0)</f>
        <v>0.09</v>
      </c>
      <c r="Q57" s="11">
        <f t="shared" si="11"/>
        <v>0.09</v>
      </c>
      <c r="R57" s="11">
        <f>IFERROR(IF(B57="Reynolds",VLOOKUP(H57,'Yield &amp; Time'!A:U,21,0),VLOOKUP(H57,'Yield &amp; Time'!A:L,12,0)),0)</f>
        <v>0</v>
      </c>
      <c r="S57" s="11">
        <f t="shared" si="3"/>
        <v>0</v>
      </c>
      <c r="T57" s="11">
        <f t="shared" si="4"/>
        <v>0</v>
      </c>
      <c r="U57" s="11">
        <f>IF(A56=A57,0,VLOOKUP(A57,'Packing Time'!A:F,6,0))</f>
        <v>0</v>
      </c>
      <c r="V57" s="11">
        <f t="shared" si="12"/>
        <v>0</v>
      </c>
      <c r="W57" s="11">
        <f t="shared" si="13"/>
        <v>0</v>
      </c>
      <c r="X57" s="11">
        <f t="shared" si="5"/>
        <v>0</v>
      </c>
      <c r="Y57" s="11">
        <f t="shared" si="14"/>
        <v>0</v>
      </c>
      <c r="Z57" s="37">
        <v>1</v>
      </c>
      <c r="AA57" s="36">
        <f t="shared" si="6"/>
        <v>1</v>
      </c>
      <c r="AB57" s="36">
        <f t="shared" si="7"/>
        <v>0.09</v>
      </c>
      <c r="AC57" s="11">
        <f t="shared" si="8"/>
        <v>0</v>
      </c>
      <c r="AD57" s="36">
        <f t="shared" si="15"/>
        <v>0</v>
      </c>
      <c r="AE57" s="36"/>
      <c r="AF57" s="36">
        <f>IFERROR(VLOOKUP(AE57,'Chemical Cost'!A:D,4,0),0)</f>
        <v>0</v>
      </c>
      <c r="AG57" s="114">
        <f t="shared" si="9"/>
        <v>0</v>
      </c>
      <c r="AH57" s="36">
        <f t="shared" si="16"/>
        <v>0</v>
      </c>
      <c r="AI57" s="36">
        <f t="shared" si="17"/>
        <v>0.09</v>
      </c>
      <c r="AJ57" s="36">
        <f>IFERROR(VLOOKUP(A57,'All Products'!A:F,6,0),0)</f>
        <v>4.04</v>
      </c>
      <c r="AK57" s="36"/>
      <c r="AL57" s="23">
        <v>1</v>
      </c>
      <c r="AM57" s="23"/>
      <c r="AN57" s="54" t="e">
        <v>#N/A</v>
      </c>
      <c r="AO57" s="47"/>
      <c r="AP57" s="4">
        <v>1.6</v>
      </c>
      <c r="AQ57" s="111">
        <f t="shared" si="10"/>
        <v>0</v>
      </c>
      <c r="AR57">
        <f>_xlfn.XLOOKUP(F57,'RM Cost'!A:A,'RM Cost'!S:S)</f>
        <v>0</v>
      </c>
      <c r="AS57" t="e">
        <f>_xlfn.XLOOKUP(A57,[3]Sheet1!$B:$B,[3]Sheet1!$B:$B)</f>
        <v>#N/A</v>
      </c>
    </row>
    <row r="58" spans="1:45" x14ac:dyDescent="0.25">
      <c r="A58" s="2" t="s">
        <v>225</v>
      </c>
      <c r="B58" s="2" t="s">
        <v>552</v>
      </c>
      <c r="C58" s="2" t="s">
        <v>587</v>
      </c>
      <c r="D58" s="2" t="s">
        <v>554</v>
      </c>
      <c r="E58" s="2">
        <v>2.5</v>
      </c>
      <c r="F58" s="1" t="str">
        <f>VLOOKUP(H58,'RM Used'!A:B,2,0)</f>
        <v>P0016</v>
      </c>
      <c r="G58" s="1" t="str">
        <f>IFERROR(VLOOKUP(F58,'RM Cost'!A:B,2,0),"")</f>
        <v>REY 40 30 BOX</v>
      </c>
      <c r="H58" s="2" t="s">
        <v>1332</v>
      </c>
      <c r="I58" s="1" t="str">
        <f>VLOOKUP(F58,'RM Used'!B:D,3,0)</f>
        <v>RM-PACKING</v>
      </c>
      <c r="J58" s="66">
        <v>1</v>
      </c>
      <c r="K58" s="35" t="str">
        <f t="shared" si="0"/>
        <v/>
      </c>
      <c r="L58" s="35">
        <f t="shared" si="1"/>
        <v>0</v>
      </c>
      <c r="M58" s="77" t="str" cm="1">
        <f t="array" ref="M58">_xlfn.IFS(BOM!I58="RM-PACKING","100%",B58="Reynolds",VLOOKUP(H58,'Yield &amp; Time'!A:V,22,0),BOM!B58="Dnata",VLOOKUP(BOM!H58,'Yield &amp; Time'!A:M,13,0),B58="NK",VLOOKUP(H58,'Yield &amp; Time'!A:X,24,0))</f>
        <v>100%</v>
      </c>
      <c r="N58" s="35">
        <f t="shared" si="20"/>
        <v>1</v>
      </c>
      <c r="O58" s="1" t="str">
        <f>VLOOKUP(H58,'RM Used'!A:E,5,0)</f>
        <v>Count</v>
      </c>
      <c r="P58" s="11">
        <f>VLOOKUP(H58,'RM Used'!A:F,6,0)</f>
        <v>0.28000000000000003</v>
      </c>
      <c r="Q58" s="11">
        <f t="shared" si="11"/>
        <v>0.28000000000000003</v>
      </c>
      <c r="R58" s="11">
        <f>IFERROR(IF(B58="Reynolds",VLOOKUP(H58,'Yield &amp; Time'!A:U,21,0),VLOOKUP(H58,'Yield &amp; Time'!A:L,12,0)),0)</f>
        <v>0</v>
      </c>
      <c r="S58" s="11">
        <f t="shared" si="3"/>
        <v>0</v>
      </c>
      <c r="T58" s="11">
        <f t="shared" si="4"/>
        <v>0</v>
      </c>
      <c r="U58" s="11">
        <f>IF(A57=A58,0,VLOOKUP(A58,'Packing Time'!A:F,6,0))</f>
        <v>0</v>
      </c>
      <c r="V58" s="11">
        <f t="shared" si="12"/>
        <v>0</v>
      </c>
      <c r="W58" s="11">
        <f t="shared" si="13"/>
        <v>0</v>
      </c>
      <c r="X58" s="11">
        <f t="shared" si="5"/>
        <v>0</v>
      </c>
      <c r="Y58" s="11">
        <f t="shared" si="14"/>
        <v>0</v>
      </c>
      <c r="Z58" s="37">
        <v>1</v>
      </c>
      <c r="AA58" s="36">
        <f t="shared" si="6"/>
        <v>1</v>
      </c>
      <c r="AB58" s="36">
        <f t="shared" si="7"/>
        <v>0.28000000000000003</v>
      </c>
      <c r="AC58" s="11">
        <f t="shared" si="8"/>
        <v>0</v>
      </c>
      <c r="AD58" s="36">
        <f t="shared" si="15"/>
        <v>0</v>
      </c>
      <c r="AE58" s="36"/>
      <c r="AF58" s="36">
        <f>IFERROR(VLOOKUP(AE58,'Chemical Cost'!A:D,4,0),0)</f>
        <v>0</v>
      </c>
      <c r="AG58" s="114">
        <f t="shared" si="9"/>
        <v>0</v>
      </c>
      <c r="AH58" s="36">
        <f t="shared" si="16"/>
        <v>0</v>
      </c>
      <c r="AI58" s="36">
        <f t="shared" si="17"/>
        <v>0.28000000000000003</v>
      </c>
      <c r="AJ58" s="36">
        <f>IFERROR(VLOOKUP(A58,'All Products'!A:F,6,0),0)</f>
        <v>4.04</v>
      </c>
      <c r="AK58" s="36"/>
      <c r="AL58" s="23">
        <v>1</v>
      </c>
      <c r="AM58" s="23"/>
      <c r="AN58" s="54" t="e">
        <v>#N/A</v>
      </c>
      <c r="AO58" s="47"/>
      <c r="AP58" s="4">
        <v>1.6</v>
      </c>
      <c r="AQ58" s="111">
        <f t="shared" si="10"/>
        <v>0</v>
      </c>
      <c r="AR58">
        <f>_xlfn.XLOOKUP(F58,'RM Cost'!A:A,'RM Cost'!S:S)</f>
        <v>0</v>
      </c>
      <c r="AS58" t="e">
        <f>_xlfn.XLOOKUP(A58,[3]Sheet1!$B:$B,[3]Sheet1!$B:$B)</f>
        <v>#N/A</v>
      </c>
    </row>
    <row r="59" spans="1:45" x14ac:dyDescent="0.25">
      <c r="A59" s="2" t="s">
        <v>232</v>
      </c>
      <c r="B59" s="2" t="s">
        <v>552</v>
      </c>
      <c r="C59" s="2" t="s">
        <v>591</v>
      </c>
      <c r="D59" s="2" t="s">
        <v>554</v>
      </c>
      <c r="E59" s="2">
        <v>1</v>
      </c>
      <c r="F59" s="1" t="str">
        <f>VLOOKUP(H59,'RM Used'!A:B,2,0)</f>
        <v>032ACS</v>
      </c>
      <c r="G59" s="1" t="str">
        <f>IFERROR(VLOOKUP(F59,'RM Cost'!A:B,2,0),"")</f>
        <v>RM - LRG PROCESSING CARROT X 1000KG</v>
      </c>
      <c r="H59" s="2" t="s">
        <v>1351</v>
      </c>
      <c r="I59" s="1" t="str">
        <f>VLOOKUP(F59,'RM Used'!B:D,3,0)</f>
        <v>RM-FOOD</v>
      </c>
      <c r="J59" s="66">
        <v>1</v>
      </c>
      <c r="K59" s="35">
        <f t="shared" si="0"/>
        <v>1</v>
      </c>
      <c r="L59" s="35">
        <f t="shared" si="1"/>
        <v>1</v>
      </c>
      <c r="M59" s="77" cm="1">
        <f t="array" ref="M59">_xlfn.IFS(BOM!I59="RM-PACKING","100%",B59="Reynolds",VLOOKUP(H59,'Yield &amp; Time'!A:V,22,0),BOM!B59="Dnata",VLOOKUP(BOM!H59,'Yield &amp; Time'!A:M,13,0),B59="NK",VLOOKUP(H59,'Yield &amp; Time'!A:X,24,0))</f>
        <v>0.75330000000000008</v>
      </c>
      <c r="N59" s="35">
        <f t="shared" si="20"/>
        <v>1.3274923669188901</v>
      </c>
      <c r="O59" s="1" t="str">
        <f>VLOOKUP(H59,'RM Used'!A:E,5,0)</f>
        <v>KG</v>
      </c>
      <c r="P59" s="11">
        <f>VLOOKUP(H59,'RM Used'!A:F,6,0)</f>
        <v>0.38</v>
      </c>
      <c r="Q59" s="11">
        <f t="shared" si="11"/>
        <v>0.5044470994291782</v>
      </c>
      <c r="R59" s="11">
        <f>IFERROR(IF(B59="Reynolds",VLOOKUP(H59,'Yield &amp; Time'!A:U,21,0),VLOOKUP(H59,'Yield &amp; Time'!A:L,12,0)),0)</f>
        <v>0.90531914893617027</v>
      </c>
      <c r="S59" s="11">
        <f t="shared" si="3"/>
        <v>0.30645053191489363</v>
      </c>
      <c r="T59" s="11">
        <f t="shared" si="4"/>
        <v>1.5088652482269505E-2</v>
      </c>
      <c r="U59" s="11">
        <f>IF(A58=A59,0,VLOOKUP(A59,'Packing Time'!A:F,6,0))</f>
        <v>0.55000000000000004</v>
      </c>
      <c r="V59" s="11">
        <f t="shared" si="12"/>
        <v>0.18617500000000001</v>
      </c>
      <c r="W59" s="11">
        <f t="shared" si="13"/>
        <v>9.1666666666666667E-3</v>
      </c>
      <c r="X59" s="11">
        <f t="shared" si="5"/>
        <v>0.78820085106382987</v>
      </c>
      <c r="Y59" s="11">
        <f t="shared" si="14"/>
        <v>0.78820085106382987</v>
      </c>
      <c r="Z59" s="37">
        <v>1</v>
      </c>
      <c r="AA59" s="36">
        <f t="shared" si="6"/>
        <v>1.3274923669188901</v>
      </c>
      <c r="AB59" s="36">
        <f t="shared" si="7"/>
        <v>0.5044470994291782</v>
      </c>
      <c r="AC59" s="11">
        <f t="shared" si="8"/>
        <v>3.8808510638297877E-2</v>
      </c>
      <c r="AD59" s="36">
        <f t="shared" si="15"/>
        <v>0.78820085106382987</v>
      </c>
      <c r="AE59" s="36" t="str">
        <f>VLOOKUP(H59,'Yield &amp; Time'!A:R,18,0)</f>
        <v>CHLORINE</v>
      </c>
      <c r="AF59" s="36">
        <f>IFERROR(VLOOKUP(AE59,'Chemical Cost'!A:D,4,0),0)</f>
        <v>2.7756518066439469E-2</v>
      </c>
      <c r="AG59" s="114">
        <f t="shared" si="9"/>
        <v>1.2282188621814889E-2</v>
      </c>
      <c r="AH59" s="36">
        <f t="shared" si="16"/>
        <v>1.2282188621814889E-2</v>
      </c>
      <c r="AI59" s="36">
        <f t="shared" si="17"/>
        <v>1.3049301391148229</v>
      </c>
      <c r="AJ59" s="36">
        <f>IFERROR(VLOOKUP(A59,'All Products'!A:F,6,0),0)</f>
        <v>1.77</v>
      </c>
      <c r="AK59" s="36">
        <f>AJ59*Z59*J59</f>
        <v>1.77</v>
      </c>
      <c r="AL59" s="23"/>
      <c r="AM59" s="23">
        <v>1</v>
      </c>
      <c r="AN59" s="54" t="e">
        <v>#N/A</v>
      </c>
      <c r="AO59" s="47"/>
      <c r="AP59" s="4">
        <v>1.6</v>
      </c>
      <c r="AQ59" s="111">
        <f t="shared" si="10"/>
        <v>3.8808510638297877E-2</v>
      </c>
      <c r="AR59">
        <f>_xlfn.XLOOKUP(F59,'RM Cost'!A:A,'RM Cost'!S:S)</f>
        <v>0</v>
      </c>
      <c r="AS59" t="e">
        <f>_xlfn.XLOOKUP(A59,[3]Sheet1!$B:$B,[3]Sheet1!$B:$B)</f>
        <v>#N/A</v>
      </c>
    </row>
    <row r="60" spans="1:45" x14ac:dyDescent="0.25">
      <c r="A60" s="2" t="s">
        <v>232</v>
      </c>
      <c r="B60" s="2" t="s">
        <v>552</v>
      </c>
      <c r="C60" s="2" t="s">
        <v>591</v>
      </c>
      <c r="D60" s="2" t="s">
        <v>554</v>
      </c>
      <c r="E60" s="2">
        <v>1</v>
      </c>
      <c r="F60" s="1" t="str">
        <f>VLOOKUP(H60,'RM Used'!A:B,2,0)</f>
        <v>P0001</v>
      </c>
      <c r="G60" s="1" t="str">
        <f>IFERROR(VLOOKUP(F60,'RM Cost'!A:B,2,0),"")</f>
        <v>SOL 30EL # PPLUS 630x1000 BLUE -1</v>
      </c>
      <c r="H60" s="2" t="s">
        <v>4678</v>
      </c>
      <c r="I60" s="1" t="str">
        <f>VLOOKUP(F60,'RM Used'!B:D,3,0)</f>
        <v>RM-PACKING</v>
      </c>
      <c r="J60" s="66">
        <v>1</v>
      </c>
      <c r="K60" s="35" t="str">
        <f t="shared" si="0"/>
        <v/>
      </c>
      <c r="L60" s="35">
        <f t="shared" si="1"/>
        <v>0</v>
      </c>
      <c r="M60" s="77" t="str" cm="1">
        <f t="array" ref="M60">_xlfn.IFS(BOM!I60="RM-PACKING","100%",B60="Reynolds",VLOOKUP(H60,'Yield &amp; Time'!A:V,22,0),BOM!B60="Dnata",VLOOKUP(BOM!H60,'Yield &amp; Time'!A:M,13,0),B60="NK",VLOOKUP(H60,'Yield &amp; Time'!A:X,24,0))</f>
        <v>100%</v>
      </c>
      <c r="N60" s="35">
        <f t="shared" si="20"/>
        <v>1</v>
      </c>
      <c r="O60" s="1" t="str">
        <f>VLOOKUP(H60,'RM Used'!A:E,5,0)</f>
        <v>Count</v>
      </c>
      <c r="P60" s="11">
        <f>VLOOKUP(H60,'RM Used'!A:F,6,0)</f>
        <v>0.08</v>
      </c>
      <c r="Q60" s="11">
        <f t="shared" si="11"/>
        <v>0.08</v>
      </c>
      <c r="R60" s="11">
        <f>IFERROR(IF(B60="Reynolds",VLOOKUP(H60,'Yield &amp; Time'!A:U,21,0),VLOOKUP(H60,'Yield &amp; Time'!A:L,12,0)),0)</f>
        <v>0</v>
      </c>
      <c r="S60" s="11">
        <f t="shared" si="3"/>
        <v>0</v>
      </c>
      <c r="T60" s="11">
        <f t="shared" si="4"/>
        <v>0</v>
      </c>
      <c r="U60" s="11">
        <f>IF(A59=A60,0,VLOOKUP(A60,'Packing Time'!A:F,6,0))</f>
        <v>0</v>
      </c>
      <c r="V60" s="11">
        <f t="shared" si="12"/>
        <v>0</v>
      </c>
      <c r="W60" s="11">
        <f t="shared" si="13"/>
        <v>0</v>
      </c>
      <c r="X60" s="11">
        <f t="shared" si="5"/>
        <v>0</v>
      </c>
      <c r="Y60" s="11">
        <f t="shared" si="14"/>
        <v>0</v>
      </c>
      <c r="Z60" s="37">
        <v>1</v>
      </c>
      <c r="AA60" s="36">
        <f t="shared" si="6"/>
        <v>1</v>
      </c>
      <c r="AB60" s="36">
        <f t="shared" si="7"/>
        <v>0.08</v>
      </c>
      <c r="AC60" s="11">
        <f t="shared" si="8"/>
        <v>0</v>
      </c>
      <c r="AD60" s="36">
        <f t="shared" si="15"/>
        <v>0</v>
      </c>
      <c r="AE60" s="36"/>
      <c r="AF60" s="36">
        <f>IFERROR(VLOOKUP(AE60,'Chemical Cost'!A:D,4,0),0)</f>
        <v>0</v>
      </c>
      <c r="AG60" s="114">
        <f t="shared" si="9"/>
        <v>0</v>
      </c>
      <c r="AH60" s="36">
        <f t="shared" si="16"/>
        <v>0</v>
      </c>
      <c r="AI60" s="36">
        <f t="shared" si="17"/>
        <v>0.08</v>
      </c>
      <c r="AJ60" s="36">
        <f>IFERROR(VLOOKUP(A60,'All Products'!A:F,6,0),0)</f>
        <v>1.77</v>
      </c>
      <c r="AK60" s="36"/>
      <c r="AL60" s="23"/>
      <c r="AM60" s="23">
        <v>1</v>
      </c>
      <c r="AN60" s="54" t="e">
        <v>#N/A</v>
      </c>
      <c r="AO60" s="47"/>
      <c r="AP60" s="4">
        <v>1.6</v>
      </c>
      <c r="AQ60" s="111">
        <f t="shared" si="10"/>
        <v>0</v>
      </c>
      <c r="AR60">
        <f>_xlfn.XLOOKUP(F60,'RM Cost'!A:A,'RM Cost'!S:S)</f>
        <v>0</v>
      </c>
      <c r="AS60" t="e">
        <f>_xlfn.XLOOKUP(A60,[3]Sheet1!$B:$B,[3]Sheet1!$B:$B)</f>
        <v>#N/A</v>
      </c>
    </row>
    <row r="61" spans="1:45" x14ac:dyDescent="0.25">
      <c r="A61" s="2" t="s">
        <v>232</v>
      </c>
      <c r="B61" s="2" t="s">
        <v>552</v>
      </c>
      <c r="C61" s="2" t="s">
        <v>591</v>
      </c>
      <c r="D61" s="2" t="s">
        <v>554</v>
      </c>
      <c r="E61" s="2">
        <v>1</v>
      </c>
      <c r="F61" s="1" t="str">
        <f>VLOOKUP(H61,'RM Used'!A:B,2,0)</f>
        <v>P0016</v>
      </c>
      <c r="G61" s="1" t="str">
        <f>IFERROR(VLOOKUP(F61,'RM Cost'!A:B,2,0),"")</f>
        <v>REY 40 30 BOX</v>
      </c>
      <c r="H61" s="2" t="s">
        <v>1332</v>
      </c>
      <c r="I61" s="1" t="str">
        <f>VLOOKUP(F61,'RM Used'!B:D,3,0)</f>
        <v>RM-PACKING</v>
      </c>
      <c r="J61" s="66">
        <v>1</v>
      </c>
      <c r="K61" s="35" t="str">
        <f t="shared" si="0"/>
        <v/>
      </c>
      <c r="L61" s="35">
        <f t="shared" si="1"/>
        <v>0</v>
      </c>
      <c r="M61" s="77" t="str" cm="1">
        <f t="array" ref="M61">_xlfn.IFS(BOM!I61="RM-PACKING","100%",B61="Reynolds",VLOOKUP(H61,'Yield &amp; Time'!A:V,22,0),BOM!B61="Dnata",VLOOKUP(BOM!H61,'Yield &amp; Time'!A:M,13,0),B61="NK",VLOOKUP(H61,'Yield &amp; Time'!A:X,24,0))</f>
        <v>100%</v>
      </c>
      <c r="N61" s="35">
        <f t="shared" si="20"/>
        <v>1</v>
      </c>
      <c r="O61" s="1" t="str">
        <f>VLOOKUP(H61,'RM Used'!A:E,5,0)</f>
        <v>Count</v>
      </c>
      <c r="P61" s="11">
        <f>VLOOKUP(H61,'RM Used'!A:F,6,0)</f>
        <v>0.28000000000000003</v>
      </c>
      <c r="Q61" s="11">
        <f t="shared" si="11"/>
        <v>0.28000000000000003</v>
      </c>
      <c r="R61" s="11">
        <f>IFERROR(IF(B61="Reynolds",VLOOKUP(H61,'Yield &amp; Time'!A:U,21,0),VLOOKUP(H61,'Yield &amp; Time'!A:L,12,0)),0)</f>
        <v>0</v>
      </c>
      <c r="S61" s="11">
        <f t="shared" si="3"/>
        <v>0</v>
      </c>
      <c r="T61" s="11">
        <f t="shared" si="4"/>
        <v>0</v>
      </c>
      <c r="U61" s="11">
        <f>IF(A60=A61,0,VLOOKUP(A61,'Packing Time'!A:F,6,0))</f>
        <v>0</v>
      </c>
      <c r="V61" s="11">
        <f t="shared" si="12"/>
        <v>0</v>
      </c>
      <c r="W61" s="11">
        <f t="shared" si="13"/>
        <v>0</v>
      </c>
      <c r="X61" s="11">
        <f t="shared" si="5"/>
        <v>0</v>
      </c>
      <c r="Y61" s="11">
        <f t="shared" si="14"/>
        <v>0</v>
      </c>
      <c r="Z61" s="37">
        <v>1</v>
      </c>
      <c r="AA61" s="36">
        <f t="shared" si="6"/>
        <v>1</v>
      </c>
      <c r="AB61" s="36">
        <f t="shared" si="7"/>
        <v>0.28000000000000003</v>
      </c>
      <c r="AC61" s="11">
        <f t="shared" si="8"/>
        <v>0</v>
      </c>
      <c r="AD61" s="36">
        <f t="shared" si="15"/>
        <v>0</v>
      </c>
      <c r="AE61" s="36"/>
      <c r="AF61" s="36">
        <f>IFERROR(VLOOKUP(AE61,'Chemical Cost'!A:D,4,0),0)</f>
        <v>0</v>
      </c>
      <c r="AG61" s="114">
        <f t="shared" si="9"/>
        <v>0</v>
      </c>
      <c r="AH61" s="36">
        <f t="shared" si="16"/>
        <v>0</v>
      </c>
      <c r="AI61" s="36">
        <f t="shared" si="17"/>
        <v>0.28000000000000003</v>
      </c>
      <c r="AJ61" s="36">
        <f>IFERROR(VLOOKUP(A61,'All Products'!A:F,6,0),0)</f>
        <v>1.77</v>
      </c>
      <c r="AK61" s="36"/>
      <c r="AL61" s="23"/>
      <c r="AM61" s="23">
        <v>1</v>
      </c>
      <c r="AN61" s="54" t="e">
        <v>#N/A</v>
      </c>
      <c r="AO61" s="47"/>
      <c r="AP61" s="4">
        <v>1.6</v>
      </c>
      <c r="AQ61" s="111">
        <f t="shared" si="10"/>
        <v>0</v>
      </c>
      <c r="AR61">
        <f>_xlfn.XLOOKUP(F61,'RM Cost'!A:A,'RM Cost'!S:S)</f>
        <v>0</v>
      </c>
      <c r="AS61" t="e">
        <f>_xlfn.XLOOKUP(A61,[3]Sheet1!$B:$B,[3]Sheet1!$B:$B)</f>
        <v>#N/A</v>
      </c>
    </row>
    <row r="62" spans="1:45" x14ac:dyDescent="0.25">
      <c r="A62" s="2" t="s">
        <v>229</v>
      </c>
      <c r="B62" s="2" t="s">
        <v>552</v>
      </c>
      <c r="C62" s="2" t="s">
        <v>592</v>
      </c>
      <c r="D62" s="2" t="s">
        <v>554</v>
      </c>
      <c r="E62" s="2">
        <v>2.5</v>
      </c>
      <c r="F62" s="1" t="str">
        <f>VLOOKUP(H62,'RM Used'!A:B,2,0)</f>
        <v>032ACS</v>
      </c>
      <c r="G62" s="1" t="str">
        <f>IFERROR(VLOOKUP(F62,'RM Cost'!A:B,2,0),"")</f>
        <v>RM - LRG PROCESSING CARROT X 1000KG</v>
      </c>
      <c r="H62" s="2" t="s">
        <v>1366</v>
      </c>
      <c r="I62" s="1" t="str">
        <f>VLOOKUP(F62,'RM Used'!B:D,3,0)</f>
        <v>RM-FOOD</v>
      </c>
      <c r="J62" s="66">
        <v>1</v>
      </c>
      <c r="K62" s="35">
        <f t="shared" si="0"/>
        <v>2.5</v>
      </c>
      <c r="L62" s="35">
        <f t="shared" si="1"/>
        <v>2.5</v>
      </c>
      <c r="M62" s="77" cm="1">
        <f t="array" ref="M62">_xlfn.IFS(BOM!I62="RM-PACKING","100%",B62="Reynolds",VLOOKUP(H62,'Yield &amp; Time'!A:V,22,0),BOM!B62="Dnata",VLOOKUP(BOM!H62,'Yield &amp; Time'!A:M,13,0),B62="NK",VLOOKUP(H62,'Yield &amp; Time'!A:X,24,0))</f>
        <v>0.71222563837881381</v>
      </c>
      <c r="N62" s="35">
        <f t="shared" si="20"/>
        <v>3.5101235693937722</v>
      </c>
      <c r="O62" s="1" t="str">
        <f>VLOOKUP(H62,'RM Used'!A:E,5,0)</f>
        <v>KG</v>
      </c>
      <c r="P62" s="11">
        <f>VLOOKUP(H62,'RM Used'!A:F,6,0)</f>
        <v>0.38</v>
      </c>
      <c r="Q62" s="11">
        <f t="shared" si="11"/>
        <v>1.3338469563696336</v>
      </c>
      <c r="R62" s="11">
        <f>IFERROR(IF(B62="Reynolds",VLOOKUP(H62,'Yield &amp; Time'!A:U,21,0),VLOOKUP(H62,'Yield &amp; Time'!A:L,12,0)),0)</f>
        <v>1.2525214347987847</v>
      </c>
      <c r="S62" s="11">
        <f t="shared" si="3"/>
        <v>1.0599462641984716</v>
      </c>
      <c r="T62" s="11">
        <f t="shared" si="4"/>
        <v>5.2188393116616036E-2</v>
      </c>
      <c r="U62" s="11">
        <f>IF(A61=A62,0,VLOOKUP(A62,'Packing Time'!A:F,6,0))</f>
        <v>0.875</v>
      </c>
      <c r="V62" s="11">
        <f t="shared" si="12"/>
        <v>0.29618749999999999</v>
      </c>
      <c r="W62" s="11">
        <f t="shared" si="13"/>
        <v>1.4583333333333334E-2</v>
      </c>
      <c r="X62" s="11">
        <f t="shared" si="5"/>
        <v>2.1698140227175546</v>
      </c>
      <c r="Y62" s="11">
        <f t="shared" si="14"/>
        <v>2.1698140227175546</v>
      </c>
      <c r="Z62" s="37">
        <v>1</v>
      </c>
      <c r="AA62" s="36">
        <f t="shared" si="6"/>
        <v>3.5101235693937722</v>
      </c>
      <c r="AB62" s="36">
        <f t="shared" si="7"/>
        <v>1.3338469563696336</v>
      </c>
      <c r="AC62" s="11">
        <f t="shared" si="8"/>
        <v>0.10683476231991901</v>
      </c>
      <c r="AD62" s="36">
        <f t="shared" si="15"/>
        <v>2.1698140227175546</v>
      </c>
      <c r="AE62" s="36"/>
      <c r="AF62" s="36">
        <f>IFERROR(VLOOKUP(AE62,'Chemical Cost'!A:D,4,0),0)</f>
        <v>0</v>
      </c>
      <c r="AG62" s="114">
        <f t="shared" si="9"/>
        <v>0</v>
      </c>
      <c r="AH62" s="36">
        <f t="shared" si="16"/>
        <v>0</v>
      </c>
      <c r="AI62" s="36">
        <f t="shared" si="17"/>
        <v>3.5036609790871882</v>
      </c>
      <c r="AJ62" s="36">
        <f>IFERROR(VLOOKUP(A62,'All Products'!A:F,6,0),0)</f>
        <v>4.0199999999999996</v>
      </c>
      <c r="AK62" s="36">
        <f>AJ62*Z62*J62</f>
        <v>4.0199999999999996</v>
      </c>
      <c r="AL62" s="23">
        <v>1</v>
      </c>
      <c r="AM62" s="23"/>
      <c r="AN62" s="54" t="e">
        <v>#N/A</v>
      </c>
      <c r="AO62" s="47"/>
      <c r="AP62" s="4">
        <v>1.6</v>
      </c>
      <c r="AQ62" s="111">
        <f t="shared" si="10"/>
        <v>0.10683476231991901</v>
      </c>
      <c r="AR62">
        <f>_xlfn.XLOOKUP(F62,'RM Cost'!A:A,'RM Cost'!S:S)</f>
        <v>0</v>
      </c>
      <c r="AS62" t="e">
        <f>_xlfn.XLOOKUP(A62,[3]Sheet1!$B:$B,[3]Sheet1!$B:$B)</f>
        <v>#N/A</v>
      </c>
    </row>
    <row r="63" spans="1:45" x14ac:dyDescent="0.25">
      <c r="A63" s="2" t="s">
        <v>229</v>
      </c>
      <c r="B63" s="2" t="s">
        <v>552</v>
      </c>
      <c r="C63" s="2" t="s">
        <v>592</v>
      </c>
      <c r="D63" s="2" t="s">
        <v>554</v>
      </c>
      <c r="E63" s="2">
        <v>2.5</v>
      </c>
      <c r="F63" s="1" t="str">
        <f>VLOOKUP(H63,'RM Used'!A:B,2,0)</f>
        <v>P0020</v>
      </c>
      <c r="G63" s="1" t="str">
        <f>IFERROR(VLOOKUP(F63,'RM Cost'!A:B,2,0),"")</f>
        <v>PALE BLUE BAG 430X430MM</v>
      </c>
      <c r="H63" s="2" t="s">
        <v>1659</v>
      </c>
      <c r="I63" s="1" t="str">
        <f>VLOOKUP(F63,'RM Used'!B:D,3,0)</f>
        <v>RM-PACKING</v>
      </c>
      <c r="J63" s="66">
        <v>1</v>
      </c>
      <c r="K63" s="35" t="str">
        <f t="shared" si="0"/>
        <v/>
      </c>
      <c r="L63" s="35">
        <f t="shared" si="1"/>
        <v>0</v>
      </c>
      <c r="M63" s="77" t="str" cm="1">
        <f t="array" ref="M63">_xlfn.IFS(BOM!I63="RM-PACKING","100%",B63="Reynolds",VLOOKUP(H63,'Yield &amp; Time'!A:V,22,0),BOM!B63="Dnata",VLOOKUP(BOM!H63,'Yield &amp; Time'!A:M,13,0),B63="NK",VLOOKUP(H63,'Yield &amp; Time'!A:X,24,0))</f>
        <v>100%</v>
      </c>
      <c r="N63" s="35">
        <f t="shared" si="20"/>
        <v>1</v>
      </c>
      <c r="O63" s="1" t="str">
        <f>VLOOKUP(H63,'RM Used'!A:E,5,0)</f>
        <v>Count</v>
      </c>
      <c r="P63" s="11">
        <f>VLOOKUP(H63,'RM Used'!A:F,6,0)</f>
        <v>0.09</v>
      </c>
      <c r="Q63" s="11">
        <f t="shared" si="11"/>
        <v>0.09</v>
      </c>
      <c r="R63" s="11">
        <f>IFERROR(IF(B63="Reynolds",VLOOKUP(H63,'Yield &amp; Time'!A:U,21,0),VLOOKUP(H63,'Yield &amp; Time'!A:L,12,0)),0)</f>
        <v>0</v>
      </c>
      <c r="S63" s="11">
        <f t="shared" si="3"/>
        <v>0</v>
      </c>
      <c r="T63" s="11">
        <f t="shared" si="4"/>
        <v>0</v>
      </c>
      <c r="U63" s="11">
        <f>IF(A62=A63,0,VLOOKUP(A63,'Packing Time'!A:F,6,0))</f>
        <v>0</v>
      </c>
      <c r="V63" s="11">
        <f t="shared" si="12"/>
        <v>0</v>
      </c>
      <c r="W63" s="11">
        <f t="shared" si="13"/>
        <v>0</v>
      </c>
      <c r="X63" s="11">
        <f t="shared" si="5"/>
        <v>0</v>
      </c>
      <c r="Y63" s="11">
        <f t="shared" si="14"/>
        <v>0</v>
      </c>
      <c r="Z63" s="37">
        <v>1</v>
      </c>
      <c r="AA63" s="36">
        <f t="shared" si="6"/>
        <v>1</v>
      </c>
      <c r="AB63" s="36">
        <f t="shared" si="7"/>
        <v>0.09</v>
      </c>
      <c r="AC63" s="11">
        <f t="shared" si="8"/>
        <v>0</v>
      </c>
      <c r="AD63" s="36">
        <f t="shared" si="15"/>
        <v>0</v>
      </c>
      <c r="AE63" s="36"/>
      <c r="AF63" s="36">
        <f>IFERROR(VLOOKUP(AE63,'Chemical Cost'!A:D,4,0),0)</f>
        <v>0</v>
      </c>
      <c r="AG63" s="114">
        <f t="shared" si="9"/>
        <v>0</v>
      </c>
      <c r="AH63" s="36">
        <f t="shared" si="16"/>
        <v>0</v>
      </c>
      <c r="AI63" s="36">
        <f t="shared" si="17"/>
        <v>0.09</v>
      </c>
      <c r="AJ63" s="36">
        <f>IFERROR(VLOOKUP(A63,'All Products'!A:F,6,0),0)</f>
        <v>4.0199999999999996</v>
      </c>
      <c r="AK63" s="36"/>
      <c r="AL63" s="23">
        <v>1</v>
      </c>
      <c r="AM63" s="23"/>
      <c r="AN63" s="54" t="e">
        <v>#N/A</v>
      </c>
      <c r="AO63" s="47"/>
      <c r="AP63" s="4">
        <v>1.6</v>
      </c>
      <c r="AQ63" s="111">
        <f t="shared" si="10"/>
        <v>0</v>
      </c>
      <c r="AR63">
        <f>_xlfn.XLOOKUP(F63,'RM Cost'!A:A,'RM Cost'!S:S)</f>
        <v>0</v>
      </c>
      <c r="AS63" t="e">
        <f>_xlfn.XLOOKUP(A63,[3]Sheet1!$B:$B,[3]Sheet1!$B:$B)</f>
        <v>#N/A</v>
      </c>
    </row>
    <row r="64" spans="1:45" x14ac:dyDescent="0.25">
      <c r="A64" s="2" t="s">
        <v>229</v>
      </c>
      <c r="B64" s="2" t="s">
        <v>552</v>
      </c>
      <c r="C64" s="2" t="s">
        <v>592</v>
      </c>
      <c r="D64" s="2" t="s">
        <v>554</v>
      </c>
      <c r="E64" s="2">
        <v>2.5</v>
      </c>
      <c r="F64" s="1" t="str">
        <f>VLOOKUP(H64,'RM Used'!A:B,2,0)</f>
        <v>P0016</v>
      </c>
      <c r="G64" s="1" t="str">
        <f>IFERROR(VLOOKUP(F64,'RM Cost'!A:B,2,0),"")</f>
        <v>REY 40 30 BOX</v>
      </c>
      <c r="H64" s="2" t="s">
        <v>1332</v>
      </c>
      <c r="I64" s="1" t="str">
        <f>VLOOKUP(F64,'RM Used'!B:D,3,0)</f>
        <v>RM-PACKING</v>
      </c>
      <c r="J64" s="66">
        <v>1</v>
      </c>
      <c r="K64" s="35" t="str">
        <f t="shared" si="0"/>
        <v/>
      </c>
      <c r="L64" s="35">
        <f t="shared" si="1"/>
        <v>0</v>
      </c>
      <c r="M64" s="77" t="str" cm="1">
        <f t="array" ref="M64">_xlfn.IFS(BOM!I64="RM-PACKING","100%",B64="Reynolds",VLOOKUP(H64,'Yield &amp; Time'!A:V,22,0),BOM!B64="Dnata",VLOOKUP(BOM!H64,'Yield &amp; Time'!A:M,13,0),B64="NK",VLOOKUP(H64,'Yield &amp; Time'!A:X,24,0))</f>
        <v>100%</v>
      </c>
      <c r="N64" s="35">
        <f t="shared" si="20"/>
        <v>1</v>
      </c>
      <c r="O64" s="1" t="str">
        <f>VLOOKUP(H64,'RM Used'!A:E,5,0)</f>
        <v>Count</v>
      </c>
      <c r="P64" s="11">
        <f>VLOOKUP(H64,'RM Used'!A:F,6,0)</f>
        <v>0.28000000000000003</v>
      </c>
      <c r="Q64" s="11">
        <f t="shared" si="11"/>
        <v>0.28000000000000003</v>
      </c>
      <c r="R64" s="11">
        <f>IFERROR(IF(B64="Reynolds",VLOOKUP(H64,'Yield &amp; Time'!A:U,21,0),VLOOKUP(H64,'Yield &amp; Time'!A:L,12,0)),0)</f>
        <v>0</v>
      </c>
      <c r="S64" s="11">
        <f t="shared" si="3"/>
        <v>0</v>
      </c>
      <c r="T64" s="11">
        <f t="shared" si="4"/>
        <v>0</v>
      </c>
      <c r="U64" s="11">
        <f>IF(A63=A64,0,VLOOKUP(A64,'Packing Time'!A:F,6,0))</f>
        <v>0</v>
      </c>
      <c r="V64" s="11">
        <f t="shared" si="12"/>
        <v>0</v>
      </c>
      <c r="W64" s="11">
        <f t="shared" si="13"/>
        <v>0</v>
      </c>
      <c r="X64" s="11">
        <f t="shared" si="5"/>
        <v>0</v>
      </c>
      <c r="Y64" s="11">
        <f t="shared" si="14"/>
        <v>0</v>
      </c>
      <c r="Z64" s="37">
        <v>1</v>
      </c>
      <c r="AA64" s="36">
        <f t="shared" si="6"/>
        <v>1</v>
      </c>
      <c r="AB64" s="36">
        <f t="shared" si="7"/>
        <v>0.28000000000000003</v>
      </c>
      <c r="AC64" s="11">
        <f t="shared" si="8"/>
        <v>0</v>
      </c>
      <c r="AD64" s="36">
        <f t="shared" si="15"/>
        <v>0</v>
      </c>
      <c r="AE64" s="36"/>
      <c r="AF64" s="36">
        <f>IFERROR(VLOOKUP(AE64,'Chemical Cost'!A:D,4,0),0)</f>
        <v>0</v>
      </c>
      <c r="AG64" s="114">
        <f t="shared" si="9"/>
        <v>0</v>
      </c>
      <c r="AH64" s="36">
        <f t="shared" si="16"/>
        <v>0</v>
      </c>
      <c r="AI64" s="36">
        <f t="shared" si="17"/>
        <v>0.28000000000000003</v>
      </c>
      <c r="AJ64" s="36">
        <f>IFERROR(VLOOKUP(A64,'All Products'!A:F,6,0),0)</f>
        <v>4.0199999999999996</v>
      </c>
      <c r="AK64" s="36"/>
      <c r="AL64" s="23">
        <v>1</v>
      </c>
      <c r="AM64" s="23"/>
      <c r="AN64" s="54" t="e">
        <v>#N/A</v>
      </c>
      <c r="AO64" s="47"/>
      <c r="AP64" s="4">
        <v>1.6</v>
      </c>
      <c r="AQ64" s="111">
        <f t="shared" si="10"/>
        <v>0</v>
      </c>
      <c r="AR64">
        <f>_xlfn.XLOOKUP(F64,'RM Cost'!A:A,'RM Cost'!S:S)</f>
        <v>0</v>
      </c>
      <c r="AS64" t="e">
        <f>_xlfn.XLOOKUP(A64,[3]Sheet1!$B:$B,[3]Sheet1!$B:$B)</f>
        <v>#N/A</v>
      </c>
    </row>
    <row r="65" spans="1:46" x14ac:dyDescent="0.25">
      <c r="A65" s="2" t="s">
        <v>84</v>
      </c>
      <c r="B65" s="2" t="s">
        <v>552</v>
      </c>
      <c r="C65" s="2" t="s">
        <v>605</v>
      </c>
      <c r="D65" s="2" t="s">
        <v>554</v>
      </c>
      <c r="E65" s="2">
        <v>4</v>
      </c>
      <c r="F65" s="1" t="str">
        <f>VLOOKUP(H65,'RM Used'!A:B,2,0)</f>
        <v>S3997CS</v>
      </c>
      <c r="G65" s="1" t="str">
        <f>IFERROR(VLOOKUP(F65,'RM Cost'!A:B,2,0),"")</f>
        <v>RM - DECORE WHITE CABBAGE 1/3 1200KG</v>
      </c>
      <c r="H65" s="2" t="s">
        <v>1350</v>
      </c>
      <c r="I65" s="1" t="str">
        <f>VLOOKUP(F65,'RM Used'!B:D,3,0)</f>
        <v>RM-FOOD</v>
      </c>
      <c r="J65" s="66">
        <v>0.7</v>
      </c>
      <c r="K65" s="35">
        <f t="shared" si="0"/>
        <v>2.8</v>
      </c>
      <c r="L65" s="35">
        <f t="shared" si="1"/>
        <v>2.8</v>
      </c>
      <c r="M65" s="77" cm="1">
        <f t="array" ref="M65">_xlfn.IFS(BOM!I65="RM-PACKING","100%",B65="Reynolds",VLOOKUP(H65,'Yield &amp; Time'!A:V,22,0),BOM!B65="Dnata",VLOOKUP(BOM!H65,'Yield &amp; Time'!A:M,13,0),B65="NK",VLOOKUP(H65,'Yield &amp; Time'!A:X,24,0))</f>
        <v>0.77222322232223217</v>
      </c>
      <c r="N65" s="35">
        <f t="shared" si="20"/>
        <v>3.6258945847028929</v>
      </c>
      <c r="O65" s="1" t="str">
        <f>VLOOKUP(H65,'RM Used'!A:E,5,0)</f>
        <v>KG</v>
      </c>
      <c r="P65" s="11">
        <f>VLOOKUP(H65,'RM Used'!A:F,6,0)</f>
        <v>0.34</v>
      </c>
      <c r="Q65" s="11">
        <f t="shared" si="11"/>
        <v>1.2328041587989838</v>
      </c>
      <c r="R65" s="11">
        <f>IFERROR(IF(B65="Reynolds",VLOOKUP(H65,'Yield &amp; Time'!A:U,21,0),VLOOKUP(H65,'Yield &amp; Time'!A:L,12,0)),0)</f>
        <v>0.82773480662983423</v>
      </c>
      <c r="S65" s="11">
        <f t="shared" si="3"/>
        <v>0.78452704972375675</v>
      </c>
      <c r="T65" s="11">
        <f t="shared" si="4"/>
        <v>3.8627624309392261E-2</v>
      </c>
      <c r="U65" s="11">
        <f>IF(A64=A65,0,VLOOKUP(A65,'Packing Time'!A:F,6,0))</f>
        <v>2.58</v>
      </c>
      <c r="V65" s="11">
        <f t="shared" si="12"/>
        <v>0.87332999999999994</v>
      </c>
      <c r="W65" s="11">
        <f t="shared" si="13"/>
        <v>4.3000000000000003E-2</v>
      </c>
      <c r="X65" s="11">
        <f t="shared" si="5"/>
        <v>2.3209998696132592</v>
      </c>
      <c r="Y65" s="11">
        <f t="shared" si="14"/>
        <v>2.3209998696132592</v>
      </c>
      <c r="Z65" s="37">
        <v>1</v>
      </c>
      <c r="AA65" s="36">
        <f t="shared" si="6"/>
        <v>3.6258945847028929</v>
      </c>
      <c r="AB65" s="36">
        <f t="shared" si="7"/>
        <v>1.2328041587989838</v>
      </c>
      <c r="AC65" s="11">
        <f t="shared" si="8"/>
        <v>0.11427867403314917</v>
      </c>
      <c r="AD65" s="36">
        <f t="shared" si="15"/>
        <v>2.3209998696132597</v>
      </c>
      <c r="AE65" s="36" t="str">
        <f>VLOOKUP(H65,'Yield &amp; Time'!A:R,18,0)</f>
        <v>CHLORINE</v>
      </c>
      <c r="AF65" s="36">
        <f>IFERROR(VLOOKUP(AE65,'Chemical Cost'!A:D,4,0),0)</f>
        <v>2.7756518066439469E-2</v>
      </c>
      <c r="AG65" s="114">
        <f t="shared" si="9"/>
        <v>3.3547402849103632E-2</v>
      </c>
      <c r="AH65" s="36">
        <f t="shared" si="16"/>
        <v>3.3547402849103632E-2</v>
      </c>
      <c r="AI65" s="36">
        <f t="shared" si="17"/>
        <v>3.5873514312613466</v>
      </c>
      <c r="AJ65" s="36">
        <f>IFERROR(VLOOKUP(A65,'All Products'!A:F,6,0),0)</f>
        <v>5.73</v>
      </c>
      <c r="AK65" s="36">
        <f>AJ65*Z65*J65</f>
        <v>4.0110000000000001</v>
      </c>
      <c r="AL65" s="23">
        <v>0.8</v>
      </c>
      <c r="AM65" s="23">
        <v>0.2</v>
      </c>
      <c r="AN65" s="54" t="e">
        <v>#N/A</v>
      </c>
      <c r="AO65" s="47"/>
      <c r="AP65" s="4">
        <v>1.4</v>
      </c>
      <c r="AQ65" s="111">
        <f t="shared" si="10"/>
        <v>0.11427867403314917</v>
      </c>
      <c r="AR65">
        <f>_xlfn.XLOOKUP(F65,'RM Cost'!A:A,'RM Cost'!S:S)</f>
        <v>0.29914853989077506</v>
      </c>
      <c r="AS65" t="str">
        <f>_xlfn.XLOOKUP(A65,[3]Sheet1!$B:$B,[3]Sheet1!$B:$B)</f>
        <v>1256CS</v>
      </c>
      <c r="AT65" t="str">
        <f>_xlfn.XLOOKUP(H65,'Yield &amp; Time'!A:A,'Yield &amp; Time'!O:O)</f>
        <v>Yes</v>
      </c>
    </row>
    <row r="66" spans="1:46" x14ac:dyDescent="0.25">
      <c r="A66" s="2" t="s">
        <v>84</v>
      </c>
      <c r="B66" s="2" t="s">
        <v>552</v>
      </c>
      <c r="C66" s="2" t="s">
        <v>605</v>
      </c>
      <c r="D66" s="2" t="s">
        <v>554</v>
      </c>
      <c r="E66" s="2">
        <v>4</v>
      </c>
      <c r="F66" s="1" t="str">
        <f>VLOOKUP(H66,'RM Used'!A:B,2,0)</f>
        <v>032ACS</v>
      </c>
      <c r="G66" s="1" t="str">
        <f>IFERROR(VLOOKUP(F66,'RM Cost'!A:B,2,0),"")</f>
        <v>RM - LRG PROCESSING CARROT X 1000KG</v>
      </c>
      <c r="H66" s="2" t="s">
        <v>1351</v>
      </c>
      <c r="I66" s="1" t="str">
        <f>VLOOKUP(F66,'RM Used'!B:D,3,0)</f>
        <v>RM-FOOD</v>
      </c>
      <c r="J66" s="66">
        <v>0.2</v>
      </c>
      <c r="K66" s="35">
        <f t="shared" ref="K66:K129" si="21">IF(I66="RM-FOOD",J66*E66,"")</f>
        <v>0.8</v>
      </c>
      <c r="L66" s="35">
        <f t="shared" ref="L66:L129" si="22">IFERROR(K66*Z66,0)</f>
        <v>0.8</v>
      </c>
      <c r="M66" s="77" cm="1">
        <f t="array" ref="M66">_xlfn.IFS(BOM!I66="RM-PACKING","100%",B66="Reynolds",VLOOKUP(H66,'Yield &amp; Time'!A:V,22,0),BOM!B66="Dnata",VLOOKUP(BOM!H66,'Yield &amp; Time'!A:M,13,0),B66="NK",VLOOKUP(H66,'Yield &amp; Time'!A:X,24,0))</f>
        <v>0.75330000000000008</v>
      </c>
      <c r="N66" s="35">
        <f t="shared" si="20"/>
        <v>1.0619938935351121</v>
      </c>
      <c r="O66" s="1" t="str">
        <f>VLOOKUP(H66,'RM Used'!A:E,5,0)</f>
        <v>KG</v>
      </c>
      <c r="P66" s="11">
        <f>VLOOKUP(H66,'RM Used'!A:F,6,0)</f>
        <v>0.38</v>
      </c>
      <c r="Q66" s="11">
        <f t="shared" si="11"/>
        <v>0.4035576795433426</v>
      </c>
      <c r="R66" s="11">
        <f>IFERROR(IF(B66="Reynolds",VLOOKUP(H66,'Yield &amp; Time'!A:U,21,0),VLOOKUP(H66,'Yield &amp; Time'!A:L,12,0)),0)</f>
        <v>0.90531914893617027</v>
      </c>
      <c r="S66" s="11">
        <f t="shared" ref="S66:S129" si="23">R66*J66*E66*AO$1</f>
        <v>0.24516042553191489</v>
      </c>
      <c r="T66" s="11">
        <f t="shared" ref="T66:T129" si="24">(R66*Z66*J66*E66)/60</f>
        <v>1.2070921985815605E-2</v>
      </c>
      <c r="U66" s="11">
        <f>IF(A65=A66,0,VLOOKUP(A66,'Packing Time'!A:F,6,0))</f>
        <v>0</v>
      </c>
      <c r="V66" s="11">
        <f t="shared" si="12"/>
        <v>0</v>
      </c>
      <c r="W66" s="11">
        <f t="shared" si="13"/>
        <v>0</v>
      </c>
      <c r="X66" s="11">
        <f t="shared" ref="X66:X129" si="25">((R66*J66*E66)+U66)*AO$1*AP66</f>
        <v>0.34322459574468084</v>
      </c>
      <c r="Y66" s="11">
        <f t="shared" si="14"/>
        <v>0.34322459574468084</v>
      </c>
      <c r="Z66" s="37">
        <v>1</v>
      </c>
      <c r="AA66" s="36">
        <f t="shared" ref="AA66:AA129" si="26">Z66*N66</f>
        <v>1.0619938935351121</v>
      </c>
      <c r="AB66" s="36">
        <f t="shared" ref="AB66:AB129" si="27">AA66*P66</f>
        <v>0.4035576795433426</v>
      </c>
      <c r="AC66" s="11">
        <f t="shared" ref="AC66:AC129" si="28">(((R66*J66*E66)+U66)/60)*Z66*AP66</f>
        <v>1.6899290780141844E-2</v>
      </c>
      <c r="AD66" s="36">
        <f t="shared" si="15"/>
        <v>0.34322459574468084</v>
      </c>
      <c r="AE66" s="36" t="str">
        <f>VLOOKUP(H66,'Yield &amp; Time'!A:R,18,0)</f>
        <v>CHLORINE</v>
      </c>
      <c r="AF66" s="36">
        <f>IFERROR(VLOOKUP(AE66,'Chemical Cost'!A:D,4,0),0)</f>
        <v>2.7756518066439469E-2</v>
      </c>
      <c r="AG66" s="114">
        <f t="shared" ref="AG66:AG129" si="29">AF66*N66/3</f>
        <v>9.8257508974519108E-3</v>
      </c>
      <c r="AH66" s="36">
        <f t="shared" si="16"/>
        <v>9.8257508974519108E-3</v>
      </c>
      <c r="AI66" s="36">
        <f t="shared" si="17"/>
        <v>0.75660802618547529</v>
      </c>
      <c r="AJ66" s="36">
        <f>IFERROR(VLOOKUP(A66,'All Products'!A:F,6,0),0)</f>
        <v>5.73</v>
      </c>
      <c r="AK66" s="36">
        <f>AJ66*Z66*J66</f>
        <v>1.1460000000000001</v>
      </c>
      <c r="AL66" s="23">
        <v>0.8</v>
      </c>
      <c r="AM66" s="23">
        <v>0.2</v>
      </c>
      <c r="AN66" s="54" t="e">
        <v>#N/A</v>
      </c>
      <c r="AO66" s="47"/>
      <c r="AP66" s="4">
        <v>1.4</v>
      </c>
      <c r="AQ66" s="111">
        <f t="shared" ref="AQ66:AQ129" si="30">(((R66*J66*E66)+U66)/60)*AP66</f>
        <v>1.6899290780141844E-2</v>
      </c>
      <c r="AR66">
        <f>_xlfn.XLOOKUP(F66,'RM Cost'!A:A,'RM Cost'!S:S)</f>
        <v>0</v>
      </c>
      <c r="AS66" t="str">
        <f>_xlfn.XLOOKUP(A66,[3]Sheet1!$B:$B,[3]Sheet1!$B:$B)</f>
        <v>1256CS</v>
      </c>
      <c r="AT66" t="str">
        <f>_xlfn.XLOOKUP(H66,'Yield &amp; Time'!A:A,'Yield &amp; Time'!O:O)</f>
        <v>Yes</v>
      </c>
    </row>
    <row r="67" spans="1:46" x14ac:dyDescent="0.25">
      <c r="A67" s="2" t="s">
        <v>84</v>
      </c>
      <c r="B67" s="2" t="s">
        <v>552</v>
      </c>
      <c r="C67" s="2" t="s">
        <v>605</v>
      </c>
      <c r="D67" s="2" t="s">
        <v>554</v>
      </c>
      <c r="E67" s="2">
        <v>4</v>
      </c>
      <c r="F67" s="1" t="str">
        <f>VLOOKUP(H67,'RM Used'!A:B,2,0)</f>
        <v>1318CS</v>
      </c>
      <c r="G67" s="1" t="str">
        <f>IFERROR(VLOOKUP(F67,'RM Cost'!A:B,2,0),"")</f>
        <v>RM - PREP ONION RED WHOLE 2.5KG</v>
      </c>
      <c r="H67" s="2" t="s">
        <v>1365</v>
      </c>
      <c r="I67" s="1" t="str">
        <f>VLOOKUP(F67,'RM Used'!B:D,3,0)</f>
        <v>RM-FOOD</v>
      </c>
      <c r="J67" s="66">
        <v>0.1</v>
      </c>
      <c r="K67" s="35">
        <f t="shared" si="21"/>
        <v>0.4</v>
      </c>
      <c r="L67" s="35">
        <f t="shared" si="22"/>
        <v>0.4</v>
      </c>
      <c r="M67" s="77" cm="1">
        <f t="array" ref="M67">_xlfn.IFS(BOM!I67="RM-PACKING","100%",B67="Reynolds",VLOOKUP(H67,'Yield &amp; Time'!A:V,22,0),BOM!B67="Dnata",VLOOKUP(BOM!H67,'Yield &amp; Time'!A:M,13,0),B67="NK",VLOOKUP(H67,'Yield &amp; Time'!A:X,24,0))</f>
        <v>0.86943999999999999</v>
      </c>
      <c r="N67" s="35">
        <f t="shared" si="20"/>
        <v>0.4600662495399338</v>
      </c>
      <c r="O67" s="1" t="str">
        <f>VLOOKUP(H67,'RM Used'!A:E,5,0)</f>
        <v>KG</v>
      </c>
      <c r="P67" s="11">
        <f>VLOOKUP(H67,'RM Used'!A:F,6,0)</f>
        <v>1.08</v>
      </c>
      <c r="Q67" s="11">
        <f t="shared" ref="Q67:Q130" si="31">P67*N67</f>
        <v>0.49687154950312856</v>
      </c>
      <c r="R67" s="11">
        <f>IFERROR(IF(B67="Reynolds",VLOOKUP(H67,'Yield &amp; Time'!A:U,21,0),VLOOKUP(H67,'Yield &amp; Time'!A:L,12,0)),0)</f>
        <v>0.91999999999999993</v>
      </c>
      <c r="S67" s="11">
        <f t="shared" si="23"/>
        <v>0.12456799999999998</v>
      </c>
      <c r="T67" s="11">
        <f t="shared" si="24"/>
        <v>6.1333333333333335E-3</v>
      </c>
      <c r="U67" s="11">
        <f>IF(A66=A67,0,VLOOKUP(A67,'Packing Time'!A:F,6,0))</f>
        <v>0</v>
      </c>
      <c r="V67" s="11">
        <f t="shared" ref="V67:V130" si="32">U67*AO$1</f>
        <v>0</v>
      </c>
      <c r="W67" s="11">
        <f t="shared" ref="W67:W130" si="33">(U67*Z67)/60</f>
        <v>0</v>
      </c>
      <c r="X67" s="11">
        <f t="shared" si="25"/>
        <v>0.17439519999999997</v>
      </c>
      <c r="Y67" s="11">
        <f t="shared" ref="Y67:Y130" si="34">X67*Z67</f>
        <v>0.17439519999999997</v>
      </c>
      <c r="Z67" s="37">
        <v>1</v>
      </c>
      <c r="AA67" s="36">
        <f t="shared" si="26"/>
        <v>0.4600662495399338</v>
      </c>
      <c r="AB67" s="36">
        <f t="shared" si="27"/>
        <v>0.49687154950312856</v>
      </c>
      <c r="AC67" s="11">
        <f t="shared" si="28"/>
        <v>8.5866666666666661E-3</v>
      </c>
      <c r="AD67" s="36">
        <f t="shared" ref="AD67:AD130" si="35">AC67*60*AO$1</f>
        <v>0.17439519999999997</v>
      </c>
      <c r="AE67" s="36" t="str">
        <f>VLOOKUP(H67,'Yield &amp; Time'!A:R,18,0)</f>
        <v>CHLORINE</v>
      </c>
      <c r="AF67" s="36">
        <f>IFERROR(VLOOKUP(AE67,'Chemical Cost'!A:D,4,0),0)</f>
        <v>2.7756518066439469E-2</v>
      </c>
      <c r="AG67" s="114">
        <f t="shared" si="29"/>
        <v>4.2566123890380742E-3</v>
      </c>
      <c r="AH67" s="36">
        <f t="shared" ref="AH67:AH130" si="36">AF67*AA67/3</f>
        <v>4.2566123890380742E-3</v>
      </c>
      <c r="AI67" s="36">
        <f t="shared" ref="AI67:AI130" si="37">IFERROR((Q67*Z67)+(Z67*X67)+AH67,0)</f>
        <v>0.67552336189216666</v>
      </c>
      <c r="AJ67" s="36">
        <f>IFERROR(VLOOKUP(A67,'All Products'!A:F,6,0),0)</f>
        <v>5.73</v>
      </c>
      <c r="AK67" s="36">
        <f>AJ67*Z67*J67</f>
        <v>0.57300000000000006</v>
      </c>
      <c r="AL67" s="23">
        <v>0.8</v>
      </c>
      <c r="AM67" s="23">
        <v>0.2</v>
      </c>
      <c r="AN67" s="54" t="e">
        <v>#N/A</v>
      </c>
      <c r="AO67" s="47"/>
      <c r="AP67" s="4">
        <v>1.4</v>
      </c>
      <c r="AQ67" s="111">
        <f t="shared" si="30"/>
        <v>8.5866666666666661E-3</v>
      </c>
      <c r="AR67">
        <f>_xlfn.XLOOKUP(F67,'RM Cost'!A:A,'RM Cost'!S:S)</f>
        <v>0</v>
      </c>
      <c r="AS67" t="str">
        <f>_xlfn.XLOOKUP(A67,[3]Sheet1!$B:$B,[3]Sheet1!$B:$B)</f>
        <v>1256CS</v>
      </c>
      <c r="AT67" t="str">
        <f>_xlfn.XLOOKUP(H67,'Yield &amp; Time'!A:A,'Yield &amp; Time'!O:O)</f>
        <v>Yes</v>
      </c>
    </row>
    <row r="68" spans="1:46" x14ac:dyDescent="0.25">
      <c r="A68" s="2" t="s">
        <v>84</v>
      </c>
      <c r="B68" s="2" t="s">
        <v>552</v>
      </c>
      <c r="C68" s="2" t="s">
        <v>605</v>
      </c>
      <c r="D68" s="2" t="s">
        <v>554</v>
      </c>
      <c r="E68" s="2">
        <v>4</v>
      </c>
      <c r="F68" s="1" t="str">
        <f>VLOOKUP(H68,'RM Used'!A:B,2,0)</f>
        <v>P0020</v>
      </c>
      <c r="G68" s="1" t="str">
        <f>IFERROR(VLOOKUP(F68,'RM Cost'!A:B,2,0),"")</f>
        <v>PALE BLUE BAG 430X430MM</v>
      </c>
      <c r="H68" s="2" t="s">
        <v>1659</v>
      </c>
      <c r="I68" s="1" t="str">
        <f>VLOOKUP(F68,'RM Used'!B:D,3,0)</f>
        <v>RM-PACKING</v>
      </c>
      <c r="J68" s="66">
        <v>1</v>
      </c>
      <c r="K68" s="35" t="str">
        <f t="shared" si="21"/>
        <v/>
      </c>
      <c r="L68" s="35">
        <f t="shared" si="22"/>
        <v>0</v>
      </c>
      <c r="M68" s="77" t="str" cm="1">
        <f t="array" ref="M68">_xlfn.IFS(BOM!I68="RM-PACKING","100%",B68="Reynolds",VLOOKUP(H68,'Yield &amp; Time'!A:V,22,0),BOM!B68="Dnata",VLOOKUP(BOM!H68,'Yield &amp; Time'!A:M,13,0),B68="NK",VLOOKUP(H68,'Yield &amp; Time'!A:X,24,0))</f>
        <v>100%</v>
      </c>
      <c r="N68" s="35">
        <v>4</v>
      </c>
      <c r="O68" s="1" t="str">
        <f>VLOOKUP(H68,'RM Used'!A:E,5,0)</f>
        <v>Count</v>
      </c>
      <c r="P68" s="11">
        <f>VLOOKUP(H68,'RM Used'!A:F,6,0)</f>
        <v>0.09</v>
      </c>
      <c r="Q68" s="11">
        <f t="shared" si="31"/>
        <v>0.36</v>
      </c>
      <c r="R68" s="11">
        <f>IFERROR(IF(B68="Reynolds",VLOOKUP(H68,'Yield &amp; Time'!A:U,21,0),VLOOKUP(H68,'Yield &amp; Time'!A:L,12,0)),0)</f>
        <v>0</v>
      </c>
      <c r="S68" s="11">
        <f t="shared" si="23"/>
        <v>0</v>
      </c>
      <c r="T68" s="11">
        <f t="shared" si="24"/>
        <v>0</v>
      </c>
      <c r="U68" s="11">
        <f>IF(A67=A68,0,VLOOKUP(A68,'Packing Time'!A:F,6,0))</f>
        <v>0</v>
      </c>
      <c r="V68" s="11">
        <f t="shared" si="32"/>
        <v>0</v>
      </c>
      <c r="W68" s="11">
        <f t="shared" si="33"/>
        <v>0</v>
      </c>
      <c r="X68" s="11">
        <f t="shared" si="25"/>
        <v>0</v>
      </c>
      <c r="Y68" s="11">
        <f t="shared" si="34"/>
        <v>0</v>
      </c>
      <c r="Z68" s="37">
        <v>1</v>
      </c>
      <c r="AA68" s="36">
        <f t="shared" si="26"/>
        <v>4</v>
      </c>
      <c r="AB68" s="36">
        <f t="shared" si="27"/>
        <v>0.36</v>
      </c>
      <c r="AC68" s="11">
        <f t="shared" si="28"/>
        <v>0</v>
      </c>
      <c r="AD68" s="36">
        <f t="shared" si="35"/>
        <v>0</v>
      </c>
      <c r="AE68" s="36"/>
      <c r="AF68" s="36">
        <f>IFERROR(VLOOKUP(AE68,'Chemical Cost'!A:D,4,0),0)</f>
        <v>0</v>
      </c>
      <c r="AG68" s="114">
        <f t="shared" si="29"/>
        <v>0</v>
      </c>
      <c r="AH68" s="36">
        <f t="shared" si="36"/>
        <v>0</v>
      </c>
      <c r="AI68" s="36">
        <f t="shared" si="37"/>
        <v>0.36</v>
      </c>
      <c r="AJ68" s="36">
        <f>IFERROR(VLOOKUP(A68,'All Products'!A:F,6,0),0)</f>
        <v>5.73</v>
      </c>
      <c r="AK68" s="36"/>
      <c r="AL68" s="23">
        <v>0.8</v>
      </c>
      <c r="AM68" s="23">
        <v>0.2</v>
      </c>
      <c r="AN68" s="54" t="e">
        <v>#N/A</v>
      </c>
      <c r="AO68" s="47"/>
      <c r="AP68" s="4">
        <v>1.4</v>
      </c>
      <c r="AQ68" s="111">
        <f t="shared" si="30"/>
        <v>0</v>
      </c>
      <c r="AR68">
        <f>_xlfn.XLOOKUP(F68,'RM Cost'!A:A,'RM Cost'!S:S)</f>
        <v>0</v>
      </c>
      <c r="AS68" t="str">
        <f>_xlfn.XLOOKUP(A68,[3]Sheet1!$B:$B,[3]Sheet1!$B:$B)</f>
        <v>1256CS</v>
      </c>
      <c r="AT68" t="e">
        <f>_xlfn.XLOOKUP(H68,'Yield &amp; Time'!A:A,'Yield &amp; Time'!F:F)</f>
        <v>#N/A</v>
      </c>
    </row>
    <row r="69" spans="1:46" x14ac:dyDescent="0.25">
      <c r="A69" s="2" t="s">
        <v>84</v>
      </c>
      <c r="B69" s="2" t="s">
        <v>552</v>
      </c>
      <c r="C69" s="2" t="s">
        <v>605</v>
      </c>
      <c r="D69" s="2" t="s">
        <v>554</v>
      </c>
      <c r="E69" s="2">
        <v>4</v>
      </c>
      <c r="F69" s="1" t="str">
        <f>VLOOKUP(H69,'RM Used'!A:B,2,0)</f>
        <v>P0016</v>
      </c>
      <c r="G69" s="1" t="str">
        <f>IFERROR(VLOOKUP(F69,'RM Cost'!A:B,2,0),"")</f>
        <v>REY 40 30 BOX</v>
      </c>
      <c r="H69" s="2" t="s">
        <v>1332</v>
      </c>
      <c r="I69" s="1" t="str">
        <f>VLOOKUP(F69,'RM Used'!B:D,3,0)</f>
        <v>RM-PACKING</v>
      </c>
      <c r="J69" s="66">
        <v>1</v>
      </c>
      <c r="K69" s="35" t="str">
        <f t="shared" si="21"/>
        <v/>
      </c>
      <c r="L69" s="35">
        <f t="shared" si="22"/>
        <v>0</v>
      </c>
      <c r="M69" s="77" t="str" cm="1">
        <f t="array" ref="M69">_xlfn.IFS(BOM!I69="RM-PACKING","100%",B69="Reynolds",VLOOKUP(H69,'Yield &amp; Time'!A:V,22,0),BOM!B69="Dnata",VLOOKUP(BOM!H69,'Yield &amp; Time'!A:M,13,0),B69="NK",VLOOKUP(H69,'Yield &amp; Time'!A:X,24,0))</f>
        <v>100%</v>
      </c>
      <c r="N69" s="35">
        <f t="shared" ref="N69:N88" si="38">IFERROR(IF(I69="RM-FOOD",(E69*J69)/M69,1),0)</f>
        <v>1</v>
      </c>
      <c r="O69" s="1" t="str">
        <f>VLOOKUP(H69,'RM Used'!A:E,5,0)</f>
        <v>Count</v>
      </c>
      <c r="P69" s="11">
        <f>VLOOKUP(H69,'RM Used'!A:F,6,0)</f>
        <v>0.28000000000000003</v>
      </c>
      <c r="Q69" s="11">
        <f t="shared" si="31"/>
        <v>0.28000000000000003</v>
      </c>
      <c r="R69" s="11">
        <f>IFERROR(IF(B69="Reynolds",VLOOKUP(H69,'Yield &amp; Time'!A:U,21,0),VLOOKUP(H69,'Yield &amp; Time'!A:L,12,0)),0)</f>
        <v>0</v>
      </c>
      <c r="S69" s="11">
        <f t="shared" si="23"/>
        <v>0</v>
      </c>
      <c r="T69" s="11">
        <f t="shared" si="24"/>
        <v>0</v>
      </c>
      <c r="U69" s="11">
        <f>IF(A68=A69,0,VLOOKUP(A69,'Packing Time'!A:F,6,0))</f>
        <v>0</v>
      </c>
      <c r="V69" s="11">
        <f t="shared" si="32"/>
        <v>0</v>
      </c>
      <c r="W69" s="11">
        <f t="shared" si="33"/>
        <v>0</v>
      </c>
      <c r="X69" s="11">
        <f t="shared" si="25"/>
        <v>0</v>
      </c>
      <c r="Y69" s="11">
        <f t="shared" si="34"/>
        <v>0</v>
      </c>
      <c r="Z69" s="37">
        <v>1</v>
      </c>
      <c r="AA69" s="36">
        <f t="shared" si="26"/>
        <v>1</v>
      </c>
      <c r="AB69" s="36">
        <f t="shared" si="27"/>
        <v>0.28000000000000003</v>
      </c>
      <c r="AC69" s="11">
        <f t="shared" si="28"/>
        <v>0</v>
      </c>
      <c r="AD69" s="36">
        <f t="shared" si="35"/>
        <v>0</v>
      </c>
      <c r="AE69" s="36"/>
      <c r="AF69" s="36">
        <f>IFERROR(VLOOKUP(AE69,'Chemical Cost'!A:D,4,0),0)</f>
        <v>0</v>
      </c>
      <c r="AG69" s="114">
        <f t="shared" si="29"/>
        <v>0</v>
      </c>
      <c r="AH69" s="36">
        <f t="shared" si="36"/>
        <v>0</v>
      </c>
      <c r="AI69" s="36">
        <f t="shared" si="37"/>
        <v>0.28000000000000003</v>
      </c>
      <c r="AJ69" s="36">
        <f>IFERROR(VLOOKUP(A69,'All Products'!A:F,6,0),0)</f>
        <v>5.73</v>
      </c>
      <c r="AK69" s="36"/>
      <c r="AL69" s="23">
        <v>0.8</v>
      </c>
      <c r="AM69" s="23">
        <v>0.2</v>
      </c>
      <c r="AN69" s="54" t="e">
        <v>#N/A</v>
      </c>
      <c r="AO69" s="47"/>
      <c r="AP69" s="4">
        <v>1.4</v>
      </c>
      <c r="AQ69" s="111">
        <f t="shared" si="30"/>
        <v>0</v>
      </c>
      <c r="AR69">
        <f>_xlfn.XLOOKUP(F69,'RM Cost'!A:A,'RM Cost'!S:S)</f>
        <v>0</v>
      </c>
      <c r="AS69" t="str">
        <f>_xlfn.XLOOKUP(A69,[3]Sheet1!$B:$B,[3]Sheet1!$B:$B)</f>
        <v>1256CS</v>
      </c>
      <c r="AT69" t="e">
        <f>_xlfn.XLOOKUP(H69,'Yield &amp; Time'!A:A,'Yield &amp; Time'!F:F)</f>
        <v>#N/A</v>
      </c>
    </row>
    <row r="70" spans="1:46" x14ac:dyDescent="0.25">
      <c r="A70" s="2" t="s">
        <v>227</v>
      </c>
      <c r="B70" s="2" t="s">
        <v>552</v>
      </c>
      <c r="C70" s="2" t="s">
        <v>606</v>
      </c>
      <c r="D70" s="2" t="s">
        <v>554</v>
      </c>
      <c r="E70" s="2">
        <v>2.5</v>
      </c>
      <c r="F70" s="1" t="str">
        <f>VLOOKUP(H70,'RM Used'!A:B,2,0)</f>
        <v>032ACS</v>
      </c>
      <c r="G70" s="1" t="str">
        <f>IFERROR(VLOOKUP(F70,'RM Cost'!A:B,2,0),"")</f>
        <v>RM - LRG PROCESSING CARROT X 1000KG</v>
      </c>
      <c r="H70" s="2" t="s">
        <v>1431</v>
      </c>
      <c r="I70" s="1" t="str">
        <f>VLOOKUP(F70,'RM Used'!B:D,3,0)</f>
        <v>RM-FOOD</v>
      </c>
      <c r="J70" s="66">
        <v>1</v>
      </c>
      <c r="K70" s="35">
        <f t="shared" si="21"/>
        <v>2.5</v>
      </c>
      <c r="L70" s="35">
        <f t="shared" si="22"/>
        <v>2.5</v>
      </c>
      <c r="M70" s="77" cm="1">
        <f t="array" ref="M70">_xlfn.IFS(BOM!I70="RM-PACKING","100%",B70="Reynolds",VLOOKUP(H70,'Yield &amp; Time'!A:V,22,0),BOM!B70="Dnata",VLOOKUP(BOM!H70,'Yield &amp; Time'!A:M,13,0),B70="NK",VLOOKUP(H70,'Yield &amp; Time'!A:X,24,0))</f>
        <v>0.59308538964496971</v>
      </c>
      <c r="N70" s="35">
        <f t="shared" si="38"/>
        <v>4.2152446235381715</v>
      </c>
      <c r="O70" s="1" t="str">
        <f>VLOOKUP(H70,'RM Used'!A:E,5,0)</f>
        <v>KG</v>
      </c>
      <c r="P70" s="11">
        <f>VLOOKUP(H70,'RM Used'!A:F,6,0)</f>
        <v>0.38</v>
      </c>
      <c r="Q70" s="11">
        <f t="shared" si="31"/>
        <v>1.6017929569445053</v>
      </c>
      <c r="R70" s="11">
        <f>IFERROR(IF(B70="Reynolds",VLOOKUP(H70,'Yield &amp; Time'!A:U,21,0),VLOOKUP(H70,'Yield &amp; Time'!A:L,12,0)),0)</f>
        <v>1</v>
      </c>
      <c r="S70" s="11">
        <f t="shared" si="23"/>
        <v>0.84624999999999995</v>
      </c>
      <c r="T70" s="11">
        <f t="shared" si="24"/>
        <v>4.1666666666666664E-2</v>
      </c>
      <c r="U70" s="11">
        <f>IF(A69=A70,0,VLOOKUP(A70,'Packing Time'!A:F,6,0))</f>
        <v>0.875</v>
      </c>
      <c r="V70" s="11">
        <f t="shared" si="32"/>
        <v>0.29618749999999999</v>
      </c>
      <c r="W70" s="11">
        <f t="shared" si="33"/>
        <v>1.4583333333333334E-2</v>
      </c>
      <c r="X70" s="11">
        <f t="shared" si="25"/>
        <v>1.8279000000000001</v>
      </c>
      <c r="Y70" s="11">
        <f t="shared" si="34"/>
        <v>1.8279000000000001</v>
      </c>
      <c r="Z70" s="37">
        <v>1</v>
      </c>
      <c r="AA70" s="36">
        <f t="shared" si="26"/>
        <v>4.2152446235381715</v>
      </c>
      <c r="AB70" s="36">
        <f t="shared" si="27"/>
        <v>1.6017929569445053</v>
      </c>
      <c r="AC70" s="11">
        <f t="shared" si="28"/>
        <v>9.0000000000000011E-2</v>
      </c>
      <c r="AD70" s="36">
        <f t="shared" si="35"/>
        <v>1.8278999999999999</v>
      </c>
      <c r="AE70" s="36" t="str">
        <f>VLOOKUP(H70,'Yield &amp; Time'!A:R,18,0)</f>
        <v>CHLORINE</v>
      </c>
      <c r="AF70" s="36">
        <f>IFERROR(VLOOKUP(AE70,'Chemical Cost'!A:D,4,0),0)</f>
        <v>2.7756518066439469E-2</v>
      </c>
      <c r="AG70" s="114">
        <f t="shared" si="29"/>
        <v>3.9000171182566365E-2</v>
      </c>
      <c r="AH70" s="36">
        <f t="shared" si="36"/>
        <v>3.9000171182566365E-2</v>
      </c>
      <c r="AI70" s="36">
        <f t="shared" si="37"/>
        <v>3.4686931281270716</v>
      </c>
      <c r="AJ70" s="36">
        <f>IFERROR(VLOOKUP(A70,'All Products'!A:F,6,0),0)</f>
        <v>6.18</v>
      </c>
      <c r="AK70" s="36">
        <f>AJ70*Z70*J70</f>
        <v>6.18</v>
      </c>
      <c r="AL70" s="23">
        <v>1</v>
      </c>
      <c r="AM70" s="23"/>
      <c r="AN70" s="54" t="e">
        <v>#N/A</v>
      </c>
      <c r="AO70" s="47"/>
      <c r="AP70" s="4">
        <v>1.6</v>
      </c>
      <c r="AQ70" s="111">
        <f t="shared" si="30"/>
        <v>9.0000000000000011E-2</v>
      </c>
      <c r="AR70">
        <f>_xlfn.XLOOKUP(F70,'RM Cost'!A:A,'RM Cost'!S:S)</f>
        <v>0</v>
      </c>
      <c r="AS70" t="e">
        <f>_xlfn.XLOOKUP(A70,[3]Sheet1!$B:$B,[3]Sheet1!$B:$B)</f>
        <v>#N/A</v>
      </c>
    </row>
    <row r="71" spans="1:46" x14ac:dyDescent="0.25">
      <c r="A71" s="2" t="s">
        <v>227</v>
      </c>
      <c r="B71" s="2" t="s">
        <v>552</v>
      </c>
      <c r="C71" s="2" t="s">
        <v>606</v>
      </c>
      <c r="D71" s="2" t="s">
        <v>554</v>
      </c>
      <c r="E71" s="2">
        <v>2.5</v>
      </c>
      <c r="F71" s="1" t="str">
        <f>VLOOKUP(H71,'RM Used'!A:B,2,0)</f>
        <v>P0020</v>
      </c>
      <c r="G71" s="1" t="str">
        <f>IFERROR(VLOOKUP(F71,'RM Cost'!A:B,2,0),"")</f>
        <v>PALE BLUE BAG 430X430MM</v>
      </c>
      <c r="H71" s="2" t="s">
        <v>1659</v>
      </c>
      <c r="I71" s="1" t="str">
        <f>VLOOKUP(F71,'RM Used'!B:D,3,0)</f>
        <v>RM-PACKING</v>
      </c>
      <c r="J71" s="66">
        <v>1</v>
      </c>
      <c r="K71" s="35" t="str">
        <f t="shared" si="21"/>
        <v/>
      </c>
      <c r="L71" s="35">
        <f t="shared" si="22"/>
        <v>0</v>
      </c>
      <c r="M71" s="77" t="str" cm="1">
        <f t="array" ref="M71">_xlfn.IFS(BOM!I71="RM-PACKING","100%",B71="Reynolds",VLOOKUP(H71,'Yield &amp; Time'!A:V,22,0),BOM!B71="Dnata",VLOOKUP(BOM!H71,'Yield &amp; Time'!A:M,13,0),B71="NK",VLOOKUP(H71,'Yield &amp; Time'!A:X,24,0))</f>
        <v>100%</v>
      </c>
      <c r="N71" s="35">
        <f t="shared" si="38"/>
        <v>1</v>
      </c>
      <c r="O71" s="1" t="str">
        <f>VLOOKUP(H71,'RM Used'!A:E,5,0)</f>
        <v>Count</v>
      </c>
      <c r="P71" s="11">
        <f>VLOOKUP(H71,'RM Used'!A:F,6,0)</f>
        <v>0.09</v>
      </c>
      <c r="Q71" s="11">
        <f t="shared" si="31"/>
        <v>0.09</v>
      </c>
      <c r="R71" s="11">
        <f>IFERROR(IF(B71="Reynolds",VLOOKUP(H71,'Yield &amp; Time'!A:U,21,0),VLOOKUP(H71,'Yield &amp; Time'!A:L,12,0)),0)</f>
        <v>0</v>
      </c>
      <c r="S71" s="11">
        <f t="shared" si="23"/>
        <v>0</v>
      </c>
      <c r="T71" s="11">
        <f t="shared" si="24"/>
        <v>0</v>
      </c>
      <c r="U71" s="11">
        <f>IF(A70=A71,0,VLOOKUP(A71,'Packing Time'!A:F,6,0))</f>
        <v>0</v>
      </c>
      <c r="V71" s="11">
        <f t="shared" si="32"/>
        <v>0</v>
      </c>
      <c r="W71" s="11">
        <f t="shared" si="33"/>
        <v>0</v>
      </c>
      <c r="X71" s="11">
        <f t="shared" si="25"/>
        <v>0</v>
      </c>
      <c r="Y71" s="11">
        <f t="shared" si="34"/>
        <v>0</v>
      </c>
      <c r="Z71" s="37">
        <v>1</v>
      </c>
      <c r="AA71" s="36">
        <f t="shared" si="26"/>
        <v>1</v>
      </c>
      <c r="AB71" s="36">
        <f t="shared" si="27"/>
        <v>0.09</v>
      </c>
      <c r="AC71" s="11">
        <f t="shared" si="28"/>
        <v>0</v>
      </c>
      <c r="AD71" s="36">
        <f t="shared" si="35"/>
        <v>0</v>
      </c>
      <c r="AE71" s="36"/>
      <c r="AF71" s="36">
        <f>IFERROR(VLOOKUP(AE71,'Chemical Cost'!A:D,4,0),0)</f>
        <v>0</v>
      </c>
      <c r="AG71" s="114">
        <f t="shared" si="29"/>
        <v>0</v>
      </c>
      <c r="AH71" s="36">
        <f t="shared" si="36"/>
        <v>0</v>
      </c>
      <c r="AI71" s="36">
        <f t="shared" si="37"/>
        <v>0.09</v>
      </c>
      <c r="AJ71" s="36">
        <f>IFERROR(VLOOKUP(A71,'All Products'!A:F,6,0),0)</f>
        <v>6.18</v>
      </c>
      <c r="AK71" s="36"/>
      <c r="AL71" s="23">
        <v>1</v>
      </c>
      <c r="AM71" s="23"/>
      <c r="AN71" s="54" t="e">
        <v>#N/A</v>
      </c>
      <c r="AO71" s="47"/>
      <c r="AP71" s="4">
        <v>1.6</v>
      </c>
      <c r="AQ71" s="111">
        <f t="shared" si="30"/>
        <v>0</v>
      </c>
      <c r="AR71">
        <f>_xlfn.XLOOKUP(F71,'RM Cost'!A:A,'RM Cost'!S:S)</f>
        <v>0</v>
      </c>
      <c r="AS71" t="e">
        <f>_xlfn.XLOOKUP(A71,[3]Sheet1!$B:$B,[3]Sheet1!$B:$B)</f>
        <v>#N/A</v>
      </c>
    </row>
    <row r="72" spans="1:46" x14ac:dyDescent="0.25">
      <c r="A72" s="2" t="s">
        <v>227</v>
      </c>
      <c r="B72" s="2" t="s">
        <v>552</v>
      </c>
      <c r="C72" s="2" t="s">
        <v>606</v>
      </c>
      <c r="D72" s="2" t="s">
        <v>554</v>
      </c>
      <c r="E72" s="2">
        <v>2.5</v>
      </c>
      <c r="F72" s="1" t="str">
        <f>VLOOKUP(H72,'RM Used'!A:B,2,0)</f>
        <v>P0016</v>
      </c>
      <c r="G72" s="1" t="str">
        <f>IFERROR(VLOOKUP(F72,'RM Cost'!A:B,2,0),"")</f>
        <v>REY 40 30 BOX</v>
      </c>
      <c r="H72" s="2" t="s">
        <v>1332</v>
      </c>
      <c r="I72" s="1" t="str">
        <f>VLOOKUP(F72,'RM Used'!B:D,3,0)</f>
        <v>RM-PACKING</v>
      </c>
      <c r="J72" s="66">
        <v>1</v>
      </c>
      <c r="K72" s="35" t="str">
        <f t="shared" si="21"/>
        <v/>
      </c>
      <c r="L72" s="35">
        <f t="shared" si="22"/>
        <v>0</v>
      </c>
      <c r="M72" s="77" t="str" cm="1">
        <f t="array" ref="M72">_xlfn.IFS(BOM!I72="RM-PACKING","100%",B72="Reynolds",VLOOKUP(H72,'Yield &amp; Time'!A:V,22,0),BOM!B72="Dnata",VLOOKUP(BOM!H72,'Yield &amp; Time'!A:M,13,0),B72="NK",VLOOKUP(H72,'Yield &amp; Time'!A:X,24,0))</f>
        <v>100%</v>
      </c>
      <c r="N72" s="35">
        <f t="shared" si="38"/>
        <v>1</v>
      </c>
      <c r="O72" s="1" t="str">
        <f>VLOOKUP(H72,'RM Used'!A:E,5,0)</f>
        <v>Count</v>
      </c>
      <c r="P72" s="11">
        <f>VLOOKUP(H72,'RM Used'!A:F,6,0)</f>
        <v>0.28000000000000003</v>
      </c>
      <c r="Q72" s="11">
        <f t="shared" si="31"/>
        <v>0.28000000000000003</v>
      </c>
      <c r="R72" s="11">
        <f>IFERROR(IF(B72="Reynolds",VLOOKUP(H72,'Yield &amp; Time'!A:U,21,0),VLOOKUP(H72,'Yield &amp; Time'!A:L,12,0)),0)</f>
        <v>0</v>
      </c>
      <c r="S72" s="11">
        <f t="shared" si="23"/>
        <v>0</v>
      </c>
      <c r="T72" s="11">
        <f t="shared" si="24"/>
        <v>0</v>
      </c>
      <c r="U72" s="11">
        <f>IF(A71=A72,0,VLOOKUP(A72,'Packing Time'!A:F,6,0))</f>
        <v>0</v>
      </c>
      <c r="V72" s="11">
        <f t="shared" si="32"/>
        <v>0</v>
      </c>
      <c r="W72" s="11">
        <f t="shared" si="33"/>
        <v>0</v>
      </c>
      <c r="X72" s="11">
        <f t="shared" si="25"/>
        <v>0</v>
      </c>
      <c r="Y72" s="11">
        <f t="shared" si="34"/>
        <v>0</v>
      </c>
      <c r="Z72" s="37">
        <v>1</v>
      </c>
      <c r="AA72" s="36">
        <f t="shared" si="26"/>
        <v>1</v>
      </c>
      <c r="AB72" s="36">
        <f t="shared" si="27"/>
        <v>0.28000000000000003</v>
      </c>
      <c r="AC72" s="11">
        <f t="shared" si="28"/>
        <v>0</v>
      </c>
      <c r="AD72" s="36">
        <f t="shared" si="35"/>
        <v>0</v>
      </c>
      <c r="AE72" s="36"/>
      <c r="AF72" s="36">
        <f>IFERROR(VLOOKUP(AE72,'Chemical Cost'!A:D,4,0),0)</f>
        <v>0</v>
      </c>
      <c r="AG72" s="114">
        <f t="shared" si="29"/>
        <v>0</v>
      </c>
      <c r="AH72" s="36">
        <f t="shared" si="36"/>
        <v>0</v>
      </c>
      <c r="AI72" s="36">
        <f t="shared" si="37"/>
        <v>0.28000000000000003</v>
      </c>
      <c r="AJ72" s="36">
        <f>IFERROR(VLOOKUP(A72,'All Products'!A:F,6,0),0)</f>
        <v>6.18</v>
      </c>
      <c r="AK72" s="36"/>
      <c r="AL72" s="23">
        <v>1</v>
      </c>
      <c r="AM72" s="23"/>
      <c r="AN72" s="54" t="e">
        <v>#N/A</v>
      </c>
      <c r="AO72" s="47"/>
      <c r="AP72" s="4">
        <v>1.6</v>
      </c>
      <c r="AQ72" s="111">
        <f t="shared" si="30"/>
        <v>0</v>
      </c>
      <c r="AR72">
        <f>_xlfn.XLOOKUP(F72,'RM Cost'!A:A,'RM Cost'!S:S)</f>
        <v>0</v>
      </c>
      <c r="AS72" t="e">
        <f>_xlfn.XLOOKUP(A72,[3]Sheet1!$B:$B,[3]Sheet1!$B:$B)</f>
        <v>#N/A</v>
      </c>
    </row>
    <row r="73" spans="1:46" x14ac:dyDescent="0.25">
      <c r="A73" s="2" t="s">
        <v>231</v>
      </c>
      <c r="B73" s="2" t="s">
        <v>552</v>
      </c>
      <c r="C73" s="2" t="s">
        <v>610</v>
      </c>
      <c r="D73" s="2" t="s">
        <v>554</v>
      </c>
      <c r="E73" s="2">
        <v>2.5</v>
      </c>
      <c r="F73" s="1" t="str">
        <f>VLOOKUP(H73,'RM Used'!A:B,2,0)</f>
        <v>S3997CS</v>
      </c>
      <c r="G73" s="1" t="str">
        <f>IFERROR(VLOOKUP(F73,'RM Cost'!A:B,2,0),"")</f>
        <v>RM - DECORE WHITE CABBAGE 1/3 1200KG</v>
      </c>
      <c r="H73" s="2" t="s">
        <v>1350</v>
      </c>
      <c r="I73" s="1" t="str">
        <f>VLOOKUP(F73,'RM Used'!B:D,3,0)</f>
        <v>RM-FOOD</v>
      </c>
      <c r="J73" s="66">
        <v>0.7</v>
      </c>
      <c r="K73" s="35">
        <f t="shared" si="21"/>
        <v>1.75</v>
      </c>
      <c r="L73" s="35">
        <f t="shared" si="22"/>
        <v>1.75</v>
      </c>
      <c r="M73" s="77" cm="1">
        <f t="array" ref="M73">_xlfn.IFS(BOM!I73="RM-PACKING","100%",B73="Reynolds",VLOOKUP(H73,'Yield &amp; Time'!A:V,22,0),BOM!B73="Dnata",VLOOKUP(BOM!H73,'Yield &amp; Time'!A:M,13,0),B73="NK",VLOOKUP(H73,'Yield &amp; Time'!A:X,24,0))</f>
        <v>0.77222322232223217</v>
      </c>
      <c r="N73" s="35">
        <f t="shared" si="38"/>
        <v>2.2661841154393083</v>
      </c>
      <c r="O73" s="1" t="str">
        <f>VLOOKUP(H73,'RM Used'!A:E,5,0)</f>
        <v>KG</v>
      </c>
      <c r="P73" s="11">
        <f>VLOOKUP(H73,'RM Used'!A:F,6,0)</f>
        <v>0.34</v>
      </c>
      <c r="Q73" s="11">
        <f t="shared" si="31"/>
        <v>0.77050259924936493</v>
      </c>
      <c r="R73" s="11">
        <f>IFERROR(IF(B73="Reynolds",VLOOKUP(H73,'Yield &amp; Time'!A:U,21,0),VLOOKUP(H73,'Yield &amp; Time'!A:L,12,0)),0)</f>
        <v>0.82773480662983423</v>
      </c>
      <c r="S73" s="11">
        <f t="shared" si="23"/>
        <v>0.49032940607734798</v>
      </c>
      <c r="T73" s="11">
        <f t="shared" si="24"/>
        <v>2.4142265193370163E-2</v>
      </c>
      <c r="U73" s="11">
        <f>IF(A72=A73,0,VLOOKUP(A73,'Packing Time'!A:F,6,0))</f>
        <v>0.875</v>
      </c>
      <c r="V73" s="11">
        <f t="shared" si="32"/>
        <v>0.29618749999999999</v>
      </c>
      <c r="W73" s="11">
        <f t="shared" si="33"/>
        <v>1.4583333333333334E-2</v>
      </c>
      <c r="X73" s="11">
        <f t="shared" si="25"/>
        <v>1.2584270497237569</v>
      </c>
      <c r="Y73" s="11">
        <f t="shared" si="34"/>
        <v>1.2584270497237569</v>
      </c>
      <c r="Z73" s="37">
        <v>1</v>
      </c>
      <c r="AA73" s="36">
        <f t="shared" si="26"/>
        <v>2.2661841154393083</v>
      </c>
      <c r="AB73" s="36">
        <f t="shared" si="27"/>
        <v>0.77050259924936493</v>
      </c>
      <c r="AC73" s="11">
        <f t="shared" si="28"/>
        <v>6.1960957642725606E-2</v>
      </c>
      <c r="AD73" s="36">
        <f t="shared" si="35"/>
        <v>1.2584270497237571</v>
      </c>
      <c r="AE73" s="36" t="str">
        <f>VLOOKUP(H73,'Yield &amp; Time'!A:R,18,0)</f>
        <v>CHLORINE</v>
      </c>
      <c r="AF73" s="36">
        <f>IFERROR(VLOOKUP(AE73,'Chemical Cost'!A:D,4,0),0)</f>
        <v>2.7756518066439469E-2</v>
      </c>
      <c r="AG73" s="114">
        <f t="shared" si="29"/>
        <v>2.0967126780689769E-2</v>
      </c>
      <c r="AH73" s="36">
        <f t="shared" si="36"/>
        <v>2.0967126780689769E-2</v>
      </c>
      <c r="AI73" s="36">
        <f t="shared" si="37"/>
        <v>2.0498967757538114</v>
      </c>
      <c r="AJ73" s="36">
        <f>IFERROR(VLOOKUP(A73,'All Products'!A:F,6,0),0)</f>
        <v>3.29</v>
      </c>
      <c r="AK73" s="36">
        <f>AJ73*Z73*J73</f>
        <v>2.3029999999999999</v>
      </c>
      <c r="AL73" s="23">
        <v>0.8</v>
      </c>
      <c r="AM73" s="23">
        <v>0.2</v>
      </c>
      <c r="AN73" s="54" t="e">
        <v>#N/A</v>
      </c>
      <c r="AO73" s="47"/>
      <c r="AP73" s="4">
        <v>1.6</v>
      </c>
      <c r="AQ73" s="111">
        <f t="shared" si="30"/>
        <v>6.1960957642725606E-2</v>
      </c>
      <c r="AR73">
        <f>_xlfn.XLOOKUP(F73,'RM Cost'!A:A,'RM Cost'!S:S)</f>
        <v>0.29914853989077506</v>
      </c>
      <c r="AS73" t="e">
        <f>_xlfn.XLOOKUP(A73,[3]Sheet1!$B:$B,[3]Sheet1!$B:$B)</f>
        <v>#N/A</v>
      </c>
    </row>
    <row r="74" spans="1:46" x14ac:dyDescent="0.25">
      <c r="A74" s="2" t="s">
        <v>231</v>
      </c>
      <c r="B74" s="2" t="s">
        <v>552</v>
      </c>
      <c r="C74" s="2" t="s">
        <v>610</v>
      </c>
      <c r="D74" s="2" t="s">
        <v>554</v>
      </c>
      <c r="E74" s="2">
        <v>2.5</v>
      </c>
      <c r="F74" s="1" t="str">
        <f>VLOOKUP(H74,'RM Used'!A:B,2,0)</f>
        <v>032ACS</v>
      </c>
      <c r="G74" s="1" t="str">
        <f>IFERROR(VLOOKUP(F74,'RM Cost'!A:B,2,0),"")</f>
        <v>RM - LRG PROCESSING CARROT X 1000KG</v>
      </c>
      <c r="H74" s="2" t="s">
        <v>1351</v>
      </c>
      <c r="I74" s="1" t="str">
        <f>VLOOKUP(F74,'RM Used'!B:D,3,0)</f>
        <v>RM-FOOD</v>
      </c>
      <c r="J74" s="66">
        <v>0.3</v>
      </c>
      <c r="K74" s="35">
        <f t="shared" si="21"/>
        <v>0.75</v>
      </c>
      <c r="L74" s="35">
        <f t="shared" si="22"/>
        <v>0.75</v>
      </c>
      <c r="M74" s="77" cm="1">
        <f t="array" ref="M74">_xlfn.IFS(BOM!I74="RM-PACKING","100%",B74="Reynolds",VLOOKUP(H74,'Yield &amp; Time'!A:V,22,0),BOM!B74="Dnata",VLOOKUP(BOM!H74,'Yield &amp; Time'!A:M,13,0),B74="NK",VLOOKUP(H74,'Yield &amp; Time'!A:X,24,0))</f>
        <v>0.75330000000000008</v>
      </c>
      <c r="N74" s="35">
        <f t="shared" si="38"/>
        <v>0.9956192751891676</v>
      </c>
      <c r="O74" s="1" t="str">
        <f>VLOOKUP(H74,'RM Used'!A:E,5,0)</f>
        <v>KG</v>
      </c>
      <c r="P74" s="11">
        <f>VLOOKUP(H74,'RM Used'!A:F,6,0)</f>
        <v>0.38</v>
      </c>
      <c r="Q74" s="11">
        <f t="shared" si="31"/>
        <v>0.37833532457188368</v>
      </c>
      <c r="R74" s="11">
        <f>IFERROR(IF(B74="Reynolds",VLOOKUP(H74,'Yield &amp; Time'!A:U,21,0),VLOOKUP(H74,'Yield &amp; Time'!A:L,12,0)),0)</f>
        <v>0.90531914893617027</v>
      </c>
      <c r="S74" s="11">
        <f t="shared" si="23"/>
        <v>0.22983789893617018</v>
      </c>
      <c r="T74" s="11">
        <f t="shared" si="24"/>
        <v>1.1316489361702127E-2</v>
      </c>
      <c r="U74" s="11">
        <f>IF(A73=A74,0,VLOOKUP(A74,'Packing Time'!A:F,6,0))</f>
        <v>0</v>
      </c>
      <c r="V74" s="11">
        <f t="shared" si="32"/>
        <v>0</v>
      </c>
      <c r="W74" s="11">
        <f t="shared" si="33"/>
        <v>0</v>
      </c>
      <c r="X74" s="11">
        <f t="shared" si="25"/>
        <v>0.36774063829787229</v>
      </c>
      <c r="Y74" s="11">
        <f t="shared" si="34"/>
        <v>0.36774063829787229</v>
      </c>
      <c r="Z74" s="37">
        <v>1</v>
      </c>
      <c r="AA74" s="36">
        <f t="shared" si="26"/>
        <v>0.9956192751891676</v>
      </c>
      <c r="AB74" s="36">
        <f t="shared" si="27"/>
        <v>0.37833532457188368</v>
      </c>
      <c r="AC74" s="11">
        <f t="shared" si="28"/>
        <v>1.8106382978723405E-2</v>
      </c>
      <c r="AD74" s="36">
        <f t="shared" si="35"/>
        <v>0.36774063829787229</v>
      </c>
      <c r="AE74" s="36" t="str">
        <f>VLOOKUP(H74,'Yield &amp; Time'!A:R,18,0)</f>
        <v>CHLORINE</v>
      </c>
      <c r="AF74" s="36">
        <f>IFERROR(VLOOKUP(AE74,'Chemical Cost'!A:D,4,0),0)</f>
        <v>2.7756518066439469E-2</v>
      </c>
      <c r="AG74" s="114">
        <f t="shared" si="29"/>
        <v>9.2116414663611663E-3</v>
      </c>
      <c r="AH74" s="36">
        <f t="shared" si="36"/>
        <v>9.2116414663611663E-3</v>
      </c>
      <c r="AI74" s="36">
        <f t="shared" si="37"/>
        <v>0.75528760433611719</v>
      </c>
      <c r="AJ74" s="36">
        <f>IFERROR(VLOOKUP(A74,'All Products'!A:F,6,0),0)</f>
        <v>3.29</v>
      </c>
      <c r="AK74" s="36">
        <f>AJ74*Z74*J74</f>
        <v>0.98699999999999999</v>
      </c>
      <c r="AL74" s="23">
        <v>0.8</v>
      </c>
      <c r="AM74" s="23">
        <v>0.2</v>
      </c>
      <c r="AN74" s="54" t="e">
        <v>#N/A</v>
      </c>
      <c r="AO74" s="47"/>
      <c r="AP74" s="4">
        <v>1.6</v>
      </c>
      <c r="AQ74" s="111">
        <f t="shared" si="30"/>
        <v>1.8106382978723405E-2</v>
      </c>
      <c r="AR74">
        <f>_xlfn.XLOOKUP(F74,'RM Cost'!A:A,'RM Cost'!S:S)</f>
        <v>0</v>
      </c>
      <c r="AS74" t="e">
        <f>_xlfn.XLOOKUP(A74,[3]Sheet1!$B:$B,[3]Sheet1!$B:$B)</f>
        <v>#N/A</v>
      </c>
    </row>
    <row r="75" spans="1:46" x14ac:dyDescent="0.25">
      <c r="A75" s="2" t="s">
        <v>231</v>
      </c>
      <c r="B75" s="2" t="s">
        <v>552</v>
      </c>
      <c r="C75" s="2" t="s">
        <v>610</v>
      </c>
      <c r="D75" s="2" t="s">
        <v>554</v>
      </c>
      <c r="E75" s="2">
        <v>2.5</v>
      </c>
      <c r="F75" s="1" t="str">
        <f>VLOOKUP(H75,'RM Used'!A:B,2,0)</f>
        <v>P0020</v>
      </c>
      <c r="G75" s="1" t="str">
        <f>IFERROR(VLOOKUP(F75,'RM Cost'!A:B,2,0),"")</f>
        <v>PALE BLUE BAG 430X430MM</v>
      </c>
      <c r="H75" s="2" t="s">
        <v>1659</v>
      </c>
      <c r="I75" s="1" t="str">
        <f>VLOOKUP(F75,'RM Used'!B:D,3,0)</f>
        <v>RM-PACKING</v>
      </c>
      <c r="J75" s="66">
        <v>1</v>
      </c>
      <c r="K75" s="35" t="str">
        <f t="shared" si="21"/>
        <v/>
      </c>
      <c r="L75" s="35">
        <f t="shared" si="22"/>
        <v>0</v>
      </c>
      <c r="M75" s="77" t="str" cm="1">
        <f t="array" ref="M75">_xlfn.IFS(BOM!I75="RM-PACKING","100%",B75="Reynolds",VLOOKUP(H75,'Yield &amp; Time'!A:V,22,0),BOM!B75="Dnata",VLOOKUP(BOM!H75,'Yield &amp; Time'!A:M,13,0),B75="NK",VLOOKUP(H75,'Yield &amp; Time'!A:X,24,0))</f>
        <v>100%</v>
      </c>
      <c r="N75" s="35">
        <f t="shared" si="38"/>
        <v>1</v>
      </c>
      <c r="O75" s="1" t="str">
        <f>VLOOKUP(H75,'RM Used'!A:E,5,0)</f>
        <v>Count</v>
      </c>
      <c r="P75" s="11">
        <f>VLOOKUP(H75,'RM Used'!A:F,6,0)</f>
        <v>0.09</v>
      </c>
      <c r="Q75" s="11">
        <f t="shared" si="31"/>
        <v>0.09</v>
      </c>
      <c r="R75" s="11">
        <f>IFERROR(IF(B75="Reynolds",VLOOKUP(H75,'Yield &amp; Time'!A:U,21,0),VLOOKUP(H75,'Yield &amp; Time'!A:L,12,0)),0)</f>
        <v>0</v>
      </c>
      <c r="S75" s="11">
        <f t="shared" si="23"/>
        <v>0</v>
      </c>
      <c r="T75" s="11">
        <f t="shared" si="24"/>
        <v>0</v>
      </c>
      <c r="U75" s="11">
        <f>IF(A74=A75,0,VLOOKUP(A75,'Packing Time'!A:F,6,0))</f>
        <v>0</v>
      </c>
      <c r="V75" s="11">
        <f t="shared" si="32"/>
        <v>0</v>
      </c>
      <c r="W75" s="11">
        <f t="shared" si="33"/>
        <v>0</v>
      </c>
      <c r="X75" s="11">
        <f t="shared" si="25"/>
        <v>0</v>
      </c>
      <c r="Y75" s="11">
        <f t="shared" si="34"/>
        <v>0</v>
      </c>
      <c r="Z75" s="37">
        <v>1</v>
      </c>
      <c r="AA75" s="36">
        <f t="shared" si="26"/>
        <v>1</v>
      </c>
      <c r="AB75" s="36">
        <f t="shared" si="27"/>
        <v>0.09</v>
      </c>
      <c r="AC75" s="11">
        <f t="shared" si="28"/>
        <v>0</v>
      </c>
      <c r="AD75" s="36">
        <f t="shared" si="35"/>
        <v>0</v>
      </c>
      <c r="AE75" s="36"/>
      <c r="AF75" s="36">
        <f>IFERROR(VLOOKUP(AE75,'Chemical Cost'!A:D,4,0),0)</f>
        <v>0</v>
      </c>
      <c r="AG75" s="114">
        <f t="shared" si="29"/>
        <v>0</v>
      </c>
      <c r="AH75" s="36">
        <f t="shared" si="36"/>
        <v>0</v>
      </c>
      <c r="AI75" s="36">
        <f t="shared" si="37"/>
        <v>0.09</v>
      </c>
      <c r="AJ75" s="36">
        <f>IFERROR(VLOOKUP(A75,'All Products'!A:F,6,0),0)</f>
        <v>3.29</v>
      </c>
      <c r="AK75" s="36"/>
      <c r="AL75" s="23">
        <v>0.8</v>
      </c>
      <c r="AM75" s="23">
        <v>0.2</v>
      </c>
      <c r="AN75" s="54" t="e">
        <v>#N/A</v>
      </c>
      <c r="AO75" s="47"/>
      <c r="AP75" s="4">
        <v>1.6</v>
      </c>
      <c r="AQ75" s="111">
        <f t="shared" si="30"/>
        <v>0</v>
      </c>
      <c r="AR75">
        <f>_xlfn.XLOOKUP(F75,'RM Cost'!A:A,'RM Cost'!S:S)</f>
        <v>0</v>
      </c>
      <c r="AS75" t="e">
        <f>_xlfn.XLOOKUP(A75,[3]Sheet1!$B:$B,[3]Sheet1!$B:$B)</f>
        <v>#N/A</v>
      </c>
    </row>
    <row r="76" spans="1:46" x14ac:dyDescent="0.25">
      <c r="A76" s="2" t="s">
        <v>231</v>
      </c>
      <c r="B76" s="2" t="s">
        <v>552</v>
      </c>
      <c r="C76" s="2" t="s">
        <v>610</v>
      </c>
      <c r="D76" s="2" t="s">
        <v>554</v>
      </c>
      <c r="E76" s="2">
        <v>2.5</v>
      </c>
      <c r="F76" s="1" t="str">
        <f>VLOOKUP(H76,'RM Used'!A:B,2,0)</f>
        <v>P0016</v>
      </c>
      <c r="G76" s="1" t="str">
        <f>IFERROR(VLOOKUP(F76,'RM Cost'!A:B,2,0),"")</f>
        <v>REY 40 30 BOX</v>
      </c>
      <c r="H76" s="2" t="s">
        <v>1332</v>
      </c>
      <c r="I76" s="1" t="str">
        <f>VLOOKUP(F76,'RM Used'!B:D,3,0)</f>
        <v>RM-PACKING</v>
      </c>
      <c r="J76" s="66">
        <v>1</v>
      </c>
      <c r="K76" s="35" t="str">
        <f t="shared" si="21"/>
        <v/>
      </c>
      <c r="L76" s="35">
        <f t="shared" si="22"/>
        <v>0</v>
      </c>
      <c r="M76" s="77" t="str" cm="1">
        <f t="array" ref="M76">_xlfn.IFS(BOM!I76="RM-PACKING","100%",B76="Reynolds",VLOOKUP(H76,'Yield &amp; Time'!A:V,22,0),BOM!B76="Dnata",VLOOKUP(BOM!H76,'Yield &amp; Time'!A:M,13,0),B76="NK",VLOOKUP(H76,'Yield &amp; Time'!A:X,24,0))</f>
        <v>100%</v>
      </c>
      <c r="N76" s="35">
        <f t="shared" si="38"/>
        <v>1</v>
      </c>
      <c r="O76" s="1" t="str">
        <f>VLOOKUP(H76,'RM Used'!A:E,5,0)</f>
        <v>Count</v>
      </c>
      <c r="P76" s="11">
        <f>VLOOKUP(H76,'RM Used'!A:F,6,0)</f>
        <v>0.28000000000000003</v>
      </c>
      <c r="Q76" s="11">
        <f t="shared" si="31"/>
        <v>0.28000000000000003</v>
      </c>
      <c r="R76" s="11">
        <f>IFERROR(IF(B76="Reynolds",VLOOKUP(H76,'Yield &amp; Time'!A:U,21,0),VLOOKUP(H76,'Yield &amp; Time'!A:L,12,0)),0)</f>
        <v>0</v>
      </c>
      <c r="S76" s="11">
        <f t="shared" si="23"/>
        <v>0</v>
      </c>
      <c r="T76" s="11">
        <f t="shared" si="24"/>
        <v>0</v>
      </c>
      <c r="U76" s="11">
        <f>IF(A75=A76,0,VLOOKUP(A76,'Packing Time'!A:F,6,0))</f>
        <v>0</v>
      </c>
      <c r="V76" s="11">
        <f t="shared" si="32"/>
        <v>0</v>
      </c>
      <c r="W76" s="11">
        <f t="shared" si="33"/>
        <v>0</v>
      </c>
      <c r="X76" s="11">
        <f t="shared" si="25"/>
        <v>0</v>
      </c>
      <c r="Y76" s="11">
        <f t="shared" si="34"/>
        <v>0</v>
      </c>
      <c r="Z76" s="37">
        <v>1</v>
      </c>
      <c r="AA76" s="36">
        <f t="shared" si="26"/>
        <v>1</v>
      </c>
      <c r="AB76" s="36">
        <f t="shared" si="27"/>
        <v>0.28000000000000003</v>
      </c>
      <c r="AC76" s="11">
        <f t="shared" si="28"/>
        <v>0</v>
      </c>
      <c r="AD76" s="36">
        <f t="shared" si="35"/>
        <v>0</v>
      </c>
      <c r="AE76" s="36"/>
      <c r="AF76" s="36">
        <f>IFERROR(VLOOKUP(AE76,'Chemical Cost'!A:D,4,0),0)</f>
        <v>0</v>
      </c>
      <c r="AG76" s="114">
        <f t="shared" si="29"/>
        <v>0</v>
      </c>
      <c r="AH76" s="36">
        <f t="shared" si="36"/>
        <v>0</v>
      </c>
      <c r="AI76" s="36">
        <f t="shared" si="37"/>
        <v>0.28000000000000003</v>
      </c>
      <c r="AJ76" s="36">
        <f>IFERROR(VLOOKUP(A76,'All Products'!A:F,6,0),0)</f>
        <v>3.29</v>
      </c>
      <c r="AK76" s="36"/>
      <c r="AL76" s="23">
        <v>0.8</v>
      </c>
      <c r="AM76" s="23">
        <v>0.2</v>
      </c>
      <c r="AN76" s="54" t="e">
        <v>#N/A</v>
      </c>
      <c r="AO76" s="47"/>
      <c r="AP76" s="4">
        <v>1.6</v>
      </c>
      <c r="AQ76" s="111">
        <f t="shared" si="30"/>
        <v>0</v>
      </c>
      <c r="AR76">
        <f>_xlfn.XLOOKUP(F76,'RM Cost'!A:A,'RM Cost'!S:S)</f>
        <v>0</v>
      </c>
      <c r="AS76" t="e">
        <f>_xlfn.XLOOKUP(A76,[3]Sheet1!$B:$B,[3]Sheet1!$B:$B)</f>
        <v>#N/A</v>
      </c>
    </row>
    <row r="77" spans="1:46" x14ac:dyDescent="0.25">
      <c r="A77" s="2" t="s">
        <v>453</v>
      </c>
      <c r="B77" s="2" t="s">
        <v>552</v>
      </c>
      <c r="C77" s="2" t="s">
        <v>611</v>
      </c>
      <c r="D77" s="2" t="s">
        <v>554</v>
      </c>
      <c r="E77" s="2">
        <v>2.5</v>
      </c>
      <c r="F77" s="1" t="str">
        <f>VLOOKUP(H77,'RM Used'!A:B,2,0)</f>
        <v>032ACS</v>
      </c>
      <c r="G77" s="1" t="str">
        <f>IFERROR(VLOOKUP(F77,'RM Cost'!A:B,2,0),"")</f>
        <v>RM - LRG PROCESSING CARROT X 1000KG</v>
      </c>
      <c r="H77" s="2" t="s">
        <v>1366</v>
      </c>
      <c r="I77" s="1" t="str">
        <f>VLOOKUP(F77,'RM Used'!B:D,3,0)</f>
        <v>RM-FOOD</v>
      </c>
      <c r="J77" s="66">
        <v>0.3</v>
      </c>
      <c r="K77" s="35">
        <f t="shared" si="21"/>
        <v>0.75</v>
      </c>
      <c r="L77" s="35">
        <f t="shared" si="22"/>
        <v>0.75</v>
      </c>
      <c r="M77" s="77" cm="1">
        <f t="array" ref="M77">_xlfn.IFS(BOM!I77="RM-PACKING","100%",B77="Reynolds",VLOOKUP(H77,'Yield &amp; Time'!A:V,22,0),BOM!B77="Dnata",VLOOKUP(BOM!H77,'Yield &amp; Time'!A:M,13,0),B77="NK",VLOOKUP(H77,'Yield &amp; Time'!A:X,24,0))</f>
        <v>0.71222563837881381</v>
      </c>
      <c r="N77" s="35">
        <f t="shared" si="38"/>
        <v>1.0530370708181316</v>
      </c>
      <c r="O77" s="1" t="str">
        <f>VLOOKUP(H77,'RM Used'!A:E,5,0)</f>
        <v>KG</v>
      </c>
      <c r="P77" s="11">
        <f>VLOOKUP(H77,'RM Used'!A:F,6,0)</f>
        <v>0.38</v>
      </c>
      <c r="Q77" s="11">
        <f t="shared" si="31"/>
        <v>0.40015408691088999</v>
      </c>
      <c r="R77" s="11">
        <f>IFERROR(IF(B77="Reynolds",VLOOKUP(H77,'Yield &amp; Time'!A:U,21,0),VLOOKUP(H77,'Yield &amp; Time'!A:L,12,0)),0)</f>
        <v>1.2525214347987847</v>
      </c>
      <c r="S77" s="11">
        <f t="shared" si="23"/>
        <v>0.31798387925954147</v>
      </c>
      <c r="T77" s="11">
        <f t="shared" si="24"/>
        <v>1.565651793498481E-2</v>
      </c>
      <c r="U77" s="11">
        <f>IF(A76=A77,0,VLOOKUP(A77,'Packing Time'!A:F,6,0))</f>
        <v>0.875</v>
      </c>
      <c r="V77" s="11">
        <f t="shared" si="32"/>
        <v>0.29618749999999999</v>
      </c>
      <c r="W77" s="11">
        <f t="shared" si="33"/>
        <v>1.4583333333333334E-2</v>
      </c>
      <c r="X77" s="11">
        <f t="shared" si="25"/>
        <v>0.98267420681526618</v>
      </c>
      <c r="Y77" s="11">
        <f t="shared" si="34"/>
        <v>0.98267420681526618</v>
      </c>
      <c r="Z77" s="37">
        <v>1</v>
      </c>
      <c r="AA77" s="36">
        <f t="shared" si="26"/>
        <v>1.0530370708181316</v>
      </c>
      <c r="AB77" s="36">
        <f t="shared" si="27"/>
        <v>0.40015408691088999</v>
      </c>
      <c r="AC77" s="11">
        <f t="shared" si="28"/>
        <v>4.8383762029309024E-2</v>
      </c>
      <c r="AD77" s="36">
        <f t="shared" si="35"/>
        <v>0.98267420681526618</v>
      </c>
      <c r="AE77" s="36"/>
      <c r="AF77" s="36">
        <f>IFERROR(VLOOKUP(AE77,'Chemical Cost'!A:D,4,0),0)</f>
        <v>0</v>
      </c>
      <c r="AG77" s="114">
        <f t="shared" si="29"/>
        <v>0</v>
      </c>
      <c r="AH77" s="36">
        <f t="shared" si="36"/>
        <v>0</v>
      </c>
      <c r="AI77" s="36">
        <f t="shared" si="37"/>
        <v>1.3828282937261562</v>
      </c>
      <c r="AJ77" s="36">
        <f>IFERROR(VLOOKUP(A77,'All Products'!A:F,6,0),0)</f>
        <v>6.74</v>
      </c>
      <c r="AK77" s="36">
        <f t="shared" ref="AK77:AK82" si="39">AJ77*Z77*J77</f>
        <v>2.0219999999999998</v>
      </c>
      <c r="AL77" s="23">
        <v>1</v>
      </c>
      <c r="AM77" s="23"/>
      <c r="AN77" s="54" t="e">
        <v>#N/A</v>
      </c>
      <c r="AO77" s="47"/>
      <c r="AP77" s="4">
        <v>1.6</v>
      </c>
      <c r="AQ77" s="111">
        <f t="shared" si="30"/>
        <v>4.8383762029309024E-2</v>
      </c>
      <c r="AR77">
        <f>_xlfn.XLOOKUP(F77,'RM Cost'!A:A,'RM Cost'!S:S)</f>
        <v>0</v>
      </c>
      <c r="AS77" t="str">
        <f>_xlfn.XLOOKUP(A77,[3]Sheet1!$B:$B,[3]Sheet1!$B:$B)</f>
        <v>1282CS</v>
      </c>
      <c r="AT77">
        <f>_xlfn.XLOOKUP(H77,'Yield &amp; Time'!A:A,'Yield &amp; Time'!F:F)</f>
        <v>0</v>
      </c>
    </row>
    <row r="78" spans="1:46" x14ac:dyDescent="0.25">
      <c r="A78" s="2" t="s">
        <v>453</v>
      </c>
      <c r="B78" s="2" t="s">
        <v>552</v>
      </c>
      <c r="C78" s="2" t="s">
        <v>611</v>
      </c>
      <c r="D78" s="2" t="s">
        <v>554</v>
      </c>
      <c r="E78" s="2">
        <v>2.5</v>
      </c>
      <c r="F78" s="1" t="str">
        <f>VLOOKUP(H78,'RM Used'!A:B,2,0)</f>
        <v>206ACS</v>
      </c>
      <c r="G78" s="1" t="str">
        <f>IFERROR(VLOOKUP(F78,'RM Cost'!A:B,2,0),"")</f>
        <v>RM - PREP ONION WHOLE 10KG</v>
      </c>
      <c r="H78" s="2" t="s">
        <v>1367</v>
      </c>
      <c r="I78" s="1" t="str">
        <f>VLOOKUP(F78,'RM Used'!B:D,3,0)</f>
        <v>RM-FOOD</v>
      </c>
      <c r="J78" s="66">
        <v>0.3</v>
      </c>
      <c r="K78" s="35">
        <f t="shared" si="21"/>
        <v>0.75</v>
      </c>
      <c r="L78" s="35">
        <f t="shared" si="22"/>
        <v>0.75</v>
      </c>
      <c r="M78" s="77" cm="1">
        <f t="array" ref="M78">_xlfn.IFS(BOM!I78="RM-PACKING","100%",B78="Reynolds",VLOOKUP(H78,'Yield &amp; Time'!A:V,22,0),BOM!B78="Dnata",VLOOKUP(BOM!H78,'Yield &amp; Time'!A:M,13,0),B78="NK",VLOOKUP(H78,'Yield &amp; Time'!A:X,24,0))</f>
        <v>0.88753619980447496</v>
      </c>
      <c r="N78" s="35">
        <f t="shared" si="38"/>
        <v>0.84503595477595805</v>
      </c>
      <c r="O78" s="1" t="str">
        <f>VLOOKUP(H78,'RM Used'!A:E,5,0)</f>
        <v>KG</v>
      </c>
      <c r="P78" s="11">
        <f>VLOOKUP(H78,'RM Used'!A:F,6,0)</f>
        <v>0.87</v>
      </c>
      <c r="Q78" s="11">
        <f t="shared" si="31"/>
        <v>0.73518128065508348</v>
      </c>
      <c r="R78" s="11">
        <f>IFERROR(IF(B78="Reynolds",VLOOKUP(H78,'Yield &amp; Time'!A:U,21,0),VLOOKUP(H78,'Yield &amp; Time'!A:L,12,0)),0)</f>
        <v>0.65</v>
      </c>
      <c r="S78" s="11">
        <f t="shared" si="23"/>
        <v>0.16501874999999999</v>
      </c>
      <c r="T78" s="11">
        <f t="shared" si="24"/>
        <v>8.1250000000000003E-3</v>
      </c>
      <c r="U78" s="11">
        <f>IF(A77=A78,0,VLOOKUP(A78,'Packing Time'!A:F,6,0))</f>
        <v>0</v>
      </c>
      <c r="V78" s="11">
        <f t="shared" si="32"/>
        <v>0</v>
      </c>
      <c r="W78" s="11">
        <f t="shared" si="33"/>
        <v>0</v>
      </c>
      <c r="X78" s="11">
        <f t="shared" si="25"/>
        <v>0.26402999999999999</v>
      </c>
      <c r="Y78" s="11">
        <f t="shared" si="34"/>
        <v>0.26402999999999999</v>
      </c>
      <c r="Z78" s="37">
        <v>1</v>
      </c>
      <c r="AA78" s="36">
        <f t="shared" si="26"/>
        <v>0.84503595477595805</v>
      </c>
      <c r="AB78" s="36">
        <f t="shared" si="27"/>
        <v>0.73518128065508348</v>
      </c>
      <c r="AC78" s="11">
        <f t="shared" si="28"/>
        <v>1.3000000000000001E-2</v>
      </c>
      <c r="AD78" s="36">
        <f t="shared" si="35"/>
        <v>0.26402999999999999</v>
      </c>
      <c r="AE78" s="36" t="str">
        <f>VLOOKUP(H78,'Yield &amp; Time'!A:R,18,0)</f>
        <v>CHLORINE</v>
      </c>
      <c r="AF78" s="36">
        <f>IFERROR(VLOOKUP(AE78,'Chemical Cost'!A:D,4,0),0)</f>
        <v>2.7756518066439469E-2</v>
      </c>
      <c r="AG78" s="114">
        <f t="shared" si="29"/>
        <v>7.8184185818432686E-3</v>
      </c>
      <c r="AH78" s="36">
        <f t="shared" si="36"/>
        <v>7.8184185818432686E-3</v>
      </c>
      <c r="AI78" s="36">
        <f t="shared" si="37"/>
        <v>1.0070296992369268</v>
      </c>
      <c r="AJ78" s="36">
        <f>IFERROR(VLOOKUP(A78,'All Products'!A:F,6,0),0)</f>
        <v>6.74</v>
      </c>
      <c r="AK78" s="36">
        <f t="shared" si="39"/>
        <v>2.0219999999999998</v>
      </c>
      <c r="AL78" s="23">
        <v>1</v>
      </c>
      <c r="AM78" s="23"/>
      <c r="AN78" s="54" t="e">
        <v>#N/A</v>
      </c>
      <c r="AO78" s="47"/>
      <c r="AP78" s="4">
        <v>1.6</v>
      </c>
      <c r="AQ78" s="111">
        <f t="shared" si="30"/>
        <v>1.3000000000000001E-2</v>
      </c>
      <c r="AR78">
        <f>_xlfn.XLOOKUP(F78,'RM Cost'!A:A,'RM Cost'!S:S)</f>
        <v>0</v>
      </c>
      <c r="AS78" t="str">
        <f>_xlfn.XLOOKUP(A78,[3]Sheet1!$B:$B,[3]Sheet1!$B:$B)</f>
        <v>1282CS</v>
      </c>
      <c r="AT78" t="str">
        <f>_xlfn.XLOOKUP(H78,'Yield &amp; Time'!A:A,'Yield &amp; Time'!O:O)</f>
        <v>Yes</v>
      </c>
    </row>
    <row r="79" spans="1:46" x14ac:dyDescent="0.25">
      <c r="A79" s="2" t="s">
        <v>453</v>
      </c>
      <c r="B79" s="2" t="s">
        <v>552</v>
      </c>
      <c r="C79" s="2" t="s">
        <v>611</v>
      </c>
      <c r="D79" s="2" t="s">
        <v>554</v>
      </c>
      <c r="E79" s="2">
        <v>2.5</v>
      </c>
      <c r="F79" s="1" t="str">
        <f>VLOOKUP(H79,'RM Used'!A:B,2,0)</f>
        <v>3277CS</v>
      </c>
      <c r="G79" s="1" t="str">
        <f>IFERROR(VLOOKUP(F79,'RM Cost'!A:B,2,0),"")</f>
        <v>RM - SWEDE 12.5KG</v>
      </c>
      <c r="H79" s="2" t="s">
        <v>1657</v>
      </c>
      <c r="I79" s="1" t="str">
        <f>VLOOKUP(F79,'RM Used'!B:D,3,0)</f>
        <v>RM-FOOD</v>
      </c>
      <c r="J79" s="66">
        <v>0.1</v>
      </c>
      <c r="K79" s="35">
        <f t="shared" si="21"/>
        <v>0.25</v>
      </c>
      <c r="L79" s="35">
        <f t="shared" si="22"/>
        <v>0.25</v>
      </c>
      <c r="M79" s="77" cm="1">
        <f t="array" ref="M79">_xlfn.IFS(BOM!I79="RM-PACKING","100%",B79="Reynolds",VLOOKUP(H79,'Yield &amp; Time'!A:V,22,0),BOM!B79="Dnata",VLOOKUP(BOM!H79,'Yield &amp; Time'!A:M,13,0),B79="NK",VLOOKUP(H79,'Yield &amp; Time'!A:X,24,0))</f>
        <v>0.82926829268292668</v>
      </c>
      <c r="N79" s="35">
        <f t="shared" si="38"/>
        <v>0.30147058823529416</v>
      </c>
      <c r="O79" s="1" t="str">
        <f>VLOOKUP(H79,'RM Used'!A:E,5,0)</f>
        <v>KG</v>
      </c>
      <c r="P79" s="11">
        <f>VLOOKUP(H79,'RM Used'!A:F,6,0)</f>
        <v>0.52</v>
      </c>
      <c r="Q79" s="11">
        <f t="shared" si="31"/>
        <v>0.15676470588235297</v>
      </c>
      <c r="R79" s="11">
        <f>IFERROR(IF(B79="Reynolds",VLOOKUP(H79,'Yield &amp; Time'!A:U,21,0),VLOOKUP(H79,'Yield &amp; Time'!A:L,12,0)),0)</f>
        <v>1.8982665529980109</v>
      </c>
      <c r="S79" s="11">
        <f t="shared" si="23"/>
        <v>0.16064080704745667</v>
      </c>
      <c r="T79" s="11">
        <f t="shared" si="24"/>
        <v>7.9094439708250457E-3</v>
      </c>
      <c r="U79" s="11">
        <f>IF(A78=A79,0,VLOOKUP(A79,'Packing Time'!A:F,6,0))</f>
        <v>0</v>
      </c>
      <c r="V79" s="11">
        <f t="shared" si="32"/>
        <v>0</v>
      </c>
      <c r="W79" s="11">
        <f t="shared" si="33"/>
        <v>0</v>
      </c>
      <c r="X79" s="11">
        <f t="shared" si="25"/>
        <v>0.25702529127593071</v>
      </c>
      <c r="Y79" s="11">
        <f t="shared" si="34"/>
        <v>0.25702529127593071</v>
      </c>
      <c r="Z79" s="37">
        <v>1</v>
      </c>
      <c r="AA79" s="36">
        <f t="shared" si="26"/>
        <v>0.30147058823529416</v>
      </c>
      <c r="AB79" s="36">
        <f t="shared" si="27"/>
        <v>0.15676470588235297</v>
      </c>
      <c r="AC79" s="11">
        <f t="shared" si="28"/>
        <v>1.2655110353320074E-2</v>
      </c>
      <c r="AD79" s="36">
        <f t="shared" si="35"/>
        <v>0.25702529127593066</v>
      </c>
      <c r="AE79" s="36"/>
      <c r="AF79" s="36">
        <f>IFERROR(VLOOKUP(AE79,'Chemical Cost'!A:D,4,0),0)</f>
        <v>0</v>
      </c>
      <c r="AG79" s="114">
        <f t="shared" si="29"/>
        <v>0</v>
      </c>
      <c r="AH79" s="36">
        <f t="shared" si="36"/>
        <v>0</v>
      </c>
      <c r="AI79" s="36">
        <f t="shared" si="37"/>
        <v>0.41378999715828368</v>
      </c>
      <c r="AJ79" s="36">
        <f>IFERROR(VLOOKUP(A79,'All Products'!A:F,6,0),0)</f>
        <v>6.74</v>
      </c>
      <c r="AK79" s="36">
        <f t="shared" si="39"/>
        <v>0.67400000000000004</v>
      </c>
      <c r="AL79" s="23">
        <v>1</v>
      </c>
      <c r="AM79" s="23"/>
      <c r="AN79" s="54" t="e">
        <v>#N/A</v>
      </c>
      <c r="AO79" s="47"/>
      <c r="AP79" s="4">
        <v>1.6</v>
      </c>
      <c r="AQ79" s="111">
        <f t="shared" si="30"/>
        <v>1.2655110353320074E-2</v>
      </c>
      <c r="AR79">
        <f>_xlfn.XLOOKUP(F79,'RM Cost'!A:A,'RM Cost'!S:S)</f>
        <v>0</v>
      </c>
      <c r="AS79" t="str">
        <f>_xlfn.XLOOKUP(A79,[3]Sheet1!$B:$B,[3]Sheet1!$B:$B)</f>
        <v>1282CS</v>
      </c>
      <c r="AT79">
        <f>_xlfn.XLOOKUP(H79,'Yield &amp; Time'!A:A,'Yield &amp; Time'!F:F)</f>
        <v>0</v>
      </c>
    </row>
    <row r="80" spans="1:46" x14ac:dyDescent="0.25">
      <c r="A80" s="2" t="s">
        <v>453</v>
      </c>
      <c r="B80" s="2" t="s">
        <v>552</v>
      </c>
      <c r="C80" s="2" t="s">
        <v>611</v>
      </c>
      <c r="D80" s="2" t="s">
        <v>554</v>
      </c>
      <c r="E80" s="2">
        <v>2.5</v>
      </c>
      <c r="F80" s="1" t="str">
        <f>VLOOKUP(H80,'RM Used'!A:B,2,0)</f>
        <v>S3997CS</v>
      </c>
      <c r="G80" s="1" t="str">
        <f>IFERROR(VLOOKUP(F80,'RM Cost'!A:B,2,0),"")</f>
        <v>RM - DECORE WHITE CABBAGE 1/3 1200KG</v>
      </c>
      <c r="H80" s="2" t="s">
        <v>1369</v>
      </c>
      <c r="I80" s="1" t="str">
        <f>VLOOKUP(F80,'RM Used'!B:D,3,0)</f>
        <v>RM-FOOD</v>
      </c>
      <c r="J80" s="66">
        <v>0.1</v>
      </c>
      <c r="K80" s="35">
        <f t="shared" si="21"/>
        <v>0.25</v>
      </c>
      <c r="L80" s="35">
        <f t="shared" si="22"/>
        <v>0.25</v>
      </c>
      <c r="M80" s="77" cm="1">
        <f t="array" ref="M80">_xlfn.IFS(BOM!I80="RM-PACKING","100%",B80="Reynolds",VLOOKUP(H80,'Yield &amp; Time'!A:V,22,0),BOM!B80="Dnata",VLOOKUP(BOM!H80,'Yield &amp; Time'!A:M,13,0),B80="NK",VLOOKUP(H80,'Yield &amp; Time'!A:X,24,0))</f>
        <v>0.90698433420365532</v>
      </c>
      <c r="N80" s="35">
        <f t="shared" si="38"/>
        <v>0.27563871896365599</v>
      </c>
      <c r="O80" s="1" t="str">
        <f>VLOOKUP(H80,'RM Used'!A:E,5,0)</f>
        <v>KG</v>
      </c>
      <c r="P80" s="11">
        <f>VLOOKUP(H80,'RM Used'!A:F,6,0)</f>
        <v>0.34</v>
      </c>
      <c r="Q80" s="11">
        <f t="shared" si="31"/>
        <v>9.3717164447643039E-2</v>
      </c>
      <c r="R80" s="11">
        <f>IFERROR(IF(B80="Reynolds",VLOOKUP(H80,'Yield &amp; Time'!A:U,21,0),VLOOKUP(H80,'Yield &amp; Time'!A:L,12,0)),0)</f>
        <v>0.25</v>
      </c>
      <c r="S80" s="11">
        <f t="shared" si="23"/>
        <v>2.1156249999999998E-2</v>
      </c>
      <c r="T80" s="11">
        <f t="shared" si="24"/>
        <v>1.0416666666666667E-3</v>
      </c>
      <c r="U80" s="11">
        <f>IF(A79=A80,0,VLOOKUP(A80,'Packing Time'!A:F,6,0))</f>
        <v>0</v>
      </c>
      <c r="V80" s="11">
        <f t="shared" si="32"/>
        <v>0</v>
      </c>
      <c r="W80" s="11">
        <f t="shared" si="33"/>
        <v>0</v>
      </c>
      <c r="X80" s="11">
        <f t="shared" si="25"/>
        <v>3.3849999999999998E-2</v>
      </c>
      <c r="Y80" s="11">
        <f t="shared" si="34"/>
        <v>3.3849999999999998E-2</v>
      </c>
      <c r="Z80" s="37">
        <v>1</v>
      </c>
      <c r="AA80" s="36">
        <f t="shared" si="26"/>
        <v>0.27563871896365599</v>
      </c>
      <c r="AB80" s="36">
        <f t="shared" si="27"/>
        <v>9.3717164447643039E-2</v>
      </c>
      <c r="AC80" s="11">
        <f t="shared" si="28"/>
        <v>1.6666666666666668E-3</v>
      </c>
      <c r="AD80" s="36">
        <f t="shared" si="35"/>
        <v>3.3849999999999998E-2</v>
      </c>
      <c r="AE80" s="36"/>
      <c r="AF80" s="36">
        <f>IFERROR(VLOOKUP(AE80,'Chemical Cost'!A:D,4,0),0)</f>
        <v>0</v>
      </c>
      <c r="AG80" s="114">
        <f t="shared" si="29"/>
        <v>0</v>
      </c>
      <c r="AH80" s="36">
        <f t="shared" si="36"/>
        <v>0</v>
      </c>
      <c r="AI80" s="36">
        <f t="shared" si="37"/>
        <v>0.12756716444764304</v>
      </c>
      <c r="AJ80" s="36">
        <f>IFERROR(VLOOKUP(A80,'All Products'!A:F,6,0),0)</f>
        <v>6.74</v>
      </c>
      <c r="AK80" s="36">
        <f t="shared" si="39"/>
        <v>0.67400000000000004</v>
      </c>
      <c r="AL80" s="23">
        <v>1</v>
      </c>
      <c r="AM80" s="23"/>
      <c r="AN80" s="54" t="e">
        <v>#N/A</v>
      </c>
      <c r="AO80" s="47"/>
      <c r="AP80" s="4">
        <v>1.6</v>
      </c>
      <c r="AQ80" s="111">
        <f t="shared" si="30"/>
        <v>1.6666666666666668E-3</v>
      </c>
      <c r="AR80">
        <f>_xlfn.XLOOKUP(F80,'RM Cost'!A:A,'RM Cost'!S:S)</f>
        <v>0.29914853989077506</v>
      </c>
      <c r="AS80" t="str">
        <f>_xlfn.XLOOKUP(A80,[3]Sheet1!$B:$B,[3]Sheet1!$B:$B)</f>
        <v>1282CS</v>
      </c>
      <c r="AT80">
        <f>_xlfn.XLOOKUP(H80,'Yield &amp; Time'!A:A,'Yield &amp; Time'!F:F)</f>
        <v>0</v>
      </c>
    </row>
    <row r="81" spans="1:46" x14ac:dyDescent="0.25">
      <c r="A81" s="2" t="s">
        <v>453</v>
      </c>
      <c r="B81" s="2" t="s">
        <v>552</v>
      </c>
      <c r="C81" s="2" t="s">
        <v>611</v>
      </c>
      <c r="D81" s="2" t="s">
        <v>554</v>
      </c>
      <c r="E81" s="2">
        <v>2.5</v>
      </c>
      <c r="F81" s="1" t="str">
        <f>VLOOKUP(H81,'RM Used'!A:B,2,0)</f>
        <v>3136CS</v>
      </c>
      <c r="G81" s="1" t="str">
        <f>IFERROR(VLOOKUP(F81,'RM Cost'!A:B,2,0),"")</f>
        <v>RM - PROCESSING LEEKS 5KG</v>
      </c>
      <c r="H81" s="2" t="s">
        <v>1370</v>
      </c>
      <c r="I81" s="1" t="str">
        <f>VLOOKUP(F81,'RM Used'!B:D,3,0)</f>
        <v>RM-FOOD</v>
      </c>
      <c r="J81" s="66">
        <v>0.1</v>
      </c>
      <c r="K81" s="35">
        <f t="shared" si="21"/>
        <v>0.25</v>
      </c>
      <c r="L81" s="35">
        <f t="shared" si="22"/>
        <v>0.25</v>
      </c>
      <c r="M81" s="77" cm="1">
        <f t="array" ref="M81">_xlfn.IFS(BOM!I81="RM-PACKING","100%",B81="Reynolds",VLOOKUP(H81,'Yield &amp; Time'!A:V,22,0),BOM!B81="Dnata",VLOOKUP(BOM!H81,'Yield &amp; Time'!A:M,13,0),B81="NK",VLOOKUP(H81,'Yield &amp; Time'!A:X,24,0))</f>
        <v>0.82727587400484592</v>
      </c>
      <c r="N81" s="35">
        <f t="shared" si="38"/>
        <v>0.30219665271966528</v>
      </c>
      <c r="O81" s="1" t="str">
        <f>VLOOKUP(H81,'RM Used'!A:E,5,0)</f>
        <v>KG</v>
      </c>
      <c r="P81" s="11">
        <f>VLOOKUP(H81,'RM Used'!A:F,6,0)</f>
        <v>1.05</v>
      </c>
      <c r="Q81" s="11">
        <f t="shared" si="31"/>
        <v>0.31730648535564854</v>
      </c>
      <c r="R81" s="11">
        <f>IFERROR(IF(B81="Reynolds",VLOOKUP(H81,'Yield &amp; Time'!A:U,21,0),VLOOKUP(H81,'Yield &amp; Time'!A:L,12,0)),0)</f>
        <v>0.54393305439330553</v>
      </c>
      <c r="S81" s="11">
        <f t="shared" si="23"/>
        <v>4.6030334728033473E-2</v>
      </c>
      <c r="T81" s="11">
        <f t="shared" si="24"/>
        <v>2.2663877266387729E-3</v>
      </c>
      <c r="U81" s="11">
        <f>IF(A80=A81,0,VLOOKUP(A81,'Packing Time'!A:F,6,0))</f>
        <v>0</v>
      </c>
      <c r="V81" s="11">
        <f t="shared" si="32"/>
        <v>0</v>
      </c>
      <c r="W81" s="11">
        <f t="shared" si="33"/>
        <v>0</v>
      </c>
      <c r="X81" s="11">
        <f t="shared" si="25"/>
        <v>7.3648535564853554E-2</v>
      </c>
      <c r="Y81" s="11">
        <f t="shared" si="34"/>
        <v>7.3648535564853554E-2</v>
      </c>
      <c r="Z81" s="37">
        <v>1</v>
      </c>
      <c r="AA81" s="36">
        <f t="shared" si="26"/>
        <v>0.30219665271966528</v>
      </c>
      <c r="AB81" s="36">
        <f t="shared" si="27"/>
        <v>0.31730648535564854</v>
      </c>
      <c r="AC81" s="11">
        <f t="shared" si="28"/>
        <v>3.6262203626220369E-3</v>
      </c>
      <c r="AD81" s="36">
        <f t="shared" si="35"/>
        <v>7.3648535564853568E-2</v>
      </c>
      <c r="AE81" s="36"/>
      <c r="AF81" s="36">
        <f>IFERROR(VLOOKUP(AE81,'Chemical Cost'!A:D,4,0),0)</f>
        <v>0</v>
      </c>
      <c r="AG81" s="114">
        <f t="shared" si="29"/>
        <v>0</v>
      </c>
      <c r="AH81" s="36">
        <f t="shared" si="36"/>
        <v>0</v>
      </c>
      <c r="AI81" s="36">
        <f t="shared" si="37"/>
        <v>0.39095502092050211</v>
      </c>
      <c r="AJ81" s="36">
        <f>IFERROR(VLOOKUP(A81,'All Products'!A:F,6,0),0)</f>
        <v>6.74</v>
      </c>
      <c r="AK81" s="36">
        <f t="shared" si="39"/>
        <v>0.67400000000000004</v>
      </c>
      <c r="AL81" s="23">
        <v>1</v>
      </c>
      <c r="AM81" s="23"/>
      <c r="AN81" s="54" t="e">
        <v>#N/A</v>
      </c>
      <c r="AO81" s="47"/>
      <c r="AP81" s="4">
        <v>1.6</v>
      </c>
      <c r="AQ81" s="111">
        <f t="shared" si="30"/>
        <v>3.6262203626220369E-3</v>
      </c>
      <c r="AR81">
        <f>_xlfn.XLOOKUP(F81,'RM Cost'!A:A,'RM Cost'!S:S)</f>
        <v>0</v>
      </c>
      <c r="AS81" t="str">
        <f>_xlfn.XLOOKUP(A81,[3]Sheet1!$B:$B,[3]Sheet1!$B:$B)</f>
        <v>1282CS</v>
      </c>
      <c r="AT81">
        <f>_xlfn.XLOOKUP(H81,'Yield &amp; Time'!A:A,'Yield &amp; Time'!F:F)</f>
        <v>0</v>
      </c>
    </row>
    <row r="82" spans="1:46" x14ac:dyDescent="0.25">
      <c r="A82" s="2" t="s">
        <v>453</v>
      </c>
      <c r="B82" s="2" t="s">
        <v>552</v>
      </c>
      <c r="C82" s="2" t="s">
        <v>611</v>
      </c>
      <c r="D82" s="2" t="s">
        <v>554</v>
      </c>
      <c r="E82" s="2">
        <v>2.5</v>
      </c>
      <c r="F82" s="1" t="str">
        <f>VLOOKUP(H82,'RM Used'!A:B,2,0)</f>
        <v>3288CS</v>
      </c>
      <c r="G82" s="1" t="str">
        <f>IFERROR(VLOOKUP(F82,'RM Cost'!A:B,2,0),"")</f>
        <v>RM - TURNIPS X5KG</v>
      </c>
      <c r="H82" s="2" t="s">
        <v>1662</v>
      </c>
      <c r="I82" s="1" t="str">
        <f>VLOOKUP(F82,'RM Used'!B:D,3,0)</f>
        <v>RM-FOOD</v>
      </c>
      <c r="J82" s="66">
        <v>0.1</v>
      </c>
      <c r="K82" s="35">
        <f t="shared" si="21"/>
        <v>0.25</v>
      </c>
      <c r="L82" s="35">
        <f t="shared" si="22"/>
        <v>0.25</v>
      </c>
      <c r="M82" s="77" cm="1">
        <f t="array" ref="M82">_xlfn.IFS(BOM!I82="RM-PACKING","100%",B82="Reynolds",VLOOKUP(H82,'Yield &amp; Time'!A:V,22,0),BOM!B82="Dnata",VLOOKUP(BOM!H82,'Yield &amp; Time'!A:M,13,0),B82="NK",VLOOKUP(H82,'Yield &amp; Time'!A:X,24,0))</f>
        <v>0.88462571888658847</v>
      </c>
      <c r="N82" s="35">
        <f t="shared" si="38"/>
        <v>0.28260539419389263</v>
      </c>
      <c r="O82" s="1" t="str">
        <f>VLOOKUP(H82,'RM Used'!A:E,5,0)</f>
        <v>KG</v>
      </c>
      <c r="P82" s="11">
        <f>VLOOKUP(H82,'RM Used'!A:F,6,0)</f>
        <v>0.68</v>
      </c>
      <c r="Q82" s="11">
        <f t="shared" si="31"/>
        <v>0.19217166805184702</v>
      </c>
      <c r="R82" s="11">
        <f>IFERROR(IF(B82="Reynolds",VLOOKUP(H82,'Yield &amp; Time'!A:U,21,0),VLOOKUP(H82,'Yield &amp; Time'!A:L,12,0)),0)</f>
        <v>1.2757380896161403</v>
      </c>
      <c r="S82" s="11">
        <f t="shared" si="23"/>
        <v>0.10795933583376588</v>
      </c>
      <c r="T82" s="11">
        <f t="shared" si="24"/>
        <v>5.315575373400586E-3</v>
      </c>
      <c r="U82" s="11">
        <f>IF(A81=A82,0,VLOOKUP(A82,'Packing Time'!A:F,6,0))</f>
        <v>0</v>
      </c>
      <c r="V82" s="11">
        <f t="shared" si="32"/>
        <v>0</v>
      </c>
      <c r="W82" s="11">
        <f t="shared" si="33"/>
        <v>0</v>
      </c>
      <c r="X82" s="11">
        <f t="shared" si="25"/>
        <v>0.17273493733402542</v>
      </c>
      <c r="Y82" s="11">
        <f t="shared" si="34"/>
        <v>0.17273493733402542</v>
      </c>
      <c r="Z82" s="37">
        <v>1</v>
      </c>
      <c r="AA82" s="36">
        <f t="shared" si="26"/>
        <v>0.28260539419389263</v>
      </c>
      <c r="AB82" s="36">
        <f t="shared" si="27"/>
        <v>0.19217166805184702</v>
      </c>
      <c r="AC82" s="11">
        <f t="shared" si="28"/>
        <v>8.5049205974409379E-3</v>
      </c>
      <c r="AD82" s="36">
        <f t="shared" si="35"/>
        <v>0.17273493733402545</v>
      </c>
      <c r="AE82" s="36"/>
      <c r="AF82" s="36">
        <f>IFERROR(VLOOKUP(AE82,'Chemical Cost'!A:D,4,0),0)</f>
        <v>0</v>
      </c>
      <c r="AG82" s="114">
        <f t="shared" si="29"/>
        <v>0</v>
      </c>
      <c r="AH82" s="36">
        <f t="shared" si="36"/>
        <v>0</v>
      </c>
      <c r="AI82" s="36">
        <f t="shared" si="37"/>
        <v>0.36490660538587244</v>
      </c>
      <c r="AJ82" s="36">
        <f>IFERROR(VLOOKUP(A82,'All Products'!A:F,6,0),0)</f>
        <v>6.74</v>
      </c>
      <c r="AK82" s="36">
        <f t="shared" si="39"/>
        <v>0.67400000000000004</v>
      </c>
      <c r="AL82" s="23">
        <v>1</v>
      </c>
      <c r="AM82" s="23"/>
      <c r="AN82" s="54" t="e">
        <v>#N/A</v>
      </c>
      <c r="AO82" s="47"/>
      <c r="AP82" s="4">
        <v>1.6</v>
      </c>
      <c r="AQ82" s="111">
        <f t="shared" si="30"/>
        <v>8.5049205974409379E-3</v>
      </c>
      <c r="AR82">
        <f>_xlfn.XLOOKUP(F82,'RM Cost'!A:A,'RM Cost'!S:S)</f>
        <v>0</v>
      </c>
      <c r="AS82" t="str">
        <f>_xlfn.XLOOKUP(A82,[3]Sheet1!$B:$B,[3]Sheet1!$B:$B)</f>
        <v>1282CS</v>
      </c>
      <c r="AT82">
        <f>_xlfn.XLOOKUP(H82,'Yield &amp; Time'!A:A,'Yield &amp; Time'!F:F)</f>
        <v>0</v>
      </c>
    </row>
    <row r="83" spans="1:46" x14ac:dyDescent="0.25">
      <c r="A83" s="2" t="s">
        <v>453</v>
      </c>
      <c r="B83" s="2" t="s">
        <v>552</v>
      </c>
      <c r="C83" s="2" t="s">
        <v>611</v>
      </c>
      <c r="D83" s="2" t="s">
        <v>554</v>
      </c>
      <c r="E83" s="2">
        <v>2.5</v>
      </c>
      <c r="F83" s="1" t="str">
        <f>VLOOKUP(H83,'RM Used'!A:B,2,0)</f>
        <v>P0020</v>
      </c>
      <c r="G83" s="1" t="str">
        <f>IFERROR(VLOOKUP(F83,'RM Cost'!A:B,2,0),"")</f>
        <v>PALE BLUE BAG 430X430MM</v>
      </c>
      <c r="H83" s="2" t="s">
        <v>1659</v>
      </c>
      <c r="I83" s="1" t="str">
        <f>VLOOKUP(F83,'RM Used'!B:D,3,0)</f>
        <v>RM-PACKING</v>
      </c>
      <c r="J83" s="66">
        <v>1</v>
      </c>
      <c r="K83" s="35" t="str">
        <f t="shared" si="21"/>
        <v/>
      </c>
      <c r="L83" s="35">
        <f t="shared" si="22"/>
        <v>0</v>
      </c>
      <c r="M83" s="77" t="str" cm="1">
        <f t="array" ref="M83">_xlfn.IFS(BOM!I83="RM-PACKING","100%",B83="Reynolds",VLOOKUP(H83,'Yield &amp; Time'!A:V,22,0),BOM!B83="Dnata",VLOOKUP(BOM!H83,'Yield &amp; Time'!A:M,13,0),B83="NK",VLOOKUP(H83,'Yield &amp; Time'!A:X,24,0))</f>
        <v>100%</v>
      </c>
      <c r="N83" s="35">
        <f t="shared" si="38"/>
        <v>1</v>
      </c>
      <c r="O83" s="1" t="str">
        <f>VLOOKUP(H83,'RM Used'!A:E,5,0)</f>
        <v>Count</v>
      </c>
      <c r="P83" s="11">
        <f>VLOOKUP(H83,'RM Used'!A:F,6,0)</f>
        <v>0.09</v>
      </c>
      <c r="Q83" s="11">
        <f t="shared" si="31"/>
        <v>0.09</v>
      </c>
      <c r="R83" s="11">
        <f>IFERROR(IF(B83="Reynolds",VLOOKUP(H83,'Yield &amp; Time'!A:U,21,0),VLOOKUP(H83,'Yield &amp; Time'!A:L,12,0)),0)</f>
        <v>0</v>
      </c>
      <c r="S83" s="11">
        <f t="shared" si="23"/>
        <v>0</v>
      </c>
      <c r="T83" s="11">
        <f t="shared" si="24"/>
        <v>0</v>
      </c>
      <c r="U83" s="11">
        <f>IF(A82=A83,0,VLOOKUP(A83,'Packing Time'!A:F,6,0))</f>
        <v>0</v>
      </c>
      <c r="V83" s="11">
        <f t="shared" si="32"/>
        <v>0</v>
      </c>
      <c r="W83" s="11">
        <f t="shared" si="33"/>
        <v>0</v>
      </c>
      <c r="X83" s="11">
        <f t="shared" si="25"/>
        <v>0</v>
      </c>
      <c r="Y83" s="11">
        <f t="shared" si="34"/>
        <v>0</v>
      </c>
      <c r="Z83" s="37">
        <v>1</v>
      </c>
      <c r="AA83" s="36">
        <f t="shared" si="26"/>
        <v>1</v>
      </c>
      <c r="AB83" s="36">
        <f t="shared" si="27"/>
        <v>0.09</v>
      </c>
      <c r="AC83" s="11">
        <f t="shared" si="28"/>
        <v>0</v>
      </c>
      <c r="AD83" s="36">
        <f t="shared" si="35"/>
        <v>0</v>
      </c>
      <c r="AE83" s="36"/>
      <c r="AF83" s="36">
        <f>IFERROR(VLOOKUP(AE83,'Chemical Cost'!A:D,4,0),0)</f>
        <v>0</v>
      </c>
      <c r="AG83" s="114">
        <f t="shared" si="29"/>
        <v>0</v>
      </c>
      <c r="AH83" s="36">
        <f t="shared" si="36"/>
        <v>0</v>
      </c>
      <c r="AI83" s="36">
        <f t="shared" si="37"/>
        <v>0.09</v>
      </c>
      <c r="AJ83" s="36">
        <f>IFERROR(VLOOKUP(A83,'All Products'!A:F,6,0),0)</f>
        <v>6.74</v>
      </c>
      <c r="AK83" s="36"/>
      <c r="AL83" s="23">
        <v>1</v>
      </c>
      <c r="AM83" s="23"/>
      <c r="AN83" s="54" t="e">
        <v>#N/A</v>
      </c>
      <c r="AO83" s="47"/>
      <c r="AP83" s="4">
        <v>1.6</v>
      </c>
      <c r="AQ83" s="111">
        <f t="shared" si="30"/>
        <v>0</v>
      </c>
      <c r="AR83">
        <f>_xlfn.XLOOKUP(F83,'RM Cost'!A:A,'RM Cost'!S:S)</f>
        <v>0</v>
      </c>
      <c r="AS83" t="str">
        <f>_xlfn.XLOOKUP(A83,[3]Sheet1!$B:$B,[3]Sheet1!$B:$B)</f>
        <v>1282CS</v>
      </c>
      <c r="AT83" t="e">
        <f>_xlfn.XLOOKUP(H83,'Yield &amp; Time'!A:A,'Yield &amp; Time'!F:F)</f>
        <v>#N/A</v>
      </c>
    </row>
    <row r="84" spans="1:46" x14ac:dyDescent="0.25">
      <c r="A84" s="2" t="s">
        <v>453</v>
      </c>
      <c r="B84" s="2" t="s">
        <v>552</v>
      </c>
      <c r="C84" s="2" t="s">
        <v>611</v>
      </c>
      <c r="D84" s="2" t="s">
        <v>554</v>
      </c>
      <c r="E84" s="2">
        <v>2.5</v>
      </c>
      <c r="F84" s="1" t="str">
        <f>VLOOKUP(H84,'RM Used'!A:B,2,0)</f>
        <v>P0016</v>
      </c>
      <c r="G84" s="1" t="str">
        <f>IFERROR(VLOOKUP(F84,'RM Cost'!A:B,2,0),"")</f>
        <v>REY 40 30 BOX</v>
      </c>
      <c r="H84" s="2" t="s">
        <v>1332</v>
      </c>
      <c r="I84" s="1" t="str">
        <f>VLOOKUP(F84,'RM Used'!B:D,3,0)</f>
        <v>RM-PACKING</v>
      </c>
      <c r="J84" s="66">
        <v>1</v>
      </c>
      <c r="K84" s="35" t="str">
        <f t="shared" si="21"/>
        <v/>
      </c>
      <c r="L84" s="35">
        <f t="shared" si="22"/>
        <v>0</v>
      </c>
      <c r="M84" s="77" t="str" cm="1">
        <f t="array" ref="M84">_xlfn.IFS(BOM!I84="RM-PACKING","100%",B84="Reynolds",VLOOKUP(H84,'Yield &amp; Time'!A:V,22,0),BOM!B84="Dnata",VLOOKUP(BOM!H84,'Yield &amp; Time'!A:M,13,0),B84="NK",VLOOKUP(H84,'Yield &amp; Time'!A:X,24,0))</f>
        <v>100%</v>
      </c>
      <c r="N84" s="35">
        <f t="shared" si="38"/>
        <v>1</v>
      </c>
      <c r="O84" s="1" t="str">
        <f>VLOOKUP(H84,'RM Used'!A:E,5,0)</f>
        <v>Count</v>
      </c>
      <c r="P84" s="11">
        <f>VLOOKUP(H84,'RM Used'!A:F,6,0)</f>
        <v>0.28000000000000003</v>
      </c>
      <c r="Q84" s="11">
        <f t="shared" si="31"/>
        <v>0.28000000000000003</v>
      </c>
      <c r="R84" s="11">
        <f>IFERROR(IF(B84="Reynolds",VLOOKUP(H84,'Yield &amp; Time'!A:U,21,0),VLOOKUP(H84,'Yield &amp; Time'!A:L,12,0)),0)</f>
        <v>0</v>
      </c>
      <c r="S84" s="11">
        <f t="shared" si="23"/>
        <v>0</v>
      </c>
      <c r="T84" s="11">
        <f t="shared" si="24"/>
        <v>0</v>
      </c>
      <c r="U84" s="11">
        <f>IF(A83=A84,0,VLOOKUP(A84,'Packing Time'!A:F,6,0))</f>
        <v>0</v>
      </c>
      <c r="V84" s="11">
        <f t="shared" si="32"/>
        <v>0</v>
      </c>
      <c r="W84" s="11">
        <f t="shared" si="33"/>
        <v>0</v>
      </c>
      <c r="X84" s="11">
        <f t="shared" si="25"/>
        <v>0</v>
      </c>
      <c r="Y84" s="11">
        <f t="shared" si="34"/>
        <v>0</v>
      </c>
      <c r="Z84" s="37">
        <v>1</v>
      </c>
      <c r="AA84" s="36">
        <f t="shared" si="26"/>
        <v>1</v>
      </c>
      <c r="AB84" s="36">
        <f t="shared" si="27"/>
        <v>0.28000000000000003</v>
      </c>
      <c r="AC84" s="11">
        <f t="shared" si="28"/>
        <v>0</v>
      </c>
      <c r="AD84" s="36">
        <f t="shared" si="35"/>
        <v>0</v>
      </c>
      <c r="AE84" s="36"/>
      <c r="AF84" s="36">
        <f>IFERROR(VLOOKUP(AE84,'Chemical Cost'!A:D,4,0),0)</f>
        <v>0</v>
      </c>
      <c r="AG84" s="114">
        <f t="shared" si="29"/>
        <v>0</v>
      </c>
      <c r="AH84" s="36">
        <f t="shared" si="36"/>
        <v>0</v>
      </c>
      <c r="AI84" s="36">
        <f t="shared" si="37"/>
        <v>0.28000000000000003</v>
      </c>
      <c r="AJ84" s="36">
        <f>IFERROR(VLOOKUP(A84,'All Products'!A:F,6,0),0)</f>
        <v>6.74</v>
      </c>
      <c r="AK84" s="36"/>
      <c r="AL84" s="23">
        <v>1</v>
      </c>
      <c r="AM84" s="23"/>
      <c r="AN84" s="54" t="e">
        <v>#N/A</v>
      </c>
      <c r="AO84" s="47"/>
      <c r="AP84" s="4">
        <v>1.6</v>
      </c>
      <c r="AQ84" s="111">
        <f t="shared" si="30"/>
        <v>0</v>
      </c>
      <c r="AR84">
        <f>_xlfn.XLOOKUP(F84,'RM Cost'!A:A,'RM Cost'!S:S)</f>
        <v>0</v>
      </c>
      <c r="AS84" t="str">
        <f>_xlfn.XLOOKUP(A84,[3]Sheet1!$B:$B,[3]Sheet1!$B:$B)</f>
        <v>1282CS</v>
      </c>
      <c r="AT84" t="e">
        <f>_xlfn.XLOOKUP(H84,'Yield &amp; Time'!A:A,'Yield &amp; Time'!F:F)</f>
        <v>#N/A</v>
      </c>
    </row>
    <row r="85" spans="1:46" x14ac:dyDescent="0.25">
      <c r="A85" s="2" t="s">
        <v>223</v>
      </c>
      <c r="B85" s="2" t="s">
        <v>552</v>
      </c>
      <c r="C85" s="2" t="s">
        <v>613</v>
      </c>
      <c r="D85" s="2" t="s">
        <v>554</v>
      </c>
      <c r="E85" s="2">
        <v>2.5</v>
      </c>
      <c r="F85" s="1" t="str">
        <f>VLOOKUP(H85,'RM Used'!A:B,2,0)</f>
        <v>032ACS</v>
      </c>
      <c r="G85" s="1" t="str">
        <f>IFERROR(VLOOKUP(F85,'RM Cost'!A:B,2,0),"")</f>
        <v>RM - LRG PROCESSING CARROT X 1000KG</v>
      </c>
      <c r="H85" s="2" t="s">
        <v>1432</v>
      </c>
      <c r="I85" s="1" t="str">
        <f>VLOOKUP(F85,'RM Used'!B:D,3,0)</f>
        <v>RM-FOOD</v>
      </c>
      <c r="J85" s="66">
        <v>1</v>
      </c>
      <c r="K85" s="35">
        <f t="shared" si="21"/>
        <v>2.5</v>
      </c>
      <c r="L85" s="35">
        <f t="shared" si="22"/>
        <v>2.5</v>
      </c>
      <c r="M85" s="77" cm="1">
        <f t="array" ref="M85">_xlfn.IFS(BOM!I85="RM-PACKING","100%",B85="Reynolds",VLOOKUP(H85,'Yield &amp; Time'!A:V,22,0),BOM!B85="Dnata",VLOOKUP(BOM!H85,'Yield &amp; Time'!A:M,13,0),B85="NK",VLOOKUP(H85,'Yield &amp; Time'!A:X,24,0))</f>
        <v>0.73317345127230837</v>
      </c>
      <c r="N85" s="35">
        <f t="shared" si="38"/>
        <v>3.40983432455395</v>
      </c>
      <c r="O85" s="1" t="str">
        <f>VLOOKUP(H85,'RM Used'!A:E,5,0)</f>
        <v>KG</v>
      </c>
      <c r="P85" s="11">
        <f>VLOOKUP(H85,'RM Used'!A:F,6,0)</f>
        <v>0.38</v>
      </c>
      <c r="Q85" s="11">
        <f t="shared" si="31"/>
        <v>1.2957370433305011</v>
      </c>
      <c r="R85" s="11">
        <f>IFERROR(IF(B85="Reynolds",VLOOKUP(H85,'Yield &amp; Time'!A:U,21,0),VLOOKUP(H85,'Yield &amp; Time'!A:L,12,0)),0)</f>
        <v>1.1480576795997355</v>
      </c>
      <c r="S85" s="11">
        <f t="shared" si="23"/>
        <v>0.97154381136127599</v>
      </c>
      <c r="T85" s="11">
        <f t="shared" si="24"/>
        <v>4.7835736649988976E-2</v>
      </c>
      <c r="U85" s="11">
        <f>IF(A84=A85,0,VLOOKUP(A85,'Packing Time'!A:F,6,0))</f>
        <v>0.875</v>
      </c>
      <c r="V85" s="11">
        <f t="shared" si="32"/>
        <v>0.29618749999999999</v>
      </c>
      <c r="W85" s="11">
        <f t="shared" si="33"/>
        <v>1.4583333333333334E-2</v>
      </c>
      <c r="X85" s="11">
        <f t="shared" si="25"/>
        <v>2.0283700981780419</v>
      </c>
      <c r="Y85" s="11">
        <f t="shared" si="34"/>
        <v>2.0283700981780419</v>
      </c>
      <c r="Z85" s="37">
        <v>1</v>
      </c>
      <c r="AA85" s="36">
        <f t="shared" si="26"/>
        <v>3.40983432455395</v>
      </c>
      <c r="AB85" s="36">
        <f t="shared" si="27"/>
        <v>1.2957370433305011</v>
      </c>
      <c r="AC85" s="11">
        <f t="shared" si="28"/>
        <v>9.9870511973315701E-2</v>
      </c>
      <c r="AD85" s="36">
        <f t="shared" si="35"/>
        <v>2.0283700981780419</v>
      </c>
      <c r="AE85" s="36"/>
      <c r="AF85" s="36">
        <f>IFERROR(VLOOKUP(AE85,'Chemical Cost'!A:D,4,0),0)</f>
        <v>0</v>
      </c>
      <c r="AG85" s="114">
        <f t="shared" si="29"/>
        <v>0</v>
      </c>
      <c r="AH85" s="36">
        <f t="shared" si="36"/>
        <v>0</v>
      </c>
      <c r="AI85" s="36">
        <f t="shared" si="37"/>
        <v>3.3241071415085433</v>
      </c>
      <c r="AJ85" s="36">
        <f>IFERROR(VLOOKUP(A85,'All Products'!A:F,6,0),0)</f>
        <v>5.47</v>
      </c>
      <c r="AK85" s="36">
        <f>AJ85*Z85*J85</f>
        <v>5.47</v>
      </c>
      <c r="AL85" s="23">
        <v>1</v>
      </c>
      <c r="AM85" s="23"/>
      <c r="AN85" s="54" t="e">
        <v>#N/A</v>
      </c>
      <c r="AO85" s="47"/>
      <c r="AP85" s="4">
        <v>1.6</v>
      </c>
      <c r="AQ85" s="111">
        <f t="shared" si="30"/>
        <v>9.9870511973315701E-2</v>
      </c>
      <c r="AR85">
        <f>_xlfn.XLOOKUP(F85,'RM Cost'!A:A,'RM Cost'!S:S)</f>
        <v>0</v>
      </c>
      <c r="AS85" t="e">
        <f>_xlfn.XLOOKUP(A85,[3]Sheet1!$B:$B,[3]Sheet1!$B:$B)</f>
        <v>#N/A</v>
      </c>
    </row>
    <row r="86" spans="1:46" x14ac:dyDescent="0.25">
      <c r="A86" s="2" t="s">
        <v>223</v>
      </c>
      <c r="B86" s="2" t="s">
        <v>552</v>
      </c>
      <c r="C86" s="2" t="s">
        <v>613</v>
      </c>
      <c r="D86" s="2" t="s">
        <v>554</v>
      </c>
      <c r="E86" s="2">
        <v>2.5</v>
      </c>
      <c r="F86" s="1" t="str">
        <f>VLOOKUP(H86,'RM Used'!A:B,2,0)</f>
        <v>P0020</v>
      </c>
      <c r="G86" s="1" t="str">
        <f>IFERROR(VLOOKUP(F86,'RM Cost'!A:B,2,0),"")</f>
        <v>PALE BLUE BAG 430X430MM</v>
      </c>
      <c r="H86" s="2" t="s">
        <v>1659</v>
      </c>
      <c r="I86" s="1" t="str">
        <f>VLOOKUP(F86,'RM Used'!B:D,3,0)</f>
        <v>RM-PACKING</v>
      </c>
      <c r="J86" s="66">
        <v>1</v>
      </c>
      <c r="K86" s="35" t="str">
        <f t="shared" si="21"/>
        <v/>
      </c>
      <c r="L86" s="35">
        <f t="shared" si="22"/>
        <v>0</v>
      </c>
      <c r="M86" s="77" t="str" cm="1">
        <f t="array" ref="M86">_xlfn.IFS(BOM!I86="RM-PACKING","100%",B86="Reynolds",VLOOKUP(H86,'Yield &amp; Time'!A:V,22,0),BOM!B86="Dnata",VLOOKUP(BOM!H86,'Yield &amp; Time'!A:M,13,0),B86="NK",VLOOKUP(H86,'Yield &amp; Time'!A:X,24,0))</f>
        <v>100%</v>
      </c>
      <c r="N86" s="35">
        <f t="shared" si="38"/>
        <v>1</v>
      </c>
      <c r="O86" s="1" t="str">
        <f>VLOOKUP(H86,'RM Used'!A:E,5,0)</f>
        <v>Count</v>
      </c>
      <c r="P86" s="11">
        <f>VLOOKUP(H86,'RM Used'!A:F,6,0)</f>
        <v>0.09</v>
      </c>
      <c r="Q86" s="11">
        <f t="shared" si="31"/>
        <v>0.09</v>
      </c>
      <c r="R86" s="11">
        <f>IFERROR(IF(B86="Reynolds",VLOOKUP(H86,'Yield &amp; Time'!A:U,21,0),VLOOKUP(H86,'Yield &amp; Time'!A:L,12,0)),0)</f>
        <v>0</v>
      </c>
      <c r="S86" s="11">
        <f t="shared" si="23"/>
        <v>0</v>
      </c>
      <c r="T86" s="11">
        <f t="shared" si="24"/>
        <v>0</v>
      </c>
      <c r="U86" s="11">
        <f>IF(A85=A86,0,VLOOKUP(A86,'Packing Time'!A:F,6,0))</f>
        <v>0</v>
      </c>
      <c r="V86" s="11">
        <f t="shared" si="32"/>
        <v>0</v>
      </c>
      <c r="W86" s="11">
        <f t="shared" si="33"/>
        <v>0</v>
      </c>
      <c r="X86" s="11">
        <f t="shared" si="25"/>
        <v>0</v>
      </c>
      <c r="Y86" s="11">
        <f t="shared" si="34"/>
        <v>0</v>
      </c>
      <c r="Z86" s="37">
        <v>1</v>
      </c>
      <c r="AA86" s="36">
        <f t="shared" si="26"/>
        <v>1</v>
      </c>
      <c r="AB86" s="36">
        <f t="shared" si="27"/>
        <v>0.09</v>
      </c>
      <c r="AC86" s="11">
        <f t="shared" si="28"/>
        <v>0</v>
      </c>
      <c r="AD86" s="36">
        <f t="shared" si="35"/>
        <v>0</v>
      </c>
      <c r="AE86" s="36"/>
      <c r="AF86" s="36">
        <f>IFERROR(VLOOKUP(AE86,'Chemical Cost'!A:D,4,0),0)</f>
        <v>0</v>
      </c>
      <c r="AG86" s="114">
        <f t="shared" si="29"/>
        <v>0</v>
      </c>
      <c r="AH86" s="36">
        <f t="shared" si="36"/>
        <v>0</v>
      </c>
      <c r="AI86" s="36">
        <f t="shared" si="37"/>
        <v>0.09</v>
      </c>
      <c r="AJ86" s="36">
        <f>IFERROR(VLOOKUP(A86,'All Products'!A:F,6,0),0)</f>
        <v>5.47</v>
      </c>
      <c r="AK86" s="36"/>
      <c r="AL86" s="23">
        <v>1</v>
      </c>
      <c r="AM86" s="23"/>
      <c r="AN86" s="54" t="e">
        <v>#N/A</v>
      </c>
      <c r="AO86" s="47"/>
      <c r="AP86" s="4">
        <v>1.6</v>
      </c>
      <c r="AQ86" s="111">
        <f t="shared" si="30"/>
        <v>0</v>
      </c>
      <c r="AR86">
        <f>_xlfn.XLOOKUP(F86,'RM Cost'!A:A,'RM Cost'!S:S)</f>
        <v>0</v>
      </c>
      <c r="AS86" t="e">
        <f>_xlfn.XLOOKUP(A86,[3]Sheet1!$B:$B,[3]Sheet1!$B:$B)</f>
        <v>#N/A</v>
      </c>
    </row>
    <row r="87" spans="1:46" x14ac:dyDescent="0.25">
      <c r="A87" s="2" t="s">
        <v>223</v>
      </c>
      <c r="B87" s="2" t="s">
        <v>552</v>
      </c>
      <c r="C87" s="2" t="s">
        <v>613</v>
      </c>
      <c r="D87" s="2" t="s">
        <v>554</v>
      </c>
      <c r="E87" s="2">
        <v>2.5</v>
      </c>
      <c r="F87" s="1" t="str">
        <f>VLOOKUP(H87,'RM Used'!A:B,2,0)</f>
        <v>P0016</v>
      </c>
      <c r="G87" s="1" t="str">
        <f>IFERROR(VLOOKUP(F87,'RM Cost'!A:B,2,0),"")</f>
        <v>REY 40 30 BOX</v>
      </c>
      <c r="H87" s="2" t="s">
        <v>1332</v>
      </c>
      <c r="I87" s="1" t="str">
        <f>VLOOKUP(F87,'RM Used'!B:D,3,0)</f>
        <v>RM-PACKING</v>
      </c>
      <c r="J87" s="66">
        <v>1</v>
      </c>
      <c r="K87" s="35" t="str">
        <f t="shared" si="21"/>
        <v/>
      </c>
      <c r="L87" s="35">
        <f t="shared" si="22"/>
        <v>0</v>
      </c>
      <c r="M87" s="77" t="str" cm="1">
        <f t="array" ref="M87">_xlfn.IFS(BOM!I87="RM-PACKING","100%",B87="Reynolds",VLOOKUP(H87,'Yield &amp; Time'!A:V,22,0),BOM!B87="Dnata",VLOOKUP(BOM!H87,'Yield &amp; Time'!A:M,13,0),B87="NK",VLOOKUP(H87,'Yield &amp; Time'!A:X,24,0))</f>
        <v>100%</v>
      </c>
      <c r="N87" s="35">
        <f t="shared" si="38"/>
        <v>1</v>
      </c>
      <c r="O87" s="1" t="str">
        <f>VLOOKUP(H87,'RM Used'!A:E,5,0)</f>
        <v>Count</v>
      </c>
      <c r="P87" s="11">
        <f>VLOOKUP(H87,'RM Used'!A:F,6,0)</f>
        <v>0.28000000000000003</v>
      </c>
      <c r="Q87" s="11">
        <f t="shared" si="31"/>
        <v>0.28000000000000003</v>
      </c>
      <c r="R87" s="11">
        <f>IFERROR(IF(B87="Reynolds",VLOOKUP(H87,'Yield &amp; Time'!A:U,21,0),VLOOKUP(H87,'Yield &amp; Time'!A:L,12,0)),0)</f>
        <v>0</v>
      </c>
      <c r="S87" s="11">
        <f t="shared" si="23"/>
        <v>0</v>
      </c>
      <c r="T87" s="11">
        <f t="shared" si="24"/>
        <v>0</v>
      </c>
      <c r="U87" s="11">
        <f>IF(A86=A87,0,VLOOKUP(A87,'Packing Time'!A:F,6,0))</f>
        <v>0</v>
      </c>
      <c r="V87" s="11">
        <f t="shared" si="32"/>
        <v>0</v>
      </c>
      <c r="W87" s="11">
        <f t="shared" si="33"/>
        <v>0</v>
      </c>
      <c r="X87" s="11">
        <f t="shared" si="25"/>
        <v>0</v>
      </c>
      <c r="Y87" s="11">
        <f t="shared" si="34"/>
        <v>0</v>
      </c>
      <c r="Z87" s="37">
        <v>1</v>
      </c>
      <c r="AA87" s="36">
        <f t="shared" si="26"/>
        <v>1</v>
      </c>
      <c r="AB87" s="36">
        <f t="shared" si="27"/>
        <v>0.28000000000000003</v>
      </c>
      <c r="AC87" s="11">
        <f t="shared" si="28"/>
        <v>0</v>
      </c>
      <c r="AD87" s="36">
        <f t="shared" si="35"/>
        <v>0</v>
      </c>
      <c r="AE87" s="36"/>
      <c r="AF87" s="36">
        <f>IFERROR(VLOOKUP(AE87,'Chemical Cost'!A:D,4,0),0)</f>
        <v>0</v>
      </c>
      <c r="AG87" s="114">
        <f t="shared" si="29"/>
        <v>0</v>
      </c>
      <c r="AH87" s="36">
        <f t="shared" si="36"/>
        <v>0</v>
      </c>
      <c r="AI87" s="36">
        <f t="shared" si="37"/>
        <v>0.28000000000000003</v>
      </c>
      <c r="AJ87" s="36">
        <f>IFERROR(VLOOKUP(A87,'All Products'!A:F,6,0),0)</f>
        <v>5.47</v>
      </c>
      <c r="AK87" s="36"/>
      <c r="AL87" s="23">
        <v>1</v>
      </c>
      <c r="AM87" s="23"/>
      <c r="AN87" s="54" t="e">
        <v>#N/A</v>
      </c>
      <c r="AO87" s="47"/>
      <c r="AP87" s="4">
        <v>1.6</v>
      </c>
      <c r="AQ87" s="111">
        <f t="shared" si="30"/>
        <v>0</v>
      </c>
      <c r="AR87">
        <f>_xlfn.XLOOKUP(F87,'RM Cost'!A:A,'RM Cost'!S:S)</f>
        <v>0</v>
      </c>
      <c r="AS87" t="e">
        <f>_xlfn.XLOOKUP(A87,[3]Sheet1!$B:$B,[3]Sheet1!$B:$B)</f>
        <v>#N/A</v>
      </c>
    </row>
    <row r="88" spans="1:46" x14ac:dyDescent="0.25">
      <c r="A88" s="2" t="s">
        <v>619</v>
      </c>
      <c r="B88" s="2" t="s">
        <v>552</v>
      </c>
      <c r="C88" s="2" t="s">
        <v>620</v>
      </c>
      <c r="D88" s="2" t="s">
        <v>554</v>
      </c>
      <c r="E88" s="2">
        <v>1</v>
      </c>
      <c r="F88" s="1" t="str">
        <f>VLOOKUP(H88,'RM Used'!A:B,2,0)</f>
        <v>032ACS</v>
      </c>
      <c r="G88" s="1" t="str">
        <f>IFERROR(VLOOKUP(F88,'RM Cost'!A:B,2,0),"")</f>
        <v>RM - LRG PROCESSING CARROT X 1000KG</v>
      </c>
      <c r="H88" s="2" t="s">
        <v>1351</v>
      </c>
      <c r="I88" s="1" t="str">
        <f>VLOOKUP(F88,'RM Used'!B:D,3,0)</f>
        <v>RM-FOOD</v>
      </c>
      <c r="J88" s="66">
        <v>1</v>
      </c>
      <c r="K88" s="35">
        <f t="shared" si="21"/>
        <v>1</v>
      </c>
      <c r="L88" s="35">
        <f t="shared" si="22"/>
        <v>1</v>
      </c>
      <c r="M88" s="77" cm="1">
        <f t="array" ref="M88">_xlfn.IFS(BOM!I88="RM-PACKING","100%",B88="Reynolds",VLOOKUP(H88,'Yield &amp; Time'!A:V,22,0),BOM!B88="Dnata",VLOOKUP(BOM!H88,'Yield &amp; Time'!A:M,13,0),B88="NK",VLOOKUP(H88,'Yield &amp; Time'!A:X,24,0))</f>
        <v>0.75330000000000008</v>
      </c>
      <c r="N88" s="35">
        <f t="shared" si="38"/>
        <v>1.3274923669188901</v>
      </c>
      <c r="O88" s="1" t="str">
        <f>VLOOKUP(H88,'RM Used'!A:E,5,0)</f>
        <v>KG</v>
      </c>
      <c r="P88" s="11">
        <f>VLOOKUP(H88,'RM Used'!A:F,6,0)</f>
        <v>0.38</v>
      </c>
      <c r="Q88" s="11">
        <f t="shared" si="31"/>
        <v>0.5044470994291782</v>
      </c>
      <c r="R88" s="11">
        <f>IFERROR(IF(B88="Reynolds",VLOOKUP(H88,'Yield &amp; Time'!A:U,21,0),VLOOKUP(H88,'Yield &amp; Time'!A:L,12,0)),0)</f>
        <v>0.90531914893617027</v>
      </c>
      <c r="S88" s="11">
        <f t="shared" si="23"/>
        <v>0.30645053191489363</v>
      </c>
      <c r="T88" s="11">
        <f t="shared" si="24"/>
        <v>1.5088652482269505E-2</v>
      </c>
      <c r="U88" s="11">
        <f>IF(A87=A88,0,VLOOKUP(A88,'Packing Time'!A:F,6,0))</f>
        <v>1.75</v>
      </c>
      <c r="V88" s="11">
        <f t="shared" si="32"/>
        <v>0.59237499999999998</v>
      </c>
      <c r="W88" s="11">
        <f t="shared" si="33"/>
        <v>2.9166666666666667E-2</v>
      </c>
      <c r="X88" s="11">
        <f t="shared" si="25"/>
        <v>1.4381208510638299</v>
      </c>
      <c r="Y88" s="11">
        <f t="shared" si="34"/>
        <v>1.4381208510638299</v>
      </c>
      <c r="Z88" s="37">
        <v>1</v>
      </c>
      <c r="AA88" s="36">
        <f t="shared" si="26"/>
        <v>1.3274923669188901</v>
      </c>
      <c r="AB88" s="36">
        <f t="shared" si="27"/>
        <v>0.5044470994291782</v>
      </c>
      <c r="AC88" s="11">
        <f t="shared" si="28"/>
        <v>7.0808510638297892E-2</v>
      </c>
      <c r="AD88" s="36">
        <f t="shared" si="35"/>
        <v>1.4381208510638301</v>
      </c>
      <c r="AE88" s="36" t="str">
        <f>VLOOKUP(H88,'Yield &amp; Time'!A:R,18,0)</f>
        <v>CHLORINE</v>
      </c>
      <c r="AF88" s="36">
        <f>IFERROR(VLOOKUP(AE88,'Chemical Cost'!A:D,4,0),0)</f>
        <v>2.7756518066439469E-2</v>
      </c>
      <c r="AG88" s="114">
        <f t="shared" si="29"/>
        <v>1.2282188621814889E-2</v>
      </c>
      <c r="AH88" s="36">
        <f t="shared" si="36"/>
        <v>1.2282188621814889E-2</v>
      </c>
      <c r="AI88" s="36">
        <f t="shared" si="37"/>
        <v>1.9548501391148232</v>
      </c>
      <c r="AJ88" s="36">
        <f>IFERROR(VLOOKUP(A88,'All Products'!A:F,6,0),0)</f>
        <v>1.79</v>
      </c>
      <c r="AK88" s="36">
        <f>AJ88*Z88*J88</f>
        <v>1.79</v>
      </c>
      <c r="AL88" s="23">
        <v>0.85</v>
      </c>
      <c r="AM88" s="23">
        <v>0.15</v>
      </c>
      <c r="AN88" s="54" t="e">
        <v>#N/A</v>
      </c>
      <c r="AO88" s="47"/>
      <c r="AP88" s="4">
        <v>1.6</v>
      </c>
      <c r="AQ88" s="111">
        <f t="shared" si="30"/>
        <v>7.0808510638297892E-2</v>
      </c>
      <c r="AR88">
        <f>_xlfn.XLOOKUP(F88,'RM Cost'!A:A,'RM Cost'!S:S)</f>
        <v>0</v>
      </c>
      <c r="AS88" t="e">
        <f>_xlfn.XLOOKUP(A88,[3]Sheet1!$B:$B,[3]Sheet1!$B:$B)</f>
        <v>#N/A</v>
      </c>
    </row>
    <row r="89" spans="1:46" x14ac:dyDescent="0.25">
      <c r="A89" s="2" t="s">
        <v>619</v>
      </c>
      <c r="B89" s="2" t="s">
        <v>552</v>
      </c>
      <c r="C89" s="2" t="s">
        <v>620</v>
      </c>
      <c r="D89" s="2" t="s">
        <v>554</v>
      </c>
      <c r="E89" s="2">
        <v>1</v>
      </c>
      <c r="F89" s="1" t="str">
        <f>VLOOKUP(H89,'RM Used'!A:B,2,0)</f>
        <v>P0017</v>
      </c>
      <c r="G89" s="1" t="str">
        <f>IFERROR(VLOOKUP(F89,'RM Cost'!A:B,2,0),"")</f>
        <v>PALE BLUE BAG 250X300MM</v>
      </c>
      <c r="H89" s="2" t="s">
        <v>1334</v>
      </c>
      <c r="I89" s="1" t="str">
        <f>VLOOKUP(F89,'RM Used'!B:D,3,0)</f>
        <v>RM-PACKING</v>
      </c>
      <c r="J89" s="66">
        <v>1</v>
      </c>
      <c r="K89" s="35" t="str">
        <f t="shared" si="21"/>
        <v/>
      </c>
      <c r="L89" s="35">
        <f t="shared" si="22"/>
        <v>0</v>
      </c>
      <c r="M89" s="77" t="str" cm="1">
        <f t="array" ref="M89">_xlfn.IFS(BOM!I89="RM-PACKING","100%",B89="Reynolds",VLOOKUP(H89,'Yield &amp; Time'!A:V,22,0),BOM!B89="Dnata",VLOOKUP(BOM!H89,'Yield &amp; Time'!A:M,13,0),B89="NK",VLOOKUP(H89,'Yield &amp; Time'!A:X,24,0))</f>
        <v>100%</v>
      </c>
      <c r="N89" s="35">
        <v>4</v>
      </c>
      <c r="O89" s="1" t="str">
        <f>VLOOKUP(H89,'RM Used'!A:E,5,0)</f>
        <v>Count</v>
      </c>
      <c r="P89" s="11">
        <f>VLOOKUP(H89,'RM Used'!A:F,6,0)</f>
        <v>0.05</v>
      </c>
      <c r="Q89" s="11">
        <f t="shared" si="31"/>
        <v>0.2</v>
      </c>
      <c r="R89" s="11">
        <f>IFERROR(IF(B89="Reynolds",VLOOKUP(H89,'Yield &amp; Time'!A:U,21,0),VLOOKUP(H89,'Yield &amp; Time'!A:L,12,0)),0)</f>
        <v>0</v>
      </c>
      <c r="S89" s="11">
        <f t="shared" si="23"/>
        <v>0</v>
      </c>
      <c r="T89" s="11">
        <f t="shared" si="24"/>
        <v>0</v>
      </c>
      <c r="U89" s="11">
        <f>IF(A88=A89,0,VLOOKUP(A89,'Packing Time'!A:F,6,0))</f>
        <v>0</v>
      </c>
      <c r="V89" s="11">
        <f t="shared" si="32"/>
        <v>0</v>
      </c>
      <c r="W89" s="11">
        <f t="shared" si="33"/>
        <v>0</v>
      </c>
      <c r="X89" s="11">
        <f t="shared" si="25"/>
        <v>0</v>
      </c>
      <c r="Y89" s="11">
        <f t="shared" si="34"/>
        <v>0</v>
      </c>
      <c r="Z89" s="37">
        <v>1</v>
      </c>
      <c r="AA89" s="36">
        <f t="shared" si="26"/>
        <v>4</v>
      </c>
      <c r="AB89" s="36">
        <f t="shared" si="27"/>
        <v>0.2</v>
      </c>
      <c r="AC89" s="11">
        <f t="shared" si="28"/>
        <v>0</v>
      </c>
      <c r="AD89" s="36">
        <f t="shared" si="35"/>
        <v>0</v>
      </c>
      <c r="AE89" s="36"/>
      <c r="AF89" s="36">
        <f>IFERROR(VLOOKUP(AE89,'Chemical Cost'!A:D,4,0),0)</f>
        <v>0</v>
      </c>
      <c r="AG89" s="114">
        <f t="shared" si="29"/>
        <v>0</v>
      </c>
      <c r="AH89" s="36">
        <f t="shared" si="36"/>
        <v>0</v>
      </c>
      <c r="AI89" s="36">
        <f t="shared" si="37"/>
        <v>0.2</v>
      </c>
      <c r="AJ89" s="36">
        <f>IFERROR(VLOOKUP(A89,'All Products'!A:F,6,0),0)</f>
        <v>1.79</v>
      </c>
      <c r="AK89" s="36"/>
      <c r="AL89" s="23">
        <v>0.85</v>
      </c>
      <c r="AM89" s="23">
        <v>0.15</v>
      </c>
      <c r="AN89" s="54" t="e">
        <v>#N/A</v>
      </c>
      <c r="AO89" s="47"/>
      <c r="AP89" s="4">
        <v>1.6</v>
      </c>
      <c r="AQ89" s="111">
        <f t="shared" si="30"/>
        <v>0</v>
      </c>
      <c r="AR89">
        <f>_xlfn.XLOOKUP(F89,'RM Cost'!A:A,'RM Cost'!S:S)</f>
        <v>0</v>
      </c>
      <c r="AS89" t="e">
        <f>_xlfn.XLOOKUP(A89,[3]Sheet1!$B:$B,[3]Sheet1!$B:$B)</f>
        <v>#N/A</v>
      </c>
    </row>
    <row r="90" spans="1:46" x14ac:dyDescent="0.25">
      <c r="A90" s="2" t="s">
        <v>619</v>
      </c>
      <c r="B90" s="2" t="s">
        <v>552</v>
      </c>
      <c r="C90" s="2" t="s">
        <v>620</v>
      </c>
      <c r="D90" s="2" t="s">
        <v>554</v>
      </c>
      <c r="E90" s="2">
        <v>1</v>
      </c>
      <c r="F90" s="1" t="str">
        <f>VLOOKUP(H90,'RM Used'!A:B,2,0)</f>
        <v>P0016</v>
      </c>
      <c r="G90" s="1" t="str">
        <f>IFERROR(VLOOKUP(F90,'RM Cost'!A:B,2,0),"")</f>
        <v>REY 40 30 BOX</v>
      </c>
      <c r="H90" s="2" t="s">
        <v>1332</v>
      </c>
      <c r="I90" s="1" t="str">
        <f>VLOOKUP(F90,'RM Used'!B:D,3,0)</f>
        <v>RM-PACKING</v>
      </c>
      <c r="J90" s="66">
        <v>1</v>
      </c>
      <c r="K90" s="35" t="str">
        <f t="shared" si="21"/>
        <v/>
      </c>
      <c r="L90" s="35">
        <f t="shared" si="22"/>
        <v>0</v>
      </c>
      <c r="M90" s="77" t="str" cm="1">
        <f t="array" ref="M90">_xlfn.IFS(BOM!I90="RM-PACKING","100%",B90="Reynolds",VLOOKUP(H90,'Yield &amp; Time'!A:V,22,0),BOM!B90="Dnata",VLOOKUP(BOM!H90,'Yield &amp; Time'!A:M,13,0),B90="NK",VLOOKUP(H90,'Yield &amp; Time'!A:X,24,0))</f>
        <v>100%</v>
      </c>
      <c r="N90" s="35">
        <f>IFERROR(IF(I90="RM-FOOD",(E90*J90)/M90,1),0)</f>
        <v>1</v>
      </c>
      <c r="O90" s="1" t="str">
        <f>VLOOKUP(H90,'RM Used'!A:E,5,0)</f>
        <v>Count</v>
      </c>
      <c r="P90" s="11">
        <f>VLOOKUP(H90,'RM Used'!A:F,6,0)</f>
        <v>0.28000000000000003</v>
      </c>
      <c r="Q90" s="11">
        <f t="shared" si="31"/>
        <v>0.28000000000000003</v>
      </c>
      <c r="R90" s="11">
        <f>IFERROR(IF(B90="Reynolds",VLOOKUP(H90,'Yield &amp; Time'!A:U,21,0),VLOOKUP(H90,'Yield &amp; Time'!A:L,12,0)),0)</f>
        <v>0</v>
      </c>
      <c r="S90" s="11">
        <f t="shared" si="23"/>
        <v>0</v>
      </c>
      <c r="T90" s="11">
        <f t="shared" si="24"/>
        <v>0</v>
      </c>
      <c r="U90" s="11">
        <f>IF(A89=A90,0,VLOOKUP(A90,'Packing Time'!A:F,6,0))</f>
        <v>0</v>
      </c>
      <c r="V90" s="11">
        <f t="shared" si="32"/>
        <v>0</v>
      </c>
      <c r="W90" s="11">
        <f t="shared" si="33"/>
        <v>0</v>
      </c>
      <c r="X90" s="11">
        <f t="shared" si="25"/>
        <v>0</v>
      </c>
      <c r="Y90" s="11">
        <f t="shared" si="34"/>
        <v>0</v>
      </c>
      <c r="Z90" s="37">
        <v>1</v>
      </c>
      <c r="AA90" s="36">
        <f t="shared" si="26"/>
        <v>1</v>
      </c>
      <c r="AB90" s="36">
        <f t="shared" si="27"/>
        <v>0.28000000000000003</v>
      </c>
      <c r="AC90" s="11">
        <f t="shared" si="28"/>
        <v>0</v>
      </c>
      <c r="AD90" s="36">
        <f t="shared" si="35"/>
        <v>0</v>
      </c>
      <c r="AE90" s="36"/>
      <c r="AF90" s="36">
        <f>IFERROR(VLOOKUP(AE90,'Chemical Cost'!A:D,4,0),0)</f>
        <v>0</v>
      </c>
      <c r="AG90" s="114">
        <f t="shared" si="29"/>
        <v>0</v>
      </c>
      <c r="AH90" s="36">
        <f t="shared" si="36"/>
        <v>0</v>
      </c>
      <c r="AI90" s="36">
        <f t="shared" si="37"/>
        <v>0.28000000000000003</v>
      </c>
      <c r="AJ90" s="36">
        <f>IFERROR(VLOOKUP(A90,'All Products'!A:F,6,0),0)</f>
        <v>1.79</v>
      </c>
      <c r="AK90" s="36"/>
      <c r="AL90" s="23">
        <v>0.85</v>
      </c>
      <c r="AM90" s="23">
        <v>0.15</v>
      </c>
      <c r="AN90" s="54" t="e">
        <v>#N/A</v>
      </c>
      <c r="AO90" s="47"/>
      <c r="AP90" s="4">
        <v>1.6</v>
      </c>
      <c r="AQ90" s="111">
        <f t="shared" si="30"/>
        <v>0</v>
      </c>
      <c r="AR90">
        <f>_xlfn.XLOOKUP(F90,'RM Cost'!A:A,'RM Cost'!S:S)</f>
        <v>0</v>
      </c>
      <c r="AS90" t="e">
        <f>_xlfn.XLOOKUP(A90,[3]Sheet1!$B:$B,[3]Sheet1!$B:$B)</f>
        <v>#N/A</v>
      </c>
    </row>
    <row r="91" spans="1:46" x14ac:dyDescent="0.25">
      <c r="A91" s="2" t="s">
        <v>402</v>
      </c>
      <c r="B91" s="2" t="s">
        <v>552</v>
      </c>
      <c r="C91" s="2" t="s">
        <v>622</v>
      </c>
      <c r="D91" s="2" t="s">
        <v>554</v>
      </c>
      <c r="E91" s="2">
        <v>2</v>
      </c>
      <c r="F91" s="1" t="str">
        <f>VLOOKUP(H91,'RM Used'!A:B,2,0)</f>
        <v>S3997CS</v>
      </c>
      <c r="G91" s="1" t="str">
        <f>IFERROR(VLOOKUP(F91,'RM Cost'!A:B,2,0),"")</f>
        <v>RM - DECORE WHITE CABBAGE 1/3 1200KG</v>
      </c>
      <c r="H91" s="2" t="s">
        <v>1350</v>
      </c>
      <c r="I91" s="1" t="str">
        <f>VLOOKUP(F91,'RM Used'!B:D,3,0)</f>
        <v>RM-FOOD</v>
      </c>
      <c r="J91" s="66">
        <v>0.5</v>
      </c>
      <c r="K91" s="35">
        <f t="shared" si="21"/>
        <v>1</v>
      </c>
      <c r="L91" s="35">
        <f t="shared" si="22"/>
        <v>1</v>
      </c>
      <c r="M91" s="77" cm="1">
        <f t="array" ref="M91">_xlfn.IFS(BOM!I91="RM-PACKING","100%",B91="Reynolds",VLOOKUP(H91,'Yield &amp; Time'!A:V,22,0),BOM!B91="Dnata",VLOOKUP(BOM!H91,'Yield &amp; Time'!A:M,13,0),B91="NK",VLOOKUP(H91,'Yield &amp; Time'!A:X,24,0))</f>
        <v>0.77222322232223217</v>
      </c>
      <c r="N91" s="35">
        <f>IFERROR(IF(I91="RM-FOOD",(E91*J91)/M91,1),0)</f>
        <v>1.2949623516796047</v>
      </c>
      <c r="O91" s="1" t="str">
        <f>VLOOKUP(H91,'RM Used'!A:E,5,0)</f>
        <v>KG</v>
      </c>
      <c r="P91" s="11">
        <f>VLOOKUP(H91,'RM Used'!A:F,6,0)</f>
        <v>0.34</v>
      </c>
      <c r="Q91" s="11">
        <f t="shared" si="31"/>
        <v>0.44028719957106566</v>
      </c>
      <c r="R91" s="11">
        <f>IFERROR(IF(B91="Reynolds",VLOOKUP(H91,'Yield &amp; Time'!A:U,21,0),VLOOKUP(H91,'Yield &amp; Time'!A:L,12,0)),0)</f>
        <v>0.82773480662983423</v>
      </c>
      <c r="S91" s="11">
        <f t="shared" si="23"/>
        <v>0.28018823204419885</v>
      </c>
      <c r="T91" s="11">
        <f t="shared" si="24"/>
        <v>1.3795580110497236E-2</v>
      </c>
      <c r="U91" s="11">
        <f>IF(A90=A91,0,VLOOKUP(A91,'Packing Time'!A:F,6,0))</f>
        <v>1.44</v>
      </c>
      <c r="V91" s="11">
        <f t="shared" si="32"/>
        <v>0.48743999999999993</v>
      </c>
      <c r="W91" s="11">
        <f t="shared" si="33"/>
        <v>2.4E-2</v>
      </c>
      <c r="X91" s="11">
        <f t="shared" si="25"/>
        <v>1.0746795248618781</v>
      </c>
      <c r="Y91" s="11">
        <f t="shared" si="34"/>
        <v>1.0746795248618781</v>
      </c>
      <c r="Z91" s="37">
        <v>1</v>
      </c>
      <c r="AA91" s="36">
        <f t="shared" si="26"/>
        <v>1.2949623516796047</v>
      </c>
      <c r="AB91" s="36">
        <f t="shared" si="27"/>
        <v>0.44028719957106566</v>
      </c>
      <c r="AC91" s="11">
        <f t="shared" si="28"/>
        <v>5.2913812154696122E-2</v>
      </c>
      <c r="AD91" s="36">
        <f t="shared" si="35"/>
        <v>1.0746795248618781</v>
      </c>
      <c r="AE91" s="36" t="str">
        <f>VLOOKUP(H91,'Yield &amp; Time'!A:R,18,0)</f>
        <v>CHLORINE</v>
      </c>
      <c r="AF91" s="36">
        <f>IFERROR(VLOOKUP(AE91,'Chemical Cost'!A:D,4,0),0)</f>
        <v>2.7756518066439469E-2</v>
      </c>
      <c r="AG91" s="114">
        <f t="shared" si="29"/>
        <v>1.1981215303251297E-2</v>
      </c>
      <c r="AH91" s="36">
        <f t="shared" si="36"/>
        <v>1.1981215303251297E-2</v>
      </c>
      <c r="AI91" s="36">
        <f t="shared" si="37"/>
        <v>1.5269479397361949</v>
      </c>
      <c r="AJ91" s="36">
        <f>IFERROR(VLOOKUP(A91,'All Products'!A:F,6,0),0)</f>
        <v>3.8</v>
      </c>
      <c r="AK91" s="36">
        <f>AJ91*Z91*J91</f>
        <v>1.9</v>
      </c>
      <c r="AL91" s="23">
        <v>0.8</v>
      </c>
      <c r="AM91" s="23">
        <v>0.2</v>
      </c>
      <c r="AN91" s="54" t="e">
        <v>#N/A</v>
      </c>
      <c r="AO91" s="47"/>
      <c r="AP91" s="4">
        <v>1.4</v>
      </c>
      <c r="AQ91" s="111">
        <f t="shared" si="30"/>
        <v>5.2913812154696122E-2</v>
      </c>
      <c r="AR91">
        <f>_xlfn.XLOOKUP(F91,'RM Cost'!A:A,'RM Cost'!S:S)</f>
        <v>0.29914853989077506</v>
      </c>
      <c r="AS91" t="str">
        <f>_xlfn.XLOOKUP(A91,[3]Sheet1!$B:$B,[3]Sheet1!$B:$B)</f>
        <v>1157CS</v>
      </c>
      <c r="AT91" t="str">
        <f>_xlfn.XLOOKUP(H91,'Yield &amp; Time'!A:A,'Yield &amp; Time'!O:O)</f>
        <v>Yes</v>
      </c>
    </row>
    <row r="92" spans="1:46" x14ac:dyDescent="0.25">
      <c r="A92" s="2" t="s">
        <v>402</v>
      </c>
      <c r="B92" s="2" t="s">
        <v>552</v>
      </c>
      <c r="C92" s="2" t="s">
        <v>622</v>
      </c>
      <c r="D92" s="2" t="s">
        <v>554</v>
      </c>
      <c r="E92" s="2">
        <v>2</v>
      </c>
      <c r="F92" s="1" t="str">
        <f>VLOOKUP(H92,'RM Used'!A:B,2,0)</f>
        <v>S3891CS</v>
      </c>
      <c r="G92" s="1" t="str">
        <f>IFERROR(VLOOKUP(F92,'RM Cost'!A:B,2,0),"")</f>
        <v>RM - DECORED PINK CABBAGE 600KG</v>
      </c>
      <c r="H92" s="2" t="s">
        <v>1372</v>
      </c>
      <c r="I92" s="1" t="str">
        <f>VLOOKUP(F92,'RM Used'!B:D,3,0)</f>
        <v>RM-FOOD</v>
      </c>
      <c r="J92" s="66">
        <v>0.35</v>
      </c>
      <c r="K92" s="35">
        <f t="shared" si="21"/>
        <v>0.7</v>
      </c>
      <c r="L92" s="35">
        <f t="shared" si="22"/>
        <v>0.7</v>
      </c>
      <c r="M92" s="77" cm="1">
        <f t="array" ref="M92">_xlfn.IFS(BOM!I92="RM-PACKING","100%",B92="Reynolds",VLOOKUP(H92,'Yield &amp; Time'!A:V,22,0),BOM!B92="Dnata",VLOOKUP(BOM!H92,'Yield &amp; Time'!A:M,13,0),B92="NK",VLOOKUP(H92,'Yield &amp; Time'!A:X,24,0))</f>
        <v>0.70917030567685602</v>
      </c>
      <c r="N92" s="35">
        <f>IFERROR(IF(I92="RM-FOOD",(E92*J92)/M92,1),0)</f>
        <v>0.9870689655172411</v>
      </c>
      <c r="O92" s="1" t="str">
        <f>VLOOKUP(H92,'RM Used'!A:E,5,0)</f>
        <v>KG</v>
      </c>
      <c r="P92" s="11" t="e">
        <f>VLOOKUP(H92,'RM Used'!A:F,6,0)</f>
        <v>#N/A</v>
      </c>
      <c r="Q92" s="11" t="e">
        <f t="shared" si="31"/>
        <v>#N/A</v>
      </c>
      <c r="R92" s="11">
        <f>IFERROR(IF(B92="Reynolds",VLOOKUP(H92,'Yield &amp; Time'!A:U,21,0),VLOOKUP(H92,'Yield &amp; Time'!A:L,12,0)),0)</f>
        <v>0.91183789548524707</v>
      </c>
      <c r="S92" s="11">
        <f t="shared" si="23"/>
        <v>0.21605998933522927</v>
      </c>
      <c r="T92" s="11">
        <f t="shared" si="24"/>
        <v>1.0638108780661215E-2</v>
      </c>
      <c r="U92" s="11">
        <f>IF(A91=A92,0,VLOOKUP(A92,'Packing Time'!A:F,6,0))</f>
        <v>0</v>
      </c>
      <c r="V92" s="11">
        <f t="shared" si="32"/>
        <v>0</v>
      </c>
      <c r="W92" s="11">
        <f t="shared" si="33"/>
        <v>0</v>
      </c>
      <c r="X92" s="11">
        <f t="shared" si="25"/>
        <v>0.30248398506932095</v>
      </c>
      <c r="Y92" s="11">
        <f t="shared" si="34"/>
        <v>0.30248398506932095</v>
      </c>
      <c r="Z92" s="37">
        <v>1</v>
      </c>
      <c r="AA92" s="36">
        <f t="shared" si="26"/>
        <v>0.9870689655172411</v>
      </c>
      <c r="AB92" s="36" t="e">
        <f t="shared" si="27"/>
        <v>#N/A</v>
      </c>
      <c r="AC92" s="11">
        <f t="shared" si="28"/>
        <v>1.48933522929257E-2</v>
      </c>
      <c r="AD92" s="36">
        <f t="shared" si="35"/>
        <v>0.30248398506932089</v>
      </c>
      <c r="AE92" s="36" t="str">
        <f>VLOOKUP(H92,'Yield &amp; Time'!A:R,18,0)</f>
        <v>CHLORINE</v>
      </c>
      <c r="AF92" s="36">
        <f>IFERROR(VLOOKUP(AE92,'Chemical Cost'!A:D,4,0),0)</f>
        <v>2.7756518066439469E-2</v>
      </c>
      <c r="AG92" s="114">
        <f t="shared" si="29"/>
        <v>9.1325325247336737E-3</v>
      </c>
      <c r="AH92" s="36">
        <f t="shared" si="36"/>
        <v>9.1325325247336737E-3</v>
      </c>
      <c r="AI92" s="36">
        <f t="shared" si="37"/>
        <v>0</v>
      </c>
      <c r="AJ92" s="36">
        <f>IFERROR(VLOOKUP(A92,'All Products'!A:F,6,0),0)</f>
        <v>3.8</v>
      </c>
      <c r="AK92" s="36">
        <f>AJ92*Z92*J92</f>
        <v>1.3299999999999998</v>
      </c>
      <c r="AL92" s="23">
        <v>0.8</v>
      </c>
      <c r="AM92" s="23">
        <v>0.2</v>
      </c>
      <c r="AN92" s="54" t="e">
        <v>#N/A</v>
      </c>
      <c r="AO92" s="47"/>
      <c r="AP92" s="4">
        <v>1.4</v>
      </c>
      <c r="AQ92" s="111">
        <f t="shared" si="30"/>
        <v>1.48933522929257E-2</v>
      </c>
      <c r="AR92">
        <f>_xlfn.XLOOKUP(F92,'RM Cost'!A:A,'RM Cost'!S:S)</f>
        <v>0</v>
      </c>
      <c r="AS92" t="str">
        <f>_xlfn.XLOOKUP(A92,[3]Sheet1!$B:$B,[3]Sheet1!$B:$B)</f>
        <v>1157CS</v>
      </c>
      <c r="AT92" t="str">
        <f>_xlfn.XLOOKUP(H92,'Yield &amp; Time'!A:A,'Yield &amp; Time'!O:O)</f>
        <v>Yes</v>
      </c>
    </row>
    <row r="93" spans="1:46" x14ac:dyDescent="0.25">
      <c r="A93" s="2" t="s">
        <v>402</v>
      </c>
      <c r="B93" s="2" t="s">
        <v>552</v>
      </c>
      <c r="C93" s="2" t="s">
        <v>622</v>
      </c>
      <c r="D93" s="2" t="s">
        <v>554</v>
      </c>
      <c r="E93" s="2">
        <v>2</v>
      </c>
      <c r="F93" s="1" t="str">
        <f>VLOOKUP(H93,'RM Used'!A:B,2,0)</f>
        <v>032ACS</v>
      </c>
      <c r="G93" s="1" t="str">
        <f>IFERROR(VLOOKUP(F93,'RM Cost'!A:B,2,0),"")</f>
        <v>RM - LRG PROCESSING CARROT X 1000KG</v>
      </c>
      <c r="H93" s="2" t="s">
        <v>1351</v>
      </c>
      <c r="I93" s="1" t="str">
        <f>VLOOKUP(F93,'RM Used'!B:D,3,0)</f>
        <v>RM-FOOD</v>
      </c>
      <c r="J93" s="66">
        <v>0.15</v>
      </c>
      <c r="K93" s="35">
        <f t="shared" si="21"/>
        <v>0.3</v>
      </c>
      <c r="L93" s="35">
        <f t="shared" si="22"/>
        <v>0.3</v>
      </c>
      <c r="M93" s="77" cm="1">
        <f t="array" ref="M93">_xlfn.IFS(BOM!I93="RM-PACKING","100%",B93="Reynolds",VLOOKUP(H93,'Yield &amp; Time'!A:V,22,0),BOM!B93="Dnata",VLOOKUP(BOM!H93,'Yield &amp; Time'!A:M,13,0),B93="NK",VLOOKUP(H93,'Yield &amp; Time'!A:X,24,0))</f>
        <v>0.75330000000000008</v>
      </c>
      <c r="N93" s="35">
        <f>IFERROR(IF(I93="RM-FOOD",(E93*J93)/M93,1),0)</f>
        <v>0.39824771007566701</v>
      </c>
      <c r="O93" s="1" t="str">
        <f>VLOOKUP(H93,'RM Used'!A:E,5,0)</f>
        <v>KG</v>
      </c>
      <c r="P93" s="11">
        <f>VLOOKUP(H93,'RM Used'!A:F,6,0)</f>
        <v>0.38</v>
      </c>
      <c r="Q93" s="11">
        <f t="shared" si="31"/>
        <v>0.15133412982875347</v>
      </c>
      <c r="R93" s="11">
        <f>IFERROR(IF(B93="Reynolds",VLOOKUP(H93,'Yield &amp; Time'!A:U,21,0),VLOOKUP(H93,'Yield &amp; Time'!A:L,12,0)),0)</f>
        <v>0.90531914893617027</v>
      </c>
      <c r="S93" s="11">
        <f t="shared" si="23"/>
        <v>9.1935159574468073E-2</v>
      </c>
      <c r="T93" s="11">
        <f t="shared" si="24"/>
        <v>4.5265957446808513E-3</v>
      </c>
      <c r="U93" s="11">
        <f>IF(A92=A93,0,VLOOKUP(A93,'Packing Time'!A:F,6,0))</f>
        <v>0</v>
      </c>
      <c r="V93" s="11">
        <f t="shared" si="32"/>
        <v>0</v>
      </c>
      <c r="W93" s="11">
        <f t="shared" si="33"/>
        <v>0</v>
      </c>
      <c r="X93" s="11">
        <f t="shared" si="25"/>
        <v>0.12870922340425531</v>
      </c>
      <c r="Y93" s="11">
        <f t="shared" si="34"/>
        <v>0.12870922340425531</v>
      </c>
      <c r="Z93" s="37">
        <v>1</v>
      </c>
      <c r="AA93" s="36">
        <f t="shared" si="26"/>
        <v>0.39824771007566701</v>
      </c>
      <c r="AB93" s="36">
        <f t="shared" si="27"/>
        <v>0.15133412982875347</v>
      </c>
      <c r="AC93" s="11">
        <f t="shared" si="28"/>
        <v>6.3372340425531916E-3</v>
      </c>
      <c r="AD93" s="36">
        <f t="shared" si="35"/>
        <v>0.12870922340425531</v>
      </c>
      <c r="AE93" s="36" t="str">
        <f>VLOOKUP(H93,'Yield &amp; Time'!A:R,18,0)</f>
        <v>CHLORINE</v>
      </c>
      <c r="AF93" s="36">
        <f>IFERROR(VLOOKUP(AE93,'Chemical Cost'!A:D,4,0),0)</f>
        <v>2.7756518066439469E-2</v>
      </c>
      <c r="AG93" s="114">
        <f t="shared" si="29"/>
        <v>3.6846565865444668E-3</v>
      </c>
      <c r="AH93" s="36">
        <f t="shared" si="36"/>
        <v>3.6846565865444668E-3</v>
      </c>
      <c r="AI93" s="36">
        <f t="shared" si="37"/>
        <v>0.28372800981955326</v>
      </c>
      <c r="AJ93" s="36">
        <f>IFERROR(VLOOKUP(A93,'All Products'!A:F,6,0),0)</f>
        <v>3.8</v>
      </c>
      <c r="AK93" s="36">
        <f>AJ93*Z93*J93</f>
        <v>0.56999999999999995</v>
      </c>
      <c r="AL93" s="23">
        <v>0.8</v>
      </c>
      <c r="AM93" s="23">
        <v>0.2</v>
      </c>
      <c r="AN93" s="54" t="e">
        <v>#N/A</v>
      </c>
      <c r="AO93" s="47"/>
      <c r="AP93" s="4">
        <v>1.4</v>
      </c>
      <c r="AQ93" s="111">
        <f t="shared" si="30"/>
        <v>6.3372340425531916E-3</v>
      </c>
      <c r="AR93">
        <f>_xlfn.XLOOKUP(F93,'RM Cost'!A:A,'RM Cost'!S:S)</f>
        <v>0</v>
      </c>
      <c r="AS93" t="str">
        <f>_xlfn.XLOOKUP(A93,[3]Sheet1!$B:$B,[3]Sheet1!$B:$B)</f>
        <v>1157CS</v>
      </c>
      <c r="AT93" t="str">
        <f>_xlfn.XLOOKUP(H93,'Yield &amp; Time'!A:A,'Yield &amp; Time'!O:O)</f>
        <v>Yes</v>
      </c>
    </row>
    <row r="94" spans="1:46" x14ac:dyDescent="0.25">
      <c r="A94" s="2" t="s">
        <v>402</v>
      </c>
      <c r="B94" s="2" t="s">
        <v>552</v>
      </c>
      <c r="C94" s="2" t="s">
        <v>622</v>
      </c>
      <c r="D94" s="2" t="s">
        <v>554</v>
      </c>
      <c r="E94" s="2">
        <v>2</v>
      </c>
      <c r="F94" s="1" t="str">
        <f>VLOOKUP(H94,'RM Used'!A:B,2,0)</f>
        <v>P0020</v>
      </c>
      <c r="G94" s="1" t="str">
        <f>IFERROR(VLOOKUP(F94,'RM Cost'!A:B,2,0),"")</f>
        <v>PALE BLUE BAG 430X430MM</v>
      </c>
      <c r="H94" s="2" t="s">
        <v>1659</v>
      </c>
      <c r="I94" s="1" t="str">
        <f>VLOOKUP(F94,'RM Used'!B:D,3,0)</f>
        <v>RM-PACKING</v>
      </c>
      <c r="J94" s="66">
        <v>1</v>
      </c>
      <c r="K94" s="35" t="str">
        <f t="shared" si="21"/>
        <v/>
      </c>
      <c r="L94" s="35">
        <f t="shared" si="22"/>
        <v>0</v>
      </c>
      <c r="M94" s="77" t="str" cm="1">
        <f t="array" ref="M94">_xlfn.IFS(BOM!I94="RM-PACKING","100%",B94="Reynolds",VLOOKUP(H94,'Yield &amp; Time'!A:V,22,0),BOM!B94="Dnata",VLOOKUP(BOM!H94,'Yield &amp; Time'!A:M,13,0),B94="NK",VLOOKUP(H94,'Yield &amp; Time'!A:X,24,0))</f>
        <v>100%</v>
      </c>
      <c r="N94" s="35">
        <v>2</v>
      </c>
      <c r="O94" s="1" t="str">
        <f>VLOOKUP(H94,'RM Used'!A:E,5,0)</f>
        <v>Count</v>
      </c>
      <c r="P94" s="11">
        <f>VLOOKUP(H94,'RM Used'!A:F,6,0)</f>
        <v>0.09</v>
      </c>
      <c r="Q94" s="11">
        <f t="shared" si="31"/>
        <v>0.18</v>
      </c>
      <c r="R94" s="11">
        <f>IFERROR(IF(B94="Reynolds",VLOOKUP(H94,'Yield &amp; Time'!A:U,21,0),VLOOKUP(H94,'Yield &amp; Time'!A:L,12,0)),0)</f>
        <v>0</v>
      </c>
      <c r="S94" s="11">
        <f t="shared" si="23"/>
        <v>0</v>
      </c>
      <c r="T94" s="11">
        <f t="shared" si="24"/>
        <v>0</v>
      </c>
      <c r="U94" s="11">
        <f>IF(A93=A94,0,VLOOKUP(A94,'Packing Time'!A:F,6,0))</f>
        <v>0</v>
      </c>
      <c r="V94" s="11">
        <f t="shared" si="32"/>
        <v>0</v>
      </c>
      <c r="W94" s="11">
        <f t="shared" si="33"/>
        <v>0</v>
      </c>
      <c r="X94" s="11">
        <f t="shared" si="25"/>
        <v>0</v>
      </c>
      <c r="Y94" s="11">
        <f t="shared" si="34"/>
        <v>0</v>
      </c>
      <c r="Z94" s="37">
        <v>1</v>
      </c>
      <c r="AA94" s="36">
        <f t="shared" si="26"/>
        <v>2</v>
      </c>
      <c r="AB94" s="36">
        <f t="shared" si="27"/>
        <v>0.18</v>
      </c>
      <c r="AC94" s="11">
        <f t="shared" si="28"/>
        <v>0</v>
      </c>
      <c r="AD94" s="36">
        <f t="shared" si="35"/>
        <v>0</v>
      </c>
      <c r="AE94" s="36"/>
      <c r="AF94" s="36">
        <f>IFERROR(VLOOKUP(AE94,'Chemical Cost'!A:D,4,0),0)</f>
        <v>0</v>
      </c>
      <c r="AG94" s="114">
        <f t="shared" si="29"/>
        <v>0</v>
      </c>
      <c r="AH94" s="36">
        <f t="shared" si="36"/>
        <v>0</v>
      </c>
      <c r="AI94" s="36">
        <f t="shared" si="37"/>
        <v>0.18</v>
      </c>
      <c r="AJ94" s="36">
        <f>IFERROR(VLOOKUP(A94,'All Products'!A:F,6,0),0)</f>
        <v>3.8</v>
      </c>
      <c r="AK94" s="36"/>
      <c r="AL94" s="23">
        <v>0.8</v>
      </c>
      <c r="AM94" s="23">
        <v>0.2</v>
      </c>
      <c r="AN94" s="54" t="e">
        <v>#N/A</v>
      </c>
      <c r="AO94" s="47"/>
      <c r="AP94" s="4">
        <v>1.4</v>
      </c>
      <c r="AQ94" s="111">
        <f t="shared" si="30"/>
        <v>0</v>
      </c>
      <c r="AR94">
        <f>_xlfn.XLOOKUP(F94,'RM Cost'!A:A,'RM Cost'!S:S)</f>
        <v>0</v>
      </c>
      <c r="AS94" t="str">
        <f>_xlfn.XLOOKUP(A94,[3]Sheet1!$B:$B,[3]Sheet1!$B:$B)</f>
        <v>1157CS</v>
      </c>
      <c r="AT94" t="e">
        <f>_xlfn.XLOOKUP(H94,'Yield &amp; Time'!A:A,'Yield &amp; Time'!F:F)</f>
        <v>#N/A</v>
      </c>
    </row>
    <row r="95" spans="1:46" x14ac:dyDescent="0.25">
      <c r="A95" s="2" t="s">
        <v>402</v>
      </c>
      <c r="B95" s="2" t="s">
        <v>552</v>
      </c>
      <c r="C95" s="2" t="s">
        <v>622</v>
      </c>
      <c r="D95" s="2" t="s">
        <v>554</v>
      </c>
      <c r="E95" s="2">
        <v>2</v>
      </c>
      <c r="F95" s="1" t="str">
        <f>VLOOKUP(H95,'RM Used'!A:B,2,0)</f>
        <v>P0016</v>
      </c>
      <c r="G95" s="1" t="str">
        <f>IFERROR(VLOOKUP(F95,'RM Cost'!A:B,2,0),"")</f>
        <v>REY 40 30 BOX</v>
      </c>
      <c r="H95" s="2" t="s">
        <v>1332</v>
      </c>
      <c r="I95" s="1" t="str">
        <f>VLOOKUP(F95,'RM Used'!B:D,3,0)</f>
        <v>RM-PACKING</v>
      </c>
      <c r="J95" s="66">
        <v>1</v>
      </c>
      <c r="K95" s="35" t="str">
        <f t="shared" si="21"/>
        <v/>
      </c>
      <c r="L95" s="35">
        <f t="shared" si="22"/>
        <v>0</v>
      </c>
      <c r="M95" s="77" t="str" cm="1">
        <f t="array" ref="M95">_xlfn.IFS(BOM!I95="RM-PACKING","100%",B95="Reynolds",VLOOKUP(H95,'Yield &amp; Time'!A:V,22,0),BOM!B95="Dnata",VLOOKUP(BOM!H95,'Yield &amp; Time'!A:M,13,0),B95="NK",VLOOKUP(H95,'Yield &amp; Time'!A:X,24,0))</f>
        <v>100%</v>
      </c>
      <c r="N95" s="35">
        <f t="shared" ref="N95:N126" si="40">IFERROR(IF(I95="RM-FOOD",(E95*J95)/M95,1),0)</f>
        <v>1</v>
      </c>
      <c r="O95" s="1" t="str">
        <f>VLOOKUP(H95,'RM Used'!A:E,5,0)</f>
        <v>Count</v>
      </c>
      <c r="P95" s="11">
        <f>VLOOKUP(H95,'RM Used'!A:F,6,0)</f>
        <v>0.28000000000000003</v>
      </c>
      <c r="Q95" s="11">
        <f t="shared" si="31"/>
        <v>0.28000000000000003</v>
      </c>
      <c r="R95" s="11">
        <f>IFERROR(IF(B95="Reynolds",VLOOKUP(H95,'Yield &amp; Time'!A:U,21,0),VLOOKUP(H95,'Yield &amp; Time'!A:L,12,0)),0)</f>
        <v>0</v>
      </c>
      <c r="S95" s="11">
        <f t="shared" si="23"/>
        <v>0</v>
      </c>
      <c r="T95" s="11">
        <f t="shared" si="24"/>
        <v>0</v>
      </c>
      <c r="U95" s="11">
        <f>IF(A94=A95,0,VLOOKUP(A95,'Packing Time'!A:F,6,0))</f>
        <v>0</v>
      </c>
      <c r="V95" s="11">
        <f t="shared" si="32"/>
        <v>0</v>
      </c>
      <c r="W95" s="11">
        <f t="shared" si="33"/>
        <v>0</v>
      </c>
      <c r="X95" s="11">
        <f t="shared" si="25"/>
        <v>0</v>
      </c>
      <c r="Y95" s="11">
        <f t="shared" si="34"/>
        <v>0</v>
      </c>
      <c r="Z95" s="37">
        <v>1</v>
      </c>
      <c r="AA95" s="36">
        <f t="shared" si="26"/>
        <v>1</v>
      </c>
      <c r="AB95" s="36">
        <f t="shared" si="27"/>
        <v>0.28000000000000003</v>
      </c>
      <c r="AC95" s="11">
        <f t="shared" si="28"/>
        <v>0</v>
      </c>
      <c r="AD95" s="36">
        <f t="shared" si="35"/>
        <v>0</v>
      </c>
      <c r="AE95" s="36"/>
      <c r="AF95" s="36">
        <f>IFERROR(VLOOKUP(AE95,'Chemical Cost'!A:D,4,0),0)</f>
        <v>0</v>
      </c>
      <c r="AG95" s="114">
        <f t="shared" si="29"/>
        <v>0</v>
      </c>
      <c r="AH95" s="36">
        <f t="shared" si="36"/>
        <v>0</v>
      </c>
      <c r="AI95" s="36">
        <f t="shared" si="37"/>
        <v>0.28000000000000003</v>
      </c>
      <c r="AJ95" s="36">
        <f>IFERROR(VLOOKUP(A95,'All Products'!A:F,6,0),0)</f>
        <v>3.8</v>
      </c>
      <c r="AK95" s="36"/>
      <c r="AL95" s="23">
        <v>0.8</v>
      </c>
      <c r="AM95" s="23">
        <v>0.2</v>
      </c>
      <c r="AN95" s="54" t="e">
        <v>#N/A</v>
      </c>
      <c r="AO95" s="47"/>
      <c r="AP95" s="4">
        <v>1.4</v>
      </c>
      <c r="AQ95" s="111">
        <f t="shared" si="30"/>
        <v>0</v>
      </c>
      <c r="AR95">
        <f>_xlfn.XLOOKUP(F95,'RM Cost'!A:A,'RM Cost'!S:S)</f>
        <v>0</v>
      </c>
      <c r="AS95" t="str">
        <f>_xlfn.XLOOKUP(A95,[3]Sheet1!$B:$B,[3]Sheet1!$B:$B)</f>
        <v>1157CS</v>
      </c>
      <c r="AT95" t="e">
        <f>_xlfn.XLOOKUP(H95,'Yield &amp; Time'!A:A,'Yield &amp; Time'!F:F)</f>
        <v>#N/A</v>
      </c>
    </row>
    <row r="96" spans="1:46" x14ac:dyDescent="0.25">
      <c r="A96" s="2" t="s">
        <v>440</v>
      </c>
      <c r="B96" s="2" t="s">
        <v>552</v>
      </c>
      <c r="C96" s="2" t="s">
        <v>637</v>
      </c>
      <c r="D96" s="2" t="s">
        <v>554</v>
      </c>
      <c r="E96" s="2">
        <v>5</v>
      </c>
      <c r="F96" s="1" t="str">
        <f>VLOOKUP(H96,'RM Used'!A:B,2,0)</f>
        <v>032ACS</v>
      </c>
      <c r="G96" s="1" t="str">
        <f>IFERROR(VLOOKUP(F96,'RM Cost'!A:B,2,0),"")</f>
        <v>RM - LRG PROCESSING CARROT X 1000KG</v>
      </c>
      <c r="H96" s="2" t="s">
        <v>1373</v>
      </c>
      <c r="I96" s="1" t="str">
        <f>VLOOKUP(F96,'RM Used'!B:D,3,0)</f>
        <v>RM-FOOD</v>
      </c>
      <c r="J96" s="66">
        <v>0.4</v>
      </c>
      <c r="K96" s="35">
        <f t="shared" si="21"/>
        <v>2</v>
      </c>
      <c r="L96" s="35">
        <f t="shared" si="22"/>
        <v>2</v>
      </c>
      <c r="M96" s="77" cm="1">
        <f t="array" ref="M96">_xlfn.IFS(BOM!I96="RM-PACKING","100%",B96="Reynolds",VLOOKUP(H96,'Yield &amp; Time'!A:V,22,0),BOM!B96="Dnata",VLOOKUP(BOM!H96,'Yield &amp; Time'!A:M,13,0),B96="NK",VLOOKUP(H96,'Yield &amp; Time'!A:X,24,0))</f>
        <v>0.71506673850809344</v>
      </c>
      <c r="N96" s="35">
        <f t="shared" si="40"/>
        <v>2.7969417290654235</v>
      </c>
      <c r="O96" s="1" t="str">
        <f>VLOOKUP(H96,'RM Used'!A:E,5,0)</f>
        <v>KG</v>
      </c>
      <c r="P96" s="11">
        <f>VLOOKUP(H96,'RM Used'!A:F,6,0)</f>
        <v>0.38</v>
      </c>
      <c r="Q96" s="11">
        <f t="shared" si="31"/>
        <v>1.0628378570448609</v>
      </c>
      <c r="R96" s="11">
        <f>IFERROR(IF(B96="Reynolds",VLOOKUP(H96,'Yield &amp; Time'!A:U,21,0),VLOOKUP(H96,'Yield &amp; Time'!A:L,12,0)),0)</f>
        <v>1.2475449219522261</v>
      </c>
      <c r="S96" s="11">
        <f t="shared" si="23"/>
        <v>0.84458791216165696</v>
      </c>
      <c r="T96" s="11">
        <f t="shared" si="24"/>
        <v>4.1584830731740872E-2</v>
      </c>
      <c r="U96" s="11">
        <f>IF(A95=A96,0,VLOOKUP(A96,'Packing Time'!A:F,6,0))</f>
        <v>1.1850000000000001</v>
      </c>
      <c r="V96" s="11">
        <f t="shared" si="32"/>
        <v>0.40112249999999999</v>
      </c>
      <c r="W96" s="11">
        <f t="shared" si="33"/>
        <v>1.975E-2</v>
      </c>
      <c r="X96" s="11">
        <f t="shared" si="25"/>
        <v>1.5571380152020711</v>
      </c>
      <c r="Y96" s="11">
        <f t="shared" si="34"/>
        <v>1.5571380152020711</v>
      </c>
      <c r="Z96" s="37">
        <v>1</v>
      </c>
      <c r="AA96" s="36">
        <f t="shared" si="26"/>
        <v>2.7969417290654235</v>
      </c>
      <c r="AB96" s="36">
        <f t="shared" si="27"/>
        <v>1.0628378570448609</v>
      </c>
      <c r="AC96" s="11">
        <f t="shared" si="28"/>
        <v>7.666853841467608E-2</v>
      </c>
      <c r="AD96" s="36">
        <f t="shared" si="35"/>
        <v>1.5571380152020708</v>
      </c>
      <c r="AE96" s="36"/>
      <c r="AF96" s="36">
        <f>IFERROR(VLOOKUP(AE96,'Chemical Cost'!A:D,4,0),0)</f>
        <v>0</v>
      </c>
      <c r="AG96" s="114">
        <f t="shared" si="29"/>
        <v>0</v>
      </c>
      <c r="AH96" s="36">
        <f t="shared" si="36"/>
        <v>0</v>
      </c>
      <c r="AI96" s="36">
        <f t="shared" si="37"/>
        <v>2.6199758722469317</v>
      </c>
      <c r="AJ96" s="36">
        <f>IFERROR(VLOOKUP(A96,'All Products'!A:F,6,0),0)</f>
        <v>16.57</v>
      </c>
      <c r="AK96" s="36">
        <f>AJ96*Z96*J96</f>
        <v>6.6280000000000001</v>
      </c>
      <c r="AL96" s="23">
        <v>1</v>
      </c>
      <c r="AM96" s="23"/>
      <c r="AN96" s="54" t="e">
        <v>#N/A</v>
      </c>
      <c r="AO96" s="47"/>
      <c r="AP96" s="4">
        <v>1.25</v>
      </c>
      <c r="AQ96" s="111">
        <f t="shared" si="30"/>
        <v>7.666853841467608E-2</v>
      </c>
      <c r="AR96">
        <f>_xlfn.XLOOKUP(F96,'RM Cost'!A:A,'RM Cost'!S:S)</f>
        <v>0</v>
      </c>
      <c r="AS96" t="str">
        <f>_xlfn.XLOOKUP(A96,[3]Sheet1!$B:$B,[3]Sheet1!$B:$B)</f>
        <v>1477CS</v>
      </c>
      <c r="AT96">
        <f>_xlfn.XLOOKUP(H96,'Yield &amp; Time'!A:A,'Yield &amp; Time'!F:F)</f>
        <v>0</v>
      </c>
    </row>
    <row r="97" spans="1:46" x14ac:dyDescent="0.25">
      <c r="A97" s="2" t="s">
        <v>440</v>
      </c>
      <c r="B97" s="2" t="s">
        <v>552</v>
      </c>
      <c r="C97" s="2" t="s">
        <v>637</v>
      </c>
      <c r="D97" s="2" t="s">
        <v>554</v>
      </c>
      <c r="E97" s="2">
        <v>5</v>
      </c>
      <c r="F97" s="1" t="str">
        <f>VLOOKUP(H97,'RM Used'!A:B,2,0)</f>
        <v>3277CS</v>
      </c>
      <c r="G97" s="1" t="str">
        <f>IFERROR(VLOOKUP(F97,'RM Cost'!A:B,2,0),"")</f>
        <v>RM - SWEDE 12.5KG</v>
      </c>
      <c r="H97" s="2" t="s">
        <v>1374</v>
      </c>
      <c r="I97" s="1" t="str">
        <f>VLOOKUP(F97,'RM Used'!B:D,3,0)</f>
        <v>RM-FOOD</v>
      </c>
      <c r="J97" s="66">
        <v>0.2</v>
      </c>
      <c r="K97" s="35">
        <f t="shared" si="21"/>
        <v>1</v>
      </c>
      <c r="L97" s="35">
        <f t="shared" si="22"/>
        <v>1</v>
      </c>
      <c r="M97" s="77" cm="1">
        <f t="array" ref="M97">_xlfn.IFS(BOM!I97="RM-PACKING","100%",B97="Reynolds",VLOOKUP(H97,'Yield &amp; Time'!A:V,22,0),BOM!B97="Dnata",VLOOKUP(BOM!H97,'Yield &amp; Time'!A:M,13,0),B97="NK",VLOOKUP(H97,'Yield &amp; Time'!A:X,24,0))</f>
        <v>0.82764227642276411</v>
      </c>
      <c r="N97" s="35">
        <f t="shared" si="40"/>
        <v>1.2082514734774068</v>
      </c>
      <c r="O97" s="1" t="str">
        <f>VLOOKUP(H97,'RM Used'!A:E,5,0)</f>
        <v>KG</v>
      </c>
      <c r="P97" s="11">
        <f>VLOOKUP(H97,'RM Used'!A:F,6,0)</f>
        <v>0.52</v>
      </c>
      <c r="Q97" s="11">
        <f t="shared" si="31"/>
        <v>0.62829076620825153</v>
      </c>
      <c r="R97" s="11">
        <f>IFERROR(IF(B97="Reynolds",VLOOKUP(H97,'Yield &amp; Time'!A:U,21,0),VLOOKUP(H97,'Yield &amp; Time'!A:L,12,0)),0)</f>
        <v>1.9511118703909343</v>
      </c>
      <c r="S97" s="11">
        <f t="shared" si="23"/>
        <v>0.6604513681273313</v>
      </c>
      <c r="T97" s="11">
        <f t="shared" si="24"/>
        <v>3.2518531173182243E-2</v>
      </c>
      <c r="U97" s="11">
        <f>IF(A96=A97,0,VLOOKUP(A97,'Packing Time'!A:F,6,0))</f>
        <v>0</v>
      </c>
      <c r="V97" s="11">
        <f t="shared" si="32"/>
        <v>0</v>
      </c>
      <c r="W97" s="11">
        <f t="shared" si="33"/>
        <v>0</v>
      </c>
      <c r="X97" s="11">
        <f t="shared" si="25"/>
        <v>0.82556421015916415</v>
      </c>
      <c r="Y97" s="11">
        <f t="shared" si="34"/>
        <v>0.82556421015916415</v>
      </c>
      <c r="Z97" s="37">
        <v>1</v>
      </c>
      <c r="AA97" s="36">
        <f t="shared" si="26"/>
        <v>1.2082514734774068</v>
      </c>
      <c r="AB97" s="36">
        <f t="shared" si="27"/>
        <v>0.62829076620825153</v>
      </c>
      <c r="AC97" s="11">
        <f t="shared" si="28"/>
        <v>4.0648163966477802E-2</v>
      </c>
      <c r="AD97" s="36">
        <f t="shared" si="35"/>
        <v>0.82556421015916415</v>
      </c>
      <c r="AE97" s="36"/>
      <c r="AF97" s="36">
        <f>IFERROR(VLOOKUP(AE97,'Chemical Cost'!A:D,4,0),0)</f>
        <v>0</v>
      </c>
      <c r="AG97" s="114">
        <f t="shared" si="29"/>
        <v>0</v>
      </c>
      <c r="AH97" s="36">
        <f t="shared" si="36"/>
        <v>0</v>
      </c>
      <c r="AI97" s="36">
        <f t="shared" si="37"/>
        <v>1.4538549763674156</v>
      </c>
      <c r="AJ97" s="36">
        <f>IFERROR(VLOOKUP(A97,'All Products'!A:F,6,0),0)</f>
        <v>16.57</v>
      </c>
      <c r="AK97" s="36">
        <f>AJ97*Z97*J97</f>
        <v>3.3140000000000001</v>
      </c>
      <c r="AL97" s="23">
        <v>1</v>
      </c>
      <c r="AM97" s="23"/>
      <c r="AN97" s="54" t="e">
        <v>#N/A</v>
      </c>
      <c r="AO97" s="47"/>
      <c r="AP97" s="4">
        <v>1.25</v>
      </c>
      <c r="AQ97" s="111">
        <f t="shared" si="30"/>
        <v>4.0648163966477802E-2</v>
      </c>
      <c r="AR97">
        <f>_xlfn.XLOOKUP(F97,'RM Cost'!A:A,'RM Cost'!S:S)</f>
        <v>0</v>
      </c>
      <c r="AS97" t="str">
        <f>_xlfn.XLOOKUP(A97,[3]Sheet1!$B:$B,[3]Sheet1!$B:$B)</f>
        <v>1477CS</v>
      </c>
      <c r="AT97">
        <f>_xlfn.XLOOKUP(H97,'Yield &amp; Time'!A:A,'Yield &amp; Time'!F:F)</f>
        <v>0</v>
      </c>
    </row>
    <row r="98" spans="1:46" x14ac:dyDescent="0.25">
      <c r="A98" s="2" t="s">
        <v>440</v>
      </c>
      <c r="B98" s="2" t="s">
        <v>552</v>
      </c>
      <c r="C98" s="2" t="s">
        <v>637</v>
      </c>
      <c r="D98" s="2" t="s">
        <v>554</v>
      </c>
      <c r="E98" s="2">
        <v>5</v>
      </c>
      <c r="F98" s="1" t="str">
        <f>VLOOKUP(H98,'RM Used'!A:B,2,0)</f>
        <v>3288CS</v>
      </c>
      <c r="G98" s="1" t="str">
        <f>IFERROR(VLOOKUP(F98,'RM Cost'!A:B,2,0),"")</f>
        <v>RM - TURNIPS X5KG</v>
      </c>
      <c r="H98" s="2" t="s">
        <v>1375</v>
      </c>
      <c r="I98" s="1" t="str">
        <f>VLOOKUP(F98,'RM Used'!B:D,3,0)</f>
        <v>RM-FOOD</v>
      </c>
      <c r="J98" s="66">
        <v>0.2</v>
      </c>
      <c r="K98" s="35">
        <f t="shared" si="21"/>
        <v>1</v>
      </c>
      <c r="L98" s="35">
        <f t="shared" si="22"/>
        <v>1</v>
      </c>
      <c r="M98" s="77" cm="1">
        <f t="array" ref="M98">_xlfn.IFS(BOM!I98="RM-PACKING","100%",B98="Reynolds",VLOOKUP(H98,'Yield &amp; Time'!A:V,22,0),BOM!B98="Dnata",VLOOKUP(BOM!H98,'Yield &amp; Time'!A:M,13,0),B98="NK",VLOOKUP(H98,'Yield &amp; Time'!A:X,24,0))</f>
        <v>0.85333333333333339</v>
      </c>
      <c r="N98" s="35">
        <f t="shared" si="40"/>
        <v>1.171875</v>
      </c>
      <c r="O98" s="1" t="str">
        <f>VLOOKUP(H98,'RM Used'!A:E,5,0)</f>
        <v>KG</v>
      </c>
      <c r="P98" s="11">
        <f>VLOOKUP(H98,'RM Used'!A:F,6,0)</f>
        <v>0.68</v>
      </c>
      <c r="Q98" s="11">
        <f t="shared" si="31"/>
        <v>0.79687500000000011</v>
      </c>
      <c r="R98" s="11">
        <f>IFERROR(IF(B98="Reynolds",VLOOKUP(H98,'Yield &amp; Time'!A:U,21,0),VLOOKUP(H98,'Yield &amp; Time'!A:L,12,0)),0)</f>
        <v>1.171875</v>
      </c>
      <c r="S98" s="11">
        <f t="shared" si="23"/>
        <v>0.39667968749999999</v>
      </c>
      <c r="T98" s="11">
        <f t="shared" si="24"/>
        <v>1.953125E-2</v>
      </c>
      <c r="U98" s="11">
        <f>IF(A97=A98,0,VLOOKUP(A98,'Packing Time'!A:F,6,0))</f>
        <v>0</v>
      </c>
      <c r="V98" s="11">
        <f t="shared" si="32"/>
        <v>0</v>
      </c>
      <c r="W98" s="11">
        <f t="shared" si="33"/>
        <v>0</v>
      </c>
      <c r="X98" s="11">
        <f t="shared" si="25"/>
        <v>0.495849609375</v>
      </c>
      <c r="Y98" s="11">
        <f t="shared" si="34"/>
        <v>0.495849609375</v>
      </c>
      <c r="Z98" s="37">
        <v>1</v>
      </c>
      <c r="AA98" s="36">
        <f t="shared" si="26"/>
        <v>1.171875</v>
      </c>
      <c r="AB98" s="36">
        <f t="shared" si="27"/>
        <v>0.79687500000000011</v>
      </c>
      <c r="AC98" s="11">
        <f t="shared" si="28"/>
        <v>2.44140625E-2</v>
      </c>
      <c r="AD98" s="36">
        <f t="shared" si="35"/>
        <v>0.49584960937499994</v>
      </c>
      <c r="AE98" s="36"/>
      <c r="AF98" s="36">
        <f>IFERROR(VLOOKUP(AE98,'Chemical Cost'!A:D,4,0),0)</f>
        <v>0</v>
      </c>
      <c r="AG98" s="114">
        <f t="shared" si="29"/>
        <v>0</v>
      </c>
      <c r="AH98" s="36">
        <f t="shared" si="36"/>
        <v>0</v>
      </c>
      <c r="AI98" s="36">
        <f t="shared" si="37"/>
        <v>1.292724609375</v>
      </c>
      <c r="AJ98" s="36">
        <f>IFERROR(VLOOKUP(A98,'All Products'!A:F,6,0),0)</f>
        <v>16.57</v>
      </c>
      <c r="AK98" s="36">
        <f>AJ98*Z98*J98</f>
        <v>3.3140000000000001</v>
      </c>
      <c r="AL98" s="23">
        <v>1</v>
      </c>
      <c r="AM98" s="23"/>
      <c r="AN98" s="54" t="e">
        <v>#N/A</v>
      </c>
      <c r="AO98" s="47"/>
      <c r="AP98" s="4">
        <v>1.25</v>
      </c>
      <c r="AQ98" s="111">
        <f t="shared" si="30"/>
        <v>2.44140625E-2</v>
      </c>
      <c r="AR98">
        <f>_xlfn.XLOOKUP(F98,'RM Cost'!A:A,'RM Cost'!S:S)</f>
        <v>0</v>
      </c>
      <c r="AS98" t="str">
        <f>_xlfn.XLOOKUP(A98,[3]Sheet1!$B:$B,[3]Sheet1!$B:$B)</f>
        <v>1477CS</v>
      </c>
      <c r="AT98">
        <f>_xlfn.XLOOKUP(H98,'Yield &amp; Time'!A:A,'Yield &amp; Time'!F:F)</f>
        <v>0</v>
      </c>
    </row>
    <row r="99" spans="1:46" x14ac:dyDescent="0.25">
      <c r="A99" s="2" t="s">
        <v>440</v>
      </c>
      <c r="B99" s="2" t="s">
        <v>552</v>
      </c>
      <c r="C99" s="2" t="s">
        <v>637</v>
      </c>
      <c r="D99" s="2" t="s">
        <v>554</v>
      </c>
      <c r="E99" s="2">
        <v>5</v>
      </c>
      <c r="F99" s="1" t="str">
        <f>VLOOKUP(H99,'RM Used'!A:B,2,0)</f>
        <v>3191CS</v>
      </c>
      <c r="G99" s="1" t="str">
        <f>IFERROR(VLOOKUP(F99,'RM Cost'!A:B,2,0),"")</f>
        <v>RM - PARSNIPS 10KG</v>
      </c>
      <c r="H99" s="2" t="s">
        <v>1376</v>
      </c>
      <c r="I99" s="1" t="str">
        <f>VLOOKUP(F99,'RM Used'!B:D,3,0)</f>
        <v>RM-FOOD</v>
      </c>
      <c r="J99" s="66">
        <v>0.2</v>
      </c>
      <c r="K99" s="35">
        <f t="shared" si="21"/>
        <v>1</v>
      </c>
      <c r="L99" s="35">
        <f t="shared" si="22"/>
        <v>1</v>
      </c>
      <c r="M99" s="77" cm="1">
        <f t="array" ref="M99">_xlfn.IFS(BOM!I99="RM-PACKING","100%",B99="Reynolds",VLOOKUP(H99,'Yield &amp; Time'!A:V,22,0),BOM!B99="Dnata",VLOOKUP(BOM!H99,'Yield &amp; Time'!A:M,13,0),B99="NK",VLOOKUP(H99,'Yield &amp; Time'!A:X,24,0))</f>
        <v>0.56310679611650483</v>
      </c>
      <c r="N99" s="35">
        <f t="shared" si="40"/>
        <v>1.7758620689655173</v>
      </c>
      <c r="O99" s="1" t="str">
        <f>VLOOKUP(H99,'RM Used'!A:E,5,0)</f>
        <v>KG</v>
      </c>
      <c r="P99" s="11">
        <f>VLOOKUP(H99,'RM Used'!A:F,6,0)</f>
        <v>0.76</v>
      </c>
      <c r="Q99" s="11">
        <f t="shared" si="31"/>
        <v>1.3496551724137933</v>
      </c>
      <c r="R99" s="11">
        <f>IFERROR(IF(B99="Reynolds",VLOOKUP(H99,'Yield &amp; Time'!A:U,21,0),VLOOKUP(H99,'Yield &amp; Time'!A:L,12,0)),0)</f>
        <v>7.63448275862069</v>
      </c>
      <c r="S99" s="11">
        <f t="shared" si="23"/>
        <v>2.5842724137931037</v>
      </c>
      <c r="T99" s="11">
        <f t="shared" si="24"/>
        <v>0.12724137931034485</v>
      </c>
      <c r="U99" s="11">
        <f>IF(A98=A99,0,VLOOKUP(A99,'Packing Time'!A:F,6,0))</f>
        <v>0</v>
      </c>
      <c r="V99" s="11">
        <f t="shared" si="32"/>
        <v>0</v>
      </c>
      <c r="W99" s="11">
        <f t="shared" si="33"/>
        <v>0</v>
      </c>
      <c r="X99" s="11">
        <f t="shared" si="25"/>
        <v>3.2303405172413795</v>
      </c>
      <c r="Y99" s="11">
        <f t="shared" si="34"/>
        <v>3.2303405172413795</v>
      </c>
      <c r="Z99" s="37">
        <v>1</v>
      </c>
      <c r="AA99" s="36">
        <f t="shared" si="26"/>
        <v>1.7758620689655173</v>
      </c>
      <c r="AB99" s="36">
        <f t="shared" si="27"/>
        <v>1.3496551724137933</v>
      </c>
      <c r="AC99" s="11">
        <f t="shared" si="28"/>
        <v>0.15905172413793106</v>
      </c>
      <c r="AD99" s="36">
        <f t="shared" si="35"/>
        <v>3.2303405172413795</v>
      </c>
      <c r="AE99" s="36" t="str">
        <f>VLOOKUP(H99,'Yield &amp; Time'!A:R,18,0)</f>
        <v>SODIUM METABISULPHITE</v>
      </c>
      <c r="AF99" s="36">
        <f>IFERROR(VLOOKUP(AE99,'Chemical Cost'!A:D,4,0),0)</f>
        <v>9.7586225455882462E-3</v>
      </c>
      <c r="AG99" s="114">
        <f t="shared" si="29"/>
        <v>5.776655874687296E-3</v>
      </c>
      <c r="AH99" s="36">
        <f t="shared" si="36"/>
        <v>5.776655874687296E-3</v>
      </c>
      <c r="AI99" s="36">
        <f t="shared" si="37"/>
        <v>4.5857723455298594</v>
      </c>
      <c r="AJ99" s="36">
        <f>IFERROR(VLOOKUP(A99,'All Products'!A:F,6,0),0)</f>
        <v>16.57</v>
      </c>
      <c r="AK99" s="36">
        <f>AJ99*Z99*J99</f>
        <v>3.3140000000000001</v>
      </c>
      <c r="AL99" s="23">
        <v>1</v>
      </c>
      <c r="AM99" s="23"/>
      <c r="AN99" s="54" t="e">
        <v>#N/A</v>
      </c>
      <c r="AO99" s="47"/>
      <c r="AP99" s="4">
        <v>1.25</v>
      </c>
      <c r="AQ99" s="111">
        <f t="shared" si="30"/>
        <v>0.15905172413793106</v>
      </c>
      <c r="AR99">
        <f>_xlfn.XLOOKUP(F99,'RM Cost'!A:A,'RM Cost'!S:S)</f>
        <v>0</v>
      </c>
      <c r="AS99" t="str">
        <f>_xlfn.XLOOKUP(A99,[3]Sheet1!$B:$B,[3]Sheet1!$B:$B)</f>
        <v>1477CS</v>
      </c>
      <c r="AT99">
        <f>_xlfn.XLOOKUP(H99,'Yield &amp; Time'!A:A,'Yield &amp; Time'!F:F)</f>
        <v>0</v>
      </c>
    </row>
    <row r="100" spans="1:46" x14ac:dyDescent="0.25">
      <c r="A100" s="2" t="s">
        <v>440</v>
      </c>
      <c r="B100" s="2" t="s">
        <v>552</v>
      </c>
      <c r="C100" s="2" t="s">
        <v>637</v>
      </c>
      <c r="D100" s="2" t="s">
        <v>554</v>
      </c>
      <c r="E100" s="2">
        <v>5</v>
      </c>
      <c r="F100" s="1" t="str">
        <f>VLOOKUP(H100,'RM Used'!A:B,2,0)</f>
        <v>P0008</v>
      </c>
      <c r="G100" s="1" t="str">
        <f>IFERROR(VLOOKUP(F100,'RM Cost'!A:B,2,0),"")</f>
        <v>PALE BLUE BAG 470X750MM</v>
      </c>
      <c r="H100" s="2" t="s">
        <v>1323</v>
      </c>
      <c r="I100" s="1" t="str">
        <f>VLOOKUP(F100,'RM Used'!B:D,3,0)</f>
        <v>RM-PACKING</v>
      </c>
      <c r="J100" s="66">
        <v>1</v>
      </c>
      <c r="K100" s="35" t="str">
        <f t="shared" si="21"/>
        <v/>
      </c>
      <c r="L100" s="35">
        <f t="shared" si="22"/>
        <v>0</v>
      </c>
      <c r="M100" s="77" t="str" cm="1">
        <f t="array" ref="M100">_xlfn.IFS(BOM!I100="RM-PACKING","100%",B100="Reynolds",VLOOKUP(H100,'Yield &amp; Time'!A:V,22,0),BOM!B100="Dnata",VLOOKUP(BOM!H100,'Yield &amp; Time'!A:M,13,0),B100="NK",VLOOKUP(H100,'Yield &amp; Time'!A:X,24,0))</f>
        <v>100%</v>
      </c>
      <c r="N100" s="35">
        <f t="shared" si="40"/>
        <v>1</v>
      </c>
      <c r="O100" s="1" t="str">
        <f>VLOOKUP(H100,'RM Used'!A:E,5,0)</f>
        <v>Count</v>
      </c>
      <c r="P100" s="11">
        <f>VLOOKUP(H100,'RM Used'!A:F,6,0)</f>
        <v>0.14000000000000001</v>
      </c>
      <c r="Q100" s="11">
        <f t="shared" si="31"/>
        <v>0.14000000000000001</v>
      </c>
      <c r="R100" s="11">
        <f>IFERROR(IF(B100="Reynolds",VLOOKUP(H100,'Yield &amp; Time'!A:U,21,0),VLOOKUP(H100,'Yield &amp; Time'!A:L,12,0)),0)</f>
        <v>0</v>
      </c>
      <c r="S100" s="11">
        <f t="shared" si="23"/>
        <v>0</v>
      </c>
      <c r="T100" s="11">
        <f t="shared" si="24"/>
        <v>0</v>
      </c>
      <c r="U100" s="11">
        <f>IF(A99=A100,0,VLOOKUP(A100,'Packing Time'!A:F,6,0))</f>
        <v>0</v>
      </c>
      <c r="V100" s="11">
        <f t="shared" si="32"/>
        <v>0</v>
      </c>
      <c r="W100" s="11">
        <f t="shared" si="33"/>
        <v>0</v>
      </c>
      <c r="X100" s="11">
        <f t="shared" si="25"/>
        <v>0</v>
      </c>
      <c r="Y100" s="11">
        <f t="shared" si="34"/>
        <v>0</v>
      </c>
      <c r="Z100" s="37">
        <v>1</v>
      </c>
      <c r="AA100" s="36">
        <f t="shared" si="26"/>
        <v>1</v>
      </c>
      <c r="AB100" s="36">
        <f t="shared" si="27"/>
        <v>0.14000000000000001</v>
      </c>
      <c r="AC100" s="11">
        <f t="shared" si="28"/>
        <v>0</v>
      </c>
      <c r="AD100" s="36">
        <f t="shared" si="35"/>
        <v>0</v>
      </c>
      <c r="AE100" s="36"/>
      <c r="AF100" s="36">
        <f>IFERROR(VLOOKUP(AE100,'Chemical Cost'!A:D,4,0),0)</f>
        <v>0</v>
      </c>
      <c r="AG100" s="114">
        <f t="shared" si="29"/>
        <v>0</v>
      </c>
      <c r="AH100" s="36">
        <f t="shared" si="36"/>
        <v>0</v>
      </c>
      <c r="AI100" s="36">
        <f t="shared" si="37"/>
        <v>0.14000000000000001</v>
      </c>
      <c r="AJ100" s="36">
        <f>IFERROR(VLOOKUP(A100,'All Products'!A:F,6,0),0)</f>
        <v>16.57</v>
      </c>
      <c r="AK100" s="36"/>
      <c r="AL100" s="23">
        <v>1</v>
      </c>
      <c r="AM100" s="23"/>
      <c r="AN100" s="54" t="e">
        <v>#N/A</v>
      </c>
      <c r="AO100" s="47"/>
      <c r="AP100" s="4">
        <v>1.25</v>
      </c>
      <c r="AQ100" s="111">
        <f t="shared" si="30"/>
        <v>0</v>
      </c>
      <c r="AR100">
        <f>_xlfn.XLOOKUP(F100,'RM Cost'!A:A,'RM Cost'!S:S)</f>
        <v>0</v>
      </c>
      <c r="AS100" t="str">
        <f>_xlfn.XLOOKUP(A100,[3]Sheet1!$B:$B,[3]Sheet1!$B:$B)</f>
        <v>1477CS</v>
      </c>
      <c r="AT100" t="e">
        <f>_xlfn.XLOOKUP(H100,'Yield &amp; Time'!A:A,'Yield &amp; Time'!F:F)</f>
        <v>#N/A</v>
      </c>
    </row>
    <row r="101" spans="1:46" x14ac:dyDescent="0.25">
      <c r="A101" s="2" t="s">
        <v>440</v>
      </c>
      <c r="B101" s="2" t="s">
        <v>552</v>
      </c>
      <c r="C101" s="2" t="s">
        <v>637</v>
      </c>
      <c r="D101" s="2" t="s">
        <v>554</v>
      </c>
      <c r="E101" s="2">
        <v>5</v>
      </c>
      <c r="F101" s="1" t="str">
        <f>VLOOKUP(H101,'RM Used'!A:B,2,0)</f>
        <v>P0016</v>
      </c>
      <c r="G101" s="1" t="str">
        <f>IFERROR(VLOOKUP(F101,'RM Cost'!A:B,2,0),"")</f>
        <v>REY 40 30 BOX</v>
      </c>
      <c r="H101" s="2" t="s">
        <v>1332</v>
      </c>
      <c r="I101" s="1" t="str">
        <f>VLOOKUP(F101,'RM Used'!B:D,3,0)</f>
        <v>RM-PACKING</v>
      </c>
      <c r="J101" s="66">
        <v>1</v>
      </c>
      <c r="K101" s="35" t="str">
        <f t="shared" si="21"/>
        <v/>
      </c>
      <c r="L101" s="35">
        <f t="shared" si="22"/>
        <v>0</v>
      </c>
      <c r="M101" s="77" t="str" cm="1">
        <f t="array" ref="M101">_xlfn.IFS(BOM!I101="RM-PACKING","100%",B101="Reynolds",VLOOKUP(H101,'Yield &amp; Time'!A:V,22,0),BOM!B101="Dnata",VLOOKUP(BOM!H101,'Yield &amp; Time'!A:M,13,0),B101="NK",VLOOKUP(H101,'Yield &amp; Time'!A:X,24,0))</f>
        <v>100%</v>
      </c>
      <c r="N101" s="35">
        <f t="shared" si="40"/>
        <v>1</v>
      </c>
      <c r="O101" s="1" t="str">
        <f>VLOOKUP(H101,'RM Used'!A:E,5,0)</f>
        <v>Count</v>
      </c>
      <c r="P101" s="11">
        <f>VLOOKUP(H101,'RM Used'!A:F,6,0)</f>
        <v>0.28000000000000003</v>
      </c>
      <c r="Q101" s="11">
        <f t="shared" si="31"/>
        <v>0.28000000000000003</v>
      </c>
      <c r="R101" s="11">
        <f>IFERROR(IF(B101="Reynolds",VLOOKUP(H101,'Yield &amp; Time'!A:U,21,0),VLOOKUP(H101,'Yield &amp; Time'!A:L,12,0)),0)</f>
        <v>0</v>
      </c>
      <c r="S101" s="11">
        <f t="shared" si="23"/>
        <v>0</v>
      </c>
      <c r="T101" s="11">
        <f t="shared" si="24"/>
        <v>0</v>
      </c>
      <c r="U101" s="11">
        <f>IF(A100=A101,0,VLOOKUP(A101,'Packing Time'!A:F,6,0))</f>
        <v>0</v>
      </c>
      <c r="V101" s="11">
        <f t="shared" si="32"/>
        <v>0</v>
      </c>
      <c r="W101" s="11">
        <f t="shared" si="33"/>
        <v>0</v>
      </c>
      <c r="X101" s="11">
        <f t="shared" si="25"/>
        <v>0</v>
      </c>
      <c r="Y101" s="11">
        <f t="shared" si="34"/>
        <v>0</v>
      </c>
      <c r="Z101" s="37">
        <v>1</v>
      </c>
      <c r="AA101" s="36">
        <f t="shared" si="26"/>
        <v>1</v>
      </c>
      <c r="AB101" s="36">
        <f t="shared" si="27"/>
        <v>0.28000000000000003</v>
      </c>
      <c r="AC101" s="11">
        <f t="shared" si="28"/>
        <v>0</v>
      </c>
      <c r="AD101" s="36">
        <f t="shared" si="35"/>
        <v>0</v>
      </c>
      <c r="AE101" s="36"/>
      <c r="AF101" s="36">
        <f>IFERROR(VLOOKUP(AE101,'Chemical Cost'!A:D,4,0),0)</f>
        <v>0</v>
      </c>
      <c r="AG101" s="114">
        <f t="shared" si="29"/>
        <v>0</v>
      </c>
      <c r="AH101" s="36">
        <f t="shared" si="36"/>
        <v>0</v>
      </c>
      <c r="AI101" s="36">
        <f t="shared" si="37"/>
        <v>0.28000000000000003</v>
      </c>
      <c r="AJ101" s="36">
        <f>IFERROR(VLOOKUP(A101,'All Products'!A:F,6,0),0)</f>
        <v>16.57</v>
      </c>
      <c r="AK101" s="36"/>
      <c r="AL101" s="23">
        <v>1</v>
      </c>
      <c r="AM101" s="23"/>
      <c r="AN101" s="54" t="e">
        <v>#N/A</v>
      </c>
      <c r="AO101" s="47"/>
      <c r="AP101" s="4">
        <v>1.25</v>
      </c>
      <c r="AQ101" s="111">
        <f t="shared" si="30"/>
        <v>0</v>
      </c>
      <c r="AR101">
        <f>_xlfn.XLOOKUP(F101,'RM Cost'!A:A,'RM Cost'!S:S)</f>
        <v>0</v>
      </c>
      <c r="AS101" t="str">
        <f>_xlfn.XLOOKUP(A101,[3]Sheet1!$B:$B,[3]Sheet1!$B:$B)</f>
        <v>1477CS</v>
      </c>
      <c r="AT101" t="e">
        <f>_xlfn.XLOOKUP(H101,'Yield &amp; Time'!A:A,'Yield &amp; Time'!F:F)</f>
        <v>#N/A</v>
      </c>
    </row>
    <row r="102" spans="1:46" x14ac:dyDescent="0.25">
      <c r="A102" s="2" t="s">
        <v>638</v>
      </c>
      <c r="B102" s="2" t="s">
        <v>552</v>
      </c>
      <c r="C102" s="2" t="s">
        <v>639</v>
      </c>
      <c r="D102" s="2" t="s">
        <v>554</v>
      </c>
      <c r="E102" s="2">
        <v>1</v>
      </c>
      <c r="F102" s="1" t="str">
        <f>VLOOKUP(H102,'RM Used'!A:B,2,0)</f>
        <v>S3997CS</v>
      </c>
      <c r="G102" s="1" t="str">
        <f>IFERROR(VLOOKUP(F102,'RM Cost'!A:B,2,0),"")</f>
        <v>RM - DECORE WHITE CABBAGE 1/3 1200KG</v>
      </c>
      <c r="H102" s="2" t="s">
        <v>1350</v>
      </c>
      <c r="I102" s="1" t="str">
        <f>VLOOKUP(F102,'RM Used'!B:D,3,0)</f>
        <v>RM-FOOD</v>
      </c>
      <c r="J102" s="66">
        <v>0.7</v>
      </c>
      <c r="K102" s="35">
        <f t="shared" si="21"/>
        <v>0.7</v>
      </c>
      <c r="L102" s="35">
        <f t="shared" si="22"/>
        <v>0.7</v>
      </c>
      <c r="M102" s="77" cm="1">
        <f t="array" ref="M102">_xlfn.IFS(BOM!I102="RM-PACKING","100%",B102="Reynolds",VLOOKUP(H102,'Yield &amp; Time'!A:V,22,0),BOM!B102="Dnata",VLOOKUP(BOM!H102,'Yield &amp; Time'!A:M,13,0),B102="NK",VLOOKUP(H102,'Yield &amp; Time'!A:X,24,0))</f>
        <v>0.77222322232223217</v>
      </c>
      <c r="N102" s="35">
        <f t="shared" si="40"/>
        <v>0.90647364617572324</v>
      </c>
      <c r="O102" s="1" t="str">
        <f>VLOOKUP(H102,'RM Used'!A:E,5,0)</f>
        <v>KG</v>
      </c>
      <c r="P102" s="11">
        <f>VLOOKUP(H102,'RM Used'!A:F,6,0)</f>
        <v>0.34</v>
      </c>
      <c r="Q102" s="11">
        <f t="shared" si="31"/>
        <v>0.30820103969974594</v>
      </c>
      <c r="R102" s="11">
        <f>IFERROR(IF(B102="Reynolds",VLOOKUP(H102,'Yield &amp; Time'!A:U,21,0),VLOOKUP(H102,'Yield &amp; Time'!A:L,12,0)),0)</f>
        <v>0.82773480662983423</v>
      </c>
      <c r="S102" s="11">
        <f t="shared" si="23"/>
        <v>0.19613176243093919</v>
      </c>
      <c r="T102" s="11">
        <f t="shared" si="24"/>
        <v>9.6569060773480653E-3</v>
      </c>
      <c r="U102" s="11">
        <f>IF(A101=A102,0,VLOOKUP(A102,'Packing Time'!A:F,6,0))</f>
        <v>0.64500000000000002</v>
      </c>
      <c r="V102" s="11">
        <f t="shared" si="32"/>
        <v>0.21833249999999998</v>
      </c>
      <c r="W102" s="11">
        <f t="shared" si="33"/>
        <v>1.0750000000000001E-2</v>
      </c>
      <c r="X102" s="11">
        <f t="shared" si="25"/>
        <v>0.66314281988950274</v>
      </c>
      <c r="Y102" s="11">
        <f t="shared" si="34"/>
        <v>0.66314281988950274</v>
      </c>
      <c r="Z102" s="37">
        <v>1</v>
      </c>
      <c r="AA102" s="36">
        <f t="shared" si="26"/>
        <v>0.90647364617572324</v>
      </c>
      <c r="AB102" s="36">
        <f t="shared" si="27"/>
        <v>0.30820103969974594</v>
      </c>
      <c r="AC102" s="11">
        <f t="shared" si="28"/>
        <v>3.265104972375691E-2</v>
      </c>
      <c r="AD102" s="36">
        <f t="shared" si="35"/>
        <v>0.66314281988950274</v>
      </c>
      <c r="AE102" s="36" t="str">
        <f>VLOOKUP(H102,'Yield &amp; Time'!A:R,18,0)</f>
        <v>CHLORINE</v>
      </c>
      <c r="AF102" s="36">
        <f>IFERROR(VLOOKUP(AE102,'Chemical Cost'!A:D,4,0),0)</f>
        <v>2.7756518066439469E-2</v>
      </c>
      <c r="AG102" s="114">
        <f t="shared" si="29"/>
        <v>8.3868507122759079E-3</v>
      </c>
      <c r="AH102" s="36">
        <f t="shared" si="36"/>
        <v>8.3868507122759079E-3</v>
      </c>
      <c r="AI102" s="36">
        <f t="shared" si="37"/>
        <v>0.9797307103015247</v>
      </c>
      <c r="AJ102" s="36">
        <f>IFERROR(VLOOKUP(A102,'All Products'!A:F,6,0),0)</f>
        <v>1.76</v>
      </c>
      <c r="AK102" s="36">
        <f>AJ102*Z102*J102</f>
        <v>1.232</v>
      </c>
      <c r="AL102" s="23">
        <v>0.8</v>
      </c>
      <c r="AM102" s="23">
        <v>0.2</v>
      </c>
      <c r="AN102" s="54" t="e">
        <v>#N/A</v>
      </c>
      <c r="AO102" s="47"/>
      <c r="AP102" s="4">
        <v>1.6</v>
      </c>
      <c r="AQ102" s="111">
        <f t="shared" si="30"/>
        <v>3.265104972375691E-2</v>
      </c>
      <c r="AR102">
        <f>_xlfn.XLOOKUP(F102,'RM Cost'!A:A,'RM Cost'!S:S)</f>
        <v>0.29914853989077506</v>
      </c>
      <c r="AS102" t="e">
        <f>_xlfn.XLOOKUP(A102,[3]Sheet1!$B:$B,[3]Sheet1!$B:$B)</f>
        <v>#N/A</v>
      </c>
    </row>
    <row r="103" spans="1:46" x14ac:dyDescent="0.25">
      <c r="A103" s="2" t="s">
        <v>638</v>
      </c>
      <c r="B103" s="2" t="s">
        <v>552</v>
      </c>
      <c r="C103" s="2" t="s">
        <v>639</v>
      </c>
      <c r="D103" s="2" t="s">
        <v>554</v>
      </c>
      <c r="E103" s="2">
        <v>1</v>
      </c>
      <c r="F103" s="1" t="str">
        <f>VLOOKUP(H103,'RM Used'!A:B,2,0)</f>
        <v>032ACS</v>
      </c>
      <c r="G103" s="1" t="str">
        <f>IFERROR(VLOOKUP(F103,'RM Cost'!A:B,2,0),"")</f>
        <v>RM - LRG PROCESSING CARROT X 1000KG</v>
      </c>
      <c r="H103" s="2" t="s">
        <v>1351</v>
      </c>
      <c r="I103" s="1" t="str">
        <f>VLOOKUP(F103,'RM Used'!B:D,3,0)</f>
        <v>RM-FOOD</v>
      </c>
      <c r="J103" s="66">
        <v>0.3</v>
      </c>
      <c r="K103" s="35">
        <f t="shared" si="21"/>
        <v>0.3</v>
      </c>
      <c r="L103" s="35">
        <f t="shared" si="22"/>
        <v>0.3</v>
      </c>
      <c r="M103" s="77" cm="1">
        <f t="array" ref="M103">_xlfn.IFS(BOM!I103="RM-PACKING","100%",B103="Reynolds",VLOOKUP(H103,'Yield &amp; Time'!A:V,22,0),BOM!B103="Dnata",VLOOKUP(BOM!H103,'Yield &amp; Time'!A:M,13,0),B103="NK",VLOOKUP(H103,'Yield &amp; Time'!A:X,24,0))</f>
        <v>0.75330000000000008</v>
      </c>
      <c r="N103" s="35">
        <f t="shared" si="40"/>
        <v>0.39824771007566701</v>
      </c>
      <c r="O103" s="1" t="str">
        <f>VLOOKUP(H103,'RM Used'!A:E,5,0)</f>
        <v>KG</v>
      </c>
      <c r="P103" s="11">
        <f>VLOOKUP(H103,'RM Used'!A:F,6,0)</f>
        <v>0.38</v>
      </c>
      <c r="Q103" s="11">
        <f t="shared" si="31"/>
        <v>0.15133412982875347</v>
      </c>
      <c r="R103" s="11">
        <f>IFERROR(IF(B103="Reynolds",VLOOKUP(H103,'Yield &amp; Time'!A:U,21,0),VLOOKUP(H103,'Yield &amp; Time'!A:L,12,0)),0)</f>
        <v>0.90531914893617027</v>
      </c>
      <c r="S103" s="11">
        <f t="shared" si="23"/>
        <v>9.1935159574468073E-2</v>
      </c>
      <c r="T103" s="11">
        <f t="shared" si="24"/>
        <v>4.5265957446808513E-3</v>
      </c>
      <c r="U103" s="11">
        <f>IF(A102=A103,0,VLOOKUP(A103,'Packing Time'!A:F,6,0))</f>
        <v>0</v>
      </c>
      <c r="V103" s="11">
        <f t="shared" si="32"/>
        <v>0</v>
      </c>
      <c r="W103" s="11">
        <f t="shared" si="33"/>
        <v>0</v>
      </c>
      <c r="X103" s="11">
        <f t="shared" si="25"/>
        <v>0.14709625531914891</v>
      </c>
      <c r="Y103" s="11">
        <f t="shared" si="34"/>
        <v>0.14709625531914891</v>
      </c>
      <c r="Z103" s="37">
        <v>1</v>
      </c>
      <c r="AA103" s="36">
        <f t="shared" si="26"/>
        <v>0.39824771007566701</v>
      </c>
      <c r="AB103" s="36">
        <f t="shared" si="27"/>
        <v>0.15133412982875347</v>
      </c>
      <c r="AC103" s="11">
        <f t="shared" si="28"/>
        <v>7.2425531914893622E-3</v>
      </c>
      <c r="AD103" s="36">
        <f t="shared" si="35"/>
        <v>0.14709625531914894</v>
      </c>
      <c r="AE103" s="36" t="str">
        <f>VLOOKUP(H103,'Yield &amp; Time'!A:R,18,0)</f>
        <v>CHLORINE</v>
      </c>
      <c r="AF103" s="36">
        <f>IFERROR(VLOOKUP(AE103,'Chemical Cost'!A:D,4,0),0)</f>
        <v>2.7756518066439469E-2</v>
      </c>
      <c r="AG103" s="114">
        <f t="shared" si="29"/>
        <v>3.6846565865444668E-3</v>
      </c>
      <c r="AH103" s="36">
        <f t="shared" si="36"/>
        <v>3.6846565865444668E-3</v>
      </c>
      <c r="AI103" s="36">
        <f t="shared" si="37"/>
        <v>0.30211504173444687</v>
      </c>
      <c r="AJ103" s="36">
        <f>IFERROR(VLOOKUP(A103,'All Products'!A:F,6,0),0)</f>
        <v>1.76</v>
      </c>
      <c r="AK103" s="36">
        <f>AJ103*Z103*J103</f>
        <v>0.52800000000000002</v>
      </c>
      <c r="AL103" s="23">
        <v>0.8</v>
      </c>
      <c r="AM103" s="23">
        <v>0.2</v>
      </c>
      <c r="AN103" s="54" t="e">
        <v>#N/A</v>
      </c>
      <c r="AO103" s="47"/>
      <c r="AP103" s="4">
        <v>1.6</v>
      </c>
      <c r="AQ103" s="111">
        <f t="shared" si="30"/>
        <v>7.2425531914893622E-3</v>
      </c>
      <c r="AR103">
        <f>_xlfn.XLOOKUP(F103,'RM Cost'!A:A,'RM Cost'!S:S)</f>
        <v>0</v>
      </c>
      <c r="AS103" t="e">
        <f>_xlfn.XLOOKUP(A103,[3]Sheet1!$B:$B,[3]Sheet1!$B:$B)</f>
        <v>#N/A</v>
      </c>
    </row>
    <row r="104" spans="1:46" x14ac:dyDescent="0.25">
      <c r="A104" s="2" t="s">
        <v>638</v>
      </c>
      <c r="B104" s="2" t="s">
        <v>552</v>
      </c>
      <c r="C104" s="2" t="s">
        <v>639</v>
      </c>
      <c r="D104" s="2" t="s">
        <v>554</v>
      </c>
      <c r="E104" s="2">
        <v>1</v>
      </c>
      <c r="F104" s="1" t="str">
        <f>VLOOKUP(H104,'RM Used'!A:B,2,0)</f>
        <v>P0020</v>
      </c>
      <c r="G104" s="1" t="str">
        <f>IFERROR(VLOOKUP(F104,'RM Cost'!A:B,2,0),"")</f>
        <v>PALE BLUE BAG 430X430MM</v>
      </c>
      <c r="H104" s="2" t="s">
        <v>1659</v>
      </c>
      <c r="I104" s="1" t="str">
        <f>VLOOKUP(F104,'RM Used'!B:D,3,0)</f>
        <v>RM-PACKING</v>
      </c>
      <c r="J104" s="66">
        <v>1</v>
      </c>
      <c r="K104" s="35" t="str">
        <f t="shared" si="21"/>
        <v/>
      </c>
      <c r="L104" s="35">
        <f t="shared" si="22"/>
        <v>0</v>
      </c>
      <c r="M104" s="77" t="str" cm="1">
        <f t="array" ref="M104">_xlfn.IFS(BOM!I104="RM-PACKING","100%",B104="Reynolds",VLOOKUP(H104,'Yield &amp; Time'!A:V,22,0),BOM!B104="Dnata",VLOOKUP(BOM!H104,'Yield &amp; Time'!A:M,13,0),B104="NK",VLOOKUP(H104,'Yield &amp; Time'!A:X,24,0))</f>
        <v>100%</v>
      </c>
      <c r="N104" s="35">
        <f t="shared" si="40"/>
        <v>1</v>
      </c>
      <c r="O104" s="1" t="str">
        <f>VLOOKUP(H104,'RM Used'!A:E,5,0)</f>
        <v>Count</v>
      </c>
      <c r="P104" s="11">
        <f>VLOOKUP(H104,'RM Used'!A:F,6,0)</f>
        <v>0.09</v>
      </c>
      <c r="Q104" s="11">
        <f t="shared" si="31"/>
        <v>0.09</v>
      </c>
      <c r="R104" s="11">
        <f>IFERROR(IF(B104="Reynolds",VLOOKUP(H104,'Yield &amp; Time'!A:U,21,0),VLOOKUP(H104,'Yield &amp; Time'!A:L,12,0)),0)</f>
        <v>0</v>
      </c>
      <c r="S104" s="11">
        <f t="shared" si="23"/>
        <v>0</v>
      </c>
      <c r="T104" s="11">
        <f t="shared" si="24"/>
        <v>0</v>
      </c>
      <c r="U104" s="11">
        <f>IF(A103=A104,0,VLOOKUP(A104,'Packing Time'!A:F,6,0))</f>
        <v>0</v>
      </c>
      <c r="V104" s="11">
        <f t="shared" si="32"/>
        <v>0</v>
      </c>
      <c r="W104" s="11">
        <f t="shared" si="33"/>
        <v>0</v>
      </c>
      <c r="X104" s="11">
        <f t="shared" si="25"/>
        <v>0</v>
      </c>
      <c r="Y104" s="11">
        <f t="shared" si="34"/>
        <v>0</v>
      </c>
      <c r="Z104" s="37">
        <v>1</v>
      </c>
      <c r="AA104" s="36">
        <f t="shared" si="26"/>
        <v>1</v>
      </c>
      <c r="AB104" s="36">
        <f t="shared" si="27"/>
        <v>0.09</v>
      </c>
      <c r="AC104" s="11">
        <f t="shared" si="28"/>
        <v>0</v>
      </c>
      <c r="AD104" s="36">
        <f t="shared" si="35"/>
        <v>0</v>
      </c>
      <c r="AE104" s="36"/>
      <c r="AF104" s="36">
        <f>IFERROR(VLOOKUP(AE104,'Chemical Cost'!A:D,4,0),0)</f>
        <v>0</v>
      </c>
      <c r="AG104" s="114">
        <f t="shared" si="29"/>
        <v>0</v>
      </c>
      <c r="AH104" s="36">
        <f t="shared" si="36"/>
        <v>0</v>
      </c>
      <c r="AI104" s="36">
        <f t="shared" si="37"/>
        <v>0.09</v>
      </c>
      <c r="AJ104" s="36">
        <f>IFERROR(VLOOKUP(A104,'All Products'!A:F,6,0),0)</f>
        <v>1.76</v>
      </c>
      <c r="AK104" s="36"/>
      <c r="AL104" s="23">
        <v>0.8</v>
      </c>
      <c r="AM104" s="23">
        <v>0.2</v>
      </c>
      <c r="AN104" s="54" t="e">
        <v>#N/A</v>
      </c>
      <c r="AO104" s="47"/>
      <c r="AP104" s="4">
        <v>1.6</v>
      </c>
      <c r="AQ104" s="111">
        <f t="shared" si="30"/>
        <v>0</v>
      </c>
      <c r="AR104">
        <f>_xlfn.XLOOKUP(F104,'RM Cost'!A:A,'RM Cost'!S:S)</f>
        <v>0</v>
      </c>
      <c r="AS104" t="e">
        <f>_xlfn.XLOOKUP(A104,[3]Sheet1!$B:$B,[3]Sheet1!$B:$B)</f>
        <v>#N/A</v>
      </c>
    </row>
    <row r="105" spans="1:46" x14ac:dyDescent="0.25">
      <c r="A105" s="2" t="s">
        <v>638</v>
      </c>
      <c r="B105" s="2" t="s">
        <v>552</v>
      </c>
      <c r="C105" s="2" t="s">
        <v>639</v>
      </c>
      <c r="D105" s="2" t="s">
        <v>554</v>
      </c>
      <c r="E105" s="2">
        <v>1</v>
      </c>
      <c r="F105" s="1" t="str">
        <f>VLOOKUP(H105,'RM Used'!A:B,2,0)</f>
        <v>P0016</v>
      </c>
      <c r="G105" s="1" t="str">
        <f>IFERROR(VLOOKUP(F105,'RM Cost'!A:B,2,0),"")</f>
        <v>REY 40 30 BOX</v>
      </c>
      <c r="H105" s="2" t="s">
        <v>1332</v>
      </c>
      <c r="I105" s="1" t="str">
        <f>VLOOKUP(F105,'RM Used'!B:D,3,0)</f>
        <v>RM-PACKING</v>
      </c>
      <c r="J105" s="66">
        <v>1</v>
      </c>
      <c r="K105" s="35" t="str">
        <f t="shared" si="21"/>
        <v/>
      </c>
      <c r="L105" s="35">
        <f t="shared" si="22"/>
        <v>0</v>
      </c>
      <c r="M105" s="77" t="str" cm="1">
        <f t="array" ref="M105">_xlfn.IFS(BOM!I105="RM-PACKING","100%",B105="Reynolds",VLOOKUP(H105,'Yield &amp; Time'!A:V,22,0),BOM!B105="Dnata",VLOOKUP(BOM!H105,'Yield &amp; Time'!A:M,13,0),B105="NK",VLOOKUP(H105,'Yield &amp; Time'!A:X,24,0))</f>
        <v>100%</v>
      </c>
      <c r="N105" s="35">
        <f t="shared" si="40"/>
        <v>1</v>
      </c>
      <c r="O105" s="1" t="str">
        <f>VLOOKUP(H105,'RM Used'!A:E,5,0)</f>
        <v>Count</v>
      </c>
      <c r="P105" s="11">
        <f>VLOOKUP(H105,'RM Used'!A:F,6,0)</f>
        <v>0.28000000000000003</v>
      </c>
      <c r="Q105" s="11">
        <f t="shared" si="31"/>
        <v>0.28000000000000003</v>
      </c>
      <c r="R105" s="11">
        <f>IFERROR(IF(B105="Reynolds",VLOOKUP(H105,'Yield &amp; Time'!A:U,21,0),VLOOKUP(H105,'Yield &amp; Time'!A:L,12,0)),0)</f>
        <v>0</v>
      </c>
      <c r="S105" s="11">
        <f t="shared" si="23"/>
        <v>0</v>
      </c>
      <c r="T105" s="11">
        <f t="shared" si="24"/>
        <v>0</v>
      </c>
      <c r="U105" s="11">
        <f>IF(A104=A105,0,VLOOKUP(A105,'Packing Time'!A:F,6,0))</f>
        <v>0</v>
      </c>
      <c r="V105" s="11">
        <f t="shared" si="32"/>
        <v>0</v>
      </c>
      <c r="W105" s="11">
        <f t="shared" si="33"/>
        <v>0</v>
      </c>
      <c r="X105" s="11">
        <f t="shared" si="25"/>
        <v>0</v>
      </c>
      <c r="Y105" s="11">
        <f t="shared" si="34"/>
        <v>0</v>
      </c>
      <c r="Z105" s="37">
        <v>1</v>
      </c>
      <c r="AA105" s="36">
        <f t="shared" si="26"/>
        <v>1</v>
      </c>
      <c r="AB105" s="36">
        <f t="shared" si="27"/>
        <v>0.28000000000000003</v>
      </c>
      <c r="AC105" s="11">
        <f t="shared" si="28"/>
        <v>0</v>
      </c>
      <c r="AD105" s="36">
        <f t="shared" si="35"/>
        <v>0</v>
      </c>
      <c r="AE105" s="36"/>
      <c r="AF105" s="36">
        <f>IFERROR(VLOOKUP(AE105,'Chemical Cost'!A:D,4,0),0)</f>
        <v>0</v>
      </c>
      <c r="AG105" s="114">
        <f t="shared" si="29"/>
        <v>0</v>
      </c>
      <c r="AH105" s="36">
        <f t="shared" si="36"/>
        <v>0</v>
      </c>
      <c r="AI105" s="36">
        <f t="shared" si="37"/>
        <v>0.28000000000000003</v>
      </c>
      <c r="AJ105" s="36">
        <f>IFERROR(VLOOKUP(A105,'All Products'!A:F,6,0),0)</f>
        <v>1.76</v>
      </c>
      <c r="AK105" s="36"/>
      <c r="AL105" s="23">
        <v>0.8</v>
      </c>
      <c r="AM105" s="23">
        <v>0.2</v>
      </c>
      <c r="AN105" s="54" t="e">
        <v>#N/A</v>
      </c>
      <c r="AO105" s="47"/>
      <c r="AP105" s="4">
        <v>1.6</v>
      </c>
      <c r="AQ105" s="111">
        <f t="shared" si="30"/>
        <v>0</v>
      </c>
      <c r="AR105">
        <f>_xlfn.XLOOKUP(F105,'RM Cost'!A:A,'RM Cost'!S:S)</f>
        <v>0</v>
      </c>
      <c r="AS105" t="e">
        <f>_xlfn.XLOOKUP(A105,[3]Sheet1!$B:$B,[3]Sheet1!$B:$B)</f>
        <v>#N/A</v>
      </c>
    </row>
    <row r="106" spans="1:46" x14ac:dyDescent="0.25">
      <c r="A106" s="2" t="s">
        <v>646</v>
      </c>
      <c r="B106" s="2" t="s">
        <v>552</v>
      </c>
      <c r="C106" s="2" t="s">
        <v>647</v>
      </c>
      <c r="D106" s="2" t="s">
        <v>554</v>
      </c>
      <c r="E106" s="2">
        <v>2.4</v>
      </c>
      <c r="F106" s="1" t="str">
        <f>VLOOKUP(H106,'RM Used'!A:B,2,0)</f>
        <v>3566CS</v>
      </c>
      <c r="G106" s="1" t="str">
        <f>IFERROR(VLOOKUP(F106,'RM Cost'!A:B,2,0),"")</f>
        <v>PEPPERS RED X 5KG</v>
      </c>
      <c r="H106" s="2" t="s">
        <v>1355</v>
      </c>
      <c r="I106" s="1" t="str">
        <f>VLOOKUP(F106,'RM Used'!B:D,3,0)</f>
        <v>RM-FOOD</v>
      </c>
      <c r="J106" s="66">
        <v>0.27</v>
      </c>
      <c r="K106" s="35">
        <f t="shared" si="21"/>
        <v>0.64800000000000002</v>
      </c>
      <c r="L106" s="35">
        <f t="shared" si="22"/>
        <v>0.64800000000000002</v>
      </c>
      <c r="M106" s="77" cm="1">
        <f t="array" ref="M106">_xlfn.IFS(BOM!I106="RM-PACKING","100%",B106="Reynolds",VLOOKUP(H106,'Yield &amp; Time'!A:V,22,0),BOM!B106="Dnata",VLOOKUP(BOM!H106,'Yield &amp; Time'!A:M,13,0),B106="NK",VLOOKUP(H106,'Yield &amp; Time'!A:X,24,0))</f>
        <v>0.69679992348890596</v>
      </c>
      <c r="N106" s="35">
        <f t="shared" si="40"/>
        <v>0.92996565894473304</v>
      </c>
      <c r="O106" s="1" t="str">
        <f>VLOOKUP(H106,'RM Used'!A:E,5,0)</f>
        <v>KG</v>
      </c>
      <c r="P106" s="11">
        <f>VLOOKUP(H106,'RM Used'!A:F,6,0)</f>
        <v>1.72</v>
      </c>
      <c r="Q106" s="11">
        <f t="shared" si="31"/>
        <v>1.5995409333849409</v>
      </c>
      <c r="R106" s="11">
        <f>IFERROR(IF(B106="Reynolds",VLOOKUP(H106,'Yield &amp; Time'!A:U,21,0),VLOOKUP(H106,'Yield &amp; Time'!A:L,12,0)),0)</f>
        <v>1.4647664250073889</v>
      </c>
      <c r="S106" s="11">
        <f t="shared" si="23"/>
        <v>0.32129358579252071</v>
      </c>
      <c r="T106" s="11">
        <f t="shared" si="24"/>
        <v>1.58194773900798E-2</v>
      </c>
      <c r="U106" s="11">
        <f>IF(A105=A106,0,VLOOKUP(A106,'Packing Time'!A:F,6,0))</f>
        <v>1.75</v>
      </c>
      <c r="V106" s="11">
        <f t="shared" si="32"/>
        <v>0.59237499999999998</v>
      </c>
      <c r="W106" s="11">
        <f t="shared" si="33"/>
        <v>2.9166666666666667E-2</v>
      </c>
      <c r="X106" s="11">
        <f t="shared" si="25"/>
        <v>1.4618697372680332</v>
      </c>
      <c r="Y106" s="11">
        <f t="shared" si="34"/>
        <v>1.4618697372680332</v>
      </c>
      <c r="Z106" s="37">
        <v>1</v>
      </c>
      <c r="AA106" s="36">
        <f t="shared" si="26"/>
        <v>0.92996565894473304</v>
      </c>
      <c r="AB106" s="36">
        <f t="shared" si="27"/>
        <v>1.5995409333849409</v>
      </c>
      <c r="AC106" s="11">
        <f t="shared" si="28"/>
        <v>7.1977830490794356E-2</v>
      </c>
      <c r="AD106" s="36">
        <f t="shared" si="35"/>
        <v>1.4618697372680334</v>
      </c>
      <c r="AE106" s="36" t="str">
        <f>VLOOKUP(H106,'Yield &amp; Time'!A:R,18,0)</f>
        <v>CHLORINE</v>
      </c>
      <c r="AF106" s="36">
        <f>IFERROR(VLOOKUP(AE106,'Chemical Cost'!A:D,4,0),0)</f>
        <v>2.7756518066439469E-2</v>
      </c>
      <c r="AG106" s="114">
        <f t="shared" si="29"/>
        <v>8.6042028712225906E-3</v>
      </c>
      <c r="AH106" s="36">
        <f t="shared" si="36"/>
        <v>8.6042028712225906E-3</v>
      </c>
      <c r="AI106" s="36">
        <f t="shared" si="37"/>
        <v>3.0700148735241966</v>
      </c>
      <c r="AJ106" s="36">
        <f>IFERROR(VLOOKUP(A106,'All Products'!A:F,6,0),0)</f>
        <v>10.99</v>
      </c>
      <c r="AK106" s="36">
        <f>AJ106*Z106*J106</f>
        <v>2.9673000000000003</v>
      </c>
      <c r="AL106" s="23">
        <v>0.8</v>
      </c>
      <c r="AM106" s="23">
        <v>0.2</v>
      </c>
      <c r="AN106" s="54" t="e">
        <v>#N/A</v>
      </c>
      <c r="AO106" s="47"/>
      <c r="AP106" s="4">
        <v>1.6</v>
      </c>
      <c r="AQ106" s="111">
        <f t="shared" si="30"/>
        <v>7.1977830490794356E-2</v>
      </c>
      <c r="AR106">
        <f>_xlfn.XLOOKUP(F106,'RM Cost'!A:A,'RM Cost'!S:S)</f>
        <v>0</v>
      </c>
      <c r="AS106" t="e">
        <f>_xlfn.XLOOKUP(A106,[3]Sheet1!$B:$B,[3]Sheet1!$B:$B)</f>
        <v>#N/A</v>
      </c>
    </row>
    <row r="107" spans="1:46" x14ac:dyDescent="0.25">
      <c r="A107" s="2" t="s">
        <v>646</v>
      </c>
      <c r="B107" s="2" t="s">
        <v>552</v>
      </c>
      <c r="C107" s="2" t="s">
        <v>647</v>
      </c>
      <c r="D107" s="2" t="s">
        <v>554</v>
      </c>
      <c r="E107" s="2">
        <v>2.4</v>
      </c>
      <c r="F107" s="1" t="str">
        <f>VLOOKUP(H107,'RM Used'!A:B,2,0)</f>
        <v>3034CS</v>
      </c>
      <c r="G107" s="1" t="str">
        <f>IFERROR(VLOOKUP(F107,'RM Cost'!A:B,2,0),"")</f>
        <v>RM - BROCCOLI 6KG</v>
      </c>
      <c r="H107" s="2" t="s">
        <v>1357</v>
      </c>
      <c r="I107" s="1" t="str">
        <f>VLOOKUP(F107,'RM Used'!B:D,3,0)</f>
        <v>RM-FOOD</v>
      </c>
      <c r="J107" s="66">
        <v>0.25</v>
      </c>
      <c r="K107" s="35">
        <f t="shared" si="21"/>
        <v>0.6</v>
      </c>
      <c r="L107" s="35">
        <f t="shared" si="22"/>
        <v>0.6</v>
      </c>
      <c r="M107" s="77" cm="1">
        <f t="array" ref="M107">_xlfn.IFS(BOM!I107="RM-PACKING","100%",B107="Reynolds",VLOOKUP(H107,'Yield &amp; Time'!A:V,22,0),BOM!B107="Dnata",VLOOKUP(BOM!H107,'Yield &amp; Time'!A:M,13,0),B107="NK",VLOOKUP(H107,'Yield &amp; Time'!A:X,24,0))</f>
        <v>0.57999999999999996</v>
      </c>
      <c r="N107" s="35">
        <f t="shared" si="40"/>
        <v>1.0344827586206897</v>
      </c>
      <c r="O107" s="1" t="str">
        <f>VLOOKUP(H107,'RM Used'!A:E,5,0)</f>
        <v>KG</v>
      </c>
      <c r="P107" s="11">
        <f>VLOOKUP(H107,'RM Used'!A:F,6,0)</f>
        <v>1.02</v>
      </c>
      <c r="Q107" s="11">
        <f t="shared" si="31"/>
        <v>1.0551724137931036</v>
      </c>
      <c r="R107" s="11">
        <f>IFERROR(IF(B107="Reynolds",VLOOKUP(H107,'Yield &amp; Time'!A:U,21,0),VLOOKUP(H107,'Yield &amp; Time'!A:L,12,0)),0)</f>
        <v>2.7</v>
      </c>
      <c r="S107" s="11">
        <f t="shared" si="23"/>
        <v>0.54837000000000002</v>
      </c>
      <c r="T107" s="11">
        <f t="shared" si="24"/>
        <v>2.7000000000000003E-2</v>
      </c>
      <c r="U107" s="11">
        <f>IF(A106=A107,0,VLOOKUP(A107,'Packing Time'!A:F,6,0))</f>
        <v>0</v>
      </c>
      <c r="V107" s="11">
        <f t="shared" si="32"/>
        <v>0</v>
      </c>
      <c r="W107" s="11">
        <f t="shared" si="33"/>
        <v>0</v>
      </c>
      <c r="X107" s="11">
        <f t="shared" si="25"/>
        <v>0.87739200000000006</v>
      </c>
      <c r="Y107" s="11">
        <f t="shared" si="34"/>
        <v>0.87739200000000006</v>
      </c>
      <c r="Z107" s="37">
        <v>1</v>
      </c>
      <c r="AA107" s="36">
        <f t="shared" si="26"/>
        <v>1.0344827586206897</v>
      </c>
      <c r="AB107" s="36">
        <f t="shared" si="27"/>
        <v>1.0551724137931036</v>
      </c>
      <c r="AC107" s="11">
        <f t="shared" si="28"/>
        <v>4.3200000000000009E-2</v>
      </c>
      <c r="AD107" s="36">
        <f t="shared" si="35"/>
        <v>0.87739200000000006</v>
      </c>
      <c r="AE107" s="36"/>
      <c r="AF107" s="36">
        <f>IFERROR(VLOOKUP(AE107,'Chemical Cost'!A:D,4,0),0)</f>
        <v>0</v>
      </c>
      <c r="AG107" s="114">
        <f t="shared" si="29"/>
        <v>0</v>
      </c>
      <c r="AH107" s="36">
        <f t="shared" si="36"/>
        <v>0</v>
      </c>
      <c r="AI107" s="36">
        <f t="shared" si="37"/>
        <v>1.9325644137931035</v>
      </c>
      <c r="AJ107" s="36">
        <f>IFERROR(VLOOKUP(A107,'All Products'!A:F,6,0),0)</f>
        <v>10.99</v>
      </c>
      <c r="AK107" s="36">
        <f>AJ107*Z107*J107</f>
        <v>2.7475000000000001</v>
      </c>
      <c r="AL107" s="23">
        <v>0.8</v>
      </c>
      <c r="AM107" s="23">
        <v>0.2</v>
      </c>
      <c r="AN107" s="54" t="e">
        <v>#N/A</v>
      </c>
      <c r="AO107" s="47"/>
      <c r="AP107" s="4">
        <v>1.6</v>
      </c>
      <c r="AQ107" s="111">
        <f t="shared" si="30"/>
        <v>4.3200000000000009E-2</v>
      </c>
      <c r="AR107">
        <f>_xlfn.XLOOKUP(F107,'RM Cost'!A:A,'RM Cost'!S:S)</f>
        <v>0</v>
      </c>
      <c r="AS107" t="e">
        <f>_xlfn.XLOOKUP(A107,[3]Sheet1!$B:$B,[3]Sheet1!$B:$B)</f>
        <v>#N/A</v>
      </c>
    </row>
    <row r="108" spans="1:46" x14ac:dyDescent="0.25">
      <c r="A108" s="2" t="s">
        <v>646</v>
      </c>
      <c r="B108" s="2" t="s">
        <v>552</v>
      </c>
      <c r="C108" s="2" t="s">
        <v>647</v>
      </c>
      <c r="D108" s="2" t="s">
        <v>554</v>
      </c>
      <c r="E108" s="2">
        <v>2.4</v>
      </c>
      <c r="F108" s="1" t="str">
        <f>VLOOKUP(H108,'RM Used'!A:B,2,0)</f>
        <v>032ACS</v>
      </c>
      <c r="G108" s="1" t="str">
        <f>IFERROR(VLOOKUP(F108,'RM Cost'!A:B,2,0),"")</f>
        <v>RM - LRG PROCESSING CARROT X 1000KG</v>
      </c>
      <c r="H108" s="2" t="s">
        <v>1351</v>
      </c>
      <c r="I108" s="1" t="str">
        <f>VLOOKUP(F108,'RM Used'!B:D,3,0)</f>
        <v>RM-FOOD</v>
      </c>
      <c r="J108" s="66">
        <v>0.24</v>
      </c>
      <c r="K108" s="35">
        <f t="shared" si="21"/>
        <v>0.57599999999999996</v>
      </c>
      <c r="L108" s="35">
        <f t="shared" si="22"/>
        <v>0.57599999999999996</v>
      </c>
      <c r="M108" s="77" cm="1">
        <f t="array" ref="M108">_xlfn.IFS(BOM!I108="RM-PACKING","100%",B108="Reynolds",VLOOKUP(H108,'Yield &amp; Time'!A:V,22,0),BOM!B108="Dnata",VLOOKUP(BOM!H108,'Yield &amp; Time'!A:M,13,0),B108="NK",VLOOKUP(H108,'Yield &amp; Time'!A:X,24,0))</f>
        <v>0.75330000000000008</v>
      </c>
      <c r="N108" s="35">
        <f t="shared" si="40"/>
        <v>0.76463560334528058</v>
      </c>
      <c r="O108" s="1" t="str">
        <f>VLOOKUP(H108,'RM Used'!A:E,5,0)</f>
        <v>KG</v>
      </c>
      <c r="P108" s="11">
        <f>VLOOKUP(H108,'RM Used'!A:F,6,0)</f>
        <v>0.38</v>
      </c>
      <c r="Q108" s="11">
        <f t="shared" si="31"/>
        <v>0.2905615292712066</v>
      </c>
      <c r="R108" s="11">
        <f>IFERROR(IF(B108="Reynolds",VLOOKUP(H108,'Yield &amp; Time'!A:U,21,0),VLOOKUP(H108,'Yield &amp; Time'!A:L,12,0)),0)</f>
        <v>0.90531914893617027</v>
      </c>
      <c r="S108" s="11">
        <f t="shared" si="23"/>
        <v>0.17651550638297872</v>
      </c>
      <c r="T108" s="11">
        <f t="shared" si="24"/>
        <v>8.6910638297872343E-3</v>
      </c>
      <c r="U108" s="11">
        <f>IF(A107=A108,0,VLOOKUP(A108,'Packing Time'!A:F,6,0))</f>
        <v>0</v>
      </c>
      <c r="V108" s="11">
        <f t="shared" si="32"/>
        <v>0</v>
      </c>
      <c r="W108" s="11">
        <f t="shared" si="33"/>
        <v>0</v>
      </c>
      <c r="X108" s="11">
        <f t="shared" si="25"/>
        <v>0.28242481021276594</v>
      </c>
      <c r="Y108" s="11">
        <f t="shared" si="34"/>
        <v>0.28242481021276594</v>
      </c>
      <c r="Z108" s="37">
        <v>1</v>
      </c>
      <c r="AA108" s="36">
        <f t="shared" si="26"/>
        <v>0.76463560334528058</v>
      </c>
      <c r="AB108" s="36">
        <f t="shared" si="27"/>
        <v>0.2905615292712066</v>
      </c>
      <c r="AC108" s="11">
        <f t="shared" si="28"/>
        <v>1.3905702127659576E-2</v>
      </c>
      <c r="AD108" s="36">
        <f t="shared" si="35"/>
        <v>0.282424810212766</v>
      </c>
      <c r="AE108" s="36" t="str">
        <f>VLOOKUP(H108,'Yield &amp; Time'!A:R,18,0)</f>
        <v>CHLORINE</v>
      </c>
      <c r="AF108" s="36">
        <f>IFERROR(VLOOKUP(AE108,'Chemical Cost'!A:D,4,0),0)</f>
        <v>2.7756518066439469E-2</v>
      </c>
      <c r="AG108" s="114">
        <f t="shared" si="29"/>
        <v>7.0745406461653745E-3</v>
      </c>
      <c r="AH108" s="36">
        <f t="shared" si="36"/>
        <v>7.0745406461653745E-3</v>
      </c>
      <c r="AI108" s="36">
        <f t="shared" si="37"/>
        <v>0.5800608801301379</v>
      </c>
      <c r="AJ108" s="36">
        <f>IFERROR(VLOOKUP(A108,'All Products'!A:F,6,0),0)</f>
        <v>10.99</v>
      </c>
      <c r="AK108" s="36">
        <f>AJ108*Z108*J108</f>
        <v>2.6375999999999999</v>
      </c>
      <c r="AL108" s="23">
        <v>0.8</v>
      </c>
      <c r="AM108" s="23">
        <v>0.2</v>
      </c>
      <c r="AN108" s="54" t="e">
        <v>#N/A</v>
      </c>
      <c r="AO108" s="47"/>
      <c r="AP108" s="4">
        <v>1.6</v>
      </c>
      <c r="AQ108" s="111">
        <f t="shared" si="30"/>
        <v>1.3905702127659576E-2</v>
      </c>
      <c r="AR108">
        <f>_xlfn.XLOOKUP(F108,'RM Cost'!A:A,'RM Cost'!S:S)</f>
        <v>0</v>
      </c>
      <c r="AS108" t="e">
        <f>_xlfn.XLOOKUP(A108,[3]Sheet1!$B:$B,[3]Sheet1!$B:$B)</f>
        <v>#N/A</v>
      </c>
    </row>
    <row r="109" spans="1:46" x14ac:dyDescent="0.25">
      <c r="A109" s="2" t="s">
        <v>646</v>
      </c>
      <c r="B109" s="2" t="s">
        <v>552</v>
      </c>
      <c r="C109" s="2" t="s">
        <v>647</v>
      </c>
      <c r="D109" s="2" t="s">
        <v>554</v>
      </c>
      <c r="E109" s="2">
        <v>2.4</v>
      </c>
      <c r="F109" s="1" t="str">
        <f>VLOOKUP(H109,'RM Used'!A:B,2,0)</f>
        <v>3389CS</v>
      </c>
      <c r="G109" s="1" t="str">
        <f>IFERROR(VLOOKUP(F109,'RM Cost'!A:B,2,0),"")</f>
        <v>RM - PAK CHOI X2KG</v>
      </c>
      <c r="H109" s="2" t="s">
        <v>1377</v>
      </c>
      <c r="I109" s="1" t="str">
        <f>VLOOKUP(F109,'RM Used'!B:D,3,0)</f>
        <v>RM-FOOD</v>
      </c>
      <c r="J109" s="66">
        <v>0.18</v>
      </c>
      <c r="K109" s="35">
        <f t="shared" si="21"/>
        <v>0.432</v>
      </c>
      <c r="L109" s="35">
        <f t="shared" si="22"/>
        <v>0.432</v>
      </c>
      <c r="M109" s="77" cm="1">
        <f t="array" ref="M109">_xlfn.IFS(BOM!I109="RM-PACKING","100%",B109="Reynolds",VLOOKUP(H109,'Yield &amp; Time'!A:V,22,0),BOM!B109="Dnata",VLOOKUP(BOM!H109,'Yield &amp; Time'!A:M,13,0),B109="NK",VLOOKUP(H109,'Yield &amp; Time'!A:X,24,0))</f>
        <v>0.75</v>
      </c>
      <c r="N109" s="35">
        <f t="shared" si="40"/>
        <v>0.57599999999999996</v>
      </c>
      <c r="O109" s="1" t="str">
        <f>VLOOKUP(H109,'RM Used'!A:E,5,0)</f>
        <v>KG</v>
      </c>
      <c r="P109" s="11">
        <f>VLOOKUP(H109,'RM Used'!A:F,6,0)</f>
        <v>1.81</v>
      </c>
      <c r="Q109" s="11">
        <f t="shared" si="31"/>
        <v>1.0425599999999999</v>
      </c>
      <c r="R109" s="11">
        <f>IFERROR(IF(B109="Reynolds",VLOOKUP(H109,'Yield &amp; Time'!A:U,21,0),VLOOKUP(H109,'Yield &amp; Time'!A:L,12,0)),0)</f>
        <v>3.1</v>
      </c>
      <c r="S109" s="11">
        <f t="shared" si="23"/>
        <v>0.45331919999999987</v>
      </c>
      <c r="T109" s="11">
        <f t="shared" si="24"/>
        <v>2.2319999999999996E-2</v>
      </c>
      <c r="U109" s="11">
        <f>IF(A108=A109,0,VLOOKUP(A109,'Packing Time'!A:F,6,0))</f>
        <v>0</v>
      </c>
      <c r="V109" s="11">
        <f t="shared" si="32"/>
        <v>0</v>
      </c>
      <c r="W109" s="11">
        <f t="shared" si="33"/>
        <v>0</v>
      </c>
      <c r="X109" s="11">
        <f t="shared" si="25"/>
        <v>0.72531071999999985</v>
      </c>
      <c r="Y109" s="11">
        <f t="shared" si="34"/>
        <v>0.72531071999999985</v>
      </c>
      <c r="Z109" s="37">
        <v>1</v>
      </c>
      <c r="AA109" s="36">
        <f t="shared" si="26"/>
        <v>0.57599999999999996</v>
      </c>
      <c r="AB109" s="36">
        <f t="shared" si="27"/>
        <v>1.0425599999999999</v>
      </c>
      <c r="AC109" s="11">
        <f t="shared" si="28"/>
        <v>3.5711999999999994E-2</v>
      </c>
      <c r="AD109" s="36">
        <f t="shared" si="35"/>
        <v>0.72531071999999985</v>
      </c>
      <c r="AE109" s="36" t="str">
        <f>VLOOKUP(H109,'Yield &amp; Time'!A:R,18,0)</f>
        <v>CHLORINE</v>
      </c>
      <c r="AF109" s="36">
        <f>IFERROR(VLOOKUP(AE109,'Chemical Cost'!A:D,4,0),0)</f>
        <v>2.7756518066439469E-2</v>
      </c>
      <c r="AG109" s="114">
        <f t="shared" si="29"/>
        <v>5.3292514687563776E-3</v>
      </c>
      <c r="AH109" s="36">
        <f t="shared" si="36"/>
        <v>5.3292514687563776E-3</v>
      </c>
      <c r="AI109" s="36">
        <f t="shared" si="37"/>
        <v>1.7731999714687563</v>
      </c>
      <c r="AJ109" s="36">
        <f>IFERROR(VLOOKUP(A109,'All Products'!A:F,6,0),0)</f>
        <v>10.99</v>
      </c>
      <c r="AK109" s="36">
        <f>AJ109*Z109*J109</f>
        <v>1.9782</v>
      </c>
      <c r="AL109" s="23">
        <v>0.8</v>
      </c>
      <c r="AM109" s="23">
        <v>0.2</v>
      </c>
      <c r="AN109" s="54" t="e">
        <v>#N/A</v>
      </c>
      <c r="AO109" s="47"/>
      <c r="AP109" s="4">
        <v>1.6</v>
      </c>
      <c r="AQ109" s="111">
        <f t="shared" si="30"/>
        <v>3.5711999999999994E-2</v>
      </c>
      <c r="AR109">
        <f>_xlfn.XLOOKUP(F109,'RM Cost'!A:A,'RM Cost'!S:S)</f>
        <v>0</v>
      </c>
      <c r="AS109" t="e">
        <f>_xlfn.XLOOKUP(A109,[3]Sheet1!$B:$B,[3]Sheet1!$B:$B)</f>
        <v>#N/A</v>
      </c>
    </row>
    <row r="110" spans="1:46" x14ac:dyDescent="0.25">
      <c r="A110" s="2" t="s">
        <v>646</v>
      </c>
      <c r="B110" s="2" t="s">
        <v>552</v>
      </c>
      <c r="C110" s="2" t="s">
        <v>647</v>
      </c>
      <c r="D110" s="2" t="s">
        <v>554</v>
      </c>
      <c r="E110" s="2">
        <v>2.4</v>
      </c>
      <c r="F110" s="1" t="str">
        <f>VLOOKUP(H110,'RM Used'!A:B,2,0)</f>
        <v>3644CS</v>
      </c>
      <c r="G110" s="1" t="str">
        <f>IFERROR(VLOOKUP(F110,'RM Cost'!A:B,2,0),"")</f>
        <v>RM - SPRING ONION x 2KG</v>
      </c>
      <c r="H110" s="2" t="s">
        <v>1378</v>
      </c>
      <c r="I110" s="1" t="str">
        <f>VLOOKUP(F110,'RM Used'!B:D,3,0)</f>
        <v>RM-FOOD</v>
      </c>
      <c r="J110" s="66">
        <v>0.06</v>
      </c>
      <c r="K110" s="35">
        <f t="shared" si="21"/>
        <v>0.14399999999999999</v>
      </c>
      <c r="L110" s="35">
        <f t="shared" si="22"/>
        <v>0.14399999999999999</v>
      </c>
      <c r="M110" s="77" cm="1">
        <f t="array" ref="M110">_xlfn.IFS(BOM!I110="RM-PACKING","100%",B110="Reynolds",VLOOKUP(H110,'Yield &amp; Time'!A:V,22,0),BOM!B110="Dnata",VLOOKUP(BOM!H110,'Yield &amp; Time'!A:M,13,0),B110="NK",VLOOKUP(H110,'Yield &amp; Time'!A:X,24,0))</f>
        <v>0.60750000000000004</v>
      </c>
      <c r="N110" s="35">
        <f t="shared" si="40"/>
        <v>0.23703703703703699</v>
      </c>
      <c r="O110" s="1" t="str">
        <f>VLOOKUP(H110,'RM Used'!A:E,5,0)</f>
        <v>KG</v>
      </c>
      <c r="P110" s="11">
        <f>VLOOKUP(H110,'RM Used'!A:F,6,0)</f>
        <v>3.08</v>
      </c>
      <c r="Q110" s="11">
        <f t="shared" si="31"/>
        <v>0.73007407407407399</v>
      </c>
      <c r="R110" s="11">
        <f>IFERROR(IF(B110="Reynolds",VLOOKUP(H110,'Yield &amp; Time'!A:U,21,0),VLOOKUP(H110,'Yield &amp; Time'!A:L,12,0)),0)</f>
        <v>3.8037037037037034</v>
      </c>
      <c r="S110" s="11">
        <f t="shared" si="23"/>
        <v>0.18540773333333327</v>
      </c>
      <c r="T110" s="11">
        <f t="shared" si="24"/>
        <v>9.128888888888886E-3</v>
      </c>
      <c r="U110" s="11">
        <f>IF(A109=A110,0,VLOOKUP(A110,'Packing Time'!A:F,6,0))</f>
        <v>0</v>
      </c>
      <c r="V110" s="11">
        <f t="shared" si="32"/>
        <v>0</v>
      </c>
      <c r="W110" s="11">
        <f t="shared" si="33"/>
        <v>0</v>
      </c>
      <c r="X110" s="11">
        <f t="shared" si="25"/>
        <v>0.29665237333333322</v>
      </c>
      <c r="Y110" s="11">
        <f t="shared" si="34"/>
        <v>0.29665237333333322</v>
      </c>
      <c r="Z110" s="37">
        <v>1</v>
      </c>
      <c r="AA110" s="36">
        <f t="shared" si="26"/>
        <v>0.23703703703703699</v>
      </c>
      <c r="AB110" s="36">
        <f t="shared" si="27"/>
        <v>0.73007407407407399</v>
      </c>
      <c r="AC110" s="11">
        <f t="shared" si="28"/>
        <v>1.4606222222222218E-2</v>
      </c>
      <c r="AD110" s="36">
        <f t="shared" si="35"/>
        <v>0.29665237333333322</v>
      </c>
      <c r="AE110" s="36" t="str">
        <f>VLOOKUP(H110,'Yield &amp; Time'!A:R,18,0)</f>
        <v>CHLORINE</v>
      </c>
      <c r="AF110" s="36">
        <f>IFERROR(VLOOKUP(AE110,'Chemical Cost'!A:D,4,0),0)</f>
        <v>2.7756518066439469E-2</v>
      </c>
      <c r="AG110" s="114">
        <f t="shared" si="29"/>
        <v>2.1931076003112661E-3</v>
      </c>
      <c r="AH110" s="36">
        <f t="shared" si="36"/>
        <v>2.1931076003112661E-3</v>
      </c>
      <c r="AI110" s="36">
        <f t="shared" si="37"/>
        <v>1.0289195550077184</v>
      </c>
      <c r="AJ110" s="36">
        <f>IFERROR(VLOOKUP(A110,'All Products'!A:F,6,0),0)</f>
        <v>10.99</v>
      </c>
      <c r="AK110" s="36">
        <f>AJ110*Z110*J110</f>
        <v>0.65939999999999999</v>
      </c>
      <c r="AL110" s="23">
        <v>0.8</v>
      </c>
      <c r="AM110" s="23">
        <v>0.2</v>
      </c>
      <c r="AN110" s="54" t="e">
        <v>#N/A</v>
      </c>
      <c r="AO110" s="47"/>
      <c r="AP110" s="4">
        <v>1.6</v>
      </c>
      <c r="AQ110" s="111">
        <f t="shared" si="30"/>
        <v>1.4606222222222218E-2</v>
      </c>
      <c r="AR110">
        <f>_xlfn.XLOOKUP(F110,'RM Cost'!A:A,'RM Cost'!S:S)</f>
        <v>0</v>
      </c>
      <c r="AS110" t="e">
        <f>_xlfn.XLOOKUP(A110,[3]Sheet1!$B:$B,[3]Sheet1!$B:$B)</f>
        <v>#N/A</v>
      </c>
    </row>
    <row r="111" spans="1:46" x14ac:dyDescent="0.25">
      <c r="A111" s="2" t="s">
        <v>646</v>
      </c>
      <c r="B111" s="2" t="s">
        <v>552</v>
      </c>
      <c r="C111" s="2" t="s">
        <v>647</v>
      </c>
      <c r="D111" s="2" t="s">
        <v>554</v>
      </c>
      <c r="E111" s="2">
        <v>2.4</v>
      </c>
      <c r="F111" s="1" t="str">
        <f>VLOOKUP(H111,'RM Used'!A:B,2,0)</f>
        <v>P0002</v>
      </c>
      <c r="G111" s="1" t="str">
        <f>IFERROR(VLOOKUP(F111,'RM Cost'!A:B,2,0),"")</f>
        <v>SOL 30EL # PPLUS 630x1000 BLUE -4</v>
      </c>
      <c r="H111" s="2" t="s">
        <v>4679</v>
      </c>
      <c r="I111" s="1" t="str">
        <f>VLOOKUP(F111,'RM Used'!B:D,3,0)</f>
        <v>RM-PACKING</v>
      </c>
      <c r="J111" s="66">
        <v>1</v>
      </c>
      <c r="K111" s="35" t="str">
        <f t="shared" si="21"/>
        <v/>
      </c>
      <c r="L111" s="35">
        <f t="shared" si="22"/>
        <v>0</v>
      </c>
      <c r="M111" s="77" t="str" cm="1">
        <f t="array" ref="M111">_xlfn.IFS(BOM!I111="RM-PACKING","100%",B111="Reynolds",VLOOKUP(H111,'Yield &amp; Time'!A:V,22,0),BOM!B111="Dnata",VLOOKUP(BOM!H111,'Yield &amp; Time'!A:M,13,0),B111="NK",VLOOKUP(H111,'Yield &amp; Time'!A:X,24,0))</f>
        <v>100%</v>
      </c>
      <c r="N111" s="35">
        <f t="shared" si="40"/>
        <v>1</v>
      </c>
      <c r="O111" s="1" t="str">
        <f>VLOOKUP(H111,'RM Used'!A:E,5,0)</f>
        <v>Count</v>
      </c>
      <c r="P111" s="11">
        <f>VLOOKUP(H111,'RM Used'!A:F,6,0)</f>
        <v>0.32</v>
      </c>
      <c r="Q111" s="11">
        <f t="shared" si="31"/>
        <v>0.32</v>
      </c>
      <c r="R111" s="11">
        <f>IFERROR(IF(B111="Reynolds",VLOOKUP(H111,'Yield &amp; Time'!A:U,21,0),VLOOKUP(H111,'Yield &amp; Time'!A:L,12,0)),0)</f>
        <v>0</v>
      </c>
      <c r="S111" s="11">
        <f t="shared" si="23"/>
        <v>0</v>
      </c>
      <c r="T111" s="11">
        <f t="shared" si="24"/>
        <v>0</v>
      </c>
      <c r="U111" s="11">
        <f>IF(A110=A111,0,VLOOKUP(A111,'Packing Time'!A:F,6,0))</f>
        <v>0</v>
      </c>
      <c r="V111" s="11">
        <f t="shared" si="32"/>
        <v>0</v>
      </c>
      <c r="W111" s="11">
        <f t="shared" si="33"/>
        <v>0</v>
      </c>
      <c r="X111" s="11">
        <f t="shared" si="25"/>
        <v>0</v>
      </c>
      <c r="Y111" s="11">
        <f t="shared" si="34"/>
        <v>0</v>
      </c>
      <c r="Z111" s="37">
        <v>1</v>
      </c>
      <c r="AA111" s="36">
        <f t="shared" si="26"/>
        <v>1</v>
      </c>
      <c r="AB111" s="36">
        <f t="shared" si="27"/>
        <v>0.32</v>
      </c>
      <c r="AC111" s="11">
        <f t="shared" si="28"/>
        <v>0</v>
      </c>
      <c r="AD111" s="36">
        <f t="shared" si="35"/>
        <v>0</v>
      </c>
      <c r="AE111" s="36"/>
      <c r="AF111" s="36">
        <f>IFERROR(VLOOKUP(AE111,'Chemical Cost'!A:D,4,0),0)</f>
        <v>0</v>
      </c>
      <c r="AG111" s="114">
        <f t="shared" si="29"/>
        <v>0</v>
      </c>
      <c r="AH111" s="36">
        <f t="shared" si="36"/>
        <v>0</v>
      </c>
      <c r="AI111" s="36">
        <f t="shared" si="37"/>
        <v>0.32</v>
      </c>
      <c r="AJ111" s="36">
        <f>IFERROR(VLOOKUP(A111,'All Products'!A:F,6,0),0)</f>
        <v>10.99</v>
      </c>
      <c r="AK111" s="36"/>
      <c r="AL111" s="23">
        <v>0.8</v>
      </c>
      <c r="AM111" s="23">
        <v>0.2</v>
      </c>
      <c r="AN111" s="54" t="e">
        <v>#N/A</v>
      </c>
      <c r="AO111" s="47"/>
      <c r="AP111" s="4">
        <v>1.6</v>
      </c>
      <c r="AQ111" s="111">
        <f t="shared" si="30"/>
        <v>0</v>
      </c>
      <c r="AR111">
        <f>_xlfn.XLOOKUP(F111,'RM Cost'!A:A,'RM Cost'!S:S)</f>
        <v>0</v>
      </c>
      <c r="AS111" t="e">
        <f>_xlfn.XLOOKUP(A111,[3]Sheet1!$B:$B,[3]Sheet1!$B:$B)</f>
        <v>#N/A</v>
      </c>
    </row>
    <row r="112" spans="1:46" x14ac:dyDescent="0.25">
      <c r="A112" s="2" t="s">
        <v>646</v>
      </c>
      <c r="B112" s="2" t="s">
        <v>552</v>
      </c>
      <c r="C112" s="2" t="s">
        <v>647</v>
      </c>
      <c r="D112" s="2" t="s">
        <v>554</v>
      </c>
      <c r="E112" s="2">
        <v>2.4</v>
      </c>
      <c r="F112" s="1" t="str">
        <f>VLOOKUP(H112,'RM Used'!A:B,2,0)</f>
        <v>P0016</v>
      </c>
      <c r="G112" s="1" t="str">
        <f>IFERROR(VLOOKUP(F112,'RM Cost'!A:B,2,0),"")</f>
        <v>REY 40 30 BOX</v>
      </c>
      <c r="H112" s="2" t="s">
        <v>1332</v>
      </c>
      <c r="I112" s="1" t="str">
        <f>VLOOKUP(F112,'RM Used'!B:D,3,0)</f>
        <v>RM-PACKING</v>
      </c>
      <c r="J112" s="66">
        <v>1</v>
      </c>
      <c r="K112" s="35" t="str">
        <f t="shared" si="21"/>
        <v/>
      </c>
      <c r="L112" s="35">
        <f t="shared" si="22"/>
        <v>0</v>
      </c>
      <c r="M112" s="77" t="str" cm="1">
        <f t="array" ref="M112">_xlfn.IFS(BOM!I112="RM-PACKING","100%",B112="Reynolds",VLOOKUP(H112,'Yield &amp; Time'!A:V,22,0),BOM!B112="Dnata",VLOOKUP(BOM!H112,'Yield &amp; Time'!A:M,13,0),B112="NK",VLOOKUP(H112,'Yield &amp; Time'!A:X,24,0))</f>
        <v>100%</v>
      </c>
      <c r="N112" s="35">
        <f t="shared" si="40"/>
        <v>1</v>
      </c>
      <c r="O112" s="1" t="str">
        <f>VLOOKUP(H112,'RM Used'!A:E,5,0)</f>
        <v>Count</v>
      </c>
      <c r="P112" s="11">
        <f>VLOOKUP(H112,'RM Used'!A:F,6,0)</f>
        <v>0.28000000000000003</v>
      </c>
      <c r="Q112" s="11">
        <f t="shared" si="31"/>
        <v>0.28000000000000003</v>
      </c>
      <c r="R112" s="11">
        <f>IFERROR(IF(B112="Reynolds",VLOOKUP(H112,'Yield &amp; Time'!A:U,21,0),VLOOKUP(H112,'Yield &amp; Time'!A:L,12,0)),0)</f>
        <v>0</v>
      </c>
      <c r="S112" s="11">
        <f t="shared" si="23"/>
        <v>0</v>
      </c>
      <c r="T112" s="11">
        <f t="shared" si="24"/>
        <v>0</v>
      </c>
      <c r="U112" s="11">
        <f>IF(A111=A112,0,VLOOKUP(A112,'Packing Time'!A:F,6,0))</f>
        <v>0</v>
      </c>
      <c r="V112" s="11">
        <f t="shared" si="32"/>
        <v>0</v>
      </c>
      <c r="W112" s="11">
        <f t="shared" si="33"/>
        <v>0</v>
      </c>
      <c r="X112" s="11">
        <f t="shared" si="25"/>
        <v>0</v>
      </c>
      <c r="Y112" s="11">
        <f t="shared" si="34"/>
        <v>0</v>
      </c>
      <c r="Z112" s="37">
        <v>1</v>
      </c>
      <c r="AA112" s="36">
        <f t="shared" si="26"/>
        <v>1</v>
      </c>
      <c r="AB112" s="36">
        <f t="shared" si="27"/>
        <v>0.28000000000000003</v>
      </c>
      <c r="AC112" s="11">
        <f t="shared" si="28"/>
        <v>0</v>
      </c>
      <c r="AD112" s="36">
        <f t="shared" si="35"/>
        <v>0</v>
      </c>
      <c r="AE112" s="36"/>
      <c r="AF112" s="36">
        <f>IFERROR(VLOOKUP(AE112,'Chemical Cost'!A:D,4,0),0)</f>
        <v>0</v>
      </c>
      <c r="AG112" s="114">
        <f t="shared" si="29"/>
        <v>0</v>
      </c>
      <c r="AH112" s="36">
        <f t="shared" si="36"/>
        <v>0</v>
      </c>
      <c r="AI112" s="36">
        <f t="shared" si="37"/>
        <v>0.28000000000000003</v>
      </c>
      <c r="AJ112" s="36">
        <f>IFERROR(VLOOKUP(A112,'All Products'!A:F,6,0),0)</f>
        <v>10.99</v>
      </c>
      <c r="AK112" s="36"/>
      <c r="AL112" s="23">
        <v>0.8</v>
      </c>
      <c r="AM112" s="23">
        <v>0.2</v>
      </c>
      <c r="AN112" s="54" t="e">
        <v>#N/A</v>
      </c>
      <c r="AO112" s="47"/>
      <c r="AP112" s="4">
        <v>1.6</v>
      </c>
      <c r="AQ112" s="111">
        <f t="shared" si="30"/>
        <v>0</v>
      </c>
      <c r="AR112">
        <f>_xlfn.XLOOKUP(F112,'RM Cost'!A:A,'RM Cost'!S:S)</f>
        <v>0</v>
      </c>
      <c r="AS112" t="e">
        <f>_xlfn.XLOOKUP(A112,[3]Sheet1!$B:$B,[3]Sheet1!$B:$B)</f>
        <v>#N/A</v>
      </c>
    </row>
    <row r="113" spans="1:46" x14ac:dyDescent="0.25">
      <c r="A113" s="2" t="s">
        <v>543</v>
      </c>
      <c r="B113" s="2" t="s">
        <v>552</v>
      </c>
      <c r="C113" s="2" t="s">
        <v>648</v>
      </c>
      <c r="D113" s="2" t="s">
        <v>554</v>
      </c>
      <c r="E113" s="2">
        <v>1.5</v>
      </c>
      <c r="F113" s="1" t="str">
        <f>VLOOKUP(H113,'RM Used'!A:B,2,0)</f>
        <v>032ACS</v>
      </c>
      <c r="G113" s="1" t="str">
        <f>IFERROR(VLOOKUP(F113,'RM Cost'!A:B,2,0),"")</f>
        <v>RM - LRG PROCESSING CARROT X 1000KG</v>
      </c>
      <c r="H113" s="2" t="s">
        <v>1433</v>
      </c>
      <c r="I113" s="1" t="str">
        <f>VLOOKUP(F113,'RM Used'!B:D,3,0)</f>
        <v>RM-FOOD</v>
      </c>
      <c r="J113" s="66">
        <v>1</v>
      </c>
      <c r="K113" s="35">
        <f t="shared" si="21"/>
        <v>1.5</v>
      </c>
      <c r="L113" s="35">
        <f t="shared" si="22"/>
        <v>1.5</v>
      </c>
      <c r="M113" s="77" cm="1">
        <f t="array" ref="M113">_xlfn.IFS(BOM!I113="RM-PACKING","100%",B113="Reynolds",VLOOKUP(H113,'Yield &amp; Time'!A:V,22,0),BOM!B113="Dnata",VLOOKUP(BOM!H113,'Yield &amp; Time'!A:M,13,0),B113="NK",VLOOKUP(H113,'Yield &amp; Time'!A:X,24,0))</f>
        <v>0.71850998224686213</v>
      </c>
      <c r="N113" s="35">
        <f t="shared" si="40"/>
        <v>2.0876536680942555</v>
      </c>
      <c r="O113" s="1" t="str">
        <f>VLOOKUP(H113,'RM Used'!A:E,5,0)</f>
        <v>KG</v>
      </c>
      <c r="P113" s="11">
        <f>VLOOKUP(H113,'RM Used'!A:F,6,0)</f>
        <v>0.38</v>
      </c>
      <c r="Q113" s="11">
        <f t="shared" si="31"/>
        <v>0.79330839387581709</v>
      </c>
      <c r="R113" s="11">
        <f>IFERROR(IF(B113="Reynolds",VLOOKUP(H113,'Yield &amp; Time'!A:U,21,0),VLOOKUP(H113,'Yield &amp; Time'!A:L,12,0)),0)</f>
        <v>1.2415664368267838</v>
      </c>
      <c r="S113" s="11">
        <f t="shared" si="23"/>
        <v>0.6304053582987994</v>
      </c>
      <c r="T113" s="11">
        <f t="shared" si="24"/>
        <v>3.1039160920669596E-2</v>
      </c>
      <c r="U113" s="11">
        <f>IF(A112=A113,0,VLOOKUP(A113,'Packing Time'!A:F,6,0))</f>
        <v>0.8</v>
      </c>
      <c r="V113" s="11">
        <f t="shared" si="32"/>
        <v>0.27079999999999999</v>
      </c>
      <c r="W113" s="11">
        <f t="shared" si="33"/>
        <v>1.3333333333333334E-2</v>
      </c>
      <c r="X113" s="11">
        <f t="shared" si="25"/>
        <v>1.4419285732780791</v>
      </c>
      <c r="Y113" s="11">
        <f t="shared" si="34"/>
        <v>1.4419285732780791</v>
      </c>
      <c r="Z113" s="37">
        <v>1</v>
      </c>
      <c r="AA113" s="36">
        <f t="shared" si="26"/>
        <v>2.0876536680942555</v>
      </c>
      <c r="AB113" s="36">
        <f t="shared" si="27"/>
        <v>0.79330839387581709</v>
      </c>
      <c r="AC113" s="11">
        <f t="shared" si="28"/>
        <v>7.0995990806404688E-2</v>
      </c>
      <c r="AD113" s="36">
        <f t="shared" si="35"/>
        <v>1.4419285732780791</v>
      </c>
      <c r="AE113" s="36" t="str">
        <f>VLOOKUP(H113,'Yield &amp; Time'!A:R,18,0)</f>
        <v>CHLORINE</v>
      </c>
      <c r="AF113" s="36">
        <f>IFERROR(VLOOKUP(AE113,'Chemical Cost'!A:D,4,0),0)</f>
        <v>2.7756518066439469E-2</v>
      </c>
      <c r="AG113" s="114">
        <f t="shared" si="29"/>
        <v>1.9315332251642277E-2</v>
      </c>
      <c r="AH113" s="36">
        <f t="shared" si="36"/>
        <v>1.9315332251642277E-2</v>
      </c>
      <c r="AI113" s="36">
        <f t="shared" si="37"/>
        <v>2.2545522994055385</v>
      </c>
      <c r="AJ113" s="36">
        <f>IFERROR(VLOOKUP(A113,'All Products'!A:F,6,0),0)</f>
        <v>3.27</v>
      </c>
      <c r="AK113" s="36">
        <f>AJ113*Z113*J113</f>
        <v>3.27</v>
      </c>
      <c r="AL113" s="23">
        <v>1</v>
      </c>
      <c r="AM113" s="23"/>
      <c r="AN113" s="54" t="s">
        <v>543</v>
      </c>
      <c r="AO113" s="47"/>
      <c r="AP113" s="4">
        <v>1.6</v>
      </c>
      <c r="AQ113" s="111">
        <f t="shared" si="30"/>
        <v>7.0995990806404688E-2</v>
      </c>
      <c r="AR113">
        <f>_xlfn.XLOOKUP(F113,'RM Cost'!A:A,'RM Cost'!S:S)</f>
        <v>0</v>
      </c>
      <c r="AS113" t="str">
        <f>_xlfn.XLOOKUP(A113,[3]Sheet1!$B:$B,[3]Sheet1!$B:$B)</f>
        <v>2364CS</v>
      </c>
      <c r="AT113">
        <f>_xlfn.XLOOKUP(H113,'Yield &amp; Time'!A:A,'Yield &amp; Time'!F:F)</f>
        <v>0</v>
      </c>
    </row>
    <row r="114" spans="1:46" x14ac:dyDescent="0.25">
      <c r="A114" s="2" t="s">
        <v>543</v>
      </c>
      <c r="B114" s="2" t="s">
        <v>552</v>
      </c>
      <c r="C114" s="2" t="s">
        <v>648</v>
      </c>
      <c r="D114" s="2" t="s">
        <v>554</v>
      </c>
      <c r="E114" s="2">
        <v>1.5</v>
      </c>
      <c r="F114" s="1" t="str">
        <f>VLOOKUP(H114,'RM Used'!A:B,2,0)</f>
        <v>P0020</v>
      </c>
      <c r="G114" s="1" t="str">
        <f>IFERROR(VLOOKUP(F114,'RM Cost'!A:B,2,0),"")</f>
        <v>PALE BLUE BAG 430X430MM</v>
      </c>
      <c r="H114" s="2" t="s">
        <v>1659</v>
      </c>
      <c r="I114" s="1" t="str">
        <f>VLOOKUP(F114,'RM Used'!B:D,3,0)</f>
        <v>RM-PACKING</v>
      </c>
      <c r="J114" s="66">
        <v>1</v>
      </c>
      <c r="K114" s="35" t="str">
        <f t="shared" si="21"/>
        <v/>
      </c>
      <c r="L114" s="35">
        <f t="shared" si="22"/>
        <v>0</v>
      </c>
      <c r="M114" s="77" t="str" cm="1">
        <f t="array" ref="M114">_xlfn.IFS(BOM!I114="RM-PACKING","100%",B114="Reynolds",VLOOKUP(H114,'Yield &amp; Time'!A:V,22,0),BOM!B114="Dnata",VLOOKUP(BOM!H114,'Yield &amp; Time'!A:M,13,0),B114="NK",VLOOKUP(H114,'Yield &amp; Time'!A:X,24,0))</f>
        <v>100%</v>
      </c>
      <c r="N114" s="35">
        <f t="shared" si="40"/>
        <v>1</v>
      </c>
      <c r="O114" s="1" t="str">
        <f>VLOOKUP(H114,'RM Used'!A:E,5,0)</f>
        <v>Count</v>
      </c>
      <c r="P114" s="11">
        <f>VLOOKUP(H114,'RM Used'!A:F,6,0)</f>
        <v>0.09</v>
      </c>
      <c r="Q114" s="11">
        <f t="shared" si="31"/>
        <v>0.09</v>
      </c>
      <c r="R114" s="11">
        <f>IFERROR(IF(B114="Reynolds",VLOOKUP(H114,'Yield &amp; Time'!A:U,21,0),VLOOKUP(H114,'Yield &amp; Time'!A:L,12,0)),0)</f>
        <v>0</v>
      </c>
      <c r="S114" s="11">
        <f t="shared" si="23"/>
        <v>0</v>
      </c>
      <c r="T114" s="11">
        <f t="shared" si="24"/>
        <v>0</v>
      </c>
      <c r="U114" s="11">
        <f>IF(A113=A114,0,VLOOKUP(A114,'Packing Time'!A:F,6,0))</f>
        <v>0</v>
      </c>
      <c r="V114" s="11">
        <f t="shared" si="32"/>
        <v>0</v>
      </c>
      <c r="W114" s="11">
        <f t="shared" si="33"/>
        <v>0</v>
      </c>
      <c r="X114" s="11">
        <f t="shared" si="25"/>
        <v>0</v>
      </c>
      <c r="Y114" s="11">
        <f t="shared" si="34"/>
        <v>0</v>
      </c>
      <c r="Z114" s="37">
        <v>1</v>
      </c>
      <c r="AA114" s="36">
        <f t="shared" si="26"/>
        <v>1</v>
      </c>
      <c r="AB114" s="36">
        <f t="shared" si="27"/>
        <v>0.09</v>
      </c>
      <c r="AC114" s="11">
        <f t="shared" si="28"/>
        <v>0</v>
      </c>
      <c r="AD114" s="36">
        <f t="shared" si="35"/>
        <v>0</v>
      </c>
      <c r="AE114" s="36"/>
      <c r="AF114" s="36">
        <f>IFERROR(VLOOKUP(AE114,'Chemical Cost'!A:D,4,0),0)</f>
        <v>0</v>
      </c>
      <c r="AG114" s="114">
        <f t="shared" si="29"/>
        <v>0</v>
      </c>
      <c r="AH114" s="36">
        <f t="shared" si="36"/>
        <v>0</v>
      </c>
      <c r="AI114" s="36">
        <f t="shared" si="37"/>
        <v>0.09</v>
      </c>
      <c r="AJ114" s="36">
        <f>IFERROR(VLOOKUP(A114,'All Products'!A:F,6,0),0)</f>
        <v>3.27</v>
      </c>
      <c r="AK114" s="36"/>
      <c r="AL114" s="23">
        <v>1</v>
      </c>
      <c r="AM114" s="23"/>
      <c r="AN114" s="54" t="s">
        <v>543</v>
      </c>
      <c r="AO114" s="47"/>
      <c r="AP114" s="4">
        <v>1.6</v>
      </c>
      <c r="AQ114" s="111">
        <f t="shared" si="30"/>
        <v>0</v>
      </c>
      <c r="AR114">
        <f>_xlfn.XLOOKUP(F114,'RM Cost'!A:A,'RM Cost'!S:S)</f>
        <v>0</v>
      </c>
      <c r="AS114" t="str">
        <f>_xlfn.XLOOKUP(A114,[3]Sheet1!$B:$B,[3]Sheet1!$B:$B)</f>
        <v>2364CS</v>
      </c>
      <c r="AT114" t="e">
        <f>_xlfn.XLOOKUP(H114,'Yield &amp; Time'!A:A,'Yield &amp; Time'!F:F)</f>
        <v>#N/A</v>
      </c>
    </row>
    <row r="115" spans="1:46" x14ac:dyDescent="0.25">
      <c r="A115" s="2" t="s">
        <v>543</v>
      </c>
      <c r="B115" s="2" t="s">
        <v>552</v>
      </c>
      <c r="C115" s="2" t="s">
        <v>648</v>
      </c>
      <c r="D115" s="2" t="s">
        <v>554</v>
      </c>
      <c r="E115" s="2">
        <v>1.5</v>
      </c>
      <c r="F115" s="1" t="str">
        <f>VLOOKUP(H115,'RM Used'!A:B,2,0)</f>
        <v>P0016</v>
      </c>
      <c r="G115" s="1" t="str">
        <f>IFERROR(VLOOKUP(F115,'RM Cost'!A:B,2,0),"")</f>
        <v>REY 40 30 BOX</v>
      </c>
      <c r="H115" s="2" t="s">
        <v>1332</v>
      </c>
      <c r="I115" s="1" t="str">
        <f>VLOOKUP(F115,'RM Used'!B:D,3,0)</f>
        <v>RM-PACKING</v>
      </c>
      <c r="J115" s="66">
        <v>1</v>
      </c>
      <c r="K115" s="35" t="str">
        <f t="shared" si="21"/>
        <v/>
      </c>
      <c r="L115" s="35">
        <f t="shared" si="22"/>
        <v>0</v>
      </c>
      <c r="M115" s="77" t="str" cm="1">
        <f t="array" ref="M115">_xlfn.IFS(BOM!I115="RM-PACKING","100%",B115="Reynolds",VLOOKUP(H115,'Yield &amp; Time'!A:V,22,0),BOM!B115="Dnata",VLOOKUP(BOM!H115,'Yield &amp; Time'!A:M,13,0),B115="NK",VLOOKUP(H115,'Yield &amp; Time'!A:X,24,0))</f>
        <v>100%</v>
      </c>
      <c r="N115" s="35">
        <f t="shared" si="40"/>
        <v>1</v>
      </c>
      <c r="O115" s="1" t="str">
        <f>VLOOKUP(H115,'RM Used'!A:E,5,0)</f>
        <v>Count</v>
      </c>
      <c r="P115" s="11">
        <f>VLOOKUP(H115,'RM Used'!A:F,6,0)</f>
        <v>0.28000000000000003</v>
      </c>
      <c r="Q115" s="11">
        <f t="shared" si="31"/>
        <v>0.28000000000000003</v>
      </c>
      <c r="R115" s="11">
        <f>IFERROR(IF(B115="Reynolds",VLOOKUP(H115,'Yield &amp; Time'!A:U,21,0),VLOOKUP(H115,'Yield &amp; Time'!A:L,12,0)),0)</f>
        <v>0</v>
      </c>
      <c r="S115" s="11">
        <f t="shared" si="23"/>
        <v>0</v>
      </c>
      <c r="T115" s="11">
        <f t="shared" si="24"/>
        <v>0</v>
      </c>
      <c r="U115" s="11">
        <f>IF(A114=A115,0,VLOOKUP(A115,'Packing Time'!A:F,6,0))</f>
        <v>0</v>
      </c>
      <c r="V115" s="11">
        <f t="shared" si="32"/>
        <v>0</v>
      </c>
      <c r="W115" s="11">
        <f t="shared" si="33"/>
        <v>0</v>
      </c>
      <c r="X115" s="11">
        <f t="shared" si="25"/>
        <v>0</v>
      </c>
      <c r="Y115" s="11">
        <f t="shared" si="34"/>
        <v>0</v>
      </c>
      <c r="Z115" s="37">
        <v>1</v>
      </c>
      <c r="AA115" s="36">
        <f t="shared" si="26"/>
        <v>1</v>
      </c>
      <c r="AB115" s="36">
        <f t="shared" si="27"/>
        <v>0.28000000000000003</v>
      </c>
      <c r="AC115" s="11">
        <f t="shared" si="28"/>
        <v>0</v>
      </c>
      <c r="AD115" s="36">
        <f t="shared" si="35"/>
        <v>0</v>
      </c>
      <c r="AE115" s="36"/>
      <c r="AF115" s="36">
        <f>IFERROR(VLOOKUP(AE115,'Chemical Cost'!A:D,4,0),0)</f>
        <v>0</v>
      </c>
      <c r="AG115" s="114">
        <f t="shared" si="29"/>
        <v>0</v>
      </c>
      <c r="AH115" s="36">
        <f t="shared" si="36"/>
        <v>0</v>
      </c>
      <c r="AI115" s="36">
        <f t="shared" si="37"/>
        <v>0.28000000000000003</v>
      </c>
      <c r="AJ115" s="36">
        <f>IFERROR(VLOOKUP(A115,'All Products'!A:F,6,0),0)</f>
        <v>3.27</v>
      </c>
      <c r="AK115" s="36"/>
      <c r="AL115" s="23">
        <v>1</v>
      </c>
      <c r="AM115" s="23"/>
      <c r="AN115" s="54" t="s">
        <v>543</v>
      </c>
      <c r="AO115" s="47"/>
      <c r="AP115" s="4">
        <v>1.6</v>
      </c>
      <c r="AQ115" s="111">
        <f t="shared" si="30"/>
        <v>0</v>
      </c>
      <c r="AR115">
        <f>_xlfn.XLOOKUP(F115,'RM Cost'!A:A,'RM Cost'!S:S)</f>
        <v>0</v>
      </c>
      <c r="AS115" t="str">
        <f>_xlfn.XLOOKUP(A115,[3]Sheet1!$B:$B,[3]Sheet1!$B:$B)</f>
        <v>2364CS</v>
      </c>
      <c r="AT115" t="e">
        <f>_xlfn.XLOOKUP(H115,'Yield &amp; Time'!A:A,'Yield &amp; Time'!F:F)</f>
        <v>#N/A</v>
      </c>
    </row>
    <row r="116" spans="1:46" x14ac:dyDescent="0.25">
      <c r="A116" s="2" t="s">
        <v>650</v>
      </c>
      <c r="B116" s="2" t="s">
        <v>552</v>
      </c>
      <c r="C116" s="2" t="s">
        <v>651</v>
      </c>
      <c r="D116" s="2" t="s">
        <v>554</v>
      </c>
      <c r="E116" s="2">
        <v>2.5</v>
      </c>
      <c r="F116" s="1" t="str">
        <f>VLOOKUP(H116,'RM Used'!A:B,2,0)</f>
        <v>032ACS</v>
      </c>
      <c r="G116" s="1" t="str">
        <f>IFERROR(VLOOKUP(F116,'RM Cost'!A:B,2,0),"")</f>
        <v>RM - LRG PROCESSING CARROT X 1000KG</v>
      </c>
      <c r="H116" s="2" t="s">
        <v>1342</v>
      </c>
      <c r="I116" s="1" t="str">
        <f>VLOOKUP(F116,'RM Used'!B:D,3,0)</f>
        <v>RM-FOOD</v>
      </c>
      <c r="J116" s="66">
        <v>0.25</v>
      </c>
      <c r="K116" s="35">
        <f t="shared" si="21"/>
        <v>0.625</v>
      </c>
      <c r="L116" s="35">
        <f t="shared" si="22"/>
        <v>0.625</v>
      </c>
      <c r="M116" s="77" cm="1">
        <f t="array" ref="M116">_xlfn.IFS(BOM!I116="RM-PACKING","100%",B116="Reynolds",VLOOKUP(H116,'Yield &amp; Time'!A:V,22,0),BOM!B116="Dnata",VLOOKUP(BOM!H116,'Yield &amp; Time'!A:M,13,0),B116="NK",VLOOKUP(H116,'Yield &amp; Time'!A:X,24,0))</f>
        <v>0.71506673850809344</v>
      </c>
      <c r="N116" s="35">
        <f t="shared" si="40"/>
        <v>0.87404429033294484</v>
      </c>
      <c r="O116" s="1" t="str">
        <f>VLOOKUP(H116,'RM Used'!A:E,5,0)</f>
        <v>KG</v>
      </c>
      <c r="P116" s="11">
        <f>VLOOKUP(H116,'RM Used'!A:F,6,0)</f>
        <v>0.38</v>
      </c>
      <c r="Q116" s="11">
        <f t="shared" si="31"/>
        <v>0.33213683032651903</v>
      </c>
      <c r="R116" s="11">
        <f>IFERROR(IF(B116="Reynolds",VLOOKUP(H116,'Yield &amp; Time'!A:U,21,0),VLOOKUP(H116,'Yield &amp; Time'!A:L,12,0)),0)</f>
        <v>1.2475449219522261</v>
      </c>
      <c r="S116" s="11">
        <f t="shared" si="23"/>
        <v>0.26393372255051784</v>
      </c>
      <c r="T116" s="11">
        <f t="shared" si="24"/>
        <v>1.2995259603669021E-2</v>
      </c>
      <c r="U116" s="11">
        <f>IF(A115=A116,0,VLOOKUP(A116,'Packing Time'!A:F,6,0))</f>
        <v>0.875</v>
      </c>
      <c r="V116" s="11">
        <f t="shared" si="32"/>
        <v>0.29618749999999999</v>
      </c>
      <c r="W116" s="11">
        <f t="shared" si="33"/>
        <v>1.4583333333333334E-2</v>
      </c>
      <c r="X116" s="11">
        <f t="shared" si="25"/>
        <v>0.89619395608082852</v>
      </c>
      <c r="Y116" s="11">
        <f t="shared" si="34"/>
        <v>0.89619395608082852</v>
      </c>
      <c r="Z116" s="37">
        <v>1</v>
      </c>
      <c r="AA116" s="36">
        <f t="shared" si="26"/>
        <v>0.87404429033294484</v>
      </c>
      <c r="AB116" s="36">
        <f t="shared" si="27"/>
        <v>0.33213683032651903</v>
      </c>
      <c r="AC116" s="11">
        <f t="shared" si="28"/>
        <v>4.4125748699203771E-2</v>
      </c>
      <c r="AD116" s="36">
        <f t="shared" si="35"/>
        <v>0.89619395608082852</v>
      </c>
      <c r="AE116" s="36"/>
      <c r="AF116" s="36">
        <f>IFERROR(VLOOKUP(AE116,'Chemical Cost'!A:D,4,0),0)</f>
        <v>0</v>
      </c>
      <c r="AG116" s="114">
        <f t="shared" si="29"/>
        <v>0</v>
      </c>
      <c r="AH116" s="36">
        <f t="shared" si="36"/>
        <v>0</v>
      </c>
      <c r="AI116" s="36">
        <f t="shared" si="37"/>
        <v>1.2283307864073476</v>
      </c>
      <c r="AJ116" s="36">
        <f>IFERROR(VLOOKUP(A116,'All Products'!A:F,6,0),0)</f>
        <v>7.9</v>
      </c>
      <c r="AK116" s="36">
        <f>AJ116*Z116*J116</f>
        <v>1.9750000000000001</v>
      </c>
      <c r="AL116" s="23">
        <v>1</v>
      </c>
      <c r="AM116" s="23"/>
      <c r="AN116" s="54" t="e">
        <v>#N/A</v>
      </c>
      <c r="AO116" s="47"/>
      <c r="AP116" s="4">
        <v>1.6</v>
      </c>
      <c r="AQ116" s="111">
        <f t="shared" si="30"/>
        <v>4.4125748699203771E-2</v>
      </c>
      <c r="AR116">
        <f>_xlfn.XLOOKUP(F116,'RM Cost'!A:A,'RM Cost'!S:S)</f>
        <v>0</v>
      </c>
      <c r="AS116" t="e">
        <f>_xlfn.XLOOKUP(A116,[3]Sheet1!$B:$B,[3]Sheet1!$B:$B)</f>
        <v>#N/A</v>
      </c>
    </row>
    <row r="117" spans="1:46" x14ac:dyDescent="0.25">
      <c r="A117" s="2" t="s">
        <v>650</v>
      </c>
      <c r="B117" s="2" t="s">
        <v>552</v>
      </c>
      <c r="C117" s="2" t="s">
        <v>651</v>
      </c>
      <c r="D117" s="2" t="s">
        <v>554</v>
      </c>
      <c r="E117" s="2">
        <v>2.5</v>
      </c>
      <c r="F117" s="1" t="str">
        <f>VLOOKUP(H117,'RM Used'!A:B,2,0)</f>
        <v>3277CS</v>
      </c>
      <c r="G117" s="1" t="str">
        <f>IFERROR(VLOOKUP(F117,'RM Cost'!A:B,2,0),"")</f>
        <v>RM - SWEDE 12.5KG</v>
      </c>
      <c r="H117" s="2" t="s">
        <v>1344</v>
      </c>
      <c r="I117" s="1" t="str">
        <f>VLOOKUP(F117,'RM Used'!B:D,3,0)</f>
        <v>RM-FOOD</v>
      </c>
      <c r="J117" s="66">
        <v>0.25</v>
      </c>
      <c r="K117" s="35">
        <f t="shared" si="21"/>
        <v>0.625</v>
      </c>
      <c r="L117" s="35">
        <f t="shared" si="22"/>
        <v>0.625</v>
      </c>
      <c r="M117" s="77" cm="1">
        <f t="array" ref="M117">_xlfn.IFS(BOM!I117="RM-PACKING","100%",B117="Reynolds",VLOOKUP(H117,'Yield &amp; Time'!A:V,22,0),BOM!B117="Dnata",VLOOKUP(BOM!H117,'Yield &amp; Time'!A:M,13,0),B117="NK",VLOOKUP(H117,'Yield &amp; Time'!A:X,24,0))</f>
        <v>0.82357723577235775</v>
      </c>
      <c r="N117" s="35">
        <f t="shared" si="40"/>
        <v>0.75888450148075026</v>
      </c>
      <c r="O117" s="1" t="str">
        <f>VLOOKUP(H117,'RM Used'!A:E,5,0)</f>
        <v>KG</v>
      </c>
      <c r="P117" s="11">
        <f>VLOOKUP(H117,'RM Used'!A:F,6,0)</f>
        <v>0.52</v>
      </c>
      <c r="Q117" s="11">
        <f t="shared" si="31"/>
        <v>0.39461994076999013</v>
      </c>
      <c r="R117" s="11">
        <f>IFERROR(IF(B117="Reynolds",VLOOKUP(H117,'Yield &amp; Time'!A:U,21,0),VLOOKUP(H117,'Yield &amp; Time'!A:L,12,0)),0)</f>
        <v>1.9442894544830251</v>
      </c>
      <c r="S117" s="11">
        <f t="shared" si="23"/>
        <v>0.41133873771406498</v>
      </c>
      <c r="T117" s="11">
        <f t="shared" si="24"/>
        <v>2.0253015150864848E-2</v>
      </c>
      <c r="U117" s="11">
        <f>IF(A116=A117,0,VLOOKUP(A117,'Packing Time'!A:F,6,0))</f>
        <v>0</v>
      </c>
      <c r="V117" s="11">
        <f t="shared" si="32"/>
        <v>0</v>
      </c>
      <c r="W117" s="11">
        <f t="shared" si="33"/>
        <v>0</v>
      </c>
      <c r="X117" s="11">
        <f t="shared" si="25"/>
        <v>0.65814198034250404</v>
      </c>
      <c r="Y117" s="11">
        <f t="shared" si="34"/>
        <v>0.65814198034250404</v>
      </c>
      <c r="Z117" s="37">
        <v>1</v>
      </c>
      <c r="AA117" s="36">
        <f t="shared" si="26"/>
        <v>0.75888450148075026</v>
      </c>
      <c r="AB117" s="36">
        <f t="shared" si="27"/>
        <v>0.39461994076999013</v>
      </c>
      <c r="AC117" s="11">
        <f t="shared" si="28"/>
        <v>3.2404824241383759E-2</v>
      </c>
      <c r="AD117" s="36">
        <f t="shared" si="35"/>
        <v>0.65814198034250415</v>
      </c>
      <c r="AE117" s="36"/>
      <c r="AF117" s="36">
        <f>IFERROR(VLOOKUP(AE117,'Chemical Cost'!A:D,4,0),0)</f>
        <v>0</v>
      </c>
      <c r="AG117" s="114">
        <f t="shared" si="29"/>
        <v>0</v>
      </c>
      <c r="AH117" s="36">
        <f t="shared" si="36"/>
        <v>0</v>
      </c>
      <c r="AI117" s="36">
        <f t="shared" si="37"/>
        <v>1.0527619211124941</v>
      </c>
      <c r="AJ117" s="36">
        <f>IFERROR(VLOOKUP(A117,'All Products'!A:F,6,0),0)</f>
        <v>7.9</v>
      </c>
      <c r="AK117" s="36">
        <f>AJ117*Z117*J117</f>
        <v>1.9750000000000001</v>
      </c>
      <c r="AL117" s="23">
        <v>1</v>
      </c>
      <c r="AM117" s="23"/>
      <c r="AN117" s="54" t="e">
        <v>#N/A</v>
      </c>
      <c r="AO117" s="47"/>
      <c r="AP117" s="4">
        <v>1.6</v>
      </c>
      <c r="AQ117" s="111">
        <f t="shared" si="30"/>
        <v>3.2404824241383759E-2</v>
      </c>
      <c r="AR117">
        <f>_xlfn.XLOOKUP(F117,'RM Cost'!A:A,'RM Cost'!S:S)</f>
        <v>0</v>
      </c>
      <c r="AS117" t="e">
        <f>_xlfn.XLOOKUP(A117,[3]Sheet1!$B:$B,[3]Sheet1!$B:$B)</f>
        <v>#N/A</v>
      </c>
    </row>
    <row r="118" spans="1:46" x14ac:dyDescent="0.25">
      <c r="A118" s="2" t="s">
        <v>650</v>
      </c>
      <c r="B118" s="2" t="s">
        <v>552</v>
      </c>
      <c r="C118" s="2" t="s">
        <v>651</v>
      </c>
      <c r="D118" s="2" t="s">
        <v>554</v>
      </c>
      <c r="E118" s="2">
        <v>2.5</v>
      </c>
      <c r="F118" s="1" t="str">
        <f>VLOOKUP(H118,'RM Used'!A:B,2,0)</f>
        <v>3288CS</v>
      </c>
      <c r="G118" s="1" t="str">
        <f>IFERROR(VLOOKUP(F118,'RM Cost'!A:B,2,0),"")</f>
        <v>RM - TURNIPS X5KG</v>
      </c>
      <c r="H118" s="2" t="s">
        <v>1361</v>
      </c>
      <c r="I118" s="1" t="str">
        <f>VLOOKUP(F118,'RM Used'!B:D,3,0)</f>
        <v>RM-FOOD</v>
      </c>
      <c r="J118" s="66">
        <v>0.25</v>
      </c>
      <c r="K118" s="35">
        <f t="shared" si="21"/>
        <v>0.625</v>
      </c>
      <c r="L118" s="35">
        <f t="shared" si="22"/>
        <v>0.625</v>
      </c>
      <c r="M118" s="77" cm="1">
        <f t="array" ref="M118">_xlfn.IFS(BOM!I118="RM-PACKING","100%",B118="Reynolds",VLOOKUP(H118,'Yield &amp; Time'!A:V,22,0),BOM!B118="Dnata",VLOOKUP(BOM!H118,'Yield &amp; Time'!A:M,13,0),B118="NK",VLOOKUP(H118,'Yield &amp; Time'!A:X,24,0))</f>
        <v>0.76295420289855076</v>
      </c>
      <c r="N118" s="35">
        <f t="shared" si="40"/>
        <v>0.81918416285742068</v>
      </c>
      <c r="O118" s="1" t="str">
        <f>VLOOKUP(H118,'RM Used'!A:E,5,0)</f>
        <v>KG</v>
      </c>
      <c r="P118" s="11">
        <f>VLOOKUP(H118,'RM Used'!A:F,6,0)</f>
        <v>0.68</v>
      </c>
      <c r="Q118" s="11">
        <f t="shared" si="31"/>
        <v>0.55704523074304613</v>
      </c>
      <c r="R118" s="11">
        <f>IFERROR(IF(B118="Reynolds",VLOOKUP(H118,'Yield &amp; Time'!A:U,21,0),VLOOKUP(H118,'Yield &amp; Time'!A:L,12,0)),0)</f>
        <v>2.3746747957595802</v>
      </c>
      <c r="S118" s="11">
        <f t="shared" si="23"/>
        <v>0.50239213647788616</v>
      </c>
      <c r="T118" s="11">
        <f t="shared" si="24"/>
        <v>2.4736195789162294E-2</v>
      </c>
      <c r="U118" s="11">
        <f>IF(A117=A118,0,VLOOKUP(A118,'Packing Time'!A:F,6,0))</f>
        <v>0</v>
      </c>
      <c r="V118" s="11">
        <f t="shared" si="32"/>
        <v>0</v>
      </c>
      <c r="W118" s="11">
        <f t="shared" si="33"/>
        <v>0</v>
      </c>
      <c r="X118" s="11">
        <f t="shared" si="25"/>
        <v>0.80382741836461791</v>
      </c>
      <c r="Y118" s="11">
        <f t="shared" si="34"/>
        <v>0.80382741836461791</v>
      </c>
      <c r="Z118" s="37">
        <v>1</v>
      </c>
      <c r="AA118" s="36">
        <f t="shared" si="26"/>
        <v>0.81918416285742068</v>
      </c>
      <c r="AB118" s="36">
        <f t="shared" si="27"/>
        <v>0.55704523074304613</v>
      </c>
      <c r="AC118" s="11">
        <f t="shared" si="28"/>
        <v>3.9577913262659671E-2</v>
      </c>
      <c r="AD118" s="36">
        <f t="shared" si="35"/>
        <v>0.8038274183646178</v>
      </c>
      <c r="AE118" s="36"/>
      <c r="AF118" s="36">
        <f>IFERROR(VLOOKUP(AE118,'Chemical Cost'!A:D,4,0),0)</f>
        <v>0</v>
      </c>
      <c r="AG118" s="114">
        <f t="shared" si="29"/>
        <v>0</v>
      </c>
      <c r="AH118" s="36">
        <f t="shared" si="36"/>
        <v>0</v>
      </c>
      <c r="AI118" s="36">
        <f t="shared" si="37"/>
        <v>1.3608726491076641</v>
      </c>
      <c r="AJ118" s="36">
        <f>IFERROR(VLOOKUP(A118,'All Products'!A:F,6,0),0)</f>
        <v>7.9</v>
      </c>
      <c r="AK118" s="36">
        <f>AJ118*Z118*J118</f>
        <v>1.9750000000000001</v>
      </c>
      <c r="AL118" s="23">
        <v>1</v>
      </c>
      <c r="AM118" s="23"/>
      <c r="AN118" s="54" t="e">
        <v>#N/A</v>
      </c>
      <c r="AO118" s="47"/>
      <c r="AP118" s="4">
        <v>1.6</v>
      </c>
      <c r="AQ118" s="111">
        <f t="shared" si="30"/>
        <v>3.9577913262659671E-2</v>
      </c>
      <c r="AR118">
        <f>_xlfn.XLOOKUP(F118,'RM Cost'!A:A,'RM Cost'!S:S)</f>
        <v>0</v>
      </c>
      <c r="AS118" t="e">
        <f>_xlfn.XLOOKUP(A118,[3]Sheet1!$B:$B,[3]Sheet1!$B:$B)</f>
        <v>#N/A</v>
      </c>
    </row>
    <row r="119" spans="1:46" x14ac:dyDescent="0.25">
      <c r="A119" s="2" t="s">
        <v>650</v>
      </c>
      <c r="B119" s="2" t="s">
        <v>552</v>
      </c>
      <c r="C119" s="2" t="s">
        <v>651</v>
      </c>
      <c r="D119" s="2" t="s">
        <v>554</v>
      </c>
      <c r="E119" s="2">
        <v>2.5</v>
      </c>
      <c r="F119" s="1" t="str">
        <f>VLOOKUP(H119,'RM Used'!A:B,2,0)</f>
        <v>3191CS</v>
      </c>
      <c r="G119" s="1" t="str">
        <f>IFERROR(VLOOKUP(F119,'RM Cost'!A:B,2,0),"")</f>
        <v>RM - PARSNIPS 10KG</v>
      </c>
      <c r="H119" s="2" t="s">
        <v>1670</v>
      </c>
      <c r="I119" s="1" t="str">
        <f>VLOOKUP(F119,'RM Used'!B:D,3,0)</f>
        <v>RM-FOOD</v>
      </c>
      <c r="J119" s="66">
        <v>0.25</v>
      </c>
      <c r="K119" s="35">
        <f t="shared" si="21"/>
        <v>0.625</v>
      </c>
      <c r="L119" s="35">
        <f t="shared" si="22"/>
        <v>0.625</v>
      </c>
      <c r="M119" s="77" cm="1">
        <f t="array" ref="M119">_xlfn.IFS(BOM!I119="RM-PACKING","100%",B119="Reynolds",VLOOKUP(H119,'Yield &amp; Time'!A:V,22,0),BOM!B119="Dnata",VLOOKUP(BOM!H119,'Yield &amp; Time'!A:M,13,0),B119="NK",VLOOKUP(H119,'Yield &amp; Time'!A:X,24,0))</f>
        <v>0.55242718446601946</v>
      </c>
      <c r="N119" s="35">
        <f t="shared" si="40"/>
        <v>1.1313708260105446</v>
      </c>
      <c r="O119" s="1" t="str">
        <f>VLOOKUP(H119,'RM Used'!A:E,5,0)</f>
        <v>KG</v>
      </c>
      <c r="P119" s="11">
        <f>VLOOKUP(H119,'RM Used'!A:F,6,0)</f>
        <v>0.76</v>
      </c>
      <c r="Q119" s="11">
        <f t="shared" si="31"/>
        <v>0.85984182776801388</v>
      </c>
      <c r="R119" s="11">
        <f>IFERROR(IF(B119="Reynolds",VLOOKUP(H119,'Yield &amp; Time'!A:U,21,0),VLOOKUP(H119,'Yield &amp; Time'!A:L,12,0)),0)</f>
        <v>7.7801405975395426</v>
      </c>
      <c r="S119" s="11">
        <f t="shared" si="23"/>
        <v>1.6459859951669593</v>
      </c>
      <c r="T119" s="11">
        <f t="shared" si="24"/>
        <v>8.1043131224370235E-2</v>
      </c>
      <c r="U119" s="11">
        <f>IF(A118=A119,0,VLOOKUP(A119,'Packing Time'!A:F,6,0))</f>
        <v>0</v>
      </c>
      <c r="V119" s="11">
        <f t="shared" si="32"/>
        <v>0</v>
      </c>
      <c r="W119" s="11">
        <f t="shared" si="33"/>
        <v>0</v>
      </c>
      <c r="X119" s="11">
        <f t="shared" si="25"/>
        <v>2.6335775922671352</v>
      </c>
      <c r="Y119" s="11">
        <f t="shared" si="34"/>
        <v>2.6335775922671352</v>
      </c>
      <c r="Z119" s="37">
        <v>1</v>
      </c>
      <c r="AA119" s="36">
        <f t="shared" si="26"/>
        <v>1.1313708260105446</v>
      </c>
      <c r="AB119" s="36">
        <f t="shared" si="27"/>
        <v>0.85984182776801388</v>
      </c>
      <c r="AC119" s="11">
        <f t="shared" si="28"/>
        <v>0.12966900995899239</v>
      </c>
      <c r="AD119" s="36">
        <f t="shared" si="35"/>
        <v>2.6335775922671352</v>
      </c>
      <c r="AE119" s="36" t="str">
        <f>VLOOKUP(H119,'Yield &amp; Time'!A:R,18,0)</f>
        <v>SODIUM METABISULPHITE</v>
      </c>
      <c r="AF119" s="36">
        <f>IFERROR(VLOOKUP(AE119,'Chemical Cost'!A:D,4,0),0)</f>
        <v>9.7586225455882462E-3</v>
      </c>
      <c r="AG119" s="114">
        <f t="shared" si="29"/>
        <v>3.6802069500424324E-3</v>
      </c>
      <c r="AH119" s="36">
        <f t="shared" si="36"/>
        <v>3.6802069500424324E-3</v>
      </c>
      <c r="AI119" s="36">
        <f t="shared" si="37"/>
        <v>3.4970996269851917</v>
      </c>
      <c r="AJ119" s="36">
        <f>IFERROR(VLOOKUP(A119,'All Products'!A:F,6,0),0)</f>
        <v>7.9</v>
      </c>
      <c r="AK119" s="36">
        <f>AJ119*Z119*J119</f>
        <v>1.9750000000000001</v>
      </c>
      <c r="AL119" s="23">
        <v>1</v>
      </c>
      <c r="AM119" s="23"/>
      <c r="AN119" s="54" t="e">
        <v>#N/A</v>
      </c>
      <c r="AO119" s="47"/>
      <c r="AP119" s="4">
        <v>1.6</v>
      </c>
      <c r="AQ119" s="111">
        <f t="shared" si="30"/>
        <v>0.12966900995899239</v>
      </c>
      <c r="AR119">
        <f>_xlfn.XLOOKUP(F119,'RM Cost'!A:A,'RM Cost'!S:S)</f>
        <v>0</v>
      </c>
      <c r="AS119" t="e">
        <f>_xlfn.XLOOKUP(A119,[3]Sheet1!$B:$B,[3]Sheet1!$B:$B)</f>
        <v>#N/A</v>
      </c>
    </row>
    <row r="120" spans="1:46" x14ac:dyDescent="0.25">
      <c r="A120" s="2" t="s">
        <v>650</v>
      </c>
      <c r="B120" s="2" t="s">
        <v>552</v>
      </c>
      <c r="C120" s="2" t="s">
        <v>651</v>
      </c>
      <c r="D120" s="2" t="s">
        <v>554</v>
      </c>
      <c r="E120" s="2">
        <v>2.5</v>
      </c>
      <c r="F120" s="1" t="str">
        <f>VLOOKUP(H120,'RM Used'!A:B,2,0)</f>
        <v>P0020</v>
      </c>
      <c r="G120" s="1" t="str">
        <f>IFERROR(VLOOKUP(F120,'RM Cost'!A:B,2,0),"")</f>
        <v>PALE BLUE BAG 430X430MM</v>
      </c>
      <c r="H120" s="2" t="s">
        <v>1659</v>
      </c>
      <c r="I120" s="1" t="str">
        <f>VLOOKUP(F120,'RM Used'!B:D,3,0)</f>
        <v>RM-PACKING</v>
      </c>
      <c r="J120" s="66">
        <v>1</v>
      </c>
      <c r="K120" s="35" t="str">
        <f t="shared" si="21"/>
        <v/>
      </c>
      <c r="L120" s="35">
        <f t="shared" si="22"/>
        <v>0</v>
      </c>
      <c r="M120" s="77" t="str" cm="1">
        <f t="array" ref="M120">_xlfn.IFS(BOM!I120="RM-PACKING","100%",B120="Reynolds",VLOOKUP(H120,'Yield &amp; Time'!A:V,22,0),BOM!B120="Dnata",VLOOKUP(BOM!H120,'Yield &amp; Time'!A:M,13,0),B120="NK",VLOOKUP(H120,'Yield &amp; Time'!A:X,24,0))</f>
        <v>100%</v>
      </c>
      <c r="N120" s="35">
        <f t="shared" si="40"/>
        <v>1</v>
      </c>
      <c r="O120" s="1" t="str">
        <f>VLOOKUP(H120,'RM Used'!A:E,5,0)</f>
        <v>Count</v>
      </c>
      <c r="P120" s="11">
        <f>VLOOKUP(H120,'RM Used'!A:F,6,0)</f>
        <v>0.09</v>
      </c>
      <c r="Q120" s="11">
        <f t="shared" si="31"/>
        <v>0.09</v>
      </c>
      <c r="R120" s="11">
        <f>IFERROR(IF(B120="Reynolds",VLOOKUP(H120,'Yield &amp; Time'!A:U,21,0),VLOOKUP(H120,'Yield &amp; Time'!A:L,12,0)),0)</f>
        <v>0</v>
      </c>
      <c r="S120" s="11">
        <f t="shared" si="23"/>
        <v>0</v>
      </c>
      <c r="T120" s="11">
        <f t="shared" si="24"/>
        <v>0</v>
      </c>
      <c r="U120" s="11">
        <f>IF(A119=A120,0,VLOOKUP(A120,'Packing Time'!A:F,6,0))</f>
        <v>0</v>
      </c>
      <c r="V120" s="11">
        <f t="shared" si="32"/>
        <v>0</v>
      </c>
      <c r="W120" s="11">
        <f t="shared" si="33"/>
        <v>0</v>
      </c>
      <c r="X120" s="11">
        <f t="shared" si="25"/>
        <v>0</v>
      </c>
      <c r="Y120" s="11">
        <f t="shared" si="34"/>
        <v>0</v>
      </c>
      <c r="Z120" s="37">
        <v>1</v>
      </c>
      <c r="AA120" s="36">
        <f t="shared" si="26"/>
        <v>1</v>
      </c>
      <c r="AB120" s="36">
        <f t="shared" si="27"/>
        <v>0.09</v>
      </c>
      <c r="AC120" s="11">
        <f t="shared" si="28"/>
        <v>0</v>
      </c>
      <c r="AD120" s="36">
        <f t="shared" si="35"/>
        <v>0</v>
      </c>
      <c r="AE120" s="36"/>
      <c r="AF120" s="36">
        <f>IFERROR(VLOOKUP(AE120,'Chemical Cost'!A:D,4,0),0)</f>
        <v>0</v>
      </c>
      <c r="AG120" s="114">
        <f t="shared" si="29"/>
        <v>0</v>
      </c>
      <c r="AH120" s="36">
        <f t="shared" si="36"/>
        <v>0</v>
      </c>
      <c r="AI120" s="36">
        <f t="shared" si="37"/>
        <v>0.09</v>
      </c>
      <c r="AJ120" s="36">
        <f>IFERROR(VLOOKUP(A120,'All Products'!A:F,6,0),0)</f>
        <v>7.9</v>
      </c>
      <c r="AK120" s="36"/>
      <c r="AL120" s="23">
        <v>1</v>
      </c>
      <c r="AM120" s="23"/>
      <c r="AN120" s="54" t="e">
        <v>#N/A</v>
      </c>
      <c r="AO120" s="47"/>
      <c r="AP120" s="4">
        <v>1.6</v>
      </c>
      <c r="AQ120" s="111">
        <f t="shared" si="30"/>
        <v>0</v>
      </c>
      <c r="AR120">
        <f>_xlfn.XLOOKUP(F120,'RM Cost'!A:A,'RM Cost'!S:S)</f>
        <v>0</v>
      </c>
      <c r="AS120" t="e">
        <f>_xlfn.XLOOKUP(A120,[3]Sheet1!$B:$B,[3]Sheet1!$B:$B)</f>
        <v>#N/A</v>
      </c>
    </row>
    <row r="121" spans="1:46" x14ac:dyDescent="0.25">
      <c r="A121" s="2" t="s">
        <v>650</v>
      </c>
      <c r="B121" s="2" t="s">
        <v>552</v>
      </c>
      <c r="C121" s="2" t="s">
        <v>651</v>
      </c>
      <c r="D121" s="2" t="s">
        <v>554</v>
      </c>
      <c r="E121" s="2">
        <v>2.5</v>
      </c>
      <c r="F121" s="1" t="str">
        <f>VLOOKUP(H121,'RM Used'!A:B,2,0)</f>
        <v>P0016</v>
      </c>
      <c r="G121" s="1" t="str">
        <f>IFERROR(VLOOKUP(F121,'RM Cost'!A:B,2,0),"")</f>
        <v>REY 40 30 BOX</v>
      </c>
      <c r="H121" s="2" t="s">
        <v>1332</v>
      </c>
      <c r="I121" s="1" t="str">
        <f>VLOOKUP(F121,'RM Used'!B:D,3,0)</f>
        <v>RM-PACKING</v>
      </c>
      <c r="J121" s="66">
        <v>1</v>
      </c>
      <c r="K121" s="35" t="str">
        <f t="shared" si="21"/>
        <v/>
      </c>
      <c r="L121" s="35">
        <f t="shared" si="22"/>
        <v>0</v>
      </c>
      <c r="M121" s="77" t="str" cm="1">
        <f t="array" ref="M121">_xlfn.IFS(BOM!I121="RM-PACKING","100%",B121="Reynolds",VLOOKUP(H121,'Yield &amp; Time'!A:V,22,0),BOM!B121="Dnata",VLOOKUP(BOM!H121,'Yield &amp; Time'!A:M,13,0),B121="NK",VLOOKUP(H121,'Yield &amp; Time'!A:X,24,0))</f>
        <v>100%</v>
      </c>
      <c r="N121" s="35">
        <f t="shared" si="40"/>
        <v>1</v>
      </c>
      <c r="O121" s="1" t="str">
        <f>VLOOKUP(H121,'RM Used'!A:E,5,0)</f>
        <v>Count</v>
      </c>
      <c r="P121" s="11">
        <f>VLOOKUP(H121,'RM Used'!A:F,6,0)</f>
        <v>0.28000000000000003</v>
      </c>
      <c r="Q121" s="11">
        <f t="shared" si="31"/>
        <v>0.28000000000000003</v>
      </c>
      <c r="R121" s="11">
        <f>IFERROR(IF(B121="Reynolds",VLOOKUP(H121,'Yield &amp; Time'!A:U,21,0),VLOOKUP(H121,'Yield &amp; Time'!A:L,12,0)),0)</f>
        <v>0</v>
      </c>
      <c r="S121" s="11">
        <f t="shared" si="23"/>
        <v>0</v>
      </c>
      <c r="T121" s="11">
        <f t="shared" si="24"/>
        <v>0</v>
      </c>
      <c r="U121" s="11">
        <f>IF(A120=A121,0,VLOOKUP(A121,'Packing Time'!A:F,6,0))</f>
        <v>0</v>
      </c>
      <c r="V121" s="11">
        <f t="shared" si="32"/>
        <v>0</v>
      </c>
      <c r="W121" s="11">
        <f t="shared" si="33"/>
        <v>0</v>
      </c>
      <c r="X121" s="11">
        <f t="shared" si="25"/>
        <v>0</v>
      </c>
      <c r="Y121" s="11">
        <f t="shared" si="34"/>
        <v>0</v>
      </c>
      <c r="Z121" s="37">
        <v>1</v>
      </c>
      <c r="AA121" s="36">
        <f t="shared" si="26"/>
        <v>1</v>
      </c>
      <c r="AB121" s="36">
        <f t="shared" si="27"/>
        <v>0.28000000000000003</v>
      </c>
      <c r="AC121" s="11">
        <f t="shared" si="28"/>
        <v>0</v>
      </c>
      <c r="AD121" s="36">
        <f t="shared" si="35"/>
        <v>0</v>
      </c>
      <c r="AE121" s="36"/>
      <c r="AF121" s="36">
        <f>IFERROR(VLOOKUP(AE121,'Chemical Cost'!A:D,4,0),0)</f>
        <v>0</v>
      </c>
      <c r="AG121" s="114">
        <f t="shared" si="29"/>
        <v>0</v>
      </c>
      <c r="AH121" s="36">
        <f t="shared" si="36"/>
        <v>0</v>
      </c>
      <c r="AI121" s="36">
        <f t="shared" si="37"/>
        <v>0.28000000000000003</v>
      </c>
      <c r="AJ121" s="36">
        <f>IFERROR(VLOOKUP(A121,'All Products'!A:F,6,0),0)</f>
        <v>7.9</v>
      </c>
      <c r="AK121" s="36"/>
      <c r="AL121" s="23">
        <v>1</v>
      </c>
      <c r="AM121" s="23"/>
      <c r="AN121" s="54" t="e">
        <v>#N/A</v>
      </c>
      <c r="AO121" s="47"/>
      <c r="AP121" s="4">
        <v>1.6</v>
      </c>
      <c r="AQ121" s="111">
        <f t="shared" si="30"/>
        <v>0</v>
      </c>
      <c r="AR121">
        <f>_xlfn.XLOOKUP(F121,'RM Cost'!A:A,'RM Cost'!S:S)</f>
        <v>0</v>
      </c>
      <c r="AS121" t="e">
        <f>_xlfn.XLOOKUP(A121,[3]Sheet1!$B:$B,[3]Sheet1!$B:$B)</f>
        <v>#N/A</v>
      </c>
    </row>
    <row r="122" spans="1:46" x14ac:dyDescent="0.25">
      <c r="A122" s="2" t="s">
        <v>126</v>
      </c>
      <c r="B122" s="2" t="s">
        <v>552</v>
      </c>
      <c r="C122" s="2" t="s">
        <v>127</v>
      </c>
      <c r="D122" s="2" t="s">
        <v>554</v>
      </c>
      <c r="E122" s="2">
        <v>1</v>
      </c>
      <c r="F122" s="1" t="str">
        <f>VLOOKUP(H122,'RM Used'!A:B,2,0)</f>
        <v>032ACS</v>
      </c>
      <c r="G122" s="1" t="str">
        <f>IFERROR(VLOOKUP(F122,'RM Cost'!A:B,2,0),"")</f>
        <v>RM - LRG PROCESSING CARROT X 1000KG</v>
      </c>
      <c r="H122" s="2" t="s">
        <v>1431</v>
      </c>
      <c r="I122" s="1" t="str">
        <f>VLOOKUP(F122,'RM Used'!B:D,3,0)</f>
        <v>RM-FOOD</v>
      </c>
      <c r="J122" s="66">
        <v>1</v>
      </c>
      <c r="K122" s="35">
        <f t="shared" si="21"/>
        <v>1</v>
      </c>
      <c r="L122" s="35">
        <f t="shared" si="22"/>
        <v>1</v>
      </c>
      <c r="M122" s="77" cm="1">
        <f t="array" ref="M122">_xlfn.IFS(BOM!I122="RM-PACKING","100%",B122="Reynolds",VLOOKUP(H122,'Yield &amp; Time'!A:V,22,0),BOM!B122="Dnata",VLOOKUP(BOM!H122,'Yield &amp; Time'!A:M,13,0),B122="NK",VLOOKUP(H122,'Yield &amp; Time'!A:X,24,0))</f>
        <v>0.59308538964496971</v>
      </c>
      <c r="N122" s="35">
        <f t="shared" si="40"/>
        <v>1.6860978494152685</v>
      </c>
      <c r="O122" s="1" t="str">
        <f>VLOOKUP(H122,'RM Used'!A:E,5,0)</f>
        <v>KG</v>
      </c>
      <c r="P122" s="11">
        <f>VLOOKUP(H122,'RM Used'!A:F,6,0)</f>
        <v>0.38</v>
      </c>
      <c r="Q122" s="11">
        <f t="shared" si="31"/>
        <v>0.6407171827778021</v>
      </c>
      <c r="R122" s="11">
        <f>IFERROR(IF(B122="Reynolds",VLOOKUP(H122,'Yield &amp; Time'!A:U,21,0),VLOOKUP(H122,'Yield &amp; Time'!A:L,12,0)),0)</f>
        <v>1</v>
      </c>
      <c r="S122" s="11">
        <f t="shared" si="23"/>
        <v>0.33849999999999997</v>
      </c>
      <c r="T122" s="11">
        <f t="shared" si="24"/>
        <v>1.6666666666666666E-2</v>
      </c>
      <c r="U122" s="11">
        <f>IF(A121=A122,0,VLOOKUP(A122,'Packing Time'!A:F,6,0))</f>
        <v>0.64500000000000002</v>
      </c>
      <c r="V122" s="11">
        <f t="shared" si="32"/>
        <v>0.21833249999999998</v>
      </c>
      <c r="W122" s="11">
        <f t="shared" si="33"/>
        <v>1.0750000000000001E-2</v>
      </c>
      <c r="X122" s="11">
        <f t="shared" si="25"/>
        <v>0.69604062499999997</v>
      </c>
      <c r="Y122" s="11">
        <f t="shared" si="34"/>
        <v>0.69604062499999997</v>
      </c>
      <c r="Z122" s="37">
        <v>1</v>
      </c>
      <c r="AA122" s="36">
        <f t="shared" si="26"/>
        <v>1.6860978494152685</v>
      </c>
      <c r="AB122" s="36">
        <f t="shared" si="27"/>
        <v>0.6407171827778021</v>
      </c>
      <c r="AC122" s="11">
        <f t="shared" si="28"/>
        <v>3.4270833333333334E-2</v>
      </c>
      <c r="AD122" s="36">
        <f t="shared" si="35"/>
        <v>0.69604062499999986</v>
      </c>
      <c r="AE122" s="36" t="str">
        <f>VLOOKUP(H122,'Yield &amp; Time'!A:R,18,0)</f>
        <v>CHLORINE</v>
      </c>
      <c r="AF122" s="36">
        <f>IFERROR(VLOOKUP(AE122,'Chemical Cost'!A:D,4,0),0)</f>
        <v>2.7756518066439469E-2</v>
      </c>
      <c r="AG122" s="114">
        <f t="shared" si="29"/>
        <v>1.5600068473026545E-2</v>
      </c>
      <c r="AH122" s="36">
        <f t="shared" si="36"/>
        <v>1.5600068473026545E-2</v>
      </c>
      <c r="AI122" s="36">
        <f t="shared" si="37"/>
        <v>1.3523578762508286</v>
      </c>
      <c r="AJ122" s="36">
        <f>IFERROR(VLOOKUP(A122,'All Products'!A:F,6,0),0)</f>
        <v>2.0699999999999998</v>
      </c>
      <c r="AK122" s="36">
        <f>AJ122*Z122*J122</f>
        <v>2.0699999999999998</v>
      </c>
      <c r="AL122" s="23">
        <v>0.8</v>
      </c>
      <c r="AM122" s="23">
        <v>0.2</v>
      </c>
      <c r="AN122" s="54" t="e">
        <v>#N/A</v>
      </c>
      <c r="AO122" s="47"/>
      <c r="AP122" s="4">
        <v>1.25</v>
      </c>
      <c r="AQ122" s="111">
        <f t="shared" si="30"/>
        <v>3.4270833333333334E-2</v>
      </c>
      <c r="AR122">
        <f>_xlfn.XLOOKUP(F122,'RM Cost'!A:A,'RM Cost'!S:S)</f>
        <v>0</v>
      </c>
      <c r="AS122" t="str">
        <f>_xlfn.XLOOKUP(A122,[3]Sheet1!$B:$B,[3]Sheet1!$B:$B)</f>
        <v>1118CS</v>
      </c>
      <c r="AT122">
        <f>_xlfn.XLOOKUP(H122,'Yield &amp; Time'!A:A,'Yield &amp; Time'!F:F)</f>
        <v>0</v>
      </c>
    </row>
    <row r="123" spans="1:46" x14ac:dyDescent="0.25">
      <c r="A123" s="2" t="s">
        <v>126</v>
      </c>
      <c r="B123" s="2" t="s">
        <v>552</v>
      </c>
      <c r="C123" s="2" t="s">
        <v>127</v>
      </c>
      <c r="D123" s="2" t="s">
        <v>554</v>
      </c>
      <c r="E123" s="2">
        <v>1</v>
      </c>
      <c r="F123" s="1" t="str">
        <f>VLOOKUP(H123,'RM Used'!A:B,2,0)</f>
        <v>P0020</v>
      </c>
      <c r="G123" s="1" t="str">
        <f>IFERROR(VLOOKUP(F123,'RM Cost'!A:B,2,0),"")</f>
        <v>PALE BLUE BAG 430X430MM</v>
      </c>
      <c r="H123" s="2" t="s">
        <v>1659</v>
      </c>
      <c r="I123" s="1" t="str">
        <f>VLOOKUP(F123,'RM Used'!B:D,3,0)</f>
        <v>RM-PACKING</v>
      </c>
      <c r="J123" s="66">
        <v>1</v>
      </c>
      <c r="K123" s="35" t="str">
        <f t="shared" si="21"/>
        <v/>
      </c>
      <c r="L123" s="35">
        <f t="shared" si="22"/>
        <v>0</v>
      </c>
      <c r="M123" s="77" t="str" cm="1">
        <f t="array" ref="M123">_xlfn.IFS(BOM!I123="RM-PACKING","100%",B123="Reynolds",VLOOKUP(H123,'Yield &amp; Time'!A:V,22,0),BOM!B123="Dnata",VLOOKUP(BOM!H123,'Yield &amp; Time'!A:M,13,0),B123="NK",VLOOKUP(H123,'Yield &amp; Time'!A:X,24,0))</f>
        <v>100%</v>
      </c>
      <c r="N123" s="35">
        <f t="shared" si="40"/>
        <v>1</v>
      </c>
      <c r="O123" s="1" t="str">
        <f>VLOOKUP(H123,'RM Used'!A:E,5,0)</f>
        <v>Count</v>
      </c>
      <c r="P123" s="11">
        <f>VLOOKUP(H123,'RM Used'!A:F,6,0)</f>
        <v>0.09</v>
      </c>
      <c r="Q123" s="11">
        <f t="shared" si="31"/>
        <v>0.09</v>
      </c>
      <c r="R123" s="11">
        <f>IFERROR(IF(B123="Reynolds",VLOOKUP(H123,'Yield &amp; Time'!A:U,21,0),VLOOKUP(H123,'Yield &amp; Time'!A:L,12,0)),0)</f>
        <v>0</v>
      </c>
      <c r="S123" s="11">
        <f t="shared" si="23"/>
        <v>0</v>
      </c>
      <c r="T123" s="11">
        <f t="shared" si="24"/>
        <v>0</v>
      </c>
      <c r="U123" s="11">
        <f>IF(A122=A123,0,VLOOKUP(A123,'Packing Time'!A:F,6,0))</f>
        <v>0</v>
      </c>
      <c r="V123" s="11">
        <f t="shared" si="32"/>
        <v>0</v>
      </c>
      <c r="W123" s="11">
        <f t="shared" si="33"/>
        <v>0</v>
      </c>
      <c r="X123" s="11">
        <f t="shared" si="25"/>
        <v>0</v>
      </c>
      <c r="Y123" s="11">
        <f t="shared" si="34"/>
        <v>0</v>
      </c>
      <c r="Z123" s="37">
        <v>1</v>
      </c>
      <c r="AA123" s="36">
        <f t="shared" si="26"/>
        <v>1</v>
      </c>
      <c r="AB123" s="36">
        <f t="shared" si="27"/>
        <v>0.09</v>
      </c>
      <c r="AC123" s="11">
        <f t="shared" si="28"/>
        <v>0</v>
      </c>
      <c r="AD123" s="36">
        <f t="shared" si="35"/>
        <v>0</v>
      </c>
      <c r="AE123" s="36"/>
      <c r="AF123" s="36">
        <f>IFERROR(VLOOKUP(AE123,'Chemical Cost'!A:D,4,0),0)</f>
        <v>0</v>
      </c>
      <c r="AG123" s="114">
        <f t="shared" si="29"/>
        <v>0</v>
      </c>
      <c r="AH123" s="36">
        <f t="shared" si="36"/>
        <v>0</v>
      </c>
      <c r="AI123" s="36">
        <f t="shared" si="37"/>
        <v>0.09</v>
      </c>
      <c r="AJ123" s="36">
        <f>IFERROR(VLOOKUP(A123,'All Products'!A:F,6,0),0)</f>
        <v>2.0699999999999998</v>
      </c>
      <c r="AK123" s="36"/>
      <c r="AL123" s="23">
        <v>0.8</v>
      </c>
      <c r="AM123" s="23">
        <v>0.2</v>
      </c>
      <c r="AN123" s="54" t="e">
        <v>#N/A</v>
      </c>
      <c r="AO123" s="47"/>
      <c r="AP123" s="4">
        <v>1.25</v>
      </c>
      <c r="AQ123" s="111">
        <f t="shared" si="30"/>
        <v>0</v>
      </c>
      <c r="AR123">
        <f>_xlfn.XLOOKUP(F123,'RM Cost'!A:A,'RM Cost'!S:S)</f>
        <v>0</v>
      </c>
      <c r="AS123" t="str">
        <f>_xlfn.XLOOKUP(A123,[3]Sheet1!$B:$B,[3]Sheet1!$B:$B)</f>
        <v>1118CS</v>
      </c>
      <c r="AT123" t="e">
        <f>_xlfn.XLOOKUP(H123,'Yield &amp; Time'!A:A,'Yield &amp; Time'!F:F)</f>
        <v>#N/A</v>
      </c>
    </row>
    <row r="124" spans="1:46" x14ac:dyDescent="0.25">
      <c r="A124" s="2" t="s">
        <v>126</v>
      </c>
      <c r="B124" s="2" t="s">
        <v>552</v>
      </c>
      <c r="C124" s="2" t="s">
        <v>127</v>
      </c>
      <c r="D124" s="2" t="s">
        <v>554</v>
      </c>
      <c r="E124" s="2">
        <v>1</v>
      </c>
      <c r="F124" s="1" t="str">
        <f>VLOOKUP(H124,'RM Used'!A:B,2,0)</f>
        <v>P0016</v>
      </c>
      <c r="G124" s="1" t="str">
        <f>IFERROR(VLOOKUP(F124,'RM Cost'!A:B,2,0),"")</f>
        <v>REY 40 30 BOX</v>
      </c>
      <c r="H124" s="2" t="s">
        <v>1332</v>
      </c>
      <c r="I124" s="1" t="str">
        <f>VLOOKUP(F124,'RM Used'!B:D,3,0)</f>
        <v>RM-PACKING</v>
      </c>
      <c r="J124" s="66">
        <v>1</v>
      </c>
      <c r="K124" s="35" t="str">
        <f t="shared" si="21"/>
        <v/>
      </c>
      <c r="L124" s="35">
        <f t="shared" si="22"/>
        <v>0</v>
      </c>
      <c r="M124" s="77" t="str" cm="1">
        <f t="array" ref="M124">_xlfn.IFS(BOM!I124="RM-PACKING","100%",B124="Reynolds",VLOOKUP(H124,'Yield &amp; Time'!A:V,22,0),BOM!B124="Dnata",VLOOKUP(BOM!H124,'Yield &amp; Time'!A:M,13,0),B124="NK",VLOOKUP(H124,'Yield &amp; Time'!A:X,24,0))</f>
        <v>100%</v>
      </c>
      <c r="N124" s="35">
        <f t="shared" si="40"/>
        <v>1</v>
      </c>
      <c r="O124" s="1" t="str">
        <f>VLOOKUP(H124,'RM Used'!A:E,5,0)</f>
        <v>Count</v>
      </c>
      <c r="P124" s="11">
        <f>VLOOKUP(H124,'RM Used'!A:F,6,0)</f>
        <v>0.28000000000000003</v>
      </c>
      <c r="Q124" s="11">
        <f t="shared" si="31"/>
        <v>0.28000000000000003</v>
      </c>
      <c r="R124" s="11">
        <f>IFERROR(IF(B124="Reynolds",VLOOKUP(H124,'Yield &amp; Time'!A:U,21,0),VLOOKUP(H124,'Yield &amp; Time'!A:L,12,0)),0)</f>
        <v>0</v>
      </c>
      <c r="S124" s="11">
        <f t="shared" si="23"/>
        <v>0</v>
      </c>
      <c r="T124" s="11">
        <f t="shared" si="24"/>
        <v>0</v>
      </c>
      <c r="U124" s="11">
        <f>IF(A123=A124,0,VLOOKUP(A124,'Packing Time'!A:F,6,0))</f>
        <v>0</v>
      </c>
      <c r="V124" s="11">
        <f t="shared" si="32"/>
        <v>0</v>
      </c>
      <c r="W124" s="11">
        <f t="shared" si="33"/>
        <v>0</v>
      </c>
      <c r="X124" s="11">
        <f t="shared" si="25"/>
        <v>0</v>
      </c>
      <c r="Y124" s="11">
        <f t="shared" si="34"/>
        <v>0</v>
      </c>
      <c r="Z124" s="37">
        <v>1</v>
      </c>
      <c r="AA124" s="36">
        <f t="shared" si="26"/>
        <v>1</v>
      </c>
      <c r="AB124" s="36">
        <f t="shared" si="27"/>
        <v>0.28000000000000003</v>
      </c>
      <c r="AC124" s="11">
        <f t="shared" si="28"/>
        <v>0</v>
      </c>
      <c r="AD124" s="36">
        <f t="shared" si="35"/>
        <v>0</v>
      </c>
      <c r="AE124" s="36"/>
      <c r="AF124" s="36">
        <f>IFERROR(VLOOKUP(AE124,'Chemical Cost'!A:D,4,0),0)</f>
        <v>0</v>
      </c>
      <c r="AG124" s="114">
        <f t="shared" si="29"/>
        <v>0</v>
      </c>
      <c r="AH124" s="36">
        <f t="shared" si="36"/>
        <v>0</v>
      </c>
      <c r="AI124" s="36">
        <f t="shared" si="37"/>
        <v>0.28000000000000003</v>
      </c>
      <c r="AJ124" s="36">
        <f>IFERROR(VLOOKUP(A124,'All Products'!A:F,6,0),0)</f>
        <v>2.0699999999999998</v>
      </c>
      <c r="AK124" s="36"/>
      <c r="AL124" s="23">
        <v>0.8</v>
      </c>
      <c r="AM124" s="23">
        <v>0.2</v>
      </c>
      <c r="AN124" s="54" t="e">
        <v>#N/A</v>
      </c>
      <c r="AO124" s="47"/>
      <c r="AP124" s="4">
        <v>1.25</v>
      </c>
      <c r="AQ124" s="111">
        <f t="shared" si="30"/>
        <v>0</v>
      </c>
      <c r="AR124">
        <f>_xlfn.XLOOKUP(F124,'RM Cost'!A:A,'RM Cost'!S:S)</f>
        <v>0</v>
      </c>
      <c r="AS124" t="str">
        <f>_xlfn.XLOOKUP(A124,[3]Sheet1!$B:$B,[3]Sheet1!$B:$B)</f>
        <v>1118CS</v>
      </c>
      <c r="AT124" t="e">
        <f>_xlfn.XLOOKUP(H124,'Yield &amp; Time'!A:A,'Yield &amp; Time'!F:F)</f>
        <v>#N/A</v>
      </c>
    </row>
    <row r="125" spans="1:46" x14ac:dyDescent="0.25">
      <c r="A125" s="2" t="s">
        <v>124</v>
      </c>
      <c r="B125" s="2" t="s">
        <v>552</v>
      </c>
      <c r="C125" s="2" t="s">
        <v>125</v>
      </c>
      <c r="D125" s="2" t="s">
        <v>554</v>
      </c>
      <c r="E125" s="2">
        <v>2.5</v>
      </c>
      <c r="F125" s="1" t="str">
        <f>VLOOKUP(H125,'RM Used'!A:B,2,0)</f>
        <v>032ACS</v>
      </c>
      <c r="G125" s="1" t="str">
        <f>IFERROR(VLOOKUP(F125,'RM Cost'!A:B,2,0),"")</f>
        <v>RM - LRG PROCESSING CARROT X 1000KG</v>
      </c>
      <c r="H125" s="2" t="s">
        <v>1431</v>
      </c>
      <c r="I125" s="1" t="str">
        <f>VLOOKUP(F125,'RM Used'!B:D,3,0)</f>
        <v>RM-FOOD</v>
      </c>
      <c r="J125" s="66">
        <v>1</v>
      </c>
      <c r="K125" s="35">
        <f t="shared" si="21"/>
        <v>2.5</v>
      </c>
      <c r="L125" s="35">
        <f t="shared" si="22"/>
        <v>2.5</v>
      </c>
      <c r="M125" s="77" cm="1">
        <f t="array" ref="M125">_xlfn.IFS(BOM!I125="RM-PACKING","100%",B125="Reynolds",VLOOKUP(H125,'Yield &amp; Time'!A:V,22,0),BOM!B125="Dnata",VLOOKUP(BOM!H125,'Yield &amp; Time'!A:M,13,0),B125="NK",VLOOKUP(H125,'Yield &amp; Time'!A:X,24,0))</f>
        <v>0.59308538964496971</v>
      </c>
      <c r="N125" s="35">
        <f t="shared" si="40"/>
        <v>4.2152446235381715</v>
      </c>
      <c r="O125" s="1" t="str">
        <f>VLOOKUP(H125,'RM Used'!A:E,5,0)</f>
        <v>KG</v>
      </c>
      <c r="P125" s="11">
        <f>VLOOKUP(H125,'RM Used'!A:F,6,0)</f>
        <v>0.38</v>
      </c>
      <c r="Q125" s="11">
        <f t="shared" si="31"/>
        <v>1.6017929569445053</v>
      </c>
      <c r="R125" s="11">
        <f>IFERROR(IF(B125="Reynolds",VLOOKUP(H125,'Yield &amp; Time'!A:U,21,0),VLOOKUP(H125,'Yield &amp; Time'!A:L,12,0)),0)</f>
        <v>1</v>
      </c>
      <c r="S125" s="11">
        <f t="shared" si="23"/>
        <v>0.84624999999999995</v>
      </c>
      <c r="T125" s="11">
        <f t="shared" si="24"/>
        <v>4.1666666666666664E-2</v>
      </c>
      <c r="U125" s="11">
        <f>IF(A124=A125,0,VLOOKUP(A125,'Packing Time'!A:F,6,0))</f>
        <v>0.875</v>
      </c>
      <c r="V125" s="11">
        <f t="shared" si="32"/>
        <v>0.29618749999999999</v>
      </c>
      <c r="W125" s="11">
        <f t="shared" si="33"/>
        <v>1.4583333333333334E-2</v>
      </c>
      <c r="X125" s="11">
        <f t="shared" si="25"/>
        <v>1.2566812500000002</v>
      </c>
      <c r="Y125" s="11">
        <f t="shared" si="34"/>
        <v>1.2566812500000002</v>
      </c>
      <c r="Z125" s="37">
        <v>1</v>
      </c>
      <c r="AA125" s="36">
        <f t="shared" si="26"/>
        <v>4.2152446235381715</v>
      </c>
      <c r="AB125" s="36">
        <f t="shared" si="27"/>
        <v>1.6017929569445053</v>
      </c>
      <c r="AC125" s="11">
        <f t="shared" si="28"/>
        <v>6.1875000000000006E-2</v>
      </c>
      <c r="AD125" s="36">
        <f t="shared" si="35"/>
        <v>1.25668125</v>
      </c>
      <c r="AE125" s="36" t="str">
        <f>VLOOKUP(H125,'Yield &amp; Time'!A:R,18,0)</f>
        <v>CHLORINE</v>
      </c>
      <c r="AF125" s="36">
        <f>IFERROR(VLOOKUP(AE125,'Chemical Cost'!A:D,4,0),0)</f>
        <v>2.7756518066439469E-2</v>
      </c>
      <c r="AG125" s="114">
        <f t="shared" si="29"/>
        <v>3.9000171182566365E-2</v>
      </c>
      <c r="AH125" s="36">
        <f t="shared" si="36"/>
        <v>3.9000171182566365E-2</v>
      </c>
      <c r="AI125" s="36">
        <f t="shared" si="37"/>
        <v>2.8974743781270718</v>
      </c>
      <c r="AJ125" s="36">
        <f>IFERROR(VLOOKUP(A125,'All Products'!A:F,6,0),0)</f>
        <v>4.13</v>
      </c>
      <c r="AK125" s="36">
        <f>AJ125*Z125*J125</f>
        <v>4.13</v>
      </c>
      <c r="AL125" s="23">
        <v>0.8</v>
      </c>
      <c r="AM125" s="23">
        <v>0.2</v>
      </c>
      <c r="AN125" s="54" t="e">
        <v>#N/A</v>
      </c>
      <c r="AO125" s="47"/>
      <c r="AP125" s="4">
        <v>1.1000000000000001</v>
      </c>
      <c r="AQ125" s="111">
        <f t="shared" si="30"/>
        <v>6.1875000000000006E-2</v>
      </c>
      <c r="AR125">
        <f>_xlfn.XLOOKUP(F125,'RM Cost'!A:A,'RM Cost'!S:S)</f>
        <v>0</v>
      </c>
      <c r="AS125" t="str">
        <f>_xlfn.XLOOKUP(A125,[3]Sheet1!$B:$B,[3]Sheet1!$B:$B)</f>
        <v>1117CS</v>
      </c>
      <c r="AT125">
        <f>_xlfn.XLOOKUP(H125,'Yield &amp; Time'!A:A,'Yield &amp; Time'!F:F)</f>
        <v>0</v>
      </c>
    </row>
    <row r="126" spans="1:46" x14ac:dyDescent="0.25">
      <c r="A126" s="2" t="s">
        <v>124</v>
      </c>
      <c r="B126" s="2" t="s">
        <v>552</v>
      </c>
      <c r="C126" s="2" t="s">
        <v>125</v>
      </c>
      <c r="D126" s="2" t="s">
        <v>554</v>
      </c>
      <c r="E126" s="2">
        <v>2.5</v>
      </c>
      <c r="F126" s="1" t="str">
        <f>VLOOKUP(H126,'RM Used'!A:B,2,0)</f>
        <v>P0020</v>
      </c>
      <c r="G126" s="1" t="str">
        <f>IFERROR(VLOOKUP(F126,'RM Cost'!A:B,2,0),"")</f>
        <v>PALE BLUE BAG 430X430MM</v>
      </c>
      <c r="H126" s="2" t="s">
        <v>1659</v>
      </c>
      <c r="I126" s="1" t="str">
        <f>VLOOKUP(F126,'RM Used'!B:D,3,0)</f>
        <v>RM-PACKING</v>
      </c>
      <c r="J126" s="66">
        <v>1</v>
      </c>
      <c r="K126" s="35" t="str">
        <f t="shared" si="21"/>
        <v/>
      </c>
      <c r="L126" s="35">
        <f t="shared" si="22"/>
        <v>0</v>
      </c>
      <c r="M126" s="77" t="str" cm="1">
        <f t="array" ref="M126">_xlfn.IFS(BOM!I126="RM-PACKING","100%",B126="Reynolds",VLOOKUP(H126,'Yield &amp; Time'!A:V,22,0),BOM!B126="Dnata",VLOOKUP(BOM!H126,'Yield &amp; Time'!A:M,13,0),B126="NK",VLOOKUP(H126,'Yield &amp; Time'!A:X,24,0))</f>
        <v>100%</v>
      </c>
      <c r="N126" s="35">
        <f t="shared" si="40"/>
        <v>1</v>
      </c>
      <c r="O126" s="1" t="str">
        <f>VLOOKUP(H126,'RM Used'!A:E,5,0)</f>
        <v>Count</v>
      </c>
      <c r="P126" s="11">
        <f>VLOOKUP(H126,'RM Used'!A:F,6,0)</f>
        <v>0.09</v>
      </c>
      <c r="Q126" s="11">
        <f t="shared" si="31"/>
        <v>0.09</v>
      </c>
      <c r="R126" s="11">
        <f>IFERROR(IF(B126="Reynolds",VLOOKUP(H126,'Yield &amp; Time'!A:U,21,0),VLOOKUP(H126,'Yield &amp; Time'!A:L,12,0)),0)</f>
        <v>0</v>
      </c>
      <c r="S126" s="11">
        <f t="shared" si="23"/>
        <v>0</v>
      </c>
      <c r="T126" s="11">
        <f t="shared" si="24"/>
        <v>0</v>
      </c>
      <c r="U126" s="11">
        <f>IF(A125=A126,0,VLOOKUP(A126,'Packing Time'!A:F,6,0))</f>
        <v>0</v>
      </c>
      <c r="V126" s="11">
        <f t="shared" si="32"/>
        <v>0</v>
      </c>
      <c r="W126" s="11">
        <f t="shared" si="33"/>
        <v>0</v>
      </c>
      <c r="X126" s="11">
        <f t="shared" si="25"/>
        <v>0</v>
      </c>
      <c r="Y126" s="11">
        <f t="shared" si="34"/>
        <v>0</v>
      </c>
      <c r="Z126" s="37">
        <v>1</v>
      </c>
      <c r="AA126" s="36">
        <f t="shared" si="26"/>
        <v>1</v>
      </c>
      <c r="AB126" s="36">
        <f t="shared" si="27"/>
        <v>0.09</v>
      </c>
      <c r="AC126" s="11">
        <f t="shared" si="28"/>
        <v>0</v>
      </c>
      <c r="AD126" s="36">
        <f t="shared" si="35"/>
        <v>0</v>
      </c>
      <c r="AE126" s="36"/>
      <c r="AF126" s="36">
        <f>IFERROR(VLOOKUP(AE126,'Chemical Cost'!A:D,4,0),0)</f>
        <v>0</v>
      </c>
      <c r="AG126" s="114">
        <f t="shared" si="29"/>
        <v>0</v>
      </c>
      <c r="AH126" s="36">
        <f t="shared" si="36"/>
        <v>0</v>
      </c>
      <c r="AI126" s="36">
        <f t="shared" si="37"/>
        <v>0.09</v>
      </c>
      <c r="AJ126" s="36">
        <f>IFERROR(VLOOKUP(A126,'All Products'!A:F,6,0),0)</f>
        <v>4.13</v>
      </c>
      <c r="AK126" s="36"/>
      <c r="AL126" s="23">
        <v>0.8</v>
      </c>
      <c r="AM126" s="23">
        <v>0.2</v>
      </c>
      <c r="AN126" s="54" t="e">
        <v>#N/A</v>
      </c>
      <c r="AO126" s="47"/>
      <c r="AP126" s="4">
        <v>1.1000000000000001</v>
      </c>
      <c r="AQ126" s="111">
        <f t="shared" si="30"/>
        <v>0</v>
      </c>
      <c r="AR126">
        <f>_xlfn.XLOOKUP(F126,'RM Cost'!A:A,'RM Cost'!S:S)</f>
        <v>0</v>
      </c>
      <c r="AS126" t="str">
        <f>_xlfn.XLOOKUP(A126,[3]Sheet1!$B:$B,[3]Sheet1!$B:$B)</f>
        <v>1117CS</v>
      </c>
      <c r="AT126" t="e">
        <f>_xlfn.XLOOKUP(H126,'Yield &amp; Time'!A:A,'Yield &amp; Time'!F:F)</f>
        <v>#N/A</v>
      </c>
    </row>
    <row r="127" spans="1:46" x14ac:dyDescent="0.25">
      <c r="A127" s="2" t="s">
        <v>124</v>
      </c>
      <c r="B127" s="2" t="s">
        <v>552</v>
      </c>
      <c r="C127" s="2" t="s">
        <v>125</v>
      </c>
      <c r="D127" s="2" t="s">
        <v>554</v>
      </c>
      <c r="E127" s="2">
        <v>2.5</v>
      </c>
      <c r="F127" s="1" t="str">
        <f>VLOOKUP(H127,'RM Used'!A:B,2,0)</f>
        <v>P0016</v>
      </c>
      <c r="G127" s="1" t="str">
        <f>IFERROR(VLOOKUP(F127,'RM Cost'!A:B,2,0),"")</f>
        <v>REY 40 30 BOX</v>
      </c>
      <c r="H127" s="2" t="s">
        <v>1332</v>
      </c>
      <c r="I127" s="1" t="str">
        <f>VLOOKUP(F127,'RM Used'!B:D,3,0)</f>
        <v>RM-PACKING</v>
      </c>
      <c r="J127" s="66">
        <v>1</v>
      </c>
      <c r="K127" s="35" t="str">
        <f t="shared" si="21"/>
        <v/>
      </c>
      <c r="L127" s="35">
        <f t="shared" si="22"/>
        <v>0</v>
      </c>
      <c r="M127" s="77" t="str" cm="1">
        <f t="array" ref="M127">_xlfn.IFS(BOM!I127="RM-PACKING","100%",B127="Reynolds",VLOOKUP(H127,'Yield &amp; Time'!A:V,22,0),BOM!B127="Dnata",VLOOKUP(BOM!H127,'Yield &amp; Time'!A:M,13,0),B127="NK",VLOOKUP(H127,'Yield &amp; Time'!A:X,24,0))</f>
        <v>100%</v>
      </c>
      <c r="N127" s="35">
        <f t="shared" ref="N127:N160" si="41">IFERROR(IF(I127="RM-FOOD",(E127*J127)/M127,1),0)</f>
        <v>1</v>
      </c>
      <c r="O127" s="1" t="str">
        <f>VLOOKUP(H127,'RM Used'!A:E,5,0)</f>
        <v>Count</v>
      </c>
      <c r="P127" s="11">
        <f>VLOOKUP(H127,'RM Used'!A:F,6,0)</f>
        <v>0.28000000000000003</v>
      </c>
      <c r="Q127" s="11">
        <f t="shared" si="31"/>
        <v>0.28000000000000003</v>
      </c>
      <c r="R127" s="11">
        <f>IFERROR(IF(B127="Reynolds",VLOOKUP(H127,'Yield &amp; Time'!A:U,21,0),VLOOKUP(H127,'Yield &amp; Time'!A:L,12,0)),0)</f>
        <v>0</v>
      </c>
      <c r="S127" s="11">
        <f t="shared" si="23"/>
        <v>0</v>
      </c>
      <c r="T127" s="11">
        <f t="shared" si="24"/>
        <v>0</v>
      </c>
      <c r="U127" s="11">
        <f>IF(A126=A127,0,VLOOKUP(A127,'Packing Time'!A:F,6,0))</f>
        <v>0</v>
      </c>
      <c r="V127" s="11">
        <f t="shared" si="32"/>
        <v>0</v>
      </c>
      <c r="W127" s="11">
        <f t="shared" si="33"/>
        <v>0</v>
      </c>
      <c r="X127" s="11">
        <f t="shared" si="25"/>
        <v>0</v>
      </c>
      <c r="Y127" s="11">
        <f t="shared" si="34"/>
        <v>0</v>
      </c>
      <c r="Z127" s="37">
        <v>1</v>
      </c>
      <c r="AA127" s="36">
        <f t="shared" si="26"/>
        <v>1</v>
      </c>
      <c r="AB127" s="36">
        <f t="shared" si="27"/>
        <v>0.28000000000000003</v>
      </c>
      <c r="AC127" s="11">
        <f t="shared" si="28"/>
        <v>0</v>
      </c>
      <c r="AD127" s="36">
        <f t="shared" si="35"/>
        <v>0</v>
      </c>
      <c r="AE127" s="36"/>
      <c r="AF127" s="36">
        <f>IFERROR(VLOOKUP(AE127,'Chemical Cost'!A:D,4,0),0)</f>
        <v>0</v>
      </c>
      <c r="AG127" s="114">
        <f t="shared" si="29"/>
        <v>0</v>
      </c>
      <c r="AH127" s="36">
        <f t="shared" si="36"/>
        <v>0</v>
      </c>
      <c r="AI127" s="36">
        <f t="shared" si="37"/>
        <v>0.28000000000000003</v>
      </c>
      <c r="AJ127" s="36">
        <f>IFERROR(VLOOKUP(A127,'All Products'!A:F,6,0),0)</f>
        <v>4.13</v>
      </c>
      <c r="AK127" s="36"/>
      <c r="AL127" s="23">
        <v>0.8</v>
      </c>
      <c r="AM127" s="23">
        <v>0.2</v>
      </c>
      <c r="AN127" s="54" t="e">
        <v>#N/A</v>
      </c>
      <c r="AO127" s="47"/>
      <c r="AP127" s="4">
        <v>1.1000000000000001</v>
      </c>
      <c r="AQ127" s="111">
        <f t="shared" si="30"/>
        <v>0</v>
      </c>
      <c r="AR127">
        <f>_xlfn.XLOOKUP(F127,'RM Cost'!A:A,'RM Cost'!S:S)</f>
        <v>0</v>
      </c>
      <c r="AS127" t="str">
        <f>_xlfn.XLOOKUP(A127,[3]Sheet1!$B:$B,[3]Sheet1!$B:$B)</f>
        <v>1117CS</v>
      </c>
      <c r="AT127" t="e">
        <f>_xlfn.XLOOKUP(H127,'Yield &amp; Time'!A:A,'Yield &amp; Time'!F:F)</f>
        <v>#N/A</v>
      </c>
    </row>
    <row r="128" spans="1:46" x14ac:dyDescent="0.25">
      <c r="A128" s="2" t="s">
        <v>454</v>
      </c>
      <c r="B128" s="2" t="s">
        <v>552</v>
      </c>
      <c r="C128" s="2" t="s">
        <v>455</v>
      </c>
      <c r="D128" s="2" t="s">
        <v>554</v>
      </c>
      <c r="E128" s="2">
        <v>2.5</v>
      </c>
      <c r="F128" s="1" t="str">
        <f>VLOOKUP(H128,'RM Used'!A:B,2,0)</f>
        <v>032ACS</v>
      </c>
      <c r="G128" s="1" t="str">
        <f>IFERROR(VLOOKUP(F128,'RM Cost'!A:B,2,0),"")</f>
        <v>RM - LRG PROCESSING CARROT X 1000KG</v>
      </c>
      <c r="H128" s="2" t="s">
        <v>1430</v>
      </c>
      <c r="I128" s="1" t="str">
        <f>VLOOKUP(F128,'RM Used'!B:D,3,0)</f>
        <v>RM-FOOD</v>
      </c>
      <c r="J128" s="66">
        <v>1</v>
      </c>
      <c r="K128" s="35">
        <f t="shared" si="21"/>
        <v>2.5</v>
      </c>
      <c r="L128" s="35">
        <f t="shared" si="22"/>
        <v>2.5</v>
      </c>
      <c r="M128" s="77" cm="1">
        <f t="array" ref="M128">_xlfn.IFS(BOM!I128="RM-PACKING","100%",B128="Reynolds",VLOOKUP(H128,'Yield &amp; Time'!A:V,22,0),BOM!B128="Dnata",VLOOKUP(BOM!H128,'Yield &amp; Time'!A:M,13,0),B128="NK",VLOOKUP(H128,'Yield &amp; Time'!A:X,24,0))</f>
        <v>0.71850998224686224</v>
      </c>
      <c r="N128" s="35">
        <f t="shared" si="41"/>
        <v>3.4794227801570918</v>
      </c>
      <c r="O128" s="1" t="str">
        <f>VLOOKUP(H128,'RM Used'!A:E,5,0)</f>
        <v>KG</v>
      </c>
      <c r="P128" s="11">
        <f>VLOOKUP(H128,'RM Used'!A:F,6,0)</f>
        <v>0.38</v>
      </c>
      <c r="Q128" s="11">
        <f t="shared" si="31"/>
        <v>1.322180656459695</v>
      </c>
      <c r="R128" s="11">
        <f>IFERROR(IF(B128="Reynolds",VLOOKUP(H128,'Yield &amp; Time'!A:U,21,0),VLOOKUP(H128,'Yield &amp; Time'!A:L,12,0)),0)</f>
        <v>1.7110957948741659</v>
      </c>
      <c r="S128" s="11">
        <f t="shared" si="23"/>
        <v>1.4480148164122626</v>
      </c>
      <c r="T128" s="11">
        <f t="shared" si="24"/>
        <v>7.1295658119756897E-2</v>
      </c>
      <c r="U128" s="11">
        <f>IF(A127=A128,0,VLOOKUP(A128,'Packing Time'!A:F,6,0))</f>
        <v>0.875</v>
      </c>
      <c r="V128" s="11">
        <f t="shared" si="32"/>
        <v>0.29618749999999999</v>
      </c>
      <c r="W128" s="11">
        <f t="shared" si="33"/>
        <v>1.4583333333333334E-2</v>
      </c>
      <c r="X128" s="11">
        <f t="shared" si="25"/>
        <v>2.1802528955153284</v>
      </c>
      <c r="Y128" s="11">
        <f t="shared" si="34"/>
        <v>2.1802528955153284</v>
      </c>
      <c r="Z128" s="37">
        <v>1</v>
      </c>
      <c r="AA128" s="36">
        <f t="shared" si="26"/>
        <v>3.4794227801570918</v>
      </c>
      <c r="AB128" s="36">
        <f t="shared" si="27"/>
        <v>1.322180656459695</v>
      </c>
      <c r="AC128" s="11">
        <f t="shared" si="28"/>
        <v>0.1073487393163628</v>
      </c>
      <c r="AD128" s="36">
        <f t="shared" si="35"/>
        <v>2.180252895515328</v>
      </c>
      <c r="AE128" s="36" t="str">
        <f>VLOOKUP(H128,'Yield &amp; Time'!A:R,18,0)</f>
        <v>CHLORINE</v>
      </c>
      <c r="AF128" s="36">
        <f>IFERROR(VLOOKUP(AE128,'Chemical Cost'!A:D,4,0),0)</f>
        <v>2.7756518066439469E-2</v>
      </c>
      <c r="AG128" s="114">
        <f t="shared" si="29"/>
        <v>3.219222041940379E-2</v>
      </c>
      <c r="AH128" s="36">
        <f t="shared" si="36"/>
        <v>3.219222041940379E-2</v>
      </c>
      <c r="AI128" s="36">
        <f t="shared" si="37"/>
        <v>3.5346257723944272</v>
      </c>
      <c r="AJ128" s="36">
        <f>IFERROR(VLOOKUP(A128,'All Products'!A:F,6,0),0)</f>
        <v>3.59</v>
      </c>
      <c r="AK128" s="36">
        <f>AJ128*Z128*J128</f>
        <v>3.59</v>
      </c>
      <c r="AL128" s="23">
        <v>0.8</v>
      </c>
      <c r="AM128" s="23">
        <v>0.2</v>
      </c>
      <c r="AN128" s="54" t="e">
        <v>#N/A</v>
      </c>
      <c r="AO128" s="47"/>
      <c r="AP128" s="4">
        <v>1.25</v>
      </c>
      <c r="AQ128" s="111">
        <f t="shared" si="30"/>
        <v>0.1073487393163628</v>
      </c>
      <c r="AR128">
        <f>_xlfn.XLOOKUP(F128,'RM Cost'!A:A,'RM Cost'!S:S)</f>
        <v>0</v>
      </c>
      <c r="AS128" t="str">
        <f>_xlfn.XLOOKUP(A128,[3]Sheet1!$B:$B,[3]Sheet1!$B:$B)</f>
        <v>1152CS</v>
      </c>
      <c r="AT128">
        <f>_xlfn.XLOOKUP(H128,'Yield &amp; Time'!A:A,'Yield &amp; Time'!F:F)</f>
        <v>0</v>
      </c>
    </row>
    <row r="129" spans="1:46" x14ac:dyDescent="0.25">
      <c r="A129" s="2" t="s">
        <v>454</v>
      </c>
      <c r="B129" s="2" t="s">
        <v>552</v>
      </c>
      <c r="C129" s="2" t="s">
        <v>455</v>
      </c>
      <c r="D129" s="2" t="s">
        <v>554</v>
      </c>
      <c r="E129" s="2">
        <v>2.5</v>
      </c>
      <c r="F129" s="1" t="str">
        <f>VLOOKUP(H129,'RM Used'!A:B,2,0)</f>
        <v>P0020</v>
      </c>
      <c r="G129" s="1" t="str">
        <f>IFERROR(VLOOKUP(F129,'RM Cost'!A:B,2,0),"")</f>
        <v>PALE BLUE BAG 430X430MM</v>
      </c>
      <c r="H129" s="2" t="s">
        <v>1659</v>
      </c>
      <c r="I129" s="1" t="str">
        <f>VLOOKUP(F129,'RM Used'!B:D,3,0)</f>
        <v>RM-PACKING</v>
      </c>
      <c r="J129" s="66">
        <v>1</v>
      </c>
      <c r="K129" s="35" t="str">
        <f t="shared" si="21"/>
        <v/>
      </c>
      <c r="L129" s="35">
        <f t="shared" si="22"/>
        <v>0</v>
      </c>
      <c r="M129" s="77" t="str" cm="1">
        <f t="array" ref="M129">_xlfn.IFS(BOM!I129="RM-PACKING","100%",B129="Reynolds",VLOOKUP(H129,'Yield &amp; Time'!A:V,22,0),BOM!B129="Dnata",VLOOKUP(BOM!H129,'Yield &amp; Time'!A:M,13,0),B129="NK",VLOOKUP(H129,'Yield &amp; Time'!A:X,24,0))</f>
        <v>100%</v>
      </c>
      <c r="N129" s="35">
        <f t="shared" si="41"/>
        <v>1</v>
      </c>
      <c r="O129" s="1" t="str">
        <f>VLOOKUP(H129,'RM Used'!A:E,5,0)</f>
        <v>Count</v>
      </c>
      <c r="P129" s="11">
        <f>VLOOKUP(H129,'RM Used'!A:F,6,0)</f>
        <v>0.09</v>
      </c>
      <c r="Q129" s="11">
        <f t="shared" si="31"/>
        <v>0.09</v>
      </c>
      <c r="R129" s="11">
        <f>IFERROR(IF(B129="Reynolds",VLOOKUP(H129,'Yield &amp; Time'!A:U,21,0),VLOOKUP(H129,'Yield &amp; Time'!A:L,12,0)),0)</f>
        <v>0</v>
      </c>
      <c r="S129" s="11">
        <f t="shared" si="23"/>
        <v>0</v>
      </c>
      <c r="T129" s="11">
        <f t="shared" si="24"/>
        <v>0</v>
      </c>
      <c r="U129" s="11">
        <f>IF(A128=A129,0,VLOOKUP(A129,'Packing Time'!A:F,6,0))</f>
        <v>0</v>
      </c>
      <c r="V129" s="11">
        <f t="shared" si="32"/>
        <v>0</v>
      </c>
      <c r="W129" s="11">
        <f t="shared" si="33"/>
        <v>0</v>
      </c>
      <c r="X129" s="11">
        <f t="shared" si="25"/>
        <v>0</v>
      </c>
      <c r="Y129" s="11">
        <f t="shared" si="34"/>
        <v>0</v>
      </c>
      <c r="Z129" s="37">
        <v>1</v>
      </c>
      <c r="AA129" s="36">
        <f t="shared" si="26"/>
        <v>1</v>
      </c>
      <c r="AB129" s="36">
        <f t="shared" si="27"/>
        <v>0.09</v>
      </c>
      <c r="AC129" s="11">
        <f t="shared" si="28"/>
        <v>0</v>
      </c>
      <c r="AD129" s="36">
        <f t="shared" si="35"/>
        <v>0</v>
      </c>
      <c r="AE129" s="36"/>
      <c r="AF129" s="36">
        <f>IFERROR(VLOOKUP(AE129,'Chemical Cost'!A:D,4,0),0)</f>
        <v>0</v>
      </c>
      <c r="AG129" s="114">
        <f t="shared" si="29"/>
        <v>0</v>
      </c>
      <c r="AH129" s="36">
        <f t="shared" si="36"/>
        <v>0</v>
      </c>
      <c r="AI129" s="36">
        <f t="shared" si="37"/>
        <v>0.09</v>
      </c>
      <c r="AJ129" s="36">
        <f>IFERROR(VLOOKUP(A129,'All Products'!A:F,6,0),0)</f>
        <v>3.59</v>
      </c>
      <c r="AK129" s="36"/>
      <c r="AL129" s="23">
        <v>0.8</v>
      </c>
      <c r="AM129" s="23">
        <v>0.2</v>
      </c>
      <c r="AN129" s="54" t="e">
        <v>#N/A</v>
      </c>
      <c r="AO129" s="47"/>
      <c r="AP129" s="4">
        <v>1.25</v>
      </c>
      <c r="AQ129" s="111">
        <f t="shared" si="30"/>
        <v>0</v>
      </c>
      <c r="AR129">
        <f>_xlfn.XLOOKUP(F129,'RM Cost'!A:A,'RM Cost'!S:S)</f>
        <v>0</v>
      </c>
      <c r="AS129" t="str">
        <f>_xlfn.XLOOKUP(A129,[3]Sheet1!$B:$B,[3]Sheet1!$B:$B)</f>
        <v>1152CS</v>
      </c>
      <c r="AT129" t="e">
        <f>_xlfn.XLOOKUP(H129,'Yield &amp; Time'!A:A,'Yield &amp; Time'!F:F)</f>
        <v>#N/A</v>
      </c>
    </row>
    <row r="130" spans="1:46" x14ac:dyDescent="0.25">
      <c r="A130" s="2" t="s">
        <v>454</v>
      </c>
      <c r="B130" s="2" t="s">
        <v>552</v>
      </c>
      <c r="C130" s="2" t="s">
        <v>455</v>
      </c>
      <c r="D130" s="2" t="s">
        <v>554</v>
      </c>
      <c r="E130" s="2">
        <v>2.5</v>
      </c>
      <c r="F130" s="1" t="str">
        <f>VLOOKUP(H130,'RM Used'!A:B,2,0)</f>
        <v>P0016</v>
      </c>
      <c r="G130" s="1" t="str">
        <f>IFERROR(VLOOKUP(F130,'RM Cost'!A:B,2,0),"")</f>
        <v>REY 40 30 BOX</v>
      </c>
      <c r="H130" s="2" t="s">
        <v>1332</v>
      </c>
      <c r="I130" s="1" t="str">
        <f>VLOOKUP(F130,'RM Used'!B:D,3,0)</f>
        <v>RM-PACKING</v>
      </c>
      <c r="J130" s="66">
        <v>1</v>
      </c>
      <c r="K130" s="35" t="str">
        <f t="shared" ref="K130:K204" si="42">IF(I130="RM-FOOD",J130*E130,"")</f>
        <v/>
      </c>
      <c r="L130" s="35">
        <f t="shared" ref="L130:L193" si="43">IFERROR(K130*Z130,0)</f>
        <v>0</v>
      </c>
      <c r="M130" s="77" t="str" cm="1">
        <f t="array" ref="M130">_xlfn.IFS(BOM!I130="RM-PACKING","100%",B130="Reynolds",VLOOKUP(H130,'Yield &amp; Time'!A:V,22,0),BOM!B130="Dnata",VLOOKUP(BOM!H130,'Yield &amp; Time'!A:M,13,0),B130="NK",VLOOKUP(H130,'Yield &amp; Time'!A:X,24,0))</f>
        <v>100%</v>
      </c>
      <c r="N130" s="35">
        <f t="shared" si="41"/>
        <v>1</v>
      </c>
      <c r="O130" s="1" t="str">
        <f>VLOOKUP(H130,'RM Used'!A:E,5,0)</f>
        <v>Count</v>
      </c>
      <c r="P130" s="11">
        <f>VLOOKUP(H130,'RM Used'!A:F,6,0)</f>
        <v>0.28000000000000003</v>
      </c>
      <c r="Q130" s="11">
        <f t="shared" si="31"/>
        <v>0.28000000000000003</v>
      </c>
      <c r="R130" s="11">
        <f>IFERROR(IF(B130="Reynolds",VLOOKUP(H130,'Yield &amp; Time'!A:U,21,0),VLOOKUP(H130,'Yield &amp; Time'!A:L,12,0)),0)</f>
        <v>0</v>
      </c>
      <c r="S130" s="11">
        <f t="shared" ref="S130:S193" si="44">R130*J130*E130*AO$1</f>
        <v>0</v>
      </c>
      <c r="T130" s="11">
        <f t="shared" ref="T130:T193" si="45">(R130*Z130*J130*E130)/60</f>
        <v>0</v>
      </c>
      <c r="U130" s="11">
        <f>IF(A129=A130,0,VLOOKUP(A130,'Packing Time'!A:F,6,0))</f>
        <v>0</v>
      </c>
      <c r="V130" s="11">
        <f t="shared" si="32"/>
        <v>0</v>
      </c>
      <c r="W130" s="11">
        <f t="shared" si="33"/>
        <v>0</v>
      </c>
      <c r="X130" s="11">
        <f t="shared" ref="X130:X193" si="46">((R130*J130*E130)+U130)*AO$1*AP130</f>
        <v>0</v>
      </c>
      <c r="Y130" s="11">
        <f t="shared" si="34"/>
        <v>0</v>
      </c>
      <c r="Z130" s="37">
        <v>1</v>
      </c>
      <c r="AA130" s="36">
        <f t="shared" ref="AA130:AA193" si="47">Z130*N130</f>
        <v>1</v>
      </c>
      <c r="AB130" s="36">
        <f t="shared" ref="AB130:AB193" si="48">AA130*P130</f>
        <v>0.28000000000000003</v>
      </c>
      <c r="AC130" s="11">
        <f t="shared" ref="AC130:AC193" si="49">(((R130*J130*E130)+U130)/60)*Z130*AP130</f>
        <v>0</v>
      </c>
      <c r="AD130" s="36">
        <f t="shared" si="35"/>
        <v>0</v>
      </c>
      <c r="AE130" s="36"/>
      <c r="AF130" s="36">
        <f>IFERROR(VLOOKUP(AE130,'Chemical Cost'!A:D,4,0),0)</f>
        <v>0</v>
      </c>
      <c r="AG130" s="114">
        <f t="shared" ref="AG130:AG193" si="50">AF130*N130/3</f>
        <v>0</v>
      </c>
      <c r="AH130" s="36">
        <f t="shared" si="36"/>
        <v>0</v>
      </c>
      <c r="AI130" s="36">
        <f t="shared" si="37"/>
        <v>0.28000000000000003</v>
      </c>
      <c r="AJ130" s="36">
        <f>IFERROR(VLOOKUP(A130,'All Products'!A:F,6,0),0)</f>
        <v>3.59</v>
      </c>
      <c r="AK130" s="36"/>
      <c r="AL130" s="23">
        <v>0.8</v>
      </c>
      <c r="AM130" s="23">
        <v>0.2</v>
      </c>
      <c r="AN130" s="54" t="e">
        <v>#N/A</v>
      </c>
      <c r="AO130" s="47"/>
      <c r="AP130" s="4">
        <v>1.25</v>
      </c>
      <c r="AQ130" s="111">
        <f t="shared" ref="AQ130:AQ193" si="51">(((R130*J130*E130)+U130)/60)*AP130</f>
        <v>0</v>
      </c>
      <c r="AR130">
        <f>_xlfn.XLOOKUP(F130,'RM Cost'!A:A,'RM Cost'!S:S)</f>
        <v>0</v>
      </c>
      <c r="AS130" t="str">
        <f>_xlfn.XLOOKUP(A130,[3]Sheet1!$B:$B,[3]Sheet1!$B:$B)</f>
        <v>1152CS</v>
      </c>
      <c r="AT130" t="e">
        <f>_xlfn.XLOOKUP(H130,'Yield &amp; Time'!A:A,'Yield &amp; Time'!F:F)</f>
        <v>#N/A</v>
      </c>
    </row>
    <row r="131" spans="1:46" x14ac:dyDescent="0.25">
      <c r="A131" s="2" t="s">
        <v>120</v>
      </c>
      <c r="B131" s="2" t="s">
        <v>552</v>
      </c>
      <c r="C131" s="2" t="s">
        <v>121</v>
      </c>
      <c r="D131" s="2" t="s">
        <v>554</v>
      </c>
      <c r="E131" s="2">
        <v>2.5</v>
      </c>
      <c r="F131" s="1" t="str">
        <f>VLOOKUP(H131,'RM Used'!A:B,2,0)</f>
        <v>032ACS</v>
      </c>
      <c r="G131" s="1" t="str">
        <f>IFERROR(VLOOKUP(F131,'RM Cost'!A:B,2,0),"")</f>
        <v>RM - LRG PROCESSING CARROT X 1000KG</v>
      </c>
      <c r="H131" s="2" t="s">
        <v>1432</v>
      </c>
      <c r="I131" s="1" t="str">
        <f>VLOOKUP(F131,'RM Used'!B:D,3,0)</f>
        <v>RM-FOOD</v>
      </c>
      <c r="J131" s="66">
        <v>1</v>
      </c>
      <c r="K131" s="35">
        <f t="shared" si="42"/>
        <v>2.5</v>
      </c>
      <c r="L131" s="35">
        <f t="shared" si="43"/>
        <v>2.5</v>
      </c>
      <c r="M131" s="77" cm="1">
        <f t="array" ref="M131">_xlfn.IFS(BOM!I131="RM-PACKING","100%",B131="Reynolds",VLOOKUP(H131,'Yield &amp; Time'!A:V,22,0),BOM!B131="Dnata",VLOOKUP(BOM!H131,'Yield &amp; Time'!A:M,13,0),B131="NK",VLOOKUP(H131,'Yield &amp; Time'!A:X,24,0))</f>
        <v>0.73317345127230837</v>
      </c>
      <c r="N131" s="35">
        <f t="shared" si="41"/>
        <v>3.40983432455395</v>
      </c>
      <c r="O131" s="1" t="str">
        <f>VLOOKUP(H131,'RM Used'!A:E,5,0)</f>
        <v>KG</v>
      </c>
      <c r="P131" s="11">
        <f>VLOOKUP(H131,'RM Used'!A:F,6,0)</f>
        <v>0.38</v>
      </c>
      <c r="Q131" s="11">
        <f t="shared" ref="Q131:Q194" si="52">P131*N131</f>
        <v>1.2957370433305011</v>
      </c>
      <c r="R131" s="11">
        <f>IFERROR(IF(B131="Reynolds",VLOOKUP(H131,'Yield &amp; Time'!A:U,21,0),VLOOKUP(H131,'Yield &amp; Time'!A:L,12,0)),0)</f>
        <v>1.1480576795997355</v>
      </c>
      <c r="S131" s="11">
        <f t="shared" si="44"/>
        <v>0.97154381136127599</v>
      </c>
      <c r="T131" s="11">
        <f t="shared" si="45"/>
        <v>4.7835736649988976E-2</v>
      </c>
      <c r="U131" s="11">
        <f>IF(A130=A131,0,VLOOKUP(A131,'Packing Time'!A:F,6,0))</f>
        <v>0.875</v>
      </c>
      <c r="V131" s="11">
        <f t="shared" ref="V131:V205" si="53">U131*AO$1</f>
        <v>0.29618749999999999</v>
      </c>
      <c r="W131" s="11">
        <f t="shared" ref="W131:W205" si="54">(U131*Z131)/60</f>
        <v>1.4583333333333334E-2</v>
      </c>
      <c r="X131" s="11">
        <f t="shared" si="46"/>
        <v>1.3945044424974038</v>
      </c>
      <c r="Y131" s="11">
        <f t="shared" ref="Y131:Y205" si="55">X131*Z131</f>
        <v>1.3945044424974038</v>
      </c>
      <c r="Z131" s="37">
        <v>1</v>
      </c>
      <c r="AA131" s="36">
        <f t="shared" si="47"/>
        <v>3.40983432455395</v>
      </c>
      <c r="AB131" s="36">
        <f t="shared" si="48"/>
        <v>1.2957370433305011</v>
      </c>
      <c r="AC131" s="11">
        <f t="shared" si="49"/>
        <v>6.8660976981654548E-2</v>
      </c>
      <c r="AD131" s="36">
        <f t="shared" ref="AD131:AD205" si="56">AC131*60*AO$1</f>
        <v>1.3945044424974036</v>
      </c>
      <c r="AE131" s="36"/>
      <c r="AF131" s="36">
        <f>IFERROR(VLOOKUP(AE131,'Chemical Cost'!A:D,4,0),0)</f>
        <v>0</v>
      </c>
      <c r="AG131" s="114">
        <f t="shared" si="50"/>
        <v>0</v>
      </c>
      <c r="AH131" s="36">
        <f t="shared" ref="AH131:AH201" si="57">AF131*AA131/3</f>
        <v>0</v>
      </c>
      <c r="AI131" s="36">
        <f t="shared" ref="AI131:AI205" si="58">IFERROR((Q131*Z131)+(Z131*X131)+AH131,0)</f>
        <v>2.6902414858279049</v>
      </c>
      <c r="AJ131" s="36">
        <f>IFERROR(VLOOKUP(A131,'All Products'!A:F,6,0),0)</f>
        <v>3.87</v>
      </c>
      <c r="AK131" s="36">
        <f>AJ131*Z131*J131</f>
        <v>3.87</v>
      </c>
      <c r="AL131" s="23">
        <v>1</v>
      </c>
      <c r="AM131" s="23"/>
      <c r="AN131" s="54" t="e">
        <v>#N/A</v>
      </c>
      <c r="AO131" s="47"/>
      <c r="AP131" s="4">
        <v>1.1000000000000001</v>
      </c>
      <c r="AQ131" s="111">
        <f t="shared" si="51"/>
        <v>6.8660976981654548E-2</v>
      </c>
      <c r="AR131">
        <f>_xlfn.XLOOKUP(F131,'RM Cost'!A:A,'RM Cost'!S:S)</f>
        <v>0</v>
      </c>
      <c r="AS131" t="str">
        <f>_xlfn.XLOOKUP(A131,[3]Sheet1!$B:$B,[3]Sheet1!$B:$B)</f>
        <v>1173CS</v>
      </c>
      <c r="AT131">
        <f>_xlfn.XLOOKUP(H131,'Yield &amp; Time'!A:A,'Yield &amp; Time'!F:F)</f>
        <v>0</v>
      </c>
    </row>
    <row r="132" spans="1:46" x14ac:dyDescent="0.25">
      <c r="A132" s="2" t="s">
        <v>120</v>
      </c>
      <c r="B132" s="2" t="s">
        <v>552</v>
      </c>
      <c r="C132" s="2" t="s">
        <v>121</v>
      </c>
      <c r="D132" s="2" t="s">
        <v>554</v>
      </c>
      <c r="E132" s="2">
        <v>2.5</v>
      </c>
      <c r="F132" s="1" t="str">
        <f>VLOOKUP(H132,'RM Used'!A:B,2,0)</f>
        <v>P0020</v>
      </c>
      <c r="G132" s="1" t="str">
        <f>IFERROR(VLOOKUP(F132,'RM Cost'!A:B,2,0),"")</f>
        <v>PALE BLUE BAG 430X430MM</v>
      </c>
      <c r="H132" s="2" t="s">
        <v>1659</v>
      </c>
      <c r="I132" s="1" t="str">
        <f>VLOOKUP(F132,'RM Used'!B:D,3,0)</f>
        <v>RM-PACKING</v>
      </c>
      <c r="J132" s="66">
        <v>1</v>
      </c>
      <c r="K132" s="35" t="str">
        <f t="shared" si="42"/>
        <v/>
      </c>
      <c r="L132" s="35">
        <f t="shared" si="43"/>
        <v>0</v>
      </c>
      <c r="M132" s="77" t="str" cm="1">
        <f t="array" ref="M132">_xlfn.IFS(BOM!I132="RM-PACKING","100%",B132="Reynolds",VLOOKUP(H132,'Yield &amp; Time'!A:V,22,0),BOM!B132="Dnata",VLOOKUP(BOM!H132,'Yield &amp; Time'!A:M,13,0),B132="NK",VLOOKUP(H132,'Yield &amp; Time'!A:X,24,0))</f>
        <v>100%</v>
      </c>
      <c r="N132" s="35">
        <f t="shared" si="41"/>
        <v>1</v>
      </c>
      <c r="O132" s="1" t="str">
        <f>VLOOKUP(H132,'RM Used'!A:E,5,0)</f>
        <v>Count</v>
      </c>
      <c r="P132" s="11">
        <f>VLOOKUP(H132,'RM Used'!A:F,6,0)</f>
        <v>0.09</v>
      </c>
      <c r="Q132" s="11">
        <f t="shared" si="52"/>
        <v>0.09</v>
      </c>
      <c r="R132" s="11">
        <f>IFERROR(IF(B132="Reynolds",VLOOKUP(H132,'Yield &amp; Time'!A:U,21,0),VLOOKUP(H132,'Yield &amp; Time'!A:L,12,0)),0)</f>
        <v>0</v>
      </c>
      <c r="S132" s="11">
        <f t="shared" si="44"/>
        <v>0</v>
      </c>
      <c r="T132" s="11">
        <f t="shared" si="45"/>
        <v>0</v>
      </c>
      <c r="U132" s="11">
        <f>IF(A131=A132,0,VLOOKUP(A132,'Packing Time'!A:F,6,0))</f>
        <v>0</v>
      </c>
      <c r="V132" s="11">
        <f t="shared" si="53"/>
        <v>0</v>
      </c>
      <c r="W132" s="11">
        <f t="shared" si="54"/>
        <v>0</v>
      </c>
      <c r="X132" s="11">
        <f t="shared" si="46"/>
        <v>0</v>
      </c>
      <c r="Y132" s="11">
        <f t="shared" si="55"/>
        <v>0</v>
      </c>
      <c r="Z132" s="37">
        <v>1</v>
      </c>
      <c r="AA132" s="36">
        <f t="shared" si="47"/>
        <v>1</v>
      </c>
      <c r="AB132" s="36">
        <f t="shared" si="48"/>
        <v>0.09</v>
      </c>
      <c r="AC132" s="11">
        <f t="shared" si="49"/>
        <v>0</v>
      </c>
      <c r="AD132" s="36">
        <f t="shared" si="56"/>
        <v>0</v>
      </c>
      <c r="AE132" s="36"/>
      <c r="AF132" s="36">
        <f>IFERROR(VLOOKUP(AE132,'Chemical Cost'!A:D,4,0),0)</f>
        <v>0</v>
      </c>
      <c r="AG132" s="114">
        <f t="shared" si="50"/>
        <v>0</v>
      </c>
      <c r="AH132" s="36">
        <f t="shared" si="57"/>
        <v>0</v>
      </c>
      <c r="AI132" s="36">
        <f t="shared" si="58"/>
        <v>0.09</v>
      </c>
      <c r="AJ132" s="36">
        <f>IFERROR(VLOOKUP(A132,'All Products'!A:F,6,0),0)</f>
        <v>3.87</v>
      </c>
      <c r="AK132" s="36"/>
      <c r="AL132" s="23">
        <v>1</v>
      </c>
      <c r="AM132" s="23"/>
      <c r="AN132" s="54" t="e">
        <v>#N/A</v>
      </c>
      <c r="AO132" s="47"/>
      <c r="AP132" s="4">
        <v>1.1000000000000001</v>
      </c>
      <c r="AQ132" s="111">
        <f t="shared" si="51"/>
        <v>0</v>
      </c>
      <c r="AR132">
        <f>_xlfn.XLOOKUP(F132,'RM Cost'!A:A,'RM Cost'!S:S)</f>
        <v>0</v>
      </c>
      <c r="AS132" t="str">
        <f>_xlfn.XLOOKUP(A132,[3]Sheet1!$B:$B,[3]Sheet1!$B:$B)</f>
        <v>1173CS</v>
      </c>
      <c r="AT132" t="e">
        <f>_xlfn.XLOOKUP(H132,'Yield &amp; Time'!A:A,'Yield &amp; Time'!F:F)</f>
        <v>#N/A</v>
      </c>
    </row>
    <row r="133" spans="1:46" x14ac:dyDescent="0.25">
      <c r="A133" s="2" t="s">
        <v>120</v>
      </c>
      <c r="B133" s="2" t="s">
        <v>552</v>
      </c>
      <c r="C133" s="2" t="s">
        <v>121</v>
      </c>
      <c r="D133" s="2" t="s">
        <v>554</v>
      </c>
      <c r="E133" s="2">
        <v>2.5</v>
      </c>
      <c r="F133" s="1" t="str">
        <f>VLOOKUP(H133,'RM Used'!A:B,2,0)</f>
        <v>P0016</v>
      </c>
      <c r="G133" s="1" t="str">
        <f>IFERROR(VLOOKUP(F133,'RM Cost'!A:B,2,0),"")</f>
        <v>REY 40 30 BOX</v>
      </c>
      <c r="H133" s="2" t="s">
        <v>1332</v>
      </c>
      <c r="I133" s="1" t="str">
        <f>VLOOKUP(F133,'RM Used'!B:D,3,0)</f>
        <v>RM-PACKING</v>
      </c>
      <c r="J133" s="66">
        <v>1</v>
      </c>
      <c r="K133" s="35" t="str">
        <f t="shared" si="42"/>
        <v/>
      </c>
      <c r="L133" s="35">
        <f t="shared" si="43"/>
        <v>0</v>
      </c>
      <c r="M133" s="77" t="str" cm="1">
        <f t="array" ref="M133">_xlfn.IFS(BOM!I133="RM-PACKING","100%",B133="Reynolds",VLOOKUP(H133,'Yield &amp; Time'!A:V,22,0),BOM!B133="Dnata",VLOOKUP(BOM!H133,'Yield &amp; Time'!A:M,13,0),B133="NK",VLOOKUP(H133,'Yield &amp; Time'!A:X,24,0))</f>
        <v>100%</v>
      </c>
      <c r="N133" s="35">
        <f t="shared" si="41"/>
        <v>1</v>
      </c>
      <c r="O133" s="1" t="str">
        <f>VLOOKUP(H133,'RM Used'!A:E,5,0)</f>
        <v>Count</v>
      </c>
      <c r="P133" s="11">
        <f>VLOOKUP(H133,'RM Used'!A:F,6,0)</f>
        <v>0.28000000000000003</v>
      </c>
      <c r="Q133" s="11">
        <f t="shared" si="52"/>
        <v>0.28000000000000003</v>
      </c>
      <c r="R133" s="11">
        <f>IFERROR(IF(B133="Reynolds",VLOOKUP(H133,'Yield &amp; Time'!A:U,21,0),VLOOKUP(H133,'Yield &amp; Time'!A:L,12,0)),0)</f>
        <v>0</v>
      </c>
      <c r="S133" s="11">
        <f t="shared" si="44"/>
        <v>0</v>
      </c>
      <c r="T133" s="11">
        <f t="shared" si="45"/>
        <v>0</v>
      </c>
      <c r="U133" s="11">
        <f>IF(A132=A133,0,VLOOKUP(A133,'Packing Time'!A:F,6,0))</f>
        <v>0</v>
      </c>
      <c r="V133" s="11">
        <f t="shared" si="53"/>
        <v>0</v>
      </c>
      <c r="W133" s="11">
        <f t="shared" si="54"/>
        <v>0</v>
      </c>
      <c r="X133" s="11">
        <f t="shared" si="46"/>
        <v>0</v>
      </c>
      <c r="Y133" s="11">
        <f t="shared" si="55"/>
        <v>0</v>
      </c>
      <c r="Z133" s="37">
        <v>1</v>
      </c>
      <c r="AA133" s="36">
        <f t="shared" si="47"/>
        <v>1</v>
      </c>
      <c r="AB133" s="36">
        <f t="shared" si="48"/>
        <v>0.28000000000000003</v>
      </c>
      <c r="AC133" s="11">
        <f t="shared" si="49"/>
        <v>0</v>
      </c>
      <c r="AD133" s="36">
        <f t="shared" si="56"/>
        <v>0</v>
      </c>
      <c r="AE133" s="36"/>
      <c r="AF133" s="36">
        <f>IFERROR(VLOOKUP(AE133,'Chemical Cost'!A:D,4,0),0)</f>
        <v>0</v>
      </c>
      <c r="AG133" s="114">
        <f t="shared" si="50"/>
        <v>0</v>
      </c>
      <c r="AH133" s="36">
        <f t="shared" si="57"/>
        <v>0</v>
      </c>
      <c r="AI133" s="36">
        <f t="shared" si="58"/>
        <v>0.28000000000000003</v>
      </c>
      <c r="AJ133" s="36">
        <f>IFERROR(VLOOKUP(A133,'All Products'!A:F,6,0),0)</f>
        <v>3.87</v>
      </c>
      <c r="AK133" s="36"/>
      <c r="AL133" s="23">
        <v>1</v>
      </c>
      <c r="AM133" s="23"/>
      <c r="AN133" s="54" t="e">
        <v>#N/A</v>
      </c>
      <c r="AO133" s="47"/>
      <c r="AP133" s="4">
        <v>1.1000000000000001</v>
      </c>
      <c r="AQ133" s="111">
        <f t="shared" si="51"/>
        <v>0</v>
      </c>
      <c r="AR133">
        <f>_xlfn.XLOOKUP(F133,'RM Cost'!A:A,'RM Cost'!S:S)</f>
        <v>0</v>
      </c>
      <c r="AS133" t="str">
        <f>_xlfn.XLOOKUP(A133,[3]Sheet1!$B:$B,[3]Sheet1!$B:$B)</f>
        <v>1173CS</v>
      </c>
      <c r="AT133" t="e">
        <f>_xlfn.XLOOKUP(H133,'Yield &amp; Time'!A:A,'Yield &amp; Time'!F:F)</f>
        <v>#N/A</v>
      </c>
    </row>
    <row r="134" spans="1:46" x14ac:dyDescent="0.25">
      <c r="A134" s="2" t="s">
        <v>555</v>
      </c>
      <c r="B134" s="2" t="s">
        <v>552</v>
      </c>
      <c r="C134" s="2" t="s">
        <v>556</v>
      </c>
      <c r="D134" s="2" t="s">
        <v>554</v>
      </c>
      <c r="E134" s="2">
        <v>0.2</v>
      </c>
      <c r="F134" s="1" t="str">
        <f>VLOOKUP(H134,'RM Used'!A:B,2,0)</f>
        <v>F218CS</v>
      </c>
      <c r="G134" s="1" t="str">
        <f>IFERROR(VLOOKUP(F134,'RM Cost'!A:B,2,0),"")</f>
        <v>RM - GINGER FROZEN 10KG</v>
      </c>
      <c r="H134" s="2" t="s">
        <v>1434</v>
      </c>
      <c r="I134" s="1" t="str">
        <f>VLOOKUP(F134,'RM Used'!B:D,3,0)</f>
        <v>RM-FOOD</v>
      </c>
      <c r="J134" s="66">
        <v>1</v>
      </c>
      <c r="K134" s="35">
        <f t="shared" si="42"/>
        <v>0.2</v>
      </c>
      <c r="L134" s="35">
        <f t="shared" si="43"/>
        <v>0.2</v>
      </c>
      <c r="M134" s="77" cm="1">
        <f t="array" ref="M134">_xlfn.IFS(BOM!I134="RM-PACKING","100%",B134="Reynolds",VLOOKUP(H134,'Yield &amp; Time'!A:V,22,0),BOM!B134="Dnata",VLOOKUP(BOM!H134,'Yield &amp; Time'!A:M,13,0),B134="NK",VLOOKUP(H134,'Yield &amp; Time'!A:X,24,0))</f>
        <v>0.68869999999999998</v>
      </c>
      <c r="N134" s="35">
        <f t="shared" si="41"/>
        <v>0.29040220705677366</v>
      </c>
      <c r="O134" s="1" t="str">
        <f>VLOOKUP(H134,'RM Used'!A:E,5,0)</f>
        <v>KG</v>
      </c>
      <c r="P134" s="11">
        <f>VLOOKUP(H134,'RM Used'!A:F,6,0)</f>
        <v>1.64</v>
      </c>
      <c r="Q134" s="11">
        <f t="shared" si="52"/>
        <v>0.47625961957310881</v>
      </c>
      <c r="R134" s="11">
        <f>IFERROR(IF(B134="Reynolds",VLOOKUP(H134,'Yield &amp; Time'!A:U,21,0),VLOOKUP(H134,'Yield &amp; Time'!A:L,12,0)),0)</f>
        <v>0.75</v>
      </c>
      <c r="S134" s="11">
        <f t="shared" si="44"/>
        <v>5.0775000000000001E-2</v>
      </c>
      <c r="T134" s="11">
        <f t="shared" si="45"/>
        <v>2.5000000000000005E-3</v>
      </c>
      <c r="U134" s="11">
        <f>IF(A133=A134,0,VLOOKUP(A134,'Packing Time'!A:F,6,0))</f>
        <v>0.70000000000000007</v>
      </c>
      <c r="V134" s="11">
        <f t="shared" si="53"/>
        <v>0.23694999999999999</v>
      </c>
      <c r="W134" s="11">
        <f t="shared" si="54"/>
        <v>1.1666666666666667E-2</v>
      </c>
      <c r="X134" s="11">
        <f t="shared" si="46"/>
        <v>0.46036000000000005</v>
      </c>
      <c r="Y134" s="11">
        <f t="shared" si="55"/>
        <v>0.46036000000000005</v>
      </c>
      <c r="Z134" s="37">
        <v>1</v>
      </c>
      <c r="AA134" s="36">
        <f t="shared" si="47"/>
        <v>0.29040220705677366</v>
      </c>
      <c r="AB134" s="36">
        <f t="shared" si="48"/>
        <v>0.47625961957310881</v>
      </c>
      <c r="AC134" s="11">
        <f t="shared" si="49"/>
        <v>2.2666666666666668E-2</v>
      </c>
      <c r="AD134" s="36">
        <f t="shared" si="56"/>
        <v>0.46035999999999999</v>
      </c>
      <c r="AE134" s="36" t="str">
        <f>VLOOKUP(H134,'Yield &amp; Time'!A:R,18,0)</f>
        <v>CHLORINE</v>
      </c>
      <c r="AF134" s="36">
        <f>IFERROR(VLOOKUP(AE134,'Chemical Cost'!A:D,4,0),0)</f>
        <v>2.7756518066439469E-2</v>
      </c>
      <c r="AG134" s="114">
        <f t="shared" si="50"/>
        <v>2.6868513689017447E-3</v>
      </c>
      <c r="AH134" s="36">
        <f t="shared" si="57"/>
        <v>2.6868513689017447E-3</v>
      </c>
      <c r="AI134" s="36">
        <f t="shared" si="58"/>
        <v>0.9393064709420107</v>
      </c>
      <c r="AJ134" s="36">
        <f>IFERROR(VLOOKUP(A134,'All Products'!A:F,6,0),0)</f>
        <v>1.37</v>
      </c>
      <c r="AK134" s="36">
        <f>AJ134*Z134*J134</f>
        <v>1.37</v>
      </c>
      <c r="AL134" s="23">
        <v>0.85</v>
      </c>
      <c r="AM134" s="23">
        <v>0.15</v>
      </c>
      <c r="AN134" s="54" t="e">
        <v>#N/A</v>
      </c>
      <c r="AO134" s="47"/>
      <c r="AP134" s="4">
        <v>1.6</v>
      </c>
      <c r="AQ134" s="111">
        <f t="shared" si="51"/>
        <v>2.2666666666666668E-2</v>
      </c>
      <c r="AR134">
        <f>_xlfn.XLOOKUP(F134,'RM Cost'!A:A,'RM Cost'!S:S)</f>
        <v>0</v>
      </c>
      <c r="AS134" t="e">
        <f>_xlfn.XLOOKUP(A134,[3]Sheet1!$B:$B,[3]Sheet1!$B:$B)</f>
        <v>#N/A</v>
      </c>
    </row>
    <row r="135" spans="1:46" x14ac:dyDescent="0.25">
      <c r="A135" s="2" t="s">
        <v>555</v>
      </c>
      <c r="B135" s="2" t="s">
        <v>552</v>
      </c>
      <c r="C135" s="2" t="s">
        <v>556</v>
      </c>
      <c r="D135" s="2" t="s">
        <v>554</v>
      </c>
      <c r="E135" s="2">
        <v>0.2</v>
      </c>
      <c r="F135" s="1" t="str">
        <f>VLOOKUP(H135,'RM Used'!A:B,2,0)</f>
        <v>P0001</v>
      </c>
      <c r="G135" s="1" t="str">
        <f>IFERROR(VLOOKUP(F135,'RM Cost'!A:B,2,0),"")</f>
        <v>SOL 30EL # PPLUS 630x1000 BLUE -1</v>
      </c>
      <c r="H135" s="2" t="s">
        <v>4678</v>
      </c>
      <c r="I135" s="1" t="str">
        <f>VLOOKUP(F135,'RM Used'!B:D,3,0)</f>
        <v>RM-PACKING</v>
      </c>
      <c r="J135" s="66">
        <v>1</v>
      </c>
      <c r="K135" s="35" t="str">
        <f t="shared" si="42"/>
        <v/>
      </c>
      <c r="L135" s="35">
        <f t="shared" si="43"/>
        <v>0</v>
      </c>
      <c r="M135" s="77" t="str" cm="1">
        <f t="array" ref="M135">_xlfn.IFS(BOM!I135="RM-PACKING","100%",B135="Reynolds",VLOOKUP(H135,'Yield &amp; Time'!A:V,22,0),BOM!B135="Dnata",VLOOKUP(BOM!H135,'Yield &amp; Time'!A:M,13,0),B135="NK",VLOOKUP(H135,'Yield &amp; Time'!A:X,24,0))</f>
        <v>100%</v>
      </c>
      <c r="N135" s="35">
        <f t="shared" si="41"/>
        <v>1</v>
      </c>
      <c r="O135" s="1" t="str">
        <f>VLOOKUP(H135,'RM Used'!A:E,5,0)</f>
        <v>Count</v>
      </c>
      <c r="P135" s="11">
        <f>VLOOKUP(H135,'RM Used'!A:F,6,0)</f>
        <v>0.08</v>
      </c>
      <c r="Q135" s="11">
        <f t="shared" si="52"/>
        <v>0.08</v>
      </c>
      <c r="R135" s="11">
        <f>IFERROR(IF(B135="Reynolds",VLOOKUP(H135,'Yield &amp; Time'!A:U,21,0),VLOOKUP(H135,'Yield &amp; Time'!A:L,12,0)),0)</f>
        <v>0</v>
      </c>
      <c r="S135" s="11">
        <f t="shared" si="44"/>
        <v>0</v>
      </c>
      <c r="T135" s="11">
        <f t="shared" si="45"/>
        <v>0</v>
      </c>
      <c r="U135" s="11">
        <f>IF(A134=A135,0,VLOOKUP(A135,'Packing Time'!A:F,6,0))</f>
        <v>0</v>
      </c>
      <c r="V135" s="11">
        <f t="shared" si="53"/>
        <v>0</v>
      </c>
      <c r="W135" s="11">
        <f t="shared" si="54"/>
        <v>0</v>
      </c>
      <c r="X135" s="11">
        <f t="shared" si="46"/>
        <v>0</v>
      </c>
      <c r="Y135" s="11">
        <f t="shared" si="55"/>
        <v>0</v>
      </c>
      <c r="Z135" s="37">
        <v>1</v>
      </c>
      <c r="AA135" s="36">
        <f t="shared" si="47"/>
        <v>1</v>
      </c>
      <c r="AB135" s="36">
        <f t="shared" si="48"/>
        <v>0.08</v>
      </c>
      <c r="AC135" s="11">
        <f t="shared" si="49"/>
        <v>0</v>
      </c>
      <c r="AD135" s="36">
        <f t="shared" si="56"/>
        <v>0</v>
      </c>
      <c r="AE135" s="36"/>
      <c r="AF135" s="36">
        <f>IFERROR(VLOOKUP(AE135,'Chemical Cost'!A:D,4,0),0)</f>
        <v>0</v>
      </c>
      <c r="AG135" s="114">
        <f t="shared" si="50"/>
        <v>0</v>
      </c>
      <c r="AH135" s="36">
        <f t="shared" si="57"/>
        <v>0</v>
      </c>
      <c r="AI135" s="36">
        <f t="shared" si="58"/>
        <v>0.08</v>
      </c>
      <c r="AJ135" s="36">
        <f>IFERROR(VLOOKUP(A135,'All Products'!A:F,6,0),0)</f>
        <v>1.37</v>
      </c>
      <c r="AK135" s="36"/>
      <c r="AL135" s="23">
        <v>0.85</v>
      </c>
      <c r="AM135" s="23">
        <v>0.15</v>
      </c>
      <c r="AN135" s="54" t="e">
        <v>#N/A</v>
      </c>
      <c r="AO135" s="47"/>
      <c r="AP135" s="4">
        <v>1.6</v>
      </c>
      <c r="AQ135" s="111">
        <f t="shared" si="51"/>
        <v>0</v>
      </c>
      <c r="AR135">
        <f>_xlfn.XLOOKUP(F135,'RM Cost'!A:A,'RM Cost'!S:S)</f>
        <v>0</v>
      </c>
      <c r="AS135" t="e">
        <f>_xlfn.XLOOKUP(A135,[3]Sheet1!$B:$B,[3]Sheet1!$B:$B)</f>
        <v>#N/A</v>
      </c>
    </row>
    <row r="136" spans="1:46" x14ac:dyDescent="0.25">
      <c r="A136" s="2" t="s">
        <v>555</v>
      </c>
      <c r="B136" s="2" t="s">
        <v>552</v>
      </c>
      <c r="C136" s="2" t="s">
        <v>556</v>
      </c>
      <c r="D136" s="2" t="s">
        <v>554</v>
      </c>
      <c r="E136" s="2">
        <v>0.2</v>
      </c>
      <c r="F136" s="1" t="str">
        <f>VLOOKUP(H136,'RM Used'!A:B,2,0)</f>
        <v>P0016B</v>
      </c>
      <c r="G136" s="1" t="str">
        <f>IFERROR(VLOOKUP(F136,'RM Cost'!A:B,2,0),"")</f>
        <v>REY 40 30 BOX 8 in 1</v>
      </c>
      <c r="H136" s="2" t="s">
        <v>4815</v>
      </c>
      <c r="I136" s="1" t="str">
        <f>VLOOKUP(F136,'RM Used'!B:D,3,0)</f>
        <v>RM-PACKING</v>
      </c>
      <c r="J136" s="66">
        <v>1</v>
      </c>
      <c r="K136" s="35" t="str">
        <f t="shared" si="42"/>
        <v/>
      </c>
      <c r="L136" s="35">
        <f t="shared" si="43"/>
        <v>0</v>
      </c>
      <c r="M136" s="77" t="str" cm="1">
        <f t="array" ref="M136">_xlfn.IFS(BOM!I136="RM-PACKING","100%",B136="Reynolds",VLOOKUP(H136,'Yield &amp; Time'!A:V,22,0),BOM!B136="Dnata",VLOOKUP(BOM!H136,'Yield &amp; Time'!A:M,13,0),B136="NK",VLOOKUP(H136,'Yield &amp; Time'!A:X,24,0))</f>
        <v>100%</v>
      </c>
      <c r="N136" s="35">
        <f t="shared" si="41"/>
        <v>1</v>
      </c>
      <c r="O136" s="1" t="str">
        <f>VLOOKUP(H136,'RM Used'!A:E,5,0)</f>
        <v>Count</v>
      </c>
      <c r="P136" s="11">
        <f>VLOOKUP(H136,'RM Used'!A:F,6,0)</f>
        <v>3.5000000000000003E-2</v>
      </c>
      <c r="Q136" s="11">
        <f t="shared" si="52"/>
        <v>3.5000000000000003E-2</v>
      </c>
      <c r="R136" s="11">
        <f>IFERROR(IF(B136="Reynolds",VLOOKUP(H136,'Yield &amp; Time'!A:U,21,0),VLOOKUP(H136,'Yield &amp; Time'!A:L,12,0)),0)</f>
        <v>0</v>
      </c>
      <c r="S136" s="11">
        <f t="shared" si="44"/>
        <v>0</v>
      </c>
      <c r="T136" s="11">
        <f t="shared" si="45"/>
        <v>0</v>
      </c>
      <c r="U136" s="11">
        <f>IF(A135=A136,0,VLOOKUP(A136,'Packing Time'!A:F,6,0))</f>
        <v>0</v>
      </c>
      <c r="V136" s="11">
        <f t="shared" si="53"/>
        <v>0</v>
      </c>
      <c r="W136" s="11">
        <f t="shared" si="54"/>
        <v>0</v>
      </c>
      <c r="X136" s="11">
        <f t="shared" si="46"/>
        <v>0</v>
      </c>
      <c r="Y136" s="11">
        <f t="shared" si="55"/>
        <v>0</v>
      </c>
      <c r="Z136" s="37">
        <v>1</v>
      </c>
      <c r="AA136" s="36">
        <f t="shared" si="47"/>
        <v>1</v>
      </c>
      <c r="AB136" s="36">
        <f t="shared" si="48"/>
        <v>3.5000000000000003E-2</v>
      </c>
      <c r="AC136" s="11">
        <f t="shared" si="49"/>
        <v>0</v>
      </c>
      <c r="AD136" s="36">
        <f t="shared" si="56"/>
        <v>0</v>
      </c>
      <c r="AE136" s="36"/>
      <c r="AF136" s="36">
        <f>IFERROR(VLOOKUP(AE136,'Chemical Cost'!A:D,4,0),0)</f>
        <v>0</v>
      </c>
      <c r="AG136" s="114">
        <f t="shared" si="50"/>
        <v>0</v>
      </c>
      <c r="AH136" s="36">
        <f t="shared" si="57"/>
        <v>0</v>
      </c>
      <c r="AI136" s="36">
        <f t="shared" si="58"/>
        <v>3.5000000000000003E-2</v>
      </c>
      <c r="AJ136" s="36">
        <f>IFERROR(VLOOKUP(A136,'All Products'!A:F,6,0),0)</f>
        <v>1.37</v>
      </c>
      <c r="AK136" s="36"/>
      <c r="AL136" s="23">
        <v>0.85</v>
      </c>
      <c r="AM136" s="23">
        <v>0.15</v>
      </c>
      <c r="AN136" s="54" t="e">
        <v>#N/A</v>
      </c>
      <c r="AO136" s="47"/>
      <c r="AP136" s="4">
        <v>1.6</v>
      </c>
      <c r="AQ136" s="111">
        <f t="shared" si="51"/>
        <v>0</v>
      </c>
      <c r="AR136">
        <f>_xlfn.XLOOKUP(F136,'RM Cost'!A:A,'RM Cost'!S:S)</f>
        <v>0</v>
      </c>
      <c r="AS136" t="e">
        <f>_xlfn.XLOOKUP(A136,[3]Sheet1!$B:$B,[3]Sheet1!$B:$B)</f>
        <v>#N/A</v>
      </c>
    </row>
    <row r="137" spans="1:46" x14ac:dyDescent="0.25">
      <c r="A137" s="2" t="s">
        <v>116</v>
      </c>
      <c r="B137" s="2" t="s">
        <v>552</v>
      </c>
      <c r="C137" s="2" t="s">
        <v>117</v>
      </c>
      <c r="D137" s="2" t="s">
        <v>554</v>
      </c>
      <c r="E137" s="2">
        <v>2.7</v>
      </c>
      <c r="F137" s="1" t="str">
        <f>VLOOKUP(H137,'RM Used'!A:B,2,0)</f>
        <v>2789CS</v>
      </c>
      <c r="G137" s="1" t="str">
        <f>IFERROR(VLOOKUP(F137,'RM Cost'!A:B,2,0),"")</f>
        <v>RM - PINEAPPLE X 6</v>
      </c>
      <c r="H137" s="2" t="s">
        <v>1379</v>
      </c>
      <c r="I137" s="1" t="str">
        <f>VLOOKUP(F137,'RM Used'!B:D,3,0)</f>
        <v>RM-FOOD</v>
      </c>
      <c r="J137" s="66">
        <v>0.14814814814814814</v>
      </c>
      <c r="K137" s="35">
        <f t="shared" si="42"/>
        <v>0.4</v>
      </c>
      <c r="L137" s="35">
        <f t="shared" si="43"/>
        <v>0.4</v>
      </c>
      <c r="M137" s="77" cm="1">
        <f t="array" ref="M137">_xlfn.IFS(BOM!I137="RM-PACKING","100%",B137="Reynolds",VLOOKUP(H137,'Yield &amp; Time'!A:V,22,0),BOM!B137="Dnata",VLOOKUP(BOM!H137,'Yield &amp; Time'!A:M,13,0),B137="NK",VLOOKUP(H137,'Yield &amp; Time'!A:X,24,0))</f>
        <v>0.35230352303523038</v>
      </c>
      <c r="N137" s="35">
        <f t="shared" si="41"/>
        <v>1.1353846153846154</v>
      </c>
      <c r="O137" s="1" t="str">
        <f>VLOOKUP(H137,'RM Used'!A:E,5,0)</f>
        <v>KG</v>
      </c>
      <c r="P137" s="11">
        <f>VLOOKUP(H137,'RM Used'!A:F,6,0)</f>
        <v>0.7</v>
      </c>
      <c r="Q137" s="11">
        <f t="shared" si="52"/>
        <v>0.79476923076923078</v>
      </c>
      <c r="R137" s="11">
        <f>IFERROR(IF(B137="Reynolds",VLOOKUP(H137,'Yield &amp; Time'!A:U,21,0),VLOOKUP(H137,'Yield &amp; Time'!A:L,12,0)),0)</f>
        <v>1.3973833543505674</v>
      </c>
      <c r="S137" s="11">
        <f t="shared" si="44"/>
        <v>0.18920570617906679</v>
      </c>
      <c r="T137" s="11">
        <f t="shared" si="45"/>
        <v>9.3158890290037828E-3</v>
      </c>
      <c r="U137" s="11">
        <f>IF(A136=A137,0,VLOOKUP(A137,'Packing Time'!A:F,6,0))</f>
        <v>2.375</v>
      </c>
      <c r="V137" s="11">
        <f t="shared" si="53"/>
        <v>0.80393749999999997</v>
      </c>
      <c r="W137" s="11">
        <f t="shared" si="54"/>
        <v>3.9583333333333331E-2</v>
      </c>
      <c r="X137" s="11">
        <f t="shared" si="46"/>
        <v>1.0924575267969734</v>
      </c>
      <c r="Y137" s="11">
        <f t="shared" si="55"/>
        <v>1.0924575267969734</v>
      </c>
      <c r="Z137" s="37">
        <v>1</v>
      </c>
      <c r="AA137" s="36">
        <f t="shared" si="47"/>
        <v>1.1353846153846154</v>
      </c>
      <c r="AB137" s="36">
        <f t="shared" si="48"/>
        <v>0.79476923076923078</v>
      </c>
      <c r="AC137" s="11">
        <f t="shared" si="49"/>
        <v>5.3789144598570836E-2</v>
      </c>
      <c r="AD137" s="36">
        <f t="shared" si="56"/>
        <v>1.0924575267969736</v>
      </c>
      <c r="AE137" s="36" t="str">
        <f>VLOOKUP(H137,'Yield &amp; Time'!A:R,18,0)</f>
        <v>CHLORINE</v>
      </c>
      <c r="AF137" s="36">
        <f>IFERROR(VLOOKUP(AE137,'Chemical Cost'!A:D,4,0),0)</f>
        <v>2.7756518066439469E-2</v>
      </c>
      <c r="AG137" s="114">
        <f t="shared" si="50"/>
        <v>1.0504774529760168E-2</v>
      </c>
      <c r="AH137" s="36">
        <f t="shared" si="57"/>
        <v>1.0504774529760168E-2</v>
      </c>
      <c r="AI137" s="36">
        <f t="shared" si="58"/>
        <v>1.8977315320959642</v>
      </c>
      <c r="AJ137" s="36">
        <f>IFERROR(VLOOKUP(A137,'All Products'!A:F,6,0),0)</f>
        <v>9.58</v>
      </c>
      <c r="AK137" s="36">
        <f t="shared" ref="AK137:AK144" si="59">AJ137*Z137*J137</f>
        <v>1.4192592592592592</v>
      </c>
      <c r="AL137" s="23"/>
      <c r="AM137" s="23">
        <v>1</v>
      </c>
      <c r="AN137" s="54" t="e">
        <v>#N/A</v>
      </c>
      <c r="AO137" s="47"/>
      <c r="AP137" s="4">
        <v>1.1000000000000001</v>
      </c>
      <c r="AQ137" s="111">
        <f t="shared" si="51"/>
        <v>5.3789144598570836E-2</v>
      </c>
      <c r="AR137">
        <f>_xlfn.XLOOKUP(F137,'RM Cost'!A:A,'RM Cost'!S:S)</f>
        <v>0</v>
      </c>
      <c r="AS137" t="str">
        <f>_xlfn.XLOOKUP(A137,[3]Sheet1!$B:$B,[3]Sheet1!$B:$B)</f>
        <v>1851CS</v>
      </c>
      <c r="AT137" t="str">
        <f>_xlfn.XLOOKUP(H137,'Yield &amp; Time'!A:A,'Yield &amp; Time'!O:O)</f>
        <v>Yes</v>
      </c>
    </row>
    <row r="138" spans="1:46" x14ac:dyDescent="0.25">
      <c r="A138" s="2" t="s">
        <v>116</v>
      </c>
      <c r="B138" s="2" t="s">
        <v>552</v>
      </c>
      <c r="C138" s="2" t="s">
        <v>117</v>
      </c>
      <c r="D138" s="2" t="s">
        <v>554</v>
      </c>
      <c r="E138" s="2">
        <v>2.7</v>
      </c>
      <c r="F138" s="1" t="str">
        <f>VLOOKUP(H138,'RM Used'!A:B,2,0)</f>
        <v>2794CS</v>
      </c>
      <c r="G138" s="1" t="str">
        <f>IFERROR(VLOOKUP(F138,'RM Cost'!A:B,2,0),"")</f>
        <v>RM - MELON YELLOW X 6EA</v>
      </c>
      <c r="H138" s="2" t="s">
        <v>1380</v>
      </c>
      <c r="I138" s="1" t="str">
        <f>VLOOKUP(F138,'RM Used'!B:D,3,0)</f>
        <v>RM-FOOD</v>
      </c>
      <c r="J138" s="66">
        <v>0.14814814814814814</v>
      </c>
      <c r="K138" s="35">
        <f t="shared" si="42"/>
        <v>0.4</v>
      </c>
      <c r="L138" s="35">
        <f t="shared" si="43"/>
        <v>0.4</v>
      </c>
      <c r="M138" s="77" cm="1">
        <f t="array" ref="M138">_xlfn.IFS(BOM!I138="RM-PACKING","100%",B138="Reynolds",VLOOKUP(H138,'Yield &amp; Time'!A:V,22,0),BOM!B138="Dnata",VLOOKUP(BOM!H138,'Yield &amp; Time'!A:M,13,0),B138="NK",VLOOKUP(H138,'Yield &amp; Time'!A:X,24,0))</f>
        <v>0.54941373534338356</v>
      </c>
      <c r="N138" s="35">
        <f t="shared" si="41"/>
        <v>0.72804878048780497</v>
      </c>
      <c r="O138" s="1" t="str">
        <f>VLOOKUP(H138,'RM Used'!A:E,5,0)</f>
        <v>KG</v>
      </c>
      <c r="P138" s="11">
        <f>VLOOKUP(H138,'RM Used'!A:F,6,0)</f>
        <v>0.81</v>
      </c>
      <c r="Q138" s="11">
        <f t="shared" si="52"/>
        <v>0.58971951219512209</v>
      </c>
      <c r="R138" s="11">
        <f>IFERROR(IF(B138="Reynolds",VLOOKUP(H138,'Yield &amp; Time'!A:U,21,0),VLOOKUP(H138,'Yield &amp; Time'!A:L,12,0)),0)</f>
        <v>1.8568181818181819</v>
      </c>
      <c r="S138" s="11">
        <f t="shared" si="44"/>
        <v>0.25141318181818184</v>
      </c>
      <c r="T138" s="11">
        <f t="shared" si="45"/>
        <v>1.237878787878788E-2</v>
      </c>
      <c r="U138" s="11">
        <f>IF(A137=A138,0,VLOOKUP(A138,'Packing Time'!A:F,6,0))</f>
        <v>0</v>
      </c>
      <c r="V138" s="11">
        <f t="shared" si="53"/>
        <v>0</v>
      </c>
      <c r="W138" s="11">
        <f t="shared" si="54"/>
        <v>0</v>
      </c>
      <c r="X138" s="11">
        <f t="shared" si="46"/>
        <v>0.27655450000000004</v>
      </c>
      <c r="Y138" s="11">
        <f t="shared" si="55"/>
        <v>0.27655450000000004</v>
      </c>
      <c r="Z138" s="37">
        <v>1</v>
      </c>
      <c r="AA138" s="36">
        <f t="shared" si="47"/>
        <v>0.72804878048780497</v>
      </c>
      <c r="AB138" s="36">
        <f t="shared" si="48"/>
        <v>0.58971951219512209</v>
      </c>
      <c r="AC138" s="11">
        <f t="shared" si="49"/>
        <v>1.3616666666666669E-2</v>
      </c>
      <c r="AD138" s="36">
        <f t="shared" si="56"/>
        <v>0.27655450000000004</v>
      </c>
      <c r="AE138" s="36" t="str">
        <f>VLOOKUP(H138,'Yield &amp; Time'!A:R,18,0)</f>
        <v>CHLORINE</v>
      </c>
      <c r="AF138" s="36">
        <f>IFERROR(VLOOKUP(AE138,'Chemical Cost'!A:D,4,0),0)</f>
        <v>2.7756518066439469E-2</v>
      </c>
      <c r="AG138" s="114">
        <f t="shared" si="50"/>
        <v>6.7360330429529942E-3</v>
      </c>
      <c r="AH138" s="36">
        <f t="shared" si="57"/>
        <v>6.7360330429529942E-3</v>
      </c>
      <c r="AI138" s="36">
        <f t="shared" si="58"/>
        <v>0.87301004523807513</v>
      </c>
      <c r="AJ138" s="36">
        <f>IFERROR(VLOOKUP(A138,'All Products'!A:F,6,0),0)</f>
        <v>9.58</v>
      </c>
      <c r="AK138" s="36">
        <f t="shared" si="59"/>
        <v>1.4192592592592592</v>
      </c>
      <c r="AL138" s="23"/>
      <c r="AM138" s="23">
        <v>1</v>
      </c>
      <c r="AN138" s="54" t="e">
        <v>#N/A</v>
      </c>
      <c r="AO138" s="47"/>
      <c r="AP138" s="4">
        <v>1.1000000000000001</v>
      </c>
      <c r="AQ138" s="111">
        <f t="shared" si="51"/>
        <v>1.3616666666666669E-2</v>
      </c>
      <c r="AR138">
        <f>_xlfn.XLOOKUP(F138,'RM Cost'!A:A,'RM Cost'!S:S)</f>
        <v>0</v>
      </c>
      <c r="AS138" t="str">
        <f>_xlfn.XLOOKUP(A138,[3]Sheet1!$B:$B,[3]Sheet1!$B:$B)</f>
        <v>1851CS</v>
      </c>
      <c r="AT138" t="str">
        <f>_xlfn.XLOOKUP(H138,'Yield &amp; Time'!A:A,'Yield &amp; Time'!O:O)</f>
        <v>Yes</v>
      </c>
    </row>
    <row r="139" spans="1:46" x14ac:dyDescent="0.25">
      <c r="A139" s="2" t="s">
        <v>116</v>
      </c>
      <c r="B139" s="2" t="s">
        <v>552</v>
      </c>
      <c r="C139" s="2" t="s">
        <v>117</v>
      </c>
      <c r="D139" s="2" t="s">
        <v>554</v>
      </c>
      <c r="E139" s="2">
        <v>2.7</v>
      </c>
      <c r="F139" s="1" t="str">
        <f>VLOOKUP(H139,'RM Used'!A:B,2,0)</f>
        <v>2730CS</v>
      </c>
      <c r="G139" s="1" t="str">
        <f>IFERROR(VLOOKUP(F139,'RM Cost'!A:B,2,0),"")</f>
        <v>RM - ORANGE LARGE X 15KG</v>
      </c>
      <c r="H139" s="2" t="s">
        <v>1381</v>
      </c>
      <c r="I139" s="1" t="str">
        <f>VLOOKUP(F139,'RM Used'!B:D,3,0)</f>
        <v>RM-FOOD</v>
      </c>
      <c r="J139" s="66">
        <v>0.14814814814814814</v>
      </c>
      <c r="K139" s="35">
        <f t="shared" si="42"/>
        <v>0.4</v>
      </c>
      <c r="L139" s="35">
        <f t="shared" si="43"/>
        <v>0.4</v>
      </c>
      <c r="M139" s="77" cm="1">
        <f t="array" ref="M139">_xlfn.IFS(BOM!I139="RM-PACKING","100%",B139="Reynolds",VLOOKUP(H139,'Yield &amp; Time'!A:V,22,0),BOM!B139="Dnata",VLOOKUP(BOM!H139,'Yield &amp; Time'!A:M,13,0),B139="NK",VLOOKUP(H139,'Yield &amp; Time'!A:X,24,0))</f>
        <v>0.46641791044776115</v>
      </c>
      <c r="N139" s="35">
        <f t="shared" si="41"/>
        <v>0.85760000000000014</v>
      </c>
      <c r="O139" s="1" t="str">
        <f>VLOOKUP(H139,'RM Used'!A:E,5,0)</f>
        <v>KG</v>
      </c>
      <c r="P139" s="11">
        <f>VLOOKUP(H139,'RM Used'!A:F,6,0)</f>
        <v>0.8</v>
      </c>
      <c r="Q139" s="11">
        <f t="shared" si="52"/>
        <v>0.68608000000000013</v>
      </c>
      <c r="R139" s="11">
        <f>IFERROR(IF(B139="Reynolds",VLOOKUP(H139,'Yield &amp; Time'!A:U,21,0),VLOOKUP(H139,'Yield &amp; Time'!A:L,12,0)),0)</f>
        <v>4.9222222222222216</v>
      </c>
      <c r="S139" s="11">
        <f t="shared" si="44"/>
        <v>0.66646888888888878</v>
      </c>
      <c r="T139" s="11">
        <f t="shared" si="45"/>
        <v>3.2814814814814811E-2</v>
      </c>
      <c r="U139" s="11">
        <f>IF(A138=A139,0,VLOOKUP(A139,'Packing Time'!A:F,6,0))</f>
        <v>0</v>
      </c>
      <c r="V139" s="11">
        <f t="shared" si="53"/>
        <v>0</v>
      </c>
      <c r="W139" s="11">
        <f t="shared" si="54"/>
        <v>0</v>
      </c>
      <c r="X139" s="11">
        <f t="shared" si="46"/>
        <v>0.7331157777777777</v>
      </c>
      <c r="Y139" s="11">
        <f t="shared" si="55"/>
        <v>0.7331157777777777</v>
      </c>
      <c r="Z139" s="37">
        <v>1</v>
      </c>
      <c r="AA139" s="36">
        <f t="shared" si="47"/>
        <v>0.85760000000000014</v>
      </c>
      <c r="AB139" s="36">
        <f t="shared" si="48"/>
        <v>0.68608000000000013</v>
      </c>
      <c r="AC139" s="11">
        <f t="shared" si="49"/>
        <v>3.6096296296296293E-2</v>
      </c>
      <c r="AD139" s="36">
        <f t="shared" si="56"/>
        <v>0.73311577777777759</v>
      </c>
      <c r="AE139" s="36" t="str">
        <f>VLOOKUP(H139,'Yield &amp; Time'!A:R,18,0)</f>
        <v>CHLORINE</v>
      </c>
      <c r="AF139" s="36">
        <f>IFERROR(VLOOKUP(AE139,'Chemical Cost'!A:D,4,0),0)</f>
        <v>2.7756518066439469E-2</v>
      </c>
      <c r="AG139" s="114">
        <f t="shared" si="50"/>
        <v>7.9346632979261644E-3</v>
      </c>
      <c r="AH139" s="36">
        <f t="shared" si="57"/>
        <v>7.9346632979261644E-3</v>
      </c>
      <c r="AI139" s="36">
        <f t="shared" si="58"/>
        <v>1.4271304410757042</v>
      </c>
      <c r="AJ139" s="36">
        <f>IFERROR(VLOOKUP(A139,'All Products'!A:F,6,0),0)</f>
        <v>9.58</v>
      </c>
      <c r="AK139" s="36">
        <f t="shared" si="59"/>
        <v>1.4192592592592592</v>
      </c>
      <c r="AL139" s="23"/>
      <c r="AM139" s="23">
        <v>1</v>
      </c>
      <c r="AN139" s="54" t="e">
        <v>#N/A</v>
      </c>
      <c r="AO139" s="47"/>
      <c r="AP139" s="4">
        <v>1.1000000000000001</v>
      </c>
      <c r="AQ139" s="111">
        <f t="shared" si="51"/>
        <v>3.6096296296296293E-2</v>
      </c>
      <c r="AR139">
        <f>_xlfn.XLOOKUP(F139,'RM Cost'!A:A,'RM Cost'!S:S)</f>
        <v>0</v>
      </c>
      <c r="AS139" t="str">
        <f>_xlfn.XLOOKUP(A139,[3]Sheet1!$B:$B,[3]Sheet1!$B:$B)</f>
        <v>1851CS</v>
      </c>
      <c r="AT139" t="str">
        <f>_xlfn.XLOOKUP(H139,'Yield &amp; Time'!A:A,'Yield &amp; Time'!O:O)</f>
        <v>Yes</v>
      </c>
    </row>
    <row r="140" spans="1:46" x14ac:dyDescent="0.25">
      <c r="A140" s="2" t="s">
        <v>116</v>
      </c>
      <c r="B140" s="2" t="s">
        <v>552</v>
      </c>
      <c r="C140" s="2" t="s">
        <v>117</v>
      </c>
      <c r="D140" s="2" t="s">
        <v>554</v>
      </c>
      <c r="E140" s="2">
        <v>2.7</v>
      </c>
      <c r="F140" s="1" t="str">
        <f>VLOOKUP(H140,'RM Used'!A:B,2,0)</f>
        <v>2519CS</v>
      </c>
      <c r="G140" s="1" t="str">
        <f>IFERROR(VLOOKUP(F140,'RM Cost'!A:B,2,0),"")</f>
        <v>RM - APPLES RED X 125/138</v>
      </c>
      <c r="H140" s="2" t="s">
        <v>1382</v>
      </c>
      <c r="I140" s="1" t="str">
        <f>VLOOKUP(F140,'RM Used'!B:D,3,0)</f>
        <v>RM-FOOD</v>
      </c>
      <c r="J140" s="66">
        <v>0.13333333333333333</v>
      </c>
      <c r="K140" s="35">
        <f t="shared" si="42"/>
        <v>0.36000000000000004</v>
      </c>
      <c r="L140" s="35">
        <f t="shared" si="43"/>
        <v>0.36000000000000004</v>
      </c>
      <c r="M140" s="77" cm="1">
        <f t="array" ref="M140">_xlfn.IFS(BOM!I140="RM-PACKING","100%",B140="Reynolds",VLOOKUP(H140,'Yield &amp; Time'!A:V,22,0),BOM!B140="Dnata",VLOOKUP(BOM!H140,'Yield &amp; Time'!A:M,13,0),B140="NK",VLOOKUP(H140,'Yield &amp; Time'!A:X,24,0))</f>
        <v>0.76402439024390245</v>
      </c>
      <c r="N140" s="35">
        <f t="shared" si="41"/>
        <v>0.47118914604948131</v>
      </c>
      <c r="O140" s="1" t="str">
        <f>VLOOKUP(H140,'RM Used'!A:E,5,0)</f>
        <v>KG</v>
      </c>
      <c r="P140" s="11">
        <f>VLOOKUP(H140,'RM Used'!A:F,6,0)</f>
        <v>1.1200000000000001</v>
      </c>
      <c r="Q140" s="11">
        <f t="shared" si="52"/>
        <v>0.52773184357541914</v>
      </c>
      <c r="R140" s="11">
        <f>IFERROR(IF(B140="Reynolds",VLOOKUP(H140,'Yield &amp; Time'!A:U,21,0),VLOOKUP(H140,'Yield &amp; Time'!A:L,12,0)),0)</f>
        <v>4.0425063181697265</v>
      </c>
      <c r="S140" s="11">
        <f t="shared" si="44"/>
        <v>0.49261981993216286</v>
      </c>
      <c r="T140" s="11">
        <f t="shared" si="45"/>
        <v>2.4255037909018361E-2</v>
      </c>
      <c r="U140" s="11">
        <f>IF(A139=A140,0,VLOOKUP(A140,'Packing Time'!A:F,6,0))</f>
        <v>0</v>
      </c>
      <c r="V140" s="11">
        <f t="shared" si="53"/>
        <v>0</v>
      </c>
      <c r="W140" s="11">
        <f t="shared" si="54"/>
        <v>0</v>
      </c>
      <c r="X140" s="11">
        <f t="shared" si="46"/>
        <v>0.54188180192537916</v>
      </c>
      <c r="Y140" s="11">
        <f t="shared" si="55"/>
        <v>0.54188180192537916</v>
      </c>
      <c r="Z140" s="37">
        <v>1</v>
      </c>
      <c r="AA140" s="36">
        <f t="shared" si="47"/>
        <v>0.47118914604948131</v>
      </c>
      <c r="AB140" s="36">
        <f t="shared" si="48"/>
        <v>0.52773184357541914</v>
      </c>
      <c r="AC140" s="11">
        <f t="shared" si="49"/>
        <v>2.66805416999202E-2</v>
      </c>
      <c r="AD140" s="36">
        <f t="shared" si="56"/>
        <v>0.54188180192537927</v>
      </c>
      <c r="AE140" s="36" t="str">
        <f>VLOOKUP(H140,'Yield &amp; Time'!A:R,18,0)</f>
        <v>CHLORINE, NATURE SEAL A5</v>
      </c>
      <c r="AF140" s="36">
        <f>IFERROR(VLOOKUP(AE140,'Chemical Cost'!A:D,4,0),0)</f>
        <v>0.51079223287545206</v>
      </c>
      <c r="AG140" s="114">
        <f t="shared" si="50"/>
        <v>8.022658533909735E-2</v>
      </c>
      <c r="AH140" s="36">
        <f t="shared" si="57"/>
        <v>8.022658533909735E-2</v>
      </c>
      <c r="AI140" s="36">
        <f t="shared" si="58"/>
        <v>1.1498402308398956</v>
      </c>
      <c r="AJ140" s="36">
        <f>IFERROR(VLOOKUP(A140,'All Products'!A:F,6,0),0)</f>
        <v>9.58</v>
      </c>
      <c r="AK140" s="36">
        <f t="shared" si="59"/>
        <v>1.2773333333333334</v>
      </c>
      <c r="AL140" s="23"/>
      <c r="AM140" s="23">
        <v>1</v>
      </c>
      <c r="AN140" s="54" t="e">
        <v>#N/A</v>
      </c>
      <c r="AO140" s="47"/>
      <c r="AP140" s="4">
        <v>1.1000000000000001</v>
      </c>
      <c r="AQ140" s="111">
        <f t="shared" si="51"/>
        <v>2.66805416999202E-2</v>
      </c>
      <c r="AR140">
        <f>_xlfn.XLOOKUP(F140,'RM Cost'!A:A,'RM Cost'!S:S)</f>
        <v>0</v>
      </c>
      <c r="AS140" t="str">
        <f>_xlfn.XLOOKUP(A140,[3]Sheet1!$B:$B,[3]Sheet1!$B:$B)</f>
        <v>1851CS</v>
      </c>
      <c r="AT140" t="str">
        <f>_xlfn.XLOOKUP(H140,'Yield &amp; Time'!A:A,'Yield &amp; Time'!O:O)</f>
        <v>Yes</v>
      </c>
    </row>
    <row r="141" spans="1:46" x14ac:dyDescent="0.25">
      <c r="A141" s="2" t="s">
        <v>116</v>
      </c>
      <c r="B141" s="2" t="s">
        <v>552</v>
      </c>
      <c r="C141" s="2" t="s">
        <v>117</v>
      </c>
      <c r="D141" s="2" t="s">
        <v>554</v>
      </c>
      <c r="E141" s="2">
        <v>2.7</v>
      </c>
      <c r="F141" s="1" t="str">
        <f>VLOOKUP(H141,'RM Used'!A:B,2,0)</f>
        <v>2608CS</v>
      </c>
      <c r="G141" s="1" t="str">
        <f>IFERROR(VLOOKUP(F141,'RM Cost'!A:B,2,0),"")</f>
        <v>RM - GRAPE BLACK SLESS P/P 10X500G</v>
      </c>
      <c r="H141" s="2" t="s">
        <v>1383</v>
      </c>
      <c r="I141" s="1" t="str">
        <f>VLOOKUP(F141,'RM Used'!B:D,3,0)</f>
        <v>RM-FOOD</v>
      </c>
      <c r="J141" s="66">
        <v>5.5555555555555552E-2</v>
      </c>
      <c r="K141" s="35">
        <f t="shared" si="42"/>
        <v>0.15</v>
      </c>
      <c r="L141" s="35">
        <f t="shared" si="43"/>
        <v>0.15</v>
      </c>
      <c r="M141" s="77" cm="1">
        <f t="array" ref="M141">_xlfn.IFS(BOM!I141="RM-PACKING","100%",B141="Reynolds",VLOOKUP(H141,'Yield &amp; Time'!A:V,22,0),BOM!B141="Dnata",VLOOKUP(BOM!H141,'Yield &amp; Time'!A:M,13,0),B141="NK",VLOOKUP(H141,'Yield &amp; Time'!A:X,24,0))</f>
        <v>0.95121951219512202</v>
      </c>
      <c r="N141" s="35">
        <f t="shared" si="41"/>
        <v>0.15769230769230769</v>
      </c>
      <c r="O141" s="1" t="str">
        <f>VLOOKUP(H141,'RM Used'!A:E,5,0)</f>
        <v>KG</v>
      </c>
      <c r="P141" s="11">
        <f>VLOOKUP(H141,'RM Used'!A:F,6,0)</f>
        <v>2.2599999999999998</v>
      </c>
      <c r="Q141" s="11">
        <f t="shared" si="52"/>
        <v>0.35638461538461536</v>
      </c>
      <c r="R141" s="11">
        <f>IFERROR(IF(B141="Reynolds",VLOOKUP(H141,'Yield &amp; Time'!A:U,21,0),VLOOKUP(H141,'Yield &amp; Time'!A:L,12,0)),0)</f>
        <v>2.6266025641025639</v>
      </c>
      <c r="S141" s="11">
        <f t="shared" si="44"/>
        <v>0.13336574519230768</v>
      </c>
      <c r="T141" s="11">
        <f t="shared" si="45"/>
        <v>6.5665064102564102E-3</v>
      </c>
      <c r="U141" s="11">
        <f>IF(A140=A141,0,VLOOKUP(A141,'Packing Time'!A:F,6,0))</f>
        <v>0</v>
      </c>
      <c r="V141" s="11">
        <f t="shared" si="53"/>
        <v>0</v>
      </c>
      <c r="W141" s="11">
        <f t="shared" si="54"/>
        <v>0</v>
      </c>
      <c r="X141" s="11">
        <f t="shared" si="46"/>
        <v>0.14670231971153846</v>
      </c>
      <c r="Y141" s="11">
        <f t="shared" si="55"/>
        <v>0.14670231971153846</v>
      </c>
      <c r="Z141" s="37">
        <v>1</v>
      </c>
      <c r="AA141" s="36">
        <f t="shared" si="47"/>
        <v>0.15769230769230769</v>
      </c>
      <c r="AB141" s="36">
        <f t="shared" si="48"/>
        <v>0.35638461538461536</v>
      </c>
      <c r="AC141" s="11">
        <f t="shared" si="49"/>
        <v>7.2231570512820515E-3</v>
      </c>
      <c r="AD141" s="36">
        <f t="shared" si="56"/>
        <v>0.14670231971153844</v>
      </c>
      <c r="AE141" s="36" t="str">
        <f>VLOOKUP(H141,'Yield &amp; Time'!A:R,18,0)</f>
        <v>CHLORINE</v>
      </c>
      <c r="AF141" s="36">
        <f>IFERROR(VLOOKUP(AE141,'Chemical Cost'!A:D,4,0),0)</f>
        <v>2.7756518066439469E-2</v>
      </c>
      <c r="AG141" s="114">
        <f t="shared" si="50"/>
        <v>1.4589964624666899E-3</v>
      </c>
      <c r="AH141" s="36">
        <f t="shared" si="57"/>
        <v>1.4589964624666899E-3</v>
      </c>
      <c r="AI141" s="36">
        <f t="shared" si="58"/>
        <v>0.50454593155862049</v>
      </c>
      <c r="AJ141" s="36">
        <f>IFERROR(VLOOKUP(A141,'All Products'!A:F,6,0),0)</f>
        <v>9.58</v>
      </c>
      <c r="AK141" s="36">
        <f t="shared" si="59"/>
        <v>0.53222222222222215</v>
      </c>
      <c r="AL141" s="23"/>
      <c r="AM141" s="23">
        <v>1</v>
      </c>
      <c r="AN141" s="54" t="e">
        <v>#N/A</v>
      </c>
      <c r="AO141" s="47"/>
      <c r="AP141" s="4">
        <v>1.1000000000000001</v>
      </c>
      <c r="AQ141" s="111">
        <f t="shared" si="51"/>
        <v>7.2231570512820515E-3</v>
      </c>
      <c r="AR141">
        <f>_xlfn.XLOOKUP(F141,'RM Cost'!A:A,'RM Cost'!S:S)</f>
        <v>0</v>
      </c>
      <c r="AS141" t="str">
        <f>_xlfn.XLOOKUP(A141,[3]Sheet1!$B:$B,[3]Sheet1!$B:$B)</f>
        <v>1851CS</v>
      </c>
      <c r="AT141" t="str">
        <f>_xlfn.XLOOKUP(H141,'Yield &amp; Time'!A:A,'Yield &amp; Time'!O:O)</f>
        <v>Yes</v>
      </c>
    </row>
    <row r="142" spans="1:46" x14ac:dyDescent="0.25">
      <c r="A142" s="2" t="s">
        <v>116</v>
      </c>
      <c r="B142" s="2" t="s">
        <v>552</v>
      </c>
      <c r="C142" s="2" t="s">
        <v>117</v>
      </c>
      <c r="D142" s="2" t="s">
        <v>554</v>
      </c>
      <c r="E142" s="2">
        <v>2.7</v>
      </c>
      <c r="F142" s="1" t="str">
        <f>VLOOKUP(H142,'RM Used'!A:B,2,0)</f>
        <v>2613CS</v>
      </c>
      <c r="G142" s="1" t="str">
        <f>IFERROR(VLOOKUP(F142,'RM Cost'!A:B,2,0),"")</f>
        <v>RM - GRAPE WHITE SLESS P/P 10X500G</v>
      </c>
      <c r="H142" s="2" t="s">
        <v>1384</v>
      </c>
      <c r="I142" s="1" t="str">
        <f>VLOOKUP(F142,'RM Used'!B:D,3,0)</f>
        <v>RM-FOOD</v>
      </c>
      <c r="J142" s="66">
        <v>5.5555555555555552E-2</v>
      </c>
      <c r="K142" s="35">
        <f t="shared" si="42"/>
        <v>0.15</v>
      </c>
      <c r="L142" s="35">
        <f t="shared" si="43"/>
        <v>0.15</v>
      </c>
      <c r="M142" s="77" cm="1">
        <f t="array" ref="M142">_xlfn.IFS(BOM!I142="RM-PACKING","100%",B142="Reynolds",VLOOKUP(H142,'Yield &amp; Time'!A:V,22,0),BOM!B142="Dnata",VLOOKUP(BOM!H142,'Yield &amp; Time'!A:M,13,0),B142="NK",VLOOKUP(H142,'Yield &amp; Time'!A:X,24,0))</f>
        <v>0.95454545454545447</v>
      </c>
      <c r="N142" s="35">
        <f t="shared" si="41"/>
        <v>0.15714285714285714</v>
      </c>
      <c r="O142" s="1" t="str">
        <f>VLOOKUP(H142,'RM Used'!A:E,5,0)</f>
        <v>KG</v>
      </c>
      <c r="P142" s="11">
        <f>VLOOKUP(H142,'RM Used'!A:F,6,0)</f>
        <v>2.2400000000000002</v>
      </c>
      <c r="Q142" s="11">
        <f t="shared" si="52"/>
        <v>0.35200000000000004</v>
      </c>
      <c r="R142" s="11">
        <f>IFERROR(IF(B142="Reynolds",VLOOKUP(H142,'Yield &amp; Time'!A:U,21,0),VLOOKUP(H142,'Yield &amp; Time'!A:L,12,0)),0)</f>
        <v>2.3878968253968256</v>
      </c>
      <c r="S142" s="11">
        <f t="shared" si="44"/>
        <v>0.12124546130952379</v>
      </c>
      <c r="T142" s="11">
        <f t="shared" si="45"/>
        <v>5.9697420634920633E-3</v>
      </c>
      <c r="U142" s="11">
        <f>IF(A141=A142,0,VLOOKUP(A142,'Packing Time'!A:F,6,0))</f>
        <v>0</v>
      </c>
      <c r="V142" s="11">
        <f t="shared" si="53"/>
        <v>0</v>
      </c>
      <c r="W142" s="11">
        <f t="shared" si="54"/>
        <v>0</v>
      </c>
      <c r="X142" s="11">
        <f t="shared" si="46"/>
        <v>0.1333700074404762</v>
      </c>
      <c r="Y142" s="11">
        <f t="shared" si="55"/>
        <v>0.1333700074404762</v>
      </c>
      <c r="Z142" s="37">
        <v>1</v>
      </c>
      <c r="AA142" s="36">
        <f t="shared" si="47"/>
        <v>0.15714285714285714</v>
      </c>
      <c r="AB142" s="36">
        <f t="shared" si="48"/>
        <v>0.35200000000000004</v>
      </c>
      <c r="AC142" s="11">
        <f t="shared" si="49"/>
        <v>6.5667162698412702E-3</v>
      </c>
      <c r="AD142" s="36">
        <f t="shared" si="56"/>
        <v>0.13337000744047617</v>
      </c>
      <c r="AE142" s="36" t="str">
        <f>VLOOKUP(H142,'Yield &amp; Time'!A:R,18,0)</f>
        <v>CHLORINE</v>
      </c>
      <c r="AF142" s="36">
        <f>IFERROR(VLOOKUP(AE142,'Chemical Cost'!A:D,4,0),0)</f>
        <v>2.7756518066439469E-2</v>
      </c>
      <c r="AG142" s="114">
        <f t="shared" si="50"/>
        <v>1.4539128510992103E-3</v>
      </c>
      <c r="AH142" s="36">
        <f t="shared" si="57"/>
        <v>1.4539128510992103E-3</v>
      </c>
      <c r="AI142" s="36">
        <f t="shared" si="58"/>
        <v>0.4868239202915754</v>
      </c>
      <c r="AJ142" s="36">
        <f>IFERROR(VLOOKUP(A142,'All Products'!A:F,6,0),0)</f>
        <v>9.58</v>
      </c>
      <c r="AK142" s="36">
        <f t="shared" si="59"/>
        <v>0.53222222222222215</v>
      </c>
      <c r="AL142" s="23"/>
      <c r="AM142" s="23">
        <v>1</v>
      </c>
      <c r="AN142" s="54" t="e">
        <v>#N/A</v>
      </c>
      <c r="AO142" s="47"/>
      <c r="AP142" s="4">
        <v>1.1000000000000001</v>
      </c>
      <c r="AQ142" s="111">
        <f t="shared" si="51"/>
        <v>6.5667162698412702E-3</v>
      </c>
      <c r="AR142">
        <f>_xlfn.XLOOKUP(F142,'RM Cost'!A:A,'RM Cost'!S:S)</f>
        <v>0</v>
      </c>
      <c r="AS142" t="str">
        <f>_xlfn.XLOOKUP(A142,[3]Sheet1!$B:$B,[3]Sheet1!$B:$B)</f>
        <v>1851CS</v>
      </c>
      <c r="AT142" t="str">
        <f>_xlfn.XLOOKUP(H142,'Yield &amp; Time'!A:A,'Yield &amp; Time'!O:O)</f>
        <v>Yes</v>
      </c>
    </row>
    <row r="143" spans="1:46" x14ac:dyDescent="0.25">
      <c r="A143" s="2" t="s">
        <v>116</v>
      </c>
      <c r="B143" s="2" t="s">
        <v>552</v>
      </c>
      <c r="C143" s="2" t="s">
        <v>117</v>
      </c>
      <c r="D143" s="2" t="s">
        <v>554</v>
      </c>
      <c r="E143" s="2">
        <v>2.7</v>
      </c>
      <c r="F143" s="1" t="str">
        <f>VLOOKUP(H143,'RM Used'!A:B,2,0)</f>
        <v>4447CS</v>
      </c>
      <c r="G143" s="1" t="str">
        <f>IFERROR(VLOOKUP(F143,'RM Cost'!A:B,2,0),"")</f>
        <v>RM - KIWI X 10KG</v>
      </c>
      <c r="H143" s="2" t="s">
        <v>1385</v>
      </c>
      <c r="I143" s="1" t="str">
        <f>VLOOKUP(F143,'RM Used'!B:D,3,0)</f>
        <v>RM-FOOD</v>
      </c>
      <c r="J143" s="66">
        <v>5.185185185185185E-2</v>
      </c>
      <c r="K143" s="35">
        <f t="shared" si="42"/>
        <v>0.14000000000000001</v>
      </c>
      <c r="L143" s="35">
        <f t="shared" si="43"/>
        <v>0.14000000000000001</v>
      </c>
      <c r="M143" s="77" cm="1">
        <f t="array" ref="M143">_xlfn.IFS(BOM!I143="RM-PACKING","100%",B143="Reynolds",VLOOKUP(H143,'Yield &amp; Time'!A:V,22,0),BOM!B143="Dnata",VLOOKUP(BOM!H143,'Yield &amp; Time'!A:M,13,0),B143="NK",VLOOKUP(H143,'Yield &amp; Time'!A:X,24,0))</f>
        <v>0.65354000837871795</v>
      </c>
      <c r="N143" s="35">
        <f t="shared" si="41"/>
        <v>0.21421794871794878</v>
      </c>
      <c r="O143" s="1" t="str">
        <f>VLOOKUP(H143,'RM Used'!A:E,5,0)</f>
        <v>KG</v>
      </c>
      <c r="P143" s="11">
        <f>VLOOKUP(H143,'RM Used'!A:F,6,0)</f>
        <v>2.23</v>
      </c>
      <c r="Q143" s="11">
        <f t="shared" si="52"/>
        <v>0.47770602564102577</v>
      </c>
      <c r="R143" s="11">
        <f>IFERROR(IF(B143="Reynolds",VLOOKUP(H143,'Yield &amp; Time'!A:U,21,0),VLOOKUP(H143,'Yield &amp; Time'!A:L,12,0)),0)</f>
        <v>14.303952991452993</v>
      </c>
      <c r="S143" s="11">
        <f t="shared" si="44"/>
        <v>0.67786433226495735</v>
      </c>
      <c r="T143" s="11">
        <f t="shared" si="45"/>
        <v>3.3375890313390319E-2</v>
      </c>
      <c r="U143" s="11">
        <f>IF(A142=A143,0,VLOOKUP(A143,'Packing Time'!A:F,6,0))</f>
        <v>0</v>
      </c>
      <c r="V143" s="11">
        <f t="shared" si="53"/>
        <v>0</v>
      </c>
      <c r="W143" s="11">
        <f t="shared" si="54"/>
        <v>0</v>
      </c>
      <c r="X143" s="11">
        <f t="shared" si="46"/>
        <v>0.74565076549145315</v>
      </c>
      <c r="Y143" s="11">
        <f t="shared" si="55"/>
        <v>0.74565076549145315</v>
      </c>
      <c r="Z143" s="37">
        <v>1</v>
      </c>
      <c r="AA143" s="36">
        <f t="shared" si="47"/>
        <v>0.21421794871794878</v>
      </c>
      <c r="AB143" s="36">
        <f t="shared" si="48"/>
        <v>0.47770602564102577</v>
      </c>
      <c r="AC143" s="11">
        <f t="shared" si="49"/>
        <v>3.6713479344729356E-2</v>
      </c>
      <c r="AD143" s="36">
        <f t="shared" si="56"/>
        <v>0.74565076549145315</v>
      </c>
      <c r="AE143" s="36" t="str">
        <f>VLOOKUP(H143,'Yield &amp; Time'!A:R,18,0)</f>
        <v>CHLORINE</v>
      </c>
      <c r="AF143" s="36">
        <f>IFERROR(VLOOKUP(AE143,'Chemical Cost'!A:D,4,0),0)</f>
        <v>2.7756518066439469E-2</v>
      </c>
      <c r="AG143" s="114">
        <f t="shared" si="50"/>
        <v>1.9819814545817831E-3</v>
      </c>
      <c r="AH143" s="36">
        <f t="shared" si="57"/>
        <v>1.9819814545817831E-3</v>
      </c>
      <c r="AI143" s="36">
        <f t="shared" si="58"/>
        <v>1.2253387725870608</v>
      </c>
      <c r="AJ143" s="36">
        <f>IFERROR(VLOOKUP(A143,'All Products'!A:F,6,0),0)</f>
        <v>9.58</v>
      </c>
      <c r="AK143" s="36">
        <f t="shared" si="59"/>
        <v>0.4967407407407407</v>
      </c>
      <c r="AL143" s="23"/>
      <c r="AM143" s="23">
        <v>1</v>
      </c>
      <c r="AN143" s="54" t="e">
        <v>#N/A</v>
      </c>
      <c r="AO143" s="47"/>
      <c r="AP143" s="4">
        <v>1.1000000000000001</v>
      </c>
      <c r="AQ143" s="111">
        <f t="shared" si="51"/>
        <v>3.6713479344729356E-2</v>
      </c>
      <c r="AR143">
        <f>_xlfn.XLOOKUP(F143,'RM Cost'!A:A,'RM Cost'!S:S)</f>
        <v>0</v>
      </c>
      <c r="AS143" t="str">
        <f>_xlfn.XLOOKUP(A143,[3]Sheet1!$B:$B,[3]Sheet1!$B:$B)</f>
        <v>1851CS</v>
      </c>
      <c r="AT143" t="str">
        <f>_xlfn.XLOOKUP(H143,'Yield &amp; Time'!A:A,'Yield &amp; Time'!O:O)</f>
        <v>Yes</v>
      </c>
    </row>
    <row r="144" spans="1:46" x14ac:dyDescent="0.25">
      <c r="A144" s="2" t="s">
        <v>116</v>
      </c>
      <c r="B144" s="2" t="s">
        <v>552</v>
      </c>
      <c r="C144" s="2" t="s">
        <v>117</v>
      </c>
      <c r="D144" s="2" t="s">
        <v>554</v>
      </c>
      <c r="E144" s="2">
        <v>2.7</v>
      </c>
      <c r="F144" s="1" t="str">
        <f>VLOOKUP(H144,'RM Used'!A:B,2,0)</f>
        <v>8929CS</v>
      </c>
      <c r="G144" s="1" t="str">
        <f>IFERROR(VLOOKUP(F144,'RM Cost'!A:B,2,0),"")</f>
        <v>GRANULATED SUGAR 1 X 25K</v>
      </c>
      <c r="H144" s="2" t="s">
        <v>1757</v>
      </c>
      <c r="I144" s="1" t="str">
        <f>VLOOKUP(F144,'RM Used'!B:D,3,0)</f>
        <v>RM-FOOD</v>
      </c>
      <c r="J144" s="66">
        <v>0.25925925925925924</v>
      </c>
      <c r="K144" s="35">
        <f t="shared" si="42"/>
        <v>0.7</v>
      </c>
      <c r="L144" s="35">
        <f t="shared" si="43"/>
        <v>0.7</v>
      </c>
      <c r="M144" s="77" cm="1">
        <f t="array" ref="M144">_xlfn.IFS(BOM!I144="RM-PACKING","100%",B144="Reynolds",VLOOKUP(H144,'Yield &amp; Time'!A:V,22,0),BOM!B144="Dnata",VLOOKUP(BOM!H144,'Yield &amp; Time'!A:M,13,0),B144="NK",VLOOKUP(H144,'Yield &amp; Time'!A:X,24,0))</f>
        <v>1</v>
      </c>
      <c r="N144" s="35">
        <f>IFERROR(IF(I144="RM-FOOD",(E144*J144)/M144,1),0)</f>
        <v>0.7</v>
      </c>
      <c r="O144" s="1" t="str">
        <f>VLOOKUP(H144,'RM Used'!A:E,5,0)</f>
        <v>KG</v>
      </c>
      <c r="P144" s="11">
        <f>VLOOKUP(H144,'RM Used'!A:F,6,0)</f>
        <v>6.3E-2</v>
      </c>
      <c r="Q144" s="11">
        <f t="shared" si="52"/>
        <v>4.41E-2</v>
      </c>
      <c r="R144" s="11">
        <f>IFERROR(IF(B144="Reynolds",VLOOKUP(H144,'Yield &amp; Time'!A:U,21,0),VLOOKUP(H144,'Yield &amp; Time'!A:L,12,0)),0)</f>
        <v>0.16666666666666666</v>
      </c>
      <c r="S144" s="11">
        <f t="shared" si="44"/>
        <v>3.9491666666666661E-2</v>
      </c>
      <c r="T144" s="11">
        <f t="shared" si="45"/>
        <v>1.9444444444444444E-3</v>
      </c>
      <c r="U144" s="11">
        <f>IF(A143=A144,0,VLOOKUP(A144,'Packing Time'!A:F,6,0))</f>
        <v>0</v>
      </c>
      <c r="V144" s="11">
        <f>U144*AO$1</f>
        <v>0</v>
      </c>
      <c r="W144" s="11">
        <f>(U144*Z144)/60</f>
        <v>0</v>
      </c>
      <c r="X144" s="11">
        <f t="shared" si="46"/>
        <v>4.3440833333333331E-2</v>
      </c>
      <c r="Y144" s="11">
        <f>X144*Z144</f>
        <v>4.3440833333333331E-2</v>
      </c>
      <c r="Z144" s="37">
        <v>1</v>
      </c>
      <c r="AA144" s="36">
        <f t="shared" si="47"/>
        <v>0.7</v>
      </c>
      <c r="AB144" s="36">
        <f t="shared" si="48"/>
        <v>4.41E-2</v>
      </c>
      <c r="AC144" s="11">
        <f t="shared" si="49"/>
        <v>2.138888888888889E-3</v>
      </c>
      <c r="AD144" s="36">
        <f>AC144*60*AO$1</f>
        <v>4.3440833333333324E-2</v>
      </c>
      <c r="AE144" s="36">
        <f>VLOOKUP(H144,'Yield &amp; Time'!A:R,18,0)</f>
        <v>0</v>
      </c>
      <c r="AF144" s="36">
        <f>IFERROR(VLOOKUP(AE144,'Chemical Cost'!A:D,4,0),0)</f>
        <v>0</v>
      </c>
      <c r="AG144" s="114">
        <f t="shared" si="50"/>
        <v>0</v>
      </c>
      <c r="AH144" s="36">
        <f t="shared" si="57"/>
        <v>0</v>
      </c>
      <c r="AI144" s="36">
        <f>IFERROR((Q144*Z144)+(Z144*X144)+AH144,0)</f>
        <v>8.7540833333333332E-2</v>
      </c>
      <c r="AJ144" s="36">
        <f>IFERROR(VLOOKUP(A144,'All Products'!A:F,6,0),0)</f>
        <v>9.58</v>
      </c>
      <c r="AK144" s="36">
        <f t="shared" si="59"/>
        <v>2.4837037037037035</v>
      </c>
      <c r="AL144" s="23"/>
      <c r="AM144" s="23">
        <v>1</v>
      </c>
      <c r="AN144" s="54" t="e">
        <v>#N/A</v>
      </c>
      <c r="AO144" s="47"/>
      <c r="AP144" s="4">
        <v>1.1000000000000001</v>
      </c>
      <c r="AQ144" s="111">
        <f t="shared" si="51"/>
        <v>2.138888888888889E-3</v>
      </c>
      <c r="AR144">
        <f>_xlfn.XLOOKUP(F144,'RM Cost'!A:A,'RM Cost'!S:S)</f>
        <v>0</v>
      </c>
      <c r="AS144" t="str">
        <f>_xlfn.XLOOKUP(A144,[3]Sheet1!$B:$B,[3]Sheet1!$B:$B)</f>
        <v>1851CS</v>
      </c>
      <c r="AT144">
        <f>_xlfn.XLOOKUP(H144,'Yield &amp; Time'!A:A,'Yield &amp; Time'!F:F)</f>
        <v>0</v>
      </c>
    </row>
    <row r="145" spans="1:46" x14ac:dyDescent="0.25">
      <c r="A145" s="2" t="s">
        <v>116</v>
      </c>
      <c r="B145" s="2" t="s">
        <v>552</v>
      </c>
      <c r="C145" s="2" t="s">
        <v>117</v>
      </c>
      <c r="D145" s="2" t="s">
        <v>554</v>
      </c>
      <c r="E145" s="2">
        <v>2.7</v>
      </c>
      <c r="F145" s="1" t="str">
        <f>VLOOKUP(H145,'RM Used'!A:B,2,0)</f>
        <v>P0010</v>
      </c>
      <c r="G145" s="1" t="str">
        <f>IFERROR(VLOOKUP(F145,'RM Cost'!A:B,2,0),"")</f>
        <v>BUCKET 3L PJET</v>
      </c>
      <c r="H145" s="2" t="s">
        <v>4672</v>
      </c>
      <c r="I145" s="1" t="str">
        <f>VLOOKUP(F145,'RM Used'!B:D,3,0)</f>
        <v>RM-PACKING</v>
      </c>
      <c r="J145" s="66">
        <v>1</v>
      </c>
      <c r="K145" s="35" t="str">
        <f t="shared" si="42"/>
        <v/>
      </c>
      <c r="L145" s="35">
        <f t="shared" si="43"/>
        <v>0</v>
      </c>
      <c r="M145" s="77" t="str" cm="1">
        <f t="array" ref="M145">_xlfn.IFS(BOM!I145="RM-PACKING","100%",B145="Reynolds",VLOOKUP(H145,'Yield &amp; Time'!A:V,22,0),BOM!B145="Dnata",VLOOKUP(BOM!H145,'Yield &amp; Time'!A:M,13,0),B145="NK",VLOOKUP(H145,'Yield &amp; Time'!A:X,24,0))</f>
        <v>100%</v>
      </c>
      <c r="N145" s="35">
        <f t="shared" si="41"/>
        <v>1</v>
      </c>
      <c r="O145" s="1" t="str">
        <f>VLOOKUP(H145,'RM Used'!A:E,5,0)</f>
        <v>Count</v>
      </c>
      <c r="P145" s="11">
        <f>VLOOKUP(H145,'RM Used'!A:F,6,0)</f>
        <v>0.56000000000000005</v>
      </c>
      <c r="Q145" s="11">
        <f t="shared" si="52"/>
        <v>0.56000000000000005</v>
      </c>
      <c r="R145" s="11">
        <f>IFERROR(IF(B145="Reynolds",VLOOKUP(H145,'Yield &amp; Time'!A:U,21,0),VLOOKUP(H145,'Yield &amp; Time'!A:L,12,0)),0)</f>
        <v>0</v>
      </c>
      <c r="S145" s="11">
        <f t="shared" si="44"/>
        <v>0</v>
      </c>
      <c r="T145" s="11">
        <f t="shared" si="45"/>
        <v>0</v>
      </c>
      <c r="U145" s="11">
        <f>IF(A144=A145,0,VLOOKUP(A145,'Packing Time'!A:F,6,0))</f>
        <v>0</v>
      </c>
      <c r="V145" s="11">
        <f t="shared" si="53"/>
        <v>0</v>
      </c>
      <c r="W145" s="11">
        <f t="shared" si="54"/>
        <v>0</v>
      </c>
      <c r="X145" s="11">
        <f t="shared" si="46"/>
        <v>0</v>
      </c>
      <c r="Y145" s="11">
        <f t="shared" si="55"/>
        <v>0</v>
      </c>
      <c r="Z145" s="37">
        <v>1</v>
      </c>
      <c r="AA145" s="36">
        <f t="shared" si="47"/>
        <v>1</v>
      </c>
      <c r="AB145" s="36">
        <f t="shared" si="48"/>
        <v>0.56000000000000005</v>
      </c>
      <c r="AC145" s="11">
        <f t="shared" si="49"/>
        <v>0</v>
      </c>
      <c r="AD145" s="36">
        <f t="shared" si="56"/>
        <v>0</v>
      </c>
      <c r="AE145" s="36"/>
      <c r="AF145" s="36">
        <f>IFERROR(VLOOKUP(AE145,'Chemical Cost'!A:D,4,0),0)</f>
        <v>0</v>
      </c>
      <c r="AG145" s="114">
        <f t="shared" si="50"/>
        <v>0</v>
      </c>
      <c r="AH145" s="36">
        <f t="shared" si="57"/>
        <v>0</v>
      </c>
      <c r="AI145" s="36">
        <f t="shared" si="58"/>
        <v>0.56000000000000005</v>
      </c>
      <c r="AJ145" s="36">
        <f>IFERROR(VLOOKUP(A145,'All Products'!A:F,6,0),0)</f>
        <v>9.58</v>
      </c>
      <c r="AK145" s="36"/>
      <c r="AL145" s="23"/>
      <c r="AM145" s="23">
        <v>1</v>
      </c>
      <c r="AN145" s="54" t="e">
        <v>#N/A</v>
      </c>
      <c r="AO145" s="47"/>
      <c r="AP145" s="4">
        <v>1.1000000000000001</v>
      </c>
      <c r="AQ145" s="111">
        <f t="shared" si="51"/>
        <v>0</v>
      </c>
      <c r="AR145">
        <f>_xlfn.XLOOKUP(F145,'RM Cost'!A:A,'RM Cost'!S:S)</f>
        <v>0</v>
      </c>
      <c r="AS145" t="str">
        <f>_xlfn.XLOOKUP(A145,[3]Sheet1!$B:$B,[3]Sheet1!$B:$B)</f>
        <v>1851CS</v>
      </c>
      <c r="AT145" t="e">
        <f>_xlfn.XLOOKUP(H145,'Yield &amp; Time'!A:A,'Yield &amp; Time'!F:F)</f>
        <v>#N/A</v>
      </c>
    </row>
    <row r="146" spans="1:46" x14ac:dyDescent="0.25">
      <c r="A146" s="2" t="s">
        <v>116</v>
      </c>
      <c r="B146" s="2" t="s">
        <v>552</v>
      </c>
      <c r="C146" s="2" t="s">
        <v>117</v>
      </c>
      <c r="D146" s="2" t="s">
        <v>554</v>
      </c>
      <c r="E146" s="2">
        <v>2.7</v>
      </c>
      <c r="F146" s="1" t="str">
        <f>VLOOKUP(H146,'RM Used'!A:B,2,0)</f>
        <v>P0026</v>
      </c>
      <c r="G146" s="1" t="str">
        <f>IFERROR(VLOOKUP(F146,'RM Cost'!A:B,2,0),"")</f>
        <v>LID 2.2L PJET 2.2L-3.8L</v>
      </c>
      <c r="H146" s="2" t="s">
        <v>4673</v>
      </c>
      <c r="I146" s="1" t="str">
        <f>VLOOKUP(F146,'RM Used'!B:D,3,0)</f>
        <v>RM-PACKING</v>
      </c>
      <c r="J146" s="66">
        <v>1</v>
      </c>
      <c r="K146" s="35" t="str">
        <f>IF(I146="RM-FOOD",J146*E146,"")</f>
        <v/>
      </c>
      <c r="L146" s="35">
        <f t="shared" si="43"/>
        <v>0</v>
      </c>
      <c r="M146" s="77" t="str" cm="1">
        <f t="array" ref="M146">_xlfn.IFS(BOM!I146="RM-PACKING","100%",B146="Reynolds",VLOOKUP(H146,'Yield &amp; Time'!A:V,22,0),BOM!B146="Dnata",VLOOKUP(BOM!H146,'Yield &amp; Time'!A:M,13,0),B146="NK",VLOOKUP(H146,'Yield &amp; Time'!A:X,24,0))</f>
        <v>100%</v>
      </c>
      <c r="N146" s="35">
        <f>IFERROR(IF(I146="RM-FOOD",(E146*J146)/M146,1),0)</f>
        <v>1</v>
      </c>
      <c r="O146" s="1" t="str">
        <f>VLOOKUP(H146,'RM Used'!A:E,5,0)</f>
        <v>Count</v>
      </c>
      <c r="P146" s="11">
        <f>VLOOKUP(H146,'RM Used'!A:F,6,0)</f>
        <v>0.16</v>
      </c>
      <c r="Q146" s="11">
        <f t="shared" si="52"/>
        <v>0.16</v>
      </c>
      <c r="R146" s="11">
        <f>IFERROR(IF(B146="Reynolds",VLOOKUP(H146,'Yield &amp; Time'!A:U,21,0),VLOOKUP(H146,'Yield &amp; Time'!A:L,12,0)),0)</f>
        <v>0</v>
      </c>
      <c r="S146" s="11">
        <f t="shared" si="44"/>
        <v>0</v>
      </c>
      <c r="T146" s="11">
        <f t="shared" si="45"/>
        <v>0</v>
      </c>
      <c r="U146" s="11">
        <f>IF(A145=A146,0,VLOOKUP(A146,'Packing Time'!A:F,6,0))</f>
        <v>0</v>
      </c>
      <c r="V146" s="11">
        <f>U146*AO$1</f>
        <v>0</v>
      </c>
      <c r="W146" s="11">
        <f>(U146*Z146)/60</f>
        <v>0</v>
      </c>
      <c r="X146" s="11">
        <f t="shared" si="46"/>
        <v>0</v>
      </c>
      <c r="Y146" s="11">
        <f>X146*Z146</f>
        <v>0</v>
      </c>
      <c r="Z146" s="37">
        <v>1</v>
      </c>
      <c r="AA146" s="36">
        <f t="shared" si="47"/>
        <v>1</v>
      </c>
      <c r="AB146" s="36">
        <f t="shared" si="48"/>
        <v>0.16</v>
      </c>
      <c r="AC146" s="11">
        <f t="shared" si="49"/>
        <v>0</v>
      </c>
      <c r="AD146" s="36">
        <f>AC146*60*AO$1</f>
        <v>0</v>
      </c>
      <c r="AE146" s="36"/>
      <c r="AF146" s="36">
        <f>IFERROR(VLOOKUP(AE146,'Chemical Cost'!A:D,4,0),0)</f>
        <v>0</v>
      </c>
      <c r="AG146" s="114">
        <f t="shared" si="50"/>
        <v>0</v>
      </c>
      <c r="AH146" s="36">
        <f>AF146*AA146/3</f>
        <v>0</v>
      </c>
      <c r="AI146" s="36">
        <f>IFERROR((Q146*Z146)+(Z146*X146)+AH146,0)</f>
        <v>0.16</v>
      </c>
      <c r="AJ146" s="36">
        <f>IFERROR(VLOOKUP(A146,'All Products'!A:F,6,0),0)</f>
        <v>9.58</v>
      </c>
      <c r="AK146" s="36"/>
      <c r="AL146" s="23"/>
      <c r="AM146" s="23">
        <v>1</v>
      </c>
      <c r="AN146" s="54" t="e">
        <v>#N/A</v>
      </c>
      <c r="AO146" s="47"/>
      <c r="AP146" s="4">
        <v>1.1000000000000001</v>
      </c>
      <c r="AQ146" s="111">
        <f t="shared" si="51"/>
        <v>0</v>
      </c>
      <c r="AR146">
        <f>_xlfn.XLOOKUP(F146,'RM Cost'!A:A,'RM Cost'!S:S)</f>
        <v>0</v>
      </c>
      <c r="AS146" t="str">
        <f>_xlfn.XLOOKUP(A146,[3]Sheet1!$B:$B,[3]Sheet1!$B:$B)</f>
        <v>1851CS</v>
      </c>
      <c r="AT146" t="e">
        <f>_xlfn.XLOOKUP(H146,'Yield &amp; Time'!A:A,'Yield &amp; Time'!F:F)</f>
        <v>#N/A</v>
      </c>
    </row>
    <row r="147" spans="1:46" x14ac:dyDescent="0.25">
      <c r="A147" s="1" t="s">
        <v>102</v>
      </c>
      <c r="B147" s="2" t="s">
        <v>552</v>
      </c>
      <c r="C147" s="2" t="s">
        <v>558</v>
      </c>
      <c r="D147" s="2" t="s">
        <v>554</v>
      </c>
      <c r="E147" s="2">
        <v>2.5</v>
      </c>
      <c r="F147" s="1" t="str">
        <f>VLOOKUP(H147,'RM Used'!A:B,2,0)</f>
        <v>206ACS</v>
      </c>
      <c r="G147" s="1" t="str">
        <f>IFERROR(VLOOKUP(F147,'RM Cost'!A:B,2,0),"")</f>
        <v>RM - PREP ONION WHOLE 10KG</v>
      </c>
      <c r="H147" s="2" t="s">
        <v>1435</v>
      </c>
      <c r="I147" s="1" t="str">
        <f>VLOOKUP(F147,'RM Used'!B:D,3,0)</f>
        <v>RM-FOOD</v>
      </c>
      <c r="J147" s="66">
        <v>1</v>
      </c>
      <c r="K147" s="35">
        <f t="shared" si="42"/>
        <v>2.5</v>
      </c>
      <c r="L147" s="35">
        <f t="shared" si="43"/>
        <v>2.5</v>
      </c>
      <c r="M147" s="77" cm="1">
        <f t="array" ref="M147">_xlfn.IFS(BOM!I147="RM-PACKING","100%",B147="Reynolds",VLOOKUP(H147,'Yield &amp; Time'!A:V,22,0),BOM!B147="Dnata",VLOOKUP(BOM!H147,'Yield &amp; Time'!A:M,13,0),B147="NK",VLOOKUP(H147,'Yield &amp; Time'!A:X,24,0))</f>
        <v>0.82139712728001835</v>
      </c>
      <c r="N147" s="35">
        <f t="shared" si="41"/>
        <v>3.043594769169113</v>
      </c>
      <c r="O147" s="1" t="str">
        <f>VLOOKUP(H147,'RM Used'!A:E,5,0)</f>
        <v>KG</v>
      </c>
      <c r="P147" s="11">
        <f>VLOOKUP(H147,'RM Used'!A:F,6,0)</f>
        <v>0.87</v>
      </c>
      <c r="Q147" s="11">
        <f t="shared" si="52"/>
        <v>2.6479274491771281</v>
      </c>
      <c r="R147" s="11">
        <f>IFERROR(IF(B147="Reynolds",VLOOKUP(H147,'Yield &amp; Time'!A:U,21,0),VLOOKUP(H147,'Yield &amp; Time'!A:L,12,0)),0)</f>
        <v>0.65</v>
      </c>
      <c r="S147" s="11">
        <f t="shared" si="44"/>
        <v>0.5500624999999999</v>
      </c>
      <c r="T147" s="11">
        <f t="shared" si="45"/>
        <v>2.7083333333333334E-2</v>
      </c>
      <c r="U147" s="11">
        <f>IF(A146=A147,0,VLOOKUP(A147,'Packing Time'!A:F,6,0))</f>
        <v>0.875</v>
      </c>
      <c r="V147" s="11">
        <f t="shared" si="53"/>
        <v>0.29618749999999999</v>
      </c>
      <c r="W147" s="11">
        <f t="shared" si="54"/>
        <v>1.4583333333333334E-2</v>
      </c>
      <c r="X147" s="11">
        <f t="shared" si="46"/>
        <v>0.93087500000000001</v>
      </c>
      <c r="Y147" s="11">
        <f t="shared" si="55"/>
        <v>0.93087500000000001</v>
      </c>
      <c r="Z147" s="37">
        <v>1</v>
      </c>
      <c r="AA147" s="36">
        <f t="shared" si="47"/>
        <v>3.043594769169113</v>
      </c>
      <c r="AB147" s="36">
        <f t="shared" si="48"/>
        <v>2.6479274491771281</v>
      </c>
      <c r="AC147" s="11">
        <f t="shared" si="49"/>
        <v>4.5833333333333337E-2</v>
      </c>
      <c r="AD147" s="36">
        <f t="shared" si="56"/>
        <v>0.9308749999999999</v>
      </c>
      <c r="AE147" s="36" t="str">
        <f>VLOOKUP(H147,'Yield &amp; Time'!A:R,18,0)</f>
        <v>CHLORINE</v>
      </c>
      <c r="AF147" s="36">
        <f>IFERROR(VLOOKUP(AE147,'Chemical Cost'!A:D,4,0),0)</f>
        <v>2.7756518066439469E-2</v>
      </c>
      <c r="AG147" s="114">
        <f t="shared" si="50"/>
        <v>2.8159864399121048E-2</v>
      </c>
      <c r="AH147" s="36">
        <f t="shared" si="57"/>
        <v>2.8159864399121048E-2</v>
      </c>
      <c r="AI147" s="36">
        <f t="shared" si="58"/>
        <v>3.6069623135762492</v>
      </c>
      <c r="AJ147" s="36">
        <f>IFERROR(VLOOKUP(A147,'All Products'!A:F,6,0),0)</f>
        <v>6.33</v>
      </c>
      <c r="AK147" s="36">
        <f>AJ147*Z147*J147</f>
        <v>6.33</v>
      </c>
      <c r="AL147" s="23">
        <v>0.8</v>
      </c>
      <c r="AM147" s="23">
        <v>0.2</v>
      </c>
      <c r="AN147" s="54" t="e">
        <v>#N/A</v>
      </c>
      <c r="AO147" s="47"/>
      <c r="AP147" s="4">
        <v>1.1000000000000001</v>
      </c>
      <c r="AQ147" s="111">
        <f t="shared" si="51"/>
        <v>4.5833333333333337E-2</v>
      </c>
      <c r="AR147">
        <f>_xlfn.XLOOKUP(F147,'RM Cost'!A:A,'RM Cost'!S:S)</f>
        <v>0</v>
      </c>
      <c r="AS147" t="str">
        <f>_xlfn.XLOOKUP(A147,[3]Sheet1!$B:$B,[3]Sheet1!$B:$B)</f>
        <v>1310CS</v>
      </c>
      <c r="AT147" t="str">
        <f>_xlfn.XLOOKUP(H147,'Yield &amp; Time'!A:A,'Yield &amp; Time'!O:O)</f>
        <v>Yes</v>
      </c>
    </row>
    <row r="148" spans="1:46" x14ac:dyDescent="0.25">
      <c r="A148" s="1" t="s">
        <v>102</v>
      </c>
      <c r="B148" s="2" t="s">
        <v>552</v>
      </c>
      <c r="C148" s="2" t="s">
        <v>558</v>
      </c>
      <c r="D148" s="2" t="s">
        <v>554</v>
      </c>
      <c r="E148" s="2">
        <v>2.5</v>
      </c>
      <c r="F148" s="1" t="str">
        <f>VLOOKUP(H148,'RM Used'!A:B,2,0)</f>
        <v>P0020</v>
      </c>
      <c r="G148" s="1" t="str">
        <f>IFERROR(VLOOKUP(F148,'RM Cost'!A:B,2,0),"")</f>
        <v>PALE BLUE BAG 430X430MM</v>
      </c>
      <c r="H148" s="2" t="s">
        <v>1659</v>
      </c>
      <c r="I148" s="1" t="str">
        <f>VLOOKUP(F148,'RM Used'!B:D,3,0)</f>
        <v>RM-PACKING</v>
      </c>
      <c r="J148" s="66">
        <v>1</v>
      </c>
      <c r="K148" s="35" t="str">
        <f t="shared" si="42"/>
        <v/>
      </c>
      <c r="L148" s="35">
        <f t="shared" si="43"/>
        <v>0</v>
      </c>
      <c r="M148" s="77" t="str" cm="1">
        <f t="array" ref="M148">_xlfn.IFS(BOM!I148="RM-PACKING","100%",B148="Reynolds",VLOOKUP(H148,'Yield &amp; Time'!A:V,22,0),BOM!B148="Dnata",VLOOKUP(BOM!H148,'Yield &amp; Time'!A:M,13,0),B148="NK",VLOOKUP(H148,'Yield &amp; Time'!A:X,24,0))</f>
        <v>100%</v>
      </c>
      <c r="N148" s="35">
        <f t="shared" si="41"/>
        <v>1</v>
      </c>
      <c r="O148" s="1" t="str">
        <f>VLOOKUP(H148,'RM Used'!A:E,5,0)</f>
        <v>Count</v>
      </c>
      <c r="P148" s="11">
        <f>VLOOKUP(H148,'RM Used'!A:F,6,0)</f>
        <v>0.09</v>
      </c>
      <c r="Q148" s="11">
        <f t="shared" si="52"/>
        <v>0.09</v>
      </c>
      <c r="R148" s="11">
        <f>IFERROR(IF(B148="Reynolds",VLOOKUP(H148,'Yield &amp; Time'!A:U,21,0),VLOOKUP(H148,'Yield &amp; Time'!A:L,12,0)),0)</f>
        <v>0</v>
      </c>
      <c r="S148" s="11">
        <f t="shared" si="44"/>
        <v>0</v>
      </c>
      <c r="T148" s="11">
        <f t="shared" si="45"/>
        <v>0</v>
      </c>
      <c r="U148" s="11">
        <f>IF(A147=A148,0,VLOOKUP(A148,'Packing Time'!A:F,6,0))</f>
        <v>0</v>
      </c>
      <c r="V148" s="11">
        <f t="shared" si="53"/>
        <v>0</v>
      </c>
      <c r="W148" s="11">
        <f t="shared" si="54"/>
        <v>0</v>
      </c>
      <c r="X148" s="11">
        <f t="shared" si="46"/>
        <v>0</v>
      </c>
      <c r="Y148" s="11">
        <f t="shared" si="55"/>
        <v>0</v>
      </c>
      <c r="Z148" s="37">
        <v>1</v>
      </c>
      <c r="AA148" s="36">
        <f t="shared" si="47"/>
        <v>1</v>
      </c>
      <c r="AB148" s="36">
        <f t="shared" si="48"/>
        <v>0.09</v>
      </c>
      <c r="AC148" s="11">
        <f t="shared" si="49"/>
        <v>0</v>
      </c>
      <c r="AD148" s="36">
        <f t="shared" si="56"/>
        <v>0</v>
      </c>
      <c r="AE148" s="36"/>
      <c r="AF148" s="36">
        <f>IFERROR(VLOOKUP(AE148,'Chemical Cost'!A:D,4,0),0)</f>
        <v>0</v>
      </c>
      <c r="AG148" s="114">
        <f t="shared" si="50"/>
        <v>0</v>
      </c>
      <c r="AH148" s="36">
        <f t="shared" si="57"/>
        <v>0</v>
      </c>
      <c r="AI148" s="36">
        <f t="shared" si="58"/>
        <v>0.09</v>
      </c>
      <c r="AJ148" s="36">
        <f>IFERROR(VLOOKUP(A148,'All Products'!A:F,6,0),0)</f>
        <v>6.33</v>
      </c>
      <c r="AK148" s="36"/>
      <c r="AL148" s="23">
        <v>0.8</v>
      </c>
      <c r="AM148" s="23">
        <v>0.2</v>
      </c>
      <c r="AN148" s="54" t="e">
        <v>#N/A</v>
      </c>
      <c r="AO148" s="47"/>
      <c r="AP148" s="4">
        <v>1.1000000000000001</v>
      </c>
      <c r="AQ148" s="111">
        <f t="shared" si="51"/>
        <v>0</v>
      </c>
      <c r="AR148">
        <f>_xlfn.XLOOKUP(F148,'RM Cost'!A:A,'RM Cost'!S:S)</f>
        <v>0</v>
      </c>
      <c r="AS148" t="str">
        <f>_xlfn.XLOOKUP(A148,[3]Sheet1!$B:$B,[3]Sheet1!$B:$B)</f>
        <v>1310CS</v>
      </c>
      <c r="AT148" t="e">
        <f>_xlfn.XLOOKUP(H148,'Yield &amp; Time'!A:A,'Yield &amp; Time'!F:F)</f>
        <v>#N/A</v>
      </c>
    </row>
    <row r="149" spans="1:46" x14ac:dyDescent="0.25">
      <c r="A149" s="1" t="s">
        <v>102</v>
      </c>
      <c r="B149" s="2" t="s">
        <v>552</v>
      </c>
      <c r="C149" s="2" t="s">
        <v>558</v>
      </c>
      <c r="D149" s="2" t="s">
        <v>554</v>
      </c>
      <c r="E149" s="2">
        <v>2.5</v>
      </c>
      <c r="F149" s="1" t="str">
        <f>VLOOKUP(H149,'RM Used'!A:B,2,0)</f>
        <v>P0016</v>
      </c>
      <c r="G149" s="1" t="str">
        <f>IFERROR(VLOOKUP(F149,'RM Cost'!A:B,2,0),"")</f>
        <v>REY 40 30 BOX</v>
      </c>
      <c r="H149" s="2" t="s">
        <v>1332</v>
      </c>
      <c r="I149" s="1" t="str">
        <f>VLOOKUP(F149,'RM Used'!B:D,3,0)</f>
        <v>RM-PACKING</v>
      </c>
      <c r="J149" s="66">
        <v>1</v>
      </c>
      <c r="K149" s="35" t="str">
        <f t="shared" si="42"/>
        <v/>
      </c>
      <c r="L149" s="35">
        <f t="shared" si="43"/>
        <v>0</v>
      </c>
      <c r="M149" s="77" t="str" cm="1">
        <f t="array" ref="M149">_xlfn.IFS(BOM!I149="RM-PACKING","100%",B149="Reynolds",VLOOKUP(H149,'Yield &amp; Time'!A:V,22,0),BOM!B149="Dnata",VLOOKUP(BOM!H149,'Yield &amp; Time'!A:M,13,0),B149="NK",VLOOKUP(H149,'Yield &amp; Time'!A:X,24,0))</f>
        <v>100%</v>
      </c>
      <c r="N149" s="35">
        <f t="shared" si="41"/>
        <v>1</v>
      </c>
      <c r="O149" s="1" t="str">
        <f>VLOOKUP(H149,'RM Used'!A:E,5,0)</f>
        <v>Count</v>
      </c>
      <c r="P149" s="11">
        <f>VLOOKUP(H149,'RM Used'!A:F,6,0)</f>
        <v>0.28000000000000003</v>
      </c>
      <c r="Q149" s="11">
        <f t="shared" si="52"/>
        <v>0.28000000000000003</v>
      </c>
      <c r="R149" s="11">
        <f>IFERROR(IF(B149="Reynolds",VLOOKUP(H149,'Yield &amp; Time'!A:U,21,0),VLOOKUP(H149,'Yield &amp; Time'!A:L,12,0)),0)</f>
        <v>0</v>
      </c>
      <c r="S149" s="11">
        <f t="shared" si="44"/>
        <v>0</v>
      </c>
      <c r="T149" s="11">
        <f t="shared" si="45"/>
        <v>0</v>
      </c>
      <c r="U149" s="11">
        <f>IF(A148=A149,0,VLOOKUP(A149,'Packing Time'!A:F,6,0))</f>
        <v>0</v>
      </c>
      <c r="V149" s="11">
        <f t="shared" si="53"/>
        <v>0</v>
      </c>
      <c r="W149" s="11">
        <f t="shared" si="54"/>
        <v>0</v>
      </c>
      <c r="X149" s="11">
        <f t="shared" si="46"/>
        <v>0</v>
      </c>
      <c r="Y149" s="11">
        <f t="shared" si="55"/>
        <v>0</v>
      </c>
      <c r="Z149" s="37">
        <v>1</v>
      </c>
      <c r="AA149" s="36">
        <f t="shared" si="47"/>
        <v>1</v>
      </c>
      <c r="AB149" s="36">
        <f t="shared" si="48"/>
        <v>0.28000000000000003</v>
      </c>
      <c r="AC149" s="11">
        <f t="shared" si="49"/>
        <v>0</v>
      </c>
      <c r="AD149" s="36">
        <f t="shared" si="56"/>
        <v>0</v>
      </c>
      <c r="AE149" s="36"/>
      <c r="AF149" s="36">
        <f>IFERROR(VLOOKUP(AE149,'Chemical Cost'!A:D,4,0),0)</f>
        <v>0</v>
      </c>
      <c r="AG149" s="114">
        <f t="shared" si="50"/>
        <v>0</v>
      </c>
      <c r="AH149" s="36">
        <f t="shared" si="57"/>
        <v>0</v>
      </c>
      <c r="AI149" s="36">
        <f t="shared" si="58"/>
        <v>0.28000000000000003</v>
      </c>
      <c r="AJ149" s="36">
        <f>IFERROR(VLOOKUP(A149,'All Products'!A:F,6,0),0)</f>
        <v>6.33</v>
      </c>
      <c r="AK149" s="36"/>
      <c r="AL149" s="23">
        <v>0.8</v>
      </c>
      <c r="AM149" s="23">
        <v>0.2</v>
      </c>
      <c r="AN149" s="54" t="e">
        <v>#N/A</v>
      </c>
      <c r="AO149" s="47"/>
      <c r="AP149" s="4">
        <v>1.1000000000000001</v>
      </c>
      <c r="AQ149" s="111">
        <f t="shared" si="51"/>
        <v>0</v>
      </c>
      <c r="AR149">
        <f>_xlfn.XLOOKUP(F149,'RM Cost'!A:A,'RM Cost'!S:S)</f>
        <v>0</v>
      </c>
      <c r="AS149" t="str">
        <f>_xlfn.XLOOKUP(A149,[3]Sheet1!$B:$B,[3]Sheet1!$B:$B)</f>
        <v>1310CS</v>
      </c>
      <c r="AT149" t="e">
        <f>_xlfn.XLOOKUP(H149,'Yield &amp; Time'!A:A,'Yield &amp; Time'!F:F)</f>
        <v>#N/A</v>
      </c>
    </row>
    <row r="150" spans="1:46" x14ac:dyDescent="0.25">
      <c r="A150" s="1" t="s">
        <v>276</v>
      </c>
      <c r="B150" s="2" t="s">
        <v>552</v>
      </c>
      <c r="C150" s="2" t="s">
        <v>560</v>
      </c>
      <c r="D150" s="2" t="s">
        <v>554</v>
      </c>
      <c r="E150" s="2">
        <v>3</v>
      </c>
      <c r="F150" s="1" t="str">
        <f>VLOOKUP(H150,'RM Used'!A:B,2,0)</f>
        <v>3566CS</v>
      </c>
      <c r="G150" s="1" t="str">
        <f>IFERROR(VLOOKUP(F150,'RM Cost'!A:B,2,0),"")</f>
        <v>PEPPERS RED X 5KG</v>
      </c>
      <c r="H150" s="2" t="s">
        <v>1436</v>
      </c>
      <c r="I150" s="1" t="str">
        <f>VLOOKUP(F150,'RM Used'!B:D,3,0)</f>
        <v>RM-FOOD</v>
      </c>
      <c r="J150" s="66">
        <v>1</v>
      </c>
      <c r="K150" s="35">
        <f t="shared" si="42"/>
        <v>3</v>
      </c>
      <c r="L150" s="35">
        <f t="shared" si="43"/>
        <v>3</v>
      </c>
      <c r="M150" s="77" cm="1">
        <f t="array" ref="M150">_xlfn.IFS(BOM!I150="RM-PACKING","100%",B150="Reynolds",VLOOKUP(H150,'Yield &amp; Time'!A:V,22,0),BOM!B150="Dnata",VLOOKUP(BOM!H150,'Yield &amp; Time'!A:M,13,0),B150="NK",VLOOKUP(H150,'Yield &amp; Time'!A:X,24,0))</f>
        <v>0.69666418466120617</v>
      </c>
      <c r="N150" s="35">
        <f t="shared" si="41"/>
        <v>4.3062354374639282</v>
      </c>
      <c r="O150" s="1" t="str">
        <f>VLOOKUP(H150,'RM Used'!A:E,5,0)</f>
        <v>KG</v>
      </c>
      <c r="P150" s="11">
        <f>VLOOKUP(H150,'RM Used'!A:F,6,0)</f>
        <v>1.72</v>
      </c>
      <c r="Q150" s="11">
        <f t="shared" si="52"/>
        <v>7.4067249524379566</v>
      </c>
      <c r="R150" s="11">
        <f>IFERROR(IF(B150="Reynolds",VLOOKUP(H150,'Yield &amp; Time'!A:U,21,0),VLOOKUP(H150,'Yield &amp; Time'!A:L,12,0)),0)</f>
        <v>1.0310410921812989</v>
      </c>
      <c r="S150" s="11">
        <f t="shared" si="44"/>
        <v>1.0470222291101088</v>
      </c>
      <c r="T150" s="11">
        <f t="shared" si="45"/>
        <v>5.1552054609064944E-2</v>
      </c>
      <c r="U150" s="11">
        <f>IF(A149=A150,0,VLOOKUP(A150,'Packing Time'!A:F,6,0))</f>
        <v>1.75</v>
      </c>
      <c r="V150" s="11">
        <f t="shared" si="53"/>
        <v>0.59237499999999998</v>
      </c>
      <c r="W150" s="11">
        <f t="shared" si="54"/>
        <v>2.9166666666666667E-2</v>
      </c>
      <c r="X150" s="11">
        <f t="shared" si="46"/>
        <v>1.80333695202112</v>
      </c>
      <c r="Y150" s="11">
        <f t="shared" si="55"/>
        <v>1.80333695202112</v>
      </c>
      <c r="Z150" s="37">
        <v>1</v>
      </c>
      <c r="AA150" s="36">
        <f t="shared" si="47"/>
        <v>4.3062354374639282</v>
      </c>
      <c r="AB150" s="36">
        <f t="shared" si="48"/>
        <v>7.4067249524379566</v>
      </c>
      <c r="AC150" s="11">
        <f t="shared" si="49"/>
        <v>8.8790593403304779E-2</v>
      </c>
      <c r="AD150" s="36">
        <f t="shared" si="56"/>
        <v>1.8033369520211198</v>
      </c>
      <c r="AE150" s="36" t="str">
        <f>VLOOKUP(H150,'Yield &amp; Time'!A:R,18,0)</f>
        <v>CHLORINE</v>
      </c>
      <c r="AF150" s="36">
        <f>IFERROR(VLOOKUP(AE150,'Chemical Cost'!A:D,4,0),0)</f>
        <v>2.7756518066439469E-2</v>
      </c>
      <c r="AG150" s="114">
        <f t="shared" si="50"/>
        <v>3.9842033906103129E-2</v>
      </c>
      <c r="AH150" s="36">
        <f t="shared" si="57"/>
        <v>3.9842033906103129E-2</v>
      </c>
      <c r="AI150" s="36">
        <f t="shared" si="58"/>
        <v>9.2499039383651791</v>
      </c>
      <c r="AJ150" s="36">
        <f>IFERROR(VLOOKUP(A150,'All Products'!A:F,6,0),0)</f>
        <v>19.57</v>
      </c>
      <c r="AK150" s="36">
        <f>AJ150*Z150*J150</f>
        <v>19.57</v>
      </c>
      <c r="AL150" s="23">
        <v>0.85</v>
      </c>
      <c r="AM150" s="23">
        <v>0.15</v>
      </c>
      <c r="AN150" s="54" t="e">
        <v>#N/A</v>
      </c>
      <c r="AO150" s="47"/>
      <c r="AP150" s="4">
        <v>1.1000000000000001</v>
      </c>
      <c r="AQ150" s="111">
        <f t="shared" si="51"/>
        <v>8.8790593403304779E-2</v>
      </c>
      <c r="AR150">
        <f>_xlfn.XLOOKUP(F150,'RM Cost'!A:A,'RM Cost'!S:S)</f>
        <v>0</v>
      </c>
      <c r="AS150" t="str">
        <f>_xlfn.XLOOKUP(A150,[3]Sheet1!$B:$B,[3]Sheet1!$B:$B)</f>
        <v>103ACS</v>
      </c>
      <c r="AT150" t="str">
        <f>_xlfn.XLOOKUP(H150,'Yield &amp; Time'!A:A,'Yield &amp; Time'!O:O)</f>
        <v>Yes</v>
      </c>
    </row>
    <row r="151" spans="1:46" x14ac:dyDescent="0.25">
      <c r="A151" s="1" t="s">
        <v>276</v>
      </c>
      <c r="B151" s="2" t="s">
        <v>552</v>
      </c>
      <c r="C151" s="2" t="s">
        <v>560</v>
      </c>
      <c r="D151" s="2" t="s">
        <v>554</v>
      </c>
      <c r="E151" s="2">
        <v>3</v>
      </c>
      <c r="F151" s="1" t="str">
        <f>VLOOKUP(H151,'RM Used'!A:B,2,0)</f>
        <v>P0002</v>
      </c>
      <c r="G151" s="1" t="str">
        <f>IFERROR(VLOOKUP(F151,'RM Cost'!A:B,2,0),"")</f>
        <v>SOL 30EL # PPLUS 630x1000 BLUE -4</v>
      </c>
      <c r="H151" s="2" t="s">
        <v>4679</v>
      </c>
      <c r="I151" s="1" t="str">
        <f>VLOOKUP(F151,'RM Used'!B:D,3,0)</f>
        <v>RM-PACKING</v>
      </c>
      <c r="J151" s="66">
        <v>1</v>
      </c>
      <c r="K151" s="35" t="str">
        <f t="shared" si="42"/>
        <v/>
      </c>
      <c r="L151" s="35">
        <f t="shared" si="43"/>
        <v>0</v>
      </c>
      <c r="M151" s="77" t="str" cm="1">
        <f t="array" ref="M151">_xlfn.IFS(BOM!I151="RM-PACKING","100%",B151="Reynolds",VLOOKUP(H151,'Yield &amp; Time'!A:V,22,0),BOM!B151="Dnata",VLOOKUP(BOM!H151,'Yield &amp; Time'!A:M,13,0),B151="NK",VLOOKUP(H151,'Yield &amp; Time'!A:X,24,0))</f>
        <v>100%</v>
      </c>
      <c r="N151" s="35">
        <f t="shared" si="41"/>
        <v>1</v>
      </c>
      <c r="O151" s="1" t="str">
        <f>VLOOKUP(H151,'RM Used'!A:E,5,0)</f>
        <v>Count</v>
      </c>
      <c r="P151" s="11">
        <f>VLOOKUP(H151,'RM Used'!A:F,6,0)</f>
        <v>0.32</v>
      </c>
      <c r="Q151" s="11">
        <f t="shared" si="52"/>
        <v>0.32</v>
      </c>
      <c r="R151" s="11">
        <f>IFERROR(IF(B151="Reynolds",VLOOKUP(H151,'Yield &amp; Time'!A:U,21,0),VLOOKUP(H151,'Yield &amp; Time'!A:L,12,0)),0)</f>
        <v>0</v>
      </c>
      <c r="S151" s="11">
        <f t="shared" si="44"/>
        <v>0</v>
      </c>
      <c r="T151" s="11">
        <f t="shared" si="45"/>
        <v>0</v>
      </c>
      <c r="U151" s="11">
        <f>IF(A150=A151,0,VLOOKUP(A151,'Packing Time'!A:F,6,0))</f>
        <v>0</v>
      </c>
      <c r="V151" s="11">
        <f t="shared" si="53"/>
        <v>0</v>
      </c>
      <c r="W151" s="11">
        <f t="shared" si="54"/>
        <v>0</v>
      </c>
      <c r="X151" s="11">
        <f t="shared" si="46"/>
        <v>0</v>
      </c>
      <c r="Y151" s="11">
        <f t="shared" si="55"/>
        <v>0</v>
      </c>
      <c r="Z151" s="37">
        <v>1</v>
      </c>
      <c r="AA151" s="36">
        <f t="shared" si="47"/>
        <v>1</v>
      </c>
      <c r="AB151" s="36">
        <f t="shared" si="48"/>
        <v>0.32</v>
      </c>
      <c r="AC151" s="11">
        <f t="shared" si="49"/>
        <v>0</v>
      </c>
      <c r="AD151" s="36">
        <f t="shared" si="56"/>
        <v>0</v>
      </c>
      <c r="AE151" s="36"/>
      <c r="AF151" s="36">
        <f>IFERROR(VLOOKUP(AE151,'Chemical Cost'!A:D,4,0),0)</f>
        <v>0</v>
      </c>
      <c r="AG151" s="114">
        <f t="shared" si="50"/>
        <v>0</v>
      </c>
      <c r="AH151" s="36">
        <f t="shared" si="57"/>
        <v>0</v>
      </c>
      <c r="AI151" s="36">
        <f t="shared" si="58"/>
        <v>0.32</v>
      </c>
      <c r="AJ151" s="36">
        <f>IFERROR(VLOOKUP(A151,'All Products'!A:F,6,0),0)</f>
        <v>19.57</v>
      </c>
      <c r="AK151" s="36"/>
      <c r="AL151" s="23">
        <v>0.85</v>
      </c>
      <c r="AM151" s="23">
        <v>0.15</v>
      </c>
      <c r="AN151" s="54" t="e">
        <v>#N/A</v>
      </c>
      <c r="AO151" s="47"/>
      <c r="AP151" s="4">
        <v>1.1000000000000001</v>
      </c>
      <c r="AQ151" s="111">
        <f t="shared" si="51"/>
        <v>0</v>
      </c>
      <c r="AR151">
        <f>_xlfn.XLOOKUP(F151,'RM Cost'!A:A,'RM Cost'!S:S)</f>
        <v>0</v>
      </c>
      <c r="AS151" t="str">
        <f>_xlfn.XLOOKUP(A151,[3]Sheet1!$B:$B,[3]Sheet1!$B:$B)</f>
        <v>103ACS</v>
      </c>
      <c r="AT151" t="e">
        <f>_xlfn.XLOOKUP(H151,'Yield &amp; Time'!A:A,'Yield &amp; Time'!F:F)</f>
        <v>#N/A</v>
      </c>
    </row>
    <row r="152" spans="1:46" x14ac:dyDescent="0.25">
      <c r="A152" s="1" t="s">
        <v>276</v>
      </c>
      <c r="B152" s="2" t="s">
        <v>552</v>
      </c>
      <c r="C152" s="2" t="s">
        <v>560</v>
      </c>
      <c r="D152" s="2" t="s">
        <v>554</v>
      </c>
      <c r="E152" s="2">
        <v>3</v>
      </c>
      <c r="F152" s="1" t="str">
        <f>VLOOKUP(H152,'RM Used'!A:B,2,0)</f>
        <v>P0016</v>
      </c>
      <c r="G152" s="1" t="str">
        <f>IFERROR(VLOOKUP(F152,'RM Cost'!A:B,2,0),"")</f>
        <v>REY 40 30 BOX</v>
      </c>
      <c r="H152" s="2" t="s">
        <v>1332</v>
      </c>
      <c r="I152" s="1" t="str">
        <f>VLOOKUP(F152,'RM Used'!B:D,3,0)</f>
        <v>RM-PACKING</v>
      </c>
      <c r="J152" s="66">
        <v>1</v>
      </c>
      <c r="K152" s="35" t="str">
        <f t="shared" si="42"/>
        <v/>
      </c>
      <c r="L152" s="35">
        <f t="shared" si="43"/>
        <v>0</v>
      </c>
      <c r="M152" s="77" t="str" cm="1">
        <f t="array" ref="M152">_xlfn.IFS(BOM!I152="RM-PACKING","100%",B152="Reynolds",VLOOKUP(H152,'Yield &amp; Time'!A:V,22,0),BOM!B152="Dnata",VLOOKUP(BOM!H152,'Yield &amp; Time'!A:M,13,0),B152="NK",VLOOKUP(H152,'Yield &amp; Time'!A:X,24,0))</f>
        <v>100%</v>
      </c>
      <c r="N152" s="35">
        <f t="shared" si="41"/>
        <v>1</v>
      </c>
      <c r="O152" s="1" t="str">
        <f>VLOOKUP(H152,'RM Used'!A:E,5,0)</f>
        <v>Count</v>
      </c>
      <c r="P152" s="11">
        <f>VLOOKUP(H152,'RM Used'!A:F,6,0)</f>
        <v>0.28000000000000003</v>
      </c>
      <c r="Q152" s="11">
        <f t="shared" si="52"/>
        <v>0.28000000000000003</v>
      </c>
      <c r="R152" s="11">
        <f>IFERROR(IF(B152="Reynolds",VLOOKUP(H152,'Yield &amp; Time'!A:U,21,0),VLOOKUP(H152,'Yield &amp; Time'!A:L,12,0)),0)</f>
        <v>0</v>
      </c>
      <c r="S152" s="11">
        <f t="shared" si="44"/>
        <v>0</v>
      </c>
      <c r="T152" s="11">
        <f t="shared" si="45"/>
        <v>0</v>
      </c>
      <c r="U152" s="11">
        <f>IF(A151=A152,0,VLOOKUP(A152,'Packing Time'!A:F,6,0))</f>
        <v>0</v>
      </c>
      <c r="V152" s="11">
        <f t="shared" si="53"/>
        <v>0</v>
      </c>
      <c r="W152" s="11">
        <f t="shared" si="54"/>
        <v>0</v>
      </c>
      <c r="X152" s="11">
        <f t="shared" si="46"/>
        <v>0</v>
      </c>
      <c r="Y152" s="11">
        <f t="shared" si="55"/>
        <v>0</v>
      </c>
      <c r="Z152" s="37">
        <v>1</v>
      </c>
      <c r="AA152" s="36">
        <f t="shared" si="47"/>
        <v>1</v>
      </c>
      <c r="AB152" s="36">
        <f t="shared" si="48"/>
        <v>0.28000000000000003</v>
      </c>
      <c r="AC152" s="11">
        <f t="shared" si="49"/>
        <v>0</v>
      </c>
      <c r="AD152" s="36">
        <f t="shared" si="56"/>
        <v>0</v>
      </c>
      <c r="AE152" s="36"/>
      <c r="AF152" s="36">
        <f>IFERROR(VLOOKUP(AE152,'Chemical Cost'!A:D,4,0),0)</f>
        <v>0</v>
      </c>
      <c r="AG152" s="114">
        <f t="shared" si="50"/>
        <v>0</v>
      </c>
      <c r="AH152" s="36">
        <f t="shared" si="57"/>
        <v>0</v>
      </c>
      <c r="AI152" s="36">
        <f t="shared" si="58"/>
        <v>0.28000000000000003</v>
      </c>
      <c r="AJ152" s="36">
        <f>IFERROR(VLOOKUP(A152,'All Products'!A:F,6,0),0)</f>
        <v>19.57</v>
      </c>
      <c r="AK152" s="36"/>
      <c r="AL152" s="23">
        <v>0.85</v>
      </c>
      <c r="AM152" s="23">
        <v>0.15</v>
      </c>
      <c r="AN152" s="54" t="e">
        <v>#N/A</v>
      </c>
      <c r="AO152" s="47"/>
      <c r="AP152" s="4">
        <v>1.1000000000000001</v>
      </c>
      <c r="AQ152" s="111">
        <f t="shared" si="51"/>
        <v>0</v>
      </c>
      <c r="AR152">
        <f>_xlfn.XLOOKUP(F152,'RM Cost'!A:A,'RM Cost'!S:S)</f>
        <v>0</v>
      </c>
      <c r="AS152" t="str">
        <f>_xlfn.XLOOKUP(A152,[3]Sheet1!$B:$B,[3]Sheet1!$B:$B)</f>
        <v>103ACS</v>
      </c>
      <c r="AT152" t="e">
        <f>_xlfn.XLOOKUP(H152,'Yield &amp; Time'!A:A,'Yield &amp; Time'!F:F)</f>
        <v>#N/A</v>
      </c>
    </row>
    <row r="153" spans="1:46" x14ac:dyDescent="0.25">
      <c r="A153" s="1" t="s">
        <v>403</v>
      </c>
      <c r="B153" s="2" t="s">
        <v>552</v>
      </c>
      <c r="C153" s="2" t="s">
        <v>404</v>
      </c>
      <c r="D153" s="2" t="s">
        <v>554</v>
      </c>
      <c r="E153" s="2">
        <v>1.3</v>
      </c>
      <c r="F153" s="1" t="str">
        <f>VLOOKUP(H153,'RM Used'!A:B,2,0)</f>
        <v>S3998CS</v>
      </c>
      <c r="G153" s="1" t="str">
        <f>IFERROR(VLOOKUP(F153,'RM Cost'!A:B,2,0),"")</f>
        <v>RM - DECORED RED CABBAGE 1/3 1200KG</v>
      </c>
      <c r="H153" s="2" t="s">
        <v>1360</v>
      </c>
      <c r="I153" s="1" t="str">
        <f>VLOOKUP(F153,'RM Used'!B:D,3,0)</f>
        <v>RM-FOOD</v>
      </c>
      <c r="J153" s="66">
        <v>0.77</v>
      </c>
      <c r="K153" s="35">
        <f t="shared" si="42"/>
        <v>1.0010000000000001</v>
      </c>
      <c r="L153" s="35">
        <f t="shared" si="43"/>
        <v>1.0010000000000001</v>
      </c>
      <c r="M153" s="77" cm="1">
        <f t="array" ref="M153">_xlfn.IFS(BOM!I153="RM-PACKING","100%",B153="Reynolds",VLOOKUP(H153,'Yield &amp; Time'!A:V,22,0),BOM!B153="Dnata",VLOOKUP(BOM!H153,'Yield &amp; Time'!A:M,13,0),B153="NK",VLOOKUP(H153,'Yield &amp; Time'!A:X,24,0))</f>
        <v>0.70079999999999998</v>
      </c>
      <c r="N153" s="35">
        <f t="shared" si="41"/>
        <v>1.4283675799086759</v>
      </c>
      <c r="O153" s="1" t="str">
        <f>VLOOKUP(H153,'RM Used'!A:E,5,0)</f>
        <v>KG</v>
      </c>
      <c r="P153" s="11">
        <f>VLOOKUP(H153,'RM Used'!A:F,6,0)</f>
        <v>0.38</v>
      </c>
      <c r="Q153" s="11">
        <f t="shared" si="52"/>
        <v>0.54277968036529689</v>
      </c>
      <c r="R153" s="11">
        <f>IFERROR(IF(B153="Reynolds",VLOOKUP(H153,'Yield &amp; Time'!A:U,21,0),VLOOKUP(H153,'Yield &amp; Time'!A:L,12,0)),0)</f>
        <v>0.89425536255080118</v>
      </c>
      <c r="S153" s="11">
        <f t="shared" si="44"/>
        <v>0.30300814566366963</v>
      </c>
      <c r="T153" s="11">
        <f t="shared" si="45"/>
        <v>1.4919160298555867E-2</v>
      </c>
      <c r="U153" s="11">
        <f>IF(A152=A153,0,VLOOKUP(A153,'Packing Time'!A:F,6,0))</f>
        <v>0.64500000000000002</v>
      </c>
      <c r="V153" s="11">
        <f t="shared" si="53"/>
        <v>0.21833249999999998</v>
      </c>
      <c r="W153" s="11">
        <f t="shared" si="54"/>
        <v>1.0750000000000001E-2</v>
      </c>
      <c r="X153" s="11">
        <f t="shared" si="46"/>
        <v>0.57347471023003671</v>
      </c>
      <c r="Y153" s="11">
        <f t="shared" si="55"/>
        <v>0.57347471023003671</v>
      </c>
      <c r="Z153" s="37">
        <v>1</v>
      </c>
      <c r="AA153" s="36">
        <f t="shared" si="47"/>
        <v>1.4283675799086759</v>
      </c>
      <c r="AB153" s="36">
        <f t="shared" si="48"/>
        <v>0.54277968036529689</v>
      </c>
      <c r="AC153" s="11">
        <f t="shared" si="49"/>
        <v>2.8236076328411457E-2</v>
      </c>
      <c r="AD153" s="36">
        <f t="shared" si="56"/>
        <v>0.5734747102300366</v>
      </c>
      <c r="AE153" s="36" t="str">
        <f>VLOOKUP(H153,'Yield &amp; Time'!A:R,18,0)</f>
        <v>CHLORINE</v>
      </c>
      <c r="AF153" s="36">
        <f>IFERROR(VLOOKUP(AE153,'Chemical Cost'!A:D,4,0),0)</f>
        <v>2.7756518066439469E-2</v>
      </c>
      <c r="AG153" s="114">
        <f t="shared" si="50"/>
        <v>1.3215503512417195E-2</v>
      </c>
      <c r="AH153" s="36">
        <f t="shared" si="57"/>
        <v>1.3215503512417195E-2</v>
      </c>
      <c r="AI153" s="36">
        <f t="shared" si="58"/>
        <v>1.1294698941077508</v>
      </c>
      <c r="AJ153" s="36">
        <f>IFERROR(VLOOKUP(A153,'All Products'!A:F,6,0),0)</f>
        <v>2.52</v>
      </c>
      <c r="AK153" s="36">
        <f>AJ153*Z153*J153</f>
        <v>1.9404000000000001</v>
      </c>
      <c r="AL153" s="23">
        <v>0.6</v>
      </c>
      <c r="AM153" s="23">
        <v>0.4</v>
      </c>
      <c r="AN153" s="54" t="e">
        <v>#N/A</v>
      </c>
      <c r="AO153" s="47"/>
      <c r="AP153" s="4">
        <v>1.1000000000000001</v>
      </c>
      <c r="AQ153" s="111">
        <f t="shared" si="51"/>
        <v>2.8236076328411457E-2</v>
      </c>
      <c r="AR153">
        <f>_xlfn.XLOOKUP(F153,'RM Cost'!A:A,'RM Cost'!S:S)</f>
        <v>0.29914853989077506</v>
      </c>
      <c r="AS153" t="str">
        <f>_xlfn.XLOOKUP(A153,[3]Sheet1!$B:$B,[3]Sheet1!$B:$B)</f>
        <v>785ACS</v>
      </c>
      <c r="AT153" t="str">
        <f>_xlfn.XLOOKUP(H153,'Yield &amp; Time'!A:A,'Yield &amp; Time'!O:O)</f>
        <v>Yes</v>
      </c>
    </row>
    <row r="154" spans="1:46" x14ac:dyDescent="0.25">
      <c r="A154" s="1" t="s">
        <v>403</v>
      </c>
      <c r="B154" s="2" t="s">
        <v>552</v>
      </c>
      <c r="C154" s="2" t="s">
        <v>404</v>
      </c>
      <c r="D154" s="2" t="s">
        <v>554</v>
      </c>
      <c r="E154" s="2">
        <v>1.3</v>
      </c>
      <c r="F154" s="1" t="str">
        <f>VLOOKUP(H154,'RM Used'!A:B,2,0)</f>
        <v>HS685</v>
      </c>
      <c r="G154" s="1" t="str">
        <f>IFERROR(VLOOKUP(F154,'RM Cost'!A:B,2,0),"")</f>
        <v>RM - TIC AMAZU PICKLING VINEGAR 5KG</v>
      </c>
      <c r="H154" s="2" t="s">
        <v>1386</v>
      </c>
      <c r="I154" s="1" t="str">
        <f>VLOOKUP(F154,'RM Used'!B:D,3,0)</f>
        <v>RM-FOOD</v>
      </c>
      <c r="J154" s="66">
        <v>0.23</v>
      </c>
      <c r="K154" s="35">
        <f t="shared" si="42"/>
        <v>0.29900000000000004</v>
      </c>
      <c r="L154" s="35">
        <f t="shared" si="43"/>
        <v>0.29900000000000004</v>
      </c>
      <c r="M154" s="77" cm="1">
        <f t="array" ref="M154">_xlfn.IFS(BOM!I154="RM-PACKING","100%",B154="Reynolds",VLOOKUP(H154,'Yield &amp; Time'!A:V,22,0),BOM!B154="Dnata",VLOOKUP(BOM!H154,'Yield &amp; Time'!A:M,13,0),B154="NK",VLOOKUP(H154,'Yield &amp; Time'!A:X,24,0))</f>
        <v>1</v>
      </c>
      <c r="N154" s="35">
        <f t="shared" si="41"/>
        <v>0.29900000000000004</v>
      </c>
      <c r="O154" s="1" t="str">
        <f>VLOOKUP(H154,'RM Used'!A:E,5,0)</f>
        <v>KG</v>
      </c>
      <c r="P154" s="11">
        <f>VLOOKUP(H154,'RM Used'!A:F,6,0)</f>
        <v>3.6</v>
      </c>
      <c r="Q154" s="11">
        <f t="shared" si="52"/>
        <v>1.0764000000000002</v>
      </c>
      <c r="R154" s="11">
        <f>IFERROR(IF(B154="Reynolds",VLOOKUP(H154,'Yield &amp; Time'!A:U,21,0),VLOOKUP(H154,'Yield &amp; Time'!A:L,12,0)),0)</f>
        <v>0</v>
      </c>
      <c r="S154" s="11">
        <f t="shared" si="44"/>
        <v>0</v>
      </c>
      <c r="T154" s="11">
        <f t="shared" si="45"/>
        <v>0</v>
      </c>
      <c r="U154" s="11">
        <f>IF(A153=A154,0,VLOOKUP(A154,'Packing Time'!A:F,6,0))</f>
        <v>0</v>
      </c>
      <c r="V154" s="11">
        <f t="shared" si="53"/>
        <v>0</v>
      </c>
      <c r="W154" s="11">
        <f t="shared" si="54"/>
        <v>0</v>
      </c>
      <c r="X154" s="11">
        <f t="shared" si="46"/>
        <v>0</v>
      </c>
      <c r="Y154" s="11">
        <f t="shared" si="55"/>
        <v>0</v>
      </c>
      <c r="Z154" s="37">
        <v>1</v>
      </c>
      <c r="AA154" s="36">
        <f t="shared" si="47"/>
        <v>0.29900000000000004</v>
      </c>
      <c r="AB154" s="36">
        <f t="shared" si="48"/>
        <v>1.0764000000000002</v>
      </c>
      <c r="AC154" s="11">
        <f t="shared" si="49"/>
        <v>0</v>
      </c>
      <c r="AD154" s="36">
        <f t="shared" si="56"/>
        <v>0</v>
      </c>
      <c r="AE154" s="36"/>
      <c r="AF154" s="36">
        <f>IFERROR(VLOOKUP(AE154,'Chemical Cost'!A:D,4,0),0)</f>
        <v>0</v>
      </c>
      <c r="AG154" s="114">
        <f t="shared" si="50"/>
        <v>0</v>
      </c>
      <c r="AH154" s="36">
        <f t="shared" si="57"/>
        <v>0</v>
      </c>
      <c r="AI154" s="36">
        <f t="shared" si="58"/>
        <v>1.0764000000000002</v>
      </c>
      <c r="AJ154" s="36">
        <f>IFERROR(VLOOKUP(A154,'All Products'!A:F,6,0),0)</f>
        <v>2.52</v>
      </c>
      <c r="AK154" s="36">
        <f>AJ154*Z154*J154</f>
        <v>0.5796</v>
      </c>
      <c r="AL154" s="23">
        <v>0.6</v>
      </c>
      <c r="AM154" s="23">
        <v>0.4</v>
      </c>
      <c r="AN154" s="54" t="e">
        <v>#N/A</v>
      </c>
      <c r="AO154" s="47"/>
      <c r="AP154" s="4">
        <v>1.1000000000000001</v>
      </c>
      <c r="AQ154" s="111">
        <f t="shared" si="51"/>
        <v>0</v>
      </c>
      <c r="AR154">
        <f>_xlfn.XLOOKUP(F154,'RM Cost'!A:A,'RM Cost'!S:S)</f>
        <v>0</v>
      </c>
      <c r="AS154" t="str">
        <f>_xlfn.XLOOKUP(A154,[3]Sheet1!$B:$B,[3]Sheet1!$B:$B)</f>
        <v>785ACS</v>
      </c>
      <c r="AT154">
        <f>_xlfn.XLOOKUP(H154,'Yield &amp; Time'!A:A,'Yield &amp; Time'!F:F)</f>
        <v>0</v>
      </c>
    </row>
    <row r="155" spans="1:46" x14ac:dyDescent="0.25">
      <c r="A155" s="1" t="s">
        <v>403</v>
      </c>
      <c r="B155" s="2" t="s">
        <v>552</v>
      </c>
      <c r="C155" s="2" t="s">
        <v>404</v>
      </c>
      <c r="D155" s="2" t="s">
        <v>554</v>
      </c>
      <c r="E155" s="2">
        <v>1.3</v>
      </c>
      <c r="F155" s="1" t="str">
        <f>VLOOKUP(H155,'RM Used'!A:B,2,0)</f>
        <v>P0011</v>
      </c>
      <c r="G155" s="1" t="str">
        <f>IFERROR(VLOOKUP(F155,'RM Cost'!A:B,2,0),"")</f>
        <v>VACK PACK 300x400</v>
      </c>
      <c r="H155" s="2" t="s">
        <v>1326</v>
      </c>
      <c r="I155" s="1" t="str">
        <f>VLOOKUP(F155,'RM Used'!B:D,3,0)</f>
        <v>RM-PACKING</v>
      </c>
      <c r="J155" s="66">
        <v>1</v>
      </c>
      <c r="K155" s="35" t="str">
        <f t="shared" si="42"/>
        <v/>
      </c>
      <c r="L155" s="35">
        <f t="shared" si="43"/>
        <v>0</v>
      </c>
      <c r="M155" s="77" t="str" cm="1">
        <f t="array" ref="M155">_xlfn.IFS(BOM!I155="RM-PACKING","100%",B155="Reynolds",VLOOKUP(H155,'Yield &amp; Time'!A:V,22,0),BOM!B155="Dnata",VLOOKUP(BOM!H155,'Yield &amp; Time'!A:M,13,0),B155="NK",VLOOKUP(H155,'Yield &amp; Time'!A:X,24,0))</f>
        <v>100%</v>
      </c>
      <c r="N155" s="35">
        <f t="shared" si="41"/>
        <v>1</v>
      </c>
      <c r="O155" s="1" t="str">
        <f>VLOOKUP(H155,'RM Used'!A:E,5,0)</f>
        <v>Count</v>
      </c>
      <c r="P155" s="11">
        <f>VLOOKUP(H155,'RM Used'!A:F,6,0)</f>
        <v>0.1</v>
      </c>
      <c r="Q155" s="11">
        <f t="shared" si="52"/>
        <v>0.1</v>
      </c>
      <c r="R155" s="11">
        <f>IFERROR(IF(B155="Reynolds",VLOOKUP(H155,'Yield &amp; Time'!A:U,21,0),VLOOKUP(H155,'Yield &amp; Time'!A:L,12,0)),0)</f>
        <v>0</v>
      </c>
      <c r="S155" s="11">
        <f t="shared" si="44"/>
        <v>0</v>
      </c>
      <c r="T155" s="11">
        <f t="shared" si="45"/>
        <v>0</v>
      </c>
      <c r="U155" s="11">
        <f>IF(A154=A155,0,VLOOKUP(A155,'Packing Time'!A:F,6,0))</f>
        <v>0</v>
      </c>
      <c r="V155" s="11">
        <f t="shared" si="53"/>
        <v>0</v>
      </c>
      <c r="W155" s="11">
        <f t="shared" si="54"/>
        <v>0</v>
      </c>
      <c r="X155" s="11">
        <f t="shared" si="46"/>
        <v>0</v>
      </c>
      <c r="Y155" s="11">
        <f t="shared" si="55"/>
        <v>0</v>
      </c>
      <c r="Z155" s="37">
        <v>1</v>
      </c>
      <c r="AA155" s="36">
        <f t="shared" si="47"/>
        <v>1</v>
      </c>
      <c r="AB155" s="36">
        <f t="shared" si="48"/>
        <v>0.1</v>
      </c>
      <c r="AC155" s="11">
        <f t="shared" si="49"/>
        <v>0</v>
      </c>
      <c r="AD155" s="36">
        <f t="shared" si="56"/>
        <v>0</v>
      </c>
      <c r="AE155" s="36"/>
      <c r="AF155" s="36">
        <f>IFERROR(VLOOKUP(AE155,'Chemical Cost'!A:D,4,0),0)</f>
        <v>0</v>
      </c>
      <c r="AG155" s="114">
        <f t="shared" si="50"/>
        <v>0</v>
      </c>
      <c r="AH155" s="36">
        <f t="shared" si="57"/>
        <v>0</v>
      </c>
      <c r="AI155" s="36">
        <f t="shared" si="58"/>
        <v>0.1</v>
      </c>
      <c r="AJ155" s="36">
        <f>IFERROR(VLOOKUP(A155,'All Products'!A:F,6,0),0)</f>
        <v>2.52</v>
      </c>
      <c r="AK155" s="36"/>
      <c r="AL155" s="23">
        <v>0.6</v>
      </c>
      <c r="AM155" s="23">
        <v>0.4</v>
      </c>
      <c r="AN155" s="54" t="e">
        <v>#N/A</v>
      </c>
      <c r="AO155" s="47"/>
      <c r="AP155" s="4">
        <v>1.1000000000000001</v>
      </c>
      <c r="AQ155" s="111">
        <f t="shared" si="51"/>
        <v>0</v>
      </c>
      <c r="AR155">
        <f>_xlfn.XLOOKUP(F155,'RM Cost'!A:A,'RM Cost'!S:S)</f>
        <v>0</v>
      </c>
      <c r="AS155" t="str">
        <f>_xlfn.XLOOKUP(A155,[3]Sheet1!$B:$B,[3]Sheet1!$B:$B)</f>
        <v>785ACS</v>
      </c>
      <c r="AT155" t="e">
        <f>_xlfn.XLOOKUP(H155,'Yield &amp; Time'!A:A,'Yield &amp; Time'!F:F)</f>
        <v>#N/A</v>
      </c>
    </row>
    <row r="156" spans="1:46" x14ac:dyDescent="0.25">
      <c r="A156" s="1" t="s">
        <v>403</v>
      </c>
      <c r="B156" s="2" t="s">
        <v>552</v>
      </c>
      <c r="C156" s="2" t="s">
        <v>404</v>
      </c>
      <c r="D156" s="2" t="s">
        <v>554</v>
      </c>
      <c r="E156" s="2">
        <v>1.3</v>
      </c>
      <c r="F156" s="1" t="str">
        <f>VLOOKUP(H156,'RM Used'!A:B,2,0)</f>
        <v>P0016</v>
      </c>
      <c r="G156" s="1" t="str">
        <f>IFERROR(VLOOKUP(F156,'RM Cost'!A:B,2,0),"")</f>
        <v>REY 40 30 BOX</v>
      </c>
      <c r="H156" s="2" t="s">
        <v>1332</v>
      </c>
      <c r="I156" s="1" t="str">
        <f>VLOOKUP(F156,'RM Used'!B:D,3,0)</f>
        <v>RM-PACKING</v>
      </c>
      <c r="J156" s="66">
        <v>1</v>
      </c>
      <c r="K156" s="35" t="str">
        <f t="shared" si="42"/>
        <v/>
      </c>
      <c r="L156" s="35">
        <f t="shared" si="43"/>
        <v>0</v>
      </c>
      <c r="M156" s="77" t="str" cm="1">
        <f t="array" ref="M156">_xlfn.IFS(BOM!I156="RM-PACKING","100%",B156="Reynolds",VLOOKUP(H156,'Yield &amp; Time'!A:V,22,0),BOM!B156="Dnata",VLOOKUP(BOM!H156,'Yield &amp; Time'!A:M,13,0),B156="NK",VLOOKUP(H156,'Yield &amp; Time'!A:X,24,0))</f>
        <v>100%</v>
      </c>
      <c r="N156" s="35">
        <f t="shared" si="41"/>
        <v>1</v>
      </c>
      <c r="O156" s="1" t="str">
        <f>VLOOKUP(H156,'RM Used'!A:E,5,0)</f>
        <v>Count</v>
      </c>
      <c r="P156" s="11">
        <f>VLOOKUP(H156,'RM Used'!A:F,6,0)</f>
        <v>0.28000000000000003</v>
      </c>
      <c r="Q156" s="11">
        <f t="shared" si="52"/>
        <v>0.28000000000000003</v>
      </c>
      <c r="R156" s="11">
        <f>IFERROR(IF(B156="Reynolds",VLOOKUP(H156,'Yield &amp; Time'!A:U,21,0),VLOOKUP(H156,'Yield &amp; Time'!A:L,12,0)),0)</f>
        <v>0</v>
      </c>
      <c r="S156" s="11">
        <f t="shared" si="44"/>
        <v>0</v>
      </c>
      <c r="T156" s="11">
        <f t="shared" si="45"/>
        <v>0</v>
      </c>
      <c r="U156" s="11">
        <f>IF(A155=A156,0,VLOOKUP(A156,'Packing Time'!A:F,6,0))</f>
        <v>0</v>
      </c>
      <c r="V156" s="11">
        <f t="shared" si="53"/>
        <v>0</v>
      </c>
      <c r="W156" s="11">
        <f t="shared" si="54"/>
        <v>0</v>
      </c>
      <c r="X156" s="11">
        <f t="shared" si="46"/>
        <v>0</v>
      </c>
      <c r="Y156" s="11">
        <f t="shared" si="55"/>
        <v>0</v>
      </c>
      <c r="Z156" s="37">
        <v>1</v>
      </c>
      <c r="AA156" s="36">
        <f t="shared" si="47"/>
        <v>1</v>
      </c>
      <c r="AB156" s="36">
        <f t="shared" si="48"/>
        <v>0.28000000000000003</v>
      </c>
      <c r="AC156" s="11">
        <f t="shared" si="49"/>
        <v>0</v>
      </c>
      <c r="AD156" s="36">
        <f t="shared" si="56"/>
        <v>0</v>
      </c>
      <c r="AE156" s="36"/>
      <c r="AF156" s="36">
        <f>IFERROR(VLOOKUP(AE156,'Chemical Cost'!A:D,4,0),0)</f>
        <v>0</v>
      </c>
      <c r="AG156" s="114">
        <f t="shared" si="50"/>
        <v>0</v>
      </c>
      <c r="AH156" s="36">
        <f t="shared" si="57"/>
        <v>0</v>
      </c>
      <c r="AI156" s="36">
        <f t="shared" si="58"/>
        <v>0.28000000000000003</v>
      </c>
      <c r="AJ156" s="36">
        <f>IFERROR(VLOOKUP(A156,'All Products'!A:F,6,0),0)</f>
        <v>2.52</v>
      </c>
      <c r="AK156" s="36"/>
      <c r="AL156" s="23">
        <v>0.6</v>
      </c>
      <c r="AM156" s="23">
        <v>0.4</v>
      </c>
      <c r="AN156" s="54" t="e">
        <v>#N/A</v>
      </c>
      <c r="AO156" s="47"/>
      <c r="AP156" s="4">
        <v>1.1000000000000001</v>
      </c>
      <c r="AQ156" s="111">
        <f t="shared" si="51"/>
        <v>0</v>
      </c>
      <c r="AR156">
        <f>_xlfn.XLOOKUP(F156,'RM Cost'!A:A,'RM Cost'!S:S)</f>
        <v>0</v>
      </c>
      <c r="AS156" t="str">
        <f>_xlfn.XLOOKUP(A156,[3]Sheet1!$B:$B,[3]Sheet1!$B:$B)</f>
        <v>785ACS</v>
      </c>
      <c r="AT156" t="e">
        <f>_xlfn.XLOOKUP(H156,'Yield &amp; Time'!A:A,'Yield &amp; Time'!F:F)</f>
        <v>#N/A</v>
      </c>
    </row>
    <row r="157" spans="1:46" x14ac:dyDescent="0.25">
      <c r="A157" s="2" t="s">
        <v>270</v>
      </c>
      <c r="B157" s="2" t="s">
        <v>552</v>
      </c>
      <c r="C157" s="2" t="s">
        <v>271</v>
      </c>
      <c r="D157" s="2" t="s">
        <v>554</v>
      </c>
      <c r="E157" s="2">
        <v>1.2</v>
      </c>
      <c r="F157" s="1" t="str">
        <f>VLOOKUP(H157,'RM Used'!A:B,2,0)</f>
        <v>2792CS</v>
      </c>
      <c r="G157" s="1" t="str">
        <f>IFERROR(VLOOKUP(F157,'RM Cost'!A:B,2,0),"")</f>
        <v>RM - MELON ORANGE FLESH X 6</v>
      </c>
      <c r="H157" s="2" t="s">
        <v>1387</v>
      </c>
      <c r="I157" s="1" t="str">
        <f>VLOOKUP(F157,'RM Used'!B:D,3,0)</f>
        <v>RM-FOOD</v>
      </c>
      <c r="J157" s="66">
        <v>0.45</v>
      </c>
      <c r="K157" s="35">
        <f t="shared" si="42"/>
        <v>0.54</v>
      </c>
      <c r="L157" s="35">
        <f t="shared" si="43"/>
        <v>0.54</v>
      </c>
      <c r="M157" s="77" cm="1">
        <f t="array" ref="M157">_xlfn.IFS(BOM!I157="RM-PACKING","100%",B157="Reynolds",VLOOKUP(H157,'Yield &amp; Time'!A:V,22,0),BOM!B157="Dnata",VLOOKUP(BOM!H157,'Yield &amp; Time'!A:M,13,0),B157="NK",VLOOKUP(H157,'Yield &amp; Time'!A:X,24,0))</f>
        <v>0.43438914027149322</v>
      </c>
      <c r="N157" s="35">
        <f t="shared" si="41"/>
        <v>1.243125</v>
      </c>
      <c r="O157" s="1" t="str">
        <f>VLOOKUP(H157,'RM Used'!A:E,5,0)</f>
        <v>KG</v>
      </c>
      <c r="P157" s="11">
        <f>VLOOKUP(H157,'RM Used'!A:F,6,0)</f>
        <v>1.32</v>
      </c>
      <c r="Q157" s="11">
        <f t="shared" si="52"/>
        <v>1.6409250000000002</v>
      </c>
      <c r="R157" s="11">
        <f>IFERROR(IF(B157="Reynolds",VLOOKUP(H157,'Yield &amp; Time'!A:U,21,0),VLOOKUP(H157,'Yield &amp; Time'!A:L,12,0)),0)</f>
        <v>2.7569444444444446</v>
      </c>
      <c r="S157" s="11">
        <f t="shared" si="44"/>
        <v>0.50394187499999998</v>
      </c>
      <c r="T157" s="11">
        <f t="shared" si="45"/>
        <v>2.4812500000000001E-2</v>
      </c>
      <c r="U157" s="11">
        <f>IF(A156=A157,0,VLOOKUP(A157,'Packing Time'!A:F,6,0))</f>
        <v>2.4</v>
      </c>
      <c r="V157" s="11">
        <f t="shared" si="53"/>
        <v>0.8123999999999999</v>
      </c>
      <c r="W157" s="11">
        <f t="shared" si="54"/>
        <v>0.04</v>
      </c>
      <c r="X157" s="11">
        <f t="shared" si="46"/>
        <v>1.4479760624999998</v>
      </c>
      <c r="Y157" s="11">
        <f t="shared" si="55"/>
        <v>1.4479760624999998</v>
      </c>
      <c r="Z157" s="37">
        <v>1</v>
      </c>
      <c r="AA157" s="36">
        <f t="shared" si="47"/>
        <v>1.243125</v>
      </c>
      <c r="AB157" s="32">
        <f t="shared" si="48"/>
        <v>1.6409250000000002</v>
      </c>
      <c r="AC157" s="11">
        <f t="shared" si="49"/>
        <v>7.1293750000000003E-2</v>
      </c>
      <c r="AD157" s="36">
        <f t="shared" si="56"/>
        <v>1.4479760625</v>
      </c>
      <c r="AE157" s="36" t="str">
        <f>VLOOKUP(H157,'Yield &amp; Time'!A:R,18,0)</f>
        <v>CHLORINE</v>
      </c>
      <c r="AF157" s="36">
        <f>IFERROR(VLOOKUP(AE157,'Chemical Cost'!A:D,4,0),0)</f>
        <v>2.7756518066439469E-2</v>
      </c>
      <c r="AG157" s="114">
        <f t="shared" si="50"/>
        <v>1.1501607173780855E-2</v>
      </c>
      <c r="AH157" s="36">
        <f t="shared" si="57"/>
        <v>1.1501607173780855E-2</v>
      </c>
      <c r="AI157" s="36">
        <f t="shared" si="58"/>
        <v>3.1004026696737808</v>
      </c>
      <c r="AJ157" s="36">
        <f>IFERROR(VLOOKUP(A157,'All Products'!A:F,6,0),0)</f>
        <v>12.4</v>
      </c>
      <c r="AK157" s="36">
        <f>AJ157*Z157*J157</f>
        <v>5.58</v>
      </c>
      <c r="AL157" s="23"/>
      <c r="AM157" s="23">
        <v>1</v>
      </c>
      <c r="AN157" s="54" t="e">
        <v>#N/A</v>
      </c>
      <c r="AO157" s="47"/>
      <c r="AP157" s="4">
        <v>1.1000000000000001</v>
      </c>
      <c r="AQ157" s="111">
        <f t="shared" si="51"/>
        <v>7.1293750000000003E-2</v>
      </c>
      <c r="AR157">
        <f>_xlfn.XLOOKUP(F157,'RM Cost'!A:A,'RM Cost'!S:S)</f>
        <v>0</v>
      </c>
      <c r="AS157" t="str">
        <f>_xlfn.XLOOKUP(A157,[3]Sheet1!$B:$B,[3]Sheet1!$B:$B)</f>
        <v>4486CS</v>
      </c>
      <c r="AT157" t="str">
        <f>_xlfn.XLOOKUP(H157,'Yield &amp; Time'!A:A,'Yield &amp; Time'!O:O)</f>
        <v>Yes</v>
      </c>
    </row>
    <row r="158" spans="1:46" x14ac:dyDescent="0.25">
      <c r="A158" s="2" t="s">
        <v>270</v>
      </c>
      <c r="B158" s="2" t="s">
        <v>552</v>
      </c>
      <c r="C158" s="2" t="s">
        <v>271</v>
      </c>
      <c r="D158" s="2" t="s">
        <v>554</v>
      </c>
      <c r="E158" s="2">
        <v>1.2</v>
      </c>
      <c r="F158" s="1" t="str">
        <f>VLOOKUP(H158,'RM Used'!A:B,2,0)</f>
        <v>2789CS</v>
      </c>
      <c r="G158" s="1" t="str">
        <f>IFERROR(VLOOKUP(F158,'RM Cost'!A:B,2,0),"")</f>
        <v>RM - PINEAPPLE X 6</v>
      </c>
      <c r="H158" s="2" t="s">
        <v>1388</v>
      </c>
      <c r="I158" s="1" t="str">
        <f>VLOOKUP(F158,'RM Used'!B:D,3,0)</f>
        <v>RM-FOOD</v>
      </c>
      <c r="J158" s="66">
        <v>0.35</v>
      </c>
      <c r="K158" s="35">
        <f t="shared" si="42"/>
        <v>0.42</v>
      </c>
      <c r="L158" s="35">
        <f t="shared" si="43"/>
        <v>0.42</v>
      </c>
      <c r="M158" s="77" cm="1">
        <f t="array" ref="M158">_xlfn.IFS(BOM!I158="RM-PACKING","100%",B158="Reynolds",VLOOKUP(H158,'Yield &amp; Time'!A:V,22,0),BOM!B158="Dnata",VLOOKUP(BOM!H158,'Yield &amp; Time'!A:M,13,0),B158="NK",VLOOKUP(H158,'Yield &amp; Time'!A:X,24,0))</f>
        <v>0.3143631436314363</v>
      </c>
      <c r="N158" s="35">
        <f t="shared" si="41"/>
        <v>1.3360344827586206</v>
      </c>
      <c r="O158" s="1" t="str">
        <f>VLOOKUP(H158,'RM Used'!A:E,5,0)</f>
        <v>KG</v>
      </c>
      <c r="P158" s="11">
        <f>VLOOKUP(H158,'RM Used'!A:F,6,0)</f>
        <v>0.7</v>
      </c>
      <c r="Q158" s="11">
        <f t="shared" si="52"/>
        <v>0.93522413793103432</v>
      </c>
      <c r="R158" s="11">
        <f>IFERROR(IF(B158="Reynolds",VLOOKUP(H158,'Yield &amp; Time'!A:U,21,0),VLOOKUP(H158,'Yield &amp; Time'!A:L,12,0)),0)</f>
        <v>1.6316892783116639</v>
      </c>
      <c r="S158" s="11">
        <f t="shared" si="44"/>
        <v>0.23197726469756924</v>
      </c>
      <c r="T158" s="11">
        <f t="shared" si="45"/>
        <v>1.1421824948181647E-2</v>
      </c>
      <c r="U158" s="11">
        <f>IF(A157=A158,0,VLOOKUP(A158,'Packing Time'!A:F,6,0))</f>
        <v>0</v>
      </c>
      <c r="V158" s="11">
        <f t="shared" si="53"/>
        <v>0</v>
      </c>
      <c r="W158" s="11">
        <f t="shared" si="54"/>
        <v>0</v>
      </c>
      <c r="X158" s="11">
        <f t="shared" si="46"/>
        <v>0.25517499116732617</v>
      </c>
      <c r="Y158" s="11">
        <f t="shared" si="55"/>
        <v>0.25517499116732617</v>
      </c>
      <c r="Z158" s="37">
        <v>1</v>
      </c>
      <c r="AA158" s="36">
        <f t="shared" si="47"/>
        <v>1.3360344827586206</v>
      </c>
      <c r="AB158" s="32">
        <f t="shared" si="48"/>
        <v>0.93522413793103432</v>
      </c>
      <c r="AC158" s="11">
        <f t="shared" si="49"/>
        <v>1.2564007442999812E-2</v>
      </c>
      <c r="AD158" s="36">
        <f t="shared" si="56"/>
        <v>0.25517499116732617</v>
      </c>
      <c r="AE158" s="36" t="str">
        <f>VLOOKUP(H158,'Yield &amp; Time'!A:R,18,0)</f>
        <v>CHLORINE</v>
      </c>
      <c r="AF158" s="36">
        <f>IFERROR(VLOOKUP(AE158,'Chemical Cost'!A:D,4,0),0)</f>
        <v>2.7756518066439469E-2</v>
      </c>
      <c r="AG158" s="114">
        <f t="shared" si="50"/>
        <v>1.2361221752691921E-2</v>
      </c>
      <c r="AH158" s="36">
        <f t="shared" si="57"/>
        <v>1.2361221752691921E-2</v>
      </c>
      <c r="AI158" s="36">
        <f t="shared" si="58"/>
        <v>1.2027603508510523</v>
      </c>
      <c r="AJ158" s="36">
        <f>IFERROR(VLOOKUP(A158,'All Products'!A:F,6,0),0)</f>
        <v>12.4</v>
      </c>
      <c r="AK158" s="36">
        <f>AJ158*Z158*J158</f>
        <v>4.34</v>
      </c>
      <c r="AL158" s="23"/>
      <c r="AM158" s="23">
        <v>1</v>
      </c>
      <c r="AN158" s="54" t="e">
        <v>#N/A</v>
      </c>
      <c r="AO158" s="47"/>
      <c r="AP158" s="4">
        <v>1.1000000000000001</v>
      </c>
      <c r="AQ158" s="111">
        <f t="shared" si="51"/>
        <v>1.2564007442999812E-2</v>
      </c>
      <c r="AR158">
        <f>_xlfn.XLOOKUP(F158,'RM Cost'!A:A,'RM Cost'!S:S)</f>
        <v>0</v>
      </c>
      <c r="AS158" t="str">
        <f>_xlfn.XLOOKUP(A158,[3]Sheet1!$B:$B,[3]Sheet1!$B:$B)</f>
        <v>4486CS</v>
      </c>
      <c r="AT158" t="str">
        <f>_xlfn.XLOOKUP(H158,'Yield &amp; Time'!A:A,'Yield &amp; Time'!O:O)</f>
        <v>Yes</v>
      </c>
    </row>
    <row r="159" spans="1:46" x14ac:dyDescent="0.25">
      <c r="A159" s="2" t="s">
        <v>270</v>
      </c>
      <c r="B159" s="2" t="s">
        <v>552</v>
      </c>
      <c r="C159" s="2" t="s">
        <v>271</v>
      </c>
      <c r="D159" s="2" t="s">
        <v>554</v>
      </c>
      <c r="E159" s="2">
        <v>1.2</v>
      </c>
      <c r="F159" s="1" t="str">
        <f>VLOOKUP(H159,'RM Used'!A:B,2,0)</f>
        <v>166ACS</v>
      </c>
      <c r="G159" s="1" t="str">
        <f>IFERROR(VLOOKUP(F159,'RM Cost'!A:B,2,0),"")</f>
        <v>RM - LARGE MANGO 5/6</v>
      </c>
      <c r="H159" s="2" t="s">
        <v>1389</v>
      </c>
      <c r="I159" s="1" t="str">
        <f>VLOOKUP(F159,'RM Used'!B:D,3,0)</f>
        <v>RM-FOOD</v>
      </c>
      <c r="J159" s="66">
        <v>0.15</v>
      </c>
      <c r="K159" s="35">
        <f t="shared" si="42"/>
        <v>0.18</v>
      </c>
      <c r="L159" s="35">
        <f t="shared" si="43"/>
        <v>0.18</v>
      </c>
      <c r="M159" s="77" cm="1">
        <f t="array" ref="M159">_xlfn.IFS(BOM!I159="RM-PACKING","100%",B159="Reynolds",VLOOKUP(H159,'Yield &amp; Time'!A:V,22,0),BOM!B159="Dnata",VLOOKUP(BOM!H159,'Yield &amp; Time'!A:M,13,0),B159="NK",VLOOKUP(H159,'Yield &amp; Time'!A:X,24,0))</f>
        <v>0.59554973821989532</v>
      </c>
      <c r="N159" s="35">
        <f t="shared" si="41"/>
        <v>0.3022417582417582</v>
      </c>
      <c r="O159" s="1" t="str">
        <f>VLOOKUP(H159,'RM Used'!A:E,5,0)</f>
        <v>KG</v>
      </c>
      <c r="P159" s="11">
        <f>VLOOKUP(H159,'RM Used'!A:F,6,0)</f>
        <v>2.0799999999999996</v>
      </c>
      <c r="Q159" s="11">
        <f t="shared" si="52"/>
        <v>0.62866285714285697</v>
      </c>
      <c r="R159" s="11">
        <f>IFERROR(IF(B159="Reynolds",VLOOKUP(H159,'Yield &amp; Time'!A:U,21,0),VLOOKUP(H159,'Yield &amp; Time'!A:L,12,0)),0)</f>
        <v>4.2367997855802733</v>
      </c>
      <c r="S159" s="11">
        <f t="shared" si="44"/>
        <v>0.25814821093540602</v>
      </c>
      <c r="T159" s="11">
        <f t="shared" si="45"/>
        <v>1.271039935674082E-2</v>
      </c>
      <c r="U159" s="11">
        <f>IF(A158=A159,0,VLOOKUP(A159,'Packing Time'!A:F,6,0))</f>
        <v>0</v>
      </c>
      <c r="V159" s="11">
        <f t="shared" si="53"/>
        <v>0</v>
      </c>
      <c r="W159" s="11">
        <f t="shared" si="54"/>
        <v>0</v>
      </c>
      <c r="X159" s="11">
        <f t="shared" si="46"/>
        <v>0.28396303202894663</v>
      </c>
      <c r="Y159" s="11">
        <f t="shared" si="55"/>
        <v>0.28396303202894663</v>
      </c>
      <c r="Z159" s="37">
        <v>1</v>
      </c>
      <c r="AA159" s="36">
        <f t="shared" si="47"/>
        <v>0.3022417582417582</v>
      </c>
      <c r="AB159" s="32">
        <f t="shared" si="48"/>
        <v>0.62866285714285697</v>
      </c>
      <c r="AC159" s="11">
        <f t="shared" si="49"/>
        <v>1.3981439292414903E-2</v>
      </c>
      <c r="AD159" s="36">
        <f t="shared" si="56"/>
        <v>0.28396303202894663</v>
      </c>
      <c r="AE159" s="36" t="str">
        <f>VLOOKUP(H159,'Yield &amp; Time'!A:R,18,0)</f>
        <v>CHLORINE</v>
      </c>
      <c r="AF159" s="36">
        <f>IFERROR(VLOOKUP(AE159,'Chemical Cost'!A:D,4,0),0)</f>
        <v>2.7756518066439469E-2</v>
      </c>
      <c r="AG159" s="114">
        <f t="shared" si="50"/>
        <v>2.7963929410232641E-3</v>
      </c>
      <c r="AH159" s="36">
        <f t="shared" si="57"/>
        <v>2.7963929410232641E-3</v>
      </c>
      <c r="AI159" s="36">
        <f t="shared" si="58"/>
        <v>0.91542228211282684</v>
      </c>
      <c r="AJ159" s="36">
        <f>IFERROR(VLOOKUP(A159,'All Products'!A:F,6,0),0)</f>
        <v>12.4</v>
      </c>
      <c r="AK159" s="36">
        <f>AJ159*Z159*J159</f>
        <v>1.8599999999999999</v>
      </c>
      <c r="AL159" s="23"/>
      <c r="AM159" s="23">
        <v>1</v>
      </c>
      <c r="AN159" s="54" t="e">
        <v>#N/A</v>
      </c>
      <c r="AO159" s="47"/>
      <c r="AP159" s="4">
        <v>1.1000000000000001</v>
      </c>
      <c r="AQ159" s="111">
        <f t="shared" si="51"/>
        <v>1.3981439292414903E-2</v>
      </c>
      <c r="AR159">
        <f>_xlfn.XLOOKUP(F159,'RM Cost'!A:A,'RM Cost'!S:S)</f>
        <v>0</v>
      </c>
      <c r="AS159" t="str">
        <f>_xlfn.XLOOKUP(A159,[3]Sheet1!$B:$B,[3]Sheet1!$B:$B)</f>
        <v>4486CS</v>
      </c>
      <c r="AT159" t="str">
        <f>_xlfn.XLOOKUP(H159,'Yield &amp; Time'!A:A,'Yield &amp; Time'!O:O)</f>
        <v>Yes</v>
      </c>
    </row>
    <row r="160" spans="1:46" x14ac:dyDescent="0.25">
      <c r="A160" s="2" t="s">
        <v>270</v>
      </c>
      <c r="B160" s="2" t="s">
        <v>552</v>
      </c>
      <c r="C160" s="2" t="s">
        <v>271</v>
      </c>
      <c r="D160" s="2" t="s">
        <v>554</v>
      </c>
      <c r="E160" s="2">
        <v>1.2</v>
      </c>
      <c r="F160" s="1" t="str">
        <f>VLOOKUP(H160,'RM Used'!A:B,2,0)</f>
        <v>2519CS</v>
      </c>
      <c r="G160" s="1" t="str">
        <f>IFERROR(VLOOKUP(F160,'RM Cost'!A:B,2,0),"")</f>
        <v>RM - APPLES RED X 125/138</v>
      </c>
      <c r="H160" s="2" t="s">
        <v>1390</v>
      </c>
      <c r="I160" s="1" t="str">
        <f>VLOOKUP(F160,'RM Used'!B:D,3,0)</f>
        <v>RM-FOOD</v>
      </c>
      <c r="J160" s="66">
        <v>0.05</v>
      </c>
      <c r="K160" s="35">
        <f t="shared" si="42"/>
        <v>0.06</v>
      </c>
      <c r="L160" s="35">
        <f t="shared" si="43"/>
        <v>0.06</v>
      </c>
      <c r="M160" s="77" cm="1">
        <f t="array" ref="M160">_xlfn.IFS(BOM!I160="RM-PACKING","100%",B160="Reynolds",VLOOKUP(H160,'Yield &amp; Time'!A:V,22,0),BOM!B160="Dnata",VLOOKUP(BOM!H160,'Yield &amp; Time'!A:M,13,0),B160="NK",VLOOKUP(H160,'Yield &amp; Time'!A:X,24,0))</f>
        <v>0.76402439024390245</v>
      </c>
      <c r="N160" s="35">
        <f t="shared" si="41"/>
        <v>7.85315243415802E-2</v>
      </c>
      <c r="O160" s="1" t="str">
        <f>VLOOKUP(H160,'RM Used'!A:E,5,0)</f>
        <v>KG</v>
      </c>
      <c r="P160" s="11">
        <f>VLOOKUP(H160,'RM Used'!A:F,6,0)</f>
        <v>1.1200000000000001</v>
      </c>
      <c r="Q160" s="11">
        <f t="shared" si="52"/>
        <v>8.7955307262569837E-2</v>
      </c>
      <c r="R160" s="11">
        <f>IFERROR(IF(B160="Reynolds",VLOOKUP(H160,'Yield &amp; Time'!A:U,21,0),VLOOKUP(H160,'Yield &amp; Time'!A:L,12,0)),0)</f>
        <v>4.0425063181697265</v>
      </c>
      <c r="S160" s="11">
        <f t="shared" si="44"/>
        <v>8.2103303322027144E-2</v>
      </c>
      <c r="T160" s="11">
        <f t="shared" si="45"/>
        <v>4.0425063181697262E-3</v>
      </c>
      <c r="U160" s="11">
        <f>IF(A159=A160,0,VLOOKUP(A160,'Packing Time'!A:F,6,0))</f>
        <v>0</v>
      </c>
      <c r="V160" s="11">
        <f t="shared" si="53"/>
        <v>0</v>
      </c>
      <c r="W160" s="11">
        <f t="shared" si="54"/>
        <v>0</v>
      </c>
      <c r="X160" s="11">
        <f t="shared" si="46"/>
        <v>9.0313633654229869E-2</v>
      </c>
      <c r="Y160" s="11">
        <f t="shared" si="55"/>
        <v>9.0313633654229869E-2</v>
      </c>
      <c r="Z160" s="37">
        <v>1</v>
      </c>
      <c r="AA160" s="36">
        <f t="shared" si="47"/>
        <v>7.85315243415802E-2</v>
      </c>
      <c r="AB160" s="32">
        <f t="shared" si="48"/>
        <v>8.7955307262569837E-2</v>
      </c>
      <c r="AC160" s="11">
        <f t="shared" si="49"/>
        <v>4.4467569499866992E-3</v>
      </c>
      <c r="AD160" s="36">
        <f t="shared" si="56"/>
        <v>9.0313633654229855E-2</v>
      </c>
      <c r="AE160" s="36" t="str">
        <f>VLOOKUP(H160,'Yield &amp; Time'!A:R,18,0)</f>
        <v>CHLORINE, NATURE SEAL A5</v>
      </c>
      <c r="AF160" s="36">
        <f>IFERROR(VLOOKUP(AE160,'Chemical Cost'!A:D,4,0),0)</f>
        <v>0.51079223287545206</v>
      </c>
      <c r="AG160" s="114">
        <f t="shared" si="50"/>
        <v>1.3371097556516222E-2</v>
      </c>
      <c r="AH160" s="36">
        <f t="shared" si="57"/>
        <v>1.3371097556516222E-2</v>
      </c>
      <c r="AI160" s="36">
        <f t="shared" si="58"/>
        <v>0.19164003847331593</v>
      </c>
      <c r="AJ160" s="36">
        <f>IFERROR(VLOOKUP(A160,'All Products'!A:F,6,0),0)</f>
        <v>12.4</v>
      </c>
      <c r="AK160" s="36">
        <f>AJ160*Z160*J160</f>
        <v>0.62000000000000011</v>
      </c>
      <c r="AL160" s="23"/>
      <c r="AM160" s="23">
        <v>1</v>
      </c>
      <c r="AN160" s="54" t="e">
        <v>#N/A</v>
      </c>
      <c r="AO160" s="47"/>
      <c r="AP160" s="4">
        <v>1.1000000000000001</v>
      </c>
      <c r="AQ160" s="111">
        <f t="shared" si="51"/>
        <v>4.4467569499866992E-3</v>
      </c>
      <c r="AR160">
        <f>_xlfn.XLOOKUP(F160,'RM Cost'!A:A,'RM Cost'!S:S)</f>
        <v>0</v>
      </c>
      <c r="AS160" t="str">
        <f>_xlfn.XLOOKUP(A160,[3]Sheet1!$B:$B,[3]Sheet1!$B:$B)</f>
        <v>4486CS</v>
      </c>
      <c r="AT160" t="str">
        <f>_xlfn.XLOOKUP(H160,'Yield &amp; Time'!A:A,'Yield &amp; Time'!O:O)</f>
        <v>Yes</v>
      </c>
    </row>
    <row r="161" spans="1:46" x14ac:dyDescent="0.25">
      <c r="A161" s="2" t="s">
        <v>270</v>
      </c>
      <c r="B161" s="2" t="s">
        <v>552</v>
      </c>
      <c r="C161" s="2" t="s">
        <v>271</v>
      </c>
      <c r="D161" s="2" t="s">
        <v>554</v>
      </c>
      <c r="E161" s="2">
        <v>1.2</v>
      </c>
      <c r="F161" s="1" t="str">
        <f>VLOOKUP(H161,'RM Used'!A:B,2,0)</f>
        <v>P0012</v>
      </c>
      <c r="G161" s="1" t="str">
        <f>IFERROR(VLOOKUP(F161,'RM Cost'!A:B,2,0),"")</f>
        <v>XL GRAZE REVIVE POT (X6)</v>
      </c>
      <c r="H161" s="2" t="s">
        <v>4668</v>
      </c>
      <c r="I161" s="1" t="str">
        <f>VLOOKUP(F161,'RM Used'!B:D,3,0)</f>
        <v>RM-PACKING</v>
      </c>
      <c r="J161" s="66">
        <v>1</v>
      </c>
      <c r="K161" s="35" t="str">
        <f t="shared" si="42"/>
        <v/>
      </c>
      <c r="L161" s="35">
        <f t="shared" si="43"/>
        <v>0</v>
      </c>
      <c r="M161" s="77" t="str" cm="1">
        <f t="array" ref="M161">_xlfn.IFS(BOM!I161="RM-PACKING","100%",B161="Reynolds",VLOOKUP(H161,'Yield &amp; Time'!A:V,22,0),BOM!B161="Dnata",VLOOKUP(BOM!H161,'Yield &amp; Time'!A:M,13,0),B161="NK",VLOOKUP(H161,'Yield &amp; Time'!A:X,24,0))</f>
        <v>100%</v>
      </c>
      <c r="N161" s="35">
        <f t="shared" ref="N161:N181" si="60">IFERROR(IF(I161="RM-FOOD",(E161*J161)/M161,1),0)</f>
        <v>1</v>
      </c>
      <c r="O161" s="1" t="str">
        <f>VLOOKUP(H161,'RM Used'!A:E,5,0)</f>
        <v>Count</v>
      </c>
      <c r="P161" s="11">
        <f>VLOOKUP(H161,'RM Used'!A:F,6,0)</f>
        <v>0.96</v>
      </c>
      <c r="Q161" s="11">
        <f t="shared" si="52"/>
        <v>0.96</v>
      </c>
      <c r="R161" s="11">
        <f>IFERROR(IF(B161="Reynolds",VLOOKUP(H161,'Yield &amp; Time'!A:U,21,0),VLOOKUP(H161,'Yield &amp; Time'!A:L,12,0)),0)</f>
        <v>0</v>
      </c>
      <c r="S161" s="11">
        <f t="shared" si="44"/>
        <v>0</v>
      </c>
      <c r="T161" s="11">
        <f t="shared" si="45"/>
        <v>0</v>
      </c>
      <c r="U161" s="11">
        <f>IF(A160=A161,0,VLOOKUP(A161,'Packing Time'!A:F,6,0))</f>
        <v>0</v>
      </c>
      <c r="V161" s="11">
        <f t="shared" si="53"/>
        <v>0</v>
      </c>
      <c r="W161" s="11">
        <f t="shared" si="54"/>
        <v>0</v>
      </c>
      <c r="X161" s="11">
        <f t="shared" si="46"/>
        <v>0</v>
      </c>
      <c r="Y161" s="11">
        <f t="shared" si="55"/>
        <v>0</v>
      </c>
      <c r="Z161" s="37">
        <v>1</v>
      </c>
      <c r="AA161" s="36">
        <f t="shared" si="47"/>
        <v>1</v>
      </c>
      <c r="AB161" s="36">
        <f t="shared" si="48"/>
        <v>0.96</v>
      </c>
      <c r="AC161" s="11">
        <f t="shared" si="49"/>
        <v>0</v>
      </c>
      <c r="AD161" s="36">
        <f t="shared" si="56"/>
        <v>0</v>
      </c>
      <c r="AE161" s="36"/>
      <c r="AF161" s="36">
        <f>IFERROR(VLOOKUP(AE161,'Chemical Cost'!A:D,4,0),0)</f>
        <v>0</v>
      </c>
      <c r="AG161" s="114">
        <f t="shared" si="50"/>
        <v>0</v>
      </c>
      <c r="AH161" s="36">
        <f t="shared" si="57"/>
        <v>0</v>
      </c>
      <c r="AI161" s="36">
        <f t="shared" si="58"/>
        <v>0.96</v>
      </c>
      <c r="AJ161" s="36">
        <f>IFERROR(VLOOKUP(A161,'All Products'!A:F,6,0),0)</f>
        <v>12.4</v>
      </c>
      <c r="AK161" s="36"/>
      <c r="AL161" s="23"/>
      <c r="AM161" s="23">
        <v>1</v>
      </c>
      <c r="AN161" s="54" t="e">
        <v>#N/A</v>
      </c>
      <c r="AO161" s="47"/>
      <c r="AP161" s="4">
        <v>1.1000000000000001</v>
      </c>
      <c r="AQ161" s="111">
        <f t="shared" si="51"/>
        <v>0</v>
      </c>
      <c r="AR161">
        <f>_xlfn.XLOOKUP(F161,'RM Cost'!A:A,'RM Cost'!S:S)</f>
        <v>0</v>
      </c>
      <c r="AS161" t="str">
        <f>_xlfn.XLOOKUP(A161,[3]Sheet1!$B:$B,[3]Sheet1!$B:$B)</f>
        <v>4486CS</v>
      </c>
      <c r="AT161" t="e">
        <f>_xlfn.XLOOKUP(H161,'Yield &amp; Time'!A:A,'Yield &amp; Time'!F:F)</f>
        <v>#N/A</v>
      </c>
    </row>
    <row r="162" spans="1:46" x14ac:dyDescent="0.25">
      <c r="A162" s="2" t="s">
        <v>270</v>
      </c>
      <c r="B162" s="2" t="s">
        <v>552</v>
      </c>
      <c r="C162" s="2" t="s">
        <v>271</v>
      </c>
      <c r="D162" s="2" t="s">
        <v>554</v>
      </c>
      <c r="E162" s="2">
        <v>1.2</v>
      </c>
      <c r="F162" s="1" t="str">
        <f>VLOOKUP(H162,'RM Used'!A:B,2,0)</f>
        <v>P0023</v>
      </c>
      <c r="G162" s="1" t="str">
        <f>IFERROR(VLOOKUP(F162,'RM Cost'!A:B,2,0),"")</f>
        <v>300-425ML CL R-PET REVIVE LID (X6)</v>
      </c>
      <c r="H162" s="2" t="s">
        <v>4669</v>
      </c>
      <c r="I162" s="1" t="str">
        <f>VLOOKUP(F162,'RM Used'!B:D,3,0)</f>
        <v>RM-PACKING</v>
      </c>
      <c r="J162" s="66">
        <v>1</v>
      </c>
      <c r="K162" s="35" t="str">
        <f>IF(I162="RM-FOOD",J162*E162,"")</f>
        <v/>
      </c>
      <c r="L162" s="35">
        <f t="shared" si="43"/>
        <v>0</v>
      </c>
      <c r="M162" s="77" t="str" cm="1">
        <f t="array" ref="M162">_xlfn.IFS(BOM!I162="RM-PACKING","100%",B162="Reynolds",VLOOKUP(H162,'Yield &amp; Time'!A:V,22,0),BOM!B162="Dnata",VLOOKUP(BOM!H162,'Yield &amp; Time'!A:M,13,0),B162="NK",VLOOKUP(H162,'Yield &amp; Time'!A:X,24,0))</f>
        <v>100%</v>
      </c>
      <c r="N162" s="35">
        <f>IFERROR(IF(I162="RM-FOOD",(E162*J162)/M162,1),0)</f>
        <v>1</v>
      </c>
      <c r="O162" s="1" t="str">
        <f>VLOOKUP(H162,'RM Used'!A:E,5,0)</f>
        <v>Count</v>
      </c>
      <c r="P162" s="11">
        <f>VLOOKUP(H162,'RM Used'!A:F,6,0)</f>
        <v>0.48</v>
      </c>
      <c r="Q162" s="11">
        <f t="shared" si="52"/>
        <v>0.48</v>
      </c>
      <c r="R162" s="11">
        <f>IFERROR(IF(B162="Reynolds",VLOOKUP(H162,'Yield &amp; Time'!A:U,21,0),VLOOKUP(H162,'Yield &amp; Time'!A:L,12,0)),0)</f>
        <v>0</v>
      </c>
      <c r="S162" s="11">
        <f t="shared" si="44"/>
        <v>0</v>
      </c>
      <c r="T162" s="11">
        <f t="shared" si="45"/>
        <v>0</v>
      </c>
      <c r="U162" s="11">
        <f>IF(A161=A162,0,VLOOKUP(A162,'Packing Time'!A:F,6,0))</f>
        <v>0</v>
      </c>
      <c r="V162" s="11">
        <f>U162*AO$1</f>
        <v>0</v>
      </c>
      <c r="W162" s="11">
        <f>(U162*Z162)/60</f>
        <v>0</v>
      </c>
      <c r="X162" s="11">
        <f t="shared" si="46"/>
        <v>0</v>
      </c>
      <c r="Y162" s="11">
        <f>X162*Z162</f>
        <v>0</v>
      </c>
      <c r="Z162" s="37">
        <v>1</v>
      </c>
      <c r="AA162" s="36">
        <f t="shared" si="47"/>
        <v>1</v>
      </c>
      <c r="AB162" s="36">
        <f t="shared" si="48"/>
        <v>0.48</v>
      </c>
      <c r="AC162" s="11">
        <f t="shared" si="49"/>
        <v>0</v>
      </c>
      <c r="AD162" s="36">
        <f>AC162*60*AO$1</f>
        <v>0</v>
      </c>
      <c r="AE162" s="36"/>
      <c r="AF162" s="36">
        <f>IFERROR(VLOOKUP(AE162,'Chemical Cost'!A:D,4,0),0)</f>
        <v>0</v>
      </c>
      <c r="AG162" s="114">
        <f t="shared" si="50"/>
        <v>0</v>
      </c>
      <c r="AH162" s="36">
        <f>AF162*AA162/3</f>
        <v>0</v>
      </c>
      <c r="AI162" s="36">
        <f>IFERROR((Q162*Z162)+(Z162*X162)+AH162,0)</f>
        <v>0.48</v>
      </c>
      <c r="AJ162" s="36">
        <f>IFERROR(VLOOKUP(A162,'All Products'!A:F,6,0),0)</f>
        <v>12.4</v>
      </c>
      <c r="AK162" s="36"/>
      <c r="AL162" s="23"/>
      <c r="AM162" s="23">
        <v>1</v>
      </c>
      <c r="AN162" s="54" t="e">
        <v>#N/A</v>
      </c>
      <c r="AO162" s="47"/>
      <c r="AP162" s="4">
        <v>1.1000000000000001</v>
      </c>
      <c r="AQ162" s="111">
        <f t="shared" si="51"/>
        <v>0</v>
      </c>
      <c r="AR162">
        <f>_xlfn.XLOOKUP(F162,'RM Cost'!A:A,'RM Cost'!S:S)</f>
        <v>0</v>
      </c>
      <c r="AS162" t="str">
        <f>_xlfn.XLOOKUP(A162,[3]Sheet1!$B:$B,[3]Sheet1!$B:$B)</f>
        <v>4486CS</v>
      </c>
      <c r="AT162" t="e">
        <f>_xlfn.XLOOKUP(H162,'Yield &amp; Time'!A:A,'Yield &amp; Time'!F:F)</f>
        <v>#N/A</v>
      </c>
    </row>
    <row r="163" spans="1:46" x14ac:dyDescent="0.25">
      <c r="A163" s="2" t="s">
        <v>270</v>
      </c>
      <c r="B163" s="2" t="s">
        <v>552</v>
      </c>
      <c r="C163" s="2" t="s">
        <v>271</v>
      </c>
      <c r="D163" s="2" t="s">
        <v>554</v>
      </c>
      <c r="E163" s="2">
        <v>1.2</v>
      </c>
      <c r="F163" s="1" t="str">
        <f>VLOOKUP(H163,'RM Used'!A:B,2,0)</f>
        <v>P0024</v>
      </c>
      <c r="G163" s="1" t="str">
        <f>IFERROR(VLOOKUP(F163,'RM Cost'!A:B,2,0),"")</f>
        <v>DIE CUT CARTON 390MM X 290MM</v>
      </c>
      <c r="H163" s="2" t="s">
        <v>4677</v>
      </c>
      <c r="I163" s="1" t="str">
        <f>VLOOKUP(F163,'RM Used'!B:D,3,0)</f>
        <v>RM-PACKING</v>
      </c>
      <c r="J163" s="66">
        <v>1</v>
      </c>
      <c r="K163" s="35" t="str">
        <f>IF(I163="RM-FOOD",J163*E163,"")</f>
        <v/>
      </c>
      <c r="L163" s="35">
        <f t="shared" si="43"/>
        <v>0</v>
      </c>
      <c r="M163" s="77" t="str" cm="1">
        <f t="array" ref="M163">_xlfn.IFS(BOM!I163="RM-PACKING","100%",B163="Reynolds",VLOOKUP(H163,'Yield &amp; Time'!A:V,22,0),BOM!B163="Dnata",VLOOKUP(BOM!H163,'Yield &amp; Time'!A:M,13,0),B163="NK",VLOOKUP(H163,'Yield &amp; Time'!A:X,24,0))</f>
        <v>100%</v>
      </c>
      <c r="N163" s="35">
        <f>IFERROR(IF(I163="RM-FOOD",(E163*J163)/M163,1),0)</f>
        <v>1</v>
      </c>
      <c r="O163" s="1" t="str">
        <f>VLOOKUP(H163,'RM Used'!A:E,5,0)</f>
        <v>Count</v>
      </c>
      <c r="P163" s="11">
        <f>VLOOKUP(H163,'RM Used'!A:F,6,0)</f>
        <v>0.1</v>
      </c>
      <c r="Q163" s="11">
        <f t="shared" si="52"/>
        <v>0.1</v>
      </c>
      <c r="R163" s="11">
        <f>IFERROR(IF(B163="Reynolds",VLOOKUP(H163,'Yield &amp; Time'!A:U,21,0),VLOOKUP(H163,'Yield &amp; Time'!A:L,12,0)),0)</f>
        <v>0</v>
      </c>
      <c r="S163" s="11">
        <f t="shared" si="44"/>
        <v>0</v>
      </c>
      <c r="T163" s="11">
        <f t="shared" si="45"/>
        <v>0</v>
      </c>
      <c r="U163" s="11">
        <f>IF(A162=A163,0,VLOOKUP(A163,'Packing Time'!A:F,6,0))</f>
        <v>0</v>
      </c>
      <c r="V163" s="11">
        <f>U163*AO$1</f>
        <v>0</v>
      </c>
      <c r="W163" s="11">
        <f>(U163*Z163)/60</f>
        <v>0</v>
      </c>
      <c r="X163" s="11">
        <f t="shared" si="46"/>
        <v>0</v>
      </c>
      <c r="Y163" s="11">
        <f>X163*Z163</f>
        <v>0</v>
      </c>
      <c r="Z163" s="37">
        <v>1</v>
      </c>
      <c r="AA163" s="36">
        <f t="shared" si="47"/>
        <v>1</v>
      </c>
      <c r="AB163" s="36">
        <f t="shared" si="48"/>
        <v>0.1</v>
      </c>
      <c r="AC163" s="11">
        <f t="shared" si="49"/>
        <v>0</v>
      </c>
      <c r="AD163" s="36">
        <f>AC163*60*AO$1</f>
        <v>0</v>
      </c>
      <c r="AE163" s="36"/>
      <c r="AF163" s="36">
        <f>IFERROR(VLOOKUP(AE163,'Chemical Cost'!A:D,4,0),0)</f>
        <v>0</v>
      </c>
      <c r="AG163" s="114">
        <f t="shared" si="50"/>
        <v>0</v>
      </c>
      <c r="AH163" s="36">
        <f>AF163*AA163/3</f>
        <v>0</v>
      </c>
      <c r="AI163" s="36">
        <f>IFERROR((Q163*Z163)+(Z163*X163)+AH163,0)</f>
        <v>0.1</v>
      </c>
      <c r="AJ163" s="36">
        <f>IFERROR(VLOOKUP(A163,'All Products'!A:F,6,0),0)</f>
        <v>12.4</v>
      </c>
      <c r="AK163" s="36"/>
      <c r="AL163" s="23"/>
      <c r="AM163" s="23">
        <v>1</v>
      </c>
      <c r="AN163" s="54" t="e">
        <v>#N/A</v>
      </c>
      <c r="AO163" s="47"/>
      <c r="AP163" s="4">
        <v>1.1000000000000001</v>
      </c>
      <c r="AQ163" s="111">
        <f t="shared" si="51"/>
        <v>0</v>
      </c>
      <c r="AR163">
        <f>_xlfn.XLOOKUP(F163,'RM Cost'!A:A,'RM Cost'!S:S)</f>
        <v>0</v>
      </c>
      <c r="AS163" t="str">
        <f>_xlfn.XLOOKUP(A163,[3]Sheet1!$B:$B,[3]Sheet1!$B:$B)</f>
        <v>4486CS</v>
      </c>
      <c r="AT163" t="e">
        <f>_xlfn.XLOOKUP(H163,'Yield &amp; Time'!A:A,'Yield &amp; Time'!F:F)</f>
        <v>#N/A</v>
      </c>
    </row>
    <row r="164" spans="1:46" x14ac:dyDescent="0.25">
      <c r="A164" s="2" t="s">
        <v>270</v>
      </c>
      <c r="B164" s="2" t="s">
        <v>552</v>
      </c>
      <c r="C164" s="2" t="s">
        <v>271</v>
      </c>
      <c r="D164" s="2" t="s">
        <v>554</v>
      </c>
      <c r="E164" s="2">
        <v>1.2</v>
      </c>
      <c r="F164" s="1" t="str">
        <f>VLOOKUP(H164,'RM Used'!A:B,2,0)</f>
        <v>P0016</v>
      </c>
      <c r="G164" s="1" t="str">
        <f>IFERROR(VLOOKUP(F164,'RM Cost'!A:B,2,0),"")</f>
        <v>REY 40 30 BOX</v>
      </c>
      <c r="H164" s="2" t="s">
        <v>1332</v>
      </c>
      <c r="I164" s="1" t="str">
        <f>VLOOKUP(F164,'RM Used'!B:D,3,0)</f>
        <v>RM-PACKING</v>
      </c>
      <c r="J164" s="66">
        <v>1</v>
      </c>
      <c r="K164" s="35" t="str">
        <f t="shared" si="42"/>
        <v/>
      </c>
      <c r="L164" s="35">
        <f t="shared" si="43"/>
        <v>0</v>
      </c>
      <c r="M164" s="77" t="str" cm="1">
        <f t="array" ref="M164">_xlfn.IFS(BOM!I164="RM-PACKING","100%",B164="Reynolds",VLOOKUP(H164,'Yield &amp; Time'!A:V,22,0),BOM!B164="Dnata",VLOOKUP(BOM!H164,'Yield &amp; Time'!A:M,13,0),B164="NK",VLOOKUP(H164,'Yield &amp; Time'!A:X,24,0))</f>
        <v>100%</v>
      </c>
      <c r="N164" s="35">
        <f t="shared" si="60"/>
        <v>1</v>
      </c>
      <c r="O164" s="1" t="str">
        <f>VLOOKUP(H164,'RM Used'!A:E,5,0)</f>
        <v>Count</v>
      </c>
      <c r="P164" s="11">
        <f>VLOOKUP(H164,'RM Used'!A:F,6,0)</f>
        <v>0.28000000000000003</v>
      </c>
      <c r="Q164" s="11">
        <f t="shared" si="52"/>
        <v>0.28000000000000003</v>
      </c>
      <c r="R164" s="11">
        <f>IFERROR(IF(B164="Reynolds",VLOOKUP(H164,'Yield &amp; Time'!A:U,21,0),VLOOKUP(H164,'Yield &amp; Time'!A:L,12,0)),0)</f>
        <v>0</v>
      </c>
      <c r="S164" s="11">
        <f t="shared" si="44"/>
        <v>0</v>
      </c>
      <c r="T164" s="11">
        <f t="shared" si="45"/>
        <v>0</v>
      </c>
      <c r="U164" s="11">
        <f>IF(A163=A164,0,VLOOKUP(A164,'Packing Time'!A:F,6,0))</f>
        <v>0</v>
      </c>
      <c r="V164" s="11">
        <f t="shared" si="53"/>
        <v>0</v>
      </c>
      <c r="W164" s="11">
        <f t="shared" si="54"/>
        <v>0</v>
      </c>
      <c r="X164" s="11">
        <f t="shared" si="46"/>
        <v>0</v>
      </c>
      <c r="Y164" s="11">
        <f t="shared" si="55"/>
        <v>0</v>
      </c>
      <c r="Z164" s="37">
        <v>1</v>
      </c>
      <c r="AA164" s="36">
        <f t="shared" si="47"/>
        <v>1</v>
      </c>
      <c r="AB164" s="36">
        <f t="shared" si="48"/>
        <v>0.28000000000000003</v>
      </c>
      <c r="AC164" s="11">
        <f t="shared" si="49"/>
        <v>0</v>
      </c>
      <c r="AD164" s="36">
        <f t="shared" si="56"/>
        <v>0</v>
      </c>
      <c r="AE164" s="36"/>
      <c r="AF164" s="36">
        <f>IFERROR(VLOOKUP(AE164,'Chemical Cost'!A:D,4,0),0)</f>
        <v>0</v>
      </c>
      <c r="AG164" s="114">
        <f t="shared" si="50"/>
        <v>0</v>
      </c>
      <c r="AH164" s="36">
        <f t="shared" si="57"/>
        <v>0</v>
      </c>
      <c r="AI164" s="36">
        <f t="shared" si="58"/>
        <v>0.28000000000000003</v>
      </c>
      <c r="AJ164" s="36">
        <f>IFERROR(VLOOKUP(A164,'All Products'!A:F,6,0),0)</f>
        <v>12.4</v>
      </c>
      <c r="AK164" s="36"/>
      <c r="AL164" s="23"/>
      <c r="AM164" s="23">
        <v>1</v>
      </c>
      <c r="AN164" s="54" t="e">
        <v>#N/A</v>
      </c>
      <c r="AO164" s="47"/>
      <c r="AP164" s="4">
        <v>1.1000000000000001</v>
      </c>
      <c r="AQ164" s="111">
        <f t="shared" si="51"/>
        <v>0</v>
      </c>
      <c r="AR164">
        <f>_xlfn.XLOOKUP(F164,'RM Cost'!A:A,'RM Cost'!S:S)</f>
        <v>0</v>
      </c>
      <c r="AS164" t="str">
        <f>_xlfn.XLOOKUP(A164,[3]Sheet1!$B:$B,[3]Sheet1!$B:$B)</f>
        <v>4486CS</v>
      </c>
      <c r="AT164" t="e">
        <f>_xlfn.XLOOKUP(H164,'Yield &amp; Time'!A:A,'Yield &amp; Time'!F:F)</f>
        <v>#N/A</v>
      </c>
    </row>
    <row r="165" spans="1:46" x14ac:dyDescent="0.25">
      <c r="A165" s="1" t="s">
        <v>68</v>
      </c>
      <c r="B165" s="2" t="s">
        <v>552</v>
      </c>
      <c r="C165" s="2" t="s">
        <v>69</v>
      </c>
      <c r="D165" s="2" t="s">
        <v>554</v>
      </c>
      <c r="E165" s="2">
        <v>4</v>
      </c>
      <c r="F165" s="1" t="str">
        <f>VLOOKUP(H165,'RM Used'!A:B,2,0)</f>
        <v>1318CS</v>
      </c>
      <c r="G165" s="1" t="str">
        <f>IFERROR(VLOOKUP(F165,'RM Cost'!A:B,2,0),"")</f>
        <v>RM - PREP ONION RED WHOLE 2.5KG</v>
      </c>
      <c r="H165" s="2" t="s">
        <v>1365</v>
      </c>
      <c r="I165" s="1" t="str">
        <f>VLOOKUP(F165,'RM Used'!B:D,3,0)</f>
        <v>RM-FOOD</v>
      </c>
      <c r="J165" s="66">
        <v>1</v>
      </c>
      <c r="K165" s="35">
        <f t="shared" si="42"/>
        <v>4</v>
      </c>
      <c r="L165" s="35">
        <f t="shared" si="43"/>
        <v>4</v>
      </c>
      <c r="M165" s="77" cm="1">
        <f t="array" ref="M165">_xlfn.IFS(BOM!I165="RM-PACKING","100%",B165="Reynolds",VLOOKUP(H165,'Yield &amp; Time'!A:V,22,0),BOM!B165="Dnata",VLOOKUP(BOM!H165,'Yield &amp; Time'!A:M,13,0),B165="NK",VLOOKUP(H165,'Yield &amp; Time'!A:X,24,0))</f>
        <v>0.86943999999999999</v>
      </c>
      <c r="N165" s="35">
        <f t="shared" si="60"/>
        <v>4.6006624953993374</v>
      </c>
      <c r="O165" s="1" t="str">
        <f>VLOOKUP(H165,'RM Used'!A:E,5,0)</f>
        <v>KG</v>
      </c>
      <c r="P165" s="11">
        <f>VLOOKUP(H165,'RM Used'!A:F,6,0)</f>
        <v>1.08</v>
      </c>
      <c r="Q165" s="11">
        <f t="shared" si="52"/>
        <v>4.9687154950312848</v>
      </c>
      <c r="R165" s="11">
        <f>IFERROR(IF(B165="Reynolds",VLOOKUP(H165,'Yield &amp; Time'!A:U,21,0),VLOOKUP(H165,'Yield &amp; Time'!A:L,12,0)),0)</f>
        <v>0.91999999999999993</v>
      </c>
      <c r="S165" s="11">
        <f t="shared" si="44"/>
        <v>1.2456799999999997</v>
      </c>
      <c r="T165" s="11">
        <f t="shared" si="45"/>
        <v>6.133333333333333E-2</v>
      </c>
      <c r="U165" s="11">
        <f>IF(A164=A165,0,VLOOKUP(A165,'Packing Time'!A:F,6,0))</f>
        <v>1.75</v>
      </c>
      <c r="V165" s="11">
        <f t="shared" si="53"/>
        <v>0.59237499999999998</v>
      </c>
      <c r="W165" s="11">
        <f t="shared" si="54"/>
        <v>2.9166666666666667E-2</v>
      </c>
      <c r="X165" s="11">
        <f t="shared" si="46"/>
        <v>2.0218604999999998</v>
      </c>
      <c r="Y165" s="11">
        <f t="shared" si="55"/>
        <v>2.0218604999999998</v>
      </c>
      <c r="Z165" s="37">
        <v>1</v>
      </c>
      <c r="AA165" s="36">
        <f t="shared" si="47"/>
        <v>4.6006624953993374</v>
      </c>
      <c r="AB165" s="36">
        <f t="shared" si="48"/>
        <v>4.9687154950312848</v>
      </c>
      <c r="AC165" s="11">
        <f t="shared" si="49"/>
        <v>9.955E-2</v>
      </c>
      <c r="AD165" s="36">
        <f t="shared" si="56"/>
        <v>2.0218604999999998</v>
      </c>
      <c r="AE165" s="36" t="str">
        <f>VLOOKUP(H165,'Yield &amp; Time'!A:R,18,0)</f>
        <v>CHLORINE</v>
      </c>
      <c r="AF165" s="36">
        <f>IFERROR(VLOOKUP(AE165,'Chemical Cost'!A:D,4,0),0)</f>
        <v>2.7756518066439469E-2</v>
      </c>
      <c r="AG165" s="114">
        <f t="shared" si="50"/>
        <v>4.2566123890380732E-2</v>
      </c>
      <c r="AH165" s="36">
        <f t="shared" si="57"/>
        <v>4.2566123890380732E-2</v>
      </c>
      <c r="AI165" s="36">
        <f t="shared" si="58"/>
        <v>7.0331421189216652</v>
      </c>
      <c r="AJ165" s="36">
        <f>IFERROR(VLOOKUP(A165,'All Products'!A:F,6,0),0)</f>
        <v>7.82</v>
      </c>
      <c r="AK165" s="36">
        <f>AJ165*Z165*J165</f>
        <v>7.82</v>
      </c>
      <c r="AL165" s="23">
        <v>0.8</v>
      </c>
      <c r="AM165" s="23">
        <v>0.2</v>
      </c>
      <c r="AN165" s="54" t="e">
        <v>#N/A</v>
      </c>
      <c r="AO165" s="47"/>
      <c r="AP165" s="4">
        <v>1.1000000000000001</v>
      </c>
      <c r="AQ165" s="111">
        <f t="shared" si="51"/>
        <v>9.955E-2</v>
      </c>
      <c r="AR165">
        <f>_xlfn.XLOOKUP(F165,'RM Cost'!A:A,'RM Cost'!S:S)</f>
        <v>0</v>
      </c>
      <c r="AS165" t="str">
        <f>_xlfn.XLOOKUP(A165,[3]Sheet1!$B:$B,[3]Sheet1!$B:$B)</f>
        <v>655ACS</v>
      </c>
      <c r="AT165" t="str">
        <f>_xlfn.XLOOKUP(H165,'Yield &amp; Time'!A:A,'Yield &amp; Time'!O:O)</f>
        <v>Yes</v>
      </c>
    </row>
    <row r="166" spans="1:46" x14ac:dyDescent="0.25">
      <c r="A166" s="1" t="s">
        <v>68</v>
      </c>
      <c r="B166" s="2" t="s">
        <v>552</v>
      </c>
      <c r="C166" s="2" t="s">
        <v>69</v>
      </c>
      <c r="D166" s="2" t="s">
        <v>554</v>
      </c>
      <c r="E166" s="2">
        <v>4</v>
      </c>
      <c r="F166" s="1" t="str">
        <f>VLOOKUP(H166,'RM Used'!A:B,2,0)</f>
        <v>P0002</v>
      </c>
      <c r="G166" s="1" t="str">
        <f>IFERROR(VLOOKUP(F166,'RM Cost'!A:B,2,0),"")</f>
        <v>SOL 30EL # PPLUS 630x1000 BLUE -4</v>
      </c>
      <c r="H166" s="2" t="s">
        <v>4679</v>
      </c>
      <c r="I166" s="1" t="str">
        <f>VLOOKUP(F166,'RM Used'!B:D,3,0)</f>
        <v>RM-PACKING</v>
      </c>
      <c r="J166" s="66">
        <v>1</v>
      </c>
      <c r="K166" s="35" t="str">
        <f t="shared" si="42"/>
        <v/>
      </c>
      <c r="L166" s="35">
        <f t="shared" si="43"/>
        <v>0</v>
      </c>
      <c r="M166" s="77" t="str" cm="1">
        <f t="array" ref="M166">_xlfn.IFS(BOM!I166="RM-PACKING","100%",B166="Reynolds",VLOOKUP(H166,'Yield &amp; Time'!A:V,22,0),BOM!B166="Dnata",VLOOKUP(BOM!H166,'Yield &amp; Time'!A:M,13,0),B166="NK",VLOOKUP(H166,'Yield &amp; Time'!A:X,24,0))</f>
        <v>100%</v>
      </c>
      <c r="N166" s="35">
        <f t="shared" si="60"/>
        <v>1</v>
      </c>
      <c r="O166" s="1" t="str">
        <f>VLOOKUP(H166,'RM Used'!A:E,5,0)</f>
        <v>Count</v>
      </c>
      <c r="P166" s="11">
        <f>VLOOKUP(H166,'RM Used'!A:F,6,0)</f>
        <v>0.32</v>
      </c>
      <c r="Q166" s="11">
        <f t="shared" si="52"/>
        <v>0.32</v>
      </c>
      <c r="R166" s="11">
        <f>IFERROR(IF(B166="Reynolds",VLOOKUP(H166,'Yield &amp; Time'!A:U,21,0),VLOOKUP(H166,'Yield &amp; Time'!A:L,12,0)),0)</f>
        <v>0</v>
      </c>
      <c r="S166" s="11">
        <f t="shared" si="44"/>
        <v>0</v>
      </c>
      <c r="T166" s="11">
        <f t="shared" si="45"/>
        <v>0</v>
      </c>
      <c r="U166" s="11">
        <f>IF(A165=A166,0,VLOOKUP(A166,'Packing Time'!A:F,6,0))</f>
        <v>0</v>
      </c>
      <c r="V166" s="11">
        <f t="shared" si="53"/>
        <v>0</v>
      </c>
      <c r="W166" s="11">
        <f t="shared" si="54"/>
        <v>0</v>
      </c>
      <c r="X166" s="11">
        <f t="shared" si="46"/>
        <v>0</v>
      </c>
      <c r="Y166" s="11">
        <f t="shared" si="55"/>
        <v>0</v>
      </c>
      <c r="Z166" s="37">
        <v>1</v>
      </c>
      <c r="AA166" s="36">
        <f t="shared" si="47"/>
        <v>1</v>
      </c>
      <c r="AB166" s="36">
        <f t="shared" si="48"/>
        <v>0.32</v>
      </c>
      <c r="AC166" s="11">
        <f t="shared" si="49"/>
        <v>0</v>
      </c>
      <c r="AD166" s="36">
        <f t="shared" si="56"/>
        <v>0</v>
      </c>
      <c r="AE166" s="36"/>
      <c r="AF166" s="36">
        <f>IFERROR(VLOOKUP(AE166,'Chemical Cost'!A:D,4,0),0)</f>
        <v>0</v>
      </c>
      <c r="AG166" s="114">
        <f t="shared" si="50"/>
        <v>0</v>
      </c>
      <c r="AH166" s="36">
        <f t="shared" si="57"/>
        <v>0</v>
      </c>
      <c r="AI166" s="36">
        <f t="shared" si="58"/>
        <v>0.32</v>
      </c>
      <c r="AJ166" s="36">
        <f>IFERROR(VLOOKUP(A166,'All Products'!A:F,6,0),0)</f>
        <v>7.82</v>
      </c>
      <c r="AK166" s="36"/>
      <c r="AL166" s="23">
        <v>0.8</v>
      </c>
      <c r="AM166" s="23">
        <v>0.2</v>
      </c>
      <c r="AN166" s="54" t="e">
        <v>#N/A</v>
      </c>
      <c r="AO166" s="47"/>
      <c r="AP166" s="4">
        <v>1.1000000000000001</v>
      </c>
      <c r="AQ166" s="111">
        <f t="shared" si="51"/>
        <v>0</v>
      </c>
      <c r="AR166">
        <f>_xlfn.XLOOKUP(F166,'RM Cost'!A:A,'RM Cost'!S:S)</f>
        <v>0</v>
      </c>
      <c r="AS166" t="str">
        <f>_xlfn.XLOOKUP(A166,[3]Sheet1!$B:$B,[3]Sheet1!$B:$B)</f>
        <v>655ACS</v>
      </c>
      <c r="AT166" t="e">
        <f>_xlfn.XLOOKUP(H166,'Yield &amp; Time'!A:A,'Yield &amp; Time'!F:F)</f>
        <v>#N/A</v>
      </c>
    </row>
    <row r="167" spans="1:46" x14ac:dyDescent="0.25">
      <c r="A167" s="1" t="s">
        <v>68</v>
      </c>
      <c r="B167" s="2" t="s">
        <v>552</v>
      </c>
      <c r="C167" s="2" t="s">
        <v>69</v>
      </c>
      <c r="D167" s="2" t="s">
        <v>554</v>
      </c>
      <c r="E167" s="2">
        <v>4</v>
      </c>
      <c r="F167" s="1" t="str">
        <f>VLOOKUP(H167,'RM Used'!A:B,2,0)</f>
        <v>P0016</v>
      </c>
      <c r="G167" s="1" t="str">
        <f>IFERROR(VLOOKUP(F167,'RM Cost'!A:B,2,0),"")</f>
        <v>REY 40 30 BOX</v>
      </c>
      <c r="H167" s="2" t="s">
        <v>1332</v>
      </c>
      <c r="I167" s="1" t="str">
        <f>VLOOKUP(F167,'RM Used'!B:D,3,0)</f>
        <v>RM-PACKING</v>
      </c>
      <c r="J167" s="66">
        <v>1</v>
      </c>
      <c r="K167" s="35" t="str">
        <f t="shared" si="42"/>
        <v/>
      </c>
      <c r="L167" s="35">
        <f t="shared" si="43"/>
        <v>0</v>
      </c>
      <c r="M167" s="77" t="str" cm="1">
        <f t="array" ref="M167">_xlfn.IFS(BOM!I167="RM-PACKING","100%",B167="Reynolds",VLOOKUP(H167,'Yield &amp; Time'!A:V,22,0),BOM!B167="Dnata",VLOOKUP(BOM!H167,'Yield &amp; Time'!A:M,13,0),B167="NK",VLOOKUP(H167,'Yield &amp; Time'!A:X,24,0))</f>
        <v>100%</v>
      </c>
      <c r="N167" s="35">
        <f t="shared" si="60"/>
        <v>1</v>
      </c>
      <c r="O167" s="1" t="str">
        <f>VLOOKUP(H167,'RM Used'!A:E,5,0)</f>
        <v>Count</v>
      </c>
      <c r="P167" s="11">
        <f>VLOOKUP(H167,'RM Used'!A:F,6,0)</f>
        <v>0.28000000000000003</v>
      </c>
      <c r="Q167" s="11">
        <f t="shared" si="52"/>
        <v>0.28000000000000003</v>
      </c>
      <c r="R167" s="11">
        <f>IFERROR(IF(B167="Reynolds",VLOOKUP(H167,'Yield &amp; Time'!A:U,21,0),VLOOKUP(H167,'Yield &amp; Time'!A:L,12,0)),0)</f>
        <v>0</v>
      </c>
      <c r="S167" s="11">
        <f t="shared" si="44"/>
        <v>0</v>
      </c>
      <c r="T167" s="11">
        <f t="shared" si="45"/>
        <v>0</v>
      </c>
      <c r="U167" s="11">
        <f>IF(A166=A167,0,VLOOKUP(A167,'Packing Time'!A:F,6,0))</f>
        <v>0</v>
      </c>
      <c r="V167" s="11">
        <f t="shared" si="53"/>
        <v>0</v>
      </c>
      <c r="W167" s="11">
        <f t="shared" si="54"/>
        <v>0</v>
      </c>
      <c r="X167" s="11">
        <f t="shared" si="46"/>
        <v>0</v>
      </c>
      <c r="Y167" s="11">
        <f t="shared" si="55"/>
        <v>0</v>
      </c>
      <c r="Z167" s="37">
        <v>1</v>
      </c>
      <c r="AA167" s="36">
        <f t="shared" si="47"/>
        <v>1</v>
      </c>
      <c r="AB167" s="36">
        <f t="shared" si="48"/>
        <v>0.28000000000000003</v>
      </c>
      <c r="AC167" s="11">
        <f t="shared" si="49"/>
        <v>0</v>
      </c>
      <c r="AD167" s="36">
        <f t="shared" si="56"/>
        <v>0</v>
      </c>
      <c r="AE167" s="36"/>
      <c r="AF167" s="36">
        <f>IFERROR(VLOOKUP(AE167,'Chemical Cost'!A:D,4,0),0)</f>
        <v>0</v>
      </c>
      <c r="AG167" s="114">
        <f t="shared" si="50"/>
        <v>0</v>
      </c>
      <c r="AH167" s="36">
        <f t="shared" si="57"/>
        <v>0</v>
      </c>
      <c r="AI167" s="36">
        <f t="shared" si="58"/>
        <v>0.28000000000000003</v>
      </c>
      <c r="AJ167" s="36">
        <f>IFERROR(VLOOKUP(A167,'All Products'!A:F,6,0),0)</f>
        <v>7.82</v>
      </c>
      <c r="AK167" s="36"/>
      <c r="AL167" s="23">
        <v>0.8</v>
      </c>
      <c r="AM167" s="23">
        <v>0.2</v>
      </c>
      <c r="AN167" s="54" t="e">
        <v>#N/A</v>
      </c>
      <c r="AO167" s="47"/>
      <c r="AP167" s="4">
        <v>1.1000000000000001</v>
      </c>
      <c r="AQ167" s="111">
        <f t="shared" si="51"/>
        <v>0</v>
      </c>
      <c r="AR167">
        <f>_xlfn.XLOOKUP(F167,'RM Cost'!A:A,'RM Cost'!S:S)</f>
        <v>0</v>
      </c>
      <c r="AS167" t="str">
        <f>_xlfn.XLOOKUP(A167,[3]Sheet1!$B:$B,[3]Sheet1!$B:$B)</f>
        <v>655ACS</v>
      </c>
      <c r="AT167" t="e">
        <f>_xlfn.XLOOKUP(H167,'Yield &amp; Time'!A:A,'Yield &amp; Time'!F:F)</f>
        <v>#N/A</v>
      </c>
    </row>
    <row r="168" spans="1:46" x14ac:dyDescent="0.25">
      <c r="A168" s="1" t="s">
        <v>42</v>
      </c>
      <c r="B168" s="2" t="s">
        <v>552</v>
      </c>
      <c r="C168" s="2" t="s">
        <v>561</v>
      </c>
      <c r="D168" s="2" t="s">
        <v>554</v>
      </c>
      <c r="E168" s="2">
        <v>2.4</v>
      </c>
      <c r="F168" s="1" t="str">
        <f>VLOOKUP(H168,'RM Used'!A:B,2,0)</f>
        <v>3136CS</v>
      </c>
      <c r="G168" s="1" t="str">
        <f>IFERROR(VLOOKUP(F168,'RM Cost'!A:B,2,0),"")</f>
        <v>RM - PROCESSING LEEKS 5KG</v>
      </c>
      <c r="H168" s="2" t="s">
        <v>1437</v>
      </c>
      <c r="I168" s="1" t="str">
        <f>VLOOKUP(F168,'RM Used'!B:D,3,0)</f>
        <v>RM-FOOD</v>
      </c>
      <c r="J168" s="66">
        <v>1</v>
      </c>
      <c r="K168" s="35">
        <f t="shared" si="42"/>
        <v>2.4</v>
      </c>
      <c r="L168" s="35">
        <f t="shared" si="43"/>
        <v>2.4</v>
      </c>
      <c r="M168" s="77" cm="1">
        <f t="array" ref="M168">_xlfn.IFS(BOM!I168="RM-PACKING","100%",B168="Reynolds",VLOOKUP(H168,'Yield &amp; Time'!A:V,22,0),BOM!B168="Dnata",VLOOKUP(BOM!H168,'Yield &amp; Time'!A:M,13,0),B168="NK",VLOOKUP(H168,'Yield &amp; Time'!A:X,24,0))</f>
        <v>0.83</v>
      </c>
      <c r="N168" s="35">
        <f t="shared" si="60"/>
        <v>2.8915662650602409</v>
      </c>
      <c r="O168" s="1" t="str">
        <f>VLOOKUP(H168,'RM Used'!A:E,5,0)</f>
        <v>KG</v>
      </c>
      <c r="P168" s="11">
        <f>VLOOKUP(H168,'RM Used'!A:F,6,0)</f>
        <v>1.05</v>
      </c>
      <c r="Q168" s="11">
        <f t="shared" si="52"/>
        <v>3.036144578313253</v>
      </c>
      <c r="R168" s="11">
        <f>IFERROR(IF(B168="Reynolds",VLOOKUP(H168,'Yield &amp; Time'!A:U,21,0),VLOOKUP(H168,'Yield &amp; Time'!A:L,12,0)),0)</f>
        <v>0.76417902516866842</v>
      </c>
      <c r="S168" s="11">
        <f t="shared" si="44"/>
        <v>0.62081904004702615</v>
      </c>
      <c r="T168" s="11">
        <f t="shared" si="45"/>
        <v>3.0567161006746734E-2</v>
      </c>
      <c r="U168" s="11">
        <f>IF(A167=A168,0,VLOOKUP(A168,'Packing Time'!A:F,6,0))</f>
        <v>1.75</v>
      </c>
      <c r="V168" s="11">
        <f t="shared" si="53"/>
        <v>0.59237499999999998</v>
      </c>
      <c r="W168" s="11">
        <f t="shared" si="54"/>
        <v>2.9166666666666667E-2</v>
      </c>
      <c r="X168" s="11">
        <f t="shared" si="46"/>
        <v>1.3345134440517288</v>
      </c>
      <c r="Y168" s="11">
        <f t="shared" si="55"/>
        <v>1.3345134440517288</v>
      </c>
      <c r="Z168" s="37">
        <v>1</v>
      </c>
      <c r="AA168" s="36">
        <f t="shared" si="47"/>
        <v>2.8915662650602409</v>
      </c>
      <c r="AB168" s="36">
        <f t="shared" si="48"/>
        <v>3.036144578313253</v>
      </c>
      <c r="AC168" s="11">
        <f t="shared" si="49"/>
        <v>6.570721044075474E-2</v>
      </c>
      <c r="AD168" s="36">
        <f t="shared" si="56"/>
        <v>1.3345134440517286</v>
      </c>
      <c r="AE168" s="36" t="str">
        <f>VLOOKUP(H168,'Yield &amp; Time'!A:R,18,0)</f>
        <v>CHLORINE</v>
      </c>
      <c r="AF168" s="36">
        <f>IFERROR(VLOOKUP(AE168,'Chemical Cost'!A:D,4,0),0)</f>
        <v>2.7756518066439469E-2</v>
      </c>
      <c r="AG168" s="114">
        <f t="shared" si="50"/>
        <v>2.6753270425483824E-2</v>
      </c>
      <c r="AH168" s="36">
        <f t="shared" si="57"/>
        <v>2.6753270425483824E-2</v>
      </c>
      <c r="AI168" s="36">
        <f t="shared" si="58"/>
        <v>4.3974112927904656</v>
      </c>
      <c r="AJ168" s="36">
        <f>IFERROR(VLOOKUP(A168,'All Products'!A:F,6,0),0)</f>
        <v>10.210000000000001</v>
      </c>
      <c r="AK168" s="36">
        <f>AJ168*Z168*J168</f>
        <v>10.210000000000001</v>
      </c>
      <c r="AL168" s="23">
        <v>0.85</v>
      </c>
      <c r="AM168" s="23">
        <v>0.15</v>
      </c>
      <c r="AN168" s="54" t="e">
        <v>#N/A</v>
      </c>
      <c r="AO168" s="47"/>
      <c r="AP168" s="4">
        <v>1.1000000000000001</v>
      </c>
      <c r="AQ168" s="111">
        <f t="shared" si="51"/>
        <v>6.570721044075474E-2</v>
      </c>
      <c r="AR168">
        <f>_xlfn.XLOOKUP(F168,'RM Cost'!A:A,'RM Cost'!S:S)</f>
        <v>0</v>
      </c>
      <c r="AS168" t="str">
        <f>_xlfn.XLOOKUP(A168,[3]Sheet1!$B:$B,[3]Sheet1!$B:$B)</f>
        <v>104ACS</v>
      </c>
      <c r="AT168" t="str">
        <f>_xlfn.XLOOKUP(H168,'Yield &amp; Time'!A:A,'Yield &amp; Time'!O:O)</f>
        <v>Yes</v>
      </c>
    </row>
    <row r="169" spans="1:46" x14ac:dyDescent="0.25">
      <c r="A169" s="1" t="s">
        <v>42</v>
      </c>
      <c r="B169" s="2" t="s">
        <v>552</v>
      </c>
      <c r="C169" s="2" t="s">
        <v>561</v>
      </c>
      <c r="D169" s="2" t="s">
        <v>554</v>
      </c>
      <c r="E169" s="2">
        <v>2.4</v>
      </c>
      <c r="F169" s="1" t="str">
        <f>VLOOKUP(H169,'RM Used'!A:B,2,0)</f>
        <v>P0002</v>
      </c>
      <c r="G169" s="1" t="str">
        <f>IFERROR(VLOOKUP(F169,'RM Cost'!A:B,2,0),"")</f>
        <v>SOL 30EL # PPLUS 630x1000 BLUE -4</v>
      </c>
      <c r="H169" s="2" t="s">
        <v>4679</v>
      </c>
      <c r="I169" s="1" t="str">
        <f>VLOOKUP(F169,'RM Used'!B:D,3,0)</f>
        <v>RM-PACKING</v>
      </c>
      <c r="J169" s="66">
        <v>1</v>
      </c>
      <c r="K169" s="35" t="str">
        <f t="shared" si="42"/>
        <v/>
      </c>
      <c r="L169" s="35">
        <f t="shared" si="43"/>
        <v>0</v>
      </c>
      <c r="M169" s="77" t="str" cm="1">
        <f t="array" ref="M169">_xlfn.IFS(BOM!I169="RM-PACKING","100%",B169="Reynolds",VLOOKUP(H169,'Yield &amp; Time'!A:V,22,0),BOM!B169="Dnata",VLOOKUP(BOM!H169,'Yield &amp; Time'!A:M,13,0),B169="NK",VLOOKUP(H169,'Yield &amp; Time'!A:X,24,0))</f>
        <v>100%</v>
      </c>
      <c r="N169" s="35">
        <f t="shared" si="60"/>
        <v>1</v>
      </c>
      <c r="O169" s="1" t="str">
        <f>VLOOKUP(H169,'RM Used'!A:E,5,0)</f>
        <v>Count</v>
      </c>
      <c r="P169" s="11">
        <f>VLOOKUP(H169,'RM Used'!A:F,6,0)</f>
        <v>0.32</v>
      </c>
      <c r="Q169" s="11">
        <f t="shared" si="52"/>
        <v>0.32</v>
      </c>
      <c r="R169" s="11">
        <f>IFERROR(IF(B169="Reynolds",VLOOKUP(H169,'Yield &amp; Time'!A:U,21,0),VLOOKUP(H169,'Yield &amp; Time'!A:L,12,0)),0)</f>
        <v>0</v>
      </c>
      <c r="S169" s="11">
        <f t="shared" si="44"/>
        <v>0</v>
      </c>
      <c r="T169" s="11">
        <f t="shared" si="45"/>
        <v>0</v>
      </c>
      <c r="U169" s="11">
        <f>IF(A168=A169,0,VLOOKUP(A169,'Packing Time'!A:F,6,0))</f>
        <v>0</v>
      </c>
      <c r="V169" s="11">
        <f t="shared" si="53"/>
        <v>0</v>
      </c>
      <c r="W169" s="11">
        <f t="shared" si="54"/>
        <v>0</v>
      </c>
      <c r="X169" s="11">
        <f t="shared" si="46"/>
        <v>0</v>
      </c>
      <c r="Y169" s="11">
        <f t="shared" si="55"/>
        <v>0</v>
      </c>
      <c r="Z169" s="37">
        <v>1</v>
      </c>
      <c r="AA169" s="36">
        <f t="shared" si="47"/>
        <v>1</v>
      </c>
      <c r="AB169" s="36">
        <f t="shared" si="48"/>
        <v>0.32</v>
      </c>
      <c r="AC169" s="11">
        <f t="shared" si="49"/>
        <v>0</v>
      </c>
      <c r="AD169" s="36">
        <f t="shared" si="56"/>
        <v>0</v>
      </c>
      <c r="AE169" s="36"/>
      <c r="AF169" s="36">
        <f>IFERROR(VLOOKUP(AE169,'Chemical Cost'!A:D,4,0),0)</f>
        <v>0</v>
      </c>
      <c r="AG169" s="114">
        <f t="shared" si="50"/>
        <v>0</v>
      </c>
      <c r="AH169" s="36">
        <f t="shared" si="57"/>
        <v>0</v>
      </c>
      <c r="AI169" s="36">
        <f t="shared" si="58"/>
        <v>0.32</v>
      </c>
      <c r="AJ169" s="36">
        <f>IFERROR(VLOOKUP(A169,'All Products'!A:F,6,0),0)</f>
        <v>10.210000000000001</v>
      </c>
      <c r="AK169" s="36"/>
      <c r="AL169" s="23">
        <v>0.85</v>
      </c>
      <c r="AM169" s="23">
        <v>0.15</v>
      </c>
      <c r="AN169" s="54" t="e">
        <v>#N/A</v>
      </c>
      <c r="AO169" s="47"/>
      <c r="AP169" s="4">
        <v>1.1000000000000001</v>
      </c>
      <c r="AQ169" s="111">
        <f t="shared" si="51"/>
        <v>0</v>
      </c>
      <c r="AR169">
        <f>_xlfn.XLOOKUP(F169,'RM Cost'!A:A,'RM Cost'!S:S)</f>
        <v>0</v>
      </c>
      <c r="AS169" t="str">
        <f>_xlfn.XLOOKUP(A169,[3]Sheet1!$B:$B,[3]Sheet1!$B:$B)</f>
        <v>104ACS</v>
      </c>
      <c r="AT169" t="e">
        <f>_xlfn.XLOOKUP(H169,'Yield &amp; Time'!A:A,'Yield &amp; Time'!F:F)</f>
        <v>#N/A</v>
      </c>
    </row>
    <row r="170" spans="1:46" x14ac:dyDescent="0.25">
      <c r="A170" s="1" t="s">
        <v>42</v>
      </c>
      <c r="B170" s="2" t="s">
        <v>552</v>
      </c>
      <c r="C170" s="2" t="s">
        <v>561</v>
      </c>
      <c r="D170" s="2" t="s">
        <v>554</v>
      </c>
      <c r="E170" s="2">
        <v>2.4</v>
      </c>
      <c r="F170" s="1" t="str">
        <f>VLOOKUP(H170,'RM Used'!A:B,2,0)</f>
        <v>P0016</v>
      </c>
      <c r="G170" s="1" t="str">
        <f>IFERROR(VLOOKUP(F170,'RM Cost'!A:B,2,0),"")</f>
        <v>REY 40 30 BOX</v>
      </c>
      <c r="H170" s="2" t="s">
        <v>1332</v>
      </c>
      <c r="I170" s="1" t="str">
        <f>VLOOKUP(F170,'RM Used'!B:D,3,0)</f>
        <v>RM-PACKING</v>
      </c>
      <c r="J170" s="66">
        <v>1</v>
      </c>
      <c r="K170" s="35" t="str">
        <f t="shared" si="42"/>
        <v/>
      </c>
      <c r="L170" s="35">
        <f t="shared" si="43"/>
        <v>0</v>
      </c>
      <c r="M170" s="77" t="str" cm="1">
        <f t="array" ref="M170">_xlfn.IFS(BOM!I170="RM-PACKING","100%",B170="Reynolds",VLOOKUP(H170,'Yield &amp; Time'!A:V,22,0),BOM!B170="Dnata",VLOOKUP(BOM!H170,'Yield &amp; Time'!A:M,13,0),B170="NK",VLOOKUP(H170,'Yield &amp; Time'!A:X,24,0))</f>
        <v>100%</v>
      </c>
      <c r="N170" s="35">
        <f t="shared" si="60"/>
        <v>1</v>
      </c>
      <c r="O170" s="1" t="str">
        <f>VLOOKUP(H170,'RM Used'!A:E,5,0)</f>
        <v>Count</v>
      </c>
      <c r="P170" s="11">
        <f>VLOOKUP(H170,'RM Used'!A:F,6,0)</f>
        <v>0.28000000000000003</v>
      </c>
      <c r="Q170" s="11">
        <f t="shared" si="52"/>
        <v>0.28000000000000003</v>
      </c>
      <c r="R170" s="11">
        <f>IFERROR(IF(B170="Reynolds",VLOOKUP(H170,'Yield &amp; Time'!A:U,21,0),VLOOKUP(H170,'Yield &amp; Time'!A:L,12,0)),0)</f>
        <v>0</v>
      </c>
      <c r="S170" s="11">
        <f t="shared" si="44"/>
        <v>0</v>
      </c>
      <c r="T170" s="11">
        <f t="shared" si="45"/>
        <v>0</v>
      </c>
      <c r="U170" s="11">
        <f>IF(A169=A170,0,VLOOKUP(A170,'Packing Time'!A:F,6,0))</f>
        <v>0</v>
      </c>
      <c r="V170" s="11">
        <f t="shared" si="53"/>
        <v>0</v>
      </c>
      <c r="W170" s="11">
        <f t="shared" si="54"/>
        <v>0</v>
      </c>
      <c r="X170" s="11">
        <f t="shared" si="46"/>
        <v>0</v>
      </c>
      <c r="Y170" s="11">
        <f t="shared" si="55"/>
        <v>0</v>
      </c>
      <c r="Z170" s="37">
        <v>1</v>
      </c>
      <c r="AA170" s="36">
        <f t="shared" si="47"/>
        <v>1</v>
      </c>
      <c r="AB170" s="36">
        <f t="shared" si="48"/>
        <v>0.28000000000000003</v>
      </c>
      <c r="AC170" s="11">
        <f t="shared" si="49"/>
        <v>0</v>
      </c>
      <c r="AD170" s="36">
        <f t="shared" si="56"/>
        <v>0</v>
      </c>
      <c r="AE170" s="36"/>
      <c r="AF170" s="36">
        <f>IFERROR(VLOOKUP(AE170,'Chemical Cost'!A:D,4,0),0)</f>
        <v>0</v>
      </c>
      <c r="AG170" s="114">
        <f t="shared" si="50"/>
        <v>0</v>
      </c>
      <c r="AH170" s="36">
        <f t="shared" si="57"/>
        <v>0</v>
      </c>
      <c r="AI170" s="36">
        <f t="shared" si="58"/>
        <v>0.28000000000000003</v>
      </c>
      <c r="AJ170" s="36">
        <f>IFERROR(VLOOKUP(A170,'All Products'!A:F,6,0),0)</f>
        <v>10.210000000000001</v>
      </c>
      <c r="AK170" s="36"/>
      <c r="AL170" s="23">
        <v>0.85</v>
      </c>
      <c r="AM170" s="23">
        <v>0.15</v>
      </c>
      <c r="AN170" s="54" t="e">
        <v>#N/A</v>
      </c>
      <c r="AO170" s="47"/>
      <c r="AP170" s="4">
        <v>1.1000000000000001</v>
      </c>
      <c r="AQ170" s="111">
        <f t="shared" si="51"/>
        <v>0</v>
      </c>
      <c r="AR170">
        <f>_xlfn.XLOOKUP(F170,'RM Cost'!A:A,'RM Cost'!S:S)</f>
        <v>0</v>
      </c>
      <c r="AS170" t="str">
        <f>_xlfn.XLOOKUP(A170,[3]Sheet1!$B:$B,[3]Sheet1!$B:$B)</f>
        <v>104ACS</v>
      </c>
      <c r="AT170" t="e">
        <f>_xlfn.XLOOKUP(H170,'Yield &amp; Time'!A:A,'Yield &amp; Time'!F:F)</f>
        <v>#N/A</v>
      </c>
    </row>
    <row r="171" spans="1:46" x14ac:dyDescent="0.25">
      <c r="A171" s="1" t="s">
        <v>97</v>
      </c>
      <c r="B171" s="2" t="s">
        <v>552</v>
      </c>
      <c r="C171" s="2" t="s">
        <v>98</v>
      </c>
      <c r="D171" s="2" t="s">
        <v>554</v>
      </c>
      <c r="E171" s="2">
        <v>2.7</v>
      </c>
      <c r="F171" s="1" t="str">
        <f>VLOOKUP(H171,'RM Used'!A:B,2,0)</f>
        <v>2730CS</v>
      </c>
      <c r="G171" s="1" t="str">
        <f>IFERROR(VLOOKUP(F171,'RM Cost'!A:B,2,0),"")</f>
        <v>RM - ORANGE LARGE X 15KG</v>
      </c>
      <c r="H171" s="2" t="s">
        <v>1381</v>
      </c>
      <c r="I171" s="1" t="str">
        <f>VLOOKUP(F171,'RM Used'!B:D,3,0)</f>
        <v>RM-FOOD</v>
      </c>
      <c r="J171" s="66">
        <v>0.7407407407407407</v>
      </c>
      <c r="K171" s="35">
        <f t="shared" si="42"/>
        <v>2</v>
      </c>
      <c r="L171" s="35">
        <f t="shared" si="43"/>
        <v>2</v>
      </c>
      <c r="M171" s="77" cm="1">
        <f t="array" ref="M171">_xlfn.IFS(BOM!I171="RM-PACKING","100%",B171="Reynolds",VLOOKUP(H171,'Yield &amp; Time'!A:V,22,0),BOM!B171="Dnata",VLOOKUP(BOM!H171,'Yield &amp; Time'!A:M,13,0),B171="NK",VLOOKUP(H171,'Yield &amp; Time'!A:X,24,0))</f>
        <v>0.46641791044776115</v>
      </c>
      <c r="N171" s="35">
        <f t="shared" si="60"/>
        <v>4.2880000000000003</v>
      </c>
      <c r="O171" s="1" t="str">
        <f>VLOOKUP(H171,'RM Used'!A:E,5,0)</f>
        <v>KG</v>
      </c>
      <c r="P171" s="11">
        <f>VLOOKUP(H171,'RM Used'!A:F,6,0)</f>
        <v>0.8</v>
      </c>
      <c r="Q171" s="11">
        <f t="shared" si="52"/>
        <v>3.4304000000000006</v>
      </c>
      <c r="R171" s="11">
        <f>IFERROR(IF(B171="Reynolds",VLOOKUP(H171,'Yield &amp; Time'!A:U,21,0),VLOOKUP(H171,'Yield &amp; Time'!A:L,12,0)),0)</f>
        <v>4.9222222222222216</v>
      </c>
      <c r="S171" s="11">
        <f t="shared" si="44"/>
        <v>3.3323444444444439</v>
      </c>
      <c r="T171" s="11">
        <f t="shared" si="45"/>
        <v>0.16407407407407407</v>
      </c>
      <c r="U171" s="11">
        <f>IF(A170=A171,0,VLOOKUP(A171,'Packing Time'!A:F,6,0))</f>
        <v>0.8</v>
      </c>
      <c r="V171" s="11">
        <f t="shared" si="53"/>
        <v>0.27079999999999999</v>
      </c>
      <c r="W171" s="11">
        <f t="shared" si="54"/>
        <v>1.3333333333333334E-2</v>
      </c>
      <c r="X171" s="11">
        <f t="shared" si="46"/>
        <v>3.9634588888888884</v>
      </c>
      <c r="Y171" s="11">
        <f t="shared" si="55"/>
        <v>3.9634588888888884</v>
      </c>
      <c r="Z171" s="37">
        <v>1</v>
      </c>
      <c r="AA171" s="36">
        <f t="shared" si="47"/>
        <v>4.2880000000000003</v>
      </c>
      <c r="AB171" s="36">
        <f t="shared" si="48"/>
        <v>3.4304000000000006</v>
      </c>
      <c r="AC171" s="11">
        <f t="shared" si="49"/>
        <v>0.19514814814814815</v>
      </c>
      <c r="AD171" s="36">
        <f t="shared" si="56"/>
        <v>3.9634588888888889</v>
      </c>
      <c r="AE171" s="36" t="str">
        <f>VLOOKUP(H171,'Yield &amp; Time'!A:R,18,0)</f>
        <v>CHLORINE</v>
      </c>
      <c r="AF171" s="36">
        <f>IFERROR(VLOOKUP(AE171,'Chemical Cost'!A:D,4,0),0)</f>
        <v>2.7756518066439469E-2</v>
      </c>
      <c r="AG171" s="114">
        <f t="shared" si="50"/>
        <v>3.9673316489630815E-2</v>
      </c>
      <c r="AH171" s="36">
        <f t="shared" si="57"/>
        <v>3.9673316489630815E-2</v>
      </c>
      <c r="AI171" s="36">
        <f t="shared" si="58"/>
        <v>7.43353220537852</v>
      </c>
      <c r="AJ171" s="36">
        <f>IFERROR(VLOOKUP(A171,'All Products'!A:F,6,0),0)</f>
        <v>10.47</v>
      </c>
      <c r="AK171" s="36">
        <f>AJ171*Z171*J171</f>
        <v>7.7555555555555555</v>
      </c>
      <c r="AL171" s="23"/>
      <c r="AM171" s="23">
        <v>1</v>
      </c>
      <c r="AN171" s="54" t="e">
        <v>#N/A</v>
      </c>
      <c r="AO171" s="47"/>
      <c r="AP171" s="4">
        <v>1.1000000000000001</v>
      </c>
      <c r="AQ171" s="111">
        <f t="shared" si="51"/>
        <v>0.19514814814814815</v>
      </c>
      <c r="AR171">
        <f>_xlfn.XLOOKUP(F171,'RM Cost'!A:A,'RM Cost'!S:S)</f>
        <v>0</v>
      </c>
      <c r="AS171" t="str">
        <f>_xlfn.XLOOKUP(A171,[3]Sheet1!$B:$B,[3]Sheet1!$B:$B)</f>
        <v>1854CS</v>
      </c>
      <c r="AT171" t="str">
        <f>_xlfn.XLOOKUP(H171,'Yield &amp; Time'!A:A,'Yield &amp; Time'!O:O)</f>
        <v>Yes</v>
      </c>
    </row>
    <row r="172" spans="1:46" x14ac:dyDescent="0.25">
      <c r="A172" s="1" t="s">
        <v>97</v>
      </c>
      <c r="B172" s="2" t="s">
        <v>552</v>
      </c>
      <c r="C172" s="2" t="s">
        <v>98</v>
      </c>
      <c r="D172" s="2" t="s">
        <v>554</v>
      </c>
      <c r="E172" s="2">
        <v>2.7</v>
      </c>
      <c r="F172" s="1" t="str">
        <f>VLOOKUP(H172,'RM Used'!A:B,2,0)</f>
        <v>8929CS</v>
      </c>
      <c r="G172" s="1" t="str">
        <f>IFERROR(VLOOKUP(F172,'RM Cost'!A:B,2,0),"")</f>
        <v>GRANULATED SUGAR 1 X 25K</v>
      </c>
      <c r="H172" s="2" t="s">
        <v>1757</v>
      </c>
      <c r="I172" s="1" t="str">
        <f>VLOOKUP(F172,'RM Used'!B:D,3,0)</f>
        <v>RM-FOOD</v>
      </c>
      <c r="J172" s="66">
        <v>0.25925925925925924</v>
      </c>
      <c r="K172" s="35">
        <f t="shared" si="42"/>
        <v>0.7</v>
      </c>
      <c r="L172" s="35">
        <f t="shared" si="43"/>
        <v>0.7</v>
      </c>
      <c r="M172" s="77" cm="1">
        <f t="array" ref="M172">_xlfn.IFS(BOM!I172="RM-PACKING","100%",B172="Reynolds",VLOOKUP(H172,'Yield &amp; Time'!A:V,22,0),BOM!B172="Dnata",VLOOKUP(BOM!H172,'Yield &amp; Time'!A:M,13,0),B172="NK",VLOOKUP(H172,'Yield &amp; Time'!A:X,24,0))</f>
        <v>1</v>
      </c>
      <c r="N172" s="35">
        <f>IFERROR(IF(I172="RM-FOOD",(E172*J172)/M172,1),0)</f>
        <v>0.7</v>
      </c>
      <c r="O172" s="1" t="str">
        <f>VLOOKUP(H172,'RM Used'!A:E,5,0)</f>
        <v>KG</v>
      </c>
      <c r="P172" s="11">
        <f>VLOOKUP(H172,'RM Used'!A:F,6,0)</f>
        <v>6.3E-2</v>
      </c>
      <c r="Q172" s="11">
        <f t="shared" si="52"/>
        <v>4.41E-2</v>
      </c>
      <c r="R172" s="11">
        <f>IFERROR(IF(B172="Reynolds",VLOOKUP(H172,'Yield &amp; Time'!A:U,21,0),VLOOKUP(H172,'Yield &amp; Time'!A:L,12,0)),0)</f>
        <v>0.16666666666666666</v>
      </c>
      <c r="S172" s="11">
        <f t="shared" si="44"/>
        <v>3.9491666666666661E-2</v>
      </c>
      <c r="T172" s="11">
        <f t="shared" si="45"/>
        <v>1.9444444444444444E-3</v>
      </c>
      <c r="U172" s="11">
        <f>IF(A171=A172,0,VLOOKUP(A172,'Packing Time'!A:F,6,0))</f>
        <v>0</v>
      </c>
      <c r="V172" s="11">
        <f>U172*AO$1</f>
        <v>0</v>
      </c>
      <c r="W172" s="11">
        <f>(U172*Z172)/60</f>
        <v>0</v>
      </c>
      <c r="X172" s="11">
        <f t="shared" si="46"/>
        <v>4.3440833333333331E-2</v>
      </c>
      <c r="Y172" s="11">
        <f>X172*Z172</f>
        <v>4.3440833333333331E-2</v>
      </c>
      <c r="Z172" s="37">
        <v>1</v>
      </c>
      <c r="AA172" s="36">
        <f t="shared" si="47"/>
        <v>0.7</v>
      </c>
      <c r="AB172" s="36">
        <f t="shared" si="48"/>
        <v>4.41E-2</v>
      </c>
      <c r="AC172" s="11">
        <f t="shared" si="49"/>
        <v>2.138888888888889E-3</v>
      </c>
      <c r="AD172" s="36">
        <f>AC172*60*AO$1</f>
        <v>4.3440833333333324E-2</v>
      </c>
      <c r="AE172" s="36">
        <f>VLOOKUP(H172,'Yield &amp; Time'!A:R,18,0)</f>
        <v>0</v>
      </c>
      <c r="AF172" s="36">
        <f>IFERROR(VLOOKUP(AE172,'Chemical Cost'!A:D,4,0),0)</f>
        <v>0</v>
      </c>
      <c r="AG172" s="114">
        <f t="shared" si="50"/>
        <v>0</v>
      </c>
      <c r="AH172" s="36">
        <f t="shared" si="57"/>
        <v>0</v>
      </c>
      <c r="AI172" s="36">
        <f>IFERROR((Q172*Z172)+(Z172*X172)+AH172,0)</f>
        <v>8.7540833333333332E-2</v>
      </c>
      <c r="AJ172" s="36">
        <f>IFERROR(VLOOKUP(A172,'All Products'!A:F,6,0),0)</f>
        <v>10.47</v>
      </c>
      <c r="AK172" s="36">
        <f>AJ172*Z172*J172</f>
        <v>2.7144444444444447</v>
      </c>
      <c r="AL172" s="23"/>
      <c r="AM172" s="23">
        <v>1</v>
      </c>
      <c r="AN172" s="54" t="e">
        <v>#N/A</v>
      </c>
      <c r="AO172" s="47"/>
      <c r="AP172" s="4">
        <v>1.1000000000000001</v>
      </c>
      <c r="AQ172" s="111">
        <f t="shared" si="51"/>
        <v>2.138888888888889E-3</v>
      </c>
      <c r="AR172">
        <f>_xlfn.XLOOKUP(F172,'RM Cost'!A:A,'RM Cost'!S:S)</f>
        <v>0</v>
      </c>
      <c r="AS172" t="str">
        <f>_xlfn.XLOOKUP(A172,[3]Sheet1!$B:$B,[3]Sheet1!$B:$B)</f>
        <v>1854CS</v>
      </c>
      <c r="AT172">
        <f>_xlfn.XLOOKUP(H172,'Yield &amp; Time'!A:A,'Yield &amp; Time'!F:F)</f>
        <v>0</v>
      </c>
    </row>
    <row r="173" spans="1:46" x14ac:dyDescent="0.25">
      <c r="A173" s="1" t="s">
        <v>97</v>
      </c>
      <c r="B173" s="2" t="s">
        <v>552</v>
      </c>
      <c r="C173" s="2" t="s">
        <v>98</v>
      </c>
      <c r="D173" s="2" t="s">
        <v>554</v>
      </c>
      <c r="E173" s="2">
        <v>2.7</v>
      </c>
      <c r="F173" s="1" t="str">
        <f>VLOOKUP(H173,'RM Used'!A:B,2,0)</f>
        <v>P0010</v>
      </c>
      <c r="G173" s="1" t="str">
        <f>IFERROR(VLOOKUP(F173,'RM Cost'!A:B,2,0),"")</f>
        <v>BUCKET 3L PJET</v>
      </c>
      <c r="H173" s="2" t="s">
        <v>4672</v>
      </c>
      <c r="I173" s="1" t="str">
        <f>VLOOKUP(F173,'RM Used'!B:D,3,0)</f>
        <v>RM-PACKING</v>
      </c>
      <c r="J173" s="66">
        <v>1</v>
      </c>
      <c r="K173" s="35" t="str">
        <f t="shared" si="42"/>
        <v/>
      </c>
      <c r="L173" s="35">
        <f t="shared" si="43"/>
        <v>0</v>
      </c>
      <c r="M173" s="77" t="str" cm="1">
        <f t="array" ref="M173">_xlfn.IFS(BOM!I173="RM-PACKING","100%",B173="Reynolds",VLOOKUP(H173,'Yield &amp; Time'!A:V,22,0),BOM!B173="Dnata",VLOOKUP(BOM!H173,'Yield &amp; Time'!A:M,13,0),B173="NK",VLOOKUP(H173,'Yield &amp; Time'!A:X,24,0))</f>
        <v>100%</v>
      </c>
      <c r="N173" s="35">
        <f t="shared" si="60"/>
        <v>1</v>
      </c>
      <c r="O173" s="1" t="str">
        <f>VLOOKUP(H173,'RM Used'!A:E,5,0)</f>
        <v>Count</v>
      </c>
      <c r="P173" s="11">
        <f>VLOOKUP(H173,'RM Used'!A:F,6,0)</f>
        <v>0.56000000000000005</v>
      </c>
      <c r="Q173" s="11">
        <f t="shared" si="52"/>
        <v>0.56000000000000005</v>
      </c>
      <c r="R173" s="11">
        <f>IFERROR(IF(B173="Reynolds",VLOOKUP(H173,'Yield &amp; Time'!A:U,21,0),VLOOKUP(H173,'Yield &amp; Time'!A:L,12,0)),0)</f>
        <v>0</v>
      </c>
      <c r="S173" s="11">
        <f t="shared" si="44"/>
        <v>0</v>
      </c>
      <c r="T173" s="11">
        <f t="shared" si="45"/>
        <v>0</v>
      </c>
      <c r="U173" s="11">
        <f>IF(A172=A173,0,VLOOKUP(A173,'Packing Time'!A:F,6,0))</f>
        <v>0</v>
      </c>
      <c r="V173" s="11">
        <f t="shared" si="53"/>
        <v>0</v>
      </c>
      <c r="W173" s="11">
        <f t="shared" si="54"/>
        <v>0</v>
      </c>
      <c r="X173" s="11">
        <f t="shared" si="46"/>
        <v>0</v>
      </c>
      <c r="Y173" s="11">
        <f t="shared" si="55"/>
        <v>0</v>
      </c>
      <c r="Z173" s="37">
        <v>1</v>
      </c>
      <c r="AA173" s="36">
        <f t="shared" si="47"/>
        <v>1</v>
      </c>
      <c r="AB173" s="36">
        <f t="shared" si="48"/>
        <v>0.56000000000000005</v>
      </c>
      <c r="AC173" s="11">
        <f t="shared" si="49"/>
        <v>0</v>
      </c>
      <c r="AD173" s="36">
        <f t="shared" si="56"/>
        <v>0</v>
      </c>
      <c r="AE173" s="36"/>
      <c r="AF173" s="36">
        <f>IFERROR(VLOOKUP(AE173,'Chemical Cost'!A:D,4,0),0)</f>
        <v>0</v>
      </c>
      <c r="AG173" s="114">
        <f t="shared" si="50"/>
        <v>0</v>
      </c>
      <c r="AH173" s="36">
        <f t="shared" si="57"/>
        <v>0</v>
      </c>
      <c r="AI173" s="36">
        <f t="shared" si="58"/>
        <v>0.56000000000000005</v>
      </c>
      <c r="AJ173" s="36">
        <f>IFERROR(VLOOKUP(A173,'All Products'!A:F,6,0),0)</f>
        <v>10.47</v>
      </c>
      <c r="AK173" s="36"/>
      <c r="AL173" s="23"/>
      <c r="AM173" s="23">
        <v>1</v>
      </c>
      <c r="AN173" s="54" t="e">
        <v>#N/A</v>
      </c>
      <c r="AO173" s="47"/>
      <c r="AP173" s="4">
        <v>1.1000000000000001</v>
      </c>
      <c r="AQ173" s="111">
        <f t="shared" si="51"/>
        <v>0</v>
      </c>
      <c r="AR173">
        <f>_xlfn.XLOOKUP(F173,'RM Cost'!A:A,'RM Cost'!S:S)</f>
        <v>0</v>
      </c>
      <c r="AS173" t="str">
        <f>_xlfn.XLOOKUP(A173,[3]Sheet1!$B:$B,[3]Sheet1!$B:$B)</f>
        <v>1854CS</v>
      </c>
      <c r="AT173" t="e">
        <f>_xlfn.XLOOKUP(H173,'Yield &amp; Time'!A:A,'Yield &amp; Time'!F:F)</f>
        <v>#N/A</v>
      </c>
    </row>
    <row r="174" spans="1:46" x14ac:dyDescent="0.25">
      <c r="A174" s="1" t="s">
        <v>97</v>
      </c>
      <c r="B174" s="2" t="s">
        <v>552</v>
      </c>
      <c r="C174" s="2" t="s">
        <v>98</v>
      </c>
      <c r="D174" s="2" t="s">
        <v>554</v>
      </c>
      <c r="E174" s="2">
        <v>2.7</v>
      </c>
      <c r="F174" s="1" t="str">
        <f>VLOOKUP(H174,'RM Used'!A:B,2,0)</f>
        <v>P0026</v>
      </c>
      <c r="G174" s="1" t="str">
        <f>IFERROR(VLOOKUP(F174,'RM Cost'!A:B,2,0),"")</f>
        <v>LID 2.2L PJET 2.2L-3.8L</v>
      </c>
      <c r="H174" s="2" t="s">
        <v>4673</v>
      </c>
      <c r="I174" s="1" t="str">
        <f>VLOOKUP(F174,'RM Used'!B:D,3,0)</f>
        <v>RM-PACKING</v>
      </c>
      <c r="J174" s="66">
        <v>1</v>
      </c>
      <c r="K174" s="35" t="str">
        <f>IF(I174="RM-FOOD",J174*E174,"")</f>
        <v/>
      </c>
      <c r="L174" s="35">
        <f t="shared" si="43"/>
        <v>0</v>
      </c>
      <c r="M174" s="77" t="str" cm="1">
        <f t="array" ref="M174">_xlfn.IFS(BOM!I174="RM-PACKING","100%",B174="Reynolds",VLOOKUP(H174,'Yield &amp; Time'!A:V,22,0),BOM!B174="Dnata",VLOOKUP(BOM!H174,'Yield &amp; Time'!A:M,13,0),B174="NK",VLOOKUP(H174,'Yield &amp; Time'!A:X,24,0))</f>
        <v>100%</v>
      </c>
      <c r="N174" s="35">
        <f>IFERROR(IF(I174="RM-FOOD",(E174*J174)/M174,1),0)</f>
        <v>1</v>
      </c>
      <c r="O174" s="1" t="str">
        <f>VLOOKUP(H174,'RM Used'!A:E,5,0)</f>
        <v>Count</v>
      </c>
      <c r="P174" s="11">
        <f>VLOOKUP(H174,'RM Used'!A:F,6,0)</f>
        <v>0.16</v>
      </c>
      <c r="Q174" s="11">
        <f t="shared" si="52"/>
        <v>0.16</v>
      </c>
      <c r="R174" s="11">
        <f>IFERROR(IF(B174="Reynolds",VLOOKUP(H174,'Yield &amp; Time'!A:U,21,0),VLOOKUP(H174,'Yield &amp; Time'!A:L,12,0)),0)</f>
        <v>0</v>
      </c>
      <c r="S174" s="11">
        <f t="shared" si="44"/>
        <v>0</v>
      </c>
      <c r="T174" s="11">
        <f t="shared" si="45"/>
        <v>0</v>
      </c>
      <c r="U174" s="11">
        <f>IF(A173=A174,0,VLOOKUP(A174,'Packing Time'!A:F,6,0))</f>
        <v>0</v>
      </c>
      <c r="V174" s="11">
        <f>U174*AO$1</f>
        <v>0</v>
      </c>
      <c r="W174" s="11">
        <f>(U174*Z174)/60</f>
        <v>0</v>
      </c>
      <c r="X174" s="11">
        <f t="shared" si="46"/>
        <v>0</v>
      </c>
      <c r="Y174" s="11">
        <f>X174*Z174</f>
        <v>0</v>
      </c>
      <c r="Z174" s="37">
        <v>1</v>
      </c>
      <c r="AA174" s="36">
        <f t="shared" si="47"/>
        <v>1</v>
      </c>
      <c r="AB174" s="36">
        <f t="shared" si="48"/>
        <v>0.16</v>
      </c>
      <c r="AC174" s="11">
        <f t="shared" si="49"/>
        <v>0</v>
      </c>
      <c r="AD174" s="36">
        <f>AC174*60*AO$1</f>
        <v>0</v>
      </c>
      <c r="AE174" s="36"/>
      <c r="AF174" s="36">
        <f>IFERROR(VLOOKUP(AE174,'Chemical Cost'!A:D,4,0),0)</f>
        <v>0</v>
      </c>
      <c r="AG174" s="114">
        <f t="shared" si="50"/>
        <v>0</v>
      </c>
      <c r="AH174" s="36">
        <f>AF174*AA174/3</f>
        <v>0</v>
      </c>
      <c r="AI174" s="36">
        <f>IFERROR((Q174*Z174)+(Z174*X174)+AH174,0)</f>
        <v>0.16</v>
      </c>
      <c r="AJ174" s="36">
        <f>IFERROR(VLOOKUP(A174,'All Products'!A:F,6,0),0)</f>
        <v>10.47</v>
      </c>
      <c r="AK174" s="36"/>
      <c r="AL174" s="23"/>
      <c r="AM174" s="23">
        <v>1</v>
      </c>
      <c r="AN174" s="54" t="e">
        <v>#N/A</v>
      </c>
      <c r="AO174" s="47"/>
      <c r="AP174" s="4">
        <v>1.1000000000000001</v>
      </c>
      <c r="AQ174" s="111">
        <f t="shared" si="51"/>
        <v>0</v>
      </c>
      <c r="AR174">
        <f>_xlfn.XLOOKUP(F174,'RM Cost'!A:A,'RM Cost'!S:S)</f>
        <v>0</v>
      </c>
      <c r="AS174" t="str">
        <f>_xlfn.XLOOKUP(A174,[3]Sheet1!$B:$B,[3]Sheet1!$B:$B)</f>
        <v>1854CS</v>
      </c>
      <c r="AT174" t="e">
        <f>_xlfn.XLOOKUP(H174,'Yield &amp; Time'!A:A,'Yield &amp; Time'!F:F)</f>
        <v>#N/A</v>
      </c>
    </row>
    <row r="175" spans="1:46" x14ac:dyDescent="0.25">
      <c r="A175" s="1" t="s">
        <v>129</v>
      </c>
      <c r="B175" s="2" t="s">
        <v>552</v>
      </c>
      <c r="C175" s="2" t="s">
        <v>564</v>
      </c>
      <c r="D175" s="2" t="s">
        <v>554</v>
      </c>
      <c r="E175" s="2">
        <v>2.5</v>
      </c>
      <c r="F175" s="1" t="str">
        <f>VLOOKUP(H175,'RM Used'!A:B,2,0)</f>
        <v>S3998CS</v>
      </c>
      <c r="G175" s="1" t="str">
        <f>IFERROR(VLOOKUP(F175,'RM Cost'!A:B,2,0),"")</f>
        <v>RM - DECORED RED CABBAGE 1/3 1200KG</v>
      </c>
      <c r="H175" s="2" t="s">
        <v>1349</v>
      </c>
      <c r="I175" s="1" t="str">
        <f>VLOOKUP(F175,'RM Used'!B:D,3,0)</f>
        <v>RM-FOOD</v>
      </c>
      <c r="J175" s="66">
        <v>1</v>
      </c>
      <c r="K175" s="35">
        <f t="shared" si="42"/>
        <v>2.5</v>
      </c>
      <c r="L175" s="35">
        <f t="shared" si="43"/>
        <v>2.5</v>
      </c>
      <c r="M175" s="77" cm="1">
        <f t="array" ref="M175">_xlfn.IFS(BOM!I175="RM-PACKING","100%",B175="Reynolds",VLOOKUP(H175,'Yield &amp; Time'!A:V,22,0),BOM!B175="Dnata",VLOOKUP(BOM!H175,'Yield &amp; Time'!A:M,13,0),B175="NK",VLOOKUP(H175,'Yield &amp; Time'!A:X,24,0))</f>
        <v>0.75138040345821322</v>
      </c>
      <c r="N175" s="35">
        <f t="shared" si="60"/>
        <v>3.3272094780404178</v>
      </c>
      <c r="O175" s="1" t="str">
        <f>VLOOKUP(H175,'RM Used'!A:E,5,0)</f>
        <v>KG</v>
      </c>
      <c r="P175" s="11">
        <v>0.5</v>
      </c>
      <c r="Q175" s="11">
        <f t="shared" si="52"/>
        <v>1.6636047390202089</v>
      </c>
      <c r="R175" s="11">
        <f>IFERROR(IF(B175="Reynolds",VLOOKUP(H175,'Yield &amp; Time'!A:U,21,0),VLOOKUP(H175,'Yield &amp; Time'!A:L,12,0)),0)</f>
        <v>0.76261570798735501</v>
      </c>
      <c r="S175" s="11">
        <f t="shared" si="44"/>
        <v>0.6453635428842992</v>
      </c>
      <c r="T175" s="11">
        <f t="shared" si="45"/>
        <v>3.177565449947313E-2</v>
      </c>
      <c r="U175" s="11">
        <f>IF(A174=A175,0,VLOOKUP(A175,'Packing Time'!A:F,6,0))</f>
        <v>0.875</v>
      </c>
      <c r="V175" s="11">
        <f t="shared" si="53"/>
        <v>0.29618749999999999</v>
      </c>
      <c r="W175" s="11">
        <f t="shared" si="54"/>
        <v>1.4583333333333334E-2</v>
      </c>
      <c r="X175" s="11">
        <f t="shared" si="46"/>
        <v>1.0357061471727291</v>
      </c>
      <c r="Y175" s="11">
        <f t="shared" si="55"/>
        <v>1.0357061471727291</v>
      </c>
      <c r="Z175" s="37">
        <v>1</v>
      </c>
      <c r="AA175" s="36">
        <f t="shared" si="47"/>
        <v>3.3272094780404178</v>
      </c>
      <c r="AB175" s="36">
        <f t="shared" si="48"/>
        <v>1.6636047390202089</v>
      </c>
      <c r="AC175" s="11">
        <f t="shared" si="49"/>
        <v>5.0994886616087108E-2</v>
      </c>
      <c r="AD175" s="36">
        <f t="shared" si="56"/>
        <v>1.0357061471727291</v>
      </c>
      <c r="AE175" s="36" t="str">
        <f>VLOOKUP(H175,'Yield &amp; Time'!A:R,18,0)</f>
        <v>CHLORINE</v>
      </c>
      <c r="AF175" s="36">
        <f>IFERROR(VLOOKUP(AE175,'Chemical Cost'!A:D,4,0),0)</f>
        <v>2.7756518066439469E-2</v>
      </c>
      <c r="AG175" s="114">
        <f t="shared" si="50"/>
        <v>3.0783916662685831E-2</v>
      </c>
      <c r="AH175" s="36">
        <f t="shared" si="57"/>
        <v>3.0783916662685831E-2</v>
      </c>
      <c r="AI175" s="36">
        <f t="shared" si="58"/>
        <v>2.730094802855624</v>
      </c>
      <c r="AJ175" s="36">
        <f>IFERROR(VLOOKUP(A175,'All Products'!A:F,6,0),0)</f>
        <v>3.87</v>
      </c>
      <c r="AK175" s="36">
        <f>AJ175*Z175*J175</f>
        <v>3.87</v>
      </c>
      <c r="AL175" s="23">
        <v>0.8</v>
      </c>
      <c r="AM175" s="23">
        <v>0.2</v>
      </c>
      <c r="AN175" s="54" t="e">
        <v>#N/A</v>
      </c>
      <c r="AO175" s="47"/>
      <c r="AP175" s="4">
        <v>1.1000000000000001</v>
      </c>
      <c r="AQ175" s="111">
        <f t="shared" si="51"/>
        <v>5.0994886616087108E-2</v>
      </c>
      <c r="AR175">
        <f>_xlfn.XLOOKUP(F175,'RM Cost'!A:A,'RM Cost'!S:S)</f>
        <v>0.29914853989077506</v>
      </c>
      <c r="AS175" t="str">
        <f>_xlfn.XLOOKUP(A175,[3]Sheet1!$B:$B,[3]Sheet1!$B:$B)</f>
        <v>1185CS</v>
      </c>
      <c r="AT175" t="str">
        <f>_xlfn.XLOOKUP(H175,'Yield &amp; Time'!A:A,'Yield &amp; Time'!O:O)</f>
        <v>Yes</v>
      </c>
    </row>
    <row r="176" spans="1:46" x14ac:dyDescent="0.25">
      <c r="A176" s="1" t="s">
        <v>129</v>
      </c>
      <c r="B176" s="2" t="s">
        <v>552</v>
      </c>
      <c r="C176" s="2" t="s">
        <v>564</v>
      </c>
      <c r="D176" s="2" t="s">
        <v>554</v>
      </c>
      <c r="E176" s="2">
        <v>2.5</v>
      </c>
      <c r="F176" s="1" t="str">
        <f>VLOOKUP(H176,'RM Used'!A:B,2,0)</f>
        <v>P0020</v>
      </c>
      <c r="G176" s="1" t="str">
        <f>IFERROR(VLOOKUP(F176,'RM Cost'!A:B,2,0),"")</f>
        <v>PALE BLUE BAG 430X430MM</v>
      </c>
      <c r="H176" s="2" t="s">
        <v>1659</v>
      </c>
      <c r="I176" s="1" t="str">
        <f>VLOOKUP(F176,'RM Used'!B:D,3,0)</f>
        <v>RM-PACKING</v>
      </c>
      <c r="J176" s="66">
        <v>1</v>
      </c>
      <c r="K176" s="35" t="str">
        <f t="shared" si="42"/>
        <v/>
      </c>
      <c r="L176" s="35">
        <f t="shared" si="43"/>
        <v>0</v>
      </c>
      <c r="M176" s="77" t="str" cm="1">
        <f t="array" ref="M176">_xlfn.IFS(BOM!I176="RM-PACKING","100%",B176="Reynolds",VLOOKUP(H176,'Yield &amp; Time'!A:V,22,0),BOM!B176="Dnata",VLOOKUP(BOM!H176,'Yield &amp; Time'!A:M,13,0),B176="NK",VLOOKUP(H176,'Yield &amp; Time'!A:X,24,0))</f>
        <v>100%</v>
      </c>
      <c r="N176" s="35">
        <f t="shared" si="60"/>
        <v>1</v>
      </c>
      <c r="O176" s="1" t="str">
        <f>VLOOKUP(H176,'RM Used'!A:E,5,0)</f>
        <v>Count</v>
      </c>
      <c r="P176" s="11">
        <f>VLOOKUP(H176,'RM Used'!A:F,6,0)</f>
        <v>0.09</v>
      </c>
      <c r="Q176" s="11">
        <f t="shared" si="52"/>
        <v>0.09</v>
      </c>
      <c r="R176" s="11">
        <f>IFERROR(IF(B176="Reynolds",VLOOKUP(H176,'Yield &amp; Time'!A:U,21,0),VLOOKUP(H176,'Yield &amp; Time'!A:L,12,0)),0)</f>
        <v>0</v>
      </c>
      <c r="S176" s="11">
        <f t="shared" si="44"/>
        <v>0</v>
      </c>
      <c r="T176" s="11">
        <f t="shared" si="45"/>
        <v>0</v>
      </c>
      <c r="U176" s="11">
        <f>IF(A175=A176,0,VLOOKUP(A176,'Packing Time'!A:F,6,0))</f>
        <v>0</v>
      </c>
      <c r="V176" s="11">
        <f t="shared" si="53"/>
        <v>0</v>
      </c>
      <c r="W176" s="11">
        <f t="shared" si="54"/>
        <v>0</v>
      </c>
      <c r="X176" s="11">
        <f t="shared" si="46"/>
        <v>0</v>
      </c>
      <c r="Y176" s="11">
        <f t="shared" si="55"/>
        <v>0</v>
      </c>
      <c r="Z176" s="37">
        <v>1</v>
      </c>
      <c r="AA176" s="36">
        <f t="shared" si="47"/>
        <v>1</v>
      </c>
      <c r="AB176" s="36">
        <f t="shared" si="48"/>
        <v>0.09</v>
      </c>
      <c r="AC176" s="11">
        <f t="shared" si="49"/>
        <v>0</v>
      </c>
      <c r="AD176" s="36">
        <f t="shared" si="56"/>
        <v>0</v>
      </c>
      <c r="AE176" s="36"/>
      <c r="AF176" s="36">
        <f>IFERROR(VLOOKUP(AE176,'Chemical Cost'!A:D,4,0),0)</f>
        <v>0</v>
      </c>
      <c r="AG176" s="114">
        <f t="shared" si="50"/>
        <v>0</v>
      </c>
      <c r="AH176" s="36">
        <f t="shared" si="57"/>
        <v>0</v>
      </c>
      <c r="AI176" s="36">
        <f t="shared" si="58"/>
        <v>0.09</v>
      </c>
      <c r="AJ176" s="36">
        <f>IFERROR(VLOOKUP(A176,'All Products'!A:F,6,0),0)</f>
        <v>3.87</v>
      </c>
      <c r="AK176" s="36"/>
      <c r="AL176" s="23">
        <v>0.8</v>
      </c>
      <c r="AM176" s="23">
        <v>0.2</v>
      </c>
      <c r="AN176" s="54" t="e">
        <v>#N/A</v>
      </c>
      <c r="AO176" s="47"/>
      <c r="AP176" s="4">
        <v>1.1000000000000001</v>
      </c>
      <c r="AQ176" s="111">
        <f t="shared" si="51"/>
        <v>0</v>
      </c>
      <c r="AR176">
        <f>_xlfn.XLOOKUP(F176,'RM Cost'!A:A,'RM Cost'!S:S)</f>
        <v>0</v>
      </c>
      <c r="AS176" t="str">
        <f>_xlfn.XLOOKUP(A176,[3]Sheet1!$B:$B,[3]Sheet1!$B:$B)</f>
        <v>1185CS</v>
      </c>
      <c r="AT176" t="e">
        <f>_xlfn.XLOOKUP(H176,'Yield &amp; Time'!A:A,'Yield &amp; Time'!F:F)</f>
        <v>#N/A</v>
      </c>
    </row>
    <row r="177" spans="1:46" x14ac:dyDescent="0.25">
      <c r="A177" s="1" t="s">
        <v>129</v>
      </c>
      <c r="B177" s="2" t="s">
        <v>552</v>
      </c>
      <c r="C177" s="2" t="s">
        <v>564</v>
      </c>
      <c r="D177" s="2" t="s">
        <v>554</v>
      </c>
      <c r="E177" s="2">
        <v>2.5</v>
      </c>
      <c r="F177" s="1" t="str">
        <f>VLOOKUP(H177,'RM Used'!A:B,2,0)</f>
        <v>P0016</v>
      </c>
      <c r="G177" s="1" t="str">
        <f>IFERROR(VLOOKUP(F177,'RM Cost'!A:B,2,0),"")</f>
        <v>REY 40 30 BOX</v>
      </c>
      <c r="H177" s="2" t="s">
        <v>1332</v>
      </c>
      <c r="I177" s="1" t="str">
        <f>VLOOKUP(F177,'RM Used'!B:D,3,0)</f>
        <v>RM-PACKING</v>
      </c>
      <c r="J177" s="66">
        <v>1</v>
      </c>
      <c r="K177" s="35" t="str">
        <f t="shared" si="42"/>
        <v/>
      </c>
      <c r="L177" s="35">
        <f t="shared" si="43"/>
        <v>0</v>
      </c>
      <c r="M177" s="77" t="str" cm="1">
        <f t="array" ref="M177">_xlfn.IFS(BOM!I177="RM-PACKING","100%",B177="Reynolds",VLOOKUP(H177,'Yield &amp; Time'!A:V,22,0),BOM!B177="Dnata",VLOOKUP(BOM!H177,'Yield &amp; Time'!A:M,13,0),B177="NK",VLOOKUP(H177,'Yield &amp; Time'!A:X,24,0))</f>
        <v>100%</v>
      </c>
      <c r="N177" s="35">
        <f t="shared" si="60"/>
        <v>1</v>
      </c>
      <c r="O177" s="1" t="str">
        <f>VLOOKUP(H177,'RM Used'!A:E,5,0)</f>
        <v>Count</v>
      </c>
      <c r="P177" s="11">
        <f>VLOOKUP(H177,'RM Used'!A:F,6,0)</f>
        <v>0.28000000000000003</v>
      </c>
      <c r="Q177" s="11">
        <f t="shared" si="52"/>
        <v>0.28000000000000003</v>
      </c>
      <c r="R177" s="11">
        <f>IFERROR(IF(B177="Reynolds",VLOOKUP(H177,'Yield &amp; Time'!A:U,21,0),VLOOKUP(H177,'Yield &amp; Time'!A:L,12,0)),0)</f>
        <v>0</v>
      </c>
      <c r="S177" s="11">
        <f t="shared" si="44"/>
        <v>0</v>
      </c>
      <c r="T177" s="11">
        <f t="shared" si="45"/>
        <v>0</v>
      </c>
      <c r="U177" s="11">
        <f>IF(A176=A177,0,VLOOKUP(A177,'Packing Time'!A:F,6,0))</f>
        <v>0</v>
      </c>
      <c r="V177" s="11">
        <f t="shared" si="53"/>
        <v>0</v>
      </c>
      <c r="W177" s="11">
        <f t="shared" si="54"/>
        <v>0</v>
      </c>
      <c r="X177" s="11">
        <f t="shared" si="46"/>
        <v>0</v>
      </c>
      <c r="Y177" s="11">
        <f t="shared" si="55"/>
        <v>0</v>
      </c>
      <c r="Z177" s="37">
        <v>1</v>
      </c>
      <c r="AA177" s="36">
        <f t="shared" si="47"/>
        <v>1</v>
      </c>
      <c r="AB177" s="36">
        <f t="shared" si="48"/>
        <v>0.28000000000000003</v>
      </c>
      <c r="AC177" s="11">
        <f t="shared" si="49"/>
        <v>0</v>
      </c>
      <c r="AD177" s="36">
        <f t="shared" si="56"/>
        <v>0</v>
      </c>
      <c r="AE177" s="36"/>
      <c r="AF177" s="36">
        <f>IFERROR(VLOOKUP(AE177,'Chemical Cost'!A:D,4,0),0)</f>
        <v>0</v>
      </c>
      <c r="AG177" s="114">
        <f t="shared" si="50"/>
        <v>0</v>
      </c>
      <c r="AH177" s="36">
        <f t="shared" si="57"/>
        <v>0</v>
      </c>
      <c r="AI177" s="36">
        <f t="shared" si="58"/>
        <v>0.28000000000000003</v>
      </c>
      <c r="AJ177" s="36">
        <f>IFERROR(VLOOKUP(A177,'All Products'!A:F,6,0),0)</f>
        <v>3.87</v>
      </c>
      <c r="AK177" s="36"/>
      <c r="AL177" s="23">
        <v>0.8</v>
      </c>
      <c r="AM177" s="23">
        <v>0.2</v>
      </c>
      <c r="AN177" s="54" t="e">
        <v>#N/A</v>
      </c>
      <c r="AO177" s="47"/>
      <c r="AP177" s="4">
        <v>1.1000000000000001</v>
      </c>
      <c r="AQ177" s="111">
        <f t="shared" si="51"/>
        <v>0</v>
      </c>
      <c r="AR177">
        <f>_xlfn.XLOOKUP(F177,'RM Cost'!A:A,'RM Cost'!S:S)</f>
        <v>0</v>
      </c>
      <c r="AS177" t="str">
        <f>_xlfn.XLOOKUP(A177,[3]Sheet1!$B:$B,[3]Sheet1!$B:$B)</f>
        <v>1185CS</v>
      </c>
      <c r="AT177" t="e">
        <f>_xlfn.XLOOKUP(H177,'Yield &amp; Time'!A:A,'Yield &amp; Time'!F:F)</f>
        <v>#N/A</v>
      </c>
    </row>
    <row r="178" spans="1:46" x14ac:dyDescent="0.25">
      <c r="A178" s="1" t="s">
        <v>277</v>
      </c>
      <c r="B178" s="2" t="s">
        <v>552</v>
      </c>
      <c r="C178" s="2" t="s">
        <v>565</v>
      </c>
      <c r="D178" s="2" t="s">
        <v>554</v>
      </c>
      <c r="E178" s="2">
        <v>2.5</v>
      </c>
      <c r="F178" s="1" t="str">
        <f>VLOOKUP(H178,'RM Used'!A:B,2,0)</f>
        <v>283ACS</v>
      </c>
      <c r="G178" s="1" t="str">
        <f>IFERROR(VLOOKUP(F178,'RM Cost'!A:B,2,0),"")</f>
        <v>RM - BUTTERNUT SQUASH BIN X 625KG</v>
      </c>
      <c r="H178" s="2" t="s">
        <v>1438</v>
      </c>
      <c r="I178" s="1" t="str">
        <f>VLOOKUP(F178,'RM Used'!B:D,3,0)</f>
        <v>RM-FOOD</v>
      </c>
      <c r="J178" s="66">
        <v>1</v>
      </c>
      <c r="K178" s="35">
        <f t="shared" si="42"/>
        <v>2.5</v>
      </c>
      <c r="L178" s="35">
        <f t="shared" si="43"/>
        <v>2.5</v>
      </c>
      <c r="M178" s="77" cm="1">
        <f t="array" ref="M178">_xlfn.IFS(BOM!I178="RM-PACKING","100%",B178="Reynolds",VLOOKUP(H178,'Yield &amp; Time'!A:V,22,0),BOM!B178="Dnata",VLOOKUP(BOM!H178,'Yield &amp; Time'!A:M,13,0),B178="NK",VLOOKUP(H178,'Yield &amp; Time'!A:X,24,0))</f>
        <v>0.72</v>
      </c>
      <c r="N178" s="35">
        <f t="shared" si="60"/>
        <v>3.4722222222222223</v>
      </c>
      <c r="O178" s="1" t="str">
        <f>VLOOKUP(H178,'RM Used'!A:E,5,0)</f>
        <v>KG</v>
      </c>
      <c r="P178" s="11">
        <f>VLOOKUP(H178,'RM Used'!A:F,6,0)</f>
        <v>0.65</v>
      </c>
      <c r="Q178" s="11">
        <f t="shared" si="52"/>
        <v>2.2569444444444446</v>
      </c>
      <c r="R178" s="11">
        <f>IFERROR(IF(B178="Reynolds",VLOOKUP(H178,'Yield &amp; Time'!A:U,21,0),VLOOKUP(H178,'Yield &amp; Time'!A:L,12,0)),0)</f>
        <v>2.92</v>
      </c>
      <c r="S178" s="11">
        <f t="shared" si="44"/>
        <v>2.4710499999999995</v>
      </c>
      <c r="T178" s="11">
        <f t="shared" si="45"/>
        <v>0.12166666666666666</v>
      </c>
      <c r="U178" s="11">
        <f>IF(A177=A178,0,VLOOKUP(A178,'Packing Time'!A:F,6,0))</f>
        <v>0.875</v>
      </c>
      <c r="V178" s="11">
        <f t="shared" si="53"/>
        <v>0.29618749999999999</v>
      </c>
      <c r="W178" s="11">
        <f t="shared" si="54"/>
        <v>1.4583333333333334E-2</v>
      </c>
      <c r="X178" s="11">
        <f t="shared" si="46"/>
        <v>3.0439612500000002</v>
      </c>
      <c r="Y178" s="11">
        <f t="shared" si="55"/>
        <v>3.0439612500000002</v>
      </c>
      <c r="Z178" s="37">
        <v>1</v>
      </c>
      <c r="AA178" s="36">
        <f t="shared" si="47"/>
        <v>3.4722222222222223</v>
      </c>
      <c r="AB178" s="36">
        <f t="shared" si="48"/>
        <v>2.2569444444444446</v>
      </c>
      <c r="AC178" s="11">
        <f t="shared" si="49"/>
        <v>0.14987500000000004</v>
      </c>
      <c r="AD178" s="36">
        <f t="shared" si="56"/>
        <v>3.0439612500000002</v>
      </c>
      <c r="AE178" s="36"/>
      <c r="AF178" s="36">
        <f>IFERROR(VLOOKUP(AE178,'Chemical Cost'!A:D,4,0),0)</f>
        <v>0</v>
      </c>
      <c r="AG178" s="114">
        <f t="shared" si="50"/>
        <v>0</v>
      </c>
      <c r="AH178" s="36">
        <f t="shared" si="57"/>
        <v>0</v>
      </c>
      <c r="AI178" s="36">
        <f t="shared" si="58"/>
        <v>5.3009056944444453</v>
      </c>
      <c r="AJ178" s="36">
        <f>IFERROR(VLOOKUP(A178,'All Products'!A:F,6,0),0)</f>
        <v>7.83</v>
      </c>
      <c r="AK178" s="36">
        <f>AJ178*Z178*J178</f>
        <v>7.83</v>
      </c>
      <c r="AL178" s="23">
        <v>1</v>
      </c>
      <c r="AM178" s="23"/>
      <c r="AN178" s="54" t="e">
        <v>#N/A</v>
      </c>
      <c r="AO178" s="47"/>
      <c r="AP178" s="4">
        <v>1.1000000000000001</v>
      </c>
      <c r="AQ178" s="111">
        <f t="shared" si="51"/>
        <v>0.14987500000000004</v>
      </c>
      <c r="AR178">
        <f>_xlfn.XLOOKUP(F178,'RM Cost'!A:A,'RM Cost'!S:S)</f>
        <v>0</v>
      </c>
      <c r="AS178" t="str">
        <f>_xlfn.XLOOKUP(A178,[3]Sheet1!$B:$B,[3]Sheet1!$B:$B)</f>
        <v>1536CS</v>
      </c>
      <c r="AT178">
        <f>_xlfn.XLOOKUP(H178,'Yield &amp; Time'!A:A,'Yield &amp; Time'!F:F)</f>
        <v>0</v>
      </c>
    </row>
    <row r="179" spans="1:46" x14ac:dyDescent="0.25">
      <c r="A179" s="1" t="s">
        <v>277</v>
      </c>
      <c r="B179" s="2" t="s">
        <v>552</v>
      </c>
      <c r="C179" s="2" t="s">
        <v>565</v>
      </c>
      <c r="D179" s="2" t="s">
        <v>554</v>
      </c>
      <c r="E179" s="2">
        <v>2.5</v>
      </c>
      <c r="F179" s="1" t="str">
        <f>VLOOKUP(H179,'RM Used'!A:B,2,0)</f>
        <v>P0020</v>
      </c>
      <c r="G179" s="1" t="str">
        <f>IFERROR(VLOOKUP(F179,'RM Cost'!A:B,2,0),"")</f>
        <v>PALE BLUE BAG 430X430MM</v>
      </c>
      <c r="H179" s="2" t="s">
        <v>1659</v>
      </c>
      <c r="I179" s="1" t="str">
        <f>VLOOKUP(F179,'RM Used'!B:D,3,0)</f>
        <v>RM-PACKING</v>
      </c>
      <c r="J179" s="66">
        <v>1</v>
      </c>
      <c r="K179" s="35" t="str">
        <f t="shared" si="42"/>
        <v/>
      </c>
      <c r="L179" s="35">
        <f t="shared" si="43"/>
        <v>0</v>
      </c>
      <c r="M179" s="77" t="str" cm="1">
        <f t="array" ref="M179">_xlfn.IFS(BOM!I179="RM-PACKING","100%",B179="Reynolds",VLOOKUP(H179,'Yield &amp; Time'!A:V,22,0),BOM!B179="Dnata",VLOOKUP(BOM!H179,'Yield &amp; Time'!A:M,13,0),B179="NK",VLOOKUP(H179,'Yield &amp; Time'!A:X,24,0))</f>
        <v>100%</v>
      </c>
      <c r="N179" s="35">
        <f t="shared" si="60"/>
        <v>1</v>
      </c>
      <c r="O179" s="1" t="str">
        <f>VLOOKUP(H179,'RM Used'!A:E,5,0)</f>
        <v>Count</v>
      </c>
      <c r="P179" s="11">
        <f>VLOOKUP(H179,'RM Used'!A:F,6,0)</f>
        <v>0.09</v>
      </c>
      <c r="Q179" s="11">
        <f t="shared" si="52"/>
        <v>0.09</v>
      </c>
      <c r="R179" s="11">
        <f>IFERROR(IF(B179="Reynolds",VLOOKUP(H179,'Yield &amp; Time'!A:U,21,0),VLOOKUP(H179,'Yield &amp; Time'!A:L,12,0)),0)</f>
        <v>0</v>
      </c>
      <c r="S179" s="11">
        <f t="shared" si="44"/>
        <v>0</v>
      </c>
      <c r="T179" s="11">
        <f t="shared" si="45"/>
        <v>0</v>
      </c>
      <c r="U179" s="11">
        <f>IF(A178=A179,0,VLOOKUP(A179,'Packing Time'!A:F,6,0))</f>
        <v>0</v>
      </c>
      <c r="V179" s="11">
        <f t="shared" si="53"/>
        <v>0</v>
      </c>
      <c r="W179" s="11">
        <f t="shared" si="54"/>
        <v>0</v>
      </c>
      <c r="X179" s="11">
        <f t="shared" si="46"/>
        <v>0</v>
      </c>
      <c r="Y179" s="11">
        <f t="shared" si="55"/>
        <v>0</v>
      </c>
      <c r="Z179" s="37">
        <v>1</v>
      </c>
      <c r="AA179" s="36">
        <f t="shared" si="47"/>
        <v>1</v>
      </c>
      <c r="AB179" s="36">
        <f t="shared" si="48"/>
        <v>0.09</v>
      </c>
      <c r="AC179" s="11">
        <f t="shared" si="49"/>
        <v>0</v>
      </c>
      <c r="AD179" s="36">
        <f t="shared" si="56"/>
        <v>0</v>
      </c>
      <c r="AE179" s="36"/>
      <c r="AF179" s="36">
        <f>IFERROR(VLOOKUP(AE179,'Chemical Cost'!A:D,4,0),0)</f>
        <v>0</v>
      </c>
      <c r="AG179" s="114">
        <f t="shared" si="50"/>
        <v>0</v>
      </c>
      <c r="AH179" s="36">
        <f t="shared" si="57"/>
        <v>0</v>
      </c>
      <c r="AI179" s="36">
        <f t="shared" si="58"/>
        <v>0.09</v>
      </c>
      <c r="AJ179" s="36">
        <f>IFERROR(VLOOKUP(A179,'All Products'!A:F,6,0),0)</f>
        <v>7.83</v>
      </c>
      <c r="AK179" s="36"/>
      <c r="AL179" s="23">
        <v>1</v>
      </c>
      <c r="AM179" s="23"/>
      <c r="AN179" s="54" t="e">
        <v>#N/A</v>
      </c>
      <c r="AO179" s="47"/>
      <c r="AP179" s="4">
        <v>1.1000000000000001</v>
      </c>
      <c r="AQ179" s="111">
        <f t="shared" si="51"/>
        <v>0</v>
      </c>
      <c r="AR179">
        <f>_xlfn.XLOOKUP(F179,'RM Cost'!A:A,'RM Cost'!S:S)</f>
        <v>0</v>
      </c>
      <c r="AS179" t="str">
        <f>_xlfn.XLOOKUP(A179,[3]Sheet1!$B:$B,[3]Sheet1!$B:$B)</f>
        <v>1536CS</v>
      </c>
      <c r="AT179" t="e">
        <f>_xlfn.XLOOKUP(H179,'Yield &amp; Time'!A:A,'Yield &amp; Time'!F:F)</f>
        <v>#N/A</v>
      </c>
    </row>
    <row r="180" spans="1:46" x14ac:dyDescent="0.25">
      <c r="A180" s="1" t="s">
        <v>277</v>
      </c>
      <c r="B180" s="2" t="s">
        <v>552</v>
      </c>
      <c r="C180" s="2" t="s">
        <v>565</v>
      </c>
      <c r="D180" s="2" t="s">
        <v>554</v>
      </c>
      <c r="E180" s="2">
        <v>2.5</v>
      </c>
      <c r="F180" s="1" t="str">
        <f>VLOOKUP(H180,'RM Used'!A:B,2,0)</f>
        <v>P0016</v>
      </c>
      <c r="G180" s="1" t="str">
        <f>IFERROR(VLOOKUP(F180,'RM Cost'!A:B,2,0),"")</f>
        <v>REY 40 30 BOX</v>
      </c>
      <c r="H180" s="2" t="s">
        <v>1332</v>
      </c>
      <c r="I180" s="1" t="str">
        <f>VLOOKUP(F180,'RM Used'!B:D,3,0)</f>
        <v>RM-PACKING</v>
      </c>
      <c r="J180" s="66">
        <v>1</v>
      </c>
      <c r="K180" s="35" t="str">
        <f t="shared" si="42"/>
        <v/>
      </c>
      <c r="L180" s="35">
        <f t="shared" si="43"/>
        <v>0</v>
      </c>
      <c r="M180" s="77" t="str" cm="1">
        <f t="array" ref="M180">_xlfn.IFS(BOM!I180="RM-PACKING","100%",B180="Reynolds",VLOOKUP(H180,'Yield &amp; Time'!A:V,22,0),BOM!B180="Dnata",VLOOKUP(BOM!H180,'Yield &amp; Time'!A:M,13,0),B180="NK",VLOOKUP(H180,'Yield &amp; Time'!A:X,24,0))</f>
        <v>100%</v>
      </c>
      <c r="N180" s="35">
        <f t="shared" si="60"/>
        <v>1</v>
      </c>
      <c r="O180" s="1" t="str">
        <f>VLOOKUP(H180,'RM Used'!A:E,5,0)</f>
        <v>Count</v>
      </c>
      <c r="P180" s="11">
        <f>VLOOKUP(H180,'RM Used'!A:F,6,0)</f>
        <v>0.28000000000000003</v>
      </c>
      <c r="Q180" s="11">
        <f t="shared" si="52"/>
        <v>0.28000000000000003</v>
      </c>
      <c r="R180" s="11">
        <f>IFERROR(IF(B180="Reynolds",VLOOKUP(H180,'Yield &amp; Time'!A:U,21,0),VLOOKUP(H180,'Yield &amp; Time'!A:L,12,0)),0)</f>
        <v>0</v>
      </c>
      <c r="S180" s="11">
        <f t="shared" si="44"/>
        <v>0</v>
      </c>
      <c r="T180" s="11">
        <f t="shared" si="45"/>
        <v>0</v>
      </c>
      <c r="U180" s="11">
        <f>IF(A179=A180,0,VLOOKUP(A180,'Packing Time'!A:F,6,0))</f>
        <v>0</v>
      </c>
      <c r="V180" s="11">
        <f t="shared" si="53"/>
        <v>0</v>
      </c>
      <c r="W180" s="11">
        <f t="shared" si="54"/>
        <v>0</v>
      </c>
      <c r="X180" s="11">
        <f t="shared" si="46"/>
        <v>0</v>
      </c>
      <c r="Y180" s="11">
        <f t="shared" si="55"/>
        <v>0</v>
      </c>
      <c r="Z180" s="37">
        <v>1</v>
      </c>
      <c r="AA180" s="36">
        <f t="shared" si="47"/>
        <v>1</v>
      </c>
      <c r="AB180" s="36">
        <f t="shared" si="48"/>
        <v>0.28000000000000003</v>
      </c>
      <c r="AC180" s="11">
        <f t="shared" si="49"/>
        <v>0</v>
      </c>
      <c r="AD180" s="36">
        <f t="shared" si="56"/>
        <v>0</v>
      </c>
      <c r="AE180" s="36"/>
      <c r="AF180" s="36">
        <f>IFERROR(VLOOKUP(AE180,'Chemical Cost'!A:D,4,0),0)</f>
        <v>0</v>
      </c>
      <c r="AG180" s="114">
        <f t="shared" si="50"/>
        <v>0</v>
      </c>
      <c r="AH180" s="36">
        <f t="shared" si="57"/>
        <v>0</v>
      </c>
      <c r="AI180" s="36">
        <f t="shared" si="58"/>
        <v>0.28000000000000003</v>
      </c>
      <c r="AJ180" s="36">
        <f>IFERROR(VLOOKUP(A180,'All Products'!A:F,6,0),0)</f>
        <v>7.83</v>
      </c>
      <c r="AK180" s="36"/>
      <c r="AL180" s="23">
        <v>1</v>
      </c>
      <c r="AM180" s="23"/>
      <c r="AN180" s="54" t="e">
        <v>#N/A</v>
      </c>
      <c r="AO180" s="47"/>
      <c r="AP180" s="4">
        <v>1.1000000000000001</v>
      </c>
      <c r="AQ180" s="111">
        <f t="shared" si="51"/>
        <v>0</v>
      </c>
      <c r="AR180">
        <f>_xlfn.XLOOKUP(F180,'RM Cost'!A:A,'RM Cost'!S:S)</f>
        <v>0</v>
      </c>
      <c r="AS180" t="str">
        <f>_xlfn.XLOOKUP(A180,[3]Sheet1!$B:$B,[3]Sheet1!$B:$B)</f>
        <v>1536CS</v>
      </c>
      <c r="AT180" t="e">
        <f>_xlfn.XLOOKUP(H180,'Yield &amp; Time'!A:A,'Yield &amp; Time'!F:F)</f>
        <v>#N/A</v>
      </c>
    </row>
    <row r="181" spans="1:46" x14ac:dyDescent="0.25">
      <c r="A181" s="1" t="s">
        <v>566</v>
      </c>
      <c r="B181" s="2" t="s">
        <v>552</v>
      </c>
      <c r="C181" s="2" t="s">
        <v>567</v>
      </c>
      <c r="D181" s="2" t="s">
        <v>554</v>
      </c>
      <c r="E181" s="2">
        <v>1</v>
      </c>
      <c r="F181" s="1" t="str">
        <f>VLOOKUP(H181,'RM Used'!A:B,2,0)</f>
        <v>0930CS</v>
      </c>
      <c r="G181" s="1" t="str">
        <f>IFERROR(VLOOKUP(F181,'RM Cost'!A:B,2,0),"")</f>
        <v>RM - COURGETTE STANDARD</v>
      </c>
      <c r="H181" s="2" t="s">
        <v>1439</v>
      </c>
      <c r="I181" s="1" t="str">
        <f>VLOOKUP(F181,'RM Used'!B:D,3,0)</f>
        <v>RM-FOOD</v>
      </c>
      <c r="J181" s="66">
        <v>1</v>
      </c>
      <c r="K181" s="35">
        <f t="shared" si="42"/>
        <v>1</v>
      </c>
      <c r="L181" s="35">
        <f t="shared" si="43"/>
        <v>1</v>
      </c>
      <c r="M181" s="77" cm="1">
        <f t="array" ref="M181">_xlfn.IFS(BOM!I181="RM-PACKING","100%",B181="Reynolds",VLOOKUP(H181,'Yield &amp; Time'!A:V,22,0),BOM!B181="Dnata",VLOOKUP(BOM!H181,'Yield &amp; Time'!A:M,13,0),B181="NK",VLOOKUP(H181,'Yield &amp; Time'!A:X,24,0))</f>
        <v>0</v>
      </c>
      <c r="N181" s="35">
        <f t="shared" si="60"/>
        <v>0</v>
      </c>
      <c r="O181" s="1" t="str">
        <f>VLOOKUP(H181,'RM Used'!A:E,5,0)</f>
        <v>KG</v>
      </c>
      <c r="P181" s="11">
        <f>VLOOKUP(H181,'RM Used'!A:F,6,0)</f>
        <v>1.1000000000000001</v>
      </c>
      <c r="Q181" s="11">
        <f t="shared" si="52"/>
        <v>0</v>
      </c>
      <c r="R181" s="11">
        <f>IFERROR(IF(B181="Reynolds",VLOOKUP(H181,'Yield &amp; Time'!A:U,21,0),VLOOKUP(H181,'Yield &amp; Time'!A:L,12,0)),0)</f>
        <v>0.1</v>
      </c>
      <c r="S181" s="11">
        <f t="shared" si="44"/>
        <v>3.3849999999999998E-2</v>
      </c>
      <c r="T181" s="11">
        <f t="shared" si="45"/>
        <v>1.6666666666666668E-3</v>
      </c>
      <c r="U181" s="11">
        <f>IF(A180=A181,0,VLOOKUP(A181,'Packing Time'!A:F,6,0))</f>
        <v>1.0499999999999998</v>
      </c>
      <c r="V181" s="11">
        <f t="shared" si="53"/>
        <v>0.35542499999999988</v>
      </c>
      <c r="W181" s="11">
        <f t="shared" si="54"/>
        <v>1.7499999999999998E-2</v>
      </c>
      <c r="X181" s="11">
        <f t="shared" si="46"/>
        <v>0.62283999999999995</v>
      </c>
      <c r="Y181" s="11">
        <f t="shared" si="55"/>
        <v>0.62283999999999995</v>
      </c>
      <c r="Z181" s="37">
        <v>1</v>
      </c>
      <c r="AA181" s="36">
        <f t="shared" si="47"/>
        <v>0</v>
      </c>
      <c r="AB181" s="36">
        <f t="shared" si="48"/>
        <v>0</v>
      </c>
      <c r="AC181" s="11">
        <f t="shared" si="49"/>
        <v>3.0666666666666665E-2</v>
      </c>
      <c r="AD181" s="36">
        <f t="shared" si="56"/>
        <v>0.62283999999999984</v>
      </c>
      <c r="AE181" s="36" t="str">
        <f>VLOOKUP(H181,'Yield &amp; Time'!A:R,18,0)</f>
        <v>CHLORINE</v>
      </c>
      <c r="AF181" s="36">
        <f>IFERROR(VLOOKUP(AE181,'Chemical Cost'!A:D,4,0),0)</f>
        <v>2.7756518066439469E-2</v>
      </c>
      <c r="AG181" s="114">
        <f t="shared" si="50"/>
        <v>0</v>
      </c>
      <c r="AH181" s="36">
        <f t="shared" si="57"/>
        <v>0</v>
      </c>
      <c r="AI181" s="36">
        <f t="shared" si="58"/>
        <v>0.62283999999999995</v>
      </c>
      <c r="AJ181" s="36">
        <f>IFERROR(VLOOKUP(A181,'All Products'!A:F,6,0),0)</f>
        <v>4.9800000000000004</v>
      </c>
      <c r="AK181" s="36">
        <f>AJ181*Z181*J181</f>
        <v>4.9800000000000004</v>
      </c>
      <c r="AL181" s="23"/>
      <c r="AM181" s="23">
        <v>1</v>
      </c>
      <c r="AN181" s="54" t="e">
        <v>#N/A</v>
      </c>
      <c r="AO181" s="47"/>
      <c r="AP181" s="4">
        <v>1.6</v>
      </c>
      <c r="AQ181" s="111">
        <f t="shared" si="51"/>
        <v>3.0666666666666665E-2</v>
      </c>
      <c r="AR181">
        <f>_xlfn.XLOOKUP(F181,'RM Cost'!A:A,'RM Cost'!S:S)</f>
        <v>1.1644775886170367</v>
      </c>
      <c r="AS181" t="e">
        <f>_xlfn.XLOOKUP(A181,[3]Sheet1!$B:$B,[3]Sheet1!$B:$B)</f>
        <v>#N/A</v>
      </c>
    </row>
    <row r="182" spans="1:46" x14ac:dyDescent="0.25">
      <c r="A182" s="1" t="s">
        <v>566</v>
      </c>
      <c r="B182" s="2" t="s">
        <v>552</v>
      </c>
      <c r="C182" s="2" t="s">
        <v>567</v>
      </c>
      <c r="D182" s="2" t="s">
        <v>554</v>
      </c>
      <c r="E182" s="2">
        <v>1</v>
      </c>
      <c r="F182" s="1" t="str">
        <f>VLOOKUP(H182,'RM Used'!A:B,2,0)</f>
        <v>P0020</v>
      </c>
      <c r="G182" s="1" t="str">
        <f>IFERROR(VLOOKUP(F182,'RM Cost'!A:B,2,0),"")</f>
        <v>PALE BLUE BAG 430X430MM</v>
      </c>
      <c r="H182" s="2" t="s">
        <v>1659</v>
      </c>
      <c r="I182" s="1" t="str">
        <f>VLOOKUP(F182,'RM Used'!B:D,3,0)</f>
        <v>RM-PACKING</v>
      </c>
      <c r="J182" s="66">
        <v>1</v>
      </c>
      <c r="K182" s="35" t="str">
        <f t="shared" si="42"/>
        <v/>
      </c>
      <c r="L182" s="35">
        <f t="shared" si="43"/>
        <v>0</v>
      </c>
      <c r="M182" s="77" t="str" cm="1">
        <f t="array" ref="M182">_xlfn.IFS(BOM!I182="RM-PACKING","100%",B182="Reynolds",VLOOKUP(H182,'Yield &amp; Time'!A:V,22,0),BOM!B182="Dnata",VLOOKUP(BOM!H182,'Yield &amp; Time'!A:M,13,0),B182="NK",VLOOKUP(H182,'Yield &amp; Time'!A:X,24,0))</f>
        <v>100%</v>
      </c>
      <c r="N182" s="35">
        <v>2</v>
      </c>
      <c r="O182" s="1" t="str">
        <f>VLOOKUP(H182,'RM Used'!A:E,5,0)</f>
        <v>Count</v>
      </c>
      <c r="P182" s="11">
        <f>VLOOKUP(H182,'RM Used'!A:F,6,0)</f>
        <v>0.09</v>
      </c>
      <c r="Q182" s="11">
        <f t="shared" si="52"/>
        <v>0.18</v>
      </c>
      <c r="R182" s="11">
        <f>IFERROR(IF(B182="Reynolds",VLOOKUP(H182,'Yield &amp; Time'!A:U,21,0),VLOOKUP(H182,'Yield &amp; Time'!A:L,12,0)),0)</f>
        <v>0</v>
      </c>
      <c r="S182" s="11">
        <f t="shared" si="44"/>
        <v>0</v>
      </c>
      <c r="T182" s="11">
        <f t="shared" si="45"/>
        <v>0</v>
      </c>
      <c r="U182" s="11">
        <f>IF(A181=A182,0,VLOOKUP(A182,'Packing Time'!A:F,6,0))</f>
        <v>0</v>
      </c>
      <c r="V182" s="11">
        <f t="shared" si="53"/>
        <v>0</v>
      </c>
      <c r="W182" s="11">
        <f t="shared" si="54"/>
        <v>0</v>
      </c>
      <c r="X182" s="11">
        <f t="shared" si="46"/>
        <v>0</v>
      </c>
      <c r="Y182" s="11">
        <f t="shared" si="55"/>
        <v>0</v>
      </c>
      <c r="Z182" s="37">
        <v>1</v>
      </c>
      <c r="AA182" s="36">
        <f t="shared" si="47"/>
        <v>2</v>
      </c>
      <c r="AB182" s="36">
        <f t="shared" si="48"/>
        <v>0.18</v>
      </c>
      <c r="AC182" s="11">
        <f t="shared" si="49"/>
        <v>0</v>
      </c>
      <c r="AD182" s="36">
        <f t="shared" si="56"/>
        <v>0</v>
      </c>
      <c r="AE182" s="36"/>
      <c r="AF182" s="36">
        <f>IFERROR(VLOOKUP(AE182,'Chemical Cost'!A:D,4,0),0)</f>
        <v>0</v>
      </c>
      <c r="AG182" s="114">
        <f t="shared" si="50"/>
        <v>0</v>
      </c>
      <c r="AH182" s="36">
        <f t="shared" si="57"/>
        <v>0</v>
      </c>
      <c r="AI182" s="36">
        <f t="shared" si="58"/>
        <v>0.18</v>
      </c>
      <c r="AJ182" s="36">
        <f>IFERROR(VLOOKUP(A182,'All Products'!A:F,6,0),0)</f>
        <v>4.9800000000000004</v>
      </c>
      <c r="AK182" s="36"/>
      <c r="AL182" s="23"/>
      <c r="AM182" s="23">
        <v>1</v>
      </c>
      <c r="AN182" s="54" t="e">
        <v>#N/A</v>
      </c>
      <c r="AO182" s="47"/>
      <c r="AP182" s="4">
        <v>1.6</v>
      </c>
      <c r="AQ182" s="111">
        <f t="shared" si="51"/>
        <v>0</v>
      </c>
      <c r="AR182">
        <f>_xlfn.XLOOKUP(F182,'RM Cost'!A:A,'RM Cost'!S:S)</f>
        <v>0</v>
      </c>
      <c r="AS182" t="e">
        <f>_xlfn.XLOOKUP(A182,[3]Sheet1!$B:$B,[3]Sheet1!$B:$B)</f>
        <v>#N/A</v>
      </c>
    </row>
    <row r="183" spans="1:46" x14ac:dyDescent="0.25">
      <c r="A183" s="1" t="s">
        <v>566</v>
      </c>
      <c r="B183" s="2" t="s">
        <v>552</v>
      </c>
      <c r="C183" s="2" t="s">
        <v>567</v>
      </c>
      <c r="D183" s="2" t="s">
        <v>554</v>
      </c>
      <c r="E183" s="2">
        <v>1</v>
      </c>
      <c r="F183" s="1" t="str">
        <f>VLOOKUP(H183,'RM Used'!A:B,2,0)</f>
        <v>P0016</v>
      </c>
      <c r="G183" s="1" t="str">
        <f>IFERROR(VLOOKUP(F183,'RM Cost'!A:B,2,0),"")</f>
        <v>REY 40 30 BOX</v>
      </c>
      <c r="H183" s="2" t="s">
        <v>1332</v>
      </c>
      <c r="I183" s="1" t="str">
        <f>VLOOKUP(F183,'RM Used'!B:D,3,0)</f>
        <v>RM-PACKING</v>
      </c>
      <c r="J183" s="66">
        <v>1</v>
      </c>
      <c r="K183" s="35" t="str">
        <f t="shared" si="42"/>
        <v/>
      </c>
      <c r="L183" s="35">
        <f t="shared" si="43"/>
        <v>0</v>
      </c>
      <c r="M183" s="77" t="str" cm="1">
        <f t="array" ref="M183">_xlfn.IFS(BOM!I183="RM-PACKING","100%",B183="Reynolds",VLOOKUP(H183,'Yield &amp; Time'!A:V,22,0),BOM!B183="Dnata",VLOOKUP(BOM!H183,'Yield &amp; Time'!A:M,13,0),B183="NK",VLOOKUP(H183,'Yield &amp; Time'!A:X,24,0))</f>
        <v>100%</v>
      </c>
      <c r="N183" s="35">
        <f t="shared" ref="N183:N223" si="61">IFERROR(IF(I183="RM-FOOD",(E183*J183)/M183,1),0)</f>
        <v>1</v>
      </c>
      <c r="O183" s="1" t="str">
        <f>VLOOKUP(H183,'RM Used'!A:E,5,0)</f>
        <v>Count</v>
      </c>
      <c r="P183" s="11">
        <f>VLOOKUP(H183,'RM Used'!A:F,6,0)</f>
        <v>0.28000000000000003</v>
      </c>
      <c r="Q183" s="11">
        <f t="shared" si="52"/>
        <v>0.28000000000000003</v>
      </c>
      <c r="R183" s="11">
        <f>IFERROR(IF(B183="Reynolds",VLOOKUP(H183,'Yield &amp; Time'!A:U,21,0),VLOOKUP(H183,'Yield &amp; Time'!A:L,12,0)),0)</f>
        <v>0</v>
      </c>
      <c r="S183" s="11">
        <f t="shared" si="44"/>
        <v>0</v>
      </c>
      <c r="T183" s="11">
        <f t="shared" si="45"/>
        <v>0</v>
      </c>
      <c r="U183" s="11">
        <f>IF(A182=A183,0,VLOOKUP(A183,'Packing Time'!A:F,6,0))</f>
        <v>0</v>
      </c>
      <c r="V183" s="11">
        <f t="shared" si="53"/>
        <v>0</v>
      </c>
      <c r="W183" s="11">
        <f t="shared" si="54"/>
        <v>0</v>
      </c>
      <c r="X183" s="11">
        <f t="shared" si="46"/>
        <v>0</v>
      </c>
      <c r="Y183" s="11">
        <f t="shared" si="55"/>
        <v>0</v>
      </c>
      <c r="Z183" s="37">
        <v>1</v>
      </c>
      <c r="AA183" s="36">
        <f t="shared" si="47"/>
        <v>1</v>
      </c>
      <c r="AB183" s="36">
        <f t="shared" si="48"/>
        <v>0.28000000000000003</v>
      </c>
      <c r="AC183" s="11">
        <f t="shared" si="49"/>
        <v>0</v>
      </c>
      <c r="AD183" s="36">
        <f t="shared" si="56"/>
        <v>0</v>
      </c>
      <c r="AE183" s="36"/>
      <c r="AF183" s="36">
        <f>IFERROR(VLOOKUP(AE183,'Chemical Cost'!A:D,4,0),0)</f>
        <v>0</v>
      </c>
      <c r="AG183" s="114">
        <f t="shared" si="50"/>
        <v>0</v>
      </c>
      <c r="AH183" s="36">
        <f t="shared" si="57"/>
        <v>0</v>
      </c>
      <c r="AI183" s="36">
        <f t="shared" si="58"/>
        <v>0.28000000000000003</v>
      </c>
      <c r="AJ183" s="36">
        <f>IFERROR(VLOOKUP(A183,'All Products'!A:F,6,0),0)</f>
        <v>4.9800000000000004</v>
      </c>
      <c r="AK183" s="36"/>
      <c r="AL183" s="23"/>
      <c r="AM183" s="23">
        <v>1</v>
      </c>
      <c r="AN183" s="54" t="e">
        <v>#N/A</v>
      </c>
      <c r="AO183" s="47"/>
      <c r="AP183" s="4">
        <v>1.6</v>
      </c>
      <c r="AQ183" s="111">
        <f t="shared" si="51"/>
        <v>0</v>
      </c>
      <c r="AR183">
        <f>_xlfn.XLOOKUP(F183,'RM Cost'!A:A,'RM Cost'!S:S)</f>
        <v>0</v>
      </c>
      <c r="AS183" t="e">
        <f>_xlfn.XLOOKUP(A183,[3]Sheet1!$B:$B,[3]Sheet1!$B:$B)</f>
        <v>#N/A</v>
      </c>
    </row>
    <row r="184" spans="1:46" x14ac:dyDescent="0.25">
      <c r="A184" s="1" t="s">
        <v>99</v>
      </c>
      <c r="B184" s="2" t="s">
        <v>552</v>
      </c>
      <c r="C184" s="2" t="s">
        <v>569</v>
      </c>
      <c r="D184" s="2" t="s">
        <v>554</v>
      </c>
      <c r="E184" s="2">
        <v>2.5</v>
      </c>
      <c r="F184" s="1" t="str">
        <f>VLOOKUP(H184,'RM Used'!A:B,2,0)</f>
        <v>206ACS</v>
      </c>
      <c r="G184" s="1" t="str">
        <f>IFERROR(VLOOKUP(F184,'RM Cost'!A:B,2,0),"")</f>
        <v>RM - PREP ONION WHOLE 10KG</v>
      </c>
      <c r="H184" s="2" t="s">
        <v>1440</v>
      </c>
      <c r="I184" s="1" t="str">
        <f>VLOOKUP(F184,'RM Used'!B:D,3,0)</f>
        <v>RM-FOOD</v>
      </c>
      <c r="J184" s="66">
        <v>1</v>
      </c>
      <c r="K184" s="35">
        <f t="shared" si="42"/>
        <v>2.5</v>
      </c>
      <c r="L184" s="35">
        <f t="shared" si="43"/>
        <v>2.5</v>
      </c>
      <c r="M184" s="77" cm="1">
        <f t="array" ref="M184">_xlfn.IFS(BOM!I184="RM-PACKING","100%",B184="Reynolds",VLOOKUP(H184,'Yield &amp; Time'!A:V,22,0),BOM!B184="Dnata",VLOOKUP(BOM!H184,'Yield &amp; Time'!A:M,13,0),B184="NK",VLOOKUP(H184,'Yield &amp; Time'!A:X,24,0))</f>
        <v>0.89250682605603093</v>
      </c>
      <c r="N184" s="35">
        <f t="shared" si="61"/>
        <v>2.8010990246959206</v>
      </c>
      <c r="O184" s="1" t="str">
        <f>VLOOKUP(H184,'RM Used'!A:E,5,0)</f>
        <v>KG</v>
      </c>
      <c r="P184" s="11">
        <f>VLOOKUP(H184,'RM Used'!A:F,6,0)</f>
        <v>0.87</v>
      </c>
      <c r="Q184" s="11">
        <f t="shared" si="52"/>
        <v>2.4369561514854508</v>
      </c>
      <c r="R184" s="11">
        <f>IFERROR(IF(B184="Reynolds",VLOOKUP(H184,'Yield &amp; Time'!A:U,21,0),VLOOKUP(H184,'Yield &amp; Time'!A:L,12,0)),0)</f>
        <v>0.73</v>
      </c>
      <c r="S184" s="11">
        <f t="shared" si="44"/>
        <v>0.61776249999999988</v>
      </c>
      <c r="T184" s="11">
        <f t="shared" si="45"/>
        <v>3.0416666666666665E-2</v>
      </c>
      <c r="U184" s="11">
        <f>IF(A183=A184,0,VLOOKUP(A184,'Packing Time'!A:F,6,0))</f>
        <v>0.875</v>
      </c>
      <c r="V184" s="11">
        <f t="shared" si="53"/>
        <v>0.29618749999999999</v>
      </c>
      <c r="W184" s="11">
        <f t="shared" si="54"/>
        <v>1.4583333333333334E-2</v>
      </c>
      <c r="X184" s="11">
        <f t="shared" si="46"/>
        <v>1.0053449999999999</v>
      </c>
      <c r="Y184" s="11">
        <f t="shared" si="55"/>
        <v>1.0053449999999999</v>
      </c>
      <c r="Z184" s="37">
        <v>1</v>
      </c>
      <c r="AA184" s="36">
        <f t="shared" si="47"/>
        <v>2.8010990246959206</v>
      </c>
      <c r="AB184" s="36">
        <f t="shared" si="48"/>
        <v>2.4369561514854508</v>
      </c>
      <c r="AC184" s="11">
        <f t="shared" si="49"/>
        <v>4.9500000000000009E-2</v>
      </c>
      <c r="AD184" s="36">
        <f t="shared" si="56"/>
        <v>1.0053450000000002</v>
      </c>
      <c r="AE184" s="36" t="str">
        <f>VLOOKUP(H184,'Yield &amp; Time'!A:R,18,0)</f>
        <v>CHLORINE</v>
      </c>
      <c r="AF184" s="36">
        <f>IFERROR(VLOOKUP(AE184,'Chemical Cost'!A:D,4,0),0)</f>
        <v>2.7756518066439469E-2</v>
      </c>
      <c r="AG184" s="114">
        <f t="shared" si="50"/>
        <v>2.5916251894952766E-2</v>
      </c>
      <c r="AH184" s="36">
        <f t="shared" si="57"/>
        <v>2.5916251894952766E-2</v>
      </c>
      <c r="AI184" s="36">
        <f t="shared" si="58"/>
        <v>3.4682174033804034</v>
      </c>
      <c r="AJ184" s="36">
        <f>IFERROR(VLOOKUP(A184,'All Products'!A:F,6,0),0)</f>
        <v>5.94</v>
      </c>
      <c r="AK184" s="36">
        <f>AJ184*Z184*J184</f>
        <v>5.94</v>
      </c>
      <c r="AL184" s="23">
        <v>0.8</v>
      </c>
      <c r="AM184" s="23">
        <v>0.2</v>
      </c>
      <c r="AN184" s="54" t="e">
        <v>#N/A</v>
      </c>
      <c r="AO184" s="47"/>
      <c r="AP184" s="4">
        <v>1.1000000000000001</v>
      </c>
      <c r="AQ184" s="111">
        <f t="shared" si="51"/>
        <v>4.9500000000000009E-2</v>
      </c>
      <c r="AR184">
        <f>_xlfn.XLOOKUP(F184,'RM Cost'!A:A,'RM Cost'!S:S)</f>
        <v>0</v>
      </c>
      <c r="AS184" t="str">
        <f>_xlfn.XLOOKUP(A184,[3]Sheet1!$B:$B,[3]Sheet1!$B:$B)</f>
        <v>1303CS</v>
      </c>
      <c r="AT184" t="str">
        <f>_xlfn.XLOOKUP(H184,'Yield &amp; Time'!A:A,'Yield &amp; Time'!O:O)</f>
        <v>Yes</v>
      </c>
    </row>
    <row r="185" spans="1:46" x14ac:dyDescent="0.25">
      <c r="A185" s="1" t="s">
        <v>99</v>
      </c>
      <c r="B185" s="2" t="s">
        <v>552</v>
      </c>
      <c r="C185" s="2" t="s">
        <v>569</v>
      </c>
      <c r="D185" s="2" t="s">
        <v>554</v>
      </c>
      <c r="E185" s="2">
        <v>2.5</v>
      </c>
      <c r="F185" s="1" t="str">
        <f>VLOOKUP(H185,'RM Used'!A:B,2,0)</f>
        <v>P0020</v>
      </c>
      <c r="G185" s="1" t="str">
        <f>IFERROR(VLOOKUP(F185,'RM Cost'!A:B,2,0),"")</f>
        <v>PALE BLUE BAG 430X430MM</v>
      </c>
      <c r="H185" s="2" t="s">
        <v>1659</v>
      </c>
      <c r="I185" s="1" t="str">
        <f>VLOOKUP(F185,'RM Used'!B:D,3,0)</f>
        <v>RM-PACKING</v>
      </c>
      <c r="J185" s="66">
        <v>1</v>
      </c>
      <c r="K185" s="35" t="str">
        <f t="shared" si="42"/>
        <v/>
      </c>
      <c r="L185" s="35">
        <f t="shared" si="43"/>
        <v>0</v>
      </c>
      <c r="M185" s="77" t="str" cm="1">
        <f t="array" ref="M185">_xlfn.IFS(BOM!I185="RM-PACKING","100%",B185="Reynolds",VLOOKUP(H185,'Yield &amp; Time'!A:V,22,0),BOM!B185="Dnata",VLOOKUP(BOM!H185,'Yield &amp; Time'!A:M,13,0),B185="NK",VLOOKUP(H185,'Yield &amp; Time'!A:X,24,0))</f>
        <v>100%</v>
      </c>
      <c r="N185" s="35">
        <f t="shared" si="61"/>
        <v>1</v>
      </c>
      <c r="O185" s="1" t="str">
        <f>VLOOKUP(H185,'RM Used'!A:E,5,0)</f>
        <v>Count</v>
      </c>
      <c r="P185" s="11">
        <f>VLOOKUP(H185,'RM Used'!A:F,6,0)</f>
        <v>0.09</v>
      </c>
      <c r="Q185" s="11">
        <f t="shared" si="52"/>
        <v>0.09</v>
      </c>
      <c r="R185" s="11">
        <f>IFERROR(IF(B185="Reynolds",VLOOKUP(H185,'Yield &amp; Time'!A:U,21,0),VLOOKUP(H185,'Yield &amp; Time'!A:L,12,0)),0)</f>
        <v>0</v>
      </c>
      <c r="S185" s="11">
        <f t="shared" si="44"/>
        <v>0</v>
      </c>
      <c r="T185" s="11">
        <f t="shared" si="45"/>
        <v>0</v>
      </c>
      <c r="U185" s="11">
        <f>IF(A184=A185,0,VLOOKUP(A185,'Packing Time'!A:F,6,0))</f>
        <v>0</v>
      </c>
      <c r="V185" s="11">
        <f t="shared" si="53"/>
        <v>0</v>
      </c>
      <c r="W185" s="11">
        <f t="shared" si="54"/>
        <v>0</v>
      </c>
      <c r="X185" s="11">
        <f t="shared" si="46"/>
        <v>0</v>
      </c>
      <c r="Y185" s="11">
        <f t="shared" si="55"/>
        <v>0</v>
      </c>
      <c r="Z185" s="37">
        <v>1</v>
      </c>
      <c r="AA185" s="36">
        <f t="shared" si="47"/>
        <v>1</v>
      </c>
      <c r="AB185" s="36">
        <f t="shared" si="48"/>
        <v>0.09</v>
      </c>
      <c r="AC185" s="11">
        <f t="shared" si="49"/>
        <v>0</v>
      </c>
      <c r="AD185" s="36">
        <f t="shared" si="56"/>
        <v>0</v>
      </c>
      <c r="AE185" s="36"/>
      <c r="AF185" s="36">
        <f>IFERROR(VLOOKUP(AE185,'Chemical Cost'!A:D,4,0),0)</f>
        <v>0</v>
      </c>
      <c r="AG185" s="114">
        <f t="shared" si="50"/>
        <v>0</v>
      </c>
      <c r="AH185" s="36">
        <f t="shared" si="57"/>
        <v>0</v>
      </c>
      <c r="AI185" s="36">
        <f t="shared" si="58"/>
        <v>0.09</v>
      </c>
      <c r="AJ185" s="36">
        <f>IFERROR(VLOOKUP(A185,'All Products'!A:F,6,0),0)</f>
        <v>5.94</v>
      </c>
      <c r="AK185" s="36"/>
      <c r="AL185" s="23">
        <v>0.8</v>
      </c>
      <c r="AM185" s="23">
        <v>0.2</v>
      </c>
      <c r="AN185" s="54" t="e">
        <v>#N/A</v>
      </c>
      <c r="AO185" s="47"/>
      <c r="AP185" s="4">
        <v>1.1000000000000001</v>
      </c>
      <c r="AQ185" s="111">
        <f t="shared" si="51"/>
        <v>0</v>
      </c>
      <c r="AR185">
        <f>_xlfn.XLOOKUP(F185,'RM Cost'!A:A,'RM Cost'!S:S)</f>
        <v>0</v>
      </c>
      <c r="AS185" t="str">
        <f>_xlfn.XLOOKUP(A185,[3]Sheet1!$B:$B,[3]Sheet1!$B:$B)</f>
        <v>1303CS</v>
      </c>
      <c r="AT185" t="e">
        <f>_xlfn.XLOOKUP(H185,'Yield &amp; Time'!A:A,'Yield &amp; Time'!F:F)</f>
        <v>#N/A</v>
      </c>
    </row>
    <row r="186" spans="1:46" x14ac:dyDescent="0.25">
      <c r="A186" s="1" t="s">
        <v>99</v>
      </c>
      <c r="B186" s="2" t="s">
        <v>552</v>
      </c>
      <c r="C186" s="2" t="s">
        <v>569</v>
      </c>
      <c r="D186" s="2" t="s">
        <v>554</v>
      </c>
      <c r="E186" s="2">
        <v>2.5</v>
      </c>
      <c r="F186" s="1" t="str">
        <f>VLOOKUP(H186,'RM Used'!A:B,2,0)</f>
        <v>P0016</v>
      </c>
      <c r="G186" s="1" t="str">
        <f>IFERROR(VLOOKUP(F186,'RM Cost'!A:B,2,0),"")</f>
        <v>REY 40 30 BOX</v>
      </c>
      <c r="H186" s="2" t="s">
        <v>1332</v>
      </c>
      <c r="I186" s="1" t="str">
        <f>VLOOKUP(F186,'RM Used'!B:D,3,0)</f>
        <v>RM-PACKING</v>
      </c>
      <c r="J186" s="66">
        <v>1</v>
      </c>
      <c r="K186" s="35" t="str">
        <f t="shared" si="42"/>
        <v/>
      </c>
      <c r="L186" s="35">
        <f t="shared" si="43"/>
        <v>0</v>
      </c>
      <c r="M186" s="77" t="str" cm="1">
        <f t="array" ref="M186">_xlfn.IFS(BOM!I186="RM-PACKING","100%",B186="Reynolds",VLOOKUP(H186,'Yield &amp; Time'!A:V,22,0),BOM!B186="Dnata",VLOOKUP(BOM!H186,'Yield &amp; Time'!A:M,13,0),B186="NK",VLOOKUP(H186,'Yield &amp; Time'!A:X,24,0))</f>
        <v>100%</v>
      </c>
      <c r="N186" s="35">
        <f t="shared" si="61"/>
        <v>1</v>
      </c>
      <c r="O186" s="1" t="str">
        <f>VLOOKUP(H186,'RM Used'!A:E,5,0)</f>
        <v>Count</v>
      </c>
      <c r="P186" s="11">
        <f>VLOOKUP(H186,'RM Used'!A:F,6,0)</f>
        <v>0.28000000000000003</v>
      </c>
      <c r="Q186" s="11">
        <f t="shared" si="52"/>
        <v>0.28000000000000003</v>
      </c>
      <c r="R186" s="11">
        <f>IFERROR(IF(B186="Reynolds",VLOOKUP(H186,'Yield &amp; Time'!A:U,21,0),VLOOKUP(H186,'Yield &amp; Time'!A:L,12,0)),0)</f>
        <v>0</v>
      </c>
      <c r="S186" s="11">
        <f t="shared" si="44"/>
        <v>0</v>
      </c>
      <c r="T186" s="11">
        <f t="shared" si="45"/>
        <v>0</v>
      </c>
      <c r="U186" s="11">
        <f>IF(A185=A186,0,VLOOKUP(A186,'Packing Time'!A:F,6,0))</f>
        <v>0</v>
      </c>
      <c r="V186" s="11">
        <f t="shared" si="53"/>
        <v>0</v>
      </c>
      <c r="W186" s="11">
        <f t="shared" si="54"/>
        <v>0</v>
      </c>
      <c r="X186" s="11">
        <f t="shared" si="46"/>
        <v>0</v>
      </c>
      <c r="Y186" s="11">
        <f t="shared" si="55"/>
        <v>0</v>
      </c>
      <c r="Z186" s="37">
        <v>1</v>
      </c>
      <c r="AA186" s="36">
        <f t="shared" si="47"/>
        <v>1</v>
      </c>
      <c r="AB186" s="36">
        <f t="shared" si="48"/>
        <v>0.28000000000000003</v>
      </c>
      <c r="AC186" s="11">
        <f t="shared" si="49"/>
        <v>0</v>
      </c>
      <c r="AD186" s="36">
        <f t="shared" si="56"/>
        <v>0</v>
      </c>
      <c r="AE186" s="36"/>
      <c r="AF186" s="36">
        <f>IFERROR(VLOOKUP(AE186,'Chemical Cost'!A:D,4,0),0)</f>
        <v>0</v>
      </c>
      <c r="AG186" s="114">
        <f t="shared" si="50"/>
        <v>0</v>
      </c>
      <c r="AH186" s="36">
        <f t="shared" si="57"/>
        <v>0</v>
      </c>
      <c r="AI186" s="36">
        <f t="shared" si="58"/>
        <v>0.28000000000000003</v>
      </c>
      <c r="AJ186" s="36">
        <f>IFERROR(VLOOKUP(A186,'All Products'!A:F,6,0),0)</f>
        <v>5.94</v>
      </c>
      <c r="AK186" s="36"/>
      <c r="AL186" s="23">
        <v>0.8</v>
      </c>
      <c r="AM186" s="23">
        <v>0.2</v>
      </c>
      <c r="AN186" s="54" t="e">
        <v>#N/A</v>
      </c>
      <c r="AO186" s="47"/>
      <c r="AP186" s="4">
        <v>1.1000000000000001</v>
      </c>
      <c r="AQ186" s="111">
        <f t="shared" si="51"/>
        <v>0</v>
      </c>
      <c r="AR186">
        <f>_xlfn.XLOOKUP(F186,'RM Cost'!A:A,'RM Cost'!S:S)</f>
        <v>0</v>
      </c>
      <c r="AS186" t="str">
        <f>_xlfn.XLOOKUP(A186,[3]Sheet1!$B:$B,[3]Sheet1!$B:$B)</f>
        <v>1303CS</v>
      </c>
      <c r="AT186" t="e">
        <f>_xlfn.XLOOKUP(H186,'Yield &amp; Time'!A:A,'Yield &amp; Time'!F:F)</f>
        <v>#N/A</v>
      </c>
    </row>
    <row r="187" spans="1:46" x14ac:dyDescent="0.25">
      <c r="A187" s="1" t="s">
        <v>112</v>
      </c>
      <c r="B187" s="2" t="s">
        <v>552</v>
      </c>
      <c r="C187" s="2" t="s">
        <v>113</v>
      </c>
      <c r="D187" s="2" t="s">
        <v>554</v>
      </c>
      <c r="E187" s="2">
        <v>2.7</v>
      </c>
      <c r="F187" s="1" t="str">
        <f>VLOOKUP(H187,'RM Used'!A:B,2,0)</f>
        <v>2627CS</v>
      </c>
      <c r="G187" s="1" t="str">
        <f>IFERROR(VLOOKUP(F187,'RM Cost'!A:B,2,0),"")</f>
        <v>RM - GRAPEFRUIT RUBY RED X40EA</v>
      </c>
      <c r="H187" s="2" t="s">
        <v>1441</v>
      </c>
      <c r="I187" s="1" t="str">
        <f>VLOOKUP(F187,'RM Used'!B:D,3,0)</f>
        <v>RM-FOOD</v>
      </c>
      <c r="J187" s="66">
        <v>0.7407407407407407</v>
      </c>
      <c r="K187" s="35">
        <f t="shared" si="42"/>
        <v>2</v>
      </c>
      <c r="L187" s="35">
        <f t="shared" si="43"/>
        <v>2</v>
      </c>
      <c r="M187" s="77" cm="1">
        <f t="array" ref="M187">_xlfn.IFS(BOM!I187="RM-PACKING","100%",B187="Reynolds",VLOOKUP(H187,'Yield &amp; Time'!A:V,22,0),BOM!B187="Dnata",VLOOKUP(BOM!H187,'Yield &amp; Time'!A:M,13,0),B187="NK",VLOOKUP(H187,'Yield &amp; Time'!A:X,24,0))</f>
        <v>0.43333333333333335</v>
      </c>
      <c r="N187" s="35">
        <f t="shared" si="61"/>
        <v>4.615384615384615</v>
      </c>
      <c r="O187" s="1" t="str">
        <f>VLOOKUP(H187,'RM Used'!A:E,5,0)</f>
        <v>KG</v>
      </c>
      <c r="P187" s="11">
        <f>VLOOKUP(H187,'RM Used'!A:F,6,0)</f>
        <v>1</v>
      </c>
      <c r="Q187" s="11">
        <f t="shared" si="52"/>
        <v>4.615384615384615</v>
      </c>
      <c r="R187" s="11">
        <f>IFERROR(IF(B187="Reynolds",VLOOKUP(H187,'Yield &amp; Time'!A:U,21,0),VLOOKUP(H187,'Yield &amp; Time'!A:L,12,0)),0)</f>
        <v>4.6716909216909217</v>
      </c>
      <c r="S187" s="11">
        <f t="shared" si="44"/>
        <v>3.1627347539847537</v>
      </c>
      <c r="T187" s="11">
        <f t="shared" si="45"/>
        <v>0.15572303072303073</v>
      </c>
      <c r="U187" s="11">
        <f>IF(A186=A187,0,VLOOKUP(A187,'Packing Time'!A:F,6,0))</f>
        <v>0.8</v>
      </c>
      <c r="V187" s="11">
        <f t="shared" si="53"/>
        <v>0.27079999999999999</v>
      </c>
      <c r="W187" s="11">
        <f t="shared" si="54"/>
        <v>1.3333333333333334E-2</v>
      </c>
      <c r="X187" s="11">
        <f t="shared" si="46"/>
        <v>3.7768882293832298</v>
      </c>
      <c r="Y187" s="11">
        <f t="shared" si="55"/>
        <v>3.7768882293832298</v>
      </c>
      <c r="Z187" s="37">
        <v>1</v>
      </c>
      <c r="AA187" s="36">
        <f t="shared" si="47"/>
        <v>4.615384615384615</v>
      </c>
      <c r="AB187" s="36">
        <f t="shared" si="48"/>
        <v>4.615384615384615</v>
      </c>
      <c r="AC187" s="11">
        <f t="shared" si="49"/>
        <v>0.18596200046200048</v>
      </c>
      <c r="AD187" s="36">
        <f t="shared" si="56"/>
        <v>3.7768882293832293</v>
      </c>
      <c r="AE187" s="36" t="str">
        <f>VLOOKUP(H187,'Yield &amp; Time'!A:R,18,0)</f>
        <v>CHLORINE</v>
      </c>
      <c r="AF187" s="36">
        <f>IFERROR(VLOOKUP(AE187,'Chemical Cost'!A:D,4,0),0)</f>
        <v>2.7756518066439469E-2</v>
      </c>
      <c r="AG187" s="114">
        <f t="shared" si="50"/>
        <v>4.2702335486829945E-2</v>
      </c>
      <c r="AH187" s="36">
        <f t="shared" si="57"/>
        <v>4.2702335486829945E-2</v>
      </c>
      <c r="AI187" s="36">
        <f t="shared" si="58"/>
        <v>8.4349751802546749</v>
      </c>
      <c r="AJ187" s="36">
        <f>IFERROR(VLOOKUP(A187,'All Products'!A:F,6,0),0)</f>
        <v>15</v>
      </c>
      <c r="AK187" s="36">
        <f>AJ187*Z187*J187</f>
        <v>11.111111111111111</v>
      </c>
      <c r="AL187" s="23"/>
      <c r="AM187" s="23">
        <v>1</v>
      </c>
      <c r="AN187" s="54" t="e">
        <v>#N/A</v>
      </c>
      <c r="AO187" s="47"/>
      <c r="AP187" s="4">
        <v>1.1000000000000001</v>
      </c>
      <c r="AQ187" s="111">
        <f t="shared" si="51"/>
        <v>0.18596200046200048</v>
      </c>
      <c r="AR187">
        <f>_xlfn.XLOOKUP(F187,'RM Cost'!A:A,'RM Cost'!S:S)</f>
        <v>0</v>
      </c>
      <c r="AS187" t="str">
        <f>_xlfn.XLOOKUP(A187,[3]Sheet1!$B:$B,[3]Sheet1!$B:$B)</f>
        <v>1855CS</v>
      </c>
      <c r="AT187" t="str">
        <f>_xlfn.XLOOKUP(H187,'Yield &amp; Time'!A:A,'Yield &amp; Time'!O:O)</f>
        <v>Yes</v>
      </c>
    </row>
    <row r="188" spans="1:46" x14ac:dyDescent="0.25">
      <c r="A188" s="1" t="s">
        <v>112</v>
      </c>
      <c r="B188" s="2" t="s">
        <v>552</v>
      </c>
      <c r="C188" s="2" t="s">
        <v>113</v>
      </c>
      <c r="D188" s="2" t="s">
        <v>554</v>
      </c>
      <c r="E188" s="2">
        <v>2.7</v>
      </c>
      <c r="F188" s="1" t="str">
        <f>VLOOKUP(H188,'RM Used'!A:B,2,0)</f>
        <v>8929CS</v>
      </c>
      <c r="G188" s="1" t="str">
        <f>IFERROR(VLOOKUP(F188,'RM Cost'!A:B,2,0),"")</f>
        <v>GRANULATED SUGAR 1 X 25K</v>
      </c>
      <c r="H188" s="2" t="s">
        <v>1757</v>
      </c>
      <c r="I188" s="1" t="str">
        <f>VLOOKUP(F188,'RM Used'!B:D,3,0)</f>
        <v>RM-FOOD</v>
      </c>
      <c r="J188" s="66">
        <v>0.25925925925925924</v>
      </c>
      <c r="K188" s="35">
        <f>IF(I188="RM-FOOD",J188*E188,"")</f>
        <v>0.7</v>
      </c>
      <c r="L188" s="35">
        <f t="shared" si="43"/>
        <v>0.7</v>
      </c>
      <c r="M188" s="77" cm="1">
        <f t="array" ref="M188">_xlfn.IFS(BOM!I188="RM-PACKING","100%",B188="Reynolds",VLOOKUP(H188,'Yield &amp; Time'!A:V,22,0),BOM!B188="Dnata",VLOOKUP(BOM!H188,'Yield &amp; Time'!A:M,13,0),B188="NK",VLOOKUP(H188,'Yield &amp; Time'!A:X,24,0))</f>
        <v>1</v>
      </c>
      <c r="N188" s="35">
        <f>IFERROR(IF(I188="RM-FOOD",(E188*J188)/M188,1),0)</f>
        <v>0.7</v>
      </c>
      <c r="O188" s="1" t="str">
        <f>VLOOKUP(H188,'RM Used'!A:E,5,0)</f>
        <v>KG</v>
      </c>
      <c r="P188" s="11">
        <f>VLOOKUP(H188,'RM Used'!A:F,6,0)</f>
        <v>6.3E-2</v>
      </c>
      <c r="Q188" s="11">
        <f t="shared" si="52"/>
        <v>4.41E-2</v>
      </c>
      <c r="R188" s="11">
        <f>IFERROR(IF(B188="Reynolds",VLOOKUP(H188,'Yield &amp; Time'!A:U,21,0),VLOOKUP(H188,'Yield &amp; Time'!A:L,12,0)),0)</f>
        <v>0.16666666666666666</v>
      </c>
      <c r="S188" s="11">
        <f t="shared" si="44"/>
        <v>3.9491666666666661E-2</v>
      </c>
      <c r="T188" s="11">
        <f t="shared" si="45"/>
        <v>1.9444444444444444E-3</v>
      </c>
      <c r="U188" s="11">
        <f>IF(A187=A188,0,VLOOKUP(A188,'Packing Time'!A:F,6,0))</f>
        <v>0</v>
      </c>
      <c r="V188" s="11">
        <f>U188*AO$1</f>
        <v>0</v>
      </c>
      <c r="W188" s="11">
        <f>(U188*Z188)/60</f>
        <v>0</v>
      </c>
      <c r="X188" s="11">
        <f t="shared" si="46"/>
        <v>4.3440833333333331E-2</v>
      </c>
      <c r="Y188" s="11">
        <f>X188*Z188</f>
        <v>4.3440833333333331E-2</v>
      </c>
      <c r="Z188" s="37">
        <v>1</v>
      </c>
      <c r="AA188" s="36">
        <f t="shared" si="47"/>
        <v>0.7</v>
      </c>
      <c r="AB188" s="36">
        <f t="shared" si="48"/>
        <v>4.41E-2</v>
      </c>
      <c r="AC188" s="11">
        <f t="shared" si="49"/>
        <v>2.138888888888889E-3</v>
      </c>
      <c r="AD188" s="36">
        <f>AC188*60*AO$1</f>
        <v>4.3440833333333324E-2</v>
      </c>
      <c r="AE188" s="36">
        <f>VLOOKUP(H188,'Yield &amp; Time'!A:R,18,0)</f>
        <v>0</v>
      </c>
      <c r="AF188" s="36">
        <f>IFERROR(VLOOKUP(AE188,'Chemical Cost'!A:D,4,0),0)</f>
        <v>0</v>
      </c>
      <c r="AG188" s="114">
        <f t="shared" si="50"/>
        <v>0</v>
      </c>
      <c r="AH188" s="36">
        <f t="shared" si="57"/>
        <v>0</v>
      </c>
      <c r="AI188" s="36">
        <f>IFERROR((Q188*Z188)+(Z188*X188)+AH188,0)</f>
        <v>8.7540833333333332E-2</v>
      </c>
      <c r="AJ188" s="36">
        <f>IFERROR(VLOOKUP(A188,'All Products'!A:F,6,0),0)</f>
        <v>15</v>
      </c>
      <c r="AK188" s="36">
        <f>AJ188*Z188*J188</f>
        <v>3.8888888888888888</v>
      </c>
      <c r="AL188" s="23"/>
      <c r="AM188" s="23">
        <v>1</v>
      </c>
      <c r="AN188" s="54" t="e">
        <v>#N/A</v>
      </c>
      <c r="AO188" s="47"/>
      <c r="AP188" s="4">
        <v>1.1000000000000001</v>
      </c>
      <c r="AQ188" s="111">
        <f t="shared" si="51"/>
        <v>2.138888888888889E-3</v>
      </c>
      <c r="AR188">
        <f>_xlfn.XLOOKUP(F188,'RM Cost'!A:A,'RM Cost'!S:S)</f>
        <v>0</v>
      </c>
      <c r="AS188" t="str">
        <f>_xlfn.XLOOKUP(A188,[3]Sheet1!$B:$B,[3]Sheet1!$B:$B)</f>
        <v>1855CS</v>
      </c>
      <c r="AT188">
        <f>_xlfn.XLOOKUP(H188,'Yield &amp; Time'!A:A,'Yield &amp; Time'!F:F)</f>
        <v>0</v>
      </c>
    </row>
    <row r="189" spans="1:46" x14ac:dyDescent="0.25">
      <c r="A189" s="1" t="s">
        <v>112</v>
      </c>
      <c r="B189" s="2" t="s">
        <v>552</v>
      </c>
      <c r="C189" s="2" t="s">
        <v>113</v>
      </c>
      <c r="D189" s="2" t="s">
        <v>554</v>
      </c>
      <c r="E189" s="2">
        <v>2.7</v>
      </c>
      <c r="F189" s="1" t="str">
        <f>VLOOKUP(H189,'RM Used'!A:B,2,0)</f>
        <v>P0010</v>
      </c>
      <c r="G189" s="1" t="str">
        <f>IFERROR(VLOOKUP(F189,'RM Cost'!A:B,2,0),"")</f>
        <v>BUCKET 3L PJET</v>
      </c>
      <c r="H189" s="2" t="s">
        <v>4672</v>
      </c>
      <c r="I189" s="1" t="str">
        <f>VLOOKUP(F189,'RM Used'!B:D,3,0)</f>
        <v>RM-PACKING</v>
      </c>
      <c r="J189" s="66">
        <v>1</v>
      </c>
      <c r="K189" s="35" t="str">
        <f t="shared" si="42"/>
        <v/>
      </c>
      <c r="L189" s="35">
        <f t="shared" si="43"/>
        <v>0</v>
      </c>
      <c r="M189" s="77" t="str" cm="1">
        <f t="array" ref="M189">_xlfn.IFS(BOM!I189="RM-PACKING","100%",B189="Reynolds",VLOOKUP(H189,'Yield &amp; Time'!A:V,22,0),BOM!B189="Dnata",VLOOKUP(BOM!H189,'Yield &amp; Time'!A:M,13,0),B189="NK",VLOOKUP(H189,'Yield &amp; Time'!A:X,24,0))</f>
        <v>100%</v>
      </c>
      <c r="N189" s="35">
        <f t="shared" si="61"/>
        <v>1</v>
      </c>
      <c r="O189" s="1" t="str">
        <f>VLOOKUP(H189,'RM Used'!A:E,5,0)</f>
        <v>Count</v>
      </c>
      <c r="P189" s="11">
        <f>VLOOKUP(H189,'RM Used'!A:F,6,0)</f>
        <v>0.56000000000000005</v>
      </c>
      <c r="Q189" s="11">
        <f t="shared" si="52"/>
        <v>0.56000000000000005</v>
      </c>
      <c r="R189" s="11">
        <f>IFERROR(IF(B189="Reynolds",VLOOKUP(H189,'Yield &amp; Time'!A:U,21,0),VLOOKUP(H189,'Yield &amp; Time'!A:L,12,0)),0)</f>
        <v>0</v>
      </c>
      <c r="S189" s="11">
        <f t="shared" si="44"/>
        <v>0</v>
      </c>
      <c r="T189" s="11">
        <f t="shared" si="45"/>
        <v>0</v>
      </c>
      <c r="U189" s="11">
        <f>IF(A188=A189,0,VLOOKUP(A189,'Packing Time'!A:F,6,0))</f>
        <v>0</v>
      </c>
      <c r="V189" s="11">
        <f t="shared" si="53"/>
        <v>0</v>
      </c>
      <c r="W189" s="11">
        <f t="shared" si="54"/>
        <v>0</v>
      </c>
      <c r="X189" s="11">
        <f t="shared" si="46"/>
        <v>0</v>
      </c>
      <c r="Y189" s="11">
        <f t="shared" si="55"/>
        <v>0</v>
      </c>
      <c r="Z189" s="37">
        <v>1</v>
      </c>
      <c r="AA189" s="36">
        <f t="shared" si="47"/>
        <v>1</v>
      </c>
      <c r="AB189" s="36">
        <f t="shared" si="48"/>
        <v>0.56000000000000005</v>
      </c>
      <c r="AC189" s="11">
        <f t="shared" si="49"/>
        <v>0</v>
      </c>
      <c r="AD189" s="36">
        <f t="shared" si="56"/>
        <v>0</v>
      </c>
      <c r="AE189" s="36"/>
      <c r="AF189" s="36">
        <f>IFERROR(VLOOKUP(AE189,'Chemical Cost'!A:D,4,0),0)</f>
        <v>0</v>
      </c>
      <c r="AG189" s="114">
        <f t="shared" si="50"/>
        <v>0</v>
      </c>
      <c r="AH189" s="36">
        <f t="shared" si="57"/>
        <v>0</v>
      </c>
      <c r="AI189" s="36">
        <f t="shared" si="58"/>
        <v>0.56000000000000005</v>
      </c>
      <c r="AJ189" s="36">
        <f>IFERROR(VLOOKUP(A189,'All Products'!A:F,6,0),0)</f>
        <v>15</v>
      </c>
      <c r="AK189" s="36"/>
      <c r="AL189" s="23"/>
      <c r="AM189" s="23">
        <v>1</v>
      </c>
      <c r="AN189" s="54" t="e">
        <v>#N/A</v>
      </c>
      <c r="AO189" s="47"/>
      <c r="AP189" s="4">
        <v>1.1000000000000001</v>
      </c>
      <c r="AQ189" s="111">
        <f t="shared" si="51"/>
        <v>0</v>
      </c>
      <c r="AR189">
        <f>_xlfn.XLOOKUP(F189,'RM Cost'!A:A,'RM Cost'!S:S)</f>
        <v>0</v>
      </c>
      <c r="AS189" t="str">
        <f>_xlfn.XLOOKUP(A189,[3]Sheet1!$B:$B,[3]Sheet1!$B:$B)</f>
        <v>1855CS</v>
      </c>
      <c r="AT189" t="e">
        <f>_xlfn.XLOOKUP(H189,'Yield &amp; Time'!A:A,'Yield &amp; Time'!F:F)</f>
        <v>#N/A</v>
      </c>
    </row>
    <row r="190" spans="1:46" x14ac:dyDescent="0.25">
      <c r="A190" s="1" t="s">
        <v>112</v>
      </c>
      <c r="B190" s="2" t="s">
        <v>552</v>
      </c>
      <c r="C190" s="2" t="s">
        <v>113</v>
      </c>
      <c r="D190" s="2" t="s">
        <v>554</v>
      </c>
      <c r="E190" s="2">
        <v>2.7</v>
      </c>
      <c r="F190" s="1" t="str">
        <f>VLOOKUP(H190,'RM Used'!A:B,2,0)</f>
        <v>P0026</v>
      </c>
      <c r="G190" s="1" t="str">
        <f>IFERROR(VLOOKUP(F190,'RM Cost'!A:B,2,0),"")</f>
        <v>LID 2.2L PJET 2.2L-3.8L</v>
      </c>
      <c r="H190" s="2" t="s">
        <v>4673</v>
      </c>
      <c r="I190" s="1" t="str">
        <f>VLOOKUP(F190,'RM Used'!B:D,3,0)</f>
        <v>RM-PACKING</v>
      </c>
      <c r="J190" s="66">
        <v>1</v>
      </c>
      <c r="K190" s="35" t="str">
        <f>IF(I190="RM-FOOD",J190*E190,"")</f>
        <v/>
      </c>
      <c r="L190" s="35">
        <f t="shared" si="43"/>
        <v>0</v>
      </c>
      <c r="M190" s="77" t="str" cm="1">
        <f t="array" ref="M190">_xlfn.IFS(BOM!I190="RM-PACKING","100%",B190="Reynolds",VLOOKUP(H190,'Yield &amp; Time'!A:V,22,0),BOM!B190="Dnata",VLOOKUP(BOM!H190,'Yield &amp; Time'!A:M,13,0),B190="NK",VLOOKUP(H190,'Yield &amp; Time'!A:X,24,0))</f>
        <v>100%</v>
      </c>
      <c r="N190" s="35">
        <f>IFERROR(IF(I190="RM-FOOD",(E190*J190)/M190,1),0)</f>
        <v>1</v>
      </c>
      <c r="O190" s="1" t="str">
        <f>VLOOKUP(H190,'RM Used'!A:E,5,0)</f>
        <v>Count</v>
      </c>
      <c r="P190" s="11">
        <f>VLOOKUP(H190,'RM Used'!A:F,6,0)</f>
        <v>0.16</v>
      </c>
      <c r="Q190" s="11">
        <f t="shared" si="52"/>
        <v>0.16</v>
      </c>
      <c r="R190" s="11">
        <f>IFERROR(IF(B190="Reynolds",VLOOKUP(H190,'Yield &amp; Time'!A:U,21,0),VLOOKUP(H190,'Yield &amp; Time'!A:L,12,0)),0)</f>
        <v>0</v>
      </c>
      <c r="S190" s="11">
        <f t="shared" si="44"/>
        <v>0</v>
      </c>
      <c r="T190" s="11">
        <f t="shared" si="45"/>
        <v>0</v>
      </c>
      <c r="U190" s="11">
        <f>IF(A189=A190,0,VLOOKUP(A190,'Packing Time'!A:F,6,0))</f>
        <v>0</v>
      </c>
      <c r="V190" s="11">
        <f>U190*AO$1</f>
        <v>0</v>
      </c>
      <c r="W190" s="11">
        <f>(U190*Z190)/60</f>
        <v>0</v>
      </c>
      <c r="X190" s="11">
        <f t="shared" si="46"/>
        <v>0</v>
      </c>
      <c r="Y190" s="11">
        <f>X190*Z190</f>
        <v>0</v>
      </c>
      <c r="Z190" s="37">
        <v>1</v>
      </c>
      <c r="AA190" s="36">
        <f t="shared" si="47"/>
        <v>1</v>
      </c>
      <c r="AB190" s="36">
        <f t="shared" si="48"/>
        <v>0.16</v>
      </c>
      <c r="AC190" s="11">
        <f t="shared" si="49"/>
        <v>0</v>
      </c>
      <c r="AD190" s="36">
        <f>AC190*60*AO$1</f>
        <v>0</v>
      </c>
      <c r="AE190" s="36"/>
      <c r="AF190" s="36">
        <f>IFERROR(VLOOKUP(AE190,'Chemical Cost'!A:D,4,0),0)</f>
        <v>0</v>
      </c>
      <c r="AG190" s="114">
        <f t="shared" si="50"/>
        <v>0</v>
      </c>
      <c r="AH190" s="36">
        <f>AF190*AA190/3</f>
        <v>0</v>
      </c>
      <c r="AI190" s="36">
        <f>IFERROR((Q190*Z190)+(Z190*X190)+AH190,0)</f>
        <v>0.16</v>
      </c>
      <c r="AJ190" s="36">
        <f>IFERROR(VLOOKUP(A190,'All Products'!A:F,6,0),0)</f>
        <v>15</v>
      </c>
      <c r="AK190" s="36"/>
      <c r="AL190" s="23"/>
      <c r="AM190" s="23">
        <v>1</v>
      </c>
      <c r="AN190" s="54" t="e">
        <v>#N/A</v>
      </c>
      <c r="AO190" s="47"/>
      <c r="AP190" s="4">
        <v>1.1000000000000001</v>
      </c>
      <c r="AQ190" s="111">
        <f t="shared" si="51"/>
        <v>0</v>
      </c>
      <c r="AR190">
        <f>_xlfn.XLOOKUP(F190,'RM Cost'!A:A,'RM Cost'!S:S)</f>
        <v>0</v>
      </c>
      <c r="AS190" t="str">
        <f>_xlfn.XLOOKUP(A190,[3]Sheet1!$B:$B,[3]Sheet1!$B:$B)</f>
        <v>1855CS</v>
      </c>
      <c r="AT190" t="e">
        <f>_xlfn.XLOOKUP(H190,'Yield &amp; Time'!A:A,'Yield &amp; Time'!F:F)</f>
        <v>#N/A</v>
      </c>
    </row>
    <row r="191" spans="1:46" x14ac:dyDescent="0.25">
      <c r="A191" s="1" t="s">
        <v>253</v>
      </c>
      <c r="B191" s="2" t="s">
        <v>552</v>
      </c>
      <c r="C191" s="2" t="s">
        <v>254</v>
      </c>
      <c r="D191" s="2" t="s">
        <v>554</v>
      </c>
      <c r="E191" s="2">
        <v>2</v>
      </c>
      <c r="F191" s="1" t="str">
        <f>VLOOKUP(H191,'RM Used'!A:B,2,0)</f>
        <v>2611CS</v>
      </c>
      <c r="G191" s="1" t="str">
        <f>IFERROR(VLOOKUP(F191,'RM Cost'!A:B,2,0),"")</f>
        <v>RM - LEMON x 120-138</v>
      </c>
      <c r="H191" s="2" t="s">
        <v>1442</v>
      </c>
      <c r="I191" s="1" t="str">
        <f>VLOOKUP(F191,'RM Used'!B:D,3,0)</f>
        <v>RM-FOOD</v>
      </c>
      <c r="J191" s="66">
        <v>1</v>
      </c>
      <c r="K191" s="35">
        <f t="shared" si="42"/>
        <v>2</v>
      </c>
      <c r="L191" s="35">
        <f t="shared" si="43"/>
        <v>2</v>
      </c>
      <c r="M191" s="77" cm="1">
        <f t="array" ref="M191">_xlfn.IFS(BOM!I191="RM-PACKING","100%",B191="Reynolds",VLOOKUP(H191,'Yield &amp; Time'!A:V,22,0),BOM!B191="Dnata",VLOOKUP(BOM!H191,'Yield &amp; Time'!A:M,13,0),B191="NK",VLOOKUP(H191,'Yield &amp; Time'!A:X,24,0))</f>
        <v>0.85271317829457371</v>
      </c>
      <c r="N191" s="35">
        <f t="shared" si="61"/>
        <v>2.3454545454545452</v>
      </c>
      <c r="O191" s="1" t="str">
        <f>VLOOKUP(H191,'RM Used'!A:E,5,0)</f>
        <v>KG</v>
      </c>
      <c r="P191" s="11">
        <f>VLOOKUP(H191,'RM Used'!A:F,6,0)</f>
        <v>0.98</v>
      </c>
      <c r="Q191" s="11">
        <f t="shared" si="52"/>
        <v>2.2985454545454544</v>
      </c>
      <c r="R191" s="11">
        <f>IFERROR(IF(B191="Reynolds",VLOOKUP(H191,'Yield &amp; Time'!A:U,21,0),VLOOKUP(H191,'Yield &amp; Time'!A:L,12,0)),0)</f>
        <v>3.541537827252113</v>
      </c>
      <c r="S191" s="11">
        <f t="shared" si="44"/>
        <v>2.3976211090496804</v>
      </c>
      <c r="T191" s="11">
        <f t="shared" si="45"/>
        <v>0.11805126090840376</v>
      </c>
      <c r="U191" s="11">
        <f>IF(A190=A191,0,VLOOKUP(A191,'Packing Time'!A:F,6,0))</f>
        <v>0.8</v>
      </c>
      <c r="V191" s="11">
        <f t="shared" si="53"/>
        <v>0.27079999999999999</v>
      </c>
      <c r="W191" s="11">
        <f t="shared" si="54"/>
        <v>1.3333333333333334E-2</v>
      </c>
      <c r="X191" s="11">
        <f t="shared" si="46"/>
        <v>4.2694737744794891</v>
      </c>
      <c r="Y191" s="11">
        <f t="shared" si="55"/>
        <v>4.2694737744794891</v>
      </c>
      <c r="Z191" s="37">
        <v>1</v>
      </c>
      <c r="AA191" s="36">
        <f t="shared" si="47"/>
        <v>2.3454545454545452</v>
      </c>
      <c r="AB191" s="36">
        <f t="shared" si="48"/>
        <v>2.2985454545454544</v>
      </c>
      <c r="AC191" s="11">
        <f t="shared" si="49"/>
        <v>0.21021535078677936</v>
      </c>
      <c r="AD191" s="36">
        <f t="shared" si="56"/>
        <v>4.2694737744794882</v>
      </c>
      <c r="AE191" s="36" t="str">
        <f>VLOOKUP(H191,'Yield &amp; Time'!A:R,18,0)</f>
        <v>CHLORINE</v>
      </c>
      <c r="AF191" s="36">
        <f>IFERROR(VLOOKUP(AE191,'Chemical Cost'!A:D,4,0),0)</f>
        <v>2.7756518066439469E-2</v>
      </c>
      <c r="AG191" s="114">
        <f t="shared" si="50"/>
        <v>2.1700550488307217E-2</v>
      </c>
      <c r="AH191" s="36">
        <f t="shared" si="57"/>
        <v>2.1700550488307217E-2</v>
      </c>
      <c r="AI191" s="36">
        <f t="shared" si="58"/>
        <v>6.5897197795132509</v>
      </c>
      <c r="AJ191" s="36">
        <f>IFERROR(VLOOKUP(A191,'All Products'!A:F,6,0),0)</f>
        <v>6.32</v>
      </c>
      <c r="AK191" s="36">
        <f>AJ191*Z191*J191</f>
        <v>6.32</v>
      </c>
      <c r="AL191" s="23"/>
      <c r="AM191" s="23">
        <v>1</v>
      </c>
      <c r="AN191" s="54" t="e">
        <v>#N/A</v>
      </c>
      <c r="AO191" s="47"/>
      <c r="AP191" s="4">
        <v>1.6</v>
      </c>
      <c r="AQ191" s="111">
        <f t="shared" si="51"/>
        <v>0.21021535078677936</v>
      </c>
      <c r="AR191">
        <f>_xlfn.XLOOKUP(F191,'RM Cost'!A:A,'RM Cost'!S:S)</f>
        <v>0</v>
      </c>
      <c r="AS191" t="e">
        <f>_xlfn.XLOOKUP(A191,[3]Sheet1!$B:$B,[3]Sheet1!$B:$B)</f>
        <v>#N/A</v>
      </c>
    </row>
    <row r="192" spans="1:46" x14ac:dyDescent="0.25">
      <c r="A192" s="1" t="s">
        <v>253</v>
      </c>
      <c r="B192" s="2" t="s">
        <v>552</v>
      </c>
      <c r="C192" s="2" t="s">
        <v>254</v>
      </c>
      <c r="D192" s="2" t="s">
        <v>554</v>
      </c>
      <c r="E192" s="2">
        <v>2</v>
      </c>
      <c r="F192" s="1" t="str">
        <f>VLOOKUP(H192,'RM Used'!A:B,2,0)</f>
        <v>P0010</v>
      </c>
      <c r="G192" s="1" t="str">
        <f>IFERROR(VLOOKUP(F192,'RM Cost'!A:B,2,0),"")</f>
        <v>BUCKET 3L PJET</v>
      </c>
      <c r="H192" s="2" t="s">
        <v>4672</v>
      </c>
      <c r="I192" s="1" t="str">
        <f>VLOOKUP(F192,'RM Used'!B:D,3,0)</f>
        <v>RM-PACKING</v>
      </c>
      <c r="J192" s="66">
        <v>1</v>
      </c>
      <c r="K192" s="35" t="str">
        <f t="shared" si="42"/>
        <v/>
      </c>
      <c r="L192" s="35">
        <f t="shared" si="43"/>
        <v>0</v>
      </c>
      <c r="M192" s="77" t="str" cm="1">
        <f t="array" ref="M192">_xlfn.IFS(BOM!I192="RM-PACKING","100%",B192="Reynolds",VLOOKUP(H192,'Yield &amp; Time'!A:V,22,0),BOM!B192="Dnata",VLOOKUP(BOM!H192,'Yield &amp; Time'!A:M,13,0),B192="NK",VLOOKUP(H192,'Yield &amp; Time'!A:X,24,0))</f>
        <v>100%</v>
      </c>
      <c r="N192" s="35">
        <f t="shared" si="61"/>
        <v>1</v>
      </c>
      <c r="O192" s="1" t="str">
        <f>VLOOKUP(H192,'RM Used'!A:E,5,0)</f>
        <v>Count</v>
      </c>
      <c r="P192" s="11">
        <f>VLOOKUP(H192,'RM Used'!A:F,6,0)</f>
        <v>0.56000000000000005</v>
      </c>
      <c r="Q192" s="11">
        <f t="shared" si="52"/>
        <v>0.56000000000000005</v>
      </c>
      <c r="R192" s="11">
        <f>IFERROR(IF(B192="Reynolds",VLOOKUP(H192,'Yield &amp; Time'!A:U,21,0),VLOOKUP(H192,'Yield &amp; Time'!A:L,12,0)),0)</f>
        <v>0</v>
      </c>
      <c r="S192" s="11">
        <f t="shared" si="44"/>
        <v>0</v>
      </c>
      <c r="T192" s="11">
        <f t="shared" si="45"/>
        <v>0</v>
      </c>
      <c r="U192" s="11">
        <f>IF(A191=A192,0,VLOOKUP(A192,'Packing Time'!A:F,6,0))</f>
        <v>0</v>
      </c>
      <c r="V192" s="11">
        <f t="shared" si="53"/>
        <v>0</v>
      </c>
      <c r="W192" s="11">
        <f t="shared" si="54"/>
        <v>0</v>
      </c>
      <c r="X192" s="11">
        <f t="shared" si="46"/>
        <v>0</v>
      </c>
      <c r="Y192" s="11">
        <f t="shared" si="55"/>
        <v>0</v>
      </c>
      <c r="Z192" s="37">
        <v>1</v>
      </c>
      <c r="AA192" s="36">
        <f t="shared" si="47"/>
        <v>1</v>
      </c>
      <c r="AB192" s="36">
        <f t="shared" si="48"/>
        <v>0.56000000000000005</v>
      </c>
      <c r="AC192" s="11">
        <f t="shared" si="49"/>
        <v>0</v>
      </c>
      <c r="AD192" s="36">
        <f t="shared" si="56"/>
        <v>0</v>
      </c>
      <c r="AE192" s="36"/>
      <c r="AF192" s="36">
        <f>IFERROR(VLOOKUP(AE192,'Chemical Cost'!A:D,4,0),0)</f>
        <v>0</v>
      </c>
      <c r="AG192" s="114">
        <f t="shared" si="50"/>
        <v>0</v>
      </c>
      <c r="AH192" s="36">
        <f t="shared" si="57"/>
        <v>0</v>
      </c>
      <c r="AI192" s="36">
        <f t="shared" si="58"/>
        <v>0.56000000000000005</v>
      </c>
      <c r="AJ192" s="36">
        <f>IFERROR(VLOOKUP(A192,'All Products'!A:F,6,0),0)</f>
        <v>6.32</v>
      </c>
      <c r="AK192" s="36"/>
      <c r="AL192" s="23"/>
      <c r="AM192" s="23">
        <v>1</v>
      </c>
      <c r="AN192" s="54" t="e">
        <v>#N/A</v>
      </c>
      <c r="AO192" s="47"/>
      <c r="AP192" s="4">
        <v>1.6</v>
      </c>
      <c r="AQ192" s="111">
        <f t="shared" si="51"/>
        <v>0</v>
      </c>
      <c r="AR192">
        <f>_xlfn.XLOOKUP(F192,'RM Cost'!A:A,'RM Cost'!S:S)</f>
        <v>0</v>
      </c>
      <c r="AS192" t="e">
        <f>_xlfn.XLOOKUP(A192,[3]Sheet1!$B:$B,[3]Sheet1!$B:$B)</f>
        <v>#N/A</v>
      </c>
    </row>
    <row r="193" spans="1:46" x14ac:dyDescent="0.25">
      <c r="A193" s="1" t="s">
        <v>253</v>
      </c>
      <c r="B193" s="2" t="s">
        <v>552</v>
      </c>
      <c r="C193" s="2" t="s">
        <v>254</v>
      </c>
      <c r="D193" s="2" t="s">
        <v>554</v>
      </c>
      <c r="E193" s="2">
        <v>2</v>
      </c>
      <c r="F193" s="1" t="str">
        <f>VLOOKUP(H193,'RM Used'!A:B,2,0)</f>
        <v>P0026</v>
      </c>
      <c r="G193" s="1" t="str">
        <f>IFERROR(VLOOKUP(F193,'RM Cost'!A:B,2,0),"")</f>
        <v>LID 2.2L PJET 2.2L-3.8L</v>
      </c>
      <c r="H193" s="2" t="s">
        <v>4673</v>
      </c>
      <c r="I193" s="1" t="str">
        <f>VLOOKUP(F193,'RM Used'!B:D,3,0)</f>
        <v>RM-PACKING</v>
      </c>
      <c r="J193" s="66">
        <v>1</v>
      </c>
      <c r="K193" s="35" t="str">
        <f>IF(I193="RM-FOOD",J193*E193,"")</f>
        <v/>
      </c>
      <c r="L193" s="35">
        <f t="shared" si="43"/>
        <v>0</v>
      </c>
      <c r="M193" s="77" t="str" cm="1">
        <f t="array" ref="M193">_xlfn.IFS(BOM!I193="RM-PACKING","100%",B193="Reynolds",VLOOKUP(H193,'Yield &amp; Time'!A:V,22,0),BOM!B193="Dnata",VLOOKUP(BOM!H193,'Yield &amp; Time'!A:M,13,0),B193="NK",VLOOKUP(H193,'Yield &amp; Time'!A:X,24,0))</f>
        <v>100%</v>
      </c>
      <c r="N193" s="35">
        <f>IFERROR(IF(I193="RM-FOOD",(E193*J193)/M193,1),0)</f>
        <v>1</v>
      </c>
      <c r="O193" s="1" t="str">
        <f>VLOOKUP(H193,'RM Used'!A:E,5,0)</f>
        <v>Count</v>
      </c>
      <c r="P193" s="11">
        <f>VLOOKUP(H193,'RM Used'!A:F,6,0)</f>
        <v>0.16</v>
      </c>
      <c r="Q193" s="11">
        <f t="shared" si="52"/>
        <v>0.16</v>
      </c>
      <c r="R193" s="11">
        <f>IFERROR(IF(B193="Reynolds",VLOOKUP(H193,'Yield &amp; Time'!A:U,21,0),VLOOKUP(H193,'Yield &amp; Time'!A:L,12,0)),0)</f>
        <v>0</v>
      </c>
      <c r="S193" s="11">
        <f t="shared" si="44"/>
        <v>0</v>
      </c>
      <c r="T193" s="11">
        <f t="shared" si="45"/>
        <v>0</v>
      </c>
      <c r="U193" s="11">
        <f>IF(A192=A193,0,VLOOKUP(A193,'Packing Time'!A:F,6,0))</f>
        <v>0</v>
      </c>
      <c r="V193" s="11">
        <f>U193*AO$1</f>
        <v>0</v>
      </c>
      <c r="W193" s="11">
        <f>(U193*Z193)/60</f>
        <v>0</v>
      </c>
      <c r="X193" s="11">
        <f t="shared" si="46"/>
        <v>0</v>
      </c>
      <c r="Y193" s="11">
        <f>X193*Z193</f>
        <v>0</v>
      </c>
      <c r="Z193" s="37">
        <v>1</v>
      </c>
      <c r="AA193" s="36">
        <f t="shared" si="47"/>
        <v>1</v>
      </c>
      <c r="AB193" s="36">
        <f t="shared" si="48"/>
        <v>0.16</v>
      </c>
      <c r="AC193" s="11">
        <f t="shared" si="49"/>
        <v>0</v>
      </c>
      <c r="AD193" s="36">
        <f>AC193*60*AO$1</f>
        <v>0</v>
      </c>
      <c r="AE193" s="36"/>
      <c r="AF193" s="36">
        <f>IFERROR(VLOOKUP(AE193,'Chemical Cost'!A:D,4,0),0)</f>
        <v>0</v>
      </c>
      <c r="AG193" s="114">
        <f t="shared" si="50"/>
        <v>0</v>
      </c>
      <c r="AH193" s="36">
        <f>AF193*AA193/3</f>
        <v>0</v>
      </c>
      <c r="AI193" s="36">
        <f>IFERROR((Q193*Z193)+(Z193*X193)+AH193,0)</f>
        <v>0.16</v>
      </c>
      <c r="AJ193" s="36">
        <f>IFERROR(VLOOKUP(A193,'All Products'!A:F,6,0),0)</f>
        <v>6.32</v>
      </c>
      <c r="AK193" s="36"/>
      <c r="AL193" s="23"/>
      <c r="AM193" s="23">
        <v>1</v>
      </c>
      <c r="AN193" s="54" t="e">
        <v>#N/A</v>
      </c>
      <c r="AO193" s="47"/>
      <c r="AP193" s="4">
        <v>1.6</v>
      </c>
      <c r="AQ193" s="111">
        <f t="shared" si="51"/>
        <v>0</v>
      </c>
      <c r="AR193">
        <f>_xlfn.XLOOKUP(F193,'RM Cost'!A:A,'RM Cost'!S:S)</f>
        <v>0</v>
      </c>
      <c r="AS193" t="e">
        <f>_xlfn.XLOOKUP(A193,[3]Sheet1!$B:$B,[3]Sheet1!$B:$B)</f>
        <v>#N/A</v>
      </c>
    </row>
    <row r="194" spans="1:46" x14ac:dyDescent="0.25">
      <c r="A194" s="1" t="s">
        <v>367</v>
      </c>
      <c r="B194" s="2" t="s">
        <v>552</v>
      </c>
      <c r="C194" s="2" t="s">
        <v>368</v>
      </c>
      <c r="D194" s="2" t="s">
        <v>554</v>
      </c>
      <c r="E194" s="2">
        <v>2.7</v>
      </c>
      <c r="F194" s="1" t="str">
        <f>VLOOKUP(H194,'RM Used'!A:B,2,0)</f>
        <v>2789CS</v>
      </c>
      <c r="G194" s="1" t="str">
        <f>IFERROR(VLOOKUP(F194,'RM Cost'!A:B,2,0),"")</f>
        <v>RM - PINEAPPLE X 6</v>
      </c>
      <c r="H194" s="2" t="s">
        <v>1443</v>
      </c>
      <c r="I194" s="1" t="str">
        <f>VLOOKUP(F194,'RM Used'!B:D,3,0)</f>
        <v>RM-FOOD</v>
      </c>
      <c r="J194" s="66">
        <v>0.7407407407407407</v>
      </c>
      <c r="K194" s="35">
        <f t="shared" si="42"/>
        <v>2</v>
      </c>
      <c r="L194" s="35">
        <f t="shared" ref="L194:L257" si="62">IFERROR(K194*Z194,0)</f>
        <v>2</v>
      </c>
      <c r="M194" s="77" cm="1">
        <f t="array" ref="M194">_xlfn.IFS(BOM!I194="RM-PACKING","100%",B194="Reynolds",VLOOKUP(H194,'Yield &amp; Time'!A:V,22,0),BOM!B194="Dnata",VLOOKUP(BOM!H194,'Yield &amp; Time'!A:M,13,0),B194="NK",VLOOKUP(H194,'Yield &amp; Time'!A:X,24,0))</f>
        <v>0.4</v>
      </c>
      <c r="N194" s="35">
        <f t="shared" si="61"/>
        <v>5</v>
      </c>
      <c r="O194" s="1" t="str">
        <f>VLOOKUP(H194,'RM Used'!A:E,5,0)</f>
        <v>KG</v>
      </c>
      <c r="P194" s="11">
        <f>VLOOKUP(H194,'RM Used'!A:F,6,0)</f>
        <v>0.7</v>
      </c>
      <c r="Q194" s="11">
        <f t="shared" si="52"/>
        <v>3.5</v>
      </c>
      <c r="R194" s="11">
        <f>IFERROR(IF(B194="Reynolds",VLOOKUP(H194,'Yield &amp; Time'!A:U,21,0),VLOOKUP(H194,'Yield &amp; Time'!A:L,12,0)),0)</f>
        <v>1.5635751872090669</v>
      </c>
      <c r="S194" s="11">
        <f t="shared" ref="S194:S257" si="63">R194*J194*E194*AO$1</f>
        <v>1.0585404017405382</v>
      </c>
      <c r="T194" s="11">
        <f t="shared" ref="T194:T257" si="64">(R194*Z194*J194*E194)/60</f>
        <v>5.2119172906968894E-2</v>
      </c>
      <c r="U194" s="11">
        <f>IF(A193=A194,0,VLOOKUP(A194,'Packing Time'!A:F,6,0))</f>
        <v>0.8</v>
      </c>
      <c r="V194" s="11">
        <f t="shared" si="53"/>
        <v>0.27079999999999999</v>
      </c>
      <c r="W194" s="11">
        <f t="shared" si="54"/>
        <v>1.3333333333333334E-2</v>
      </c>
      <c r="X194" s="11">
        <f t="shared" ref="X194:X257" si="65">((R194*J194*E194)+U194)*AO$1*AP194</f>
        <v>1.6616755021756726</v>
      </c>
      <c r="Y194" s="11">
        <f t="shared" si="55"/>
        <v>1.6616755021756726</v>
      </c>
      <c r="Z194" s="37">
        <v>1</v>
      </c>
      <c r="AA194" s="36">
        <f t="shared" ref="AA194:AA257" si="66">Z194*N194</f>
        <v>5</v>
      </c>
      <c r="AB194" s="36">
        <f t="shared" ref="AB194:AB257" si="67">AA194*P194</f>
        <v>3.5</v>
      </c>
      <c r="AC194" s="11">
        <f t="shared" ref="AC194:AC257" si="68">(((R194*J194*E194)+U194)/60)*Z194*AP194</f>
        <v>8.1815632800377791E-2</v>
      </c>
      <c r="AD194" s="36">
        <f t="shared" si="56"/>
        <v>1.6616755021756726</v>
      </c>
      <c r="AE194" s="36" t="str">
        <f>VLOOKUP(H194,'Yield &amp; Time'!A:R,18,0)</f>
        <v>CHLORINE</v>
      </c>
      <c r="AF194" s="36">
        <f>IFERROR(VLOOKUP(AE194,'Chemical Cost'!A:D,4,0),0)</f>
        <v>2.7756518066439469E-2</v>
      </c>
      <c r="AG194" s="114">
        <f t="shared" ref="AG194:AG257" si="69">AF194*N194/3</f>
        <v>4.6260863444065776E-2</v>
      </c>
      <c r="AH194" s="36">
        <f t="shared" si="57"/>
        <v>4.6260863444065776E-2</v>
      </c>
      <c r="AI194" s="36">
        <f t="shared" si="58"/>
        <v>5.2079363656197382</v>
      </c>
      <c r="AJ194" s="36">
        <f>IFERROR(VLOOKUP(A194,'All Products'!A:F,6,0),0)</f>
        <v>10.06</v>
      </c>
      <c r="AK194" s="36">
        <f>AJ194*Z194*J194</f>
        <v>7.4518518518518517</v>
      </c>
      <c r="AL194" s="23"/>
      <c r="AM194" s="23">
        <v>1</v>
      </c>
      <c r="AN194" s="54" t="e">
        <v>#N/A</v>
      </c>
      <c r="AO194" s="47"/>
      <c r="AP194" s="4">
        <v>1.25</v>
      </c>
      <c r="AQ194" s="111">
        <f t="shared" ref="AQ194:AQ257" si="70">(((R194*J194*E194)+U194)/60)*AP194</f>
        <v>8.1815632800377791E-2</v>
      </c>
      <c r="AR194">
        <f>_xlfn.XLOOKUP(F194,'RM Cost'!A:A,'RM Cost'!S:S)</f>
        <v>0</v>
      </c>
      <c r="AS194" t="str">
        <f>_xlfn.XLOOKUP(A194,[3]Sheet1!$B:$B,[3]Sheet1!$B:$B)</f>
        <v>719ACS</v>
      </c>
      <c r="AT194" t="str">
        <f>_xlfn.XLOOKUP(H194,'Yield &amp; Time'!A:A,'Yield &amp; Time'!O:O)</f>
        <v>Yes</v>
      </c>
    </row>
    <row r="195" spans="1:46" x14ac:dyDescent="0.25">
      <c r="A195" s="1" t="s">
        <v>367</v>
      </c>
      <c r="B195" s="2" t="s">
        <v>552</v>
      </c>
      <c r="C195" s="2" t="s">
        <v>368</v>
      </c>
      <c r="D195" s="2" t="s">
        <v>554</v>
      </c>
      <c r="E195" s="2">
        <v>2.7</v>
      </c>
      <c r="F195" s="1" t="str">
        <f>VLOOKUP(H195,'RM Used'!A:B,2,0)</f>
        <v>8929CS</v>
      </c>
      <c r="G195" s="1" t="str">
        <f>IFERROR(VLOOKUP(F195,'RM Cost'!A:B,2,0),"")</f>
        <v>GRANULATED SUGAR 1 X 25K</v>
      </c>
      <c r="H195" s="2" t="s">
        <v>1757</v>
      </c>
      <c r="I195" s="1" t="str">
        <f>VLOOKUP(F195,'RM Used'!B:D,3,0)</f>
        <v>RM-FOOD</v>
      </c>
      <c r="J195" s="66">
        <v>0.25925925925925924</v>
      </c>
      <c r="K195" s="35">
        <f>IF(I195="RM-FOOD",J195*E195,"")</f>
        <v>0.7</v>
      </c>
      <c r="L195" s="35">
        <f t="shared" si="62"/>
        <v>0.7</v>
      </c>
      <c r="M195" s="77" cm="1">
        <f t="array" ref="M195">_xlfn.IFS(BOM!I195="RM-PACKING","100%",B195="Reynolds",VLOOKUP(H195,'Yield &amp; Time'!A:V,22,0),BOM!B195="Dnata",VLOOKUP(BOM!H195,'Yield &amp; Time'!A:M,13,0),B195="NK",VLOOKUP(H195,'Yield &amp; Time'!A:X,24,0))</f>
        <v>1</v>
      </c>
      <c r="N195" s="35">
        <f>IFERROR(IF(I195="RM-FOOD",(E195*J195)/M195,1),0)</f>
        <v>0.7</v>
      </c>
      <c r="O195" s="1" t="str">
        <f>VLOOKUP(H195,'RM Used'!A:E,5,0)</f>
        <v>KG</v>
      </c>
      <c r="P195" s="11">
        <f>VLOOKUP(H195,'RM Used'!A:F,6,0)</f>
        <v>6.3E-2</v>
      </c>
      <c r="Q195" s="11">
        <f t="shared" ref="Q195:Q258" si="71">P195*N195</f>
        <v>4.41E-2</v>
      </c>
      <c r="R195" s="11">
        <f>IFERROR(IF(B195="Reynolds",VLOOKUP(H195,'Yield &amp; Time'!A:U,21,0),VLOOKUP(H195,'Yield &amp; Time'!A:L,12,0)),0)</f>
        <v>0.16666666666666666</v>
      </c>
      <c r="S195" s="11">
        <f t="shared" si="63"/>
        <v>3.9491666666666661E-2</v>
      </c>
      <c r="T195" s="11">
        <f t="shared" si="64"/>
        <v>1.9444444444444444E-3</v>
      </c>
      <c r="U195" s="11">
        <f>IF(A194=A195,0,VLOOKUP(A195,'Packing Time'!A:F,6,0))</f>
        <v>0</v>
      </c>
      <c r="V195" s="11">
        <f>U195*AO$1</f>
        <v>0</v>
      </c>
      <c r="W195" s="11">
        <f>(U195*Z195)/60</f>
        <v>0</v>
      </c>
      <c r="X195" s="11">
        <f t="shared" si="65"/>
        <v>4.9364583333333323E-2</v>
      </c>
      <c r="Y195" s="11">
        <f>X195*Z195</f>
        <v>4.9364583333333323E-2</v>
      </c>
      <c r="Z195" s="37">
        <v>1</v>
      </c>
      <c r="AA195" s="36">
        <f t="shared" si="66"/>
        <v>0.7</v>
      </c>
      <c r="AB195" s="36">
        <f t="shared" si="67"/>
        <v>4.41E-2</v>
      </c>
      <c r="AC195" s="11">
        <f t="shared" si="68"/>
        <v>2.4305555555555556E-3</v>
      </c>
      <c r="AD195" s="36">
        <f>AC195*60*AO$1</f>
        <v>4.936458333333333E-2</v>
      </c>
      <c r="AE195" s="36">
        <f>VLOOKUP(H195,'Yield &amp; Time'!A:R,18,0)</f>
        <v>0</v>
      </c>
      <c r="AF195" s="36">
        <f>IFERROR(VLOOKUP(AE195,'Chemical Cost'!A:D,4,0),0)</f>
        <v>0</v>
      </c>
      <c r="AG195" s="114">
        <f t="shared" si="69"/>
        <v>0</v>
      </c>
      <c r="AH195" s="36">
        <f t="shared" si="57"/>
        <v>0</v>
      </c>
      <c r="AI195" s="36">
        <f>IFERROR((Q195*Z195)+(Z195*X195)+AH195,0)</f>
        <v>9.3464583333333323E-2</v>
      </c>
      <c r="AJ195" s="36">
        <f>IFERROR(VLOOKUP(A195,'All Products'!A:F,6,0),0)</f>
        <v>10.06</v>
      </c>
      <c r="AK195" s="36">
        <f>AJ195*Z195*J195</f>
        <v>2.6081481481481483</v>
      </c>
      <c r="AL195" s="23"/>
      <c r="AM195" s="23">
        <v>1</v>
      </c>
      <c r="AN195" s="54" t="e">
        <v>#N/A</v>
      </c>
      <c r="AO195" s="47"/>
      <c r="AP195" s="4">
        <v>1.25</v>
      </c>
      <c r="AQ195" s="111">
        <f t="shared" si="70"/>
        <v>2.4305555555555556E-3</v>
      </c>
      <c r="AR195">
        <f>_xlfn.XLOOKUP(F195,'RM Cost'!A:A,'RM Cost'!S:S)</f>
        <v>0</v>
      </c>
      <c r="AS195" t="str">
        <f>_xlfn.XLOOKUP(A195,[3]Sheet1!$B:$B,[3]Sheet1!$B:$B)</f>
        <v>719ACS</v>
      </c>
      <c r="AT195">
        <f>_xlfn.XLOOKUP(H195,'Yield &amp; Time'!A:A,'Yield &amp; Time'!F:F)</f>
        <v>0</v>
      </c>
    </row>
    <row r="196" spans="1:46" x14ac:dyDescent="0.25">
      <c r="A196" s="1" t="s">
        <v>367</v>
      </c>
      <c r="B196" s="2" t="s">
        <v>552</v>
      </c>
      <c r="C196" s="2" t="s">
        <v>368</v>
      </c>
      <c r="D196" s="2" t="s">
        <v>554</v>
      </c>
      <c r="E196" s="2">
        <v>2.7</v>
      </c>
      <c r="F196" s="1" t="str">
        <f>VLOOKUP(H196,'RM Used'!A:B,2,0)</f>
        <v>P0010</v>
      </c>
      <c r="G196" s="1" t="str">
        <f>IFERROR(VLOOKUP(F196,'RM Cost'!A:B,2,0),"")</f>
        <v>BUCKET 3L PJET</v>
      </c>
      <c r="H196" s="2" t="s">
        <v>4672</v>
      </c>
      <c r="I196" s="1" t="str">
        <f>VLOOKUP(F196,'RM Used'!B:D,3,0)</f>
        <v>RM-PACKING</v>
      </c>
      <c r="J196" s="66">
        <v>1</v>
      </c>
      <c r="K196" s="35" t="str">
        <f t="shared" si="42"/>
        <v/>
      </c>
      <c r="L196" s="35">
        <f t="shared" si="62"/>
        <v>0</v>
      </c>
      <c r="M196" s="77" t="str" cm="1">
        <f t="array" ref="M196">_xlfn.IFS(BOM!I196="RM-PACKING","100%",B196="Reynolds",VLOOKUP(H196,'Yield &amp; Time'!A:V,22,0),BOM!B196="Dnata",VLOOKUP(BOM!H196,'Yield &amp; Time'!A:M,13,0),B196="NK",VLOOKUP(H196,'Yield &amp; Time'!A:X,24,0))</f>
        <v>100%</v>
      </c>
      <c r="N196" s="35">
        <f t="shared" si="61"/>
        <v>1</v>
      </c>
      <c r="O196" s="1" t="str">
        <f>VLOOKUP(H196,'RM Used'!A:E,5,0)</f>
        <v>Count</v>
      </c>
      <c r="P196" s="11">
        <f>VLOOKUP(H196,'RM Used'!A:F,6,0)</f>
        <v>0.56000000000000005</v>
      </c>
      <c r="Q196" s="11">
        <f t="shared" si="71"/>
        <v>0.56000000000000005</v>
      </c>
      <c r="R196" s="11">
        <f>IFERROR(IF(B196="Reynolds",VLOOKUP(H196,'Yield &amp; Time'!A:U,21,0),VLOOKUP(H196,'Yield &amp; Time'!A:L,12,0)),0)</f>
        <v>0</v>
      </c>
      <c r="S196" s="11">
        <f t="shared" si="63"/>
        <v>0</v>
      </c>
      <c r="T196" s="11">
        <f t="shared" si="64"/>
        <v>0</v>
      </c>
      <c r="U196" s="11">
        <f>IF(A195=A196,0,VLOOKUP(A196,'Packing Time'!A:F,6,0))</f>
        <v>0</v>
      </c>
      <c r="V196" s="11">
        <f t="shared" si="53"/>
        <v>0</v>
      </c>
      <c r="W196" s="11">
        <f t="shared" si="54"/>
        <v>0</v>
      </c>
      <c r="X196" s="11">
        <f t="shared" si="65"/>
        <v>0</v>
      </c>
      <c r="Y196" s="11">
        <f t="shared" si="55"/>
        <v>0</v>
      </c>
      <c r="Z196" s="37">
        <v>1</v>
      </c>
      <c r="AA196" s="36">
        <f t="shared" si="66"/>
        <v>1</v>
      </c>
      <c r="AB196" s="36">
        <f t="shared" si="67"/>
        <v>0.56000000000000005</v>
      </c>
      <c r="AC196" s="11">
        <f t="shared" si="68"/>
        <v>0</v>
      </c>
      <c r="AD196" s="36">
        <f t="shared" si="56"/>
        <v>0</v>
      </c>
      <c r="AE196" s="36"/>
      <c r="AF196" s="36">
        <f>IFERROR(VLOOKUP(AE196,'Chemical Cost'!A:D,4,0),0)</f>
        <v>0</v>
      </c>
      <c r="AG196" s="114">
        <f t="shared" si="69"/>
        <v>0</v>
      </c>
      <c r="AH196" s="36">
        <f t="shared" si="57"/>
        <v>0</v>
      </c>
      <c r="AI196" s="36">
        <f t="shared" si="58"/>
        <v>0.56000000000000005</v>
      </c>
      <c r="AJ196" s="36">
        <f>IFERROR(VLOOKUP(A196,'All Products'!A:F,6,0),0)</f>
        <v>10.06</v>
      </c>
      <c r="AK196" s="36"/>
      <c r="AL196" s="23"/>
      <c r="AM196" s="23">
        <v>1</v>
      </c>
      <c r="AN196" s="54" t="e">
        <v>#N/A</v>
      </c>
      <c r="AO196" s="47"/>
      <c r="AP196" s="4">
        <v>1.25</v>
      </c>
      <c r="AQ196" s="111">
        <f t="shared" si="70"/>
        <v>0</v>
      </c>
      <c r="AR196">
        <f>_xlfn.XLOOKUP(F196,'RM Cost'!A:A,'RM Cost'!S:S)</f>
        <v>0</v>
      </c>
      <c r="AS196" t="str">
        <f>_xlfn.XLOOKUP(A196,[3]Sheet1!$B:$B,[3]Sheet1!$B:$B)</f>
        <v>719ACS</v>
      </c>
      <c r="AT196" t="e">
        <f>_xlfn.XLOOKUP(H196,'Yield &amp; Time'!A:A,'Yield &amp; Time'!F:F)</f>
        <v>#N/A</v>
      </c>
    </row>
    <row r="197" spans="1:46" x14ac:dyDescent="0.25">
      <c r="A197" s="1" t="s">
        <v>367</v>
      </c>
      <c r="B197" s="2" t="s">
        <v>552</v>
      </c>
      <c r="C197" s="2" t="s">
        <v>368</v>
      </c>
      <c r="D197" s="2" t="s">
        <v>554</v>
      </c>
      <c r="E197" s="2">
        <v>2.7</v>
      </c>
      <c r="F197" s="1" t="str">
        <f>VLOOKUP(H197,'RM Used'!A:B,2,0)</f>
        <v>P0026</v>
      </c>
      <c r="G197" s="1" t="str">
        <f>IFERROR(VLOOKUP(F197,'RM Cost'!A:B,2,0),"")</f>
        <v>LID 2.2L PJET 2.2L-3.8L</v>
      </c>
      <c r="H197" s="2" t="s">
        <v>4673</v>
      </c>
      <c r="I197" s="1" t="str">
        <f>VLOOKUP(F197,'RM Used'!B:D,3,0)</f>
        <v>RM-PACKING</v>
      </c>
      <c r="J197" s="66">
        <v>1</v>
      </c>
      <c r="K197" s="35" t="str">
        <f>IF(I197="RM-FOOD",J197*E197,"")</f>
        <v/>
      </c>
      <c r="L197" s="35">
        <f t="shared" si="62"/>
        <v>0</v>
      </c>
      <c r="M197" s="77" t="str" cm="1">
        <f t="array" ref="M197">_xlfn.IFS(BOM!I197="RM-PACKING","100%",B197="Reynolds",VLOOKUP(H197,'Yield &amp; Time'!A:V,22,0),BOM!B197="Dnata",VLOOKUP(BOM!H197,'Yield &amp; Time'!A:M,13,0),B197="NK",VLOOKUP(H197,'Yield &amp; Time'!A:X,24,0))</f>
        <v>100%</v>
      </c>
      <c r="N197" s="35">
        <f>IFERROR(IF(I197="RM-FOOD",(E197*J197)/M197,1),0)</f>
        <v>1</v>
      </c>
      <c r="O197" s="1" t="str">
        <f>VLOOKUP(H197,'RM Used'!A:E,5,0)</f>
        <v>Count</v>
      </c>
      <c r="P197" s="11">
        <f>VLOOKUP(H197,'RM Used'!A:F,6,0)</f>
        <v>0.16</v>
      </c>
      <c r="Q197" s="11">
        <f t="shared" si="71"/>
        <v>0.16</v>
      </c>
      <c r="R197" s="11">
        <f>IFERROR(IF(B197="Reynolds",VLOOKUP(H197,'Yield &amp; Time'!A:U,21,0),VLOOKUP(H197,'Yield &amp; Time'!A:L,12,0)),0)</f>
        <v>0</v>
      </c>
      <c r="S197" s="11">
        <f t="shared" si="63"/>
        <v>0</v>
      </c>
      <c r="T197" s="11">
        <f t="shared" si="64"/>
        <v>0</v>
      </c>
      <c r="U197" s="11">
        <f>IF(A196=A197,0,VLOOKUP(A197,'Packing Time'!A:F,6,0))</f>
        <v>0</v>
      </c>
      <c r="V197" s="11">
        <f>U197*AO$1</f>
        <v>0</v>
      </c>
      <c r="W197" s="11">
        <f>(U197*Z197)/60</f>
        <v>0</v>
      </c>
      <c r="X197" s="11">
        <f t="shared" si="65"/>
        <v>0</v>
      </c>
      <c r="Y197" s="11">
        <f>X197*Z197</f>
        <v>0</v>
      </c>
      <c r="Z197" s="37">
        <v>1</v>
      </c>
      <c r="AA197" s="36">
        <f t="shared" si="66"/>
        <v>1</v>
      </c>
      <c r="AB197" s="36">
        <f t="shared" si="67"/>
        <v>0.16</v>
      </c>
      <c r="AC197" s="11">
        <f t="shared" si="68"/>
        <v>0</v>
      </c>
      <c r="AD197" s="36">
        <f>AC197*60*AO$1</f>
        <v>0</v>
      </c>
      <c r="AE197" s="36"/>
      <c r="AF197" s="36">
        <f>IFERROR(VLOOKUP(AE197,'Chemical Cost'!A:D,4,0),0)</f>
        <v>0</v>
      </c>
      <c r="AG197" s="114">
        <f t="shared" si="69"/>
        <v>0</v>
      </c>
      <c r="AH197" s="36">
        <f>AF197*AA197/3</f>
        <v>0</v>
      </c>
      <c r="AI197" s="36">
        <f>IFERROR((Q197*Z197)+(Z197*X197)+AH197,0)</f>
        <v>0.16</v>
      </c>
      <c r="AJ197" s="36">
        <f>IFERROR(VLOOKUP(A197,'All Products'!A:F,6,0),0)</f>
        <v>10.06</v>
      </c>
      <c r="AK197" s="36"/>
      <c r="AL197" s="23"/>
      <c r="AM197" s="23">
        <v>1</v>
      </c>
      <c r="AN197" s="54" t="e">
        <v>#N/A</v>
      </c>
      <c r="AO197" s="47"/>
      <c r="AP197" s="4">
        <v>1.25</v>
      </c>
      <c r="AQ197" s="111">
        <f t="shared" si="70"/>
        <v>0</v>
      </c>
      <c r="AR197">
        <f>_xlfn.XLOOKUP(F197,'RM Cost'!A:A,'RM Cost'!S:S)</f>
        <v>0</v>
      </c>
      <c r="AS197" t="str">
        <f>_xlfn.XLOOKUP(A197,[3]Sheet1!$B:$B,[3]Sheet1!$B:$B)</f>
        <v>719ACS</v>
      </c>
      <c r="AT197" t="e">
        <f>_xlfn.XLOOKUP(H197,'Yield &amp; Time'!A:A,'Yield &amp; Time'!F:F)</f>
        <v>#N/A</v>
      </c>
    </row>
    <row r="198" spans="1:46" x14ac:dyDescent="0.25">
      <c r="A198" s="1" t="s">
        <v>114</v>
      </c>
      <c r="B198" s="2" t="s">
        <v>552</v>
      </c>
      <c r="C198" s="2" t="s">
        <v>115</v>
      </c>
      <c r="D198" s="2" t="s">
        <v>554</v>
      </c>
      <c r="E198" s="2">
        <v>2.7</v>
      </c>
      <c r="F198" s="1" t="str">
        <f>VLOOKUP(H198,'RM Used'!A:B,2,0)</f>
        <v>2794CS</v>
      </c>
      <c r="G198" s="1" t="str">
        <f>IFERROR(VLOOKUP(F198,'RM Cost'!A:B,2,0),"")</f>
        <v>RM - MELON YELLOW X 6EA</v>
      </c>
      <c r="H198" s="2" t="s">
        <v>1380</v>
      </c>
      <c r="I198" s="1" t="str">
        <f>VLOOKUP(F198,'RM Used'!B:D,3,0)</f>
        <v>RM-FOOD</v>
      </c>
      <c r="J198" s="66">
        <v>0.1481481481481482</v>
      </c>
      <c r="K198" s="35">
        <f t="shared" si="42"/>
        <v>0.40000000000000013</v>
      </c>
      <c r="L198" s="35">
        <f t="shared" si="62"/>
        <v>0.40000000000000013</v>
      </c>
      <c r="M198" s="77" cm="1">
        <f t="array" ref="M198">_xlfn.IFS(BOM!I198="RM-PACKING","100%",B198="Reynolds",VLOOKUP(H198,'Yield &amp; Time'!A:V,22,0),BOM!B198="Dnata",VLOOKUP(BOM!H198,'Yield &amp; Time'!A:M,13,0),B198="NK",VLOOKUP(H198,'Yield &amp; Time'!A:X,24,0))</f>
        <v>0.54941373534338356</v>
      </c>
      <c r="N198" s="35">
        <f t="shared" si="61"/>
        <v>0.72804878048780519</v>
      </c>
      <c r="O198" s="1" t="str">
        <f>VLOOKUP(H198,'RM Used'!A:E,5,0)</f>
        <v>KG</v>
      </c>
      <c r="P198" s="11">
        <f>VLOOKUP(H198,'RM Used'!A:F,6,0)</f>
        <v>0.81</v>
      </c>
      <c r="Q198" s="11">
        <f t="shared" si="71"/>
        <v>0.5897195121951222</v>
      </c>
      <c r="R198" s="11">
        <f>IFERROR(IF(B198="Reynolds",VLOOKUP(H198,'Yield &amp; Time'!A:U,21,0),VLOOKUP(H198,'Yield &amp; Time'!A:L,12,0)),0)</f>
        <v>1.8568181818181819</v>
      </c>
      <c r="S198" s="11">
        <f t="shared" si="63"/>
        <v>0.25141318181818195</v>
      </c>
      <c r="T198" s="11">
        <f t="shared" si="64"/>
        <v>1.2378787878787885E-2</v>
      </c>
      <c r="U198" s="11">
        <f>IF(A197=A198,0,VLOOKUP(A198,'Packing Time'!A:F,6,0))</f>
        <v>1.8</v>
      </c>
      <c r="V198" s="11">
        <f t="shared" si="53"/>
        <v>0.60929999999999995</v>
      </c>
      <c r="W198" s="11">
        <f t="shared" si="54"/>
        <v>3.0000000000000002E-2</v>
      </c>
      <c r="X198" s="11">
        <f t="shared" si="65"/>
        <v>0.94678450000000003</v>
      </c>
      <c r="Y198" s="11">
        <f t="shared" si="55"/>
        <v>0.94678450000000003</v>
      </c>
      <c r="Z198" s="37">
        <v>1</v>
      </c>
      <c r="AA198" s="36">
        <f t="shared" si="66"/>
        <v>0.72804878048780519</v>
      </c>
      <c r="AB198" s="36">
        <f t="shared" si="67"/>
        <v>0.5897195121951222</v>
      </c>
      <c r="AC198" s="11">
        <f t="shared" si="68"/>
        <v>4.6616666666666674E-2</v>
      </c>
      <c r="AD198" s="36">
        <f t="shared" si="56"/>
        <v>0.94678450000000014</v>
      </c>
      <c r="AE198" s="36" t="str">
        <f>VLOOKUP(H198,'Yield &amp; Time'!A:R,18,0)</f>
        <v>CHLORINE</v>
      </c>
      <c r="AF198" s="36">
        <f>IFERROR(VLOOKUP(AE198,'Chemical Cost'!A:D,4,0),0)</f>
        <v>2.7756518066439469E-2</v>
      </c>
      <c r="AG198" s="114">
        <f t="shared" si="69"/>
        <v>6.7360330429529968E-3</v>
      </c>
      <c r="AH198" s="36">
        <f t="shared" si="57"/>
        <v>6.7360330429529968E-3</v>
      </c>
      <c r="AI198" s="36">
        <f t="shared" si="58"/>
        <v>1.543240045238075</v>
      </c>
      <c r="AJ198" s="36">
        <f>IFERROR(VLOOKUP(A198,'All Products'!A:F,6,0),0)</f>
        <v>11.75</v>
      </c>
      <c r="AK198" s="36">
        <f t="shared" ref="AK198:AK206" si="72">AJ198*Z198*J198</f>
        <v>1.7407407407407414</v>
      </c>
      <c r="AL198" s="23"/>
      <c r="AM198" s="23">
        <v>1</v>
      </c>
      <c r="AN198" s="54" t="e">
        <v>#N/A</v>
      </c>
      <c r="AO198" s="47"/>
      <c r="AP198" s="4">
        <v>1.1000000000000001</v>
      </c>
      <c r="AQ198" s="111">
        <f t="shared" si="70"/>
        <v>4.6616666666666674E-2</v>
      </c>
      <c r="AR198">
        <f>_xlfn.XLOOKUP(F198,'RM Cost'!A:A,'RM Cost'!S:S)</f>
        <v>0</v>
      </c>
      <c r="AS198" t="str">
        <f>_xlfn.XLOOKUP(A198,[3]Sheet1!$B:$B,[3]Sheet1!$B:$B)</f>
        <v>1852CS</v>
      </c>
      <c r="AT198" t="str">
        <f>_xlfn.XLOOKUP(H198,'Yield &amp; Time'!A:A,'Yield &amp; Time'!O:O)</f>
        <v>Yes</v>
      </c>
    </row>
    <row r="199" spans="1:46" x14ac:dyDescent="0.25">
      <c r="A199" s="1" t="s">
        <v>114</v>
      </c>
      <c r="B199" s="2" t="s">
        <v>552</v>
      </c>
      <c r="C199" s="2" t="s">
        <v>115</v>
      </c>
      <c r="D199" s="2" t="s">
        <v>554</v>
      </c>
      <c r="E199" s="2">
        <v>2.7</v>
      </c>
      <c r="F199" s="1" t="str">
        <f>VLOOKUP(H199,'RM Used'!A:B,2,0)</f>
        <v>2730CS</v>
      </c>
      <c r="G199" s="1" t="str">
        <f>IFERROR(VLOOKUP(F199,'RM Cost'!A:B,2,0),"")</f>
        <v>RM - ORANGE LARGE X 15KG</v>
      </c>
      <c r="H199" s="2" t="s">
        <v>1381</v>
      </c>
      <c r="I199" s="1" t="str">
        <f>VLOOKUP(F199,'RM Used'!B:D,3,0)</f>
        <v>RM-FOOD</v>
      </c>
      <c r="J199" s="66">
        <v>0.1481481481481482</v>
      </c>
      <c r="K199" s="35">
        <f t="shared" si="42"/>
        <v>0.40000000000000013</v>
      </c>
      <c r="L199" s="35">
        <f t="shared" si="62"/>
        <v>0.40000000000000013</v>
      </c>
      <c r="M199" s="77" cm="1">
        <f t="array" ref="M199">_xlfn.IFS(BOM!I199="RM-PACKING","100%",B199="Reynolds",VLOOKUP(H199,'Yield &amp; Time'!A:V,22,0),BOM!B199="Dnata",VLOOKUP(BOM!H199,'Yield &amp; Time'!A:M,13,0),B199="NK",VLOOKUP(H199,'Yield &amp; Time'!A:X,24,0))</f>
        <v>0.46641791044776115</v>
      </c>
      <c r="N199" s="35">
        <f t="shared" si="61"/>
        <v>0.85760000000000036</v>
      </c>
      <c r="O199" s="1" t="str">
        <f>VLOOKUP(H199,'RM Used'!A:E,5,0)</f>
        <v>KG</v>
      </c>
      <c r="P199" s="11">
        <f>VLOOKUP(H199,'RM Used'!A:F,6,0)</f>
        <v>0.8</v>
      </c>
      <c r="Q199" s="11">
        <f t="shared" si="71"/>
        <v>0.68608000000000036</v>
      </c>
      <c r="R199" s="11">
        <f>IFERROR(IF(B199="Reynolds",VLOOKUP(H199,'Yield &amp; Time'!A:U,21,0),VLOOKUP(H199,'Yield &amp; Time'!A:L,12,0)),0)</f>
        <v>4.9222222222222216</v>
      </c>
      <c r="S199" s="11">
        <f t="shared" si="63"/>
        <v>0.66646888888888911</v>
      </c>
      <c r="T199" s="11">
        <f t="shared" si="64"/>
        <v>3.2814814814814824E-2</v>
      </c>
      <c r="U199" s="11">
        <f>IF(A198=A199,0,VLOOKUP(A199,'Packing Time'!A:F,6,0))</f>
        <v>0</v>
      </c>
      <c r="V199" s="11">
        <f t="shared" si="53"/>
        <v>0</v>
      </c>
      <c r="W199" s="11">
        <f t="shared" si="54"/>
        <v>0</v>
      </c>
      <c r="X199" s="11">
        <f t="shared" si="65"/>
        <v>0.73311577777777803</v>
      </c>
      <c r="Y199" s="11">
        <f t="shared" si="55"/>
        <v>0.73311577777777803</v>
      </c>
      <c r="Z199" s="37">
        <v>1</v>
      </c>
      <c r="AA199" s="36">
        <f t="shared" si="66"/>
        <v>0.85760000000000036</v>
      </c>
      <c r="AB199" s="36">
        <f t="shared" si="67"/>
        <v>0.68608000000000036</v>
      </c>
      <c r="AC199" s="11">
        <f t="shared" si="68"/>
        <v>3.6096296296296307E-2</v>
      </c>
      <c r="AD199" s="36">
        <f t="shared" si="56"/>
        <v>0.73311577777777792</v>
      </c>
      <c r="AE199" s="36" t="str">
        <f>VLOOKUP(H199,'Yield &amp; Time'!A:R,18,0)</f>
        <v>CHLORINE</v>
      </c>
      <c r="AF199" s="36">
        <f>IFERROR(VLOOKUP(AE199,'Chemical Cost'!A:D,4,0),0)</f>
        <v>2.7756518066439469E-2</v>
      </c>
      <c r="AG199" s="114">
        <f t="shared" si="69"/>
        <v>7.9346632979261662E-3</v>
      </c>
      <c r="AH199" s="36">
        <f t="shared" si="57"/>
        <v>7.9346632979261662E-3</v>
      </c>
      <c r="AI199" s="36">
        <f t="shared" si="58"/>
        <v>1.4271304410757046</v>
      </c>
      <c r="AJ199" s="36">
        <f>IFERROR(VLOOKUP(A199,'All Products'!A:F,6,0),0)</f>
        <v>11.75</v>
      </c>
      <c r="AK199" s="36">
        <f t="shared" si="72"/>
        <v>1.7407407407407414</v>
      </c>
      <c r="AL199" s="23"/>
      <c r="AM199" s="23">
        <v>1</v>
      </c>
      <c r="AN199" s="54" t="e">
        <v>#N/A</v>
      </c>
      <c r="AO199" s="47"/>
      <c r="AP199" s="4">
        <v>1.1000000000000001</v>
      </c>
      <c r="AQ199" s="111">
        <f t="shared" si="70"/>
        <v>3.6096296296296307E-2</v>
      </c>
      <c r="AR199">
        <f>_xlfn.XLOOKUP(F199,'RM Cost'!A:A,'RM Cost'!S:S)</f>
        <v>0</v>
      </c>
      <c r="AS199" t="str">
        <f>_xlfn.XLOOKUP(A199,[3]Sheet1!$B:$B,[3]Sheet1!$B:$B)</f>
        <v>1852CS</v>
      </c>
      <c r="AT199" t="str">
        <f>_xlfn.XLOOKUP(H199,'Yield &amp; Time'!A:A,'Yield &amp; Time'!O:O)</f>
        <v>Yes</v>
      </c>
    </row>
    <row r="200" spans="1:46" x14ac:dyDescent="0.25">
      <c r="A200" s="1" t="s">
        <v>114</v>
      </c>
      <c r="B200" s="2" t="s">
        <v>552</v>
      </c>
      <c r="C200" s="2" t="s">
        <v>115</v>
      </c>
      <c r="D200" s="2" t="s">
        <v>554</v>
      </c>
      <c r="E200" s="2">
        <v>2.7</v>
      </c>
      <c r="F200" s="1" t="str">
        <f>VLOOKUP(H200,'RM Used'!A:B,2,0)</f>
        <v>2789CS</v>
      </c>
      <c r="G200" s="1" t="str">
        <f>IFERROR(VLOOKUP(F200,'RM Cost'!A:B,2,0),"")</f>
        <v>RM - PINEAPPLE X 6</v>
      </c>
      <c r="H200" s="2" t="s">
        <v>1379</v>
      </c>
      <c r="I200" s="1" t="str">
        <f>VLOOKUP(F200,'RM Used'!B:D,3,0)</f>
        <v>RM-FOOD</v>
      </c>
      <c r="J200" s="66">
        <v>0.12962962962962965</v>
      </c>
      <c r="K200" s="35">
        <f t="shared" si="42"/>
        <v>0.35000000000000009</v>
      </c>
      <c r="L200" s="35">
        <f t="shared" si="62"/>
        <v>0.35000000000000009</v>
      </c>
      <c r="M200" s="77" cm="1">
        <f t="array" ref="M200">_xlfn.IFS(BOM!I200="RM-PACKING","100%",B200="Reynolds",VLOOKUP(H200,'Yield &amp; Time'!A:V,22,0),BOM!B200="Dnata",VLOOKUP(BOM!H200,'Yield &amp; Time'!A:M,13,0),B200="NK",VLOOKUP(H200,'Yield &amp; Time'!A:X,24,0))</f>
        <v>0.35230352303523038</v>
      </c>
      <c r="N200" s="35">
        <f t="shared" si="61"/>
        <v>0.99346153846153862</v>
      </c>
      <c r="O200" s="1" t="str">
        <f>VLOOKUP(H200,'RM Used'!A:E,5,0)</f>
        <v>KG</v>
      </c>
      <c r="P200" s="11">
        <f>VLOOKUP(H200,'RM Used'!A:F,6,0)</f>
        <v>0.7</v>
      </c>
      <c r="Q200" s="11">
        <f t="shared" si="71"/>
        <v>0.69542307692307703</v>
      </c>
      <c r="R200" s="11">
        <f>IFERROR(IF(B200="Reynolds",VLOOKUP(H200,'Yield &amp; Time'!A:U,21,0),VLOOKUP(H200,'Yield &amp; Time'!A:L,12,0)),0)</f>
        <v>1.3973833543505674</v>
      </c>
      <c r="S200" s="11">
        <f t="shared" si="63"/>
        <v>0.16555499290668349</v>
      </c>
      <c r="T200" s="11">
        <f t="shared" si="64"/>
        <v>8.1514029003783104E-3</v>
      </c>
      <c r="U200" s="11">
        <f>IF(A199=A200,0,VLOOKUP(A200,'Packing Time'!A:F,6,0))</f>
        <v>0</v>
      </c>
      <c r="V200" s="11">
        <f t="shared" si="53"/>
        <v>0</v>
      </c>
      <c r="W200" s="11">
        <f t="shared" si="54"/>
        <v>0</v>
      </c>
      <c r="X200" s="11">
        <f t="shared" si="65"/>
        <v>0.18211049219735184</v>
      </c>
      <c r="Y200" s="11">
        <f t="shared" si="55"/>
        <v>0.18211049219735184</v>
      </c>
      <c r="Z200" s="37">
        <v>1</v>
      </c>
      <c r="AA200" s="36">
        <f t="shared" si="66"/>
        <v>0.99346153846153862</v>
      </c>
      <c r="AB200" s="36">
        <f t="shared" si="67"/>
        <v>0.69542307692307703</v>
      </c>
      <c r="AC200" s="11">
        <f t="shared" si="68"/>
        <v>8.9665431904161416E-3</v>
      </c>
      <c r="AD200" s="36">
        <f t="shared" si="56"/>
        <v>0.18211049219735181</v>
      </c>
      <c r="AE200" s="36" t="str">
        <f>VLOOKUP(H200,'Yield &amp; Time'!A:R,18,0)</f>
        <v>CHLORINE</v>
      </c>
      <c r="AF200" s="36">
        <f>IFERROR(VLOOKUP(AE200,'Chemical Cost'!A:D,4,0),0)</f>
        <v>2.7756518066439469E-2</v>
      </c>
      <c r="AG200" s="114">
        <f t="shared" si="69"/>
        <v>9.1916777135401494E-3</v>
      </c>
      <c r="AH200" s="36">
        <f t="shared" si="57"/>
        <v>9.1916777135401494E-3</v>
      </c>
      <c r="AI200" s="36">
        <f t="shared" si="58"/>
        <v>0.88672524683396903</v>
      </c>
      <c r="AJ200" s="36">
        <f>IFERROR(VLOOKUP(A200,'All Products'!A:F,6,0),0)</f>
        <v>11.75</v>
      </c>
      <c r="AK200" s="36">
        <f t="shared" si="72"/>
        <v>1.5231481481481484</v>
      </c>
      <c r="AL200" s="23"/>
      <c r="AM200" s="23">
        <v>1</v>
      </c>
      <c r="AN200" s="54" t="e">
        <v>#N/A</v>
      </c>
      <c r="AO200" s="47"/>
      <c r="AP200" s="4">
        <v>1.1000000000000001</v>
      </c>
      <c r="AQ200" s="111">
        <f t="shared" si="70"/>
        <v>8.9665431904161416E-3</v>
      </c>
      <c r="AR200">
        <f>_xlfn.XLOOKUP(F200,'RM Cost'!A:A,'RM Cost'!S:S)</f>
        <v>0</v>
      </c>
      <c r="AS200" t="str">
        <f>_xlfn.XLOOKUP(A200,[3]Sheet1!$B:$B,[3]Sheet1!$B:$B)</f>
        <v>1852CS</v>
      </c>
      <c r="AT200" t="str">
        <f>_xlfn.XLOOKUP(H200,'Yield &amp; Time'!A:A,'Yield &amp; Time'!O:O)</f>
        <v>Yes</v>
      </c>
    </row>
    <row r="201" spans="1:46" x14ac:dyDescent="0.25">
      <c r="A201" s="1" t="s">
        <v>114</v>
      </c>
      <c r="B201" s="2" t="s">
        <v>552</v>
      </c>
      <c r="C201" s="2" t="s">
        <v>115</v>
      </c>
      <c r="D201" s="2" t="s">
        <v>554</v>
      </c>
      <c r="E201" s="2">
        <v>2.7</v>
      </c>
      <c r="F201" s="1" t="str">
        <f>VLOOKUP(H201,'RM Used'!A:B,2,0)</f>
        <v>4447CS</v>
      </c>
      <c r="G201" s="1" t="str">
        <f>IFERROR(VLOOKUP(F201,'RM Cost'!A:B,2,0),"")</f>
        <v>RM - KIWI X 10KG</v>
      </c>
      <c r="H201" s="2" t="s">
        <v>1671</v>
      </c>
      <c r="I201" s="1" t="str">
        <f>VLOOKUP(F201,'RM Used'!B:D,3,0)</f>
        <v>RM-FOOD</v>
      </c>
      <c r="J201" s="66">
        <v>9.2592592592592615E-2</v>
      </c>
      <c r="K201" s="35">
        <f t="shared" si="42"/>
        <v>0.25000000000000006</v>
      </c>
      <c r="L201" s="35">
        <f t="shared" si="62"/>
        <v>0.25000000000000006</v>
      </c>
      <c r="M201" s="77" cm="1">
        <f t="array" ref="M201">_xlfn.IFS(BOM!I201="RM-PACKING","100%",B201="Reynolds",VLOOKUP(H201,'Yield &amp; Time'!A:V,22,0),BOM!B201="Dnata",VLOOKUP(BOM!H201,'Yield &amp; Time'!A:M,13,0),B201="NK",VLOOKUP(H201,'Yield &amp; Time'!A:X,24,0))</f>
        <v>0.65354000837871795</v>
      </c>
      <c r="N201" s="35">
        <f t="shared" si="61"/>
        <v>0.38253205128205142</v>
      </c>
      <c r="O201" s="1" t="str">
        <f>VLOOKUP(H201,'RM Used'!A:E,5,0)</f>
        <v>KG</v>
      </c>
      <c r="P201" s="11">
        <f>VLOOKUP(H201,'RM Used'!A:F,6,0)</f>
        <v>2.23</v>
      </c>
      <c r="Q201" s="11">
        <f t="shared" si="71"/>
        <v>0.85304647435897463</v>
      </c>
      <c r="R201" s="11">
        <f>IFERROR(IF(B201="Reynolds",VLOOKUP(H201,'Yield &amp; Time'!A:U,21,0),VLOOKUP(H201,'Yield &amp; Time'!A:L,12,0)),0)</f>
        <v>14.303952991452993</v>
      </c>
      <c r="S201" s="11">
        <f t="shared" si="63"/>
        <v>1.2104720219017098</v>
      </c>
      <c r="T201" s="11">
        <f t="shared" si="64"/>
        <v>5.9599804131054153E-2</v>
      </c>
      <c r="U201" s="11">
        <f>IF(A200=A201,0,VLOOKUP(A201,'Packing Time'!A:F,6,0))</f>
        <v>0</v>
      </c>
      <c r="V201" s="11">
        <f t="shared" si="53"/>
        <v>0</v>
      </c>
      <c r="W201" s="11">
        <f t="shared" si="54"/>
        <v>0</v>
      </c>
      <c r="X201" s="11">
        <f t="shared" si="65"/>
        <v>1.3315192240918809</v>
      </c>
      <c r="Y201" s="11">
        <f t="shared" si="55"/>
        <v>1.3315192240918809</v>
      </c>
      <c r="Z201" s="37">
        <v>1</v>
      </c>
      <c r="AA201" s="36">
        <f t="shared" si="66"/>
        <v>0.38253205128205142</v>
      </c>
      <c r="AB201" s="36">
        <f t="shared" si="67"/>
        <v>0.85304647435897463</v>
      </c>
      <c r="AC201" s="11">
        <f t="shared" si="68"/>
        <v>6.5559784544159574E-2</v>
      </c>
      <c r="AD201" s="36">
        <f t="shared" si="56"/>
        <v>1.3315192240918809</v>
      </c>
      <c r="AE201" s="36" t="str">
        <f>VLOOKUP(H201,'Yield &amp; Time'!A:R,18,0)</f>
        <v>CHLORINE</v>
      </c>
      <c r="AF201" s="36">
        <f>IFERROR(VLOOKUP(AE201,'Chemical Cost'!A:D,4,0),0)</f>
        <v>2.7756518066439469E-2</v>
      </c>
      <c r="AG201" s="114">
        <f t="shared" si="69"/>
        <v>3.5392525974674697E-3</v>
      </c>
      <c r="AH201" s="36">
        <f t="shared" si="57"/>
        <v>3.5392525974674697E-3</v>
      </c>
      <c r="AI201" s="36">
        <f t="shared" si="58"/>
        <v>2.1881049510483228</v>
      </c>
      <c r="AJ201" s="36">
        <f>IFERROR(VLOOKUP(A201,'All Products'!A:F,6,0),0)</f>
        <v>11.75</v>
      </c>
      <c r="AK201" s="36">
        <f t="shared" si="72"/>
        <v>1.0879629629629632</v>
      </c>
      <c r="AL201" s="23"/>
      <c r="AM201" s="23">
        <v>1</v>
      </c>
      <c r="AN201" s="54" t="e">
        <v>#N/A</v>
      </c>
      <c r="AO201" s="47"/>
      <c r="AP201" s="4">
        <v>1.1000000000000001</v>
      </c>
      <c r="AQ201" s="111">
        <f t="shared" si="70"/>
        <v>6.5559784544159574E-2</v>
      </c>
      <c r="AR201">
        <f>_xlfn.XLOOKUP(F201,'RM Cost'!A:A,'RM Cost'!S:S)</f>
        <v>0</v>
      </c>
      <c r="AS201" t="str">
        <f>_xlfn.XLOOKUP(A201,[3]Sheet1!$B:$B,[3]Sheet1!$B:$B)</f>
        <v>1852CS</v>
      </c>
      <c r="AT201" t="str">
        <f>_xlfn.XLOOKUP(H201,'Yield &amp; Time'!A:A,'Yield &amp; Time'!O:O)</f>
        <v>Yes</v>
      </c>
    </row>
    <row r="202" spans="1:46" x14ac:dyDescent="0.25">
      <c r="A202" s="1" t="s">
        <v>114</v>
      </c>
      <c r="B202" s="2" t="s">
        <v>552</v>
      </c>
      <c r="C202" s="2" t="s">
        <v>115</v>
      </c>
      <c r="D202" s="2" t="s">
        <v>554</v>
      </c>
      <c r="E202" s="2">
        <v>2.7</v>
      </c>
      <c r="F202" s="1" t="str">
        <f>VLOOKUP(H202,'RM Used'!A:B,2,0)</f>
        <v>166ACS</v>
      </c>
      <c r="G202" s="1" t="str">
        <f>IFERROR(VLOOKUP(F202,'RM Cost'!A:B,2,0),"")</f>
        <v>RM - LARGE MANGO 5/6</v>
      </c>
      <c r="H202" s="2" t="s">
        <v>1391</v>
      </c>
      <c r="I202" s="1" t="str">
        <f>VLOOKUP(F202,'RM Used'!B:D,3,0)</f>
        <v>RM-FOOD</v>
      </c>
      <c r="J202" s="66">
        <v>5.5555555555555566E-2</v>
      </c>
      <c r="K202" s="35">
        <f t="shared" si="42"/>
        <v>0.15000000000000005</v>
      </c>
      <c r="L202" s="35">
        <f t="shared" si="62"/>
        <v>0.15000000000000005</v>
      </c>
      <c r="M202" s="77" cm="1">
        <f t="array" ref="M202">_xlfn.IFS(BOM!I202="RM-PACKING","100%",B202="Reynolds",VLOOKUP(H202,'Yield &amp; Time'!A:V,22,0),BOM!B202="Dnata",VLOOKUP(BOM!H202,'Yield &amp; Time'!A:M,13,0),B202="NK",VLOOKUP(H202,'Yield &amp; Time'!A:X,24,0))</f>
        <v>0.51644204851752018</v>
      </c>
      <c r="N202" s="35">
        <f t="shared" si="61"/>
        <v>0.29044885177453039</v>
      </c>
      <c r="O202" s="1" t="str">
        <f>VLOOKUP(H202,'RM Used'!A:E,5,0)</f>
        <v>KG</v>
      </c>
      <c r="P202" s="11">
        <f>VLOOKUP(H202,'RM Used'!A:F,6,0)</f>
        <v>2.0799999999999996</v>
      </c>
      <c r="Q202" s="11">
        <f t="shared" si="71"/>
        <v>0.60413361169102309</v>
      </c>
      <c r="R202" s="11">
        <f>IFERROR(IF(B202="Reynolds",VLOOKUP(H202,'Yield &amp; Time'!A:U,21,0),VLOOKUP(H202,'Yield &amp; Time'!A:L,12,0)),0)</f>
        <v>4.2363409542237385</v>
      </c>
      <c r="S202" s="11">
        <f t="shared" si="63"/>
        <v>0.21510021195071038</v>
      </c>
      <c r="T202" s="11">
        <f t="shared" si="64"/>
        <v>1.059085238555935E-2</v>
      </c>
      <c r="U202" s="11">
        <f>IF(A201=A202,0,VLOOKUP(A202,'Packing Time'!A:F,6,0))</f>
        <v>0</v>
      </c>
      <c r="V202" s="11">
        <f t="shared" si="53"/>
        <v>0</v>
      </c>
      <c r="W202" s="11">
        <f t="shared" si="54"/>
        <v>0</v>
      </c>
      <c r="X202" s="11">
        <f t="shared" si="65"/>
        <v>0.23661023314578145</v>
      </c>
      <c r="Y202" s="11">
        <f t="shared" si="55"/>
        <v>0.23661023314578145</v>
      </c>
      <c r="Z202" s="37">
        <v>1</v>
      </c>
      <c r="AA202" s="36">
        <f t="shared" si="66"/>
        <v>0.29044885177453039</v>
      </c>
      <c r="AB202" s="36">
        <f t="shared" si="67"/>
        <v>0.60413361169102309</v>
      </c>
      <c r="AC202" s="11">
        <f t="shared" si="68"/>
        <v>1.1649937624115286E-2</v>
      </c>
      <c r="AD202" s="36">
        <f t="shared" si="56"/>
        <v>0.23661023314578145</v>
      </c>
      <c r="AE202" s="36" t="str">
        <f>VLOOKUP(H202,'Yield &amp; Time'!A:R,18,0)</f>
        <v>CHLORINE</v>
      </c>
      <c r="AF202" s="36">
        <f>IFERROR(VLOOKUP(AE202,'Chemical Cost'!A:D,4,0),0)</f>
        <v>2.7756518066439469E-2</v>
      </c>
      <c r="AG202" s="114">
        <f t="shared" si="69"/>
        <v>2.6872829338854508E-3</v>
      </c>
      <c r="AH202" s="36">
        <f t="shared" ref="AH202:AH267" si="73">AF202*AA202/3</f>
        <v>2.6872829338854508E-3</v>
      </c>
      <c r="AI202" s="36">
        <f t="shared" si="58"/>
        <v>0.84343112777068996</v>
      </c>
      <c r="AJ202" s="36">
        <f>IFERROR(VLOOKUP(A202,'All Products'!A:F,6,0),0)</f>
        <v>11.75</v>
      </c>
      <c r="AK202" s="36">
        <f t="shared" si="72"/>
        <v>0.6527777777777779</v>
      </c>
      <c r="AL202" s="23"/>
      <c r="AM202" s="23">
        <v>1</v>
      </c>
      <c r="AN202" s="54" t="e">
        <v>#N/A</v>
      </c>
      <c r="AO202" s="47"/>
      <c r="AP202" s="4">
        <v>1.1000000000000001</v>
      </c>
      <c r="AQ202" s="111">
        <f t="shared" si="70"/>
        <v>1.1649937624115286E-2</v>
      </c>
      <c r="AR202">
        <f>_xlfn.XLOOKUP(F202,'RM Cost'!A:A,'RM Cost'!S:S)</f>
        <v>0</v>
      </c>
      <c r="AS202" t="str">
        <f>_xlfn.XLOOKUP(A202,[3]Sheet1!$B:$B,[3]Sheet1!$B:$B)</f>
        <v>1852CS</v>
      </c>
      <c r="AT202" t="str">
        <f>_xlfn.XLOOKUP(H202,'Yield &amp; Time'!A:A,'Yield &amp; Time'!O:O)</f>
        <v>Yes</v>
      </c>
    </row>
    <row r="203" spans="1:46" x14ac:dyDescent="0.25">
      <c r="A203" s="1" t="s">
        <v>114</v>
      </c>
      <c r="B203" s="2" t="s">
        <v>552</v>
      </c>
      <c r="C203" s="2" t="s">
        <v>115</v>
      </c>
      <c r="D203" s="2" t="s">
        <v>554</v>
      </c>
      <c r="E203" s="2">
        <v>2.7</v>
      </c>
      <c r="F203" s="1" t="str">
        <f>VLOOKUP(H203,'RM Used'!A:B,2,0)</f>
        <v>2751CS</v>
      </c>
      <c r="G203" s="1" t="str">
        <f>IFERROR(VLOOKUP(F203,'RM Cost'!A:B,2,0),"")</f>
        <v>RM - PAPAYA X8 EA</v>
      </c>
      <c r="H203" s="2" t="s">
        <v>1392</v>
      </c>
      <c r="I203" s="1" t="str">
        <f>VLOOKUP(F203,'RM Used'!B:D,3,0)</f>
        <v>RM-FOOD</v>
      </c>
      <c r="J203" s="66">
        <v>5.5555555555555566E-2</v>
      </c>
      <c r="K203" s="35">
        <f t="shared" si="42"/>
        <v>0.15000000000000005</v>
      </c>
      <c r="L203" s="35">
        <f t="shared" si="62"/>
        <v>0.15000000000000005</v>
      </c>
      <c r="M203" s="77" cm="1">
        <f t="array" ref="M203">_xlfn.IFS(BOM!I203="RM-PACKING","100%",B203="Reynolds",VLOOKUP(H203,'Yield &amp; Time'!A:V,22,0),BOM!B203="Dnata",VLOOKUP(BOM!H203,'Yield &amp; Time'!A:M,13,0),B203="NK",VLOOKUP(H203,'Yield &amp; Time'!A:X,24,0))</f>
        <v>0.61352890089742362</v>
      </c>
      <c r="N203" s="35">
        <f t="shared" si="61"/>
        <v>0.24448726014469963</v>
      </c>
      <c r="O203" s="1" t="str">
        <f>VLOOKUP(H203,'RM Used'!A:E,5,0)</f>
        <v>KG</v>
      </c>
      <c r="P203" s="11">
        <f>VLOOKUP(H203,'RM Used'!A:F,6,0)</f>
        <v>5.52</v>
      </c>
      <c r="Q203" s="11">
        <f t="shared" si="71"/>
        <v>1.3495696759987419</v>
      </c>
      <c r="R203" s="11">
        <f>IFERROR(IF(B203="Reynolds",VLOOKUP(H203,'Yield &amp; Time'!A:U,21,0),VLOOKUP(H203,'Yield &amp; Time'!A:L,12,0)),0)</f>
        <v>5.6609756097560968</v>
      </c>
      <c r="S203" s="11">
        <f t="shared" si="63"/>
        <v>0.28743603658536587</v>
      </c>
      <c r="T203" s="11">
        <f t="shared" si="64"/>
        <v>1.4152439024390246E-2</v>
      </c>
      <c r="U203" s="11">
        <f>IF(A202=A203,0,VLOOKUP(A203,'Packing Time'!A:F,6,0))</f>
        <v>0</v>
      </c>
      <c r="V203" s="11">
        <f t="shared" si="53"/>
        <v>0</v>
      </c>
      <c r="W203" s="11">
        <f t="shared" si="54"/>
        <v>0</v>
      </c>
      <c r="X203" s="11">
        <f t="shared" si="65"/>
        <v>0.31617964024390249</v>
      </c>
      <c r="Y203" s="11">
        <f t="shared" si="55"/>
        <v>0.31617964024390249</v>
      </c>
      <c r="Z203" s="37">
        <v>1</v>
      </c>
      <c r="AA203" s="36">
        <f t="shared" si="66"/>
        <v>0.24448726014469963</v>
      </c>
      <c r="AB203" s="36">
        <f t="shared" si="67"/>
        <v>1.3495696759987419</v>
      </c>
      <c r="AC203" s="11">
        <f t="shared" si="68"/>
        <v>1.5567682926829272E-2</v>
      </c>
      <c r="AD203" s="36">
        <f t="shared" si="56"/>
        <v>0.31617964024390249</v>
      </c>
      <c r="AE203" s="36" t="str">
        <f>VLOOKUP(H203,'Yield &amp; Time'!A:R,18,0)</f>
        <v>CHLORINE</v>
      </c>
      <c r="AF203" s="36">
        <f>IFERROR(VLOOKUP(AE203,'Chemical Cost'!A:D,4,0),0)</f>
        <v>2.7756518066439469E-2</v>
      </c>
      <c r="AG203" s="114">
        <f t="shared" si="69"/>
        <v>2.2620383510735475E-3</v>
      </c>
      <c r="AH203" s="36">
        <f t="shared" si="73"/>
        <v>2.2620383510735475E-3</v>
      </c>
      <c r="AI203" s="36">
        <f t="shared" si="58"/>
        <v>1.6680113545937181</v>
      </c>
      <c r="AJ203" s="36">
        <f>IFERROR(VLOOKUP(A203,'All Products'!A:F,6,0),0)</f>
        <v>11.75</v>
      </c>
      <c r="AK203" s="36">
        <f t="shared" si="72"/>
        <v>0.6527777777777779</v>
      </c>
      <c r="AL203" s="23"/>
      <c r="AM203" s="23">
        <v>1</v>
      </c>
      <c r="AN203" s="54" t="e">
        <v>#N/A</v>
      </c>
      <c r="AO203" s="47"/>
      <c r="AP203" s="4">
        <v>1.1000000000000001</v>
      </c>
      <c r="AQ203" s="111">
        <f t="shared" si="70"/>
        <v>1.5567682926829272E-2</v>
      </c>
      <c r="AR203">
        <f>_xlfn.XLOOKUP(F203,'RM Cost'!A:A,'RM Cost'!S:S)</f>
        <v>0</v>
      </c>
      <c r="AS203" t="str">
        <f>_xlfn.XLOOKUP(A203,[3]Sheet1!$B:$B,[3]Sheet1!$B:$B)</f>
        <v>1852CS</v>
      </c>
      <c r="AT203" t="str">
        <f>_xlfn.XLOOKUP(H203,'Yield &amp; Time'!A:A,'Yield &amp; Time'!O:O)</f>
        <v>Yes</v>
      </c>
    </row>
    <row r="204" spans="1:46" x14ac:dyDescent="0.25">
      <c r="A204" s="1" t="s">
        <v>114</v>
      </c>
      <c r="B204" s="2" t="s">
        <v>552</v>
      </c>
      <c r="C204" s="2" t="s">
        <v>115</v>
      </c>
      <c r="D204" s="2" t="s">
        <v>554</v>
      </c>
      <c r="E204" s="2">
        <v>2.7</v>
      </c>
      <c r="F204" s="1" t="str">
        <f>VLOOKUP(H204,'RM Used'!A:B,2,0)</f>
        <v>2613CS</v>
      </c>
      <c r="G204" s="1" t="str">
        <f>IFERROR(VLOOKUP(F204,'RM Cost'!A:B,2,0),"")</f>
        <v>RM - GRAPE WHITE SLESS P/P 10X500G</v>
      </c>
      <c r="H204" s="2" t="s">
        <v>1384</v>
      </c>
      <c r="I204" s="1" t="str">
        <f>VLOOKUP(F204,'RM Used'!B:D,3,0)</f>
        <v>RM-FOOD</v>
      </c>
      <c r="J204" s="66">
        <v>5.5555555555555566E-2</v>
      </c>
      <c r="K204" s="35">
        <f t="shared" si="42"/>
        <v>0.15000000000000005</v>
      </c>
      <c r="L204" s="35">
        <f t="shared" si="62"/>
        <v>0.15000000000000005</v>
      </c>
      <c r="M204" s="77" cm="1">
        <f t="array" ref="M204">_xlfn.IFS(BOM!I204="RM-PACKING","100%",B204="Reynolds",VLOOKUP(H204,'Yield &amp; Time'!A:V,22,0),BOM!B204="Dnata",VLOOKUP(BOM!H204,'Yield &amp; Time'!A:M,13,0),B204="NK",VLOOKUP(H204,'Yield &amp; Time'!A:X,24,0))</f>
        <v>0.95454545454545447</v>
      </c>
      <c r="N204" s="35">
        <f t="shared" si="61"/>
        <v>0.1571428571428572</v>
      </c>
      <c r="O204" s="1" t="str">
        <f>VLOOKUP(H204,'RM Used'!A:E,5,0)</f>
        <v>KG</v>
      </c>
      <c r="P204" s="11">
        <f>VLOOKUP(H204,'RM Used'!A:F,6,0)</f>
        <v>2.2400000000000002</v>
      </c>
      <c r="Q204" s="11">
        <f t="shared" si="71"/>
        <v>0.35200000000000015</v>
      </c>
      <c r="R204" s="11">
        <f>IFERROR(IF(B204="Reynolds",VLOOKUP(H204,'Yield &amp; Time'!A:U,21,0),VLOOKUP(H204,'Yield &amp; Time'!A:L,12,0)),0)</f>
        <v>2.3878968253968256</v>
      </c>
      <c r="S204" s="11">
        <f t="shared" si="63"/>
        <v>0.12124546130952382</v>
      </c>
      <c r="T204" s="11">
        <f t="shared" si="64"/>
        <v>5.9697420634920641E-3</v>
      </c>
      <c r="U204" s="11">
        <f>IF(A203=A204,0,VLOOKUP(A204,'Packing Time'!A:F,6,0))</f>
        <v>0</v>
      </c>
      <c r="V204" s="11">
        <f t="shared" si="53"/>
        <v>0</v>
      </c>
      <c r="W204" s="11">
        <f t="shared" si="54"/>
        <v>0</v>
      </c>
      <c r="X204" s="11">
        <f t="shared" si="65"/>
        <v>0.13337000744047622</v>
      </c>
      <c r="Y204" s="11">
        <f t="shared" si="55"/>
        <v>0.13337000744047622</v>
      </c>
      <c r="Z204" s="37">
        <v>1</v>
      </c>
      <c r="AA204" s="36">
        <f t="shared" si="66"/>
        <v>0.1571428571428572</v>
      </c>
      <c r="AB204" s="36">
        <f t="shared" si="67"/>
        <v>0.35200000000000015</v>
      </c>
      <c r="AC204" s="11">
        <f t="shared" si="68"/>
        <v>6.5667162698412711E-3</v>
      </c>
      <c r="AD204" s="36">
        <f t="shared" si="56"/>
        <v>0.1333700074404762</v>
      </c>
      <c r="AE204" s="36" t="str">
        <f>VLOOKUP(H204,'Yield &amp; Time'!A:R,18,0)</f>
        <v>CHLORINE</v>
      </c>
      <c r="AF204" s="36">
        <f>IFERROR(VLOOKUP(AE204,'Chemical Cost'!A:D,4,0),0)</f>
        <v>2.7756518066439469E-2</v>
      </c>
      <c r="AG204" s="114">
        <f t="shared" si="69"/>
        <v>1.4539128510992108E-3</v>
      </c>
      <c r="AH204" s="36">
        <f t="shared" si="73"/>
        <v>1.4539128510992108E-3</v>
      </c>
      <c r="AI204" s="36">
        <f t="shared" si="58"/>
        <v>0.48682392029157556</v>
      </c>
      <c r="AJ204" s="36">
        <f>IFERROR(VLOOKUP(A204,'All Products'!A:F,6,0),0)</f>
        <v>11.75</v>
      </c>
      <c r="AK204" s="36">
        <f t="shared" si="72"/>
        <v>0.6527777777777779</v>
      </c>
      <c r="AL204" s="23"/>
      <c r="AM204" s="23">
        <v>1</v>
      </c>
      <c r="AN204" s="54" t="e">
        <v>#N/A</v>
      </c>
      <c r="AO204" s="47"/>
      <c r="AP204" s="4">
        <v>1.1000000000000001</v>
      </c>
      <c r="AQ204" s="111">
        <f t="shared" si="70"/>
        <v>6.5667162698412711E-3</v>
      </c>
      <c r="AR204">
        <f>_xlfn.XLOOKUP(F204,'RM Cost'!A:A,'RM Cost'!S:S)</f>
        <v>0</v>
      </c>
      <c r="AS204" t="str">
        <f>_xlfn.XLOOKUP(A204,[3]Sheet1!$B:$B,[3]Sheet1!$B:$B)</f>
        <v>1852CS</v>
      </c>
      <c r="AT204" t="str">
        <f>_xlfn.XLOOKUP(H204,'Yield &amp; Time'!A:A,'Yield &amp; Time'!O:O)</f>
        <v>Yes</v>
      </c>
    </row>
    <row r="205" spans="1:46" x14ac:dyDescent="0.25">
      <c r="A205" s="1" t="s">
        <v>114</v>
      </c>
      <c r="B205" s="2" t="s">
        <v>552</v>
      </c>
      <c r="C205" s="2" t="s">
        <v>115</v>
      </c>
      <c r="D205" s="2" t="s">
        <v>554</v>
      </c>
      <c r="E205" s="2">
        <v>2.7</v>
      </c>
      <c r="F205" s="1" t="str">
        <f>VLOOKUP(H205,'RM Used'!A:B,2,0)</f>
        <v>2608CS</v>
      </c>
      <c r="G205" s="1" t="str">
        <f>IFERROR(VLOOKUP(F205,'RM Cost'!A:B,2,0),"")</f>
        <v>RM - GRAPE BLACK SLESS P/P 10X500G</v>
      </c>
      <c r="H205" s="2" t="s">
        <v>1383</v>
      </c>
      <c r="I205" s="1" t="str">
        <f>VLOOKUP(F205,'RM Used'!B:D,3,0)</f>
        <v>RM-FOOD</v>
      </c>
      <c r="J205" s="66">
        <v>5.5555555555555566E-2</v>
      </c>
      <c r="K205" s="35">
        <f t="shared" ref="K205:K272" si="74">IF(I205="RM-FOOD",J205*E205,"")</f>
        <v>0.15000000000000005</v>
      </c>
      <c r="L205" s="35">
        <f t="shared" si="62"/>
        <v>0.15000000000000005</v>
      </c>
      <c r="M205" s="77" cm="1">
        <f t="array" ref="M205">_xlfn.IFS(BOM!I205="RM-PACKING","100%",B205="Reynolds",VLOOKUP(H205,'Yield &amp; Time'!A:V,22,0),BOM!B205="Dnata",VLOOKUP(BOM!H205,'Yield &amp; Time'!A:M,13,0),B205="NK",VLOOKUP(H205,'Yield &amp; Time'!A:X,24,0))</f>
        <v>0.95121951219512202</v>
      </c>
      <c r="N205" s="35">
        <f t="shared" si="61"/>
        <v>0.15769230769230774</v>
      </c>
      <c r="O205" s="1" t="str">
        <f>VLOOKUP(H205,'RM Used'!A:E,5,0)</f>
        <v>KG</v>
      </c>
      <c r="P205" s="11">
        <f>VLOOKUP(H205,'RM Used'!A:F,6,0)</f>
        <v>2.2599999999999998</v>
      </c>
      <c r="Q205" s="11">
        <f t="shared" si="71"/>
        <v>0.35638461538461547</v>
      </c>
      <c r="R205" s="11">
        <f>IFERROR(IF(B205="Reynolds",VLOOKUP(H205,'Yield &amp; Time'!A:U,21,0),VLOOKUP(H205,'Yield &amp; Time'!A:L,12,0)),0)</f>
        <v>2.6266025641025639</v>
      </c>
      <c r="S205" s="11">
        <f t="shared" si="63"/>
        <v>0.13336574519230771</v>
      </c>
      <c r="T205" s="11">
        <f t="shared" si="64"/>
        <v>6.5665064102564119E-3</v>
      </c>
      <c r="U205" s="11">
        <f>IF(A204=A205,0,VLOOKUP(A205,'Packing Time'!A:F,6,0))</f>
        <v>0</v>
      </c>
      <c r="V205" s="11">
        <f t="shared" si="53"/>
        <v>0</v>
      </c>
      <c r="W205" s="11">
        <f t="shared" si="54"/>
        <v>0</v>
      </c>
      <c r="X205" s="11">
        <f t="shared" si="65"/>
        <v>0.14670231971153849</v>
      </c>
      <c r="Y205" s="11">
        <f t="shared" si="55"/>
        <v>0.14670231971153849</v>
      </c>
      <c r="Z205" s="37">
        <v>1</v>
      </c>
      <c r="AA205" s="36">
        <f t="shared" si="66"/>
        <v>0.15769230769230774</v>
      </c>
      <c r="AB205" s="36">
        <f t="shared" si="67"/>
        <v>0.35638461538461547</v>
      </c>
      <c r="AC205" s="11">
        <f t="shared" si="68"/>
        <v>7.2231570512820533E-3</v>
      </c>
      <c r="AD205" s="36">
        <f t="shared" si="56"/>
        <v>0.14670231971153849</v>
      </c>
      <c r="AE205" s="36" t="str">
        <f>VLOOKUP(H205,'Yield &amp; Time'!A:R,18,0)</f>
        <v>CHLORINE</v>
      </c>
      <c r="AF205" s="36">
        <f>IFERROR(VLOOKUP(AE205,'Chemical Cost'!A:D,4,0),0)</f>
        <v>2.7756518066439469E-2</v>
      </c>
      <c r="AG205" s="114">
        <f t="shared" si="69"/>
        <v>1.4589964624666905E-3</v>
      </c>
      <c r="AH205" s="36">
        <f t="shared" si="73"/>
        <v>1.4589964624666905E-3</v>
      </c>
      <c r="AI205" s="36">
        <f t="shared" si="58"/>
        <v>0.50454593155862071</v>
      </c>
      <c r="AJ205" s="36">
        <f>IFERROR(VLOOKUP(A205,'All Products'!A:F,6,0),0)</f>
        <v>11.75</v>
      </c>
      <c r="AK205" s="36">
        <f t="shared" si="72"/>
        <v>0.6527777777777779</v>
      </c>
      <c r="AL205" s="23"/>
      <c r="AM205" s="23">
        <v>1</v>
      </c>
      <c r="AN205" s="54" t="e">
        <v>#N/A</v>
      </c>
      <c r="AO205" s="47"/>
      <c r="AP205" s="4">
        <v>1.1000000000000001</v>
      </c>
      <c r="AQ205" s="111">
        <f t="shared" si="70"/>
        <v>7.2231570512820533E-3</v>
      </c>
      <c r="AR205">
        <f>_xlfn.XLOOKUP(F205,'RM Cost'!A:A,'RM Cost'!S:S)</f>
        <v>0</v>
      </c>
      <c r="AS205" t="str">
        <f>_xlfn.XLOOKUP(A205,[3]Sheet1!$B:$B,[3]Sheet1!$B:$B)</f>
        <v>1852CS</v>
      </c>
      <c r="AT205" t="str">
        <f>_xlfn.XLOOKUP(H205,'Yield &amp; Time'!A:A,'Yield &amp; Time'!O:O)</f>
        <v>Yes</v>
      </c>
    </row>
    <row r="206" spans="1:46" x14ac:dyDescent="0.25">
      <c r="A206" s="1" t="s">
        <v>114</v>
      </c>
      <c r="B206" s="2" t="s">
        <v>552</v>
      </c>
      <c r="C206" s="2" t="s">
        <v>115</v>
      </c>
      <c r="D206" s="2" t="s">
        <v>554</v>
      </c>
      <c r="E206" s="2">
        <v>2.7</v>
      </c>
      <c r="F206" s="1" t="str">
        <f>VLOOKUP(H206,'RM Used'!A:B,2,0)</f>
        <v>8929CS</v>
      </c>
      <c r="G206" s="1" t="str">
        <f>IFERROR(VLOOKUP(F206,'RM Cost'!A:B,2,0),"")</f>
        <v>GRANULATED SUGAR 1 X 25K</v>
      </c>
      <c r="H206" s="2" t="s">
        <v>1757</v>
      </c>
      <c r="I206" s="1" t="str">
        <f>VLOOKUP(F206,'RM Used'!B:D,3,0)</f>
        <v>RM-FOOD</v>
      </c>
      <c r="J206" s="66">
        <v>0.2592592592592593</v>
      </c>
      <c r="K206" s="35">
        <f t="shared" si="74"/>
        <v>0.70000000000000018</v>
      </c>
      <c r="L206" s="35">
        <f t="shared" si="62"/>
        <v>0.70000000000000018</v>
      </c>
      <c r="M206" s="77" cm="1">
        <f t="array" ref="M206">_xlfn.IFS(BOM!I206="RM-PACKING","100%",B206="Reynolds",VLOOKUP(H206,'Yield &amp; Time'!A:V,22,0),BOM!B206="Dnata",VLOOKUP(BOM!H206,'Yield &amp; Time'!A:M,13,0),B206="NK",VLOOKUP(H206,'Yield &amp; Time'!A:X,24,0))</f>
        <v>1</v>
      </c>
      <c r="N206" s="35">
        <f>IFERROR(IF(I206="RM-FOOD",(E206*J206)/M206,1),0)</f>
        <v>0.70000000000000018</v>
      </c>
      <c r="O206" s="1" t="str">
        <f>VLOOKUP(H206,'RM Used'!A:E,5,0)</f>
        <v>KG</v>
      </c>
      <c r="P206" s="11">
        <f>VLOOKUP(H206,'RM Used'!A:F,6,0)</f>
        <v>6.3E-2</v>
      </c>
      <c r="Q206" s="11">
        <f t="shared" si="71"/>
        <v>4.4100000000000014E-2</v>
      </c>
      <c r="R206" s="11">
        <f>IFERROR(IF(B206="Reynolds",VLOOKUP(H206,'Yield &amp; Time'!A:U,21,0),VLOOKUP(H206,'Yield &amp; Time'!A:L,12,0)),0)</f>
        <v>0.16666666666666666</v>
      </c>
      <c r="S206" s="11">
        <f t="shared" si="63"/>
        <v>3.9491666666666668E-2</v>
      </c>
      <c r="T206" s="11">
        <f t="shared" si="64"/>
        <v>1.9444444444444446E-3</v>
      </c>
      <c r="U206" s="11">
        <f>IF(A205=A206,0,VLOOKUP(A206,'Packing Time'!A:F,6,0))</f>
        <v>0</v>
      </c>
      <c r="V206" s="11">
        <f>U206*AO$1</f>
        <v>0</v>
      </c>
      <c r="W206" s="11">
        <f>(U206*Z206)/60</f>
        <v>0</v>
      </c>
      <c r="X206" s="11">
        <f t="shared" si="65"/>
        <v>4.3440833333333338E-2</v>
      </c>
      <c r="Y206" s="11">
        <f>X206*Z206</f>
        <v>4.3440833333333338E-2</v>
      </c>
      <c r="Z206" s="37">
        <v>1</v>
      </c>
      <c r="AA206" s="36">
        <f t="shared" si="66"/>
        <v>0.70000000000000018</v>
      </c>
      <c r="AB206" s="36">
        <f t="shared" si="67"/>
        <v>4.4100000000000014E-2</v>
      </c>
      <c r="AC206" s="11">
        <f t="shared" si="68"/>
        <v>2.1388888888888894E-3</v>
      </c>
      <c r="AD206" s="36">
        <f>AC206*60*AO$1</f>
        <v>4.3440833333333338E-2</v>
      </c>
      <c r="AE206" s="36">
        <f>VLOOKUP(H206,'Yield &amp; Time'!A:R,18,0)</f>
        <v>0</v>
      </c>
      <c r="AF206" s="36">
        <f>IFERROR(VLOOKUP(AE206,'Chemical Cost'!A:D,4,0),0)</f>
        <v>0</v>
      </c>
      <c r="AG206" s="114">
        <f t="shared" si="69"/>
        <v>0</v>
      </c>
      <c r="AH206" s="36">
        <f t="shared" si="73"/>
        <v>0</v>
      </c>
      <c r="AI206" s="36">
        <f>IFERROR((Q206*Z206)+(Z206*X206)+AH206,0)</f>
        <v>8.7540833333333345E-2</v>
      </c>
      <c r="AJ206" s="36">
        <f>IFERROR(VLOOKUP(A206,'All Products'!A:F,6,0),0)</f>
        <v>11.75</v>
      </c>
      <c r="AK206" s="36">
        <f t="shared" si="72"/>
        <v>3.0462962962962967</v>
      </c>
      <c r="AL206" s="23"/>
      <c r="AM206" s="23">
        <v>1</v>
      </c>
      <c r="AN206" s="54" t="e">
        <v>#N/A</v>
      </c>
      <c r="AO206" s="47"/>
      <c r="AP206" s="4">
        <v>1.1000000000000001</v>
      </c>
      <c r="AQ206" s="111">
        <f t="shared" si="70"/>
        <v>2.1388888888888894E-3</v>
      </c>
      <c r="AR206">
        <f>_xlfn.XLOOKUP(F206,'RM Cost'!A:A,'RM Cost'!S:S)</f>
        <v>0</v>
      </c>
      <c r="AS206" t="str">
        <f>_xlfn.XLOOKUP(A206,[3]Sheet1!$B:$B,[3]Sheet1!$B:$B)</f>
        <v>1852CS</v>
      </c>
      <c r="AT206">
        <f>_xlfn.XLOOKUP(H206,'Yield &amp; Time'!A:A,'Yield &amp; Time'!F:F)</f>
        <v>0</v>
      </c>
    </row>
    <row r="207" spans="1:46" x14ac:dyDescent="0.25">
      <c r="A207" s="1" t="s">
        <v>114</v>
      </c>
      <c r="B207" s="2" t="s">
        <v>552</v>
      </c>
      <c r="C207" s="2" t="s">
        <v>115</v>
      </c>
      <c r="D207" s="2" t="s">
        <v>554</v>
      </c>
      <c r="E207" s="2">
        <v>2.7</v>
      </c>
      <c r="F207" s="1" t="str">
        <f>VLOOKUP(H207,'RM Used'!A:B,2,0)</f>
        <v>P0010</v>
      </c>
      <c r="G207" s="1" t="str">
        <f>IFERROR(VLOOKUP(F207,'RM Cost'!A:B,2,0),"")</f>
        <v>BUCKET 3L PJET</v>
      </c>
      <c r="H207" s="2" t="s">
        <v>4672</v>
      </c>
      <c r="I207" s="1" t="str">
        <f>VLOOKUP(F207,'RM Used'!B:D,3,0)</f>
        <v>RM-PACKING</v>
      </c>
      <c r="J207" s="66">
        <v>1</v>
      </c>
      <c r="K207" s="35" t="str">
        <f t="shared" si="74"/>
        <v/>
      </c>
      <c r="L207" s="35">
        <f t="shared" si="62"/>
        <v>0</v>
      </c>
      <c r="M207" s="77" t="str" cm="1">
        <f t="array" ref="M207">_xlfn.IFS(BOM!I207="RM-PACKING","100%",B207="Reynolds",VLOOKUP(H207,'Yield &amp; Time'!A:V,22,0),BOM!B207="Dnata",VLOOKUP(BOM!H207,'Yield &amp; Time'!A:M,13,0),B207="NK",VLOOKUP(H207,'Yield &amp; Time'!A:X,24,0))</f>
        <v>100%</v>
      </c>
      <c r="N207" s="35">
        <f t="shared" si="61"/>
        <v>1</v>
      </c>
      <c r="O207" s="1" t="str">
        <f>VLOOKUP(H207,'RM Used'!A:E,5,0)</f>
        <v>Count</v>
      </c>
      <c r="P207" s="11">
        <f>VLOOKUP(H207,'RM Used'!A:F,6,0)</f>
        <v>0.56000000000000005</v>
      </c>
      <c r="Q207" s="11">
        <f t="shared" si="71"/>
        <v>0.56000000000000005</v>
      </c>
      <c r="R207" s="11">
        <f>IFERROR(IF(B207="Reynolds",VLOOKUP(H207,'Yield &amp; Time'!A:U,21,0),VLOOKUP(H207,'Yield &amp; Time'!A:L,12,0)),0)</f>
        <v>0</v>
      </c>
      <c r="S207" s="11">
        <f t="shared" si="63"/>
        <v>0</v>
      </c>
      <c r="T207" s="11">
        <f t="shared" si="64"/>
        <v>0</v>
      </c>
      <c r="U207" s="11">
        <f>IF(A206=A207,0,VLOOKUP(A207,'Packing Time'!A:F,6,0))</f>
        <v>0</v>
      </c>
      <c r="V207" s="11">
        <f t="shared" ref="V207:V273" si="75">U207*AO$1</f>
        <v>0</v>
      </c>
      <c r="W207" s="11">
        <f t="shared" ref="W207:W273" si="76">(U207*Z207)/60</f>
        <v>0</v>
      </c>
      <c r="X207" s="11">
        <f t="shared" si="65"/>
        <v>0</v>
      </c>
      <c r="Y207" s="11">
        <f t="shared" ref="Y207:Y273" si="77">X207*Z207</f>
        <v>0</v>
      </c>
      <c r="Z207" s="37">
        <v>1</v>
      </c>
      <c r="AA207" s="36">
        <f t="shared" si="66"/>
        <v>1</v>
      </c>
      <c r="AB207" s="36">
        <f t="shared" si="67"/>
        <v>0.56000000000000005</v>
      </c>
      <c r="AC207" s="11">
        <f t="shared" si="68"/>
        <v>0</v>
      </c>
      <c r="AD207" s="36">
        <f t="shared" ref="AD207:AD273" si="78">AC207*60*AO$1</f>
        <v>0</v>
      </c>
      <c r="AE207" s="36"/>
      <c r="AF207" s="36">
        <f>IFERROR(VLOOKUP(AE207,'Chemical Cost'!A:D,4,0),0)</f>
        <v>0</v>
      </c>
      <c r="AG207" s="114">
        <f t="shared" si="69"/>
        <v>0</v>
      </c>
      <c r="AH207" s="36">
        <f t="shared" si="73"/>
        <v>0</v>
      </c>
      <c r="AI207" s="36">
        <f t="shared" ref="AI207:AI273" si="79">IFERROR((Q207*Z207)+(Z207*X207)+AH207,0)</f>
        <v>0.56000000000000005</v>
      </c>
      <c r="AJ207" s="36">
        <f>IFERROR(VLOOKUP(A207,'All Products'!A:F,6,0),0)</f>
        <v>11.75</v>
      </c>
      <c r="AK207" s="36"/>
      <c r="AL207" s="23"/>
      <c r="AM207" s="23">
        <v>1</v>
      </c>
      <c r="AN207" s="54" t="e">
        <v>#N/A</v>
      </c>
      <c r="AO207" s="47"/>
      <c r="AP207" s="4">
        <v>1.1000000000000001</v>
      </c>
      <c r="AQ207" s="111">
        <f t="shared" si="70"/>
        <v>0</v>
      </c>
      <c r="AR207">
        <f>_xlfn.XLOOKUP(F207,'RM Cost'!A:A,'RM Cost'!S:S)</f>
        <v>0</v>
      </c>
      <c r="AS207" t="str">
        <f>_xlfn.XLOOKUP(A207,[3]Sheet1!$B:$B,[3]Sheet1!$B:$B)</f>
        <v>1852CS</v>
      </c>
      <c r="AT207" t="e">
        <f>_xlfn.XLOOKUP(H207,'Yield &amp; Time'!A:A,'Yield &amp; Time'!F:F)</f>
        <v>#N/A</v>
      </c>
    </row>
    <row r="208" spans="1:46" x14ac:dyDescent="0.25">
      <c r="A208" s="1" t="s">
        <v>114</v>
      </c>
      <c r="B208" s="2" t="s">
        <v>552</v>
      </c>
      <c r="C208" s="2" t="s">
        <v>115</v>
      </c>
      <c r="D208" s="2" t="s">
        <v>554</v>
      </c>
      <c r="E208" s="2">
        <v>2.7</v>
      </c>
      <c r="F208" s="1" t="str">
        <f>VLOOKUP(H208,'RM Used'!A:B,2,0)</f>
        <v>P0026</v>
      </c>
      <c r="G208" s="1" t="str">
        <f>IFERROR(VLOOKUP(F208,'RM Cost'!A:B,2,0),"")</f>
        <v>LID 2.2L PJET 2.2L-3.8L</v>
      </c>
      <c r="H208" s="2" t="s">
        <v>4673</v>
      </c>
      <c r="I208" s="1" t="str">
        <f>VLOOKUP(F208,'RM Used'!B:D,3,0)</f>
        <v>RM-PACKING</v>
      </c>
      <c r="J208" s="66">
        <v>1</v>
      </c>
      <c r="K208" s="35" t="str">
        <f>IF(I208="RM-FOOD",J208*E208,"")</f>
        <v/>
      </c>
      <c r="L208" s="35">
        <f t="shared" si="62"/>
        <v>0</v>
      </c>
      <c r="M208" s="77" t="str" cm="1">
        <f t="array" ref="M208">_xlfn.IFS(BOM!I208="RM-PACKING","100%",B208="Reynolds",VLOOKUP(H208,'Yield &amp; Time'!A:V,22,0),BOM!B208="Dnata",VLOOKUP(BOM!H208,'Yield &amp; Time'!A:M,13,0),B208="NK",VLOOKUP(H208,'Yield &amp; Time'!A:X,24,0))</f>
        <v>100%</v>
      </c>
      <c r="N208" s="35">
        <f>IFERROR(IF(I208="RM-FOOD",(E208*J208)/M208,1),0)</f>
        <v>1</v>
      </c>
      <c r="O208" s="1" t="str">
        <f>VLOOKUP(H208,'RM Used'!A:E,5,0)</f>
        <v>Count</v>
      </c>
      <c r="P208" s="11">
        <f>VLOOKUP(H208,'RM Used'!A:F,6,0)</f>
        <v>0.16</v>
      </c>
      <c r="Q208" s="11">
        <f t="shared" si="71"/>
        <v>0.16</v>
      </c>
      <c r="R208" s="11">
        <f>IFERROR(IF(B208="Reynolds",VLOOKUP(H208,'Yield &amp; Time'!A:U,21,0),VLOOKUP(H208,'Yield &amp; Time'!A:L,12,0)),0)</f>
        <v>0</v>
      </c>
      <c r="S208" s="11">
        <f t="shared" si="63"/>
        <v>0</v>
      </c>
      <c r="T208" s="11">
        <f t="shared" si="64"/>
        <v>0</v>
      </c>
      <c r="U208" s="11">
        <f>IF(A207=A208,0,VLOOKUP(A208,'Packing Time'!A:F,6,0))</f>
        <v>0</v>
      </c>
      <c r="V208" s="11">
        <f>U208*AO$1</f>
        <v>0</v>
      </c>
      <c r="W208" s="11">
        <f>(U208*Z208)/60</f>
        <v>0</v>
      </c>
      <c r="X208" s="11">
        <f t="shared" si="65"/>
        <v>0</v>
      </c>
      <c r="Y208" s="11">
        <f>X208*Z208</f>
        <v>0</v>
      </c>
      <c r="Z208" s="37">
        <v>1</v>
      </c>
      <c r="AA208" s="36">
        <f t="shared" si="66"/>
        <v>1</v>
      </c>
      <c r="AB208" s="36">
        <f t="shared" si="67"/>
        <v>0.16</v>
      </c>
      <c r="AC208" s="11">
        <f t="shared" si="68"/>
        <v>0</v>
      </c>
      <c r="AD208" s="36">
        <f>AC208*60*AO$1</f>
        <v>0</v>
      </c>
      <c r="AE208" s="36"/>
      <c r="AF208" s="36">
        <f>IFERROR(VLOOKUP(AE208,'Chemical Cost'!A:D,4,0),0)</f>
        <v>0</v>
      </c>
      <c r="AG208" s="114">
        <f t="shared" si="69"/>
        <v>0</v>
      </c>
      <c r="AH208" s="36">
        <f>AF208*AA208/3</f>
        <v>0</v>
      </c>
      <c r="AI208" s="36">
        <f>IFERROR((Q208*Z208)+(Z208*X208)+AH208,0)</f>
        <v>0.16</v>
      </c>
      <c r="AJ208" s="36">
        <f>IFERROR(VLOOKUP(A208,'All Products'!A:F,6,0),0)</f>
        <v>11.75</v>
      </c>
      <c r="AK208" s="36"/>
      <c r="AL208" s="23"/>
      <c r="AM208" s="23">
        <v>1</v>
      </c>
      <c r="AN208" s="54" t="e">
        <v>#N/A</v>
      </c>
      <c r="AO208" s="47"/>
      <c r="AP208" s="4">
        <v>1.1000000000000001</v>
      </c>
      <c r="AQ208" s="111">
        <f t="shared" si="70"/>
        <v>0</v>
      </c>
      <c r="AR208">
        <f>_xlfn.XLOOKUP(F208,'RM Cost'!A:A,'RM Cost'!S:S)</f>
        <v>0</v>
      </c>
      <c r="AS208" t="str">
        <f>_xlfn.XLOOKUP(A208,[3]Sheet1!$B:$B,[3]Sheet1!$B:$B)</f>
        <v>1852CS</v>
      </c>
      <c r="AT208" t="e">
        <f>_xlfn.XLOOKUP(H208,'Yield &amp; Time'!A:A,'Yield &amp; Time'!F:F)</f>
        <v>#N/A</v>
      </c>
    </row>
    <row r="209" spans="1:46" x14ac:dyDescent="0.25">
      <c r="A209" s="1" t="s">
        <v>100</v>
      </c>
      <c r="B209" s="2" t="s">
        <v>552</v>
      </c>
      <c r="C209" s="2" t="s">
        <v>573</v>
      </c>
      <c r="D209" s="2" t="s">
        <v>554</v>
      </c>
      <c r="E209" s="2">
        <v>2.5</v>
      </c>
      <c r="F209" s="1" t="str">
        <f>VLOOKUP(H209,'RM Used'!A:B,2,0)</f>
        <v>1318CS</v>
      </c>
      <c r="G209" s="1" t="str">
        <f>IFERROR(VLOOKUP(F209,'RM Cost'!A:B,2,0),"")</f>
        <v>RM - PREP ONION RED WHOLE 2.5KG</v>
      </c>
      <c r="H209" s="2" t="s">
        <v>1444</v>
      </c>
      <c r="I209" s="1" t="str">
        <f>VLOOKUP(F209,'RM Used'!B:D,3,0)</f>
        <v>RM-FOOD</v>
      </c>
      <c r="J209" s="66">
        <v>1</v>
      </c>
      <c r="K209" s="35">
        <f t="shared" si="74"/>
        <v>2.5</v>
      </c>
      <c r="L209" s="35">
        <f t="shared" si="62"/>
        <v>2.5</v>
      </c>
      <c r="M209" s="77" cm="1">
        <f t="array" ref="M209">_xlfn.IFS(BOM!I209="RM-PACKING","100%",B209="Reynolds",VLOOKUP(H209,'Yield &amp; Time'!A:V,22,0),BOM!B209="Dnata",VLOOKUP(BOM!H209,'Yield &amp; Time'!A:M,13,0),B209="NK",VLOOKUP(H209,'Yield &amp; Time'!A:X,24,0))</f>
        <v>0.84699381973635623</v>
      </c>
      <c r="N209" s="35">
        <f t="shared" si="61"/>
        <v>2.9516153975930721</v>
      </c>
      <c r="O209" s="1" t="str">
        <f>VLOOKUP(H209,'RM Used'!A:E,5,0)</f>
        <v>KG</v>
      </c>
      <c r="P209" s="11">
        <f>VLOOKUP(H209,'RM Used'!A:F,6,0)</f>
        <v>1.08</v>
      </c>
      <c r="Q209" s="11">
        <f t="shared" si="71"/>
        <v>3.1877446294005183</v>
      </c>
      <c r="R209" s="11">
        <f>IFERROR(IF(B209="Reynolds",VLOOKUP(H209,'Yield &amp; Time'!A:U,21,0),VLOOKUP(H209,'Yield &amp; Time'!A:L,12,0)),0)</f>
        <v>0.73</v>
      </c>
      <c r="S209" s="11">
        <f t="shared" si="63"/>
        <v>0.61776249999999988</v>
      </c>
      <c r="T209" s="11">
        <f t="shared" si="64"/>
        <v>3.0416666666666665E-2</v>
      </c>
      <c r="U209" s="11">
        <f>IF(A208=A209,0,VLOOKUP(A209,'Packing Time'!A:F,6,0))</f>
        <v>0.875</v>
      </c>
      <c r="V209" s="11">
        <f t="shared" si="75"/>
        <v>0.29618749999999999</v>
      </c>
      <c r="W209" s="11">
        <f t="shared" si="76"/>
        <v>1.4583333333333334E-2</v>
      </c>
      <c r="X209" s="11">
        <f t="shared" si="65"/>
        <v>1.0053449999999999</v>
      </c>
      <c r="Y209" s="11">
        <f t="shared" si="77"/>
        <v>1.0053449999999999</v>
      </c>
      <c r="Z209" s="37">
        <v>1</v>
      </c>
      <c r="AA209" s="36">
        <f t="shared" si="66"/>
        <v>2.9516153975930721</v>
      </c>
      <c r="AB209" s="36">
        <f t="shared" si="67"/>
        <v>3.1877446294005183</v>
      </c>
      <c r="AC209" s="11">
        <f t="shared" si="68"/>
        <v>4.9500000000000009E-2</v>
      </c>
      <c r="AD209" s="36">
        <f t="shared" si="78"/>
        <v>1.0053450000000002</v>
      </c>
      <c r="AE209" s="36" t="str">
        <f>VLOOKUP(H209,'Yield &amp; Time'!A:R,18,0)</f>
        <v>CHLORINE</v>
      </c>
      <c r="AF209" s="36">
        <f>IFERROR(VLOOKUP(AE209,'Chemical Cost'!A:D,4,0),0)</f>
        <v>2.7756518066439469E-2</v>
      </c>
      <c r="AG209" s="114">
        <f t="shared" si="69"/>
        <v>2.7308855369491011E-2</v>
      </c>
      <c r="AH209" s="36">
        <f t="shared" si="73"/>
        <v>2.7308855369491011E-2</v>
      </c>
      <c r="AI209" s="36">
        <f t="shared" si="79"/>
        <v>4.2203984847700093</v>
      </c>
      <c r="AJ209" s="36">
        <f>IFERROR(VLOOKUP(A209,'All Products'!A:F,6,0),0)</f>
        <v>6.48</v>
      </c>
      <c r="AK209" s="36">
        <f>AJ209*Z209*J209</f>
        <v>6.48</v>
      </c>
      <c r="AL209" s="23">
        <v>0.8</v>
      </c>
      <c r="AM209" s="23">
        <v>0.2</v>
      </c>
      <c r="AN209" s="54" t="e">
        <v>#N/A</v>
      </c>
      <c r="AO209" s="47"/>
      <c r="AP209" s="4">
        <v>1.1000000000000001</v>
      </c>
      <c r="AQ209" s="111">
        <f t="shared" si="70"/>
        <v>4.9500000000000009E-2</v>
      </c>
      <c r="AR209">
        <f>_xlfn.XLOOKUP(F209,'RM Cost'!A:A,'RM Cost'!S:S)</f>
        <v>0</v>
      </c>
      <c r="AS209" t="str">
        <f>_xlfn.XLOOKUP(A209,[3]Sheet1!$B:$B,[3]Sheet1!$B:$B)</f>
        <v>1298CS</v>
      </c>
      <c r="AT209" t="str">
        <f>_xlfn.XLOOKUP(H209,'Yield &amp; Time'!A:A,'Yield &amp; Time'!O:O)</f>
        <v>Yes</v>
      </c>
    </row>
    <row r="210" spans="1:46" x14ac:dyDescent="0.25">
      <c r="A210" s="1" t="s">
        <v>100</v>
      </c>
      <c r="B210" s="2" t="s">
        <v>552</v>
      </c>
      <c r="C210" s="2" t="s">
        <v>573</v>
      </c>
      <c r="D210" s="2" t="s">
        <v>554</v>
      </c>
      <c r="E210" s="2">
        <v>2.5</v>
      </c>
      <c r="F210" s="1" t="str">
        <f>VLOOKUP(H210,'RM Used'!A:B,2,0)</f>
        <v>P0020</v>
      </c>
      <c r="G210" s="1" t="str">
        <f>IFERROR(VLOOKUP(F210,'RM Cost'!A:B,2,0),"")</f>
        <v>PALE BLUE BAG 430X430MM</v>
      </c>
      <c r="H210" s="2" t="s">
        <v>1659</v>
      </c>
      <c r="I210" s="1" t="str">
        <f>VLOOKUP(F210,'RM Used'!B:D,3,0)</f>
        <v>RM-PACKING</v>
      </c>
      <c r="J210" s="66">
        <v>1</v>
      </c>
      <c r="K210" s="35" t="str">
        <f t="shared" si="74"/>
        <v/>
      </c>
      <c r="L210" s="35">
        <f t="shared" si="62"/>
        <v>0</v>
      </c>
      <c r="M210" s="77" t="str" cm="1">
        <f t="array" ref="M210">_xlfn.IFS(BOM!I210="RM-PACKING","100%",B210="Reynolds",VLOOKUP(H210,'Yield &amp; Time'!A:V,22,0),BOM!B210="Dnata",VLOOKUP(BOM!H210,'Yield &amp; Time'!A:M,13,0),B210="NK",VLOOKUP(H210,'Yield &amp; Time'!A:X,24,0))</f>
        <v>100%</v>
      </c>
      <c r="N210" s="35">
        <f t="shared" si="61"/>
        <v>1</v>
      </c>
      <c r="O210" s="1" t="str">
        <f>VLOOKUP(H210,'RM Used'!A:E,5,0)</f>
        <v>Count</v>
      </c>
      <c r="P210" s="11">
        <f>VLOOKUP(H210,'RM Used'!A:F,6,0)</f>
        <v>0.09</v>
      </c>
      <c r="Q210" s="11">
        <f t="shared" si="71"/>
        <v>0.09</v>
      </c>
      <c r="R210" s="11">
        <f>IFERROR(IF(B210="Reynolds",VLOOKUP(H210,'Yield &amp; Time'!A:U,21,0),VLOOKUP(H210,'Yield &amp; Time'!A:L,12,0)),0)</f>
        <v>0</v>
      </c>
      <c r="S210" s="11">
        <f t="shared" si="63"/>
        <v>0</v>
      </c>
      <c r="T210" s="11">
        <f t="shared" si="64"/>
        <v>0</v>
      </c>
      <c r="U210" s="11">
        <f>IF(A209=A210,0,VLOOKUP(A210,'Packing Time'!A:F,6,0))</f>
        <v>0</v>
      </c>
      <c r="V210" s="11">
        <f t="shared" si="75"/>
        <v>0</v>
      </c>
      <c r="W210" s="11">
        <f t="shared" si="76"/>
        <v>0</v>
      </c>
      <c r="X210" s="11">
        <f t="shared" si="65"/>
        <v>0</v>
      </c>
      <c r="Y210" s="11">
        <f t="shared" si="77"/>
        <v>0</v>
      </c>
      <c r="Z210" s="37">
        <v>1</v>
      </c>
      <c r="AA210" s="36">
        <f t="shared" si="66"/>
        <v>1</v>
      </c>
      <c r="AB210" s="36">
        <f t="shared" si="67"/>
        <v>0.09</v>
      </c>
      <c r="AC210" s="11">
        <f t="shared" si="68"/>
        <v>0</v>
      </c>
      <c r="AD210" s="36">
        <f t="shared" si="78"/>
        <v>0</v>
      </c>
      <c r="AE210" s="36"/>
      <c r="AF210" s="36">
        <f>IFERROR(VLOOKUP(AE210,'Chemical Cost'!A:D,4,0),0)</f>
        <v>0</v>
      </c>
      <c r="AG210" s="114">
        <f t="shared" si="69"/>
        <v>0</v>
      </c>
      <c r="AH210" s="36">
        <f t="shared" si="73"/>
        <v>0</v>
      </c>
      <c r="AI210" s="36">
        <f t="shared" si="79"/>
        <v>0.09</v>
      </c>
      <c r="AJ210" s="36">
        <f>IFERROR(VLOOKUP(A210,'All Products'!A:F,6,0),0)</f>
        <v>6.48</v>
      </c>
      <c r="AK210" s="36"/>
      <c r="AL210" s="23">
        <v>0.8</v>
      </c>
      <c r="AM210" s="23">
        <v>0.2</v>
      </c>
      <c r="AN210" s="54" t="e">
        <v>#N/A</v>
      </c>
      <c r="AO210" s="47"/>
      <c r="AP210" s="4">
        <v>1.1000000000000001</v>
      </c>
      <c r="AQ210" s="111">
        <f t="shared" si="70"/>
        <v>0</v>
      </c>
      <c r="AR210">
        <f>_xlfn.XLOOKUP(F210,'RM Cost'!A:A,'RM Cost'!S:S)</f>
        <v>0</v>
      </c>
      <c r="AS210" t="str">
        <f>_xlfn.XLOOKUP(A210,[3]Sheet1!$B:$B,[3]Sheet1!$B:$B)</f>
        <v>1298CS</v>
      </c>
      <c r="AT210" t="e">
        <f>_xlfn.XLOOKUP(H210,'Yield &amp; Time'!A:A,'Yield &amp; Time'!F:F)</f>
        <v>#N/A</v>
      </c>
    </row>
    <row r="211" spans="1:46" x14ac:dyDescent="0.25">
      <c r="A211" s="1" t="s">
        <v>100</v>
      </c>
      <c r="B211" s="2" t="s">
        <v>552</v>
      </c>
      <c r="C211" s="2" t="s">
        <v>573</v>
      </c>
      <c r="D211" s="2" t="s">
        <v>554</v>
      </c>
      <c r="E211" s="2">
        <v>2.5</v>
      </c>
      <c r="F211" s="1" t="str">
        <f>VLOOKUP(H211,'RM Used'!A:B,2,0)</f>
        <v>P0016</v>
      </c>
      <c r="G211" s="1" t="str">
        <f>IFERROR(VLOOKUP(F211,'RM Cost'!A:B,2,0),"")</f>
        <v>REY 40 30 BOX</v>
      </c>
      <c r="H211" s="2" t="s">
        <v>1332</v>
      </c>
      <c r="I211" s="1" t="str">
        <f>VLOOKUP(F211,'RM Used'!B:D,3,0)</f>
        <v>RM-PACKING</v>
      </c>
      <c r="J211" s="66">
        <v>1</v>
      </c>
      <c r="K211" s="35" t="str">
        <f t="shared" si="74"/>
        <v/>
      </c>
      <c r="L211" s="35">
        <f t="shared" si="62"/>
        <v>0</v>
      </c>
      <c r="M211" s="77" t="str" cm="1">
        <f t="array" ref="M211">_xlfn.IFS(BOM!I211="RM-PACKING","100%",B211="Reynolds",VLOOKUP(H211,'Yield &amp; Time'!A:V,22,0),BOM!B211="Dnata",VLOOKUP(BOM!H211,'Yield &amp; Time'!A:M,13,0),B211="NK",VLOOKUP(H211,'Yield &amp; Time'!A:X,24,0))</f>
        <v>100%</v>
      </c>
      <c r="N211" s="35">
        <f t="shared" si="61"/>
        <v>1</v>
      </c>
      <c r="O211" s="1" t="str">
        <f>VLOOKUP(H211,'RM Used'!A:E,5,0)</f>
        <v>Count</v>
      </c>
      <c r="P211" s="11">
        <f>VLOOKUP(H211,'RM Used'!A:F,6,0)</f>
        <v>0.28000000000000003</v>
      </c>
      <c r="Q211" s="11">
        <f t="shared" si="71"/>
        <v>0.28000000000000003</v>
      </c>
      <c r="R211" s="11">
        <f>IFERROR(IF(B211="Reynolds",VLOOKUP(H211,'Yield &amp; Time'!A:U,21,0),VLOOKUP(H211,'Yield &amp; Time'!A:L,12,0)),0)</f>
        <v>0</v>
      </c>
      <c r="S211" s="11">
        <f t="shared" si="63"/>
        <v>0</v>
      </c>
      <c r="T211" s="11">
        <f t="shared" si="64"/>
        <v>0</v>
      </c>
      <c r="U211" s="11">
        <f>IF(A210=A211,0,VLOOKUP(A211,'Packing Time'!A:F,6,0))</f>
        <v>0</v>
      </c>
      <c r="V211" s="11">
        <f t="shared" si="75"/>
        <v>0</v>
      </c>
      <c r="W211" s="11">
        <f t="shared" si="76"/>
        <v>0</v>
      </c>
      <c r="X211" s="11">
        <f t="shared" si="65"/>
        <v>0</v>
      </c>
      <c r="Y211" s="11">
        <f t="shared" si="77"/>
        <v>0</v>
      </c>
      <c r="Z211" s="37">
        <v>1</v>
      </c>
      <c r="AA211" s="36">
        <f t="shared" si="66"/>
        <v>1</v>
      </c>
      <c r="AB211" s="36">
        <f t="shared" si="67"/>
        <v>0.28000000000000003</v>
      </c>
      <c r="AC211" s="11">
        <f t="shared" si="68"/>
        <v>0</v>
      </c>
      <c r="AD211" s="36">
        <f t="shared" si="78"/>
        <v>0</v>
      </c>
      <c r="AE211" s="36"/>
      <c r="AF211" s="36">
        <f>IFERROR(VLOOKUP(AE211,'Chemical Cost'!A:D,4,0),0)</f>
        <v>0</v>
      </c>
      <c r="AG211" s="114">
        <f t="shared" si="69"/>
        <v>0</v>
      </c>
      <c r="AH211" s="36">
        <f t="shared" si="73"/>
        <v>0</v>
      </c>
      <c r="AI211" s="36">
        <f t="shared" si="79"/>
        <v>0.28000000000000003</v>
      </c>
      <c r="AJ211" s="36">
        <f>IFERROR(VLOOKUP(A211,'All Products'!A:F,6,0),0)</f>
        <v>6.48</v>
      </c>
      <c r="AK211" s="36"/>
      <c r="AL211" s="23">
        <v>0.8</v>
      </c>
      <c r="AM211" s="23">
        <v>0.2</v>
      </c>
      <c r="AN211" s="54" t="e">
        <v>#N/A</v>
      </c>
      <c r="AO211" s="47"/>
      <c r="AP211" s="4">
        <v>1.1000000000000001</v>
      </c>
      <c r="AQ211" s="111">
        <f t="shared" si="70"/>
        <v>0</v>
      </c>
      <c r="AR211">
        <f>_xlfn.XLOOKUP(F211,'RM Cost'!A:A,'RM Cost'!S:S)</f>
        <v>0</v>
      </c>
      <c r="AS211" t="str">
        <f>_xlfn.XLOOKUP(A211,[3]Sheet1!$B:$B,[3]Sheet1!$B:$B)</f>
        <v>1298CS</v>
      </c>
      <c r="AT211" t="e">
        <f>_xlfn.XLOOKUP(H211,'Yield &amp; Time'!A:A,'Yield &amp; Time'!F:F)</f>
        <v>#N/A</v>
      </c>
    </row>
    <row r="212" spans="1:46" x14ac:dyDescent="0.25">
      <c r="A212" s="1" t="s">
        <v>228</v>
      </c>
      <c r="B212" s="2" t="s">
        <v>552</v>
      </c>
      <c r="C212" s="2" t="s">
        <v>574</v>
      </c>
      <c r="D212" s="2" t="s">
        <v>554</v>
      </c>
      <c r="E212" s="2">
        <v>2.5</v>
      </c>
      <c r="F212" s="1" t="str">
        <f>VLOOKUP(H212,'RM Used'!A:B,2,0)</f>
        <v>206ACS</v>
      </c>
      <c r="G212" s="1" t="str">
        <f>IFERROR(VLOOKUP(F212,'RM Cost'!A:B,2,0),"")</f>
        <v>RM - PREP ONION WHOLE 10KG</v>
      </c>
      <c r="H212" s="1" t="s">
        <v>1403</v>
      </c>
      <c r="I212" s="1" t="str">
        <f>VLOOKUP(F212,'RM Used'!B:D,3,0)</f>
        <v>RM-FOOD</v>
      </c>
      <c r="J212" s="66">
        <v>1</v>
      </c>
      <c r="K212" s="35">
        <f t="shared" si="74"/>
        <v>2.5</v>
      </c>
      <c r="L212" s="35">
        <f t="shared" si="62"/>
        <v>2.5</v>
      </c>
      <c r="M212" s="77" cm="1">
        <f t="array" ref="M212">_xlfn.IFS(BOM!I212="RM-PACKING","100%",B212="Reynolds",VLOOKUP(H212,'Yield &amp; Time'!A:V,22,0),BOM!B212="Dnata",VLOOKUP(BOM!H212,'Yield &amp; Time'!A:M,13,0),B212="NK",VLOOKUP(H212,'Yield &amp; Time'!A:X,24,0))</f>
        <v>0.89371428571428579</v>
      </c>
      <c r="N212" s="35">
        <f t="shared" si="61"/>
        <v>2.797314578005115</v>
      </c>
      <c r="O212" s="1" t="str">
        <f>VLOOKUP(H212,'RM Used'!A:E,5,0)</f>
        <v>KG</v>
      </c>
      <c r="P212" s="11">
        <f>VLOOKUP(H212,'RM Used'!A:F,6,0)</f>
        <v>0.87</v>
      </c>
      <c r="Q212" s="11">
        <f t="shared" si="71"/>
        <v>2.43366368286445</v>
      </c>
      <c r="R212" s="11">
        <f>IFERROR(IF(B212="Reynolds",VLOOKUP(H212,'Yield &amp; Time'!A:U,21,0),VLOOKUP(H212,'Yield &amp; Time'!A:L,12,0)),0)</f>
        <v>0.5</v>
      </c>
      <c r="S212" s="11">
        <f t="shared" si="63"/>
        <v>0.42312499999999997</v>
      </c>
      <c r="T212" s="11">
        <f t="shared" si="64"/>
        <v>2.0833333333333332E-2</v>
      </c>
      <c r="U212" s="11">
        <f>IF(A211=A212,0,VLOOKUP(A212,'Packing Time'!A:F,6,0))</f>
        <v>0.875</v>
      </c>
      <c r="V212" s="11">
        <f t="shared" si="75"/>
        <v>0.29618749999999999</v>
      </c>
      <c r="W212" s="11">
        <f t="shared" si="76"/>
        <v>1.4583333333333334E-2</v>
      </c>
      <c r="X212" s="11">
        <f t="shared" si="65"/>
        <v>1.1508999999999998</v>
      </c>
      <c r="Y212" s="11">
        <f t="shared" si="77"/>
        <v>1.1508999999999998</v>
      </c>
      <c r="Z212" s="37">
        <v>1</v>
      </c>
      <c r="AA212" s="36">
        <f t="shared" si="66"/>
        <v>2.797314578005115</v>
      </c>
      <c r="AB212" s="36">
        <f t="shared" si="67"/>
        <v>2.43366368286445</v>
      </c>
      <c r="AC212" s="11">
        <f t="shared" si="68"/>
        <v>5.6666666666666671E-2</v>
      </c>
      <c r="AD212" s="36">
        <f t="shared" si="78"/>
        <v>1.1509</v>
      </c>
      <c r="AE212" s="36" t="str">
        <f>VLOOKUP(H212,'Yield &amp; Time'!A:R,18,0)</f>
        <v>CHLORINE</v>
      </c>
      <c r="AF212" s="36">
        <f>IFERROR(VLOOKUP(AE212,'Chemical Cost'!A:D,4,0),0)</f>
        <v>2.7756518066439469E-2</v>
      </c>
      <c r="AG212" s="114">
        <f t="shared" si="69"/>
        <v>2.5881237540637824E-2</v>
      </c>
      <c r="AH212" s="36">
        <f t="shared" si="73"/>
        <v>2.5881237540637824E-2</v>
      </c>
      <c r="AI212" s="36">
        <f t="shared" si="79"/>
        <v>3.6104449204050875</v>
      </c>
      <c r="AJ212" s="36">
        <f>IFERROR(VLOOKUP(A212,'All Products'!A:F,6,0),0)</f>
        <v>7.01</v>
      </c>
      <c r="AK212" s="36">
        <f>AJ212*Z212*J212</f>
        <v>7.01</v>
      </c>
      <c r="AL212" s="23">
        <v>0.8</v>
      </c>
      <c r="AM212" s="23">
        <v>0.2</v>
      </c>
      <c r="AN212" s="54" t="e">
        <v>#N/A</v>
      </c>
      <c r="AO212" s="47"/>
      <c r="AP212" s="4">
        <v>1.6</v>
      </c>
      <c r="AQ212" s="111">
        <f t="shared" si="70"/>
        <v>5.6666666666666671E-2</v>
      </c>
      <c r="AR212">
        <f>_xlfn.XLOOKUP(F212,'RM Cost'!A:A,'RM Cost'!S:S)</f>
        <v>0</v>
      </c>
      <c r="AS212" t="e">
        <f>_xlfn.XLOOKUP(A212,[3]Sheet1!$B:$B,[3]Sheet1!$B:$B)</f>
        <v>#N/A</v>
      </c>
    </row>
    <row r="213" spans="1:46" x14ac:dyDescent="0.25">
      <c r="A213" s="1" t="s">
        <v>228</v>
      </c>
      <c r="B213" s="2" t="s">
        <v>552</v>
      </c>
      <c r="C213" s="2" t="s">
        <v>574</v>
      </c>
      <c r="D213" s="2" t="s">
        <v>554</v>
      </c>
      <c r="E213" s="2">
        <v>2.5</v>
      </c>
      <c r="F213" s="1" t="str">
        <f>VLOOKUP(H213,'RM Used'!A:B,2,0)</f>
        <v>P0020</v>
      </c>
      <c r="G213" s="1" t="str">
        <f>IFERROR(VLOOKUP(F213,'RM Cost'!A:B,2,0),"")</f>
        <v>PALE BLUE BAG 430X430MM</v>
      </c>
      <c r="H213" s="2" t="s">
        <v>1659</v>
      </c>
      <c r="I213" s="1" t="str">
        <f>VLOOKUP(F213,'RM Used'!B:D,3,0)</f>
        <v>RM-PACKING</v>
      </c>
      <c r="J213" s="66">
        <v>1</v>
      </c>
      <c r="K213" s="35" t="str">
        <f t="shared" si="74"/>
        <v/>
      </c>
      <c r="L213" s="35">
        <f t="shared" si="62"/>
        <v>0</v>
      </c>
      <c r="M213" s="77" t="str" cm="1">
        <f t="array" ref="M213">_xlfn.IFS(BOM!I213="RM-PACKING","100%",B213="Reynolds",VLOOKUP(H213,'Yield &amp; Time'!A:V,22,0),BOM!B213="Dnata",VLOOKUP(BOM!H213,'Yield &amp; Time'!A:M,13,0),B213="NK",VLOOKUP(H213,'Yield &amp; Time'!A:X,24,0))</f>
        <v>100%</v>
      </c>
      <c r="N213" s="35">
        <f t="shared" si="61"/>
        <v>1</v>
      </c>
      <c r="O213" s="1" t="str">
        <f>VLOOKUP(H213,'RM Used'!A:E,5,0)</f>
        <v>Count</v>
      </c>
      <c r="P213" s="11">
        <f>VLOOKUP(H213,'RM Used'!A:F,6,0)</f>
        <v>0.09</v>
      </c>
      <c r="Q213" s="11">
        <f t="shared" si="71"/>
        <v>0.09</v>
      </c>
      <c r="R213" s="11">
        <f>IFERROR(IF(B213="Reynolds",VLOOKUP(H213,'Yield &amp; Time'!A:U,21,0),VLOOKUP(H213,'Yield &amp; Time'!A:L,12,0)),0)</f>
        <v>0</v>
      </c>
      <c r="S213" s="11">
        <f t="shared" si="63"/>
        <v>0</v>
      </c>
      <c r="T213" s="11">
        <f t="shared" si="64"/>
        <v>0</v>
      </c>
      <c r="U213" s="11">
        <f>IF(A212=A213,0,VLOOKUP(A213,'Packing Time'!A:F,6,0))</f>
        <v>0</v>
      </c>
      <c r="V213" s="11">
        <f t="shared" si="75"/>
        <v>0</v>
      </c>
      <c r="W213" s="11">
        <f t="shared" si="76"/>
        <v>0</v>
      </c>
      <c r="X213" s="11">
        <f t="shared" si="65"/>
        <v>0</v>
      </c>
      <c r="Y213" s="11">
        <f t="shared" si="77"/>
        <v>0</v>
      </c>
      <c r="Z213" s="37">
        <v>1</v>
      </c>
      <c r="AA213" s="36">
        <f t="shared" si="66"/>
        <v>1</v>
      </c>
      <c r="AB213" s="36">
        <f t="shared" si="67"/>
        <v>0.09</v>
      </c>
      <c r="AC213" s="11">
        <f t="shared" si="68"/>
        <v>0</v>
      </c>
      <c r="AD213" s="36">
        <f t="shared" si="78"/>
        <v>0</v>
      </c>
      <c r="AE213" s="36"/>
      <c r="AF213" s="36">
        <f>IFERROR(VLOOKUP(AE213,'Chemical Cost'!A:D,4,0),0)</f>
        <v>0</v>
      </c>
      <c r="AG213" s="114">
        <f t="shared" si="69"/>
        <v>0</v>
      </c>
      <c r="AH213" s="36">
        <f t="shared" si="73"/>
        <v>0</v>
      </c>
      <c r="AI213" s="36">
        <f t="shared" si="79"/>
        <v>0.09</v>
      </c>
      <c r="AJ213" s="36">
        <f>IFERROR(VLOOKUP(A213,'All Products'!A:F,6,0),0)</f>
        <v>7.01</v>
      </c>
      <c r="AK213" s="36"/>
      <c r="AL213" s="23">
        <v>0.8</v>
      </c>
      <c r="AM213" s="23">
        <v>0.2</v>
      </c>
      <c r="AN213" s="54" t="e">
        <v>#N/A</v>
      </c>
      <c r="AO213" s="47"/>
      <c r="AP213" s="4">
        <v>1.6</v>
      </c>
      <c r="AQ213" s="111">
        <f t="shared" si="70"/>
        <v>0</v>
      </c>
      <c r="AR213">
        <f>_xlfn.XLOOKUP(F213,'RM Cost'!A:A,'RM Cost'!S:S)</f>
        <v>0</v>
      </c>
      <c r="AS213" t="e">
        <f>_xlfn.XLOOKUP(A213,[3]Sheet1!$B:$B,[3]Sheet1!$B:$B)</f>
        <v>#N/A</v>
      </c>
    </row>
    <row r="214" spans="1:46" x14ac:dyDescent="0.25">
      <c r="A214" s="1" t="s">
        <v>228</v>
      </c>
      <c r="B214" s="2" t="s">
        <v>552</v>
      </c>
      <c r="C214" s="2" t="s">
        <v>574</v>
      </c>
      <c r="D214" s="2" t="s">
        <v>554</v>
      </c>
      <c r="E214" s="2">
        <v>2.5</v>
      </c>
      <c r="F214" s="1" t="str">
        <f>VLOOKUP(H214,'RM Used'!A:B,2,0)</f>
        <v>P0016</v>
      </c>
      <c r="G214" s="1" t="str">
        <f>IFERROR(VLOOKUP(F214,'RM Cost'!A:B,2,0),"")</f>
        <v>REY 40 30 BOX</v>
      </c>
      <c r="H214" s="2" t="s">
        <v>1332</v>
      </c>
      <c r="I214" s="1" t="str">
        <f>VLOOKUP(F214,'RM Used'!B:D,3,0)</f>
        <v>RM-PACKING</v>
      </c>
      <c r="J214" s="66">
        <v>1</v>
      </c>
      <c r="K214" s="35" t="str">
        <f t="shared" si="74"/>
        <v/>
      </c>
      <c r="L214" s="35">
        <f t="shared" si="62"/>
        <v>0</v>
      </c>
      <c r="M214" s="77" t="str" cm="1">
        <f t="array" ref="M214">_xlfn.IFS(BOM!I214="RM-PACKING","100%",B214="Reynolds",VLOOKUP(H214,'Yield &amp; Time'!A:V,22,0),BOM!B214="Dnata",VLOOKUP(BOM!H214,'Yield &amp; Time'!A:M,13,0),B214="NK",VLOOKUP(H214,'Yield &amp; Time'!A:X,24,0))</f>
        <v>100%</v>
      </c>
      <c r="N214" s="35">
        <f t="shared" si="61"/>
        <v>1</v>
      </c>
      <c r="O214" s="1" t="str">
        <f>VLOOKUP(H214,'RM Used'!A:E,5,0)</f>
        <v>Count</v>
      </c>
      <c r="P214" s="11">
        <f>VLOOKUP(H214,'RM Used'!A:F,6,0)</f>
        <v>0.28000000000000003</v>
      </c>
      <c r="Q214" s="11">
        <f t="shared" si="71"/>
        <v>0.28000000000000003</v>
      </c>
      <c r="R214" s="11">
        <f>IFERROR(IF(B214="Reynolds",VLOOKUP(H214,'Yield &amp; Time'!A:U,21,0),VLOOKUP(H214,'Yield &amp; Time'!A:L,12,0)),0)</f>
        <v>0</v>
      </c>
      <c r="S214" s="11">
        <f t="shared" si="63"/>
        <v>0</v>
      </c>
      <c r="T214" s="11">
        <f t="shared" si="64"/>
        <v>0</v>
      </c>
      <c r="U214" s="11">
        <f>IF(A213=A214,0,VLOOKUP(A214,'Packing Time'!A:F,6,0))</f>
        <v>0</v>
      </c>
      <c r="V214" s="11">
        <f t="shared" si="75"/>
        <v>0</v>
      </c>
      <c r="W214" s="11">
        <f t="shared" si="76"/>
        <v>0</v>
      </c>
      <c r="X214" s="11">
        <f t="shared" si="65"/>
        <v>0</v>
      </c>
      <c r="Y214" s="11">
        <f t="shared" si="77"/>
        <v>0</v>
      </c>
      <c r="Z214" s="37">
        <v>1</v>
      </c>
      <c r="AA214" s="36">
        <f t="shared" si="66"/>
        <v>1</v>
      </c>
      <c r="AB214" s="36">
        <f t="shared" si="67"/>
        <v>0.28000000000000003</v>
      </c>
      <c r="AC214" s="11">
        <f t="shared" si="68"/>
        <v>0</v>
      </c>
      <c r="AD214" s="36">
        <f t="shared" si="78"/>
        <v>0</v>
      </c>
      <c r="AE214" s="36"/>
      <c r="AF214" s="36">
        <f>IFERROR(VLOOKUP(AE214,'Chemical Cost'!A:D,4,0),0)</f>
        <v>0</v>
      </c>
      <c r="AG214" s="114">
        <f t="shared" si="69"/>
        <v>0</v>
      </c>
      <c r="AH214" s="36">
        <f t="shared" si="73"/>
        <v>0</v>
      </c>
      <c r="AI214" s="36">
        <f t="shared" si="79"/>
        <v>0.28000000000000003</v>
      </c>
      <c r="AJ214" s="36">
        <f>IFERROR(VLOOKUP(A214,'All Products'!A:F,6,0),0)</f>
        <v>7.01</v>
      </c>
      <c r="AK214" s="36"/>
      <c r="AL214" s="23">
        <v>0.8</v>
      </c>
      <c r="AM214" s="23">
        <v>0.2</v>
      </c>
      <c r="AN214" s="54" t="e">
        <v>#N/A</v>
      </c>
      <c r="AO214" s="47"/>
      <c r="AP214" s="4">
        <v>1.6</v>
      </c>
      <c r="AQ214" s="111">
        <f t="shared" si="70"/>
        <v>0</v>
      </c>
      <c r="AR214">
        <f>_xlfn.XLOOKUP(F214,'RM Cost'!A:A,'RM Cost'!S:S)</f>
        <v>0</v>
      </c>
      <c r="AS214" t="e">
        <f>_xlfn.XLOOKUP(A214,[3]Sheet1!$B:$B,[3]Sheet1!$B:$B)</f>
        <v>#N/A</v>
      </c>
    </row>
    <row r="215" spans="1:46" x14ac:dyDescent="0.25">
      <c r="A215" s="1" t="s">
        <v>369</v>
      </c>
      <c r="B215" s="2" t="s">
        <v>552</v>
      </c>
      <c r="C215" s="2" t="s">
        <v>370</v>
      </c>
      <c r="D215" s="2" t="s">
        <v>554</v>
      </c>
      <c r="E215" s="2">
        <v>2.7</v>
      </c>
      <c r="F215" s="1" t="str">
        <f>VLOOKUP(H215,'RM Used'!A:B,2,0)</f>
        <v>2794CS</v>
      </c>
      <c r="G215" s="1" t="str">
        <f>IFERROR(VLOOKUP(F215,'RM Cost'!A:B,2,0),"")</f>
        <v>RM - MELON YELLOW X 6EA</v>
      </c>
      <c r="H215" s="2" t="s">
        <v>1705</v>
      </c>
      <c r="I215" s="1" t="str">
        <f>VLOOKUP(F215,'RM Used'!B:D,3,0)</f>
        <v>RM-FOOD</v>
      </c>
      <c r="J215" s="66">
        <v>0.7407407407407407</v>
      </c>
      <c r="K215" s="35">
        <f t="shared" si="74"/>
        <v>2</v>
      </c>
      <c r="L215" s="35">
        <f t="shared" si="62"/>
        <v>2</v>
      </c>
      <c r="M215" s="77" cm="1">
        <f t="array" ref="M215">_xlfn.IFS(BOM!I215="RM-PACKING","100%",B215="Reynolds",VLOOKUP(H215,'Yield &amp; Time'!A:V,22,0),BOM!B215="Dnata",VLOOKUP(BOM!H215,'Yield &amp; Time'!A:M,13,0),B215="NK",VLOOKUP(H215,'Yield &amp; Time'!A:X,24,0))</f>
        <v>0.51980754530329609</v>
      </c>
      <c r="N215" s="35">
        <f t="shared" si="61"/>
        <v>3.8475778546712798</v>
      </c>
      <c r="O215" s="1" t="str">
        <f>VLOOKUP(H215,'RM Used'!A:E,5,0)</f>
        <v>KG</v>
      </c>
      <c r="P215" s="11">
        <f>VLOOKUP(H215,'RM Used'!A:F,6,0)</f>
        <v>0.81</v>
      </c>
      <c r="Q215" s="11">
        <f t="shared" si="71"/>
        <v>3.1165380622837366</v>
      </c>
      <c r="R215" s="11">
        <f>IFERROR(IF(B215="Reynolds",VLOOKUP(H215,'Yield &amp; Time'!A:U,21,0),VLOOKUP(H215,'Yield &amp; Time'!A:L,12,0)),0)</f>
        <v>2.0142143755898081</v>
      </c>
      <c r="S215" s="11">
        <f t="shared" si="63"/>
        <v>1.3636231322743</v>
      </c>
      <c r="T215" s="11">
        <f t="shared" si="64"/>
        <v>6.7140479186326943E-2</v>
      </c>
      <c r="U215" s="11">
        <f>IF(A214=A215,0,VLOOKUP(A215,'Packing Time'!A:F,6,0))</f>
        <v>0.8</v>
      </c>
      <c r="V215" s="11">
        <f t="shared" si="75"/>
        <v>0.27079999999999999</v>
      </c>
      <c r="W215" s="11">
        <f t="shared" si="76"/>
        <v>1.3333333333333334E-2</v>
      </c>
      <c r="X215" s="11">
        <f t="shared" si="65"/>
        <v>2.0430289153428749</v>
      </c>
      <c r="Y215" s="11">
        <f t="shared" si="77"/>
        <v>2.0430289153428749</v>
      </c>
      <c r="Z215" s="37">
        <v>1</v>
      </c>
      <c r="AA215" s="36">
        <f t="shared" si="66"/>
        <v>3.8475778546712798</v>
      </c>
      <c r="AB215" s="36">
        <f t="shared" si="67"/>
        <v>3.1165380622837366</v>
      </c>
      <c r="AC215" s="11">
        <f t="shared" si="68"/>
        <v>0.10059226564957532</v>
      </c>
      <c r="AD215" s="36">
        <f t="shared" si="78"/>
        <v>2.0430289153428749</v>
      </c>
      <c r="AE215" s="36" t="str">
        <f>VLOOKUP(H215,'Yield &amp; Time'!A:R,18,0)</f>
        <v>CHLORINE</v>
      </c>
      <c r="AF215" s="36">
        <f>IFERROR(VLOOKUP(AE215,'Chemical Cost'!A:D,4,0),0)</f>
        <v>2.7756518066439469E-2</v>
      </c>
      <c r="AG215" s="114">
        <f t="shared" si="69"/>
        <v>3.5598454745071929E-2</v>
      </c>
      <c r="AH215" s="36">
        <f t="shared" si="73"/>
        <v>3.5598454745071929E-2</v>
      </c>
      <c r="AI215" s="36">
        <f t="shared" si="79"/>
        <v>5.1951654323716836</v>
      </c>
      <c r="AJ215" s="36">
        <f>IFERROR(VLOOKUP(A215,'All Products'!A:F,6,0),0)</f>
        <v>14.92</v>
      </c>
      <c r="AK215" s="36">
        <f>AJ215*Z215*J215</f>
        <v>11.05185185185185</v>
      </c>
      <c r="AL215" s="23"/>
      <c r="AM215" s="23">
        <v>1</v>
      </c>
      <c r="AN215" s="54" t="e">
        <v>#N/A</v>
      </c>
      <c r="AO215" s="47"/>
      <c r="AP215" s="4">
        <v>1.25</v>
      </c>
      <c r="AQ215" s="111">
        <f t="shared" si="70"/>
        <v>0.10059226564957532</v>
      </c>
      <c r="AR215">
        <f>_xlfn.XLOOKUP(F215,'RM Cost'!A:A,'RM Cost'!S:S)</f>
        <v>0</v>
      </c>
      <c r="AS215" t="e">
        <f>_xlfn.XLOOKUP(A215,[3]Sheet1!$B:$B,[3]Sheet1!$B:$B)</f>
        <v>#N/A</v>
      </c>
    </row>
    <row r="216" spans="1:46" x14ac:dyDescent="0.25">
      <c r="A216" s="1" t="s">
        <v>369</v>
      </c>
      <c r="B216" s="2" t="s">
        <v>552</v>
      </c>
      <c r="C216" s="2" t="s">
        <v>370</v>
      </c>
      <c r="D216" s="2" t="s">
        <v>554</v>
      </c>
      <c r="E216" s="2">
        <v>2.7</v>
      </c>
      <c r="F216" s="1" t="str">
        <f>VLOOKUP(H216,'RM Used'!A:B,2,0)</f>
        <v>8929CS</v>
      </c>
      <c r="G216" s="1" t="str">
        <f>IFERROR(VLOOKUP(F216,'RM Cost'!A:B,2,0),"")</f>
        <v>GRANULATED SUGAR 1 X 25K</v>
      </c>
      <c r="H216" s="2" t="s">
        <v>1757</v>
      </c>
      <c r="I216" s="1" t="str">
        <f>VLOOKUP(F216,'RM Used'!B:D,3,0)</f>
        <v>RM-FOOD</v>
      </c>
      <c r="J216" s="66">
        <v>0.25925925925925924</v>
      </c>
      <c r="K216" s="35">
        <f>IF(I216="RM-FOOD",J216*E216,"")</f>
        <v>0.7</v>
      </c>
      <c r="L216" s="35">
        <f t="shared" si="62"/>
        <v>0.7</v>
      </c>
      <c r="M216" s="77" cm="1">
        <f t="array" ref="M216">_xlfn.IFS(BOM!I216="RM-PACKING","100%",B216="Reynolds",VLOOKUP(H216,'Yield &amp; Time'!A:V,22,0),BOM!B216="Dnata",VLOOKUP(BOM!H216,'Yield &amp; Time'!A:M,13,0),B216="NK",VLOOKUP(H216,'Yield &amp; Time'!A:X,24,0))</f>
        <v>1</v>
      </c>
      <c r="N216" s="35">
        <f>IFERROR(IF(I216="RM-FOOD",(E216*J216)/M216,1),0)</f>
        <v>0.7</v>
      </c>
      <c r="O216" s="1" t="str">
        <f>VLOOKUP(H216,'RM Used'!A:E,5,0)</f>
        <v>KG</v>
      </c>
      <c r="P216" s="11">
        <f>VLOOKUP(H216,'RM Used'!A:F,6,0)</f>
        <v>6.3E-2</v>
      </c>
      <c r="Q216" s="11">
        <f t="shared" si="71"/>
        <v>4.41E-2</v>
      </c>
      <c r="R216" s="11">
        <f>IFERROR(IF(B216="Reynolds",VLOOKUP(H216,'Yield &amp; Time'!A:U,21,0),VLOOKUP(H216,'Yield &amp; Time'!A:L,12,0)),0)</f>
        <v>0.16666666666666666</v>
      </c>
      <c r="S216" s="11">
        <f t="shared" si="63"/>
        <v>3.9491666666666661E-2</v>
      </c>
      <c r="T216" s="11">
        <f t="shared" si="64"/>
        <v>1.9444444444444444E-3</v>
      </c>
      <c r="U216" s="11">
        <f>IF(A215=A216,0,VLOOKUP(A216,'Packing Time'!A:F,6,0))</f>
        <v>0</v>
      </c>
      <c r="V216" s="11">
        <f>U216*AO$1</f>
        <v>0</v>
      </c>
      <c r="W216" s="11">
        <f>(U216*Z216)/60</f>
        <v>0</v>
      </c>
      <c r="X216" s="11">
        <f t="shared" si="65"/>
        <v>4.9364583333333323E-2</v>
      </c>
      <c r="Y216" s="11">
        <f>X216*Z216</f>
        <v>4.9364583333333323E-2</v>
      </c>
      <c r="Z216" s="37">
        <v>1</v>
      </c>
      <c r="AA216" s="36">
        <f t="shared" si="66"/>
        <v>0.7</v>
      </c>
      <c r="AB216" s="36">
        <f t="shared" si="67"/>
        <v>4.41E-2</v>
      </c>
      <c r="AC216" s="11">
        <f t="shared" si="68"/>
        <v>2.4305555555555556E-3</v>
      </c>
      <c r="AD216" s="36">
        <f>AC216*60*AO$1</f>
        <v>4.936458333333333E-2</v>
      </c>
      <c r="AE216" s="36">
        <f>VLOOKUP(H216,'Yield &amp; Time'!A:R,18,0)</f>
        <v>0</v>
      </c>
      <c r="AF216" s="36">
        <f>IFERROR(VLOOKUP(AE216,'Chemical Cost'!A:D,4,0),0)</f>
        <v>0</v>
      </c>
      <c r="AG216" s="114">
        <f t="shared" si="69"/>
        <v>0</v>
      </c>
      <c r="AH216" s="36">
        <f t="shared" si="73"/>
        <v>0</v>
      </c>
      <c r="AI216" s="36">
        <f>IFERROR((Q216*Z216)+(Z216*X216)+AH216,0)</f>
        <v>9.3464583333333323E-2</v>
      </c>
      <c r="AJ216" s="36">
        <f>IFERROR(VLOOKUP(A216,'All Products'!A:F,6,0),0)</f>
        <v>14.92</v>
      </c>
      <c r="AK216" s="36">
        <f>AJ216*Z216*J216</f>
        <v>3.8681481481481481</v>
      </c>
      <c r="AL216" s="23"/>
      <c r="AM216" s="23">
        <v>1</v>
      </c>
      <c r="AN216" s="54" t="e">
        <v>#N/A</v>
      </c>
      <c r="AO216" s="47"/>
      <c r="AP216" s="4">
        <v>1.25</v>
      </c>
      <c r="AQ216" s="111">
        <f t="shared" si="70"/>
        <v>2.4305555555555556E-3</v>
      </c>
      <c r="AR216">
        <f>_xlfn.XLOOKUP(F216,'RM Cost'!A:A,'RM Cost'!S:S)</f>
        <v>0</v>
      </c>
      <c r="AS216" t="e">
        <f>_xlfn.XLOOKUP(A216,[3]Sheet1!$B:$B,[3]Sheet1!$B:$B)</f>
        <v>#N/A</v>
      </c>
    </row>
    <row r="217" spans="1:46" x14ac:dyDescent="0.25">
      <c r="A217" s="1" t="s">
        <v>369</v>
      </c>
      <c r="B217" s="2" t="s">
        <v>552</v>
      </c>
      <c r="C217" s="2" t="s">
        <v>370</v>
      </c>
      <c r="D217" s="2" t="s">
        <v>554</v>
      </c>
      <c r="E217" s="2">
        <v>2.7</v>
      </c>
      <c r="F217" s="1" t="str">
        <f>VLOOKUP(H217,'RM Used'!A:B,2,0)</f>
        <v>P0010</v>
      </c>
      <c r="G217" s="1" t="str">
        <f>IFERROR(VLOOKUP(F217,'RM Cost'!A:B,2,0),"")</f>
        <v>BUCKET 3L PJET</v>
      </c>
      <c r="H217" s="2" t="s">
        <v>4672</v>
      </c>
      <c r="I217" s="1" t="str">
        <f>VLOOKUP(F217,'RM Used'!B:D,3,0)</f>
        <v>RM-PACKING</v>
      </c>
      <c r="J217" s="66">
        <v>1</v>
      </c>
      <c r="K217" s="35" t="str">
        <f t="shared" si="74"/>
        <v/>
      </c>
      <c r="L217" s="35">
        <f t="shared" si="62"/>
        <v>0</v>
      </c>
      <c r="M217" s="77" t="str" cm="1">
        <f t="array" ref="M217">_xlfn.IFS(BOM!I217="RM-PACKING","100%",B217="Reynolds",VLOOKUP(H217,'Yield &amp; Time'!A:V,22,0),BOM!B217="Dnata",VLOOKUP(BOM!H217,'Yield &amp; Time'!A:M,13,0),B217="NK",VLOOKUP(H217,'Yield &amp; Time'!A:X,24,0))</f>
        <v>100%</v>
      </c>
      <c r="N217" s="35">
        <f t="shared" si="61"/>
        <v>1</v>
      </c>
      <c r="O217" s="1" t="str">
        <f>VLOOKUP(H217,'RM Used'!A:E,5,0)</f>
        <v>Count</v>
      </c>
      <c r="P217" s="11">
        <f>VLOOKUP(H217,'RM Used'!A:F,6,0)</f>
        <v>0.56000000000000005</v>
      </c>
      <c r="Q217" s="11">
        <f t="shared" si="71"/>
        <v>0.56000000000000005</v>
      </c>
      <c r="R217" s="11">
        <f>IFERROR(IF(B217="Reynolds",VLOOKUP(H217,'Yield &amp; Time'!A:U,21,0),VLOOKUP(H217,'Yield &amp; Time'!A:L,12,0)),0)</f>
        <v>0</v>
      </c>
      <c r="S217" s="11">
        <f t="shared" si="63"/>
        <v>0</v>
      </c>
      <c r="T217" s="11">
        <f t="shared" si="64"/>
        <v>0</v>
      </c>
      <c r="U217" s="11">
        <f>IF(A216=A217,0,VLOOKUP(A217,'Packing Time'!A:F,6,0))</f>
        <v>0</v>
      </c>
      <c r="V217" s="11">
        <f t="shared" si="75"/>
        <v>0</v>
      </c>
      <c r="W217" s="11">
        <f t="shared" si="76"/>
        <v>0</v>
      </c>
      <c r="X217" s="11">
        <f t="shared" si="65"/>
        <v>0</v>
      </c>
      <c r="Y217" s="11">
        <f t="shared" si="77"/>
        <v>0</v>
      </c>
      <c r="Z217" s="37">
        <v>1</v>
      </c>
      <c r="AA217" s="36">
        <f t="shared" si="66"/>
        <v>1</v>
      </c>
      <c r="AB217" s="36">
        <f t="shared" si="67"/>
        <v>0.56000000000000005</v>
      </c>
      <c r="AC217" s="11">
        <f t="shared" si="68"/>
        <v>0</v>
      </c>
      <c r="AD217" s="36">
        <f t="shared" si="78"/>
        <v>0</v>
      </c>
      <c r="AE217" s="36"/>
      <c r="AF217" s="36">
        <f>IFERROR(VLOOKUP(AE217,'Chemical Cost'!A:D,4,0),0)</f>
        <v>0</v>
      </c>
      <c r="AG217" s="114">
        <f t="shared" si="69"/>
        <v>0</v>
      </c>
      <c r="AH217" s="36">
        <f t="shared" si="73"/>
        <v>0</v>
      </c>
      <c r="AI217" s="36">
        <f t="shared" si="79"/>
        <v>0.56000000000000005</v>
      </c>
      <c r="AJ217" s="36">
        <f>IFERROR(VLOOKUP(A217,'All Products'!A:F,6,0),0)</f>
        <v>14.92</v>
      </c>
      <c r="AK217" s="36"/>
      <c r="AL217" s="23"/>
      <c r="AM217" s="23">
        <v>1</v>
      </c>
      <c r="AN217" s="54" t="e">
        <v>#N/A</v>
      </c>
      <c r="AO217" s="47"/>
      <c r="AP217" s="4">
        <v>1.25</v>
      </c>
      <c r="AQ217" s="111">
        <f t="shared" si="70"/>
        <v>0</v>
      </c>
      <c r="AR217">
        <f>_xlfn.XLOOKUP(F217,'RM Cost'!A:A,'RM Cost'!S:S)</f>
        <v>0</v>
      </c>
      <c r="AS217" t="e">
        <f>_xlfn.XLOOKUP(A217,[3]Sheet1!$B:$B,[3]Sheet1!$B:$B)</f>
        <v>#N/A</v>
      </c>
    </row>
    <row r="218" spans="1:46" x14ac:dyDescent="0.25">
      <c r="A218" s="1" t="s">
        <v>369</v>
      </c>
      <c r="B218" s="2" t="s">
        <v>552</v>
      </c>
      <c r="C218" s="2" t="s">
        <v>370</v>
      </c>
      <c r="D218" s="2" t="s">
        <v>554</v>
      </c>
      <c r="E218" s="2">
        <v>2.7</v>
      </c>
      <c r="F218" s="1" t="str">
        <f>VLOOKUP(H218,'RM Used'!A:B,2,0)</f>
        <v>P0026</v>
      </c>
      <c r="G218" s="1" t="str">
        <f>IFERROR(VLOOKUP(F218,'RM Cost'!A:B,2,0),"")</f>
        <v>LID 2.2L PJET 2.2L-3.8L</v>
      </c>
      <c r="H218" s="2" t="s">
        <v>4673</v>
      </c>
      <c r="I218" s="1" t="str">
        <f>VLOOKUP(F218,'RM Used'!B:D,3,0)</f>
        <v>RM-PACKING</v>
      </c>
      <c r="J218" s="66">
        <v>1</v>
      </c>
      <c r="K218" s="35" t="str">
        <f>IF(I218="RM-FOOD",J218*E218,"")</f>
        <v/>
      </c>
      <c r="L218" s="35">
        <f t="shared" si="62"/>
        <v>0</v>
      </c>
      <c r="M218" s="77" t="str" cm="1">
        <f t="array" ref="M218">_xlfn.IFS(BOM!I218="RM-PACKING","100%",B218="Reynolds",VLOOKUP(H218,'Yield &amp; Time'!A:V,22,0),BOM!B218="Dnata",VLOOKUP(BOM!H218,'Yield &amp; Time'!A:M,13,0),B218="NK",VLOOKUP(H218,'Yield &amp; Time'!A:X,24,0))</f>
        <v>100%</v>
      </c>
      <c r="N218" s="35">
        <f>IFERROR(IF(I218="RM-FOOD",(E218*J218)/M218,1),0)</f>
        <v>1</v>
      </c>
      <c r="O218" s="1" t="str">
        <f>VLOOKUP(H218,'RM Used'!A:E,5,0)</f>
        <v>Count</v>
      </c>
      <c r="P218" s="11">
        <f>VLOOKUP(H218,'RM Used'!A:F,6,0)</f>
        <v>0.16</v>
      </c>
      <c r="Q218" s="11">
        <f t="shared" si="71"/>
        <v>0.16</v>
      </c>
      <c r="R218" s="11">
        <f>IFERROR(IF(B218="Reynolds",VLOOKUP(H218,'Yield &amp; Time'!A:U,21,0),VLOOKUP(H218,'Yield &amp; Time'!A:L,12,0)),0)</f>
        <v>0</v>
      </c>
      <c r="S218" s="11">
        <f t="shared" si="63"/>
        <v>0</v>
      </c>
      <c r="T218" s="11">
        <f t="shared" si="64"/>
        <v>0</v>
      </c>
      <c r="U218" s="11">
        <f>IF(A217=A218,0,VLOOKUP(A218,'Packing Time'!A:F,6,0))</f>
        <v>0</v>
      </c>
      <c r="V218" s="11">
        <f>U218*AO$1</f>
        <v>0</v>
      </c>
      <c r="W218" s="11">
        <f>(U218*Z218)/60</f>
        <v>0</v>
      </c>
      <c r="X218" s="11">
        <f t="shared" si="65"/>
        <v>0</v>
      </c>
      <c r="Y218" s="11">
        <f>X218*Z218</f>
        <v>0</v>
      </c>
      <c r="Z218" s="37">
        <v>1</v>
      </c>
      <c r="AA218" s="36">
        <f t="shared" si="66"/>
        <v>1</v>
      </c>
      <c r="AB218" s="36">
        <f t="shared" si="67"/>
        <v>0.16</v>
      </c>
      <c r="AC218" s="11">
        <f t="shared" si="68"/>
        <v>0</v>
      </c>
      <c r="AD218" s="36">
        <f>AC218*60*AO$1</f>
        <v>0</v>
      </c>
      <c r="AE218" s="36"/>
      <c r="AF218" s="36">
        <f>IFERROR(VLOOKUP(AE218,'Chemical Cost'!A:D,4,0),0)</f>
        <v>0</v>
      </c>
      <c r="AG218" s="114">
        <f t="shared" si="69"/>
        <v>0</v>
      </c>
      <c r="AH218" s="36">
        <f>AF218*AA218/3</f>
        <v>0</v>
      </c>
      <c r="AI218" s="36">
        <f>IFERROR((Q218*Z218)+(Z218*X218)+AH218,0)</f>
        <v>0.16</v>
      </c>
      <c r="AJ218" s="36">
        <f>IFERROR(VLOOKUP(A218,'All Products'!A:F,6,0),0)</f>
        <v>14.92</v>
      </c>
      <c r="AK218" s="36"/>
      <c r="AL218" s="23"/>
      <c r="AM218" s="23">
        <v>1</v>
      </c>
      <c r="AN218" s="54" t="e">
        <v>#N/A</v>
      </c>
      <c r="AO218" s="47"/>
      <c r="AP218" s="4">
        <v>1.25</v>
      </c>
      <c r="AQ218" s="111">
        <f t="shared" si="70"/>
        <v>0</v>
      </c>
      <c r="AR218">
        <f>_xlfn.XLOOKUP(F218,'RM Cost'!A:A,'RM Cost'!S:S)</f>
        <v>0</v>
      </c>
      <c r="AS218" t="e">
        <f>_xlfn.XLOOKUP(A218,[3]Sheet1!$B:$B,[3]Sheet1!$B:$B)</f>
        <v>#N/A</v>
      </c>
    </row>
    <row r="219" spans="1:46" x14ac:dyDescent="0.25">
      <c r="A219" s="1" t="s">
        <v>130</v>
      </c>
      <c r="B219" s="2" t="s">
        <v>552</v>
      </c>
      <c r="C219" s="2" t="s">
        <v>575</v>
      </c>
      <c r="D219" s="2" t="s">
        <v>554</v>
      </c>
      <c r="E219" s="2">
        <v>2.5</v>
      </c>
      <c r="F219" s="1" t="str">
        <f>VLOOKUP(H219,'RM Used'!A:B,2,0)</f>
        <v>3080CS</v>
      </c>
      <c r="G219" s="1" t="str">
        <f>IFERROR(VLOOKUP(F219,'RM Cost'!A:B,2,0),"")</f>
        <v>RM - SAVOY CABBAGE 1 X 5KG</v>
      </c>
      <c r="H219" s="1" t="s">
        <v>1353</v>
      </c>
      <c r="I219" s="1" t="str">
        <f>VLOOKUP(F219,'RM Used'!B:D,3,0)</f>
        <v>RM-FOOD</v>
      </c>
      <c r="J219" s="66">
        <v>1</v>
      </c>
      <c r="K219" s="35">
        <f t="shared" si="74"/>
        <v>2.5</v>
      </c>
      <c r="L219" s="35">
        <f t="shared" si="62"/>
        <v>2.5</v>
      </c>
      <c r="M219" s="77" cm="1">
        <f t="array" ref="M219">_xlfn.IFS(BOM!I219="RM-PACKING","100%",B219="Reynolds",VLOOKUP(H219,'Yield &amp; Time'!A:V,22,0),BOM!B219="Dnata",VLOOKUP(BOM!H219,'Yield &amp; Time'!A:M,13,0),B219="NK",VLOOKUP(H219,'Yield &amp; Time'!A:X,24,0))</f>
        <v>0.72000000000000008</v>
      </c>
      <c r="N219" s="35">
        <f t="shared" si="61"/>
        <v>3.4722222222222219</v>
      </c>
      <c r="O219" s="1" t="str">
        <f>VLOOKUP(H219,'RM Used'!A:E,5,0)</f>
        <v>KG</v>
      </c>
      <c r="P219" s="11">
        <f>VLOOKUP(H219,'RM Used'!A:F,6,0)</f>
        <v>0.76</v>
      </c>
      <c r="Q219" s="11">
        <f t="shared" si="71"/>
        <v>2.6388888888888888</v>
      </c>
      <c r="R219" s="11">
        <f>IFERROR(IF(B219="Reynolds",VLOOKUP(H219,'Yield &amp; Time'!A:U,21,0),VLOOKUP(H219,'Yield &amp; Time'!A:L,12,0)),0)</f>
        <v>0.87031835205992514</v>
      </c>
      <c r="S219" s="11">
        <f t="shared" si="63"/>
        <v>0.73650690543071162</v>
      </c>
      <c r="T219" s="11">
        <f t="shared" si="64"/>
        <v>3.6263264669163547E-2</v>
      </c>
      <c r="U219" s="11">
        <f>IF(A218=A219,0,VLOOKUP(A219,'Packing Time'!A:F,6,0))</f>
        <v>0.875</v>
      </c>
      <c r="V219" s="11">
        <f t="shared" si="75"/>
        <v>0.29618749999999999</v>
      </c>
      <c r="W219" s="11">
        <f t="shared" si="76"/>
        <v>1.4583333333333334E-2</v>
      </c>
      <c r="X219" s="11">
        <f t="shared" si="65"/>
        <v>1.1359638459737829</v>
      </c>
      <c r="Y219" s="11">
        <f t="shared" si="77"/>
        <v>1.1359638459737829</v>
      </c>
      <c r="Z219" s="37">
        <v>1</v>
      </c>
      <c r="AA219" s="36">
        <f t="shared" si="66"/>
        <v>3.4722222222222219</v>
      </c>
      <c r="AB219" s="36">
        <f t="shared" si="67"/>
        <v>2.6388888888888888</v>
      </c>
      <c r="AC219" s="11">
        <f t="shared" si="68"/>
        <v>5.5931257802746576E-2</v>
      </c>
      <c r="AD219" s="36">
        <f t="shared" si="78"/>
        <v>1.1359638459737829</v>
      </c>
      <c r="AE219" s="36" t="str">
        <f>VLOOKUP(H219,'Yield &amp; Time'!A:R,18,0)</f>
        <v>CHLORINE</v>
      </c>
      <c r="AF219" s="36">
        <f>IFERROR(VLOOKUP(AE219,'Chemical Cost'!A:D,4,0),0)</f>
        <v>2.7756518066439469E-2</v>
      </c>
      <c r="AG219" s="114">
        <f t="shared" si="69"/>
        <v>3.2125599613934568E-2</v>
      </c>
      <c r="AH219" s="36">
        <f t="shared" si="73"/>
        <v>3.2125599613934568E-2</v>
      </c>
      <c r="AI219" s="36">
        <f t="shared" si="79"/>
        <v>3.8069783344766064</v>
      </c>
      <c r="AJ219" s="36">
        <f>IFERROR(VLOOKUP(A219,'All Products'!A:F,6,0),0)</f>
        <v>7.07</v>
      </c>
      <c r="AK219" s="36">
        <f>AJ219*Z219*J219</f>
        <v>7.07</v>
      </c>
      <c r="AL219" s="23">
        <v>0.8</v>
      </c>
      <c r="AM219" s="23">
        <v>0.2</v>
      </c>
      <c r="AN219" s="54" t="e">
        <v>#N/A</v>
      </c>
      <c r="AO219" s="47"/>
      <c r="AP219" s="4">
        <v>1.1000000000000001</v>
      </c>
      <c r="AQ219" s="111">
        <f t="shared" si="70"/>
        <v>5.5931257802746576E-2</v>
      </c>
      <c r="AR219">
        <f>_xlfn.XLOOKUP(F219,'RM Cost'!A:A,'RM Cost'!S:S)</f>
        <v>0</v>
      </c>
      <c r="AS219" t="str">
        <f>_xlfn.XLOOKUP(A219,[3]Sheet1!$B:$B,[3]Sheet1!$B:$B)</f>
        <v>1179CS</v>
      </c>
      <c r="AT219" t="str">
        <f>_xlfn.XLOOKUP(H219,'Yield &amp; Time'!A:A,'Yield &amp; Time'!O:O)</f>
        <v>Yes</v>
      </c>
    </row>
    <row r="220" spans="1:46" x14ac:dyDescent="0.25">
      <c r="A220" s="1" t="s">
        <v>130</v>
      </c>
      <c r="B220" s="2" t="s">
        <v>552</v>
      </c>
      <c r="C220" s="2" t="s">
        <v>575</v>
      </c>
      <c r="D220" s="2" t="s">
        <v>554</v>
      </c>
      <c r="E220" s="2">
        <v>2.5</v>
      </c>
      <c r="F220" s="1" t="str">
        <f>VLOOKUP(H220,'RM Used'!A:B,2,0)</f>
        <v>P0020</v>
      </c>
      <c r="G220" s="1" t="str">
        <f>IFERROR(VLOOKUP(F220,'RM Cost'!A:B,2,0),"")</f>
        <v>PALE BLUE BAG 430X430MM</v>
      </c>
      <c r="H220" s="2" t="s">
        <v>1659</v>
      </c>
      <c r="I220" s="1" t="str">
        <f>VLOOKUP(F220,'RM Used'!B:D,3,0)</f>
        <v>RM-PACKING</v>
      </c>
      <c r="J220" s="66">
        <v>1</v>
      </c>
      <c r="K220" s="35" t="str">
        <f t="shared" si="74"/>
        <v/>
      </c>
      <c r="L220" s="35">
        <f t="shared" si="62"/>
        <v>0</v>
      </c>
      <c r="M220" s="77" t="str" cm="1">
        <f t="array" ref="M220">_xlfn.IFS(BOM!I220="RM-PACKING","100%",B220="Reynolds",VLOOKUP(H220,'Yield &amp; Time'!A:V,22,0),BOM!B220="Dnata",VLOOKUP(BOM!H220,'Yield &amp; Time'!A:M,13,0),B220="NK",VLOOKUP(H220,'Yield &amp; Time'!A:X,24,0))</f>
        <v>100%</v>
      </c>
      <c r="N220" s="35">
        <f t="shared" si="61"/>
        <v>1</v>
      </c>
      <c r="O220" s="1" t="str">
        <f>VLOOKUP(H220,'RM Used'!A:E,5,0)</f>
        <v>Count</v>
      </c>
      <c r="P220" s="11">
        <f>VLOOKUP(H220,'RM Used'!A:F,6,0)</f>
        <v>0.09</v>
      </c>
      <c r="Q220" s="11">
        <f t="shared" si="71"/>
        <v>0.09</v>
      </c>
      <c r="R220" s="11">
        <f>IFERROR(IF(B220="Reynolds",VLOOKUP(H220,'Yield &amp; Time'!A:U,21,0),VLOOKUP(H220,'Yield &amp; Time'!A:L,12,0)),0)</f>
        <v>0</v>
      </c>
      <c r="S220" s="11">
        <f t="shared" si="63"/>
        <v>0</v>
      </c>
      <c r="T220" s="11">
        <f t="shared" si="64"/>
        <v>0</v>
      </c>
      <c r="U220" s="11">
        <f>IF(A219=A220,0,VLOOKUP(A220,'Packing Time'!A:F,6,0))</f>
        <v>0</v>
      </c>
      <c r="V220" s="11">
        <f t="shared" si="75"/>
        <v>0</v>
      </c>
      <c r="W220" s="11">
        <f t="shared" si="76"/>
        <v>0</v>
      </c>
      <c r="X220" s="11">
        <f t="shared" si="65"/>
        <v>0</v>
      </c>
      <c r="Y220" s="11">
        <f t="shared" si="77"/>
        <v>0</v>
      </c>
      <c r="Z220" s="37">
        <v>1</v>
      </c>
      <c r="AA220" s="36">
        <f t="shared" si="66"/>
        <v>1</v>
      </c>
      <c r="AB220" s="36">
        <f t="shared" si="67"/>
        <v>0.09</v>
      </c>
      <c r="AC220" s="11">
        <f t="shared" si="68"/>
        <v>0</v>
      </c>
      <c r="AD220" s="36">
        <f t="shared" si="78"/>
        <v>0</v>
      </c>
      <c r="AE220" s="36"/>
      <c r="AF220" s="36">
        <f>IFERROR(VLOOKUP(AE220,'Chemical Cost'!A:D,4,0),0)</f>
        <v>0</v>
      </c>
      <c r="AG220" s="114">
        <f t="shared" si="69"/>
        <v>0</v>
      </c>
      <c r="AH220" s="36">
        <f t="shared" si="73"/>
        <v>0</v>
      </c>
      <c r="AI220" s="36">
        <f t="shared" si="79"/>
        <v>0.09</v>
      </c>
      <c r="AJ220" s="36">
        <f>IFERROR(VLOOKUP(A220,'All Products'!A:F,6,0),0)</f>
        <v>7.07</v>
      </c>
      <c r="AK220" s="36"/>
      <c r="AL220" s="23">
        <v>0.8</v>
      </c>
      <c r="AM220" s="23">
        <v>0.2</v>
      </c>
      <c r="AN220" s="54" t="e">
        <v>#N/A</v>
      </c>
      <c r="AO220" s="47"/>
      <c r="AP220" s="4">
        <v>1.1000000000000001</v>
      </c>
      <c r="AQ220" s="111">
        <f t="shared" si="70"/>
        <v>0</v>
      </c>
      <c r="AR220">
        <f>_xlfn.XLOOKUP(F220,'RM Cost'!A:A,'RM Cost'!S:S)</f>
        <v>0</v>
      </c>
      <c r="AS220" t="str">
        <f>_xlfn.XLOOKUP(A220,[3]Sheet1!$B:$B,[3]Sheet1!$B:$B)</f>
        <v>1179CS</v>
      </c>
      <c r="AT220" t="e">
        <f>_xlfn.XLOOKUP(H220,'Yield &amp; Time'!A:A,'Yield &amp; Time'!F:F)</f>
        <v>#N/A</v>
      </c>
    </row>
    <row r="221" spans="1:46" x14ac:dyDescent="0.25">
      <c r="A221" s="1" t="s">
        <v>130</v>
      </c>
      <c r="B221" s="2" t="s">
        <v>552</v>
      </c>
      <c r="C221" s="2" t="s">
        <v>575</v>
      </c>
      <c r="D221" s="2" t="s">
        <v>554</v>
      </c>
      <c r="E221" s="2">
        <v>2.5</v>
      </c>
      <c r="F221" s="1" t="str">
        <f>VLOOKUP(H221,'RM Used'!A:B,2,0)</f>
        <v>P0016</v>
      </c>
      <c r="G221" s="1" t="str">
        <f>IFERROR(VLOOKUP(F221,'RM Cost'!A:B,2,0),"")</f>
        <v>REY 40 30 BOX</v>
      </c>
      <c r="H221" s="2" t="s">
        <v>1332</v>
      </c>
      <c r="I221" s="1" t="str">
        <f>VLOOKUP(F221,'RM Used'!B:D,3,0)</f>
        <v>RM-PACKING</v>
      </c>
      <c r="J221" s="66">
        <v>1</v>
      </c>
      <c r="K221" s="35" t="str">
        <f t="shared" si="74"/>
        <v/>
      </c>
      <c r="L221" s="35">
        <f t="shared" si="62"/>
        <v>0</v>
      </c>
      <c r="M221" s="77" t="str" cm="1">
        <f t="array" ref="M221">_xlfn.IFS(BOM!I221="RM-PACKING","100%",B221="Reynolds",VLOOKUP(H221,'Yield &amp; Time'!A:V,22,0),BOM!B221="Dnata",VLOOKUP(BOM!H221,'Yield &amp; Time'!A:M,13,0),B221="NK",VLOOKUP(H221,'Yield &amp; Time'!A:X,24,0))</f>
        <v>100%</v>
      </c>
      <c r="N221" s="35">
        <f t="shared" si="61"/>
        <v>1</v>
      </c>
      <c r="O221" s="1" t="str">
        <f>VLOOKUP(H221,'RM Used'!A:E,5,0)</f>
        <v>Count</v>
      </c>
      <c r="P221" s="11">
        <f>VLOOKUP(H221,'RM Used'!A:F,6,0)</f>
        <v>0.28000000000000003</v>
      </c>
      <c r="Q221" s="11">
        <f t="shared" si="71"/>
        <v>0.28000000000000003</v>
      </c>
      <c r="R221" s="11">
        <f>IFERROR(IF(B221="Reynolds",VLOOKUP(H221,'Yield &amp; Time'!A:U,21,0),VLOOKUP(H221,'Yield &amp; Time'!A:L,12,0)),0)</f>
        <v>0</v>
      </c>
      <c r="S221" s="11">
        <f t="shared" si="63"/>
        <v>0</v>
      </c>
      <c r="T221" s="11">
        <f t="shared" si="64"/>
        <v>0</v>
      </c>
      <c r="U221" s="11">
        <f>IF(A220=A221,0,VLOOKUP(A221,'Packing Time'!A:F,6,0))</f>
        <v>0</v>
      </c>
      <c r="V221" s="11">
        <f t="shared" si="75"/>
        <v>0</v>
      </c>
      <c r="W221" s="11">
        <f t="shared" si="76"/>
        <v>0</v>
      </c>
      <c r="X221" s="11">
        <f t="shared" si="65"/>
        <v>0</v>
      </c>
      <c r="Y221" s="11">
        <f t="shared" si="77"/>
        <v>0</v>
      </c>
      <c r="Z221" s="37">
        <v>1</v>
      </c>
      <c r="AA221" s="36">
        <f t="shared" si="66"/>
        <v>1</v>
      </c>
      <c r="AB221" s="36">
        <f t="shared" si="67"/>
        <v>0.28000000000000003</v>
      </c>
      <c r="AC221" s="11">
        <f t="shared" si="68"/>
        <v>0</v>
      </c>
      <c r="AD221" s="36">
        <f t="shared" si="78"/>
        <v>0</v>
      </c>
      <c r="AE221" s="36"/>
      <c r="AF221" s="36">
        <f>IFERROR(VLOOKUP(AE221,'Chemical Cost'!A:D,4,0),0)</f>
        <v>0</v>
      </c>
      <c r="AG221" s="114">
        <f t="shared" si="69"/>
        <v>0</v>
      </c>
      <c r="AH221" s="36">
        <f t="shared" si="73"/>
        <v>0</v>
      </c>
      <c r="AI221" s="36">
        <f t="shared" si="79"/>
        <v>0.28000000000000003</v>
      </c>
      <c r="AJ221" s="36">
        <f>IFERROR(VLOOKUP(A221,'All Products'!A:F,6,0),0)</f>
        <v>7.07</v>
      </c>
      <c r="AK221" s="36"/>
      <c r="AL221" s="23">
        <v>0.8</v>
      </c>
      <c r="AM221" s="23">
        <v>0.2</v>
      </c>
      <c r="AN221" s="54" t="e">
        <v>#N/A</v>
      </c>
      <c r="AO221" s="47"/>
      <c r="AP221" s="4">
        <v>1.1000000000000001</v>
      </c>
      <c r="AQ221" s="111">
        <f t="shared" si="70"/>
        <v>0</v>
      </c>
      <c r="AR221">
        <f>_xlfn.XLOOKUP(F221,'RM Cost'!A:A,'RM Cost'!S:S)</f>
        <v>0</v>
      </c>
      <c r="AS221" t="str">
        <f>_xlfn.XLOOKUP(A221,[3]Sheet1!$B:$B,[3]Sheet1!$B:$B)</f>
        <v>1179CS</v>
      </c>
      <c r="AT221" t="e">
        <f>_xlfn.XLOOKUP(H221,'Yield &amp; Time'!A:A,'Yield &amp; Time'!F:F)</f>
        <v>#N/A</v>
      </c>
    </row>
    <row r="222" spans="1:46" x14ac:dyDescent="0.25">
      <c r="A222" s="1" t="s">
        <v>88</v>
      </c>
      <c r="B222" s="2" t="s">
        <v>552</v>
      </c>
      <c r="C222" s="2" t="s">
        <v>578</v>
      </c>
      <c r="D222" s="2" t="s">
        <v>554</v>
      </c>
      <c r="E222" s="2">
        <v>2.5</v>
      </c>
      <c r="F222" s="1" t="str">
        <f>VLOOKUP(H222,'RM Used'!A:B,2,0)</f>
        <v>206ACS</v>
      </c>
      <c r="G222" s="1" t="str">
        <f>IFERROR(VLOOKUP(F222,'RM Cost'!A:B,2,0),"")</f>
        <v>RM - PREP ONION WHOLE 10KG</v>
      </c>
      <c r="H222" s="2" t="s">
        <v>1393</v>
      </c>
      <c r="I222" s="1" t="str">
        <f>VLOOKUP(F222,'RM Used'!B:D,3,0)</f>
        <v>RM-FOOD</v>
      </c>
      <c r="J222" s="66">
        <v>0.4</v>
      </c>
      <c r="K222" s="35">
        <f t="shared" si="74"/>
        <v>1</v>
      </c>
      <c r="L222" s="35">
        <f t="shared" si="62"/>
        <v>1</v>
      </c>
      <c r="M222" s="77" cm="1">
        <f t="array" ref="M222">_xlfn.IFS(BOM!I222="RM-PACKING","100%",B222="Reynolds",VLOOKUP(H222,'Yield &amp; Time'!A:V,22,0),BOM!B222="Dnata",VLOOKUP(BOM!H222,'Yield &amp; Time'!A:M,13,0),B222="NK",VLOOKUP(H222,'Yield &amp; Time'!A:X,24,0))</f>
        <v>0.89645254074784275</v>
      </c>
      <c r="N222" s="35">
        <f t="shared" si="61"/>
        <v>1.1155080213903743</v>
      </c>
      <c r="O222" s="1" t="str">
        <f>VLOOKUP(H222,'RM Used'!A:E,5,0)</f>
        <v>KG</v>
      </c>
      <c r="P222" s="11">
        <f>VLOOKUP(H222,'RM Used'!A:F,6,0)</f>
        <v>0.87</v>
      </c>
      <c r="Q222" s="11">
        <f t="shared" si="71"/>
        <v>0.97049197860962566</v>
      </c>
      <c r="R222" s="11">
        <f>IFERROR(IF(B222="Reynolds",VLOOKUP(H222,'Yield &amp; Time'!A:U,21,0),VLOOKUP(H222,'Yield &amp; Time'!A:L,12,0)),0)</f>
        <v>1.6666666666666667</v>
      </c>
      <c r="S222" s="11">
        <f t="shared" si="63"/>
        <v>0.56416666666666671</v>
      </c>
      <c r="T222" s="11">
        <f t="shared" si="64"/>
        <v>2.7777777777777783E-2</v>
      </c>
      <c r="U222" s="11">
        <f>IF(A221=A222,0,VLOOKUP(A222,'Packing Time'!A:F,6,0))</f>
        <v>0.875</v>
      </c>
      <c r="V222" s="11">
        <f t="shared" si="75"/>
        <v>0.29618749999999999</v>
      </c>
      <c r="W222" s="11">
        <f t="shared" si="76"/>
        <v>1.4583333333333334E-2</v>
      </c>
      <c r="X222" s="11">
        <f t="shared" si="65"/>
        <v>0.94638958333333334</v>
      </c>
      <c r="Y222" s="11">
        <f t="shared" si="77"/>
        <v>0.94638958333333334</v>
      </c>
      <c r="Z222" s="37">
        <v>1</v>
      </c>
      <c r="AA222" s="36">
        <f t="shared" si="66"/>
        <v>1.1155080213903743</v>
      </c>
      <c r="AB222" s="36">
        <f t="shared" si="67"/>
        <v>0.97049197860962566</v>
      </c>
      <c r="AC222" s="11">
        <f t="shared" si="68"/>
        <v>4.6597222222222227E-2</v>
      </c>
      <c r="AD222" s="36">
        <f t="shared" si="78"/>
        <v>0.94638958333333345</v>
      </c>
      <c r="AE222" s="36" t="str">
        <f>VLOOKUP(H222,'Yield &amp; Time'!A:R,18,0)</f>
        <v>CHLORINE</v>
      </c>
      <c r="AF222" s="36">
        <f>IFERROR(VLOOKUP(AE222,'Chemical Cost'!A:D,4,0),0)</f>
        <v>2.7756518066439469E-2</v>
      </c>
      <c r="AG222" s="114">
        <f t="shared" si="69"/>
        <v>1.0320872849660023E-2</v>
      </c>
      <c r="AH222" s="36">
        <f t="shared" si="73"/>
        <v>1.0320872849660023E-2</v>
      </c>
      <c r="AI222" s="36">
        <f t="shared" si="79"/>
        <v>1.9272024347926189</v>
      </c>
      <c r="AJ222" s="36">
        <f>IFERROR(VLOOKUP(A222,'All Products'!A:F,6,0),0)</f>
        <v>11.78</v>
      </c>
      <c r="AK222" s="36">
        <f t="shared" ref="AK222:AK229" si="80">AJ222*Z222*J222</f>
        <v>4.7119999999999997</v>
      </c>
      <c r="AL222" s="23">
        <v>0.8</v>
      </c>
      <c r="AM222" s="23">
        <v>0.2</v>
      </c>
      <c r="AN222" s="54" t="e">
        <v>#N/A</v>
      </c>
      <c r="AO222" s="47"/>
      <c r="AP222" s="4">
        <v>1.1000000000000001</v>
      </c>
      <c r="AQ222" s="111">
        <f t="shared" si="70"/>
        <v>4.6597222222222227E-2</v>
      </c>
      <c r="AR222">
        <f>_xlfn.XLOOKUP(F222,'RM Cost'!A:A,'RM Cost'!S:S)</f>
        <v>0</v>
      </c>
      <c r="AS222" t="str">
        <f>_xlfn.XLOOKUP(A222,[3]Sheet1!$B:$B,[3]Sheet1!$B:$B)</f>
        <v>1475CS</v>
      </c>
      <c r="AT222" t="str">
        <f>_xlfn.XLOOKUP(H222,'Yield &amp; Time'!A:A,'Yield &amp; Time'!O:O)</f>
        <v>Yes</v>
      </c>
    </row>
    <row r="223" spans="1:46" x14ac:dyDescent="0.25">
      <c r="A223" s="1" t="s">
        <v>88</v>
      </c>
      <c r="B223" s="2" t="s">
        <v>552</v>
      </c>
      <c r="C223" s="2" t="s">
        <v>578</v>
      </c>
      <c r="D223" s="2" t="s">
        <v>554</v>
      </c>
      <c r="E223" s="2">
        <v>2.5</v>
      </c>
      <c r="F223" s="1" t="str">
        <f>VLOOKUP(H223,'RM Used'!A:B,2,0)</f>
        <v>3566CS</v>
      </c>
      <c r="G223" s="1" t="str">
        <f>IFERROR(VLOOKUP(F223,'RM Cost'!A:B,2,0),"")</f>
        <v>PEPPERS RED X 5KG</v>
      </c>
      <c r="H223" s="2" t="s">
        <v>1355</v>
      </c>
      <c r="I223" s="1" t="str">
        <f>VLOOKUP(F223,'RM Used'!B:D,3,0)</f>
        <v>RM-FOOD</v>
      </c>
      <c r="J223" s="66">
        <v>0.2</v>
      </c>
      <c r="K223" s="35">
        <f t="shared" si="74"/>
        <v>0.5</v>
      </c>
      <c r="L223" s="35">
        <f t="shared" si="62"/>
        <v>0.5</v>
      </c>
      <c r="M223" s="77" cm="1">
        <f t="array" ref="M223">_xlfn.IFS(BOM!I223="RM-PACKING","100%",B223="Reynolds",VLOOKUP(H223,'Yield &amp; Time'!A:V,22,0),BOM!B223="Dnata",VLOOKUP(BOM!H223,'Yield &amp; Time'!A:M,13,0),B223="NK",VLOOKUP(H223,'Yield &amp; Time'!A:X,24,0))</f>
        <v>0.69679992348890596</v>
      </c>
      <c r="N223" s="35">
        <f t="shared" si="61"/>
        <v>0.71756609486476319</v>
      </c>
      <c r="O223" s="1" t="str">
        <f>VLOOKUP(H223,'RM Used'!A:E,5,0)</f>
        <v>KG</v>
      </c>
      <c r="P223" s="11">
        <f>VLOOKUP(H223,'RM Used'!A:F,6,0)</f>
        <v>1.72</v>
      </c>
      <c r="Q223" s="11">
        <f t="shared" si="71"/>
        <v>1.2342136831673927</v>
      </c>
      <c r="R223" s="11">
        <f>IFERROR(IF(B223="Reynolds",VLOOKUP(H223,'Yield &amp; Time'!A:U,21,0),VLOOKUP(H223,'Yield &amp; Time'!A:L,12,0)),0)</f>
        <v>1.4647664250073889</v>
      </c>
      <c r="S223" s="11">
        <f t="shared" si="63"/>
        <v>0.24791171743250054</v>
      </c>
      <c r="T223" s="11">
        <f t="shared" si="64"/>
        <v>1.2206386875061573E-2</v>
      </c>
      <c r="U223" s="11">
        <f>IF(A222=A223,0,VLOOKUP(A223,'Packing Time'!A:F,6,0))</f>
        <v>0</v>
      </c>
      <c r="V223" s="11">
        <f t="shared" si="75"/>
        <v>0</v>
      </c>
      <c r="W223" s="11">
        <f t="shared" si="76"/>
        <v>0</v>
      </c>
      <c r="X223" s="11">
        <f t="shared" si="65"/>
        <v>0.27270288917575064</v>
      </c>
      <c r="Y223" s="11">
        <f t="shared" si="77"/>
        <v>0.27270288917575064</v>
      </c>
      <c r="Z223" s="37">
        <v>1</v>
      </c>
      <c r="AA223" s="36">
        <f t="shared" si="66"/>
        <v>0.71756609486476319</v>
      </c>
      <c r="AB223" s="36">
        <f t="shared" si="67"/>
        <v>1.2342136831673927</v>
      </c>
      <c r="AC223" s="11">
        <f t="shared" si="68"/>
        <v>1.3427025562567732E-2</v>
      </c>
      <c r="AD223" s="36">
        <f t="shared" si="78"/>
        <v>0.27270288917575064</v>
      </c>
      <c r="AE223" s="36" t="str">
        <f>VLOOKUP(H223,'Yield &amp; Time'!A:R,18,0)</f>
        <v>CHLORINE</v>
      </c>
      <c r="AF223" s="36">
        <f>IFERROR(VLOOKUP(AE223,'Chemical Cost'!A:D,4,0),0)</f>
        <v>2.7756518066439469E-2</v>
      </c>
      <c r="AG223" s="114">
        <f t="shared" si="69"/>
        <v>6.6390454253260726E-3</v>
      </c>
      <c r="AH223" s="36">
        <f t="shared" si="73"/>
        <v>6.6390454253260726E-3</v>
      </c>
      <c r="AI223" s="36">
        <f t="shared" si="79"/>
        <v>1.5135556177684693</v>
      </c>
      <c r="AJ223" s="36">
        <f>IFERROR(VLOOKUP(A223,'All Products'!A:F,6,0),0)</f>
        <v>11.78</v>
      </c>
      <c r="AK223" s="36">
        <f t="shared" si="80"/>
        <v>2.3559999999999999</v>
      </c>
      <c r="AL223" s="23">
        <v>0.8</v>
      </c>
      <c r="AM223" s="23">
        <v>0.2</v>
      </c>
      <c r="AN223" s="54" t="e">
        <v>#N/A</v>
      </c>
      <c r="AO223" s="47"/>
      <c r="AP223" s="4">
        <v>1.1000000000000001</v>
      </c>
      <c r="AQ223" s="111">
        <f t="shared" si="70"/>
        <v>1.3427025562567732E-2</v>
      </c>
      <c r="AR223">
        <f>_xlfn.XLOOKUP(F223,'RM Cost'!A:A,'RM Cost'!S:S)</f>
        <v>0</v>
      </c>
      <c r="AS223" t="str">
        <f>_xlfn.XLOOKUP(A223,[3]Sheet1!$B:$B,[3]Sheet1!$B:$B)</f>
        <v>1475CS</v>
      </c>
      <c r="AT223">
        <f>_xlfn.XLOOKUP(H223,'Yield &amp; Time'!A:A,'Yield &amp; Time'!F:F)</f>
        <v>0</v>
      </c>
    </row>
    <row r="224" spans="1:46" x14ac:dyDescent="0.25">
      <c r="A224" s="1" t="s">
        <v>88</v>
      </c>
      <c r="B224" s="2" t="s">
        <v>552</v>
      </c>
      <c r="C224" s="2" t="s">
        <v>578</v>
      </c>
      <c r="D224" s="2" t="s">
        <v>554</v>
      </c>
      <c r="E224" s="2">
        <v>2.5</v>
      </c>
      <c r="F224" s="1" t="str">
        <f>VLOOKUP(H224,'RM Used'!A:B,2,0)</f>
        <v>0930CS</v>
      </c>
      <c r="G224" s="1" t="str">
        <f>IFERROR(VLOOKUP(F224,'RM Cost'!A:B,2,0),"")</f>
        <v>RM - COURGETTE STANDARD</v>
      </c>
      <c r="H224" s="2" t="s">
        <v>1394</v>
      </c>
      <c r="I224" s="1" t="str">
        <f>VLOOKUP(F224,'RM Used'!B:D,3,0)</f>
        <v>RM-FOOD</v>
      </c>
      <c r="J224" s="66">
        <v>0.1</v>
      </c>
      <c r="K224" s="35">
        <f t="shared" si="74"/>
        <v>0.25</v>
      </c>
      <c r="L224" s="35">
        <f t="shared" si="62"/>
        <v>0.25</v>
      </c>
      <c r="M224" s="77" cm="1">
        <f t="array" ref="M224">_xlfn.IFS(BOM!I224="RM-PACKING","100%",B224="Reynolds",VLOOKUP(H224,'Yield &amp; Time'!A:V,22,0),BOM!B224="Dnata",VLOOKUP(BOM!H224,'Yield &amp; Time'!A:M,13,0),B224="NK",VLOOKUP(H224,'Yield &amp; Time'!A:X,24,0))</f>
        <v>0.8</v>
      </c>
      <c r="N224" s="35">
        <f t="shared" ref="N224:N255" si="81">IFERROR(IF(I224="RM-FOOD",(E224*J224)/M224,1),0)</f>
        <v>0.3125</v>
      </c>
      <c r="O224" s="1" t="str">
        <f>VLOOKUP(H224,'RM Used'!A:E,5,0)</f>
        <v>KG</v>
      </c>
      <c r="P224" s="11">
        <f>VLOOKUP(H224,'RM Used'!A:F,6,0)</f>
        <v>1.1000000000000001</v>
      </c>
      <c r="Q224" s="11">
        <f t="shared" si="71"/>
        <v>0.34375</v>
      </c>
      <c r="R224" s="11">
        <f>IFERROR(IF(B224="Reynolds",VLOOKUP(H224,'Yield &amp; Time'!A:U,21,0),VLOOKUP(H224,'Yield &amp; Time'!A:L,12,0)),0)</f>
        <v>1.6666666666666665</v>
      </c>
      <c r="S224" s="11">
        <f t="shared" si="63"/>
        <v>0.14104166666666665</v>
      </c>
      <c r="T224" s="11">
        <f t="shared" si="64"/>
        <v>6.9444444444444441E-3</v>
      </c>
      <c r="U224" s="11">
        <f>IF(A223=A224,0,VLOOKUP(A224,'Packing Time'!A:F,6,0))</f>
        <v>0</v>
      </c>
      <c r="V224" s="11">
        <f t="shared" si="75"/>
        <v>0</v>
      </c>
      <c r="W224" s="11">
        <f t="shared" si="76"/>
        <v>0</v>
      </c>
      <c r="X224" s="11">
        <f t="shared" si="65"/>
        <v>0.15514583333333332</v>
      </c>
      <c r="Y224" s="11">
        <f t="shared" si="77"/>
        <v>0.15514583333333332</v>
      </c>
      <c r="Z224" s="37">
        <v>1</v>
      </c>
      <c r="AA224" s="36">
        <f t="shared" si="66"/>
        <v>0.3125</v>
      </c>
      <c r="AB224" s="36">
        <f t="shared" si="67"/>
        <v>0.34375</v>
      </c>
      <c r="AC224" s="11">
        <f t="shared" si="68"/>
        <v>7.6388888888888895E-3</v>
      </c>
      <c r="AD224" s="36">
        <f t="shared" si="78"/>
        <v>0.15514583333333334</v>
      </c>
      <c r="AE224" s="36"/>
      <c r="AF224" s="36">
        <f>IFERROR(VLOOKUP(AE224,'Chemical Cost'!A:D,4,0),0)</f>
        <v>0</v>
      </c>
      <c r="AG224" s="114">
        <f t="shared" si="69"/>
        <v>0</v>
      </c>
      <c r="AH224" s="36">
        <f t="shared" si="73"/>
        <v>0</v>
      </c>
      <c r="AI224" s="36">
        <f t="shared" si="79"/>
        <v>0.49889583333333332</v>
      </c>
      <c r="AJ224" s="36">
        <f>IFERROR(VLOOKUP(A224,'All Products'!A:F,6,0),0)</f>
        <v>11.78</v>
      </c>
      <c r="AK224" s="36">
        <f t="shared" si="80"/>
        <v>1.1779999999999999</v>
      </c>
      <c r="AL224" s="23">
        <v>0.8</v>
      </c>
      <c r="AM224" s="23">
        <v>0.2</v>
      </c>
      <c r="AN224" s="54" t="e">
        <v>#N/A</v>
      </c>
      <c r="AO224" s="47"/>
      <c r="AP224" s="4">
        <v>1.1000000000000001</v>
      </c>
      <c r="AQ224" s="111">
        <f t="shared" si="70"/>
        <v>7.6388888888888895E-3</v>
      </c>
      <c r="AR224">
        <f>_xlfn.XLOOKUP(F224,'RM Cost'!A:A,'RM Cost'!S:S)</f>
        <v>1.1644775886170367</v>
      </c>
      <c r="AS224" t="str">
        <f>_xlfn.XLOOKUP(A224,[3]Sheet1!$B:$B,[3]Sheet1!$B:$B)</f>
        <v>1475CS</v>
      </c>
      <c r="AT224">
        <f>_xlfn.XLOOKUP(H224,'Yield &amp; Time'!A:A,'Yield &amp; Time'!F:F)</f>
        <v>0</v>
      </c>
    </row>
    <row r="225" spans="1:46" x14ac:dyDescent="0.25">
      <c r="A225" s="1" t="s">
        <v>88</v>
      </c>
      <c r="B225" s="2" t="s">
        <v>552</v>
      </c>
      <c r="C225" s="2" t="s">
        <v>578</v>
      </c>
      <c r="D225" s="2" t="s">
        <v>554</v>
      </c>
      <c r="E225" s="2">
        <v>2.5</v>
      </c>
      <c r="F225" s="1" t="str">
        <f>VLOOKUP(H225,'RM Used'!A:B,2,0)</f>
        <v>032ACS</v>
      </c>
      <c r="G225" s="1" t="str">
        <f>IFERROR(VLOOKUP(F225,'RM Cost'!A:B,2,0),"")</f>
        <v>RM - LRG PROCESSING CARROT X 1000KG</v>
      </c>
      <c r="H225" s="2" t="s">
        <v>1351</v>
      </c>
      <c r="I225" s="1" t="str">
        <f>VLOOKUP(F225,'RM Used'!B:D,3,0)</f>
        <v>RM-FOOD</v>
      </c>
      <c r="J225" s="66">
        <v>0.1</v>
      </c>
      <c r="K225" s="35">
        <f t="shared" si="74"/>
        <v>0.25</v>
      </c>
      <c r="L225" s="35">
        <f t="shared" si="62"/>
        <v>0.25</v>
      </c>
      <c r="M225" s="77" cm="1">
        <f t="array" ref="M225">_xlfn.IFS(BOM!I225="RM-PACKING","100%",B225="Reynolds",VLOOKUP(H225,'Yield &amp; Time'!A:V,22,0),BOM!B225="Dnata",VLOOKUP(BOM!H225,'Yield &amp; Time'!A:M,13,0),B225="NK",VLOOKUP(H225,'Yield &amp; Time'!A:X,24,0))</f>
        <v>0.75330000000000008</v>
      </c>
      <c r="N225" s="35">
        <f t="shared" si="81"/>
        <v>0.33187309172972251</v>
      </c>
      <c r="O225" s="1" t="str">
        <f>VLOOKUP(H225,'RM Used'!A:E,5,0)</f>
        <v>KG</v>
      </c>
      <c r="P225" s="11">
        <f>VLOOKUP(H225,'RM Used'!A:F,6,0)</f>
        <v>0.38</v>
      </c>
      <c r="Q225" s="11">
        <f t="shared" si="71"/>
        <v>0.12611177485729455</v>
      </c>
      <c r="R225" s="11">
        <f>IFERROR(IF(B225="Reynolds",VLOOKUP(H225,'Yield &amp; Time'!A:U,21,0),VLOOKUP(H225,'Yield &amp; Time'!A:L,12,0)),0)</f>
        <v>0.90531914893617027</v>
      </c>
      <c r="S225" s="11">
        <f t="shared" si="63"/>
        <v>7.6612632978723408E-2</v>
      </c>
      <c r="T225" s="11">
        <f t="shared" si="64"/>
        <v>3.7721631205673762E-3</v>
      </c>
      <c r="U225" s="11">
        <f>IF(A224=A225,0,VLOOKUP(A225,'Packing Time'!A:F,6,0))</f>
        <v>0</v>
      </c>
      <c r="V225" s="11">
        <f t="shared" si="75"/>
        <v>0</v>
      </c>
      <c r="W225" s="11">
        <f t="shared" si="76"/>
        <v>0</v>
      </c>
      <c r="X225" s="11">
        <f t="shared" si="65"/>
        <v>8.4273896276595761E-2</v>
      </c>
      <c r="Y225" s="11">
        <f t="shared" si="77"/>
        <v>8.4273896276595761E-2</v>
      </c>
      <c r="Z225" s="37">
        <v>1</v>
      </c>
      <c r="AA225" s="36">
        <f t="shared" si="66"/>
        <v>0.33187309172972251</v>
      </c>
      <c r="AB225" s="36">
        <f t="shared" si="67"/>
        <v>0.12611177485729455</v>
      </c>
      <c r="AC225" s="11">
        <f t="shared" si="68"/>
        <v>4.1493794326241144E-3</v>
      </c>
      <c r="AD225" s="36">
        <f t="shared" si="78"/>
        <v>8.4273896276595761E-2</v>
      </c>
      <c r="AE225" s="36" t="str">
        <f>VLOOKUP(H225,'Yield &amp; Time'!A:R,18,0)</f>
        <v>CHLORINE</v>
      </c>
      <c r="AF225" s="36">
        <f>IFERROR(VLOOKUP(AE225,'Chemical Cost'!A:D,4,0),0)</f>
        <v>2.7756518066439469E-2</v>
      </c>
      <c r="AG225" s="114">
        <f t="shared" si="69"/>
        <v>3.0705471554537222E-3</v>
      </c>
      <c r="AH225" s="36">
        <f t="shared" si="73"/>
        <v>3.0705471554537222E-3</v>
      </c>
      <c r="AI225" s="36">
        <f t="shared" si="79"/>
        <v>0.21345621828934402</v>
      </c>
      <c r="AJ225" s="36">
        <f>IFERROR(VLOOKUP(A225,'All Products'!A:F,6,0),0)</f>
        <v>11.78</v>
      </c>
      <c r="AK225" s="36">
        <f t="shared" si="80"/>
        <v>1.1779999999999999</v>
      </c>
      <c r="AL225" s="23">
        <v>0.8</v>
      </c>
      <c r="AM225" s="23">
        <v>0.2</v>
      </c>
      <c r="AN225" s="54" t="e">
        <v>#N/A</v>
      </c>
      <c r="AO225" s="47"/>
      <c r="AP225" s="4">
        <v>1.1000000000000001</v>
      </c>
      <c r="AQ225" s="111">
        <f t="shared" si="70"/>
        <v>4.1493794326241144E-3</v>
      </c>
      <c r="AR225">
        <f>_xlfn.XLOOKUP(F225,'RM Cost'!A:A,'RM Cost'!S:S)</f>
        <v>0</v>
      </c>
      <c r="AS225" t="str">
        <f>_xlfn.XLOOKUP(A225,[3]Sheet1!$B:$B,[3]Sheet1!$B:$B)</f>
        <v>1475CS</v>
      </c>
      <c r="AT225" t="str">
        <f>_xlfn.XLOOKUP(H225,'Yield &amp; Time'!A:A,'Yield &amp; Time'!O:O)</f>
        <v>Yes</v>
      </c>
    </row>
    <row r="226" spans="1:46" x14ac:dyDescent="0.25">
      <c r="A226" s="1" t="s">
        <v>88</v>
      </c>
      <c r="B226" s="2" t="s">
        <v>552</v>
      </c>
      <c r="C226" s="2" t="s">
        <v>578</v>
      </c>
      <c r="D226" s="2" t="s">
        <v>554</v>
      </c>
      <c r="E226" s="2">
        <v>2.5</v>
      </c>
      <c r="F226" s="1" t="str">
        <f>VLOOKUP(H226,'RM Used'!A:B,2,0)</f>
        <v>3138CS</v>
      </c>
      <c r="G226" s="1" t="str">
        <f>IFERROR(VLOOKUP(F226,'RM Cost'!A:B,2,0),"")</f>
        <v>RM - MANGETOUT 2KG</v>
      </c>
      <c r="H226" s="2" t="s">
        <v>1672</v>
      </c>
      <c r="I226" s="1" t="str">
        <f>VLOOKUP(F226,'RM Used'!B:D,3,0)</f>
        <v>RM-FOOD</v>
      </c>
      <c r="J226" s="66">
        <v>0.05</v>
      </c>
      <c r="K226" s="35">
        <f t="shared" si="74"/>
        <v>0.125</v>
      </c>
      <c r="L226" s="35">
        <f t="shared" si="62"/>
        <v>0.125</v>
      </c>
      <c r="M226" s="77" cm="1">
        <f t="array" ref="M226">_xlfn.IFS(BOM!I226="RM-PACKING","100%",B226="Reynolds",VLOOKUP(H226,'Yield &amp; Time'!A:V,22,0),BOM!B226="Dnata",VLOOKUP(BOM!H226,'Yield &amp; Time'!A:M,13,0),B226="NK",VLOOKUP(H226,'Yield &amp; Time'!A:X,24,0))</f>
        <v>1</v>
      </c>
      <c r="N226" s="35">
        <f t="shared" si="81"/>
        <v>0.125</v>
      </c>
      <c r="O226" s="1" t="str">
        <f>VLOOKUP(H226,'RM Used'!A:E,5,0)</f>
        <v>KG</v>
      </c>
      <c r="P226" s="11">
        <f>VLOOKUP(H226,'RM Used'!A:F,6,0)</f>
        <v>4.13</v>
      </c>
      <c r="Q226" s="11">
        <f t="shared" si="71"/>
        <v>0.51624999999999999</v>
      </c>
      <c r="R226" s="11">
        <f>IFERROR(IF(B226="Reynolds",VLOOKUP(H226,'Yield &amp; Time'!A:U,21,0),VLOOKUP(H226,'Yield &amp; Time'!A:L,12,0)),0)</f>
        <v>0</v>
      </c>
      <c r="S226" s="11">
        <f t="shared" si="63"/>
        <v>0</v>
      </c>
      <c r="T226" s="11">
        <f t="shared" si="64"/>
        <v>0</v>
      </c>
      <c r="U226" s="11">
        <f>IF(A225=A226,0,VLOOKUP(A226,'Packing Time'!A:F,6,0))</f>
        <v>0</v>
      </c>
      <c r="V226" s="11">
        <f t="shared" si="75"/>
        <v>0</v>
      </c>
      <c r="W226" s="11">
        <f t="shared" si="76"/>
        <v>0</v>
      </c>
      <c r="X226" s="11">
        <f t="shared" si="65"/>
        <v>0</v>
      </c>
      <c r="Y226" s="11">
        <f t="shared" si="77"/>
        <v>0</v>
      </c>
      <c r="Z226" s="37">
        <v>1</v>
      </c>
      <c r="AA226" s="36">
        <f t="shared" si="66"/>
        <v>0.125</v>
      </c>
      <c r="AB226" s="36">
        <f t="shared" si="67"/>
        <v>0.51624999999999999</v>
      </c>
      <c r="AC226" s="11">
        <f t="shared" si="68"/>
        <v>0</v>
      </c>
      <c r="AD226" s="36">
        <f t="shared" si="78"/>
        <v>0</v>
      </c>
      <c r="AE226" s="36"/>
      <c r="AF226" s="36">
        <f>IFERROR(VLOOKUP(AE226,'Chemical Cost'!A:D,4,0),0)</f>
        <v>0</v>
      </c>
      <c r="AG226" s="114">
        <f t="shared" si="69"/>
        <v>0</v>
      </c>
      <c r="AH226" s="36">
        <f t="shared" si="73"/>
        <v>0</v>
      </c>
      <c r="AI226" s="36">
        <f t="shared" si="79"/>
        <v>0.51624999999999999</v>
      </c>
      <c r="AJ226" s="36">
        <f>IFERROR(VLOOKUP(A226,'All Products'!A:F,6,0),0)</f>
        <v>11.78</v>
      </c>
      <c r="AK226" s="36">
        <f t="shared" si="80"/>
        <v>0.58899999999999997</v>
      </c>
      <c r="AL226" s="23">
        <v>0.8</v>
      </c>
      <c r="AM226" s="23">
        <v>0.2</v>
      </c>
      <c r="AN226" s="54" t="e">
        <v>#N/A</v>
      </c>
      <c r="AO226" s="47"/>
      <c r="AP226" s="4">
        <v>1.1000000000000001</v>
      </c>
      <c r="AQ226" s="111">
        <f t="shared" si="70"/>
        <v>0</v>
      </c>
      <c r="AR226">
        <f>_xlfn.XLOOKUP(F226,'RM Cost'!A:A,'RM Cost'!S:S)</f>
        <v>0</v>
      </c>
      <c r="AS226" t="str">
        <f>_xlfn.XLOOKUP(A226,[3]Sheet1!$B:$B,[3]Sheet1!$B:$B)</f>
        <v>1475CS</v>
      </c>
      <c r="AT226">
        <f>_xlfn.XLOOKUP(H226,'Yield &amp; Time'!A:A,'Yield &amp; Time'!F:F)</f>
        <v>0</v>
      </c>
    </row>
    <row r="227" spans="1:46" x14ac:dyDescent="0.25">
      <c r="A227" s="1" t="s">
        <v>88</v>
      </c>
      <c r="B227" s="2" t="s">
        <v>552</v>
      </c>
      <c r="C227" s="2" t="s">
        <v>578</v>
      </c>
      <c r="D227" s="2" t="s">
        <v>554</v>
      </c>
      <c r="E227" s="2">
        <v>2.5</v>
      </c>
      <c r="F227" s="1" t="str">
        <f>VLOOKUP(H227,'RM Used'!A:B,2,0)</f>
        <v>3815CS</v>
      </c>
      <c r="G227" s="1" t="str">
        <f>IFERROR(VLOOKUP(F227,'RM Cost'!A:B,2,0),"")</f>
        <v>RM - CORN BABY  12 X 80G</v>
      </c>
      <c r="H227" s="2" t="s">
        <v>1395</v>
      </c>
      <c r="I227" s="1" t="str">
        <f>VLOOKUP(F227,'RM Used'!B:D,3,0)</f>
        <v>RM-FOOD</v>
      </c>
      <c r="J227" s="66">
        <v>0.05</v>
      </c>
      <c r="K227" s="35">
        <f t="shared" si="74"/>
        <v>0.125</v>
      </c>
      <c r="L227" s="35">
        <f t="shared" si="62"/>
        <v>0.125</v>
      </c>
      <c r="M227" s="77" cm="1">
        <f t="array" ref="M227">_xlfn.IFS(BOM!I227="RM-PACKING","100%",B227="Reynolds",VLOOKUP(H227,'Yield &amp; Time'!A:V,22,0),BOM!B227="Dnata",VLOOKUP(BOM!H227,'Yield &amp; Time'!A:M,13,0),B227="NK",VLOOKUP(H227,'Yield &amp; Time'!A:X,24,0))</f>
        <v>1</v>
      </c>
      <c r="N227" s="35">
        <f t="shared" si="81"/>
        <v>0.125</v>
      </c>
      <c r="O227" s="1" t="str">
        <f>VLOOKUP(H227,'RM Used'!A:E,5,0)</f>
        <v>KG</v>
      </c>
      <c r="P227" s="11">
        <f>VLOOKUP(H227,'RM Used'!A:F,6,0)</f>
        <v>6.88</v>
      </c>
      <c r="Q227" s="11">
        <f t="shared" si="71"/>
        <v>0.86</v>
      </c>
      <c r="R227" s="11">
        <f>IFERROR(IF(B227="Reynolds",VLOOKUP(H227,'Yield &amp; Time'!A:U,21,0),VLOOKUP(H227,'Yield &amp; Time'!A:L,12,0)),0)</f>
        <v>0</v>
      </c>
      <c r="S227" s="11">
        <f t="shared" si="63"/>
        <v>0</v>
      </c>
      <c r="T227" s="11">
        <f t="shared" si="64"/>
        <v>0</v>
      </c>
      <c r="U227" s="11">
        <f>IF(A226=A227,0,VLOOKUP(A227,'Packing Time'!A:F,6,0))</f>
        <v>0</v>
      </c>
      <c r="V227" s="11">
        <f t="shared" si="75"/>
        <v>0</v>
      </c>
      <c r="W227" s="11">
        <f t="shared" si="76"/>
        <v>0</v>
      </c>
      <c r="X227" s="11">
        <f t="shared" si="65"/>
        <v>0</v>
      </c>
      <c r="Y227" s="11">
        <f t="shared" si="77"/>
        <v>0</v>
      </c>
      <c r="Z227" s="37">
        <v>1</v>
      </c>
      <c r="AA227" s="36">
        <f t="shared" si="66"/>
        <v>0.125</v>
      </c>
      <c r="AB227" s="36">
        <f t="shared" si="67"/>
        <v>0.86</v>
      </c>
      <c r="AC227" s="11">
        <f t="shared" si="68"/>
        <v>0</v>
      </c>
      <c r="AD227" s="36">
        <f t="shared" si="78"/>
        <v>0</v>
      </c>
      <c r="AE227" s="36"/>
      <c r="AF227" s="36">
        <f>IFERROR(VLOOKUP(AE227,'Chemical Cost'!A:D,4,0),0)</f>
        <v>0</v>
      </c>
      <c r="AG227" s="114">
        <f t="shared" si="69"/>
        <v>0</v>
      </c>
      <c r="AH227" s="36">
        <f t="shared" si="73"/>
        <v>0</v>
      </c>
      <c r="AI227" s="36">
        <f t="shared" si="79"/>
        <v>0.86</v>
      </c>
      <c r="AJ227" s="36">
        <f>IFERROR(VLOOKUP(A227,'All Products'!A:F,6,0),0)</f>
        <v>11.78</v>
      </c>
      <c r="AK227" s="36">
        <f t="shared" si="80"/>
        <v>0.58899999999999997</v>
      </c>
      <c r="AL227" s="23">
        <v>0.8</v>
      </c>
      <c r="AM227" s="23">
        <v>0.2</v>
      </c>
      <c r="AN227" s="54" t="e">
        <v>#N/A</v>
      </c>
      <c r="AO227" s="47"/>
      <c r="AP227" s="4">
        <v>1.1000000000000001</v>
      </c>
      <c r="AQ227" s="111">
        <f t="shared" si="70"/>
        <v>0</v>
      </c>
      <c r="AR227">
        <f>_xlfn.XLOOKUP(F227,'RM Cost'!A:A,'RM Cost'!S:S)</f>
        <v>3.5695418813421296</v>
      </c>
      <c r="AS227" t="str">
        <f>_xlfn.XLOOKUP(A227,[3]Sheet1!$B:$B,[3]Sheet1!$B:$B)</f>
        <v>1475CS</v>
      </c>
      <c r="AT227">
        <f>_xlfn.XLOOKUP(H227,'Yield &amp; Time'!A:A,'Yield &amp; Time'!F:F)</f>
        <v>0</v>
      </c>
    </row>
    <row r="228" spans="1:46" x14ac:dyDescent="0.25">
      <c r="A228" s="1" t="s">
        <v>88</v>
      </c>
      <c r="B228" s="2" t="s">
        <v>552</v>
      </c>
      <c r="C228" s="2" t="s">
        <v>578</v>
      </c>
      <c r="D228" s="2" t="s">
        <v>554</v>
      </c>
      <c r="E228" s="2">
        <v>2.5</v>
      </c>
      <c r="F228" s="1" t="str">
        <f>VLOOKUP(H228,'RM Used'!A:B,2,0)</f>
        <v>3034CS</v>
      </c>
      <c r="G228" s="1" t="str">
        <f>IFERROR(VLOOKUP(F228,'RM Cost'!A:B,2,0),"")</f>
        <v>RM - BROCCOLI 6KG</v>
      </c>
      <c r="H228" s="2" t="s">
        <v>1357</v>
      </c>
      <c r="I228" s="1" t="str">
        <f>VLOOKUP(F228,'RM Used'!B:D,3,0)</f>
        <v>RM-FOOD</v>
      </c>
      <c r="J228" s="66">
        <v>0.05</v>
      </c>
      <c r="K228" s="35">
        <f t="shared" si="74"/>
        <v>0.125</v>
      </c>
      <c r="L228" s="35">
        <f t="shared" si="62"/>
        <v>0.125</v>
      </c>
      <c r="M228" s="77" cm="1">
        <f t="array" ref="M228">_xlfn.IFS(BOM!I228="RM-PACKING","100%",B228="Reynolds",VLOOKUP(H228,'Yield &amp; Time'!A:V,22,0),BOM!B228="Dnata",VLOOKUP(BOM!H228,'Yield &amp; Time'!A:M,13,0),B228="NK",VLOOKUP(H228,'Yield &amp; Time'!A:X,24,0))</f>
        <v>0.57999999999999996</v>
      </c>
      <c r="N228" s="35">
        <f t="shared" si="81"/>
        <v>0.21551724137931036</v>
      </c>
      <c r="O228" s="1" t="str">
        <f>VLOOKUP(H228,'RM Used'!A:E,5,0)</f>
        <v>KG</v>
      </c>
      <c r="P228" s="11">
        <f>VLOOKUP(H228,'RM Used'!A:F,6,0)</f>
        <v>1.02</v>
      </c>
      <c r="Q228" s="11">
        <f t="shared" si="71"/>
        <v>0.21982758620689657</v>
      </c>
      <c r="R228" s="11">
        <f>IFERROR(IF(B228="Reynolds",VLOOKUP(H228,'Yield &amp; Time'!A:U,21,0),VLOOKUP(H228,'Yield &amp; Time'!A:L,12,0)),0)</f>
        <v>2.7</v>
      </c>
      <c r="S228" s="11">
        <f t="shared" si="63"/>
        <v>0.11424374999999999</v>
      </c>
      <c r="T228" s="11">
        <f t="shared" si="64"/>
        <v>5.6250000000000007E-3</v>
      </c>
      <c r="U228" s="11">
        <f>IF(A227=A228,0,VLOOKUP(A228,'Packing Time'!A:F,6,0))</f>
        <v>0</v>
      </c>
      <c r="V228" s="11">
        <f t="shared" si="75"/>
        <v>0</v>
      </c>
      <c r="W228" s="11">
        <f t="shared" si="76"/>
        <v>0</v>
      </c>
      <c r="X228" s="11">
        <f t="shared" si="65"/>
        <v>0.12566812499999999</v>
      </c>
      <c r="Y228" s="11">
        <f t="shared" si="77"/>
        <v>0.12566812499999999</v>
      </c>
      <c r="Z228" s="37">
        <v>1</v>
      </c>
      <c r="AA228" s="36">
        <f t="shared" si="66"/>
        <v>0.21551724137931036</v>
      </c>
      <c r="AB228" s="36">
        <f t="shared" si="67"/>
        <v>0.21982758620689657</v>
      </c>
      <c r="AC228" s="11">
        <f t="shared" si="68"/>
        <v>6.1875000000000012E-3</v>
      </c>
      <c r="AD228" s="36">
        <f t="shared" si="78"/>
        <v>0.12566812500000002</v>
      </c>
      <c r="AE228" s="36"/>
      <c r="AF228" s="36">
        <f>IFERROR(VLOOKUP(AE228,'Chemical Cost'!A:D,4,0),0)</f>
        <v>0</v>
      </c>
      <c r="AG228" s="114">
        <f t="shared" si="69"/>
        <v>0</v>
      </c>
      <c r="AH228" s="36">
        <f t="shared" si="73"/>
        <v>0</v>
      </c>
      <c r="AI228" s="36">
        <f t="shared" si="79"/>
        <v>0.34549571120689659</v>
      </c>
      <c r="AJ228" s="36">
        <f>IFERROR(VLOOKUP(A228,'All Products'!A:F,6,0),0)</f>
        <v>11.78</v>
      </c>
      <c r="AK228" s="36">
        <f t="shared" si="80"/>
        <v>0.58899999999999997</v>
      </c>
      <c r="AL228" s="23">
        <v>0.8</v>
      </c>
      <c r="AM228" s="23">
        <v>0.2</v>
      </c>
      <c r="AN228" s="54" t="e">
        <v>#N/A</v>
      </c>
      <c r="AO228" s="47"/>
      <c r="AP228" s="4">
        <v>1.1000000000000001</v>
      </c>
      <c r="AQ228" s="111">
        <f t="shared" si="70"/>
        <v>6.1875000000000012E-3</v>
      </c>
      <c r="AR228">
        <f>_xlfn.XLOOKUP(F228,'RM Cost'!A:A,'RM Cost'!S:S)</f>
        <v>0</v>
      </c>
      <c r="AS228" t="str">
        <f>_xlfn.XLOOKUP(A228,[3]Sheet1!$B:$B,[3]Sheet1!$B:$B)</f>
        <v>1475CS</v>
      </c>
      <c r="AT228">
        <f>_xlfn.XLOOKUP(H228,'Yield &amp; Time'!A:A,'Yield &amp; Time'!F:F)</f>
        <v>0</v>
      </c>
    </row>
    <row r="229" spans="1:46" x14ac:dyDescent="0.25">
      <c r="A229" s="1" t="s">
        <v>88</v>
      </c>
      <c r="B229" s="2" t="s">
        <v>552</v>
      </c>
      <c r="C229" s="2" t="s">
        <v>578</v>
      </c>
      <c r="D229" s="2" t="s">
        <v>554</v>
      </c>
      <c r="E229" s="2">
        <v>2.5</v>
      </c>
      <c r="F229" s="1" t="str">
        <f>VLOOKUP(H229,'RM Used'!A:B,2,0)</f>
        <v>3409CS</v>
      </c>
      <c r="G229" s="1" t="str">
        <f>IFERROR(VLOOKUP(F229,'RM Cost'!A:B,2,0),"")</f>
        <v>RM - CELERY 1 X 12</v>
      </c>
      <c r="H229" s="2" t="s">
        <v>1396</v>
      </c>
      <c r="I229" s="1" t="str">
        <f>VLOOKUP(F229,'RM Used'!B:D,3,0)</f>
        <v>RM-FOOD</v>
      </c>
      <c r="J229" s="66">
        <v>0.05</v>
      </c>
      <c r="K229" s="35">
        <f t="shared" si="74"/>
        <v>0.125</v>
      </c>
      <c r="L229" s="35">
        <f t="shared" si="62"/>
        <v>0.125</v>
      </c>
      <c r="M229" s="77" cm="1">
        <f t="array" ref="M229">_xlfn.IFS(BOM!I229="RM-PACKING","100%",B229="Reynolds",VLOOKUP(H229,'Yield &amp; Time'!A:V,22,0),BOM!B229="Dnata",VLOOKUP(BOM!H229,'Yield &amp; Time'!A:M,13,0),B229="NK",VLOOKUP(H229,'Yield &amp; Time'!A:X,24,0))</f>
        <v>0.75</v>
      </c>
      <c r="N229" s="35">
        <f t="shared" si="81"/>
        <v>0.16666666666666666</v>
      </c>
      <c r="O229" s="1" t="str">
        <f>VLOOKUP(H229,'RM Used'!A:E,5,0)</f>
        <v>KG</v>
      </c>
      <c r="P229" s="11">
        <f>VLOOKUP(H229,'RM Used'!A:F,6,0)</f>
        <v>0.91</v>
      </c>
      <c r="Q229" s="11">
        <f t="shared" si="71"/>
        <v>0.15166666666666667</v>
      </c>
      <c r="R229" s="11">
        <f>IFERROR(IF(B229="Reynolds",VLOOKUP(H229,'Yield &amp; Time'!A:U,21,0),VLOOKUP(H229,'Yield &amp; Time'!A:L,12,0)),0)</f>
        <v>1.4333333333333333</v>
      </c>
      <c r="S229" s="11">
        <f t="shared" si="63"/>
        <v>6.0647916666666662E-2</v>
      </c>
      <c r="T229" s="11">
        <f t="shared" si="64"/>
        <v>2.9861111111111113E-3</v>
      </c>
      <c r="U229" s="11">
        <f>IF(A228=A229,0,VLOOKUP(A229,'Packing Time'!A:F,6,0))</f>
        <v>0</v>
      </c>
      <c r="V229" s="11">
        <f t="shared" si="75"/>
        <v>0</v>
      </c>
      <c r="W229" s="11">
        <f t="shared" si="76"/>
        <v>0</v>
      </c>
      <c r="X229" s="11">
        <f t="shared" si="65"/>
        <v>6.6712708333333329E-2</v>
      </c>
      <c r="Y229" s="11">
        <f t="shared" si="77"/>
        <v>6.6712708333333329E-2</v>
      </c>
      <c r="Z229" s="37">
        <v>1</v>
      </c>
      <c r="AA229" s="36">
        <f t="shared" si="66"/>
        <v>0.16666666666666666</v>
      </c>
      <c r="AB229" s="36">
        <f t="shared" si="67"/>
        <v>0.15166666666666667</v>
      </c>
      <c r="AC229" s="11">
        <f t="shared" si="68"/>
        <v>3.2847222222222227E-3</v>
      </c>
      <c r="AD229" s="36">
        <f t="shared" si="78"/>
        <v>6.6712708333333343E-2</v>
      </c>
      <c r="AE229" s="36" t="str">
        <f>VLOOKUP(H229,'Yield &amp; Time'!A:R,18,0)</f>
        <v>CHLORINE</v>
      </c>
      <c r="AF229" s="36">
        <f>IFERROR(VLOOKUP(AE229,'Chemical Cost'!A:D,4,0),0)</f>
        <v>2.7756518066439469E-2</v>
      </c>
      <c r="AG229" s="114">
        <f t="shared" si="69"/>
        <v>1.5420287814688592E-3</v>
      </c>
      <c r="AH229" s="36">
        <f t="shared" si="73"/>
        <v>1.5420287814688592E-3</v>
      </c>
      <c r="AI229" s="36">
        <f t="shared" si="79"/>
        <v>0.21992140378146885</v>
      </c>
      <c r="AJ229" s="36">
        <f>IFERROR(VLOOKUP(A229,'All Products'!A:F,6,0),0)</f>
        <v>11.78</v>
      </c>
      <c r="AK229" s="36">
        <f t="shared" si="80"/>
        <v>0.58899999999999997</v>
      </c>
      <c r="AL229" s="23">
        <v>0.8</v>
      </c>
      <c r="AM229" s="23">
        <v>0.2</v>
      </c>
      <c r="AN229" s="54" t="e">
        <v>#N/A</v>
      </c>
      <c r="AO229" s="47"/>
      <c r="AP229" s="4">
        <v>1.1000000000000001</v>
      </c>
      <c r="AQ229" s="111">
        <f t="shared" si="70"/>
        <v>3.2847222222222227E-3</v>
      </c>
      <c r="AR229">
        <f>_xlfn.XLOOKUP(F229,'RM Cost'!A:A,'RM Cost'!S:S)</f>
        <v>0</v>
      </c>
      <c r="AS229" t="str">
        <f>_xlfn.XLOOKUP(A229,[3]Sheet1!$B:$B,[3]Sheet1!$B:$B)</f>
        <v>1475CS</v>
      </c>
      <c r="AT229">
        <f>_xlfn.XLOOKUP(H229,'Yield &amp; Time'!A:A,'Yield &amp; Time'!F:F)</f>
        <v>0</v>
      </c>
    </row>
    <row r="230" spans="1:46" x14ac:dyDescent="0.25">
      <c r="A230" s="1" t="s">
        <v>88</v>
      </c>
      <c r="B230" s="2" t="s">
        <v>552</v>
      </c>
      <c r="C230" s="2" t="s">
        <v>578</v>
      </c>
      <c r="D230" s="2" t="s">
        <v>554</v>
      </c>
      <c r="E230" s="2">
        <v>2.5</v>
      </c>
      <c r="F230" s="1" t="str">
        <f>VLOOKUP(H230,'RM Used'!A:B,2,0)</f>
        <v>P0020</v>
      </c>
      <c r="G230" s="1" t="str">
        <f>IFERROR(VLOOKUP(F230,'RM Cost'!A:B,2,0),"")</f>
        <v>PALE BLUE BAG 430X430MM</v>
      </c>
      <c r="H230" s="2" t="s">
        <v>1659</v>
      </c>
      <c r="I230" s="1" t="str">
        <f>VLOOKUP(F230,'RM Used'!B:D,3,0)</f>
        <v>RM-PACKING</v>
      </c>
      <c r="J230" s="66">
        <v>1</v>
      </c>
      <c r="K230" s="35" t="str">
        <f t="shared" si="74"/>
        <v/>
      </c>
      <c r="L230" s="35">
        <f t="shared" si="62"/>
        <v>0</v>
      </c>
      <c r="M230" s="77" t="str" cm="1">
        <f t="array" ref="M230">_xlfn.IFS(BOM!I230="RM-PACKING","100%",B230="Reynolds",VLOOKUP(H230,'Yield &amp; Time'!A:V,22,0),BOM!B230="Dnata",VLOOKUP(BOM!H230,'Yield &amp; Time'!A:M,13,0),B230="NK",VLOOKUP(H230,'Yield &amp; Time'!A:X,24,0))</f>
        <v>100%</v>
      </c>
      <c r="N230" s="35">
        <f t="shared" si="81"/>
        <v>1</v>
      </c>
      <c r="O230" s="1" t="str">
        <f>VLOOKUP(H230,'RM Used'!A:E,5,0)</f>
        <v>Count</v>
      </c>
      <c r="P230" s="11">
        <f>VLOOKUP(H230,'RM Used'!A:F,6,0)</f>
        <v>0.09</v>
      </c>
      <c r="Q230" s="11">
        <f t="shared" si="71"/>
        <v>0.09</v>
      </c>
      <c r="R230" s="11">
        <f>IFERROR(IF(B230="Reynolds",VLOOKUP(H230,'Yield &amp; Time'!A:U,21,0),VLOOKUP(H230,'Yield &amp; Time'!A:L,12,0)),0)</f>
        <v>0</v>
      </c>
      <c r="S230" s="11">
        <f t="shared" si="63"/>
        <v>0</v>
      </c>
      <c r="T230" s="11">
        <f t="shared" si="64"/>
        <v>0</v>
      </c>
      <c r="U230" s="11">
        <f>IF(A229=A230,0,VLOOKUP(A230,'Packing Time'!A:F,6,0))</f>
        <v>0</v>
      </c>
      <c r="V230" s="11">
        <f t="shared" si="75"/>
        <v>0</v>
      </c>
      <c r="W230" s="11">
        <f t="shared" si="76"/>
        <v>0</v>
      </c>
      <c r="X230" s="11">
        <f t="shared" si="65"/>
        <v>0</v>
      </c>
      <c r="Y230" s="11">
        <f t="shared" si="77"/>
        <v>0</v>
      </c>
      <c r="Z230" s="37">
        <v>1</v>
      </c>
      <c r="AA230" s="36">
        <f t="shared" si="66"/>
        <v>1</v>
      </c>
      <c r="AB230" s="36">
        <f t="shared" si="67"/>
        <v>0.09</v>
      </c>
      <c r="AC230" s="11">
        <f t="shared" si="68"/>
        <v>0</v>
      </c>
      <c r="AD230" s="36">
        <f t="shared" si="78"/>
        <v>0</v>
      </c>
      <c r="AE230" s="36"/>
      <c r="AF230" s="36">
        <f>IFERROR(VLOOKUP(AE230,'Chemical Cost'!A:D,4,0),0)</f>
        <v>0</v>
      </c>
      <c r="AG230" s="114">
        <f t="shared" si="69"/>
        <v>0</v>
      </c>
      <c r="AH230" s="36">
        <f t="shared" si="73"/>
        <v>0</v>
      </c>
      <c r="AI230" s="36">
        <f t="shared" si="79"/>
        <v>0.09</v>
      </c>
      <c r="AJ230" s="36">
        <f>IFERROR(VLOOKUP(A230,'All Products'!A:F,6,0),0)</f>
        <v>11.78</v>
      </c>
      <c r="AK230" s="36"/>
      <c r="AL230" s="23">
        <v>0.8</v>
      </c>
      <c r="AM230" s="23">
        <v>0.2</v>
      </c>
      <c r="AN230" s="54" t="e">
        <v>#N/A</v>
      </c>
      <c r="AO230" s="47"/>
      <c r="AP230" s="4">
        <v>1.1000000000000001</v>
      </c>
      <c r="AQ230" s="111">
        <f t="shared" si="70"/>
        <v>0</v>
      </c>
      <c r="AR230">
        <f>_xlfn.XLOOKUP(F230,'RM Cost'!A:A,'RM Cost'!S:S)</f>
        <v>0</v>
      </c>
      <c r="AS230" t="str">
        <f>_xlfn.XLOOKUP(A230,[3]Sheet1!$B:$B,[3]Sheet1!$B:$B)</f>
        <v>1475CS</v>
      </c>
      <c r="AT230" t="e">
        <f>_xlfn.XLOOKUP(H230,'Yield &amp; Time'!A:A,'Yield &amp; Time'!F:F)</f>
        <v>#N/A</v>
      </c>
    </row>
    <row r="231" spans="1:46" x14ac:dyDescent="0.25">
      <c r="A231" s="1" t="s">
        <v>88</v>
      </c>
      <c r="B231" s="2" t="s">
        <v>552</v>
      </c>
      <c r="C231" s="2" t="s">
        <v>578</v>
      </c>
      <c r="D231" s="2" t="s">
        <v>554</v>
      </c>
      <c r="E231" s="2">
        <v>2.5</v>
      </c>
      <c r="F231" s="1" t="str">
        <f>VLOOKUP(H231,'RM Used'!A:B,2,0)</f>
        <v>P0016</v>
      </c>
      <c r="G231" s="1" t="str">
        <f>IFERROR(VLOOKUP(F231,'RM Cost'!A:B,2,0),"")</f>
        <v>REY 40 30 BOX</v>
      </c>
      <c r="H231" s="2" t="s">
        <v>1332</v>
      </c>
      <c r="I231" s="1" t="str">
        <f>VLOOKUP(F231,'RM Used'!B:D,3,0)</f>
        <v>RM-PACKING</v>
      </c>
      <c r="J231" s="66">
        <v>1</v>
      </c>
      <c r="K231" s="35" t="str">
        <f t="shared" si="74"/>
        <v/>
      </c>
      <c r="L231" s="35">
        <f t="shared" si="62"/>
        <v>0</v>
      </c>
      <c r="M231" s="77" t="str" cm="1">
        <f t="array" ref="M231">_xlfn.IFS(BOM!I231="RM-PACKING","100%",B231="Reynolds",VLOOKUP(H231,'Yield &amp; Time'!A:V,22,0),BOM!B231="Dnata",VLOOKUP(BOM!H231,'Yield &amp; Time'!A:M,13,0),B231="NK",VLOOKUP(H231,'Yield &amp; Time'!A:X,24,0))</f>
        <v>100%</v>
      </c>
      <c r="N231" s="35">
        <f t="shared" si="81"/>
        <v>1</v>
      </c>
      <c r="O231" s="1" t="str">
        <f>VLOOKUP(H231,'RM Used'!A:E,5,0)</f>
        <v>Count</v>
      </c>
      <c r="P231" s="11">
        <f>VLOOKUP(H231,'RM Used'!A:F,6,0)</f>
        <v>0.28000000000000003</v>
      </c>
      <c r="Q231" s="11">
        <f t="shared" si="71"/>
        <v>0.28000000000000003</v>
      </c>
      <c r="R231" s="11">
        <f>IFERROR(IF(B231="Reynolds",VLOOKUP(H231,'Yield &amp; Time'!A:U,21,0),VLOOKUP(H231,'Yield &amp; Time'!A:L,12,0)),0)</f>
        <v>0</v>
      </c>
      <c r="S231" s="11">
        <f t="shared" si="63"/>
        <v>0</v>
      </c>
      <c r="T231" s="11">
        <f t="shared" si="64"/>
        <v>0</v>
      </c>
      <c r="U231" s="11">
        <f>IF(A230=A231,0,VLOOKUP(A231,'Packing Time'!A:F,6,0))</f>
        <v>0</v>
      </c>
      <c r="V231" s="11">
        <f t="shared" si="75"/>
        <v>0</v>
      </c>
      <c r="W231" s="11">
        <f t="shared" si="76"/>
        <v>0</v>
      </c>
      <c r="X231" s="11">
        <f t="shared" si="65"/>
        <v>0</v>
      </c>
      <c r="Y231" s="11">
        <f t="shared" si="77"/>
        <v>0</v>
      </c>
      <c r="Z231" s="37">
        <v>1</v>
      </c>
      <c r="AA231" s="36">
        <f t="shared" si="66"/>
        <v>1</v>
      </c>
      <c r="AB231" s="36">
        <f t="shared" si="67"/>
        <v>0.28000000000000003</v>
      </c>
      <c r="AC231" s="11">
        <f t="shared" si="68"/>
        <v>0</v>
      </c>
      <c r="AD231" s="36">
        <f t="shared" si="78"/>
        <v>0</v>
      </c>
      <c r="AE231" s="36"/>
      <c r="AF231" s="36">
        <f>IFERROR(VLOOKUP(AE231,'Chemical Cost'!A:D,4,0),0)</f>
        <v>0</v>
      </c>
      <c r="AG231" s="114">
        <f t="shared" si="69"/>
        <v>0</v>
      </c>
      <c r="AH231" s="36">
        <f t="shared" si="73"/>
        <v>0</v>
      </c>
      <c r="AI231" s="36">
        <f t="shared" si="79"/>
        <v>0.28000000000000003</v>
      </c>
      <c r="AJ231" s="36">
        <f>IFERROR(VLOOKUP(A231,'All Products'!A:F,6,0),0)</f>
        <v>11.78</v>
      </c>
      <c r="AK231" s="36"/>
      <c r="AL231" s="23">
        <v>0.8</v>
      </c>
      <c r="AM231" s="23">
        <v>0.2</v>
      </c>
      <c r="AN231" s="54" t="e">
        <v>#N/A</v>
      </c>
      <c r="AO231" s="47"/>
      <c r="AP231" s="4">
        <v>1.1000000000000001</v>
      </c>
      <c r="AQ231" s="111">
        <f t="shared" si="70"/>
        <v>0</v>
      </c>
      <c r="AR231">
        <f>_xlfn.XLOOKUP(F231,'RM Cost'!A:A,'RM Cost'!S:S)</f>
        <v>0</v>
      </c>
      <c r="AS231" t="str">
        <f>_xlfn.XLOOKUP(A231,[3]Sheet1!$B:$B,[3]Sheet1!$B:$B)</f>
        <v>1475CS</v>
      </c>
      <c r="AT231" t="e">
        <f>_xlfn.XLOOKUP(H231,'Yield &amp; Time'!A:A,'Yield &amp; Time'!F:F)</f>
        <v>#N/A</v>
      </c>
    </row>
    <row r="232" spans="1:46" x14ac:dyDescent="0.25">
      <c r="A232" s="1" t="s">
        <v>131</v>
      </c>
      <c r="B232" s="2" t="s">
        <v>552</v>
      </c>
      <c r="C232" s="2" t="s">
        <v>579</v>
      </c>
      <c r="D232" s="2" t="s">
        <v>554</v>
      </c>
      <c r="E232" s="2">
        <v>0.5</v>
      </c>
      <c r="F232" s="1" t="str">
        <f>VLOOKUP(H232,'RM Used'!A:B,2,0)</f>
        <v>3026CS</v>
      </c>
      <c r="G232" s="1" t="str">
        <f>IFERROR(VLOOKUP(F232,'RM Cost'!A:B,2,0),"")</f>
        <v>RM - BEETROOT RAW  X10KG</v>
      </c>
      <c r="H232" s="2" t="s">
        <v>1445</v>
      </c>
      <c r="I232" s="1" t="str">
        <f>VLOOKUP(F232,'RM Used'!B:D,3,0)</f>
        <v>RM-FOOD</v>
      </c>
      <c r="J232" s="66">
        <v>1</v>
      </c>
      <c r="K232" s="35">
        <f t="shared" si="74"/>
        <v>0.5</v>
      </c>
      <c r="L232" s="35">
        <f t="shared" si="62"/>
        <v>0.5</v>
      </c>
      <c r="M232" s="77" cm="1">
        <f t="array" ref="M232">_xlfn.IFS(BOM!I232="RM-PACKING","100%",B232="Reynolds",VLOOKUP(H232,'Yield &amp; Time'!A:V,22,0),BOM!B232="Dnata",VLOOKUP(BOM!H232,'Yield &amp; Time'!A:M,13,0),B232="NK",VLOOKUP(H232,'Yield &amp; Time'!A:X,24,0))</f>
        <v>0.70840000000000003</v>
      </c>
      <c r="N232" s="35">
        <f t="shared" si="81"/>
        <v>0.70581592320722752</v>
      </c>
      <c r="O232" s="1" t="str">
        <f>VLOOKUP(H232,'RM Used'!A:E,5,0)</f>
        <v>KG</v>
      </c>
      <c r="P232" s="11">
        <f>VLOOKUP(H232,'RM Used'!A:F,6,0)</f>
        <v>0.47</v>
      </c>
      <c r="Q232" s="11">
        <f t="shared" si="71"/>
        <v>0.33173348390739693</v>
      </c>
      <c r="R232" s="11">
        <f>IFERROR(IF(B232="Reynolds",VLOOKUP(H232,'Yield &amp; Time'!A:U,21,0),VLOOKUP(H232,'Yield &amp; Time'!A:L,12,0)),0)</f>
        <v>1.5999999999999999</v>
      </c>
      <c r="S232" s="11">
        <f t="shared" si="63"/>
        <v>0.27079999999999993</v>
      </c>
      <c r="T232" s="11">
        <f t="shared" si="64"/>
        <v>1.3333333333333332E-2</v>
      </c>
      <c r="U232" s="11">
        <f>IF(A231=A232,0,VLOOKUP(A232,'Packing Time'!A:F,6,0))</f>
        <v>0.55499999999999994</v>
      </c>
      <c r="V232" s="11">
        <f t="shared" si="75"/>
        <v>0.18786749999999997</v>
      </c>
      <c r="W232" s="11">
        <f t="shared" si="76"/>
        <v>9.2499999999999995E-3</v>
      </c>
      <c r="X232" s="11">
        <f t="shared" si="65"/>
        <v>0.57333437499999995</v>
      </c>
      <c r="Y232" s="11">
        <f t="shared" si="77"/>
        <v>0.57333437499999995</v>
      </c>
      <c r="Z232" s="37">
        <v>1</v>
      </c>
      <c r="AA232" s="36">
        <f t="shared" si="66"/>
        <v>0.70581592320722752</v>
      </c>
      <c r="AB232" s="36">
        <f t="shared" si="67"/>
        <v>0.33173348390739693</v>
      </c>
      <c r="AC232" s="11">
        <f t="shared" si="68"/>
        <v>2.8229166666666666E-2</v>
      </c>
      <c r="AD232" s="36">
        <f t="shared" si="78"/>
        <v>0.57333437499999995</v>
      </c>
      <c r="AE232" s="36" t="str">
        <f>VLOOKUP(H232,'Yield &amp; Time'!A:R,18,0)</f>
        <v>CHLORINE</v>
      </c>
      <c r="AF232" s="36">
        <f>IFERROR(VLOOKUP(AE232,'Chemical Cost'!A:D,4,0),0)</f>
        <v>2.7756518066439469E-2</v>
      </c>
      <c r="AG232" s="114">
        <f t="shared" si="69"/>
        <v>6.5303308080273542E-3</v>
      </c>
      <c r="AH232" s="36">
        <f t="shared" si="73"/>
        <v>6.5303308080273542E-3</v>
      </c>
      <c r="AI232" s="36">
        <f t="shared" si="79"/>
        <v>0.91159818971542417</v>
      </c>
      <c r="AJ232" s="36">
        <f>IFERROR(VLOOKUP(A232,'All Products'!A:F,6,0),0)</f>
        <v>1.88</v>
      </c>
      <c r="AK232" s="36">
        <f>AJ232*Z232*J232</f>
        <v>1.88</v>
      </c>
      <c r="AL232" s="23"/>
      <c r="AM232" s="23">
        <v>1</v>
      </c>
      <c r="AN232" s="54" t="e">
        <v>#N/A</v>
      </c>
      <c r="AO232" s="47"/>
      <c r="AP232" s="4">
        <v>1.25</v>
      </c>
      <c r="AQ232" s="111">
        <f t="shared" si="70"/>
        <v>2.8229166666666666E-2</v>
      </c>
      <c r="AR232">
        <f>_xlfn.XLOOKUP(F232,'RM Cost'!A:A,'RM Cost'!S:S)</f>
        <v>0</v>
      </c>
      <c r="AS232" t="str">
        <f>_xlfn.XLOOKUP(A232,[3]Sheet1!$B:$B,[3]Sheet1!$B:$B)</f>
        <v>1441CS</v>
      </c>
      <c r="AT232">
        <f>_xlfn.XLOOKUP(H232,'Yield &amp; Time'!A:A,'Yield &amp; Time'!F:F)</f>
        <v>0</v>
      </c>
    </row>
    <row r="233" spans="1:46" x14ac:dyDescent="0.25">
      <c r="A233" s="1" t="s">
        <v>131</v>
      </c>
      <c r="B233" s="2" t="s">
        <v>552</v>
      </c>
      <c r="C233" s="2" t="s">
        <v>579</v>
      </c>
      <c r="D233" s="2" t="s">
        <v>554</v>
      </c>
      <c r="E233" s="2">
        <v>0.5</v>
      </c>
      <c r="F233" s="1" t="str">
        <f>VLOOKUP(H233,'RM Used'!A:B,2,0)</f>
        <v>P0020</v>
      </c>
      <c r="G233" s="1" t="str">
        <f>IFERROR(VLOOKUP(F233,'RM Cost'!A:B,2,0),"")</f>
        <v>PALE BLUE BAG 430X430MM</v>
      </c>
      <c r="H233" s="2" t="s">
        <v>1659</v>
      </c>
      <c r="I233" s="1" t="str">
        <f>VLOOKUP(F233,'RM Used'!B:D,3,0)</f>
        <v>RM-PACKING</v>
      </c>
      <c r="J233" s="66">
        <v>1</v>
      </c>
      <c r="K233" s="35" t="str">
        <f t="shared" si="74"/>
        <v/>
      </c>
      <c r="L233" s="35">
        <f t="shared" si="62"/>
        <v>0</v>
      </c>
      <c r="M233" s="77" t="str" cm="1">
        <f t="array" ref="M233">_xlfn.IFS(BOM!I233="RM-PACKING","100%",B233="Reynolds",VLOOKUP(H233,'Yield &amp; Time'!A:V,22,0),BOM!B233="Dnata",VLOOKUP(BOM!H233,'Yield &amp; Time'!A:M,13,0),B233="NK",VLOOKUP(H233,'Yield &amp; Time'!A:X,24,0))</f>
        <v>100%</v>
      </c>
      <c r="N233" s="35">
        <f t="shared" si="81"/>
        <v>1</v>
      </c>
      <c r="O233" s="1" t="str">
        <f>VLOOKUP(H233,'RM Used'!A:E,5,0)</f>
        <v>Count</v>
      </c>
      <c r="P233" s="11">
        <f>VLOOKUP(H233,'RM Used'!A:F,6,0)</f>
        <v>0.09</v>
      </c>
      <c r="Q233" s="11">
        <f t="shared" si="71"/>
        <v>0.09</v>
      </c>
      <c r="R233" s="11">
        <f>IFERROR(IF(B233="Reynolds",VLOOKUP(H233,'Yield &amp; Time'!A:U,21,0),VLOOKUP(H233,'Yield &amp; Time'!A:L,12,0)),0)</f>
        <v>0</v>
      </c>
      <c r="S233" s="11">
        <f t="shared" si="63"/>
        <v>0</v>
      </c>
      <c r="T233" s="11">
        <f t="shared" si="64"/>
        <v>0</v>
      </c>
      <c r="U233" s="11">
        <f>IF(A232=A233,0,VLOOKUP(A233,'Packing Time'!A:F,6,0))</f>
        <v>0</v>
      </c>
      <c r="V233" s="11">
        <f t="shared" si="75"/>
        <v>0</v>
      </c>
      <c r="W233" s="11">
        <f t="shared" si="76"/>
        <v>0</v>
      </c>
      <c r="X233" s="11">
        <f t="shared" si="65"/>
        <v>0</v>
      </c>
      <c r="Y233" s="11">
        <f t="shared" si="77"/>
        <v>0</v>
      </c>
      <c r="Z233" s="37">
        <v>1</v>
      </c>
      <c r="AA233" s="36">
        <f t="shared" si="66"/>
        <v>1</v>
      </c>
      <c r="AB233" s="36">
        <f t="shared" si="67"/>
        <v>0.09</v>
      </c>
      <c r="AC233" s="11">
        <f t="shared" si="68"/>
        <v>0</v>
      </c>
      <c r="AD233" s="36">
        <f t="shared" si="78"/>
        <v>0</v>
      </c>
      <c r="AE233" s="36"/>
      <c r="AF233" s="36">
        <f>IFERROR(VLOOKUP(AE233,'Chemical Cost'!A:D,4,0),0)</f>
        <v>0</v>
      </c>
      <c r="AG233" s="114">
        <f t="shared" si="69"/>
        <v>0</v>
      </c>
      <c r="AH233" s="36">
        <f t="shared" si="73"/>
        <v>0</v>
      </c>
      <c r="AI233" s="36">
        <f t="shared" si="79"/>
        <v>0.09</v>
      </c>
      <c r="AJ233" s="36">
        <f>IFERROR(VLOOKUP(A233,'All Products'!A:F,6,0),0)</f>
        <v>1.88</v>
      </c>
      <c r="AK233" s="36"/>
      <c r="AL233" s="23"/>
      <c r="AM233" s="23">
        <v>1</v>
      </c>
      <c r="AN233" s="54" t="e">
        <v>#N/A</v>
      </c>
      <c r="AO233" s="47"/>
      <c r="AP233" s="4">
        <v>1.25</v>
      </c>
      <c r="AQ233" s="111">
        <f t="shared" si="70"/>
        <v>0</v>
      </c>
      <c r="AR233">
        <f>_xlfn.XLOOKUP(F233,'RM Cost'!A:A,'RM Cost'!S:S)</f>
        <v>0</v>
      </c>
      <c r="AS233" t="str">
        <f>_xlfn.XLOOKUP(A233,[3]Sheet1!$B:$B,[3]Sheet1!$B:$B)</f>
        <v>1441CS</v>
      </c>
      <c r="AT233" t="e">
        <f>_xlfn.XLOOKUP(H233,'Yield &amp; Time'!A:A,'Yield &amp; Time'!F:F)</f>
        <v>#N/A</v>
      </c>
    </row>
    <row r="234" spans="1:46" x14ac:dyDescent="0.25">
      <c r="A234" s="1" t="s">
        <v>131</v>
      </c>
      <c r="B234" s="2" t="s">
        <v>552</v>
      </c>
      <c r="C234" s="2" t="s">
        <v>579</v>
      </c>
      <c r="D234" s="2" t="s">
        <v>554</v>
      </c>
      <c r="E234" s="2">
        <v>0.5</v>
      </c>
      <c r="F234" s="1" t="str">
        <f>VLOOKUP(H234,'RM Used'!A:B,2,0)</f>
        <v>P0016</v>
      </c>
      <c r="G234" s="1" t="str">
        <f>IFERROR(VLOOKUP(F234,'RM Cost'!A:B,2,0),"")</f>
        <v>REY 40 30 BOX</v>
      </c>
      <c r="H234" s="2" t="s">
        <v>1332</v>
      </c>
      <c r="I234" s="1" t="str">
        <f>VLOOKUP(F234,'RM Used'!B:D,3,0)</f>
        <v>RM-PACKING</v>
      </c>
      <c r="J234" s="66">
        <v>1</v>
      </c>
      <c r="K234" s="35" t="str">
        <f t="shared" si="74"/>
        <v/>
      </c>
      <c r="L234" s="35">
        <f t="shared" si="62"/>
        <v>0</v>
      </c>
      <c r="M234" s="77" t="str" cm="1">
        <f t="array" ref="M234">_xlfn.IFS(BOM!I234="RM-PACKING","100%",B234="Reynolds",VLOOKUP(H234,'Yield &amp; Time'!A:V,22,0),BOM!B234="Dnata",VLOOKUP(BOM!H234,'Yield &amp; Time'!A:M,13,0),B234="NK",VLOOKUP(H234,'Yield &amp; Time'!A:X,24,0))</f>
        <v>100%</v>
      </c>
      <c r="N234" s="35">
        <f t="shared" si="81"/>
        <v>1</v>
      </c>
      <c r="O234" s="1" t="str">
        <f>VLOOKUP(H234,'RM Used'!A:E,5,0)</f>
        <v>Count</v>
      </c>
      <c r="P234" s="11">
        <f>VLOOKUP(H234,'RM Used'!A:F,6,0)</f>
        <v>0.28000000000000003</v>
      </c>
      <c r="Q234" s="11">
        <f t="shared" si="71"/>
        <v>0.28000000000000003</v>
      </c>
      <c r="R234" s="11">
        <f>IFERROR(IF(B234="Reynolds",VLOOKUP(H234,'Yield &amp; Time'!A:U,21,0),VLOOKUP(H234,'Yield &amp; Time'!A:L,12,0)),0)</f>
        <v>0</v>
      </c>
      <c r="S234" s="11">
        <f t="shared" si="63"/>
        <v>0</v>
      </c>
      <c r="T234" s="11">
        <f t="shared" si="64"/>
        <v>0</v>
      </c>
      <c r="U234" s="11">
        <f>IF(A233=A234,0,VLOOKUP(A234,'Packing Time'!A:F,6,0))</f>
        <v>0</v>
      </c>
      <c r="V234" s="11">
        <f t="shared" si="75"/>
        <v>0</v>
      </c>
      <c r="W234" s="11">
        <f t="shared" si="76"/>
        <v>0</v>
      </c>
      <c r="X234" s="11">
        <f t="shared" si="65"/>
        <v>0</v>
      </c>
      <c r="Y234" s="11">
        <f t="shared" si="77"/>
        <v>0</v>
      </c>
      <c r="Z234" s="37">
        <v>1</v>
      </c>
      <c r="AA234" s="36">
        <f t="shared" si="66"/>
        <v>1</v>
      </c>
      <c r="AB234" s="36">
        <f t="shared" si="67"/>
        <v>0.28000000000000003</v>
      </c>
      <c r="AC234" s="11">
        <f t="shared" si="68"/>
        <v>0</v>
      </c>
      <c r="AD234" s="36">
        <f t="shared" si="78"/>
        <v>0</v>
      </c>
      <c r="AE234" s="36"/>
      <c r="AF234" s="36">
        <f>IFERROR(VLOOKUP(AE234,'Chemical Cost'!A:D,4,0),0)</f>
        <v>0</v>
      </c>
      <c r="AG234" s="114">
        <f t="shared" si="69"/>
        <v>0</v>
      </c>
      <c r="AH234" s="36">
        <f t="shared" si="73"/>
        <v>0</v>
      </c>
      <c r="AI234" s="36">
        <f t="shared" si="79"/>
        <v>0.28000000000000003</v>
      </c>
      <c r="AJ234" s="36">
        <f>IFERROR(VLOOKUP(A234,'All Products'!A:F,6,0),0)</f>
        <v>1.88</v>
      </c>
      <c r="AK234" s="36"/>
      <c r="AL234" s="23"/>
      <c r="AM234" s="23">
        <v>1</v>
      </c>
      <c r="AN234" s="54" t="e">
        <v>#N/A</v>
      </c>
      <c r="AO234" s="47"/>
      <c r="AP234" s="4">
        <v>1.25</v>
      </c>
      <c r="AQ234" s="111">
        <f t="shared" si="70"/>
        <v>0</v>
      </c>
      <c r="AR234">
        <f>_xlfn.XLOOKUP(F234,'RM Cost'!A:A,'RM Cost'!S:S)</f>
        <v>0</v>
      </c>
      <c r="AS234" t="str">
        <f>_xlfn.XLOOKUP(A234,[3]Sheet1!$B:$B,[3]Sheet1!$B:$B)</f>
        <v>1441CS</v>
      </c>
      <c r="AT234" t="e">
        <f>_xlfn.XLOOKUP(H234,'Yield &amp; Time'!A:A,'Yield &amp; Time'!F:F)</f>
        <v>#N/A</v>
      </c>
    </row>
    <row r="235" spans="1:46" x14ac:dyDescent="0.25">
      <c r="A235" s="1" t="s">
        <v>395</v>
      </c>
      <c r="B235" s="2" t="s">
        <v>552</v>
      </c>
      <c r="C235" s="2" t="s">
        <v>580</v>
      </c>
      <c r="D235" s="2" t="s">
        <v>554</v>
      </c>
      <c r="E235" s="2">
        <v>1</v>
      </c>
      <c r="F235" s="1" t="str">
        <f>VLOOKUP(H235,'RM Used'!A:B,2,0)</f>
        <v>283ACS</v>
      </c>
      <c r="G235" s="1" t="str">
        <f>IFERROR(VLOOKUP(F235,'RM Cost'!A:B,2,0),"")</f>
        <v>RM - BUTTERNUT SQUASH BIN X 625KG</v>
      </c>
      <c r="H235" s="2" t="s">
        <v>1447</v>
      </c>
      <c r="I235" s="1" t="str">
        <f>VLOOKUP(F235,'RM Used'!B:D,3,0)</f>
        <v>RM-FOOD</v>
      </c>
      <c r="J235" s="66">
        <v>1</v>
      </c>
      <c r="K235" s="35">
        <f t="shared" si="74"/>
        <v>1</v>
      </c>
      <c r="L235" s="35">
        <f t="shared" si="62"/>
        <v>1</v>
      </c>
      <c r="M235" s="77" cm="1">
        <f t="array" ref="M235">_xlfn.IFS(BOM!I235="RM-PACKING","100%",B235="Reynolds",VLOOKUP(H235,'Yield &amp; Time'!A:V,22,0),BOM!B235="Dnata",VLOOKUP(BOM!H235,'Yield &amp; Time'!A:M,13,0),B235="NK",VLOOKUP(H235,'Yield &amp; Time'!A:X,24,0))</f>
        <v>0.7250254610509328</v>
      </c>
      <c r="N235" s="35">
        <f t="shared" si="81"/>
        <v>1.3792619069549481</v>
      </c>
      <c r="O235" s="1" t="str">
        <f>VLOOKUP(H235,'RM Used'!A:E,5,0)</f>
        <v>KG</v>
      </c>
      <c r="P235" s="11">
        <f>VLOOKUP(H235,'RM Used'!A:F,6,0)</f>
        <v>0.65</v>
      </c>
      <c r="Q235" s="11">
        <f t="shared" si="71"/>
        <v>0.89652023952071624</v>
      </c>
      <c r="R235" s="11">
        <f>IFERROR(IF(B235="Reynolds",VLOOKUP(H235,'Yield &amp; Time'!A:U,21,0),VLOOKUP(H235,'Yield &amp; Time'!A:L,12,0)),0)</f>
        <v>1.7027924777221581</v>
      </c>
      <c r="S235" s="11">
        <f t="shared" si="63"/>
        <v>0.57639525370895051</v>
      </c>
      <c r="T235" s="11">
        <f t="shared" si="64"/>
        <v>2.8379874628702634E-2</v>
      </c>
      <c r="U235" s="11">
        <f>IF(A234=A235,0,VLOOKUP(A235,'Packing Time'!A:F,6,0))</f>
        <v>0.64500000000000002</v>
      </c>
      <c r="V235" s="11">
        <f t="shared" si="75"/>
        <v>0.21833249999999998</v>
      </c>
      <c r="W235" s="11">
        <f t="shared" si="76"/>
        <v>1.0750000000000001E-2</v>
      </c>
      <c r="X235" s="11">
        <f t="shared" si="65"/>
        <v>0.99340969213618802</v>
      </c>
      <c r="Y235" s="11">
        <f t="shared" si="77"/>
        <v>0.99340969213618802</v>
      </c>
      <c r="Z235" s="37">
        <v>1</v>
      </c>
      <c r="AA235" s="36">
        <f t="shared" si="66"/>
        <v>1.3792619069549481</v>
      </c>
      <c r="AB235" s="36">
        <f t="shared" si="67"/>
        <v>0.89652023952071624</v>
      </c>
      <c r="AC235" s="11">
        <f t="shared" si="68"/>
        <v>4.891234328587829E-2</v>
      </c>
      <c r="AD235" s="36">
        <f t="shared" si="78"/>
        <v>0.99340969213618802</v>
      </c>
      <c r="AE235" s="36"/>
      <c r="AF235" s="36">
        <f>IFERROR(VLOOKUP(AE235,'Chemical Cost'!A:D,4,0),0)</f>
        <v>0</v>
      </c>
      <c r="AG235" s="114">
        <f t="shared" si="69"/>
        <v>0</v>
      </c>
      <c r="AH235" s="36">
        <f t="shared" si="73"/>
        <v>0</v>
      </c>
      <c r="AI235" s="36">
        <f t="shared" si="79"/>
        <v>1.8899299316569043</v>
      </c>
      <c r="AJ235" s="36">
        <f>IFERROR(VLOOKUP(A235,'All Products'!A:F,6,0),0)</f>
        <v>3.05</v>
      </c>
      <c r="AK235" s="36">
        <f>AJ235*Z235*J235</f>
        <v>3.05</v>
      </c>
      <c r="AL235" s="23">
        <v>1</v>
      </c>
      <c r="AM235" s="23"/>
      <c r="AN235" s="54" t="e">
        <v>#N/A</v>
      </c>
      <c r="AO235" s="47"/>
      <c r="AP235" s="4">
        <v>1.25</v>
      </c>
      <c r="AQ235" s="111">
        <f t="shared" si="70"/>
        <v>4.891234328587829E-2</v>
      </c>
      <c r="AR235">
        <f>_xlfn.XLOOKUP(F235,'RM Cost'!A:A,'RM Cost'!S:S)</f>
        <v>0</v>
      </c>
      <c r="AS235" t="str">
        <f>_xlfn.XLOOKUP(A235,[3]Sheet1!$B:$B,[3]Sheet1!$B:$B)</f>
        <v>1101CS</v>
      </c>
      <c r="AT235">
        <f>_xlfn.XLOOKUP(H235,'Yield &amp; Time'!A:A,'Yield &amp; Time'!F:F)</f>
        <v>0</v>
      </c>
    </row>
    <row r="236" spans="1:46" x14ac:dyDescent="0.25">
      <c r="A236" s="1" t="s">
        <v>395</v>
      </c>
      <c r="B236" s="2" t="s">
        <v>552</v>
      </c>
      <c r="C236" s="2" t="s">
        <v>580</v>
      </c>
      <c r="D236" s="2" t="s">
        <v>554</v>
      </c>
      <c r="E236" s="2">
        <v>1</v>
      </c>
      <c r="F236" s="1" t="str">
        <f>VLOOKUP(H236,'RM Used'!A:B,2,0)</f>
        <v>P0020</v>
      </c>
      <c r="G236" s="1" t="str">
        <f>IFERROR(VLOOKUP(F236,'RM Cost'!A:B,2,0),"")</f>
        <v>PALE BLUE BAG 430X430MM</v>
      </c>
      <c r="H236" s="2" t="s">
        <v>1659</v>
      </c>
      <c r="I236" s="1" t="str">
        <f>VLOOKUP(F236,'RM Used'!B:D,3,0)</f>
        <v>RM-PACKING</v>
      </c>
      <c r="J236" s="66">
        <v>1</v>
      </c>
      <c r="K236" s="35" t="str">
        <f t="shared" si="74"/>
        <v/>
      </c>
      <c r="L236" s="35">
        <f t="shared" si="62"/>
        <v>0</v>
      </c>
      <c r="M236" s="77" t="str" cm="1">
        <f t="array" ref="M236">_xlfn.IFS(BOM!I236="RM-PACKING","100%",B236="Reynolds",VLOOKUP(H236,'Yield &amp; Time'!A:V,22,0),BOM!B236="Dnata",VLOOKUP(BOM!H236,'Yield &amp; Time'!A:M,13,0),B236="NK",VLOOKUP(H236,'Yield &amp; Time'!A:X,24,0))</f>
        <v>100%</v>
      </c>
      <c r="N236" s="35">
        <f t="shared" si="81"/>
        <v>1</v>
      </c>
      <c r="O236" s="1" t="str">
        <f>VLOOKUP(H236,'RM Used'!A:E,5,0)</f>
        <v>Count</v>
      </c>
      <c r="P236" s="11">
        <f>VLOOKUP(H236,'RM Used'!A:F,6,0)</f>
        <v>0.09</v>
      </c>
      <c r="Q236" s="11">
        <f t="shared" si="71"/>
        <v>0.09</v>
      </c>
      <c r="R236" s="11">
        <f>IFERROR(IF(B236="Reynolds",VLOOKUP(H236,'Yield &amp; Time'!A:U,21,0),VLOOKUP(H236,'Yield &amp; Time'!A:L,12,0)),0)</f>
        <v>0</v>
      </c>
      <c r="S236" s="11">
        <f t="shared" si="63"/>
        <v>0</v>
      </c>
      <c r="T236" s="11">
        <f t="shared" si="64"/>
        <v>0</v>
      </c>
      <c r="U236" s="11">
        <f>IF(A235=A236,0,VLOOKUP(A236,'Packing Time'!A:F,6,0))</f>
        <v>0</v>
      </c>
      <c r="V236" s="11">
        <f t="shared" si="75"/>
        <v>0</v>
      </c>
      <c r="W236" s="11">
        <f t="shared" si="76"/>
        <v>0</v>
      </c>
      <c r="X236" s="11">
        <f t="shared" si="65"/>
        <v>0</v>
      </c>
      <c r="Y236" s="11">
        <f t="shared" si="77"/>
        <v>0</v>
      </c>
      <c r="Z236" s="37">
        <v>1</v>
      </c>
      <c r="AA236" s="36">
        <f t="shared" si="66"/>
        <v>1</v>
      </c>
      <c r="AB236" s="36">
        <f t="shared" si="67"/>
        <v>0.09</v>
      </c>
      <c r="AC236" s="11">
        <f t="shared" si="68"/>
        <v>0</v>
      </c>
      <c r="AD236" s="36">
        <f t="shared" si="78"/>
        <v>0</v>
      </c>
      <c r="AE236" s="36"/>
      <c r="AF236" s="36">
        <f>IFERROR(VLOOKUP(AE236,'Chemical Cost'!A:D,4,0),0)</f>
        <v>0</v>
      </c>
      <c r="AG236" s="114">
        <f t="shared" si="69"/>
        <v>0</v>
      </c>
      <c r="AH236" s="36">
        <f t="shared" si="73"/>
        <v>0</v>
      </c>
      <c r="AI236" s="36">
        <f t="shared" si="79"/>
        <v>0.09</v>
      </c>
      <c r="AJ236" s="36">
        <f>IFERROR(VLOOKUP(A236,'All Products'!A:F,6,0),0)</f>
        <v>3.05</v>
      </c>
      <c r="AK236" s="36"/>
      <c r="AL236" s="23">
        <v>1</v>
      </c>
      <c r="AM236" s="23"/>
      <c r="AN236" s="54" t="e">
        <v>#N/A</v>
      </c>
      <c r="AO236" s="47"/>
      <c r="AP236" s="4">
        <v>1.25</v>
      </c>
      <c r="AQ236" s="111">
        <f t="shared" si="70"/>
        <v>0</v>
      </c>
      <c r="AR236">
        <f>_xlfn.XLOOKUP(F236,'RM Cost'!A:A,'RM Cost'!S:S)</f>
        <v>0</v>
      </c>
      <c r="AS236" t="str">
        <f>_xlfn.XLOOKUP(A236,[3]Sheet1!$B:$B,[3]Sheet1!$B:$B)</f>
        <v>1101CS</v>
      </c>
      <c r="AT236" t="e">
        <f>_xlfn.XLOOKUP(H236,'Yield &amp; Time'!A:A,'Yield &amp; Time'!F:F)</f>
        <v>#N/A</v>
      </c>
    </row>
    <row r="237" spans="1:46" x14ac:dyDescent="0.25">
      <c r="A237" s="1" t="s">
        <v>395</v>
      </c>
      <c r="B237" s="2" t="s">
        <v>552</v>
      </c>
      <c r="C237" s="2" t="s">
        <v>580</v>
      </c>
      <c r="D237" s="2" t="s">
        <v>554</v>
      </c>
      <c r="E237" s="2">
        <v>1</v>
      </c>
      <c r="F237" s="1" t="str">
        <f>VLOOKUP(H237,'RM Used'!A:B,2,0)</f>
        <v>P0016</v>
      </c>
      <c r="G237" s="1" t="str">
        <f>IFERROR(VLOOKUP(F237,'RM Cost'!A:B,2,0),"")</f>
        <v>REY 40 30 BOX</v>
      </c>
      <c r="H237" s="2" t="s">
        <v>1332</v>
      </c>
      <c r="I237" s="1" t="str">
        <f>VLOOKUP(F237,'RM Used'!B:D,3,0)</f>
        <v>RM-PACKING</v>
      </c>
      <c r="J237" s="66">
        <v>1</v>
      </c>
      <c r="K237" s="35" t="str">
        <f t="shared" si="74"/>
        <v/>
      </c>
      <c r="L237" s="35">
        <f t="shared" si="62"/>
        <v>0</v>
      </c>
      <c r="M237" s="77" t="str" cm="1">
        <f t="array" ref="M237">_xlfn.IFS(BOM!I237="RM-PACKING","100%",B237="Reynolds",VLOOKUP(H237,'Yield &amp; Time'!A:V,22,0),BOM!B237="Dnata",VLOOKUP(BOM!H237,'Yield &amp; Time'!A:M,13,0),B237="NK",VLOOKUP(H237,'Yield &amp; Time'!A:X,24,0))</f>
        <v>100%</v>
      </c>
      <c r="N237" s="35">
        <f t="shared" si="81"/>
        <v>1</v>
      </c>
      <c r="O237" s="1" t="str">
        <f>VLOOKUP(H237,'RM Used'!A:E,5,0)</f>
        <v>Count</v>
      </c>
      <c r="P237" s="11">
        <f>VLOOKUP(H237,'RM Used'!A:F,6,0)</f>
        <v>0.28000000000000003</v>
      </c>
      <c r="Q237" s="11">
        <f t="shared" si="71"/>
        <v>0.28000000000000003</v>
      </c>
      <c r="R237" s="11">
        <f>IFERROR(IF(B237="Reynolds",VLOOKUP(H237,'Yield &amp; Time'!A:U,21,0),VLOOKUP(H237,'Yield &amp; Time'!A:L,12,0)),0)</f>
        <v>0</v>
      </c>
      <c r="S237" s="11">
        <f t="shared" si="63"/>
        <v>0</v>
      </c>
      <c r="T237" s="11">
        <f t="shared" si="64"/>
        <v>0</v>
      </c>
      <c r="U237" s="11">
        <f>IF(A236=A237,0,VLOOKUP(A237,'Packing Time'!A:F,6,0))</f>
        <v>0</v>
      </c>
      <c r="V237" s="11">
        <f t="shared" si="75"/>
        <v>0</v>
      </c>
      <c r="W237" s="11">
        <f t="shared" si="76"/>
        <v>0</v>
      </c>
      <c r="X237" s="11">
        <f t="shared" si="65"/>
        <v>0</v>
      </c>
      <c r="Y237" s="11">
        <f t="shared" si="77"/>
        <v>0</v>
      </c>
      <c r="Z237" s="37">
        <v>1</v>
      </c>
      <c r="AA237" s="36">
        <f t="shared" si="66"/>
        <v>1</v>
      </c>
      <c r="AB237" s="36">
        <f t="shared" si="67"/>
        <v>0.28000000000000003</v>
      </c>
      <c r="AC237" s="11">
        <f t="shared" si="68"/>
        <v>0</v>
      </c>
      <c r="AD237" s="36">
        <f t="shared" si="78"/>
        <v>0</v>
      </c>
      <c r="AE237" s="36"/>
      <c r="AF237" s="36">
        <f>IFERROR(VLOOKUP(AE237,'Chemical Cost'!A:D,4,0),0)</f>
        <v>0</v>
      </c>
      <c r="AG237" s="114">
        <f t="shared" si="69"/>
        <v>0</v>
      </c>
      <c r="AH237" s="36">
        <f t="shared" si="73"/>
        <v>0</v>
      </c>
      <c r="AI237" s="36">
        <f t="shared" si="79"/>
        <v>0.28000000000000003</v>
      </c>
      <c r="AJ237" s="36">
        <f>IFERROR(VLOOKUP(A237,'All Products'!A:F,6,0),0)</f>
        <v>3.05</v>
      </c>
      <c r="AK237" s="36"/>
      <c r="AL237" s="23">
        <v>1</v>
      </c>
      <c r="AM237" s="23"/>
      <c r="AN237" s="54" t="e">
        <v>#N/A</v>
      </c>
      <c r="AO237" s="47"/>
      <c r="AP237" s="4">
        <v>1.25</v>
      </c>
      <c r="AQ237" s="111">
        <f t="shared" si="70"/>
        <v>0</v>
      </c>
      <c r="AR237">
        <f>_xlfn.XLOOKUP(F237,'RM Cost'!A:A,'RM Cost'!S:S)</f>
        <v>0</v>
      </c>
      <c r="AS237" t="str">
        <f>_xlfn.XLOOKUP(A237,[3]Sheet1!$B:$B,[3]Sheet1!$B:$B)</f>
        <v>1101CS</v>
      </c>
      <c r="AT237" t="e">
        <f>_xlfn.XLOOKUP(H237,'Yield &amp; Time'!A:A,'Yield &amp; Time'!F:F)</f>
        <v>#N/A</v>
      </c>
    </row>
    <row r="238" spans="1:46" x14ac:dyDescent="0.25">
      <c r="A238" s="1" t="s">
        <v>86</v>
      </c>
      <c r="B238" s="2" t="s">
        <v>552</v>
      </c>
      <c r="C238" s="2" t="s">
        <v>581</v>
      </c>
      <c r="D238" s="2" t="s">
        <v>554</v>
      </c>
      <c r="E238" s="2">
        <v>2.5</v>
      </c>
      <c r="F238" s="1" t="str">
        <f>VLOOKUP(H238,'RM Used'!A:B,2,0)</f>
        <v>3242CS</v>
      </c>
      <c r="G238" s="1" t="str">
        <f>IFERROR(VLOOKUP(F238,'RM Cost'!A:B,2,0),"")</f>
        <v>RM - SWEET POTATOES ORANGE FLESH 6K</v>
      </c>
      <c r="H238" s="2" t="s">
        <v>1448</v>
      </c>
      <c r="I238" s="1" t="str">
        <f>VLOOKUP(F238,'RM Used'!B:D,3,0)</f>
        <v>RM-FOOD</v>
      </c>
      <c r="J238" s="66">
        <v>1</v>
      </c>
      <c r="K238" s="35">
        <f t="shared" si="74"/>
        <v>2.5</v>
      </c>
      <c r="L238" s="35">
        <f t="shared" si="62"/>
        <v>2.5</v>
      </c>
      <c r="M238" s="77" cm="1">
        <f t="array" ref="M238">_xlfn.IFS(BOM!I238="RM-PACKING","100%",B238="Reynolds",VLOOKUP(H238,'Yield &amp; Time'!A:V,22,0),BOM!B238="Dnata",VLOOKUP(BOM!H238,'Yield &amp; Time'!A:M,13,0),B238="NK",VLOOKUP(H238,'Yield &amp; Time'!A:X,24,0))</f>
        <v>0.81530446803991419</v>
      </c>
      <c r="N238" s="35">
        <f t="shared" si="81"/>
        <v>3.0663391383225065</v>
      </c>
      <c r="O238" s="1" t="str">
        <f>VLOOKUP(H238,'RM Used'!A:E,5,0)</f>
        <v>KG</v>
      </c>
      <c r="P238" s="11">
        <f>VLOOKUP(H238,'RM Used'!A:F,6,0)</f>
        <v>0.88</v>
      </c>
      <c r="Q238" s="11">
        <f t="shared" si="71"/>
        <v>2.6983784417238059</v>
      </c>
      <c r="R238" s="11">
        <f>IFERROR(IF(B238="Reynolds",VLOOKUP(H238,'Yield &amp; Time'!A:U,21,0),VLOOKUP(H238,'Yield &amp; Time'!A:L,12,0)),0)</f>
        <v>1.3025073571805521</v>
      </c>
      <c r="S238" s="11">
        <f t="shared" si="63"/>
        <v>1.1022468510140422</v>
      </c>
      <c r="T238" s="11">
        <f t="shared" si="64"/>
        <v>5.4271139882523002E-2</v>
      </c>
      <c r="U238" s="11">
        <f>IF(A237=A238,0,VLOOKUP(A238,'Packing Time'!A:F,6,0))</f>
        <v>0.875</v>
      </c>
      <c r="V238" s="11">
        <f t="shared" si="75"/>
        <v>0.29618749999999999</v>
      </c>
      <c r="W238" s="11">
        <f t="shared" si="76"/>
        <v>1.4583333333333334E-2</v>
      </c>
      <c r="X238" s="11">
        <f t="shared" si="65"/>
        <v>1.5382777861154464</v>
      </c>
      <c r="Y238" s="11">
        <f t="shared" si="77"/>
        <v>1.5382777861154464</v>
      </c>
      <c r="Z238" s="37">
        <v>1</v>
      </c>
      <c r="AA238" s="36">
        <f t="shared" si="66"/>
        <v>3.0663391383225065</v>
      </c>
      <c r="AB238" s="36">
        <f t="shared" si="67"/>
        <v>2.6983784417238059</v>
      </c>
      <c r="AC238" s="11">
        <f t="shared" si="68"/>
        <v>7.5739920537441968E-2</v>
      </c>
      <c r="AD238" s="36">
        <f t="shared" si="78"/>
        <v>1.5382777861154462</v>
      </c>
      <c r="AE238" s="36"/>
      <c r="AF238" s="36">
        <f>IFERROR(VLOOKUP(AE238,'Chemical Cost'!A:D,4,0),0)</f>
        <v>0</v>
      </c>
      <c r="AG238" s="114">
        <f t="shared" si="69"/>
        <v>0</v>
      </c>
      <c r="AH238" s="36">
        <f t="shared" si="73"/>
        <v>0</v>
      </c>
      <c r="AI238" s="36">
        <f t="shared" si="79"/>
        <v>4.2366562278392523</v>
      </c>
      <c r="AJ238" s="36">
        <f>IFERROR(VLOOKUP(A238,'All Products'!A:F,6,0),0)</f>
        <v>6.68</v>
      </c>
      <c r="AK238" s="36">
        <f>AJ238*Z238*J238</f>
        <v>6.68</v>
      </c>
      <c r="AL238" s="23">
        <v>1</v>
      </c>
      <c r="AM238" s="23"/>
      <c r="AN238" s="54" t="e">
        <v>#N/A</v>
      </c>
      <c r="AO238" s="47"/>
      <c r="AP238" s="4">
        <v>1.1000000000000001</v>
      </c>
      <c r="AQ238" s="111">
        <f t="shared" si="70"/>
        <v>7.5739920537441968E-2</v>
      </c>
      <c r="AR238">
        <f>_xlfn.XLOOKUP(F238,'RM Cost'!A:A,'RM Cost'!S:S)</f>
        <v>0</v>
      </c>
      <c r="AS238" t="str">
        <f>_xlfn.XLOOKUP(A238,[3]Sheet1!$B:$B,[3]Sheet1!$B:$B)</f>
        <v>1334CS</v>
      </c>
      <c r="AT238">
        <f>_xlfn.XLOOKUP(H238,'Yield &amp; Time'!A:A,'Yield &amp; Time'!F:F)</f>
        <v>0</v>
      </c>
    </row>
    <row r="239" spans="1:46" x14ac:dyDescent="0.25">
      <c r="A239" s="1" t="s">
        <v>86</v>
      </c>
      <c r="B239" s="2" t="s">
        <v>552</v>
      </c>
      <c r="C239" s="2" t="s">
        <v>581</v>
      </c>
      <c r="D239" s="2" t="s">
        <v>554</v>
      </c>
      <c r="E239" s="2">
        <v>2.5</v>
      </c>
      <c r="F239" s="1" t="str">
        <f>VLOOKUP(H239,'RM Used'!A:B,2,0)</f>
        <v>P0020</v>
      </c>
      <c r="G239" s="1" t="str">
        <f>IFERROR(VLOOKUP(F239,'RM Cost'!A:B,2,0),"")</f>
        <v>PALE BLUE BAG 430X430MM</v>
      </c>
      <c r="H239" s="2" t="s">
        <v>1659</v>
      </c>
      <c r="I239" s="1" t="str">
        <f>VLOOKUP(F239,'RM Used'!B:D,3,0)</f>
        <v>RM-PACKING</v>
      </c>
      <c r="J239" s="66">
        <v>1</v>
      </c>
      <c r="K239" s="35" t="str">
        <f t="shared" si="74"/>
        <v/>
      </c>
      <c r="L239" s="35">
        <f t="shared" si="62"/>
        <v>0</v>
      </c>
      <c r="M239" s="77" t="str" cm="1">
        <f t="array" ref="M239">_xlfn.IFS(BOM!I239="RM-PACKING","100%",B239="Reynolds",VLOOKUP(H239,'Yield &amp; Time'!A:V,22,0),BOM!B239="Dnata",VLOOKUP(BOM!H239,'Yield &amp; Time'!A:M,13,0),B239="NK",VLOOKUP(H239,'Yield &amp; Time'!A:X,24,0))</f>
        <v>100%</v>
      </c>
      <c r="N239" s="35">
        <f t="shared" si="81"/>
        <v>1</v>
      </c>
      <c r="O239" s="1" t="str">
        <f>VLOOKUP(H239,'RM Used'!A:E,5,0)</f>
        <v>Count</v>
      </c>
      <c r="P239" s="11">
        <f>VLOOKUP(H239,'RM Used'!A:F,6,0)</f>
        <v>0.09</v>
      </c>
      <c r="Q239" s="11">
        <f t="shared" si="71"/>
        <v>0.09</v>
      </c>
      <c r="R239" s="11">
        <f>IFERROR(IF(B239="Reynolds",VLOOKUP(H239,'Yield &amp; Time'!A:U,21,0),VLOOKUP(H239,'Yield &amp; Time'!A:L,12,0)),0)</f>
        <v>0</v>
      </c>
      <c r="S239" s="11">
        <f t="shared" si="63"/>
        <v>0</v>
      </c>
      <c r="T239" s="11">
        <f t="shared" si="64"/>
        <v>0</v>
      </c>
      <c r="U239" s="11">
        <f>IF(A238=A239,0,VLOOKUP(A239,'Packing Time'!A:F,6,0))</f>
        <v>0</v>
      </c>
      <c r="V239" s="11">
        <f t="shared" si="75"/>
        <v>0</v>
      </c>
      <c r="W239" s="11">
        <f t="shared" si="76"/>
        <v>0</v>
      </c>
      <c r="X239" s="11">
        <f t="shared" si="65"/>
        <v>0</v>
      </c>
      <c r="Y239" s="11">
        <f t="shared" si="77"/>
        <v>0</v>
      </c>
      <c r="Z239" s="37">
        <v>1</v>
      </c>
      <c r="AA239" s="36">
        <f t="shared" si="66"/>
        <v>1</v>
      </c>
      <c r="AB239" s="36">
        <f t="shared" si="67"/>
        <v>0.09</v>
      </c>
      <c r="AC239" s="11">
        <f t="shared" si="68"/>
        <v>0</v>
      </c>
      <c r="AD239" s="36">
        <f t="shared" si="78"/>
        <v>0</v>
      </c>
      <c r="AE239" s="36"/>
      <c r="AF239" s="36">
        <f>IFERROR(VLOOKUP(AE239,'Chemical Cost'!A:D,4,0),0)</f>
        <v>0</v>
      </c>
      <c r="AG239" s="114">
        <f t="shared" si="69"/>
        <v>0</v>
      </c>
      <c r="AH239" s="36">
        <f t="shared" si="73"/>
        <v>0</v>
      </c>
      <c r="AI239" s="36">
        <f t="shared" si="79"/>
        <v>0.09</v>
      </c>
      <c r="AJ239" s="36">
        <f>IFERROR(VLOOKUP(A239,'All Products'!A:F,6,0),0)</f>
        <v>6.68</v>
      </c>
      <c r="AK239" s="36"/>
      <c r="AL239" s="23">
        <v>1</v>
      </c>
      <c r="AM239" s="23"/>
      <c r="AN239" s="54" t="e">
        <v>#N/A</v>
      </c>
      <c r="AO239" s="47"/>
      <c r="AP239" s="4">
        <v>1.1000000000000001</v>
      </c>
      <c r="AQ239" s="111">
        <f t="shared" si="70"/>
        <v>0</v>
      </c>
      <c r="AR239">
        <f>_xlfn.XLOOKUP(F239,'RM Cost'!A:A,'RM Cost'!S:S)</f>
        <v>0</v>
      </c>
      <c r="AS239" t="str">
        <f>_xlfn.XLOOKUP(A239,[3]Sheet1!$B:$B,[3]Sheet1!$B:$B)</f>
        <v>1334CS</v>
      </c>
      <c r="AT239" t="e">
        <f>_xlfn.XLOOKUP(H239,'Yield &amp; Time'!A:A,'Yield &amp; Time'!F:F)</f>
        <v>#N/A</v>
      </c>
    </row>
    <row r="240" spans="1:46" x14ac:dyDescent="0.25">
      <c r="A240" s="1" t="s">
        <v>86</v>
      </c>
      <c r="B240" s="2" t="s">
        <v>552</v>
      </c>
      <c r="C240" s="2" t="s">
        <v>581</v>
      </c>
      <c r="D240" s="2" t="s">
        <v>554</v>
      </c>
      <c r="E240" s="2">
        <v>2.5</v>
      </c>
      <c r="F240" s="1" t="str">
        <f>VLOOKUP(H240,'RM Used'!A:B,2,0)</f>
        <v>P0016</v>
      </c>
      <c r="G240" s="1" t="str">
        <f>IFERROR(VLOOKUP(F240,'RM Cost'!A:B,2,0),"")</f>
        <v>REY 40 30 BOX</v>
      </c>
      <c r="H240" s="2" t="s">
        <v>1332</v>
      </c>
      <c r="I240" s="1" t="str">
        <f>VLOOKUP(F240,'RM Used'!B:D,3,0)</f>
        <v>RM-PACKING</v>
      </c>
      <c r="J240" s="66">
        <v>1</v>
      </c>
      <c r="K240" s="35" t="str">
        <f t="shared" si="74"/>
        <v/>
      </c>
      <c r="L240" s="35">
        <f t="shared" si="62"/>
        <v>0</v>
      </c>
      <c r="M240" s="77" t="str" cm="1">
        <f t="array" ref="M240">_xlfn.IFS(BOM!I240="RM-PACKING","100%",B240="Reynolds",VLOOKUP(H240,'Yield &amp; Time'!A:V,22,0),BOM!B240="Dnata",VLOOKUP(BOM!H240,'Yield &amp; Time'!A:M,13,0),B240="NK",VLOOKUP(H240,'Yield &amp; Time'!A:X,24,0))</f>
        <v>100%</v>
      </c>
      <c r="N240" s="35">
        <f t="shared" si="81"/>
        <v>1</v>
      </c>
      <c r="O240" s="1" t="str">
        <f>VLOOKUP(H240,'RM Used'!A:E,5,0)</f>
        <v>Count</v>
      </c>
      <c r="P240" s="11">
        <f>VLOOKUP(H240,'RM Used'!A:F,6,0)</f>
        <v>0.28000000000000003</v>
      </c>
      <c r="Q240" s="11">
        <f t="shared" si="71"/>
        <v>0.28000000000000003</v>
      </c>
      <c r="R240" s="11">
        <f>IFERROR(IF(B240="Reynolds",VLOOKUP(H240,'Yield &amp; Time'!A:U,21,0),VLOOKUP(H240,'Yield &amp; Time'!A:L,12,0)),0)</f>
        <v>0</v>
      </c>
      <c r="S240" s="11">
        <f t="shared" si="63"/>
        <v>0</v>
      </c>
      <c r="T240" s="11">
        <f t="shared" si="64"/>
        <v>0</v>
      </c>
      <c r="U240" s="11">
        <f>IF(A239=A240,0,VLOOKUP(A240,'Packing Time'!A:F,6,0))</f>
        <v>0</v>
      </c>
      <c r="V240" s="11">
        <f t="shared" si="75"/>
        <v>0</v>
      </c>
      <c r="W240" s="11">
        <f t="shared" si="76"/>
        <v>0</v>
      </c>
      <c r="X240" s="11">
        <f t="shared" si="65"/>
        <v>0</v>
      </c>
      <c r="Y240" s="11">
        <f t="shared" si="77"/>
        <v>0</v>
      </c>
      <c r="Z240" s="37">
        <v>1</v>
      </c>
      <c r="AA240" s="36">
        <f t="shared" si="66"/>
        <v>1</v>
      </c>
      <c r="AB240" s="36">
        <f t="shared" si="67"/>
        <v>0.28000000000000003</v>
      </c>
      <c r="AC240" s="11">
        <f t="shared" si="68"/>
        <v>0</v>
      </c>
      <c r="AD240" s="36">
        <f t="shared" si="78"/>
        <v>0</v>
      </c>
      <c r="AE240" s="36"/>
      <c r="AF240" s="36">
        <f>IFERROR(VLOOKUP(AE240,'Chemical Cost'!A:D,4,0),0)</f>
        <v>0</v>
      </c>
      <c r="AG240" s="114">
        <f t="shared" si="69"/>
        <v>0</v>
      </c>
      <c r="AH240" s="36">
        <f t="shared" si="73"/>
        <v>0</v>
      </c>
      <c r="AI240" s="36">
        <f t="shared" si="79"/>
        <v>0.28000000000000003</v>
      </c>
      <c r="AJ240" s="36">
        <f>IFERROR(VLOOKUP(A240,'All Products'!A:F,6,0),0)</f>
        <v>6.68</v>
      </c>
      <c r="AK240" s="36"/>
      <c r="AL240" s="23">
        <v>1</v>
      </c>
      <c r="AM240" s="23"/>
      <c r="AN240" s="54" t="e">
        <v>#N/A</v>
      </c>
      <c r="AO240" s="47"/>
      <c r="AP240" s="4">
        <v>1.1000000000000001</v>
      </c>
      <c r="AQ240" s="111">
        <f t="shared" si="70"/>
        <v>0</v>
      </c>
      <c r="AR240">
        <f>_xlfn.XLOOKUP(F240,'RM Cost'!A:A,'RM Cost'!S:S)</f>
        <v>0</v>
      </c>
      <c r="AS240" t="str">
        <f>_xlfn.XLOOKUP(A240,[3]Sheet1!$B:$B,[3]Sheet1!$B:$B)</f>
        <v>1334CS</v>
      </c>
      <c r="AT240" t="e">
        <f>_xlfn.XLOOKUP(H240,'Yield &amp; Time'!A:A,'Yield &amp; Time'!F:F)</f>
        <v>#N/A</v>
      </c>
    </row>
    <row r="241" spans="1:46" x14ac:dyDescent="0.25">
      <c r="A241" s="15" t="s">
        <v>91</v>
      </c>
      <c r="B241" s="2" t="s">
        <v>552</v>
      </c>
      <c r="C241" s="2" t="s">
        <v>582</v>
      </c>
      <c r="D241" s="2" t="s">
        <v>554</v>
      </c>
      <c r="E241" s="2">
        <v>1</v>
      </c>
      <c r="F241" s="1" t="str">
        <f>VLOOKUP(H241,'RM Used'!A:B,2,0)</f>
        <v>3566CS</v>
      </c>
      <c r="G241" s="1" t="str">
        <f>IFERROR(VLOOKUP(F241,'RM Cost'!A:B,2,0),"")</f>
        <v>PEPPERS RED X 5KG</v>
      </c>
      <c r="H241" s="2" t="s">
        <v>1397</v>
      </c>
      <c r="I241" s="1" t="str">
        <f>VLOOKUP(F241,'RM Used'!B:D,3,0)</f>
        <v>RM-FOOD</v>
      </c>
      <c r="J241" s="66">
        <v>6.6600000000000006E-2</v>
      </c>
      <c r="K241" s="35">
        <f t="shared" si="74"/>
        <v>6.6600000000000006E-2</v>
      </c>
      <c r="L241" s="35">
        <f t="shared" si="62"/>
        <v>6.6600000000000006E-2</v>
      </c>
      <c r="M241" s="77" cm="1">
        <f t="array" ref="M241">_xlfn.IFS(BOM!I241="RM-PACKING","100%",B241="Reynolds",VLOOKUP(H241,'Yield &amp; Time'!A:V,22,0),BOM!B241="Dnata",VLOOKUP(BOM!H241,'Yield &amp; Time'!A:M,13,0),B241="NK",VLOOKUP(H241,'Yield &amp; Time'!A:X,24,0))</f>
        <v>0.45454545454545459</v>
      </c>
      <c r="N241" s="35">
        <f t="shared" si="81"/>
        <v>0.14652000000000001</v>
      </c>
      <c r="O241" s="1" t="str">
        <f>VLOOKUP(H241,'RM Used'!A:E,5,0)</f>
        <v>KG</v>
      </c>
      <c r="P241" s="11">
        <f>VLOOKUP(H241,'RM Used'!A:F,6,0)</f>
        <v>1.72</v>
      </c>
      <c r="Q241" s="11">
        <f t="shared" si="71"/>
        <v>0.25201440000000003</v>
      </c>
      <c r="R241" s="11">
        <f>IFERROR(IF(B241="Reynolds",VLOOKUP(H241,'Yield &amp; Time'!A:U,21,0),VLOOKUP(H241,'Yield &amp; Time'!A:L,12,0)),0)</f>
        <v>6.75</v>
      </c>
      <c r="S241" s="11">
        <f t="shared" si="63"/>
        <v>0.15217267500000001</v>
      </c>
      <c r="T241" s="11">
        <f t="shared" si="64"/>
        <v>7.4925000000000009E-3</v>
      </c>
      <c r="U241" s="11">
        <f>IF(A240=A241,0,VLOOKUP(A241,'Packing Time'!A:F,6,0))</f>
        <v>0.64500000000000002</v>
      </c>
      <c r="V241" s="11">
        <f t="shared" si="75"/>
        <v>0.21833249999999998</v>
      </c>
      <c r="W241" s="11">
        <f t="shared" si="76"/>
        <v>1.0750000000000001E-2</v>
      </c>
      <c r="X241" s="11">
        <f t="shared" si="65"/>
        <v>0.40755569250000007</v>
      </c>
      <c r="Y241" s="11">
        <f t="shared" si="77"/>
        <v>0.40755569250000007</v>
      </c>
      <c r="Z241" s="37">
        <v>1</v>
      </c>
      <c r="AA241" s="36">
        <f t="shared" si="66"/>
        <v>0.14652000000000001</v>
      </c>
      <c r="AB241" s="36">
        <f t="shared" si="67"/>
        <v>0.25201440000000003</v>
      </c>
      <c r="AC241" s="11">
        <f t="shared" si="68"/>
        <v>2.0066750000000005E-2</v>
      </c>
      <c r="AD241" s="36">
        <f t="shared" si="78"/>
        <v>0.40755569250000001</v>
      </c>
      <c r="AE241" s="36"/>
      <c r="AF241" s="36">
        <f>IFERROR(VLOOKUP(AE241,'Chemical Cost'!A:D,4,0),0)</f>
        <v>0</v>
      </c>
      <c r="AG241" s="114">
        <f t="shared" si="69"/>
        <v>0</v>
      </c>
      <c r="AH241" s="36">
        <f t="shared" si="73"/>
        <v>0</v>
      </c>
      <c r="AI241" s="36">
        <f t="shared" si="79"/>
        <v>0.65957009250000009</v>
      </c>
      <c r="AJ241" s="36">
        <f>IFERROR(VLOOKUP(A241,'All Products'!A:F,6,0),0)</f>
        <v>4.7300000000000004</v>
      </c>
      <c r="AK241" s="36">
        <f t="shared" ref="AK241:AK247" si="82">AJ241*Z241*J241</f>
        <v>0.31501800000000008</v>
      </c>
      <c r="AL241" s="23">
        <v>1</v>
      </c>
      <c r="AM241" s="23"/>
      <c r="AN241" s="54" t="e">
        <v>#N/A</v>
      </c>
      <c r="AO241" s="47"/>
      <c r="AP241" s="4">
        <v>1.1000000000000001</v>
      </c>
      <c r="AQ241" s="111">
        <f t="shared" si="70"/>
        <v>2.0066750000000005E-2</v>
      </c>
      <c r="AR241">
        <f>_xlfn.XLOOKUP(F241,'RM Cost'!A:A,'RM Cost'!S:S)</f>
        <v>0</v>
      </c>
      <c r="AS241" t="str">
        <f>_xlfn.XLOOKUP(A241,[3]Sheet1!$B:$B,[3]Sheet1!$B:$B)</f>
        <v>1369CS</v>
      </c>
      <c r="AT241">
        <f>_xlfn.XLOOKUP(H241,'Yield &amp; Time'!A:A,'Yield &amp; Time'!F:F)</f>
        <v>0</v>
      </c>
    </row>
    <row r="242" spans="1:46" x14ac:dyDescent="0.25">
      <c r="A242" s="15" t="s">
        <v>91</v>
      </c>
      <c r="B242" s="2" t="s">
        <v>552</v>
      </c>
      <c r="C242" s="2" t="s">
        <v>582</v>
      </c>
      <c r="D242" s="2" t="s">
        <v>554</v>
      </c>
      <c r="E242" s="2">
        <v>1</v>
      </c>
      <c r="F242" s="1" t="str">
        <f>VLOOKUP(H242,'RM Used'!A:B,2,0)</f>
        <v>3565CS</v>
      </c>
      <c r="G242" s="1" t="str">
        <f>IFERROR(VLOOKUP(F242,'RM Cost'!A:B,2,0),"")</f>
        <v>RM - PEPPERS GREEN  X 5KG</v>
      </c>
      <c r="H242" s="2" t="s">
        <v>1398</v>
      </c>
      <c r="I242" s="1" t="str">
        <f>VLOOKUP(F242,'RM Used'!B:D,3,0)</f>
        <v>RM-FOOD</v>
      </c>
      <c r="J242" s="66">
        <v>6.6600000000000006E-2</v>
      </c>
      <c r="K242" s="35">
        <f t="shared" si="74"/>
        <v>6.6600000000000006E-2</v>
      </c>
      <c r="L242" s="35">
        <f t="shared" si="62"/>
        <v>6.6600000000000006E-2</v>
      </c>
      <c r="M242" s="77" cm="1">
        <f t="array" ref="M242">_xlfn.IFS(BOM!I242="RM-PACKING","100%",B242="Reynolds",VLOOKUP(H242,'Yield &amp; Time'!A:V,22,0),BOM!B242="Dnata",VLOOKUP(BOM!H242,'Yield &amp; Time'!A:M,13,0),B242="NK",VLOOKUP(H242,'Yield &amp; Time'!A:X,24,0))</f>
        <v>0.45454545454545459</v>
      </c>
      <c r="N242" s="35">
        <f t="shared" si="81"/>
        <v>0.14652000000000001</v>
      </c>
      <c r="O242" s="1" t="str">
        <f>VLOOKUP(H242,'RM Used'!A:E,5,0)</f>
        <v>KG</v>
      </c>
      <c r="P242" s="11">
        <f>VLOOKUP(H242,'RM Used'!A:F,6,0)</f>
        <v>1.76</v>
      </c>
      <c r="Q242" s="11">
        <f t="shared" si="71"/>
        <v>0.25787520000000003</v>
      </c>
      <c r="R242" s="11">
        <f>IFERROR(IF(B242="Reynolds",VLOOKUP(H242,'Yield &amp; Time'!A:U,21,0),VLOOKUP(H242,'Yield &amp; Time'!A:L,12,0)),0)</f>
        <v>6.75</v>
      </c>
      <c r="S242" s="11">
        <f t="shared" si="63"/>
        <v>0.15217267500000001</v>
      </c>
      <c r="T242" s="11">
        <f t="shared" si="64"/>
        <v>7.4925000000000009E-3</v>
      </c>
      <c r="U242" s="11">
        <f>IF(A241=A242,0,VLOOKUP(A242,'Packing Time'!A:F,6,0))</f>
        <v>0</v>
      </c>
      <c r="V242" s="11">
        <f t="shared" si="75"/>
        <v>0</v>
      </c>
      <c r="W242" s="11">
        <f t="shared" si="76"/>
        <v>0</v>
      </c>
      <c r="X242" s="11">
        <f t="shared" si="65"/>
        <v>0.16738994250000003</v>
      </c>
      <c r="Y242" s="11">
        <f t="shared" si="77"/>
        <v>0.16738994250000003</v>
      </c>
      <c r="Z242" s="37">
        <v>1</v>
      </c>
      <c r="AA242" s="36">
        <f t="shared" si="66"/>
        <v>0.14652000000000001</v>
      </c>
      <c r="AB242" s="36">
        <f t="shared" si="67"/>
        <v>0.25787520000000003</v>
      </c>
      <c r="AC242" s="11">
        <f t="shared" si="68"/>
        <v>8.2417500000000008E-3</v>
      </c>
      <c r="AD242" s="36">
        <f t="shared" si="78"/>
        <v>0.1673899425</v>
      </c>
      <c r="AE242" s="36"/>
      <c r="AF242" s="36">
        <f>IFERROR(VLOOKUP(AE242,'Chemical Cost'!A:D,4,0),0)</f>
        <v>0</v>
      </c>
      <c r="AG242" s="114">
        <f t="shared" si="69"/>
        <v>0</v>
      </c>
      <c r="AH242" s="36">
        <f t="shared" si="73"/>
        <v>0</v>
      </c>
      <c r="AI242" s="36">
        <f t="shared" si="79"/>
        <v>0.42526514250000003</v>
      </c>
      <c r="AJ242" s="36">
        <f>IFERROR(VLOOKUP(A242,'All Products'!A:F,6,0),0)</f>
        <v>4.7300000000000004</v>
      </c>
      <c r="AK242" s="36">
        <f t="shared" si="82"/>
        <v>0.31501800000000008</v>
      </c>
      <c r="AL242" s="23">
        <v>1</v>
      </c>
      <c r="AM242" s="23"/>
      <c r="AN242" s="54" t="e">
        <v>#N/A</v>
      </c>
      <c r="AO242" s="47"/>
      <c r="AP242" s="4">
        <v>1.1000000000000001</v>
      </c>
      <c r="AQ242" s="111">
        <f t="shared" si="70"/>
        <v>8.2417500000000008E-3</v>
      </c>
      <c r="AR242">
        <f>_xlfn.XLOOKUP(F242,'RM Cost'!A:A,'RM Cost'!S:S)</f>
        <v>0</v>
      </c>
      <c r="AS242" t="str">
        <f>_xlfn.XLOOKUP(A242,[3]Sheet1!$B:$B,[3]Sheet1!$B:$B)</f>
        <v>1369CS</v>
      </c>
      <c r="AT242">
        <f>_xlfn.XLOOKUP(H242,'Yield &amp; Time'!A:A,'Yield &amp; Time'!F:F)</f>
        <v>0</v>
      </c>
    </row>
    <row r="243" spans="1:46" x14ac:dyDescent="0.25">
      <c r="A243" s="15" t="s">
        <v>91</v>
      </c>
      <c r="B243" s="2" t="s">
        <v>552</v>
      </c>
      <c r="C243" s="2" t="s">
        <v>582</v>
      </c>
      <c r="D243" s="2" t="s">
        <v>554</v>
      </c>
      <c r="E243" s="2">
        <v>1</v>
      </c>
      <c r="F243" s="1" t="str">
        <f>VLOOKUP(H243,'RM Used'!A:B,2,0)</f>
        <v>3567CS</v>
      </c>
      <c r="G243" s="1" t="str">
        <f>IFERROR(VLOOKUP(F243,'RM Cost'!A:B,2,0),"")</f>
        <v>RM - PEPPERS YELLOW  X 5KG</v>
      </c>
      <c r="H243" s="2" t="s">
        <v>1399</v>
      </c>
      <c r="I243" s="1" t="str">
        <f>VLOOKUP(F243,'RM Used'!B:D,3,0)</f>
        <v>RM-FOOD</v>
      </c>
      <c r="J243" s="66">
        <v>6.6600000000000006E-2</v>
      </c>
      <c r="K243" s="35">
        <f t="shared" si="74"/>
        <v>6.6600000000000006E-2</v>
      </c>
      <c r="L243" s="35">
        <f t="shared" si="62"/>
        <v>6.6600000000000006E-2</v>
      </c>
      <c r="M243" s="77" cm="1">
        <f t="array" ref="M243">_xlfn.IFS(BOM!I243="RM-PACKING","100%",B243="Reynolds",VLOOKUP(H243,'Yield &amp; Time'!A:V,22,0),BOM!B243="Dnata",VLOOKUP(BOM!H243,'Yield &amp; Time'!A:M,13,0),B243="NK",VLOOKUP(H243,'Yield &amp; Time'!A:X,24,0))</f>
        <v>0.45454545454545459</v>
      </c>
      <c r="N243" s="35">
        <f t="shared" si="81"/>
        <v>0.14652000000000001</v>
      </c>
      <c r="O243" s="1" t="str">
        <f>VLOOKUP(H243,'RM Used'!A:E,5,0)</f>
        <v>KG</v>
      </c>
      <c r="P243" s="11">
        <f>VLOOKUP(H243,'RM Used'!A:F,6,0)</f>
        <v>1.68</v>
      </c>
      <c r="Q243" s="11">
        <f t="shared" si="71"/>
        <v>0.2461536</v>
      </c>
      <c r="R243" s="11">
        <f>IFERROR(IF(B243="Reynolds",VLOOKUP(H243,'Yield &amp; Time'!A:U,21,0),VLOOKUP(H243,'Yield &amp; Time'!A:L,12,0)),0)</f>
        <v>6.75</v>
      </c>
      <c r="S243" s="11">
        <f t="shared" si="63"/>
        <v>0.15217267500000001</v>
      </c>
      <c r="T243" s="11">
        <f t="shared" si="64"/>
        <v>7.4925000000000009E-3</v>
      </c>
      <c r="U243" s="11">
        <f>IF(A242=A243,0,VLOOKUP(A243,'Packing Time'!A:F,6,0))</f>
        <v>0</v>
      </c>
      <c r="V243" s="11">
        <f t="shared" si="75"/>
        <v>0</v>
      </c>
      <c r="W243" s="11">
        <f t="shared" si="76"/>
        <v>0</v>
      </c>
      <c r="X243" s="11">
        <f t="shared" si="65"/>
        <v>0.16738994250000003</v>
      </c>
      <c r="Y243" s="11">
        <f t="shared" si="77"/>
        <v>0.16738994250000003</v>
      </c>
      <c r="Z243" s="37">
        <v>1</v>
      </c>
      <c r="AA243" s="36">
        <f t="shared" si="66"/>
        <v>0.14652000000000001</v>
      </c>
      <c r="AB243" s="36">
        <f t="shared" si="67"/>
        <v>0.2461536</v>
      </c>
      <c r="AC243" s="11">
        <f t="shared" si="68"/>
        <v>8.2417500000000008E-3</v>
      </c>
      <c r="AD243" s="36">
        <f t="shared" si="78"/>
        <v>0.1673899425</v>
      </c>
      <c r="AE243" s="36"/>
      <c r="AF243" s="36">
        <f>IFERROR(VLOOKUP(AE243,'Chemical Cost'!A:D,4,0),0)</f>
        <v>0</v>
      </c>
      <c r="AG243" s="114">
        <f t="shared" si="69"/>
        <v>0</v>
      </c>
      <c r="AH243" s="36">
        <f t="shared" si="73"/>
        <v>0</v>
      </c>
      <c r="AI243" s="36">
        <f t="shared" si="79"/>
        <v>0.41354354250000003</v>
      </c>
      <c r="AJ243" s="36">
        <f>IFERROR(VLOOKUP(A243,'All Products'!A:F,6,0),0)</f>
        <v>4.7300000000000004</v>
      </c>
      <c r="AK243" s="36">
        <f t="shared" si="82"/>
        <v>0.31501800000000008</v>
      </c>
      <c r="AL243" s="23">
        <v>1</v>
      </c>
      <c r="AM243" s="23"/>
      <c r="AN243" s="54" t="e">
        <v>#N/A</v>
      </c>
      <c r="AO243" s="47"/>
      <c r="AP243" s="4">
        <v>1.1000000000000001</v>
      </c>
      <c r="AQ243" s="111">
        <f t="shared" si="70"/>
        <v>8.2417500000000008E-3</v>
      </c>
      <c r="AR243">
        <f>_xlfn.XLOOKUP(F243,'RM Cost'!A:A,'RM Cost'!S:S)</f>
        <v>0</v>
      </c>
      <c r="AS243" t="str">
        <f>_xlfn.XLOOKUP(A243,[3]Sheet1!$B:$B,[3]Sheet1!$B:$B)</f>
        <v>1369CS</v>
      </c>
      <c r="AT243">
        <f>_xlfn.XLOOKUP(H243,'Yield &amp; Time'!A:A,'Yield &amp; Time'!F:F)</f>
        <v>0</v>
      </c>
    </row>
    <row r="244" spans="1:46" x14ac:dyDescent="0.25">
      <c r="A244" s="15" t="s">
        <v>91</v>
      </c>
      <c r="B244" s="2" t="s">
        <v>552</v>
      </c>
      <c r="C244" s="2" t="s">
        <v>582</v>
      </c>
      <c r="D244" s="2" t="s">
        <v>554</v>
      </c>
      <c r="E244" s="2">
        <v>1</v>
      </c>
      <c r="F244" s="1" t="str">
        <f>VLOOKUP(H244,'RM Used'!A:B,2,0)</f>
        <v>3001CS</v>
      </c>
      <c r="G244" s="1" t="str">
        <f>IFERROR(VLOOKUP(F244,'RM Cost'!A:B,2,0),"")</f>
        <v>RM - AUBERGINE 5KG</v>
      </c>
      <c r="H244" s="2" t="s">
        <v>1400</v>
      </c>
      <c r="I244" s="1" t="str">
        <f>VLOOKUP(F244,'RM Used'!B:D,3,0)</f>
        <v>RM-FOOD</v>
      </c>
      <c r="J244" s="66">
        <v>0.2</v>
      </c>
      <c r="K244" s="35">
        <f t="shared" si="74"/>
        <v>0.2</v>
      </c>
      <c r="L244" s="35">
        <f t="shared" si="62"/>
        <v>0.2</v>
      </c>
      <c r="M244" s="77" cm="1">
        <f t="array" ref="M244">_xlfn.IFS(BOM!I244="RM-PACKING","100%",B244="Reynolds",VLOOKUP(H244,'Yield &amp; Time'!A:V,22,0),BOM!B244="Dnata",VLOOKUP(BOM!H244,'Yield &amp; Time'!A:M,13,0),B244="NK",VLOOKUP(H244,'Yield &amp; Time'!A:X,24,0))</f>
        <v>0.8</v>
      </c>
      <c r="N244" s="35">
        <f t="shared" si="81"/>
        <v>0.25</v>
      </c>
      <c r="O244" s="1" t="str">
        <f>VLOOKUP(H244,'RM Used'!A:E,5,0)</f>
        <v>KG</v>
      </c>
      <c r="P244" s="11">
        <f>VLOOKUP(H244,'RM Used'!A:F,6,0)</f>
        <v>1.34</v>
      </c>
      <c r="Q244" s="11">
        <f t="shared" si="71"/>
        <v>0.33500000000000002</v>
      </c>
      <c r="R244" s="11">
        <f>IFERROR(IF(B244="Reynolds",VLOOKUP(H244,'Yield &amp; Time'!A:U,21,0),VLOOKUP(H244,'Yield &amp; Time'!A:L,12,0)),0)</f>
        <v>2.4958333333333336</v>
      </c>
      <c r="S244" s="11">
        <f t="shared" si="63"/>
        <v>0.16896791666666669</v>
      </c>
      <c r="T244" s="11">
        <f t="shared" si="64"/>
        <v>8.3194444444444453E-3</v>
      </c>
      <c r="U244" s="11">
        <f>IF(A243=A244,0,VLOOKUP(A244,'Packing Time'!A:F,6,0))</f>
        <v>0</v>
      </c>
      <c r="V244" s="11">
        <f t="shared" si="75"/>
        <v>0</v>
      </c>
      <c r="W244" s="11">
        <f t="shared" si="76"/>
        <v>0</v>
      </c>
      <c r="X244" s="11">
        <f t="shared" si="65"/>
        <v>0.18586470833333338</v>
      </c>
      <c r="Y244" s="11">
        <f t="shared" si="77"/>
        <v>0.18586470833333338</v>
      </c>
      <c r="Z244" s="37">
        <v>1</v>
      </c>
      <c r="AA244" s="36">
        <f t="shared" si="66"/>
        <v>0.25</v>
      </c>
      <c r="AB244" s="36">
        <f t="shared" si="67"/>
        <v>0.33500000000000002</v>
      </c>
      <c r="AC244" s="11">
        <f t="shared" si="68"/>
        <v>9.1513888888888912E-3</v>
      </c>
      <c r="AD244" s="36">
        <f t="shared" si="78"/>
        <v>0.18586470833333338</v>
      </c>
      <c r="AE244" s="36" t="str">
        <f>VLOOKUP(H244,'Yield &amp; Time'!A:R,18,0)</f>
        <v>SODIUM METABISULPHITE</v>
      </c>
      <c r="AF244" s="36">
        <f>IFERROR(VLOOKUP(AE244,'Chemical Cost'!A:D,4,0),0)</f>
        <v>9.7586225455882462E-3</v>
      </c>
      <c r="AG244" s="114">
        <f t="shared" si="69"/>
        <v>8.1321854546568715E-4</v>
      </c>
      <c r="AH244" s="36">
        <f t="shared" si="73"/>
        <v>8.1321854546568715E-4</v>
      </c>
      <c r="AI244" s="36">
        <f t="shared" si="79"/>
        <v>0.5216779268787991</v>
      </c>
      <c r="AJ244" s="36">
        <f>IFERROR(VLOOKUP(A244,'All Products'!A:F,6,0),0)</f>
        <v>4.7300000000000004</v>
      </c>
      <c r="AK244" s="36">
        <f t="shared" si="82"/>
        <v>0.94600000000000017</v>
      </c>
      <c r="AL244" s="23">
        <v>1</v>
      </c>
      <c r="AM244" s="23"/>
      <c r="AN244" s="54" t="e">
        <v>#N/A</v>
      </c>
      <c r="AO244" s="47"/>
      <c r="AP244" s="4">
        <v>1.1000000000000001</v>
      </c>
      <c r="AQ244" s="111">
        <f t="shared" si="70"/>
        <v>9.1513888888888912E-3</v>
      </c>
      <c r="AR244">
        <f>_xlfn.XLOOKUP(F244,'RM Cost'!A:A,'RM Cost'!S:S)</f>
        <v>0</v>
      </c>
      <c r="AS244" t="str">
        <f>_xlfn.XLOOKUP(A244,[3]Sheet1!$B:$B,[3]Sheet1!$B:$B)</f>
        <v>1369CS</v>
      </c>
      <c r="AT244">
        <f>_xlfn.XLOOKUP(H244,'Yield &amp; Time'!A:A,'Yield &amp; Time'!F:F)</f>
        <v>0</v>
      </c>
    </row>
    <row r="245" spans="1:46" x14ac:dyDescent="0.25">
      <c r="A245" s="15" t="s">
        <v>91</v>
      </c>
      <c r="B245" s="2" t="s">
        <v>552</v>
      </c>
      <c r="C245" s="2" t="s">
        <v>582</v>
      </c>
      <c r="D245" s="2" t="s">
        <v>554</v>
      </c>
      <c r="E245" s="2">
        <v>1</v>
      </c>
      <c r="F245" s="1" t="str">
        <f>VLOOKUP(H245,'RM Used'!A:B,2,0)</f>
        <v>0930CS</v>
      </c>
      <c r="G245" s="1" t="str">
        <f>IFERROR(VLOOKUP(F245,'RM Cost'!A:B,2,0),"")</f>
        <v>RM - COURGETTE STANDARD</v>
      </c>
      <c r="H245" s="2" t="s">
        <v>1401</v>
      </c>
      <c r="I245" s="1" t="str">
        <f>VLOOKUP(F245,'RM Used'!B:D,3,0)</f>
        <v>RM-FOOD</v>
      </c>
      <c r="J245" s="66">
        <v>0.2</v>
      </c>
      <c r="K245" s="35">
        <f t="shared" si="74"/>
        <v>0.2</v>
      </c>
      <c r="L245" s="35">
        <f t="shared" si="62"/>
        <v>0.2</v>
      </c>
      <c r="M245" s="77" cm="1">
        <f t="array" ref="M245">_xlfn.IFS(BOM!I245="RM-PACKING","100%",B245="Reynolds",VLOOKUP(H245,'Yield &amp; Time'!A:V,22,0),BOM!B245="Dnata",VLOOKUP(BOM!H245,'Yield &amp; Time'!A:M,13,0),B245="NK",VLOOKUP(H245,'Yield &amp; Time'!A:X,24,0))</f>
        <v>0.8</v>
      </c>
      <c r="N245" s="35">
        <f t="shared" si="81"/>
        <v>0.25</v>
      </c>
      <c r="O245" s="1" t="str">
        <f>VLOOKUP(H245,'RM Used'!A:E,5,0)</f>
        <v>KG</v>
      </c>
      <c r="P245" s="11">
        <f>VLOOKUP(H245,'RM Used'!A:F,6,0)</f>
        <v>1.1000000000000001</v>
      </c>
      <c r="Q245" s="11">
        <f t="shared" si="71"/>
        <v>0.27500000000000002</v>
      </c>
      <c r="R245" s="11">
        <f>IFERROR(IF(B245="Reynolds",VLOOKUP(H245,'Yield &amp; Time'!A:U,21,0),VLOOKUP(H245,'Yield &amp; Time'!A:L,12,0)),0)</f>
        <v>1.75</v>
      </c>
      <c r="S245" s="11">
        <f t="shared" si="63"/>
        <v>0.118475</v>
      </c>
      <c r="T245" s="11">
        <f t="shared" si="64"/>
        <v>5.8333333333333336E-3</v>
      </c>
      <c r="U245" s="11">
        <f>IF(A244=A245,0,VLOOKUP(A245,'Packing Time'!A:F,6,0))</f>
        <v>0</v>
      </c>
      <c r="V245" s="11">
        <f t="shared" si="75"/>
        <v>0</v>
      </c>
      <c r="W245" s="11">
        <f t="shared" si="76"/>
        <v>0</v>
      </c>
      <c r="X245" s="11">
        <f t="shared" si="65"/>
        <v>0.13032250000000001</v>
      </c>
      <c r="Y245" s="11">
        <f t="shared" si="77"/>
        <v>0.13032250000000001</v>
      </c>
      <c r="Z245" s="37">
        <v>1</v>
      </c>
      <c r="AA245" s="36">
        <f t="shared" si="66"/>
        <v>0.25</v>
      </c>
      <c r="AB245" s="36">
        <f t="shared" si="67"/>
        <v>0.27500000000000002</v>
      </c>
      <c r="AC245" s="11">
        <f t="shared" si="68"/>
        <v>6.4166666666666677E-3</v>
      </c>
      <c r="AD245" s="36">
        <f t="shared" si="78"/>
        <v>0.13032250000000001</v>
      </c>
      <c r="AE245" s="36"/>
      <c r="AF245" s="36">
        <f>IFERROR(VLOOKUP(AE245,'Chemical Cost'!A:D,4,0),0)</f>
        <v>0</v>
      </c>
      <c r="AG245" s="114">
        <f t="shared" si="69"/>
        <v>0</v>
      </c>
      <c r="AH245" s="36">
        <f t="shared" si="73"/>
        <v>0</v>
      </c>
      <c r="AI245" s="36">
        <f t="shared" si="79"/>
        <v>0.40532250000000003</v>
      </c>
      <c r="AJ245" s="36">
        <f>IFERROR(VLOOKUP(A245,'All Products'!A:F,6,0),0)</f>
        <v>4.7300000000000004</v>
      </c>
      <c r="AK245" s="36">
        <f t="shared" si="82"/>
        <v>0.94600000000000017</v>
      </c>
      <c r="AL245" s="23">
        <v>1</v>
      </c>
      <c r="AM245" s="23"/>
      <c r="AN245" s="54" t="e">
        <v>#N/A</v>
      </c>
      <c r="AO245" s="47"/>
      <c r="AP245" s="4">
        <v>1.1000000000000001</v>
      </c>
      <c r="AQ245" s="111">
        <f t="shared" si="70"/>
        <v>6.4166666666666677E-3</v>
      </c>
      <c r="AR245">
        <f>_xlfn.XLOOKUP(F245,'RM Cost'!A:A,'RM Cost'!S:S)</f>
        <v>1.1644775886170367</v>
      </c>
      <c r="AS245" t="str">
        <f>_xlfn.XLOOKUP(A245,[3]Sheet1!$B:$B,[3]Sheet1!$B:$B)</f>
        <v>1369CS</v>
      </c>
      <c r="AT245">
        <f>_xlfn.XLOOKUP(H245,'Yield &amp; Time'!A:A,'Yield &amp; Time'!F:F)</f>
        <v>0</v>
      </c>
    </row>
    <row r="246" spans="1:46" x14ac:dyDescent="0.25">
      <c r="A246" s="15" t="s">
        <v>91</v>
      </c>
      <c r="B246" s="2" t="s">
        <v>552</v>
      </c>
      <c r="C246" s="2" t="s">
        <v>582</v>
      </c>
      <c r="D246" s="2" t="s">
        <v>554</v>
      </c>
      <c r="E246" s="2">
        <v>1</v>
      </c>
      <c r="F246" s="1" t="str">
        <f>VLOOKUP(H246,'RM Used'!A:B,2,0)</f>
        <v>1318CS</v>
      </c>
      <c r="G246" s="1" t="str">
        <f>IFERROR(VLOOKUP(F246,'RM Cost'!A:B,2,0),"")</f>
        <v>RM - PREP ONION RED WHOLE 2.5KG</v>
      </c>
      <c r="H246" s="2" t="s">
        <v>1402</v>
      </c>
      <c r="I246" s="1" t="str">
        <f>VLOOKUP(F246,'RM Used'!B:D,3,0)</f>
        <v>RM-FOOD</v>
      </c>
      <c r="J246" s="66">
        <v>0.2</v>
      </c>
      <c r="K246" s="35">
        <f t="shared" si="74"/>
        <v>0.2</v>
      </c>
      <c r="L246" s="35">
        <f t="shared" si="62"/>
        <v>0.2</v>
      </c>
      <c r="M246" s="77" cm="1">
        <f t="array" ref="M246">_xlfn.IFS(BOM!I246="RM-PACKING","100%",B246="Reynolds",VLOOKUP(H246,'Yield &amp; Time'!A:V,22,0),BOM!B246="Dnata",VLOOKUP(BOM!H246,'Yield &amp; Time'!A:M,13,0),B246="NK",VLOOKUP(H246,'Yield &amp; Time'!A:X,24,0))</f>
        <v>0.72169099144438853</v>
      </c>
      <c r="N246" s="35">
        <f t="shared" si="81"/>
        <v>0.27712691771269177</v>
      </c>
      <c r="O246" s="1" t="str">
        <f>VLOOKUP(H246,'RM Used'!A:E,5,0)</f>
        <v>KG</v>
      </c>
      <c r="P246" s="11">
        <f>VLOOKUP(H246,'RM Used'!A:F,6,0)</f>
        <v>1.08</v>
      </c>
      <c r="Q246" s="11">
        <f t="shared" si="71"/>
        <v>0.2992970711297071</v>
      </c>
      <c r="R246" s="11">
        <f>IFERROR(IF(B246="Reynolds",VLOOKUP(H246,'Yield &amp; Time'!A:U,21,0),VLOOKUP(H246,'Yield &amp; Time'!A:L,12,0)),0)</f>
        <v>5.6485355648535567</v>
      </c>
      <c r="S246" s="11">
        <f t="shared" si="63"/>
        <v>0.38240585774058578</v>
      </c>
      <c r="T246" s="11">
        <f t="shared" si="64"/>
        <v>1.8828451882845192E-2</v>
      </c>
      <c r="U246" s="11">
        <f>IF(A245=A246,0,VLOOKUP(A246,'Packing Time'!A:F,6,0))</f>
        <v>0</v>
      </c>
      <c r="V246" s="11">
        <f t="shared" si="75"/>
        <v>0</v>
      </c>
      <c r="W246" s="11">
        <f t="shared" si="76"/>
        <v>0</v>
      </c>
      <c r="X246" s="11">
        <f t="shared" si="65"/>
        <v>0.42064644351464436</v>
      </c>
      <c r="Y246" s="11">
        <f t="shared" si="77"/>
        <v>0.42064644351464436</v>
      </c>
      <c r="Z246" s="37">
        <v>1</v>
      </c>
      <c r="AA246" s="36">
        <f t="shared" si="66"/>
        <v>0.27712691771269177</v>
      </c>
      <c r="AB246" s="36">
        <f t="shared" si="67"/>
        <v>0.2992970711297071</v>
      </c>
      <c r="AC246" s="11">
        <f t="shared" si="68"/>
        <v>2.0711297071129713E-2</v>
      </c>
      <c r="AD246" s="36">
        <f t="shared" si="78"/>
        <v>0.42064644351464442</v>
      </c>
      <c r="AE246" s="36"/>
      <c r="AF246" s="36">
        <f>IFERROR(VLOOKUP(AE246,'Chemical Cost'!A:D,4,0),0)</f>
        <v>0</v>
      </c>
      <c r="AG246" s="114">
        <f t="shared" si="69"/>
        <v>0</v>
      </c>
      <c r="AH246" s="36">
        <f t="shared" si="73"/>
        <v>0</v>
      </c>
      <c r="AI246" s="36">
        <f t="shared" si="79"/>
        <v>0.71994351464435147</v>
      </c>
      <c r="AJ246" s="36">
        <f>IFERROR(VLOOKUP(A246,'All Products'!A:F,6,0),0)</f>
        <v>4.7300000000000004</v>
      </c>
      <c r="AK246" s="36">
        <f t="shared" si="82"/>
        <v>0.94600000000000017</v>
      </c>
      <c r="AL246" s="23">
        <v>1</v>
      </c>
      <c r="AM246" s="23"/>
      <c r="AN246" s="54" t="e">
        <v>#N/A</v>
      </c>
      <c r="AO246" s="47"/>
      <c r="AP246" s="4">
        <v>1.1000000000000001</v>
      </c>
      <c r="AQ246" s="111">
        <f t="shared" si="70"/>
        <v>2.0711297071129713E-2</v>
      </c>
      <c r="AR246">
        <f>_xlfn.XLOOKUP(F246,'RM Cost'!A:A,'RM Cost'!S:S)</f>
        <v>0</v>
      </c>
      <c r="AS246" t="str">
        <f>_xlfn.XLOOKUP(A246,[3]Sheet1!$B:$B,[3]Sheet1!$B:$B)</f>
        <v>1369CS</v>
      </c>
      <c r="AT246">
        <f>_xlfn.XLOOKUP(H246,'Yield &amp; Time'!A:A,'Yield &amp; Time'!F:F)</f>
        <v>0</v>
      </c>
    </row>
    <row r="247" spans="1:46" x14ac:dyDescent="0.25">
      <c r="A247" s="15" t="s">
        <v>91</v>
      </c>
      <c r="B247" s="2" t="s">
        <v>552</v>
      </c>
      <c r="C247" s="2" t="s">
        <v>582</v>
      </c>
      <c r="D247" s="2" t="s">
        <v>554</v>
      </c>
      <c r="E247" s="2">
        <v>1</v>
      </c>
      <c r="F247" s="1" t="str">
        <f>VLOOKUP(H247,'RM Used'!A:B,2,0)</f>
        <v>206ACS</v>
      </c>
      <c r="G247" s="1" t="str">
        <f>IFERROR(VLOOKUP(F247,'RM Cost'!A:B,2,0),"")</f>
        <v>RM - PREP ONION WHOLE 10KG</v>
      </c>
      <c r="H247" s="2" t="s">
        <v>1403</v>
      </c>
      <c r="I247" s="1" t="str">
        <f>VLOOKUP(F247,'RM Used'!B:D,3,0)</f>
        <v>RM-FOOD</v>
      </c>
      <c r="J247" s="66">
        <v>0.2</v>
      </c>
      <c r="K247" s="35">
        <f t="shared" si="74"/>
        <v>0.2</v>
      </c>
      <c r="L247" s="35">
        <f t="shared" si="62"/>
        <v>0.2</v>
      </c>
      <c r="M247" s="77" cm="1">
        <f t="array" ref="M247">_xlfn.IFS(BOM!I247="RM-PACKING","100%",B247="Reynolds",VLOOKUP(H247,'Yield &amp; Time'!A:V,22,0),BOM!B247="Dnata",VLOOKUP(BOM!H247,'Yield &amp; Time'!A:M,13,0),B247="NK",VLOOKUP(H247,'Yield &amp; Time'!A:X,24,0))</f>
        <v>0.89371428571428579</v>
      </c>
      <c r="N247" s="35">
        <f t="shared" si="81"/>
        <v>0.2237851662404092</v>
      </c>
      <c r="O247" s="1" t="str">
        <f>VLOOKUP(H247,'RM Used'!A:E,5,0)</f>
        <v>KG</v>
      </c>
      <c r="P247" s="11">
        <f>VLOOKUP(H247,'RM Used'!A:F,6,0)</f>
        <v>0.87</v>
      </c>
      <c r="Q247" s="11">
        <f t="shared" si="71"/>
        <v>0.19469309462915602</v>
      </c>
      <c r="R247" s="11">
        <f>IFERROR(IF(B247="Reynolds",VLOOKUP(H247,'Yield &amp; Time'!A:U,21,0),VLOOKUP(H247,'Yield &amp; Time'!A:L,12,0)),0)</f>
        <v>0.5</v>
      </c>
      <c r="S247" s="11">
        <f t="shared" si="63"/>
        <v>3.3849999999999998E-2</v>
      </c>
      <c r="T247" s="11">
        <f t="shared" si="64"/>
        <v>1.6666666666666668E-3</v>
      </c>
      <c r="U247" s="11">
        <f>IF(A246=A247,0,VLOOKUP(A247,'Packing Time'!A:F,6,0))</f>
        <v>0</v>
      </c>
      <c r="V247" s="11">
        <f t="shared" si="75"/>
        <v>0</v>
      </c>
      <c r="W247" s="11">
        <f t="shared" si="76"/>
        <v>0</v>
      </c>
      <c r="X247" s="11">
        <f t="shared" si="65"/>
        <v>3.7235000000000004E-2</v>
      </c>
      <c r="Y247" s="11">
        <f t="shared" si="77"/>
        <v>3.7235000000000004E-2</v>
      </c>
      <c r="Z247" s="37">
        <v>1</v>
      </c>
      <c r="AA247" s="36">
        <f t="shared" si="66"/>
        <v>0.2237851662404092</v>
      </c>
      <c r="AB247" s="36">
        <f t="shared" si="67"/>
        <v>0.19469309462915602</v>
      </c>
      <c r="AC247" s="11">
        <f t="shared" si="68"/>
        <v>1.8333333333333335E-3</v>
      </c>
      <c r="AD247" s="36">
        <f t="shared" si="78"/>
        <v>3.7235000000000004E-2</v>
      </c>
      <c r="AE247" s="36" t="str">
        <f>VLOOKUP(H247,'Yield &amp; Time'!A:R,18,0)</f>
        <v>CHLORINE</v>
      </c>
      <c r="AF247" s="36">
        <f>IFERROR(VLOOKUP(AE247,'Chemical Cost'!A:D,4,0),0)</f>
        <v>2.7756518066439469E-2</v>
      </c>
      <c r="AG247" s="114">
        <f t="shared" si="69"/>
        <v>2.0704990032510261E-3</v>
      </c>
      <c r="AH247" s="36">
        <f t="shared" si="73"/>
        <v>2.0704990032510261E-3</v>
      </c>
      <c r="AI247" s="36">
        <f t="shared" si="79"/>
        <v>0.23399859363240705</v>
      </c>
      <c r="AJ247" s="36">
        <f>IFERROR(VLOOKUP(A247,'All Products'!A:F,6,0),0)</f>
        <v>4.7300000000000004</v>
      </c>
      <c r="AK247" s="36">
        <f t="shared" si="82"/>
        <v>0.94600000000000017</v>
      </c>
      <c r="AL247" s="23">
        <v>1</v>
      </c>
      <c r="AM247" s="23"/>
      <c r="AN247" s="54" t="e">
        <v>#N/A</v>
      </c>
      <c r="AO247" s="47"/>
      <c r="AP247" s="4">
        <v>1.1000000000000001</v>
      </c>
      <c r="AQ247" s="111">
        <f t="shared" si="70"/>
        <v>1.8333333333333335E-3</v>
      </c>
      <c r="AR247">
        <f>_xlfn.XLOOKUP(F247,'RM Cost'!A:A,'RM Cost'!S:S)</f>
        <v>0</v>
      </c>
      <c r="AS247" t="str">
        <f>_xlfn.XLOOKUP(A247,[3]Sheet1!$B:$B,[3]Sheet1!$B:$B)</f>
        <v>1369CS</v>
      </c>
      <c r="AT247">
        <f>_xlfn.XLOOKUP(H247,'Yield &amp; Time'!A:A,'Yield &amp; Time'!F:F)</f>
        <v>0</v>
      </c>
    </row>
    <row r="248" spans="1:46" x14ac:dyDescent="0.25">
      <c r="A248" s="15" t="s">
        <v>91</v>
      </c>
      <c r="B248" s="2" t="s">
        <v>552</v>
      </c>
      <c r="C248" s="2" t="s">
        <v>582</v>
      </c>
      <c r="D248" s="2" t="s">
        <v>554</v>
      </c>
      <c r="E248" s="2">
        <v>1</v>
      </c>
      <c r="F248" s="1" t="str">
        <f>VLOOKUP(H248,'RM Used'!A:B,2,0)</f>
        <v>P0020</v>
      </c>
      <c r="G248" s="1" t="str">
        <f>IFERROR(VLOOKUP(F248,'RM Cost'!A:B,2,0),"")</f>
        <v>PALE BLUE BAG 430X430MM</v>
      </c>
      <c r="H248" s="2" t="s">
        <v>1659</v>
      </c>
      <c r="I248" s="1" t="str">
        <f>VLOOKUP(F248,'RM Used'!B:D,3,0)</f>
        <v>RM-PACKING</v>
      </c>
      <c r="J248" s="66">
        <v>1</v>
      </c>
      <c r="K248" s="35" t="str">
        <f t="shared" si="74"/>
        <v/>
      </c>
      <c r="L248" s="35">
        <f t="shared" si="62"/>
        <v>0</v>
      </c>
      <c r="M248" s="77" t="str" cm="1">
        <f t="array" ref="M248">_xlfn.IFS(BOM!I248="RM-PACKING","100%",B248="Reynolds",VLOOKUP(H248,'Yield &amp; Time'!A:V,22,0),BOM!B248="Dnata",VLOOKUP(BOM!H248,'Yield &amp; Time'!A:M,13,0),B248="NK",VLOOKUP(H248,'Yield &amp; Time'!A:X,24,0))</f>
        <v>100%</v>
      </c>
      <c r="N248" s="35">
        <f t="shared" si="81"/>
        <v>1</v>
      </c>
      <c r="O248" s="1" t="str">
        <f>VLOOKUP(H248,'RM Used'!A:E,5,0)</f>
        <v>Count</v>
      </c>
      <c r="P248" s="11">
        <f>VLOOKUP(H248,'RM Used'!A:F,6,0)</f>
        <v>0.09</v>
      </c>
      <c r="Q248" s="11">
        <f t="shared" si="71"/>
        <v>0.09</v>
      </c>
      <c r="R248" s="11">
        <f>IFERROR(IF(B248="Reynolds",VLOOKUP(H248,'Yield &amp; Time'!A:U,21,0),VLOOKUP(H248,'Yield &amp; Time'!A:L,12,0)),0)</f>
        <v>0</v>
      </c>
      <c r="S248" s="11">
        <f t="shared" si="63"/>
        <v>0</v>
      </c>
      <c r="T248" s="11">
        <f t="shared" si="64"/>
        <v>0</v>
      </c>
      <c r="U248" s="11">
        <f>IF(A247=A248,0,VLOOKUP(A248,'Packing Time'!A:F,6,0))</f>
        <v>0</v>
      </c>
      <c r="V248" s="11">
        <f t="shared" si="75"/>
        <v>0</v>
      </c>
      <c r="W248" s="11">
        <f t="shared" si="76"/>
        <v>0</v>
      </c>
      <c r="X248" s="11">
        <f t="shared" si="65"/>
        <v>0</v>
      </c>
      <c r="Y248" s="11">
        <f t="shared" si="77"/>
        <v>0</v>
      </c>
      <c r="Z248" s="37">
        <v>1</v>
      </c>
      <c r="AA248" s="36">
        <f t="shared" si="66"/>
        <v>1</v>
      </c>
      <c r="AB248" s="36">
        <f t="shared" si="67"/>
        <v>0.09</v>
      </c>
      <c r="AC248" s="11">
        <f t="shared" si="68"/>
        <v>0</v>
      </c>
      <c r="AD248" s="36">
        <f t="shared" si="78"/>
        <v>0</v>
      </c>
      <c r="AE248" s="36"/>
      <c r="AF248" s="36">
        <f>IFERROR(VLOOKUP(AE248,'Chemical Cost'!A:D,4,0),0)</f>
        <v>0</v>
      </c>
      <c r="AG248" s="114">
        <f t="shared" si="69"/>
        <v>0</v>
      </c>
      <c r="AH248" s="36">
        <f t="shared" si="73"/>
        <v>0</v>
      </c>
      <c r="AI248" s="36">
        <f t="shared" si="79"/>
        <v>0.09</v>
      </c>
      <c r="AJ248" s="36">
        <f>IFERROR(VLOOKUP(A248,'All Products'!A:F,6,0),0)</f>
        <v>4.7300000000000004</v>
      </c>
      <c r="AK248" s="36"/>
      <c r="AL248" s="23">
        <v>1</v>
      </c>
      <c r="AM248" s="23"/>
      <c r="AN248" s="54" t="e">
        <v>#N/A</v>
      </c>
      <c r="AO248" s="47"/>
      <c r="AP248" s="4">
        <v>1.1000000000000001</v>
      </c>
      <c r="AQ248" s="111">
        <f t="shared" si="70"/>
        <v>0</v>
      </c>
      <c r="AR248">
        <f>_xlfn.XLOOKUP(F248,'RM Cost'!A:A,'RM Cost'!S:S)</f>
        <v>0</v>
      </c>
      <c r="AS248" t="str">
        <f>_xlfn.XLOOKUP(A248,[3]Sheet1!$B:$B,[3]Sheet1!$B:$B)</f>
        <v>1369CS</v>
      </c>
      <c r="AT248" t="e">
        <f>_xlfn.XLOOKUP(H248,'Yield &amp; Time'!A:A,'Yield &amp; Time'!F:F)</f>
        <v>#N/A</v>
      </c>
    </row>
    <row r="249" spans="1:46" x14ac:dyDescent="0.25">
      <c r="A249" s="1" t="s">
        <v>103</v>
      </c>
      <c r="B249" s="2" t="s">
        <v>552</v>
      </c>
      <c r="C249" s="2" t="s">
        <v>583</v>
      </c>
      <c r="D249" s="2" t="s">
        <v>554</v>
      </c>
      <c r="E249" s="2">
        <v>1</v>
      </c>
      <c r="F249" s="1" t="str">
        <f>VLOOKUP(H249,'RM Used'!A:B,2,0)</f>
        <v>206ACS</v>
      </c>
      <c r="G249" s="1" t="str">
        <f>IFERROR(VLOOKUP(F249,'RM Cost'!A:B,2,0),"")</f>
        <v>RM - PREP ONION WHOLE 10KG</v>
      </c>
      <c r="H249" s="2" t="s">
        <v>1435</v>
      </c>
      <c r="I249" s="1" t="str">
        <f>VLOOKUP(F249,'RM Used'!B:D,3,0)</f>
        <v>RM-FOOD</v>
      </c>
      <c r="J249" s="66">
        <v>1</v>
      </c>
      <c r="K249" s="35">
        <f t="shared" si="74"/>
        <v>1</v>
      </c>
      <c r="L249" s="35">
        <f t="shared" si="62"/>
        <v>1</v>
      </c>
      <c r="M249" s="77" cm="1">
        <f t="array" ref="M249">_xlfn.IFS(BOM!I249="RM-PACKING","100%",B249="Reynolds",VLOOKUP(H249,'Yield &amp; Time'!A:V,22,0),BOM!B249="Dnata",VLOOKUP(BOM!H249,'Yield &amp; Time'!A:M,13,0),B249="NK",VLOOKUP(H249,'Yield &amp; Time'!A:X,24,0))</f>
        <v>0.82139712728001835</v>
      </c>
      <c r="N249" s="35">
        <f t="shared" si="81"/>
        <v>1.2174379076676451</v>
      </c>
      <c r="O249" s="1" t="str">
        <f>VLOOKUP(H249,'RM Used'!A:E,5,0)</f>
        <v>KG</v>
      </c>
      <c r="P249" s="11">
        <f>VLOOKUP(H249,'RM Used'!A:F,6,0)</f>
        <v>0.87</v>
      </c>
      <c r="Q249" s="11">
        <f t="shared" si="71"/>
        <v>1.0591709796708513</v>
      </c>
      <c r="R249" s="11">
        <f>IFERROR(IF(B249="Reynolds",VLOOKUP(H249,'Yield &amp; Time'!A:U,21,0),VLOOKUP(H249,'Yield &amp; Time'!A:L,12,0)),0)</f>
        <v>0.65</v>
      </c>
      <c r="S249" s="11">
        <f t="shared" si="63"/>
        <v>0.220025</v>
      </c>
      <c r="T249" s="11">
        <f t="shared" si="64"/>
        <v>1.0833333333333334E-2</v>
      </c>
      <c r="U249" s="11">
        <f>IF(A248=A249,0,VLOOKUP(A249,'Packing Time'!A:F,6,0))</f>
        <v>0.64500000000000002</v>
      </c>
      <c r="V249" s="11">
        <f t="shared" si="75"/>
        <v>0.21833249999999998</v>
      </c>
      <c r="W249" s="11">
        <f t="shared" si="76"/>
        <v>1.0750000000000001E-2</v>
      </c>
      <c r="X249" s="11">
        <f t="shared" si="65"/>
        <v>0.54794687499999994</v>
      </c>
      <c r="Y249" s="11">
        <f t="shared" si="77"/>
        <v>0.54794687499999994</v>
      </c>
      <c r="Z249" s="37">
        <v>1</v>
      </c>
      <c r="AA249" s="36">
        <f t="shared" si="66"/>
        <v>1.2174379076676451</v>
      </c>
      <c r="AB249" s="36">
        <f t="shared" si="67"/>
        <v>1.0591709796708513</v>
      </c>
      <c r="AC249" s="11">
        <f t="shared" si="68"/>
        <v>2.6979166666666665E-2</v>
      </c>
      <c r="AD249" s="36">
        <f t="shared" si="78"/>
        <v>0.54794687499999994</v>
      </c>
      <c r="AE249" s="36" t="str">
        <f>VLOOKUP(H249,'Yield &amp; Time'!A:R,18,0)</f>
        <v>CHLORINE</v>
      </c>
      <c r="AF249" s="36">
        <f>IFERROR(VLOOKUP(AE249,'Chemical Cost'!A:D,4,0),0)</f>
        <v>2.7756518066439469E-2</v>
      </c>
      <c r="AG249" s="114">
        <f t="shared" si="69"/>
        <v>1.126394575964842E-2</v>
      </c>
      <c r="AH249" s="36">
        <f t="shared" si="73"/>
        <v>1.126394575964842E-2</v>
      </c>
      <c r="AI249" s="36">
        <f t="shared" si="79"/>
        <v>1.6183818004304995</v>
      </c>
      <c r="AJ249" s="36">
        <f>IFERROR(VLOOKUP(A249,'All Products'!A:F,6,0),0)</f>
        <v>3.59</v>
      </c>
      <c r="AK249" s="36">
        <f>AJ249*Z249*J249</f>
        <v>3.59</v>
      </c>
      <c r="AL249" s="23">
        <v>0.8</v>
      </c>
      <c r="AM249" s="23">
        <v>0.2</v>
      </c>
      <c r="AN249" s="54" t="e">
        <v>#N/A</v>
      </c>
      <c r="AO249" s="47"/>
      <c r="AP249" s="4">
        <v>1.25</v>
      </c>
      <c r="AQ249" s="111">
        <f t="shared" si="70"/>
        <v>2.6979166666666665E-2</v>
      </c>
      <c r="AR249">
        <f>_xlfn.XLOOKUP(F249,'RM Cost'!A:A,'RM Cost'!S:S)</f>
        <v>0</v>
      </c>
      <c r="AS249" t="str">
        <f>_xlfn.XLOOKUP(A249,[3]Sheet1!$B:$B,[3]Sheet1!$B:$B)</f>
        <v>1311CS</v>
      </c>
      <c r="AT249" t="str">
        <f>_xlfn.XLOOKUP(H249,'Yield &amp; Time'!A:A,'Yield &amp; Time'!O:O)</f>
        <v>Yes</v>
      </c>
    </row>
    <row r="250" spans="1:46" x14ac:dyDescent="0.25">
      <c r="A250" s="1" t="s">
        <v>103</v>
      </c>
      <c r="B250" s="2" t="s">
        <v>552</v>
      </c>
      <c r="C250" s="2" t="s">
        <v>583</v>
      </c>
      <c r="D250" s="2" t="s">
        <v>554</v>
      </c>
      <c r="E250" s="2">
        <v>1</v>
      </c>
      <c r="F250" s="1" t="str">
        <f>VLOOKUP(H250,'RM Used'!A:B,2,0)</f>
        <v>P0020</v>
      </c>
      <c r="G250" s="1" t="str">
        <f>IFERROR(VLOOKUP(F250,'RM Cost'!A:B,2,0),"")</f>
        <v>PALE BLUE BAG 430X430MM</v>
      </c>
      <c r="H250" s="2" t="s">
        <v>1659</v>
      </c>
      <c r="I250" s="1" t="str">
        <f>VLOOKUP(F250,'RM Used'!B:D,3,0)</f>
        <v>RM-PACKING</v>
      </c>
      <c r="J250" s="66">
        <v>1</v>
      </c>
      <c r="K250" s="35" t="str">
        <f t="shared" si="74"/>
        <v/>
      </c>
      <c r="L250" s="35">
        <f t="shared" si="62"/>
        <v>0</v>
      </c>
      <c r="M250" s="77" t="str" cm="1">
        <f t="array" ref="M250">_xlfn.IFS(BOM!I250="RM-PACKING","100%",B250="Reynolds",VLOOKUP(H250,'Yield &amp; Time'!A:V,22,0),BOM!B250="Dnata",VLOOKUP(BOM!H250,'Yield &amp; Time'!A:M,13,0),B250="NK",VLOOKUP(H250,'Yield &amp; Time'!A:X,24,0))</f>
        <v>100%</v>
      </c>
      <c r="N250" s="35">
        <f t="shared" si="81"/>
        <v>1</v>
      </c>
      <c r="O250" s="1" t="str">
        <f>VLOOKUP(H250,'RM Used'!A:E,5,0)</f>
        <v>Count</v>
      </c>
      <c r="P250" s="11">
        <f>VLOOKUP(H250,'RM Used'!A:F,6,0)</f>
        <v>0.09</v>
      </c>
      <c r="Q250" s="11">
        <f t="shared" si="71"/>
        <v>0.09</v>
      </c>
      <c r="R250" s="11">
        <f>IFERROR(IF(B250="Reynolds",VLOOKUP(H250,'Yield &amp; Time'!A:U,21,0),VLOOKUP(H250,'Yield &amp; Time'!A:L,12,0)),0)</f>
        <v>0</v>
      </c>
      <c r="S250" s="11">
        <f t="shared" si="63"/>
        <v>0</v>
      </c>
      <c r="T250" s="11">
        <f t="shared" si="64"/>
        <v>0</v>
      </c>
      <c r="U250" s="11">
        <f>IF(A249=A250,0,VLOOKUP(A250,'Packing Time'!A:F,6,0))</f>
        <v>0</v>
      </c>
      <c r="V250" s="11">
        <f t="shared" si="75"/>
        <v>0</v>
      </c>
      <c r="W250" s="11">
        <f t="shared" si="76"/>
        <v>0</v>
      </c>
      <c r="X250" s="11">
        <f t="shared" si="65"/>
        <v>0</v>
      </c>
      <c r="Y250" s="11">
        <f t="shared" si="77"/>
        <v>0</v>
      </c>
      <c r="Z250" s="37">
        <v>1</v>
      </c>
      <c r="AA250" s="36">
        <f t="shared" si="66"/>
        <v>1</v>
      </c>
      <c r="AB250" s="36">
        <f t="shared" si="67"/>
        <v>0.09</v>
      </c>
      <c r="AC250" s="11">
        <f t="shared" si="68"/>
        <v>0</v>
      </c>
      <c r="AD250" s="36">
        <f t="shared" si="78"/>
        <v>0</v>
      </c>
      <c r="AE250" s="36"/>
      <c r="AF250" s="36">
        <f>IFERROR(VLOOKUP(AE250,'Chemical Cost'!A:D,4,0),0)</f>
        <v>0</v>
      </c>
      <c r="AG250" s="114">
        <f t="shared" si="69"/>
        <v>0</v>
      </c>
      <c r="AH250" s="36">
        <f t="shared" si="73"/>
        <v>0</v>
      </c>
      <c r="AI250" s="36">
        <f t="shared" si="79"/>
        <v>0.09</v>
      </c>
      <c r="AJ250" s="36">
        <f>IFERROR(VLOOKUP(A250,'All Products'!A:F,6,0),0)</f>
        <v>3.59</v>
      </c>
      <c r="AK250" s="36"/>
      <c r="AL250" s="23">
        <v>0.8</v>
      </c>
      <c r="AM250" s="23">
        <v>0.2</v>
      </c>
      <c r="AN250" s="54" t="e">
        <v>#N/A</v>
      </c>
      <c r="AO250" s="47"/>
      <c r="AP250" s="4">
        <v>1.25</v>
      </c>
      <c r="AQ250" s="111">
        <f t="shared" si="70"/>
        <v>0</v>
      </c>
      <c r="AR250">
        <f>_xlfn.XLOOKUP(F250,'RM Cost'!A:A,'RM Cost'!S:S)</f>
        <v>0</v>
      </c>
      <c r="AS250" t="str">
        <f>_xlfn.XLOOKUP(A250,[3]Sheet1!$B:$B,[3]Sheet1!$B:$B)</f>
        <v>1311CS</v>
      </c>
      <c r="AT250" t="e">
        <f>_xlfn.XLOOKUP(H250,'Yield &amp; Time'!A:A,'Yield &amp; Time'!F:F)</f>
        <v>#N/A</v>
      </c>
    </row>
    <row r="251" spans="1:46" x14ac:dyDescent="0.25">
      <c r="A251" s="1" t="s">
        <v>103</v>
      </c>
      <c r="B251" s="2" t="s">
        <v>552</v>
      </c>
      <c r="C251" s="2" t="s">
        <v>583</v>
      </c>
      <c r="D251" s="2" t="s">
        <v>554</v>
      </c>
      <c r="E251" s="2">
        <v>1</v>
      </c>
      <c r="F251" s="1" t="str">
        <f>VLOOKUP(H251,'RM Used'!A:B,2,0)</f>
        <v>P0016</v>
      </c>
      <c r="G251" s="1" t="str">
        <f>IFERROR(VLOOKUP(F251,'RM Cost'!A:B,2,0),"")</f>
        <v>REY 40 30 BOX</v>
      </c>
      <c r="H251" s="2" t="s">
        <v>1332</v>
      </c>
      <c r="I251" s="1" t="str">
        <f>VLOOKUP(F251,'RM Used'!B:D,3,0)</f>
        <v>RM-PACKING</v>
      </c>
      <c r="J251" s="66">
        <v>1</v>
      </c>
      <c r="K251" s="35" t="str">
        <f t="shared" si="74"/>
        <v/>
      </c>
      <c r="L251" s="35">
        <f t="shared" si="62"/>
        <v>0</v>
      </c>
      <c r="M251" s="77" t="str" cm="1">
        <f t="array" ref="M251">_xlfn.IFS(BOM!I251="RM-PACKING","100%",B251="Reynolds",VLOOKUP(H251,'Yield &amp; Time'!A:V,22,0),BOM!B251="Dnata",VLOOKUP(BOM!H251,'Yield &amp; Time'!A:M,13,0),B251="NK",VLOOKUP(H251,'Yield &amp; Time'!A:X,24,0))</f>
        <v>100%</v>
      </c>
      <c r="N251" s="35">
        <f t="shared" si="81"/>
        <v>1</v>
      </c>
      <c r="O251" s="1" t="str">
        <f>VLOOKUP(H251,'RM Used'!A:E,5,0)</f>
        <v>Count</v>
      </c>
      <c r="P251" s="11">
        <f>VLOOKUP(H251,'RM Used'!A:F,6,0)</f>
        <v>0.28000000000000003</v>
      </c>
      <c r="Q251" s="11">
        <f t="shared" si="71"/>
        <v>0.28000000000000003</v>
      </c>
      <c r="R251" s="11">
        <f>IFERROR(IF(B251="Reynolds",VLOOKUP(H251,'Yield &amp; Time'!A:U,21,0),VLOOKUP(H251,'Yield &amp; Time'!A:L,12,0)),0)</f>
        <v>0</v>
      </c>
      <c r="S251" s="11">
        <f t="shared" si="63"/>
        <v>0</v>
      </c>
      <c r="T251" s="11">
        <f t="shared" si="64"/>
        <v>0</v>
      </c>
      <c r="U251" s="11">
        <f>IF(A250=A251,0,VLOOKUP(A251,'Packing Time'!A:F,6,0))</f>
        <v>0</v>
      </c>
      <c r="V251" s="11">
        <f t="shared" si="75"/>
        <v>0</v>
      </c>
      <c r="W251" s="11">
        <f t="shared" si="76"/>
        <v>0</v>
      </c>
      <c r="X251" s="11">
        <f t="shared" si="65"/>
        <v>0</v>
      </c>
      <c r="Y251" s="11">
        <f t="shared" si="77"/>
        <v>0</v>
      </c>
      <c r="Z251" s="37">
        <v>1</v>
      </c>
      <c r="AA251" s="36">
        <f t="shared" si="66"/>
        <v>1</v>
      </c>
      <c r="AB251" s="36">
        <f t="shared" si="67"/>
        <v>0.28000000000000003</v>
      </c>
      <c r="AC251" s="11">
        <f t="shared" si="68"/>
        <v>0</v>
      </c>
      <c r="AD251" s="36">
        <f t="shared" si="78"/>
        <v>0</v>
      </c>
      <c r="AE251" s="36"/>
      <c r="AF251" s="36">
        <f>IFERROR(VLOOKUP(AE251,'Chemical Cost'!A:D,4,0),0)</f>
        <v>0</v>
      </c>
      <c r="AG251" s="114">
        <f t="shared" si="69"/>
        <v>0</v>
      </c>
      <c r="AH251" s="36">
        <f t="shared" si="73"/>
        <v>0</v>
      </c>
      <c r="AI251" s="36">
        <f t="shared" si="79"/>
        <v>0.28000000000000003</v>
      </c>
      <c r="AJ251" s="36">
        <f>IFERROR(VLOOKUP(A251,'All Products'!A:F,6,0),0)</f>
        <v>3.59</v>
      </c>
      <c r="AK251" s="36"/>
      <c r="AL251" s="23">
        <v>0.8</v>
      </c>
      <c r="AM251" s="23">
        <v>0.2</v>
      </c>
      <c r="AN251" s="54" t="e">
        <v>#N/A</v>
      </c>
      <c r="AO251" s="47"/>
      <c r="AP251" s="4">
        <v>1.25</v>
      </c>
      <c r="AQ251" s="111">
        <f t="shared" si="70"/>
        <v>0</v>
      </c>
      <c r="AR251">
        <f>_xlfn.XLOOKUP(F251,'RM Cost'!A:A,'RM Cost'!S:S)</f>
        <v>0</v>
      </c>
      <c r="AS251" t="str">
        <f>_xlfn.XLOOKUP(A251,[3]Sheet1!$B:$B,[3]Sheet1!$B:$B)</f>
        <v>1311CS</v>
      </c>
      <c r="AT251" t="e">
        <f>_xlfn.XLOOKUP(H251,'Yield &amp; Time'!A:A,'Yield &amp; Time'!F:F)</f>
        <v>#N/A</v>
      </c>
    </row>
    <row r="252" spans="1:46" x14ac:dyDescent="0.25">
      <c r="A252" s="1" t="s">
        <v>128</v>
      </c>
      <c r="B252" s="2" t="s">
        <v>552</v>
      </c>
      <c r="C252" s="2" t="s">
        <v>584</v>
      </c>
      <c r="D252" s="2" t="s">
        <v>554</v>
      </c>
      <c r="E252" s="2">
        <v>2.5</v>
      </c>
      <c r="F252" s="1" t="str">
        <f>VLOOKUP(H252,'RM Used'!A:B,2,0)</f>
        <v>S3997CS</v>
      </c>
      <c r="G252" s="1" t="str">
        <f>IFERROR(VLOOKUP(F252,'RM Cost'!A:B,2,0),"")</f>
        <v>RM - DECORE WHITE CABBAGE 1/3 1200KG</v>
      </c>
      <c r="H252" s="2" t="s">
        <v>1350</v>
      </c>
      <c r="I252" s="1" t="str">
        <f>VLOOKUP(F252,'RM Used'!B:D,3,0)</f>
        <v>RM-FOOD</v>
      </c>
      <c r="J252" s="66">
        <v>1</v>
      </c>
      <c r="K252" s="35">
        <f t="shared" si="74"/>
        <v>2.5</v>
      </c>
      <c r="L252" s="35">
        <f t="shared" si="62"/>
        <v>2.5</v>
      </c>
      <c r="M252" s="77" cm="1">
        <f t="array" ref="M252">_xlfn.IFS(BOM!I252="RM-PACKING","100%",B252="Reynolds",VLOOKUP(H252,'Yield &amp; Time'!A:V,22,0),BOM!B252="Dnata",VLOOKUP(BOM!H252,'Yield &amp; Time'!A:M,13,0),B252="NK",VLOOKUP(H252,'Yield &amp; Time'!A:X,24,0))</f>
        <v>0.77222322232223217</v>
      </c>
      <c r="N252" s="35">
        <f t="shared" si="81"/>
        <v>3.2374058791990117</v>
      </c>
      <c r="O252" s="1" t="str">
        <f>VLOOKUP(H252,'RM Used'!A:E,5,0)</f>
        <v>KG</v>
      </c>
      <c r="P252" s="11">
        <v>0.45</v>
      </c>
      <c r="Q252" s="11">
        <f t="shared" si="71"/>
        <v>1.4568326456395553</v>
      </c>
      <c r="R252" s="11">
        <f>IFERROR(IF(B252="Reynolds",VLOOKUP(H252,'Yield &amp; Time'!A:U,21,0),VLOOKUP(H252,'Yield &amp; Time'!A:L,12,0)),0)</f>
        <v>0.82773480662983423</v>
      </c>
      <c r="S252" s="11">
        <f t="shared" si="63"/>
        <v>0.70047058011049723</v>
      </c>
      <c r="T252" s="11">
        <f t="shared" si="64"/>
        <v>3.4488950276243095E-2</v>
      </c>
      <c r="U252" s="11">
        <f>IF(A251=A252,0,VLOOKUP(A252,'Packing Time'!A:F,6,0))</f>
        <v>0.875</v>
      </c>
      <c r="V252" s="11">
        <f t="shared" si="75"/>
        <v>0.29618749999999999</v>
      </c>
      <c r="W252" s="11">
        <f t="shared" si="76"/>
        <v>1.4583333333333334E-2</v>
      </c>
      <c r="X252" s="11">
        <f t="shared" si="65"/>
        <v>1.0963238881215469</v>
      </c>
      <c r="Y252" s="11">
        <f t="shared" si="77"/>
        <v>1.0963238881215469</v>
      </c>
      <c r="Z252" s="37">
        <v>1</v>
      </c>
      <c r="AA252" s="36">
        <f t="shared" si="66"/>
        <v>3.2374058791990117</v>
      </c>
      <c r="AB252" s="36">
        <f t="shared" si="67"/>
        <v>1.4568326456395553</v>
      </c>
      <c r="AC252" s="11">
        <f t="shared" si="68"/>
        <v>5.3979511970534071E-2</v>
      </c>
      <c r="AD252" s="36">
        <f t="shared" si="78"/>
        <v>1.0963238881215469</v>
      </c>
      <c r="AE252" s="36" t="str">
        <f>VLOOKUP(H252,'Yield &amp; Time'!A:R,18,0)</f>
        <v>CHLORINE</v>
      </c>
      <c r="AF252" s="36">
        <f>IFERROR(VLOOKUP(AE252,'Chemical Cost'!A:D,4,0),0)</f>
        <v>2.7756518066439469E-2</v>
      </c>
      <c r="AG252" s="114">
        <f t="shared" si="69"/>
        <v>2.9953038258128242E-2</v>
      </c>
      <c r="AH252" s="36">
        <f t="shared" si="73"/>
        <v>2.9953038258128242E-2</v>
      </c>
      <c r="AI252" s="36">
        <f t="shared" si="79"/>
        <v>2.5831095720192305</v>
      </c>
      <c r="AJ252" s="36">
        <f>IFERROR(VLOOKUP(A252,'All Products'!A:F,6,0),0)</f>
        <v>3.53</v>
      </c>
      <c r="AK252" s="36">
        <f>AJ252*Z252*J252</f>
        <v>3.53</v>
      </c>
      <c r="AL252" s="23">
        <v>0.8</v>
      </c>
      <c r="AM252" s="23">
        <v>0.2</v>
      </c>
      <c r="AN252" s="54" t="e">
        <v>#N/A</v>
      </c>
      <c r="AO252" s="47"/>
      <c r="AP252" s="4">
        <v>1.1000000000000001</v>
      </c>
      <c r="AQ252" s="111">
        <f t="shared" si="70"/>
        <v>5.3979511970534071E-2</v>
      </c>
      <c r="AR252">
        <f>_xlfn.XLOOKUP(F252,'RM Cost'!A:A,'RM Cost'!S:S)</f>
        <v>0.29914853989077506</v>
      </c>
      <c r="AS252" t="str">
        <f>_xlfn.XLOOKUP(A252,[3]Sheet1!$B:$B,[3]Sheet1!$B:$B)</f>
        <v>1193CS</v>
      </c>
      <c r="AT252" t="str">
        <f>_xlfn.XLOOKUP(H252,'Yield &amp; Time'!A:A,'Yield &amp; Time'!O:O)</f>
        <v>Yes</v>
      </c>
    </row>
    <row r="253" spans="1:46" x14ac:dyDescent="0.25">
      <c r="A253" s="1" t="s">
        <v>128</v>
      </c>
      <c r="B253" s="2" t="s">
        <v>552</v>
      </c>
      <c r="C253" s="2" t="s">
        <v>584</v>
      </c>
      <c r="D253" s="2" t="s">
        <v>554</v>
      </c>
      <c r="E253" s="2">
        <v>2.5</v>
      </c>
      <c r="F253" s="1" t="str">
        <f>VLOOKUP(H253,'RM Used'!A:B,2,0)</f>
        <v>P0020</v>
      </c>
      <c r="G253" s="1" t="str">
        <f>IFERROR(VLOOKUP(F253,'RM Cost'!A:B,2,0),"")</f>
        <v>PALE BLUE BAG 430X430MM</v>
      </c>
      <c r="H253" s="2" t="s">
        <v>1659</v>
      </c>
      <c r="I253" s="1" t="str">
        <f>VLOOKUP(F253,'RM Used'!B:D,3,0)</f>
        <v>RM-PACKING</v>
      </c>
      <c r="J253" s="66">
        <v>1</v>
      </c>
      <c r="K253" s="35" t="str">
        <f t="shared" si="74"/>
        <v/>
      </c>
      <c r="L253" s="35">
        <f t="shared" si="62"/>
        <v>0</v>
      </c>
      <c r="M253" s="77" t="str" cm="1">
        <f t="array" ref="M253">_xlfn.IFS(BOM!I253="RM-PACKING","100%",B253="Reynolds",VLOOKUP(H253,'Yield &amp; Time'!A:V,22,0),BOM!B253="Dnata",VLOOKUP(BOM!H253,'Yield &amp; Time'!A:M,13,0),B253="NK",VLOOKUP(H253,'Yield &amp; Time'!A:X,24,0))</f>
        <v>100%</v>
      </c>
      <c r="N253" s="35">
        <f t="shared" si="81"/>
        <v>1</v>
      </c>
      <c r="O253" s="1" t="str">
        <f>VLOOKUP(H253,'RM Used'!A:E,5,0)</f>
        <v>Count</v>
      </c>
      <c r="P253" s="11">
        <f>VLOOKUP(H253,'RM Used'!A:F,6,0)</f>
        <v>0.09</v>
      </c>
      <c r="Q253" s="11">
        <f t="shared" si="71"/>
        <v>0.09</v>
      </c>
      <c r="R253" s="11">
        <f>IFERROR(IF(B253="Reynolds",VLOOKUP(H253,'Yield &amp; Time'!A:U,21,0),VLOOKUP(H253,'Yield &amp; Time'!A:L,12,0)),0)</f>
        <v>0</v>
      </c>
      <c r="S253" s="11">
        <f t="shared" si="63"/>
        <v>0</v>
      </c>
      <c r="T253" s="11">
        <f t="shared" si="64"/>
        <v>0</v>
      </c>
      <c r="U253" s="11">
        <f>IF(A252=A253,0,VLOOKUP(A253,'Packing Time'!A:F,6,0))</f>
        <v>0</v>
      </c>
      <c r="V253" s="11">
        <f t="shared" si="75"/>
        <v>0</v>
      </c>
      <c r="W253" s="11">
        <f t="shared" si="76"/>
        <v>0</v>
      </c>
      <c r="X253" s="11">
        <f t="shared" si="65"/>
        <v>0</v>
      </c>
      <c r="Y253" s="11">
        <f t="shared" si="77"/>
        <v>0</v>
      </c>
      <c r="Z253" s="37">
        <v>1</v>
      </c>
      <c r="AA253" s="36">
        <f t="shared" si="66"/>
        <v>1</v>
      </c>
      <c r="AB253" s="36">
        <f t="shared" si="67"/>
        <v>0.09</v>
      </c>
      <c r="AC253" s="11">
        <f t="shared" si="68"/>
        <v>0</v>
      </c>
      <c r="AD253" s="36">
        <f t="shared" si="78"/>
        <v>0</v>
      </c>
      <c r="AE253" s="36"/>
      <c r="AF253" s="36">
        <f>IFERROR(VLOOKUP(AE253,'Chemical Cost'!A:D,4,0),0)</f>
        <v>0</v>
      </c>
      <c r="AG253" s="114">
        <f t="shared" si="69"/>
        <v>0</v>
      </c>
      <c r="AH253" s="36">
        <f t="shared" si="73"/>
        <v>0</v>
      </c>
      <c r="AI253" s="36">
        <f t="shared" si="79"/>
        <v>0.09</v>
      </c>
      <c r="AJ253" s="36">
        <f>IFERROR(VLOOKUP(A253,'All Products'!A:F,6,0),0)</f>
        <v>3.53</v>
      </c>
      <c r="AK253" s="36"/>
      <c r="AL253" s="23">
        <v>0.8</v>
      </c>
      <c r="AM253" s="23">
        <v>0.2</v>
      </c>
      <c r="AN253" s="54" t="e">
        <v>#N/A</v>
      </c>
      <c r="AO253" s="47"/>
      <c r="AP253" s="4">
        <v>1.1000000000000001</v>
      </c>
      <c r="AQ253" s="111">
        <f t="shared" si="70"/>
        <v>0</v>
      </c>
      <c r="AR253">
        <f>_xlfn.XLOOKUP(F253,'RM Cost'!A:A,'RM Cost'!S:S)</f>
        <v>0</v>
      </c>
      <c r="AS253" t="str">
        <f>_xlfn.XLOOKUP(A253,[3]Sheet1!$B:$B,[3]Sheet1!$B:$B)</f>
        <v>1193CS</v>
      </c>
      <c r="AT253" t="e">
        <f>_xlfn.XLOOKUP(H253,'Yield &amp; Time'!A:A,'Yield &amp; Time'!F:F)</f>
        <v>#N/A</v>
      </c>
    </row>
    <row r="254" spans="1:46" x14ac:dyDescent="0.25">
      <c r="A254" s="1" t="s">
        <v>128</v>
      </c>
      <c r="B254" s="2" t="s">
        <v>552</v>
      </c>
      <c r="C254" s="2" t="s">
        <v>584</v>
      </c>
      <c r="D254" s="2" t="s">
        <v>554</v>
      </c>
      <c r="E254" s="2">
        <v>2.5</v>
      </c>
      <c r="F254" s="1" t="str">
        <f>VLOOKUP(H254,'RM Used'!A:B,2,0)</f>
        <v>P0016</v>
      </c>
      <c r="G254" s="1" t="str">
        <f>IFERROR(VLOOKUP(F254,'RM Cost'!A:B,2,0),"")</f>
        <v>REY 40 30 BOX</v>
      </c>
      <c r="H254" s="2" t="s">
        <v>1332</v>
      </c>
      <c r="I254" s="1" t="str">
        <f>VLOOKUP(F254,'RM Used'!B:D,3,0)</f>
        <v>RM-PACKING</v>
      </c>
      <c r="J254" s="66">
        <v>1</v>
      </c>
      <c r="K254" s="35" t="str">
        <f t="shared" si="74"/>
        <v/>
      </c>
      <c r="L254" s="35">
        <f t="shared" si="62"/>
        <v>0</v>
      </c>
      <c r="M254" s="77" t="str" cm="1">
        <f t="array" ref="M254">_xlfn.IFS(BOM!I254="RM-PACKING","100%",B254="Reynolds",VLOOKUP(H254,'Yield &amp; Time'!A:V,22,0),BOM!B254="Dnata",VLOOKUP(BOM!H254,'Yield &amp; Time'!A:M,13,0),B254="NK",VLOOKUP(H254,'Yield &amp; Time'!A:X,24,0))</f>
        <v>100%</v>
      </c>
      <c r="N254" s="35">
        <f t="shared" si="81"/>
        <v>1</v>
      </c>
      <c r="O254" s="1" t="str">
        <f>VLOOKUP(H254,'RM Used'!A:E,5,0)</f>
        <v>Count</v>
      </c>
      <c r="P254" s="11">
        <f>VLOOKUP(H254,'RM Used'!A:F,6,0)</f>
        <v>0.28000000000000003</v>
      </c>
      <c r="Q254" s="11">
        <f t="shared" si="71"/>
        <v>0.28000000000000003</v>
      </c>
      <c r="R254" s="11">
        <f>IFERROR(IF(B254="Reynolds",VLOOKUP(H254,'Yield &amp; Time'!A:U,21,0),VLOOKUP(H254,'Yield &amp; Time'!A:L,12,0)),0)</f>
        <v>0</v>
      </c>
      <c r="S254" s="11">
        <f t="shared" si="63"/>
        <v>0</v>
      </c>
      <c r="T254" s="11">
        <f t="shared" si="64"/>
        <v>0</v>
      </c>
      <c r="U254" s="11">
        <f>IF(A253=A254,0,VLOOKUP(A254,'Packing Time'!A:F,6,0))</f>
        <v>0</v>
      </c>
      <c r="V254" s="11">
        <f t="shared" si="75"/>
        <v>0</v>
      </c>
      <c r="W254" s="11">
        <f t="shared" si="76"/>
        <v>0</v>
      </c>
      <c r="X254" s="11">
        <f t="shared" si="65"/>
        <v>0</v>
      </c>
      <c r="Y254" s="11">
        <f t="shared" si="77"/>
        <v>0</v>
      </c>
      <c r="Z254" s="37">
        <v>1</v>
      </c>
      <c r="AA254" s="36">
        <f t="shared" si="66"/>
        <v>1</v>
      </c>
      <c r="AB254" s="36">
        <f t="shared" si="67"/>
        <v>0.28000000000000003</v>
      </c>
      <c r="AC254" s="11">
        <f t="shared" si="68"/>
        <v>0</v>
      </c>
      <c r="AD254" s="36">
        <f t="shared" si="78"/>
        <v>0</v>
      </c>
      <c r="AE254" s="36"/>
      <c r="AF254" s="36">
        <f>IFERROR(VLOOKUP(AE254,'Chemical Cost'!A:D,4,0),0)</f>
        <v>0</v>
      </c>
      <c r="AG254" s="114">
        <f t="shared" si="69"/>
        <v>0</v>
      </c>
      <c r="AH254" s="36">
        <f t="shared" si="73"/>
        <v>0</v>
      </c>
      <c r="AI254" s="36">
        <f t="shared" si="79"/>
        <v>0.28000000000000003</v>
      </c>
      <c r="AJ254" s="36">
        <f>IFERROR(VLOOKUP(A254,'All Products'!A:F,6,0),0)</f>
        <v>3.53</v>
      </c>
      <c r="AK254" s="36"/>
      <c r="AL254" s="23">
        <v>0.8</v>
      </c>
      <c r="AM254" s="23">
        <v>0.2</v>
      </c>
      <c r="AN254" s="54" t="e">
        <v>#N/A</v>
      </c>
      <c r="AO254" s="47"/>
      <c r="AP254" s="4">
        <v>1.1000000000000001</v>
      </c>
      <c r="AQ254" s="111">
        <f t="shared" si="70"/>
        <v>0</v>
      </c>
      <c r="AR254">
        <f>_xlfn.XLOOKUP(F254,'RM Cost'!A:A,'RM Cost'!S:S)</f>
        <v>0</v>
      </c>
      <c r="AS254" t="str">
        <f>_xlfn.XLOOKUP(A254,[3]Sheet1!$B:$B,[3]Sheet1!$B:$B)</f>
        <v>1193CS</v>
      </c>
      <c r="AT254" t="e">
        <f>_xlfn.XLOOKUP(H254,'Yield &amp; Time'!A:A,'Yield &amp; Time'!F:F)</f>
        <v>#N/A</v>
      </c>
    </row>
    <row r="255" spans="1:46" x14ac:dyDescent="0.25">
      <c r="A255" s="1" t="s">
        <v>226</v>
      </c>
      <c r="B255" s="2" t="s">
        <v>552</v>
      </c>
      <c r="C255" s="2" t="s">
        <v>585</v>
      </c>
      <c r="D255" s="2" t="s">
        <v>554</v>
      </c>
      <c r="E255" s="2">
        <v>5</v>
      </c>
      <c r="F255" s="1" t="str">
        <f>VLOOKUP(H255,'RM Used'!A:B,2,0)</f>
        <v>3210CS</v>
      </c>
      <c r="G255" s="1" t="str">
        <f>IFERROR(VLOOKUP(F255,'RM Cost'!A:B,2,0),"")</f>
        <v>RM - POTATOES WARE 25KG</v>
      </c>
      <c r="H255" s="2" t="s">
        <v>1449</v>
      </c>
      <c r="I255" s="1" t="str">
        <f>VLOOKUP(F255,'RM Used'!B:D,3,0)</f>
        <v>RM-FOOD</v>
      </c>
      <c r="J255" s="66">
        <v>1</v>
      </c>
      <c r="K255" s="35">
        <f t="shared" si="74"/>
        <v>5</v>
      </c>
      <c r="L255" s="35">
        <f t="shared" si="62"/>
        <v>5</v>
      </c>
      <c r="M255" s="77" cm="1">
        <f t="array" ref="M255">_xlfn.IFS(BOM!I255="RM-PACKING","100%",B255="Reynolds",VLOOKUP(H255,'Yield &amp; Time'!A:V,22,0),BOM!B255="Dnata",VLOOKUP(BOM!H255,'Yield &amp; Time'!A:M,13,0),B255="NK",VLOOKUP(H255,'Yield &amp; Time'!A:X,24,0))</f>
        <v>0.64133884297520671</v>
      </c>
      <c r="N255" s="35">
        <f t="shared" si="81"/>
        <v>7.79619081982423</v>
      </c>
      <c r="O255" s="1" t="str">
        <f>VLOOKUP(H255,'RM Used'!A:E,5,0)</f>
        <v>KG</v>
      </c>
      <c r="P255" s="11">
        <f>VLOOKUP(H255,'RM Used'!A:F,6,0)</f>
        <v>0.27</v>
      </c>
      <c r="Q255" s="11">
        <f t="shared" si="71"/>
        <v>2.1049715213525424</v>
      </c>
      <c r="R255" s="11">
        <f>IFERROR(IF(B255="Reynolds",VLOOKUP(H255,'Yield &amp; Time'!A:U,21,0),VLOOKUP(H255,'Yield &amp; Time'!A:L,12,0)),0)</f>
        <v>2.6695214040875235</v>
      </c>
      <c r="S255" s="11">
        <f t="shared" si="63"/>
        <v>4.5181649764181335</v>
      </c>
      <c r="T255" s="11">
        <f t="shared" si="64"/>
        <v>0.22246011700729362</v>
      </c>
      <c r="U255" s="11">
        <f>IF(A254=A255,0,VLOOKUP(A255,'Packing Time'!A:F,6,0))</f>
        <v>1.1850000000000001</v>
      </c>
      <c r="V255" s="11">
        <f t="shared" si="75"/>
        <v>0.40112249999999999</v>
      </c>
      <c r="W255" s="11">
        <f t="shared" si="76"/>
        <v>1.975E-2</v>
      </c>
      <c r="X255" s="11">
        <f t="shared" si="65"/>
        <v>7.8708599622690132</v>
      </c>
      <c r="Y255" s="11">
        <f t="shared" si="77"/>
        <v>7.8708599622690132</v>
      </c>
      <c r="Z255" s="37">
        <v>1</v>
      </c>
      <c r="AA255" s="36">
        <f t="shared" si="66"/>
        <v>7.79619081982423</v>
      </c>
      <c r="AB255" s="36">
        <f t="shared" si="67"/>
        <v>2.1049715213525424</v>
      </c>
      <c r="AC255" s="11">
        <f t="shared" si="68"/>
        <v>0.38753618721166982</v>
      </c>
      <c r="AD255" s="36">
        <f t="shared" si="78"/>
        <v>7.8708599622690132</v>
      </c>
      <c r="AE255" s="36" t="str">
        <f>VLOOKUP(H255,'Yield &amp; Time'!A:R,18,0)</f>
        <v>SODIUM METABISULPHITE</v>
      </c>
      <c r="AF255" s="36">
        <f>IFERROR(VLOOKUP(AE255,'Chemical Cost'!A:D,4,0),0)</f>
        <v>9.7586225455882462E-3</v>
      </c>
      <c r="AG255" s="114">
        <f t="shared" si="69"/>
        <v>2.5360027834681612E-2</v>
      </c>
      <c r="AH255" s="36">
        <f t="shared" si="73"/>
        <v>2.5360027834681612E-2</v>
      </c>
      <c r="AI255" s="36">
        <f t="shared" si="79"/>
        <v>10.001191511456236</v>
      </c>
      <c r="AJ255" s="36">
        <f>IFERROR(VLOOKUP(A255,'All Products'!A:F,6,0),0)</f>
        <v>9.26</v>
      </c>
      <c r="AK255" s="36">
        <f>AJ255*Z255*J255</f>
        <v>9.26</v>
      </c>
      <c r="AL255" s="23">
        <v>1</v>
      </c>
      <c r="AM255" s="23"/>
      <c r="AN255" s="54" t="e">
        <v>#N/A</v>
      </c>
      <c r="AO255" s="47"/>
      <c r="AP255" s="4">
        <v>1.6</v>
      </c>
      <c r="AQ255" s="111">
        <f t="shared" si="70"/>
        <v>0.38753618721166982</v>
      </c>
      <c r="AR255">
        <f>_xlfn.XLOOKUP(F255,'RM Cost'!A:A,'RM Cost'!S:S)</f>
        <v>0</v>
      </c>
      <c r="AS255" t="e">
        <f>_xlfn.XLOOKUP(A255,[3]Sheet1!$B:$B,[3]Sheet1!$B:$B)</f>
        <v>#N/A</v>
      </c>
    </row>
    <row r="256" spans="1:46" x14ac:dyDescent="0.25">
      <c r="A256" s="1" t="s">
        <v>226</v>
      </c>
      <c r="B256" s="2" t="s">
        <v>552</v>
      </c>
      <c r="C256" s="2" t="s">
        <v>585</v>
      </c>
      <c r="D256" s="2" t="s">
        <v>554</v>
      </c>
      <c r="E256" s="2">
        <v>5</v>
      </c>
      <c r="F256" s="1" t="str">
        <f>VLOOKUP(H256,'RM Used'!A:B,2,0)</f>
        <v>P0020</v>
      </c>
      <c r="G256" s="1" t="str">
        <f>IFERROR(VLOOKUP(F256,'RM Cost'!A:B,2,0),"")</f>
        <v>PALE BLUE BAG 430X430MM</v>
      </c>
      <c r="H256" s="2" t="s">
        <v>1659</v>
      </c>
      <c r="I256" s="1" t="str">
        <f>VLOOKUP(F256,'RM Used'!B:D,3,0)</f>
        <v>RM-PACKING</v>
      </c>
      <c r="J256" s="66">
        <v>1</v>
      </c>
      <c r="K256" s="35" t="str">
        <f t="shared" si="74"/>
        <v/>
      </c>
      <c r="L256" s="35">
        <f t="shared" si="62"/>
        <v>0</v>
      </c>
      <c r="M256" s="77" t="str" cm="1">
        <f t="array" ref="M256">_xlfn.IFS(BOM!I256="RM-PACKING","100%",B256="Reynolds",VLOOKUP(H256,'Yield &amp; Time'!A:V,22,0),BOM!B256="Dnata",VLOOKUP(BOM!H256,'Yield &amp; Time'!A:M,13,0),B256="NK",VLOOKUP(H256,'Yield &amp; Time'!A:X,24,0))</f>
        <v>100%</v>
      </c>
      <c r="N256" s="35">
        <f t="shared" ref="N256:N268" si="83">IFERROR(IF(I256="RM-FOOD",(E256*J256)/M256,1),0)</f>
        <v>1</v>
      </c>
      <c r="O256" s="1" t="str">
        <f>VLOOKUP(H256,'RM Used'!A:E,5,0)</f>
        <v>Count</v>
      </c>
      <c r="P256" s="11">
        <f>VLOOKUP(H256,'RM Used'!A:F,6,0)</f>
        <v>0.09</v>
      </c>
      <c r="Q256" s="11">
        <f t="shared" si="71"/>
        <v>0.09</v>
      </c>
      <c r="R256" s="11">
        <f>IFERROR(IF(B256="Reynolds",VLOOKUP(H256,'Yield &amp; Time'!A:U,21,0),VLOOKUP(H256,'Yield &amp; Time'!A:L,12,0)),0)</f>
        <v>0</v>
      </c>
      <c r="S256" s="11">
        <f t="shared" si="63"/>
        <v>0</v>
      </c>
      <c r="T256" s="11">
        <f t="shared" si="64"/>
        <v>0</v>
      </c>
      <c r="U256" s="11">
        <f>IF(A255=A256,0,VLOOKUP(A256,'Packing Time'!A:F,6,0))</f>
        <v>0</v>
      </c>
      <c r="V256" s="11">
        <f t="shared" si="75"/>
        <v>0</v>
      </c>
      <c r="W256" s="11">
        <f t="shared" si="76"/>
        <v>0</v>
      </c>
      <c r="X256" s="11">
        <f t="shared" si="65"/>
        <v>0</v>
      </c>
      <c r="Y256" s="11">
        <f t="shared" si="77"/>
        <v>0</v>
      </c>
      <c r="Z256" s="37">
        <v>1</v>
      </c>
      <c r="AA256" s="36">
        <f t="shared" si="66"/>
        <v>1</v>
      </c>
      <c r="AB256" s="36">
        <f t="shared" si="67"/>
        <v>0.09</v>
      </c>
      <c r="AC256" s="11">
        <f t="shared" si="68"/>
        <v>0</v>
      </c>
      <c r="AD256" s="36">
        <f t="shared" si="78"/>
        <v>0</v>
      </c>
      <c r="AE256" s="36"/>
      <c r="AF256" s="36">
        <f>IFERROR(VLOOKUP(AE256,'Chemical Cost'!A:D,4,0),0)</f>
        <v>0</v>
      </c>
      <c r="AG256" s="114">
        <f t="shared" si="69"/>
        <v>0</v>
      </c>
      <c r="AH256" s="36">
        <f t="shared" si="73"/>
        <v>0</v>
      </c>
      <c r="AI256" s="36">
        <f t="shared" si="79"/>
        <v>0.09</v>
      </c>
      <c r="AJ256" s="36">
        <f>IFERROR(VLOOKUP(A256,'All Products'!A:F,6,0),0)</f>
        <v>9.26</v>
      </c>
      <c r="AK256" s="36"/>
      <c r="AL256" s="23">
        <v>1</v>
      </c>
      <c r="AM256" s="23"/>
      <c r="AN256" s="54" t="e">
        <v>#N/A</v>
      </c>
      <c r="AO256" s="47"/>
      <c r="AP256" s="4">
        <v>1.6</v>
      </c>
      <c r="AQ256" s="111">
        <f t="shared" si="70"/>
        <v>0</v>
      </c>
      <c r="AR256">
        <f>_xlfn.XLOOKUP(F256,'RM Cost'!A:A,'RM Cost'!S:S)</f>
        <v>0</v>
      </c>
      <c r="AS256" t="e">
        <f>_xlfn.XLOOKUP(A256,[3]Sheet1!$B:$B,[3]Sheet1!$B:$B)</f>
        <v>#N/A</v>
      </c>
    </row>
    <row r="257" spans="1:46" x14ac:dyDescent="0.25">
      <c r="A257" s="1" t="s">
        <v>226</v>
      </c>
      <c r="B257" s="2" t="s">
        <v>552</v>
      </c>
      <c r="C257" s="2" t="s">
        <v>585</v>
      </c>
      <c r="D257" s="2" t="s">
        <v>554</v>
      </c>
      <c r="E257" s="2">
        <v>5</v>
      </c>
      <c r="F257" s="1" t="str">
        <f>VLOOKUP(H257,'RM Used'!A:B,2,0)</f>
        <v>P0016</v>
      </c>
      <c r="G257" s="1" t="str">
        <f>IFERROR(VLOOKUP(F257,'RM Cost'!A:B,2,0),"")</f>
        <v>REY 40 30 BOX</v>
      </c>
      <c r="H257" s="2" t="s">
        <v>1332</v>
      </c>
      <c r="I257" s="1" t="str">
        <f>VLOOKUP(F257,'RM Used'!B:D,3,0)</f>
        <v>RM-PACKING</v>
      </c>
      <c r="J257" s="66">
        <v>1</v>
      </c>
      <c r="K257" s="35" t="str">
        <f t="shared" si="74"/>
        <v/>
      </c>
      <c r="L257" s="35">
        <f t="shared" si="62"/>
        <v>0</v>
      </c>
      <c r="M257" s="77" t="str" cm="1">
        <f t="array" ref="M257">_xlfn.IFS(BOM!I257="RM-PACKING","100%",B257="Reynolds",VLOOKUP(H257,'Yield &amp; Time'!A:V,22,0),BOM!B257="Dnata",VLOOKUP(BOM!H257,'Yield &amp; Time'!A:M,13,0),B257="NK",VLOOKUP(H257,'Yield &amp; Time'!A:X,24,0))</f>
        <v>100%</v>
      </c>
      <c r="N257" s="35">
        <f t="shared" si="83"/>
        <v>1</v>
      </c>
      <c r="O257" s="1" t="str">
        <f>VLOOKUP(H257,'RM Used'!A:E,5,0)</f>
        <v>Count</v>
      </c>
      <c r="P257" s="11">
        <f>VLOOKUP(H257,'RM Used'!A:F,6,0)</f>
        <v>0.28000000000000003</v>
      </c>
      <c r="Q257" s="11">
        <f t="shared" si="71"/>
        <v>0.28000000000000003</v>
      </c>
      <c r="R257" s="11">
        <f>IFERROR(IF(B257="Reynolds",VLOOKUP(H257,'Yield &amp; Time'!A:U,21,0),VLOOKUP(H257,'Yield &amp; Time'!A:L,12,0)),0)</f>
        <v>0</v>
      </c>
      <c r="S257" s="11">
        <f t="shared" si="63"/>
        <v>0</v>
      </c>
      <c r="T257" s="11">
        <f t="shared" si="64"/>
        <v>0</v>
      </c>
      <c r="U257" s="11">
        <f>IF(A256=A257,0,VLOOKUP(A257,'Packing Time'!A:F,6,0))</f>
        <v>0</v>
      </c>
      <c r="V257" s="11">
        <f t="shared" si="75"/>
        <v>0</v>
      </c>
      <c r="W257" s="11">
        <f t="shared" si="76"/>
        <v>0</v>
      </c>
      <c r="X257" s="11">
        <f t="shared" si="65"/>
        <v>0</v>
      </c>
      <c r="Y257" s="11">
        <f t="shared" si="77"/>
        <v>0</v>
      </c>
      <c r="Z257" s="37">
        <v>1</v>
      </c>
      <c r="AA257" s="36">
        <f t="shared" si="66"/>
        <v>1</v>
      </c>
      <c r="AB257" s="36">
        <f t="shared" si="67"/>
        <v>0.28000000000000003</v>
      </c>
      <c r="AC257" s="11">
        <f t="shared" si="68"/>
        <v>0</v>
      </c>
      <c r="AD257" s="36">
        <f t="shared" si="78"/>
        <v>0</v>
      </c>
      <c r="AE257" s="36"/>
      <c r="AF257" s="36">
        <f>IFERROR(VLOOKUP(AE257,'Chemical Cost'!A:D,4,0),0)</f>
        <v>0</v>
      </c>
      <c r="AG257" s="114">
        <f t="shared" si="69"/>
        <v>0</v>
      </c>
      <c r="AH257" s="36">
        <f t="shared" si="73"/>
        <v>0</v>
      </c>
      <c r="AI257" s="36">
        <f t="shared" si="79"/>
        <v>0.28000000000000003</v>
      </c>
      <c r="AJ257" s="36">
        <f>IFERROR(VLOOKUP(A257,'All Products'!A:F,6,0),0)</f>
        <v>9.26</v>
      </c>
      <c r="AK257" s="36"/>
      <c r="AL257" s="23">
        <v>1</v>
      </c>
      <c r="AM257" s="23"/>
      <c r="AN257" s="54" t="e">
        <v>#N/A</v>
      </c>
      <c r="AO257" s="47"/>
      <c r="AP257" s="4">
        <v>1.6</v>
      </c>
      <c r="AQ257" s="111">
        <f t="shared" si="70"/>
        <v>0</v>
      </c>
      <c r="AR257">
        <f>_xlfn.XLOOKUP(F257,'RM Cost'!A:A,'RM Cost'!S:S)</f>
        <v>0</v>
      </c>
      <c r="AS257" t="e">
        <f>_xlfn.XLOOKUP(A257,[3]Sheet1!$B:$B,[3]Sheet1!$B:$B)</f>
        <v>#N/A</v>
      </c>
    </row>
    <row r="258" spans="1:46" x14ac:dyDescent="0.25">
      <c r="A258" s="1" t="s">
        <v>85</v>
      </c>
      <c r="B258" s="2" t="s">
        <v>552</v>
      </c>
      <c r="C258" s="2" t="s">
        <v>586</v>
      </c>
      <c r="D258" s="2" t="s">
        <v>554</v>
      </c>
      <c r="E258" s="2">
        <v>2.5</v>
      </c>
      <c r="F258" s="1" t="str">
        <f>VLOOKUP(H258,'RM Used'!A:B,2,0)</f>
        <v>3242CS</v>
      </c>
      <c r="G258" s="1" t="str">
        <f>IFERROR(VLOOKUP(F258,'RM Cost'!A:B,2,0),"")</f>
        <v>RM - SWEET POTATOES ORANGE FLESH 6K</v>
      </c>
      <c r="H258" s="2" t="s">
        <v>1450</v>
      </c>
      <c r="I258" s="1" t="str">
        <f>VLOOKUP(F258,'RM Used'!B:D,3,0)</f>
        <v>RM-FOOD</v>
      </c>
      <c r="J258" s="66">
        <v>1</v>
      </c>
      <c r="K258" s="35">
        <f t="shared" si="74"/>
        <v>2.5</v>
      </c>
      <c r="L258" s="35">
        <f t="shared" ref="L258:L321" si="84">IFERROR(K258*Z258,0)</f>
        <v>2.5</v>
      </c>
      <c r="M258" s="77" cm="1">
        <f t="array" ref="M258">_xlfn.IFS(BOM!I258="RM-PACKING","100%",B258="Reynolds",VLOOKUP(H258,'Yield &amp; Time'!A:V,22,0),BOM!B258="Dnata",VLOOKUP(BOM!H258,'Yield &amp; Time'!A:M,13,0),B258="NK",VLOOKUP(H258,'Yield &amp; Time'!A:X,24,0))</f>
        <v>0.82247918069622161</v>
      </c>
      <c r="N258" s="35">
        <f t="shared" si="83"/>
        <v>3.0395906166083999</v>
      </c>
      <c r="O258" s="1" t="str">
        <f>VLOOKUP(H258,'RM Used'!A:E,5,0)</f>
        <v>KG</v>
      </c>
      <c r="P258" s="11">
        <f>VLOOKUP(H258,'RM Used'!A:F,6,0)</f>
        <v>0.88</v>
      </c>
      <c r="Q258" s="11">
        <f t="shared" si="71"/>
        <v>2.6748397426153918</v>
      </c>
      <c r="R258" s="11">
        <f>IFERROR(IF(B258="Reynolds",VLOOKUP(H258,'Yield &amp; Time'!A:U,21,0),VLOOKUP(H258,'Yield &amp; Time'!A:L,12,0)),0)</f>
        <v>1.2113289760348582</v>
      </c>
      <c r="S258" s="11">
        <f t="shared" ref="S258:S321" si="85">R258*J258*E258*AO$1</f>
        <v>1.0250871459694986</v>
      </c>
      <c r="T258" s="11">
        <f t="shared" ref="T258:T321" si="86">(R258*Z258*J258*E258)/60</f>
        <v>5.0472040668119091E-2</v>
      </c>
      <c r="U258" s="11">
        <f>IF(A257=A258,0,VLOOKUP(A258,'Packing Time'!A:F,6,0))</f>
        <v>0.875</v>
      </c>
      <c r="V258" s="11">
        <f t="shared" si="75"/>
        <v>0.29618749999999999</v>
      </c>
      <c r="W258" s="11">
        <f t="shared" si="76"/>
        <v>1.4583333333333334E-2</v>
      </c>
      <c r="X258" s="11">
        <f t="shared" ref="X258:X321" si="87">((R258*J258*E258)+U258)*AO$1*AP258</f>
        <v>1.849784504357298</v>
      </c>
      <c r="Y258" s="11">
        <f t="shared" si="77"/>
        <v>1.849784504357298</v>
      </c>
      <c r="Z258" s="37">
        <v>1</v>
      </c>
      <c r="AA258" s="36">
        <f t="shared" ref="AA258:AA321" si="88">Z258*N258</f>
        <v>3.0395906166083999</v>
      </c>
      <c r="AB258" s="36">
        <f t="shared" ref="AB258:AB321" si="89">AA258*P258</f>
        <v>2.6748397426153918</v>
      </c>
      <c r="AC258" s="11">
        <f t="shared" ref="AC258:AC321" si="90">(((R258*J258*E258)+U258)/60)*Z258*AP258</f>
        <v>9.1077523602033389E-2</v>
      </c>
      <c r="AD258" s="36">
        <f t="shared" si="78"/>
        <v>1.849784504357298</v>
      </c>
      <c r="AE258" s="36"/>
      <c r="AF258" s="36">
        <f>IFERROR(VLOOKUP(AE258,'Chemical Cost'!A:D,4,0),0)</f>
        <v>0</v>
      </c>
      <c r="AG258" s="114">
        <f t="shared" ref="AG258:AG321" si="91">AF258*N258/3</f>
        <v>0</v>
      </c>
      <c r="AH258" s="36">
        <f t="shared" si="73"/>
        <v>0</v>
      </c>
      <c r="AI258" s="36">
        <f t="shared" si="79"/>
        <v>4.5246242469726896</v>
      </c>
      <c r="AJ258" s="36">
        <f>IFERROR(VLOOKUP(A258,'All Products'!A:F,6,0),0)</f>
        <v>6.99</v>
      </c>
      <c r="AK258" s="36">
        <f>AJ258*Z258*J258</f>
        <v>6.99</v>
      </c>
      <c r="AL258" s="23">
        <v>1</v>
      </c>
      <c r="AM258" s="23"/>
      <c r="AN258" s="54" t="e">
        <v>#N/A</v>
      </c>
      <c r="AO258" s="47"/>
      <c r="AP258" s="4">
        <v>1.4</v>
      </c>
      <c r="AQ258" s="111">
        <f t="shared" ref="AQ258:AQ321" si="92">(((R258*J258*E258)+U258)/60)*AP258</f>
        <v>9.1077523602033389E-2</v>
      </c>
      <c r="AR258">
        <f>_xlfn.XLOOKUP(F258,'RM Cost'!A:A,'RM Cost'!S:S)</f>
        <v>0</v>
      </c>
      <c r="AS258" t="str">
        <f>_xlfn.XLOOKUP(A258,[3]Sheet1!$B:$B,[3]Sheet1!$B:$B)</f>
        <v>1335CS</v>
      </c>
      <c r="AT258">
        <f>_xlfn.XLOOKUP(H258,'Yield &amp; Time'!A:A,'Yield &amp; Time'!F:F)</f>
        <v>0</v>
      </c>
    </row>
    <row r="259" spans="1:46" x14ac:dyDescent="0.25">
      <c r="A259" s="1" t="s">
        <v>85</v>
      </c>
      <c r="B259" s="2" t="s">
        <v>552</v>
      </c>
      <c r="C259" s="2" t="s">
        <v>586</v>
      </c>
      <c r="D259" s="2" t="s">
        <v>554</v>
      </c>
      <c r="E259" s="2">
        <v>2.5</v>
      </c>
      <c r="F259" s="1" t="str">
        <f>VLOOKUP(H259,'RM Used'!A:B,2,0)</f>
        <v>P0020</v>
      </c>
      <c r="G259" s="1" t="str">
        <f>IFERROR(VLOOKUP(F259,'RM Cost'!A:B,2,0),"")</f>
        <v>PALE BLUE BAG 430X430MM</v>
      </c>
      <c r="H259" s="2" t="s">
        <v>1659</v>
      </c>
      <c r="I259" s="1" t="str">
        <f>VLOOKUP(F259,'RM Used'!B:D,3,0)</f>
        <v>RM-PACKING</v>
      </c>
      <c r="J259" s="66">
        <v>1</v>
      </c>
      <c r="K259" s="35" t="str">
        <f t="shared" si="74"/>
        <v/>
      </c>
      <c r="L259" s="35">
        <f t="shared" si="84"/>
        <v>0</v>
      </c>
      <c r="M259" s="77" t="str" cm="1">
        <f t="array" ref="M259">_xlfn.IFS(BOM!I259="RM-PACKING","100%",B259="Reynolds",VLOOKUP(H259,'Yield &amp; Time'!A:V,22,0),BOM!B259="Dnata",VLOOKUP(BOM!H259,'Yield &amp; Time'!A:M,13,0),B259="NK",VLOOKUP(H259,'Yield &amp; Time'!A:X,24,0))</f>
        <v>100%</v>
      </c>
      <c r="N259" s="35">
        <f t="shared" si="83"/>
        <v>1</v>
      </c>
      <c r="O259" s="1" t="str">
        <f>VLOOKUP(H259,'RM Used'!A:E,5,0)</f>
        <v>Count</v>
      </c>
      <c r="P259" s="11">
        <f>VLOOKUP(H259,'RM Used'!A:F,6,0)</f>
        <v>0.09</v>
      </c>
      <c r="Q259" s="11">
        <f t="shared" ref="Q259:Q322" si="93">P259*N259</f>
        <v>0.09</v>
      </c>
      <c r="R259" s="11">
        <f>IFERROR(IF(B259="Reynolds",VLOOKUP(H259,'Yield &amp; Time'!A:U,21,0),VLOOKUP(H259,'Yield &amp; Time'!A:L,12,0)),0)</f>
        <v>0</v>
      </c>
      <c r="S259" s="11">
        <f t="shared" si="85"/>
        <v>0</v>
      </c>
      <c r="T259" s="11">
        <f t="shared" si="86"/>
        <v>0</v>
      </c>
      <c r="U259" s="11">
        <f>IF(A258=A259,0,VLOOKUP(A259,'Packing Time'!A:F,6,0))</f>
        <v>0</v>
      </c>
      <c r="V259" s="11">
        <f t="shared" si="75"/>
        <v>0</v>
      </c>
      <c r="W259" s="11">
        <f t="shared" si="76"/>
        <v>0</v>
      </c>
      <c r="X259" s="11">
        <f t="shared" si="87"/>
        <v>0</v>
      </c>
      <c r="Y259" s="11">
        <f t="shared" si="77"/>
        <v>0</v>
      </c>
      <c r="Z259" s="37">
        <v>1</v>
      </c>
      <c r="AA259" s="36">
        <f t="shared" si="88"/>
        <v>1</v>
      </c>
      <c r="AB259" s="36">
        <f t="shared" si="89"/>
        <v>0.09</v>
      </c>
      <c r="AC259" s="11">
        <f t="shared" si="90"/>
        <v>0</v>
      </c>
      <c r="AD259" s="36">
        <f t="shared" si="78"/>
        <v>0</v>
      </c>
      <c r="AE259" s="36"/>
      <c r="AF259" s="36">
        <f>IFERROR(VLOOKUP(AE259,'Chemical Cost'!A:D,4,0),0)</f>
        <v>0</v>
      </c>
      <c r="AG259" s="114">
        <f t="shared" si="91"/>
        <v>0</v>
      </c>
      <c r="AH259" s="36">
        <f t="shared" si="73"/>
        <v>0</v>
      </c>
      <c r="AI259" s="36">
        <f t="shared" si="79"/>
        <v>0.09</v>
      </c>
      <c r="AJ259" s="36">
        <f>IFERROR(VLOOKUP(A259,'All Products'!A:F,6,0),0)</f>
        <v>6.99</v>
      </c>
      <c r="AK259" s="36"/>
      <c r="AL259" s="23">
        <v>1</v>
      </c>
      <c r="AM259" s="23"/>
      <c r="AN259" s="54" t="e">
        <v>#N/A</v>
      </c>
      <c r="AO259" s="47"/>
      <c r="AP259" s="4">
        <v>1.4</v>
      </c>
      <c r="AQ259" s="111">
        <f t="shared" si="92"/>
        <v>0</v>
      </c>
      <c r="AR259">
        <f>_xlfn.XLOOKUP(F259,'RM Cost'!A:A,'RM Cost'!S:S)</f>
        <v>0</v>
      </c>
      <c r="AS259" t="str">
        <f>_xlfn.XLOOKUP(A259,[3]Sheet1!$B:$B,[3]Sheet1!$B:$B)</f>
        <v>1335CS</v>
      </c>
      <c r="AT259" t="e">
        <f>_xlfn.XLOOKUP(H259,'Yield &amp; Time'!A:A,'Yield &amp; Time'!F:F)</f>
        <v>#N/A</v>
      </c>
    </row>
    <row r="260" spans="1:46" x14ac:dyDescent="0.25">
      <c r="A260" s="1" t="s">
        <v>85</v>
      </c>
      <c r="B260" s="2" t="s">
        <v>552</v>
      </c>
      <c r="C260" s="2" t="s">
        <v>586</v>
      </c>
      <c r="D260" s="2" t="s">
        <v>554</v>
      </c>
      <c r="E260" s="2">
        <v>2.5</v>
      </c>
      <c r="F260" s="1" t="str">
        <f>VLOOKUP(H260,'RM Used'!A:B,2,0)</f>
        <v>P0016</v>
      </c>
      <c r="G260" s="1" t="str">
        <f>IFERROR(VLOOKUP(F260,'RM Cost'!A:B,2,0),"")</f>
        <v>REY 40 30 BOX</v>
      </c>
      <c r="H260" s="2" t="s">
        <v>1332</v>
      </c>
      <c r="I260" s="1" t="str">
        <f>VLOOKUP(F260,'RM Used'!B:D,3,0)</f>
        <v>RM-PACKING</v>
      </c>
      <c r="J260" s="66">
        <v>1</v>
      </c>
      <c r="K260" s="35" t="str">
        <f t="shared" si="74"/>
        <v/>
      </c>
      <c r="L260" s="35">
        <f t="shared" si="84"/>
        <v>0</v>
      </c>
      <c r="M260" s="77" t="str" cm="1">
        <f t="array" ref="M260">_xlfn.IFS(BOM!I260="RM-PACKING","100%",B260="Reynolds",VLOOKUP(H260,'Yield &amp; Time'!A:V,22,0),BOM!B260="Dnata",VLOOKUP(BOM!H260,'Yield &amp; Time'!A:M,13,0),B260="NK",VLOOKUP(H260,'Yield &amp; Time'!A:X,24,0))</f>
        <v>100%</v>
      </c>
      <c r="N260" s="35">
        <f t="shared" si="83"/>
        <v>1</v>
      </c>
      <c r="O260" s="1" t="str">
        <f>VLOOKUP(H260,'RM Used'!A:E,5,0)</f>
        <v>Count</v>
      </c>
      <c r="P260" s="11">
        <f>VLOOKUP(H260,'RM Used'!A:F,6,0)</f>
        <v>0.28000000000000003</v>
      </c>
      <c r="Q260" s="11">
        <f t="shared" si="93"/>
        <v>0.28000000000000003</v>
      </c>
      <c r="R260" s="11">
        <f>IFERROR(IF(B260="Reynolds",VLOOKUP(H260,'Yield &amp; Time'!A:U,21,0),VLOOKUP(H260,'Yield &amp; Time'!A:L,12,0)),0)</f>
        <v>0</v>
      </c>
      <c r="S260" s="11">
        <f t="shared" si="85"/>
        <v>0</v>
      </c>
      <c r="T260" s="11">
        <f t="shared" si="86"/>
        <v>0</v>
      </c>
      <c r="U260" s="11">
        <f>IF(A259=A260,0,VLOOKUP(A260,'Packing Time'!A:F,6,0))</f>
        <v>0</v>
      </c>
      <c r="V260" s="11">
        <f t="shared" si="75"/>
        <v>0</v>
      </c>
      <c r="W260" s="11">
        <f t="shared" si="76"/>
        <v>0</v>
      </c>
      <c r="X260" s="11">
        <f t="shared" si="87"/>
        <v>0</v>
      </c>
      <c r="Y260" s="11">
        <f t="shared" si="77"/>
        <v>0</v>
      </c>
      <c r="Z260" s="37">
        <v>1</v>
      </c>
      <c r="AA260" s="36">
        <f t="shared" si="88"/>
        <v>1</v>
      </c>
      <c r="AB260" s="36">
        <f t="shared" si="89"/>
        <v>0.28000000000000003</v>
      </c>
      <c r="AC260" s="11">
        <f t="shared" si="90"/>
        <v>0</v>
      </c>
      <c r="AD260" s="36">
        <f t="shared" si="78"/>
        <v>0</v>
      </c>
      <c r="AE260" s="36"/>
      <c r="AF260" s="36">
        <f>IFERROR(VLOOKUP(AE260,'Chemical Cost'!A:D,4,0),0)</f>
        <v>0</v>
      </c>
      <c r="AG260" s="114">
        <f t="shared" si="91"/>
        <v>0</v>
      </c>
      <c r="AH260" s="36">
        <f t="shared" si="73"/>
        <v>0</v>
      </c>
      <c r="AI260" s="36">
        <f t="shared" si="79"/>
        <v>0.28000000000000003</v>
      </c>
      <c r="AJ260" s="36">
        <f>IFERROR(VLOOKUP(A260,'All Products'!A:F,6,0),0)</f>
        <v>6.99</v>
      </c>
      <c r="AK260" s="36"/>
      <c r="AL260" s="23">
        <v>1</v>
      </c>
      <c r="AM260" s="23"/>
      <c r="AN260" s="54" t="e">
        <v>#N/A</v>
      </c>
      <c r="AO260" s="47"/>
      <c r="AP260" s="4">
        <v>1.4</v>
      </c>
      <c r="AQ260" s="111">
        <f t="shared" si="92"/>
        <v>0</v>
      </c>
      <c r="AR260">
        <f>_xlfn.XLOOKUP(F260,'RM Cost'!A:A,'RM Cost'!S:S)</f>
        <v>0</v>
      </c>
      <c r="AS260" t="str">
        <f>_xlfn.XLOOKUP(A260,[3]Sheet1!$B:$B,[3]Sheet1!$B:$B)</f>
        <v>1335CS</v>
      </c>
      <c r="AT260" t="e">
        <f>_xlfn.XLOOKUP(H260,'Yield &amp; Time'!A:A,'Yield &amp; Time'!F:F)</f>
        <v>#N/A</v>
      </c>
    </row>
    <row r="261" spans="1:46" x14ac:dyDescent="0.25">
      <c r="A261" s="1" t="s">
        <v>230</v>
      </c>
      <c r="B261" s="2" t="s">
        <v>552</v>
      </c>
      <c r="C261" s="2" t="s">
        <v>588</v>
      </c>
      <c r="D261" s="2" t="s">
        <v>554</v>
      </c>
      <c r="E261" s="2">
        <v>1</v>
      </c>
      <c r="F261" s="1" t="str">
        <f>VLOOKUP(H261,'RM Used'!A:B,2,0)</f>
        <v>283ACS</v>
      </c>
      <c r="G261" s="1" t="str">
        <f>IFERROR(VLOOKUP(F261,'RM Cost'!A:B,2,0),"")</f>
        <v>RM - BUTTERNUT SQUASH BIN X 625KG</v>
      </c>
      <c r="H261" s="2" t="s">
        <v>1447</v>
      </c>
      <c r="I261" s="1" t="str">
        <f>VLOOKUP(F261,'RM Used'!B:D,3,0)</f>
        <v>RM-FOOD</v>
      </c>
      <c r="J261" s="66">
        <v>1</v>
      </c>
      <c r="K261" s="35">
        <f t="shared" si="74"/>
        <v>1</v>
      </c>
      <c r="L261" s="35">
        <f t="shared" si="84"/>
        <v>1</v>
      </c>
      <c r="M261" s="77" cm="1">
        <f t="array" ref="M261">_xlfn.IFS(BOM!I261="RM-PACKING","100%",B261="Reynolds",VLOOKUP(H261,'Yield &amp; Time'!A:V,22,0),BOM!B261="Dnata",VLOOKUP(BOM!H261,'Yield &amp; Time'!A:M,13,0),B261="NK",VLOOKUP(H261,'Yield &amp; Time'!A:X,24,0))</f>
        <v>0.7250254610509328</v>
      </c>
      <c r="N261" s="35">
        <f t="shared" si="83"/>
        <v>1.3792619069549481</v>
      </c>
      <c r="O261" s="1" t="str">
        <f>VLOOKUP(H261,'RM Used'!A:E,5,0)</f>
        <v>KG</v>
      </c>
      <c r="P261" s="11">
        <f>VLOOKUP(H261,'RM Used'!A:F,6,0)</f>
        <v>0.65</v>
      </c>
      <c r="Q261" s="11">
        <f t="shared" si="93"/>
        <v>0.89652023952071624</v>
      </c>
      <c r="R261" s="11">
        <f>IFERROR(IF(B261="Reynolds",VLOOKUP(H261,'Yield &amp; Time'!A:U,21,0),VLOOKUP(H261,'Yield &amp; Time'!A:L,12,0)),0)</f>
        <v>1.7027924777221581</v>
      </c>
      <c r="S261" s="11">
        <f t="shared" si="85"/>
        <v>0.57639525370895051</v>
      </c>
      <c r="T261" s="11">
        <f t="shared" si="86"/>
        <v>2.8379874628702634E-2</v>
      </c>
      <c r="U261" s="11">
        <f>IF(A260=A261,0,VLOOKUP(A261,'Packing Time'!A:F,6,0))</f>
        <v>0.64500000000000002</v>
      </c>
      <c r="V261" s="11">
        <f t="shared" si="75"/>
        <v>0.21833249999999998</v>
      </c>
      <c r="W261" s="11">
        <f t="shared" si="76"/>
        <v>1.0750000000000001E-2</v>
      </c>
      <c r="X261" s="11">
        <f t="shared" si="87"/>
        <v>1.2715644059343207</v>
      </c>
      <c r="Y261" s="11">
        <f t="shared" si="77"/>
        <v>1.2715644059343207</v>
      </c>
      <c r="Z261" s="37">
        <v>1</v>
      </c>
      <c r="AA261" s="36">
        <f t="shared" si="88"/>
        <v>1.3792619069549481</v>
      </c>
      <c r="AB261" s="36">
        <f t="shared" si="89"/>
        <v>0.89652023952071624</v>
      </c>
      <c r="AC261" s="11">
        <f t="shared" si="90"/>
        <v>6.2607799405924217E-2</v>
      </c>
      <c r="AD261" s="36">
        <f t="shared" si="78"/>
        <v>1.2715644059343207</v>
      </c>
      <c r="AE261" s="36"/>
      <c r="AF261" s="36">
        <f>IFERROR(VLOOKUP(AE261,'Chemical Cost'!A:D,4,0),0)</f>
        <v>0</v>
      </c>
      <c r="AG261" s="114">
        <f t="shared" si="91"/>
        <v>0</v>
      </c>
      <c r="AH261" s="36">
        <f t="shared" si="73"/>
        <v>0</v>
      </c>
      <c r="AI261" s="36">
        <f t="shared" si="79"/>
        <v>2.1680846454550369</v>
      </c>
      <c r="AJ261" s="36">
        <f>IFERROR(VLOOKUP(A261,'All Products'!A:F,6,0),0)</f>
        <v>2.33</v>
      </c>
      <c r="AK261" s="36">
        <f>AJ261*Z261*J261</f>
        <v>2.33</v>
      </c>
      <c r="AL261" s="23">
        <v>1</v>
      </c>
      <c r="AM261" s="23"/>
      <c r="AN261" s="54" t="e">
        <v>#N/A</v>
      </c>
      <c r="AO261" s="47"/>
      <c r="AP261" s="4">
        <v>1.6</v>
      </c>
      <c r="AQ261" s="111">
        <f t="shared" si="92"/>
        <v>6.2607799405924217E-2</v>
      </c>
      <c r="AR261">
        <f>_xlfn.XLOOKUP(F261,'RM Cost'!A:A,'RM Cost'!S:S)</f>
        <v>0</v>
      </c>
      <c r="AS261" t="e">
        <f>_xlfn.XLOOKUP(A261,[3]Sheet1!$B:$B,[3]Sheet1!$B:$B)</f>
        <v>#N/A</v>
      </c>
    </row>
    <row r="262" spans="1:46" x14ac:dyDescent="0.25">
      <c r="A262" s="1" t="s">
        <v>230</v>
      </c>
      <c r="B262" s="2" t="s">
        <v>552</v>
      </c>
      <c r="C262" s="2" t="s">
        <v>588</v>
      </c>
      <c r="D262" s="2" t="s">
        <v>554</v>
      </c>
      <c r="E262" s="2">
        <v>1</v>
      </c>
      <c r="F262" s="1" t="str">
        <f>VLOOKUP(H262,'RM Used'!A:B,2,0)</f>
        <v>P0020</v>
      </c>
      <c r="G262" s="1" t="str">
        <f>IFERROR(VLOOKUP(F262,'RM Cost'!A:B,2,0),"")</f>
        <v>PALE BLUE BAG 430X430MM</v>
      </c>
      <c r="H262" s="2" t="s">
        <v>1659</v>
      </c>
      <c r="I262" s="1" t="str">
        <f>VLOOKUP(F262,'RM Used'!B:D,3,0)</f>
        <v>RM-PACKING</v>
      </c>
      <c r="J262" s="66">
        <v>1</v>
      </c>
      <c r="K262" s="35" t="str">
        <f t="shared" si="74"/>
        <v/>
      </c>
      <c r="L262" s="35">
        <f t="shared" si="84"/>
        <v>0</v>
      </c>
      <c r="M262" s="77" t="str" cm="1">
        <f t="array" ref="M262">_xlfn.IFS(BOM!I262="RM-PACKING","100%",B262="Reynolds",VLOOKUP(H262,'Yield &amp; Time'!A:V,22,0),BOM!B262="Dnata",VLOOKUP(BOM!H262,'Yield &amp; Time'!A:M,13,0),B262="NK",VLOOKUP(H262,'Yield &amp; Time'!A:X,24,0))</f>
        <v>100%</v>
      </c>
      <c r="N262" s="35">
        <f t="shared" si="83"/>
        <v>1</v>
      </c>
      <c r="O262" s="1" t="str">
        <f>VLOOKUP(H262,'RM Used'!A:E,5,0)</f>
        <v>Count</v>
      </c>
      <c r="P262" s="11">
        <f>VLOOKUP(H262,'RM Used'!A:F,6,0)</f>
        <v>0.09</v>
      </c>
      <c r="Q262" s="11">
        <f t="shared" si="93"/>
        <v>0.09</v>
      </c>
      <c r="R262" s="11">
        <f>IFERROR(IF(B262="Reynolds",VLOOKUP(H262,'Yield &amp; Time'!A:U,21,0),VLOOKUP(H262,'Yield &amp; Time'!A:L,12,0)),0)</f>
        <v>0</v>
      </c>
      <c r="S262" s="11">
        <f t="shared" si="85"/>
        <v>0</v>
      </c>
      <c r="T262" s="11">
        <f t="shared" si="86"/>
        <v>0</v>
      </c>
      <c r="U262" s="11">
        <f>IF(A261=A262,0,VLOOKUP(A262,'Packing Time'!A:F,6,0))</f>
        <v>0</v>
      </c>
      <c r="V262" s="11">
        <f t="shared" si="75"/>
        <v>0</v>
      </c>
      <c r="W262" s="11">
        <f t="shared" si="76"/>
        <v>0</v>
      </c>
      <c r="X262" s="11">
        <f t="shared" si="87"/>
        <v>0</v>
      </c>
      <c r="Y262" s="11">
        <f t="shared" si="77"/>
        <v>0</v>
      </c>
      <c r="Z262" s="37">
        <v>1</v>
      </c>
      <c r="AA262" s="36">
        <f t="shared" si="88"/>
        <v>1</v>
      </c>
      <c r="AB262" s="36">
        <f t="shared" si="89"/>
        <v>0.09</v>
      </c>
      <c r="AC262" s="11">
        <f t="shared" si="90"/>
        <v>0</v>
      </c>
      <c r="AD262" s="36">
        <f t="shared" si="78"/>
        <v>0</v>
      </c>
      <c r="AE262" s="36"/>
      <c r="AF262" s="36">
        <f>IFERROR(VLOOKUP(AE262,'Chemical Cost'!A:D,4,0),0)</f>
        <v>0</v>
      </c>
      <c r="AG262" s="114">
        <f t="shared" si="91"/>
        <v>0</v>
      </c>
      <c r="AH262" s="36">
        <f t="shared" si="73"/>
        <v>0</v>
      </c>
      <c r="AI262" s="36">
        <f t="shared" si="79"/>
        <v>0.09</v>
      </c>
      <c r="AJ262" s="36">
        <f>IFERROR(VLOOKUP(A262,'All Products'!A:F,6,0),0)</f>
        <v>2.33</v>
      </c>
      <c r="AK262" s="36"/>
      <c r="AL262" s="23">
        <v>1</v>
      </c>
      <c r="AM262" s="23"/>
      <c r="AN262" s="54" t="e">
        <v>#N/A</v>
      </c>
      <c r="AO262" s="47"/>
      <c r="AP262" s="4">
        <v>1.6</v>
      </c>
      <c r="AQ262" s="111">
        <f t="shared" si="92"/>
        <v>0</v>
      </c>
      <c r="AR262">
        <f>_xlfn.XLOOKUP(F262,'RM Cost'!A:A,'RM Cost'!S:S)</f>
        <v>0</v>
      </c>
      <c r="AS262" t="e">
        <f>_xlfn.XLOOKUP(A262,[3]Sheet1!$B:$B,[3]Sheet1!$B:$B)</f>
        <v>#N/A</v>
      </c>
    </row>
    <row r="263" spans="1:46" x14ac:dyDescent="0.25">
      <c r="A263" s="1" t="s">
        <v>230</v>
      </c>
      <c r="B263" s="2" t="s">
        <v>552</v>
      </c>
      <c r="C263" s="2" t="s">
        <v>588</v>
      </c>
      <c r="D263" s="2" t="s">
        <v>554</v>
      </c>
      <c r="E263" s="2">
        <v>1</v>
      </c>
      <c r="F263" s="1" t="str">
        <f>VLOOKUP(H263,'RM Used'!A:B,2,0)</f>
        <v>P0016</v>
      </c>
      <c r="G263" s="1" t="str">
        <f>IFERROR(VLOOKUP(F263,'RM Cost'!A:B,2,0),"")</f>
        <v>REY 40 30 BOX</v>
      </c>
      <c r="H263" s="2" t="s">
        <v>1332</v>
      </c>
      <c r="I263" s="1" t="str">
        <f>VLOOKUP(F263,'RM Used'!B:D,3,0)</f>
        <v>RM-PACKING</v>
      </c>
      <c r="J263" s="66">
        <v>1</v>
      </c>
      <c r="K263" s="35" t="str">
        <f t="shared" si="74"/>
        <v/>
      </c>
      <c r="L263" s="35">
        <f t="shared" si="84"/>
        <v>0</v>
      </c>
      <c r="M263" s="77" t="str" cm="1">
        <f t="array" ref="M263">_xlfn.IFS(BOM!I263="RM-PACKING","100%",B263="Reynolds",VLOOKUP(H263,'Yield &amp; Time'!A:V,22,0),BOM!B263="Dnata",VLOOKUP(BOM!H263,'Yield &amp; Time'!A:M,13,0),B263="NK",VLOOKUP(H263,'Yield &amp; Time'!A:X,24,0))</f>
        <v>100%</v>
      </c>
      <c r="N263" s="35">
        <f t="shared" si="83"/>
        <v>1</v>
      </c>
      <c r="O263" s="1" t="str">
        <f>VLOOKUP(H263,'RM Used'!A:E,5,0)</f>
        <v>Count</v>
      </c>
      <c r="P263" s="11">
        <f>VLOOKUP(H263,'RM Used'!A:F,6,0)</f>
        <v>0.28000000000000003</v>
      </c>
      <c r="Q263" s="11">
        <f t="shared" si="93"/>
        <v>0.28000000000000003</v>
      </c>
      <c r="R263" s="11">
        <f>IFERROR(IF(B263="Reynolds",VLOOKUP(H263,'Yield &amp; Time'!A:U,21,0),VLOOKUP(H263,'Yield &amp; Time'!A:L,12,0)),0)</f>
        <v>0</v>
      </c>
      <c r="S263" s="11">
        <f t="shared" si="85"/>
        <v>0</v>
      </c>
      <c r="T263" s="11">
        <f t="shared" si="86"/>
        <v>0</v>
      </c>
      <c r="U263" s="11">
        <f>IF(A262=A263,0,VLOOKUP(A263,'Packing Time'!A:F,6,0))</f>
        <v>0</v>
      </c>
      <c r="V263" s="11">
        <f t="shared" si="75"/>
        <v>0</v>
      </c>
      <c r="W263" s="11">
        <f t="shared" si="76"/>
        <v>0</v>
      </c>
      <c r="X263" s="11">
        <f t="shared" si="87"/>
        <v>0</v>
      </c>
      <c r="Y263" s="11">
        <f t="shared" si="77"/>
        <v>0</v>
      </c>
      <c r="Z263" s="37">
        <v>1</v>
      </c>
      <c r="AA263" s="36">
        <f t="shared" si="88"/>
        <v>1</v>
      </c>
      <c r="AB263" s="36">
        <f t="shared" si="89"/>
        <v>0.28000000000000003</v>
      </c>
      <c r="AC263" s="11">
        <f t="shared" si="90"/>
        <v>0</v>
      </c>
      <c r="AD263" s="36">
        <f t="shared" si="78"/>
        <v>0</v>
      </c>
      <c r="AE263" s="36"/>
      <c r="AF263" s="36">
        <f>IFERROR(VLOOKUP(AE263,'Chemical Cost'!A:D,4,0),0)</f>
        <v>0</v>
      </c>
      <c r="AG263" s="114">
        <f t="shared" si="91"/>
        <v>0</v>
      </c>
      <c r="AH263" s="36">
        <f t="shared" si="73"/>
        <v>0</v>
      </c>
      <c r="AI263" s="36">
        <f t="shared" si="79"/>
        <v>0.28000000000000003</v>
      </c>
      <c r="AJ263" s="36">
        <f>IFERROR(VLOOKUP(A263,'All Products'!A:F,6,0),0)</f>
        <v>2.33</v>
      </c>
      <c r="AK263" s="36"/>
      <c r="AL263" s="23">
        <v>1</v>
      </c>
      <c r="AM263" s="23"/>
      <c r="AN263" s="54" t="e">
        <v>#N/A</v>
      </c>
      <c r="AO263" s="47"/>
      <c r="AP263" s="4">
        <v>1.6</v>
      </c>
      <c r="AQ263" s="111">
        <f t="shared" si="92"/>
        <v>0</v>
      </c>
      <c r="AR263">
        <f>_xlfn.XLOOKUP(F263,'RM Cost'!A:A,'RM Cost'!S:S)</f>
        <v>0</v>
      </c>
      <c r="AS263" t="e">
        <f>_xlfn.XLOOKUP(A263,[3]Sheet1!$B:$B,[3]Sheet1!$B:$B)</f>
        <v>#N/A</v>
      </c>
    </row>
    <row r="264" spans="1:46" x14ac:dyDescent="0.25">
      <c r="A264" s="1" t="s">
        <v>445</v>
      </c>
      <c r="B264" s="2" t="s">
        <v>552</v>
      </c>
      <c r="C264" s="2" t="s">
        <v>589</v>
      </c>
      <c r="D264" s="2" t="s">
        <v>554</v>
      </c>
      <c r="E264" s="2">
        <v>5</v>
      </c>
      <c r="F264" s="1" t="str">
        <f>VLOOKUP(H264,'RM Used'!A:B,2,0)</f>
        <v>3221CS</v>
      </c>
      <c r="G264" s="1" t="str">
        <f>IFERROR(VLOOKUP(F264,'RM Cost'!A:B,2,0),"")</f>
        <v>BAKING POTATO X50 EA</v>
      </c>
      <c r="H264" s="2" t="s">
        <v>1661</v>
      </c>
      <c r="I264" s="1" t="str">
        <f>VLOOKUP(F264,'RM Used'!B:D,3,0)</f>
        <v>RM-FOOD</v>
      </c>
      <c r="J264" s="66">
        <v>1</v>
      </c>
      <c r="K264" s="35">
        <f t="shared" si="74"/>
        <v>5</v>
      </c>
      <c r="L264" s="35">
        <f t="shared" si="84"/>
        <v>5</v>
      </c>
      <c r="M264" s="77" cm="1">
        <f t="array" ref="M264">_xlfn.IFS(BOM!I264="RM-PACKING","100%",B264="Reynolds",VLOOKUP(H264,'Yield &amp; Time'!A:V,22,0),BOM!B264="Dnata",VLOOKUP(BOM!H264,'Yield &amp; Time'!A:M,13,0),B264="NK",VLOOKUP(H264,'Yield &amp; Time'!A:X,24,0))</f>
        <v>0.61216429699842023</v>
      </c>
      <c r="N264" s="35">
        <f t="shared" si="83"/>
        <v>8.1677419354838712</v>
      </c>
      <c r="O264" s="1" t="str">
        <f>VLOOKUP(H264,'RM Used'!A:E,5,0)</f>
        <v>KG</v>
      </c>
      <c r="P264" s="11">
        <f>VLOOKUP(H264,'RM Used'!A:F,6,0)</f>
        <v>0.57000000000000006</v>
      </c>
      <c r="Q264" s="11">
        <f t="shared" si="93"/>
        <v>4.6556129032258067</v>
      </c>
      <c r="R264" s="11">
        <f>IFERROR(IF(B264="Reynolds",VLOOKUP(H264,'Yield &amp; Time'!A:U,21,0),VLOOKUP(H264,'Yield &amp; Time'!A:L,12,0)),0)</f>
        <v>2.0569892473118276</v>
      </c>
      <c r="S264" s="11">
        <f t="shared" si="85"/>
        <v>3.4814543010752681</v>
      </c>
      <c r="T264" s="11">
        <f t="shared" si="86"/>
        <v>0.17141577060931898</v>
      </c>
      <c r="U264" s="11">
        <f>IF(A263=A264,0,VLOOKUP(A264,'Packing Time'!A:F,6,0))</f>
        <v>1.1850000000000001</v>
      </c>
      <c r="V264" s="11">
        <f t="shared" si="75"/>
        <v>0.40112249999999999</v>
      </c>
      <c r="W264" s="11">
        <f t="shared" si="76"/>
        <v>1.975E-2</v>
      </c>
      <c r="X264" s="11">
        <f t="shared" si="87"/>
        <v>6.212122881720429</v>
      </c>
      <c r="Y264" s="11">
        <f t="shared" si="77"/>
        <v>6.212122881720429</v>
      </c>
      <c r="Z264" s="37">
        <v>1</v>
      </c>
      <c r="AA264" s="36">
        <f t="shared" si="88"/>
        <v>8.1677419354838712</v>
      </c>
      <c r="AB264" s="36">
        <f t="shared" si="89"/>
        <v>4.6556129032258067</v>
      </c>
      <c r="AC264" s="11">
        <f t="shared" si="90"/>
        <v>0.30586523297491036</v>
      </c>
      <c r="AD264" s="36">
        <f t="shared" si="78"/>
        <v>6.212122881720429</v>
      </c>
      <c r="AE264" s="36" t="str">
        <f>VLOOKUP(H264,'Yield &amp; Time'!A:R,18,0)</f>
        <v>SODIUM METABISULPHITE</v>
      </c>
      <c r="AF264" s="36">
        <f>IFERROR(VLOOKUP(AE264,'Chemical Cost'!A:D,4,0),0)</f>
        <v>9.7586225455882462E-3</v>
      </c>
      <c r="AG264" s="114">
        <f t="shared" si="91"/>
        <v>2.6568636866053163E-2</v>
      </c>
      <c r="AH264" s="36">
        <f t="shared" si="73"/>
        <v>2.6568636866053163E-2</v>
      </c>
      <c r="AI264" s="36">
        <f t="shared" si="79"/>
        <v>10.894304421812288</v>
      </c>
      <c r="AJ264" s="36">
        <f>IFERROR(VLOOKUP(A264,'All Products'!A:F,6,0),0)</f>
        <v>7.74</v>
      </c>
      <c r="AK264" s="36">
        <f>AJ264*Z264*J264</f>
        <v>7.74</v>
      </c>
      <c r="AL264" s="23">
        <v>1</v>
      </c>
      <c r="AM264" s="23"/>
      <c r="AN264" s="54" t="e">
        <v>#N/A</v>
      </c>
      <c r="AO264" s="47"/>
      <c r="AP264" s="4">
        <v>1.6</v>
      </c>
      <c r="AQ264" s="111">
        <f t="shared" si="92"/>
        <v>0.30586523297491036</v>
      </c>
      <c r="AR264">
        <f>_xlfn.XLOOKUP(F264,'RM Cost'!A:A,'RM Cost'!S:S)</f>
        <v>0</v>
      </c>
      <c r="AS264" t="e">
        <f>_xlfn.XLOOKUP(A264,[3]Sheet1!$B:$B,[3]Sheet1!$B:$B)</f>
        <v>#N/A</v>
      </c>
    </row>
    <row r="265" spans="1:46" x14ac:dyDescent="0.25">
      <c r="A265" s="1" t="s">
        <v>445</v>
      </c>
      <c r="B265" s="2" t="s">
        <v>552</v>
      </c>
      <c r="C265" s="2" t="s">
        <v>589</v>
      </c>
      <c r="D265" s="2" t="s">
        <v>554</v>
      </c>
      <c r="E265" s="2">
        <v>5</v>
      </c>
      <c r="F265" s="1" t="str">
        <f>VLOOKUP(H265,'RM Used'!A:B,2,0)</f>
        <v>P0020</v>
      </c>
      <c r="G265" s="1" t="str">
        <f>IFERROR(VLOOKUP(F265,'RM Cost'!A:B,2,0),"")</f>
        <v>PALE BLUE BAG 430X430MM</v>
      </c>
      <c r="H265" s="2" t="s">
        <v>1659</v>
      </c>
      <c r="I265" s="1" t="str">
        <f>VLOOKUP(F265,'RM Used'!B:D,3,0)</f>
        <v>RM-PACKING</v>
      </c>
      <c r="J265" s="66">
        <v>1</v>
      </c>
      <c r="K265" s="35" t="str">
        <f t="shared" si="74"/>
        <v/>
      </c>
      <c r="L265" s="35">
        <f t="shared" si="84"/>
        <v>0</v>
      </c>
      <c r="M265" s="77" t="str" cm="1">
        <f t="array" ref="M265">_xlfn.IFS(BOM!I265="RM-PACKING","100%",B265="Reynolds",VLOOKUP(H265,'Yield &amp; Time'!A:V,22,0),BOM!B265="Dnata",VLOOKUP(BOM!H265,'Yield &amp; Time'!A:M,13,0),B265="NK",VLOOKUP(H265,'Yield &amp; Time'!A:X,24,0))</f>
        <v>100%</v>
      </c>
      <c r="N265" s="35">
        <f t="shared" si="83"/>
        <v>1</v>
      </c>
      <c r="O265" s="1" t="str">
        <f>VLOOKUP(H265,'RM Used'!A:E,5,0)</f>
        <v>Count</v>
      </c>
      <c r="P265" s="11">
        <f>VLOOKUP(H265,'RM Used'!A:F,6,0)</f>
        <v>0.09</v>
      </c>
      <c r="Q265" s="11">
        <f t="shared" si="93"/>
        <v>0.09</v>
      </c>
      <c r="R265" s="11">
        <f>IFERROR(IF(B265="Reynolds",VLOOKUP(H265,'Yield &amp; Time'!A:U,21,0),VLOOKUP(H265,'Yield &amp; Time'!A:L,12,0)),0)</f>
        <v>0</v>
      </c>
      <c r="S265" s="11">
        <f t="shared" si="85"/>
        <v>0</v>
      </c>
      <c r="T265" s="11">
        <f t="shared" si="86"/>
        <v>0</v>
      </c>
      <c r="U265" s="11">
        <f>IF(A264=A265,0,VLOOKUP(A265,'Packing Time'!A:F,6,0))</f>
        <v>0</v>
      </c>
      <c r="V265" s="11">
        <f t="shared" si="75"/>
        <v>0</v>
      </c>
      <c r="W265" s="11">
        <f t="shared" si="76"/>
        <v>0</v>
      </c>
      <c r="X265" s="11">
        <f t="shared" si="87"/>
        <v>0</v>
      </c>
      <c r="Y265" s="11">
        <f t="shared" si="77"/>
        <v>0</v>
      </c>
      <c r="Z265" s="37">
        <v>1</v>
      </c>
      <c r="AA265" s="36">
        <f t="shared" si="88"/>
        <v>1</v>
      </c>
      <c r="AB265" s="36">
        <f t="shared" si="89"/>
        <v>0.09</v>
      </c>
      <c r="AC265" s="11">
        <f t="shared" si="90"/>
        <v>0</v>
      </c>
      <c r="AD265" s="36">
        <f t="shared" si="78"/>
        <v>0</v>
      </c>
      <c r="AE265" s="36"/>
      <c r="AF265" s="36">
        <f>IFERROR(VLOOKUP(AE265,'Chemical Cost'!A:D,4,0),0)</f>
        <v>0</v>
      </c>
      <c r="AG265" s="114">
        <f t="shared" si="91"/>
        <v>0</v>
      </c>
      <c r="AH265" s="36">
        <f t="shared" si="73"/>
        <v>0</v>
      </c>
      <c r="AI265" s="36">
        <f t="shared" si="79"/>
        <v>0.09</v>
      </c>
      <c r="AJ265" s="36">
        <f>IFERROR(VLOOKUP(A265,'All Products'!A:F,6,0),0)</f>
        <v>7.74</v>
      </c>
      <c r="AK265" s="36"/>
      <c r="AL265" s="23">
        <v>1</v>
      </c>
      <c r="AM265" s="23"/>
      <c r="AN265" s="54" t="e">
        <v>#N/A</v>
      </c>
      <c r="AO265" s="47"/>
      <c r="AP265" s="4">
        <v>1.6</v>
      </c>
      <c r="AQ265" s="111">
        <f t="shared" si="92"/>
        <v>0</v>
      </c>
      <c r="AR265">
        <f>_xlfn.XLOOKUP(F265,'RM Cost'!A:A,'RM Cost'!S:S)</f>
        <v>0</v>
      </c>
      <c r="AS265" t="e">
        <f>_xlfn.XLOOKUP(A265,[3]Sheet1!$B:$B,[3]Sheet1!$B:$B)</f>
        <v>#N/A</v>
      </c>
    </row>
    <row r="266" spans="1:46" x14ac:dyDescent="0.25">
      <c r="A266" s="1" t="s">
        <v>445</v>
      </c>
      <c r="B266" s="2" t="s">
        <v>552</v>
      </c>
      <c r="C266" s="2" t="s">
        <v>589</v>
      </c>
      <c r="D266" s="2" t="s">
        <v>554</v>
      </c>
      <c r="E266" s="2">
        <v>5</v>
      </c>
      <c r="F266" s="1" t="str">
        <f>VLOOKUP(H266,'RM Used'!A:B,2,0)</f>
        <v>P0016</v>
      </c>
      <c r="G266" s="1" t="str">
        <f>IFERROR(VLOOKUP(F266,'RM Cost'!A:B,2,0),"")</f>
        <v>REY 40 30 BOX</v>
      </c>
      <c r="H266" s="2" t="s">
        <v>1332</v>
      </c>
      <c r="I266" s="1" t="str">
        <f>VLOOKUP(F266,'RM Used'!B:D,3,0)</f>
        <v>RM-PACKING</v>
      </c>
      <c r="J266" s="66">
        <v>1</v>
      </c>
      <c r="K266" s="35" t="str">
        <f t="shared" si="74"/>
        <v/>
      </c>
      <c r="L266" s="35">
        <f t="shared" si="84"/>
        <v>0</v>
      </c>
      <c r="M266" s="77" t="str" cm="1">
        <f t="array" ref="M266">_xlfn.IFS(BOM!I266="RM-PACKING","100%",B266="Reynolds",VLOOKUP(H266,'Yield &amp; Time'!A:V,22,0),BOM!B266="Dnata",VLOOKUP(BOM!H266,'Yield &amp; Time'!A:M,13,0),B266="NK",VLOOKUP(H266,'Yield &amp; Time'!A:X,24,0))</f>
        <v>100%</v>
      </c>
      <c r="N266" s="35">
        <f t="shared" si="83"/>
        <v>1</v>
      </c>
      <c r="O266" s="1" t="str">
        <f>VLOOKUP(H266,'RM Used'!A:E,5,0)</f>
        <v>Count</v>
      </c>
      <c r="P266" s="11">
        <f>VLOOKUP(H266,'RM Used'!A:F,6,0)</f>
        <v>0.28000000000000003</v>
      </c>
      <c r="Q266" s="11">
        <f t="shared" si="93"/>
        <v>0.28000000000000003</v>
      </c>
      <c r="R266" s="11">
        <f>IFERROR(IF(B266="Reynolds",VLOOKUP(H266,'Yield &amp; Time'!A:U,21,0),VLOOKUP(H266,'Yield &amp; Time'!A:L,12,0)),0)</f>
        <v>0</v>
      </c>
      <c r="S266" s="11">
        <f t="shared" si="85"/>
        <v>0</v>
      </c>
      <c r="T266" s="11">
        <f t="shared" si="86"/>
        <v>0</v>
      </c>
      <c r="U266" s="11">
        <f>IF(A265=A266,0,VLOOKUP(A266,'Packing Time'!A:F,6,0))</f>
        <v>0</v>
      </c>
      <c r="V266" s="11">
        <f t="shared" si="75"/>
        <v>0</v>
      </c>
      <c r="W266" s="11">
        <f t="shared" si="76"/>
        <v>0</v>
      </c>
      <c r="X266" s="11">
        <f t="shared" si="87"/>
        <v>0</v>
      </c>
      <c r="Y266" s="11">
        <f t="shared" si="77"/>
        <v>0</v>
      </c>
      <c r="Z266" s="37">
        <v>1</v>
      </c>
      <c r="AA266" s="36">
        <f t="shared" si="88"/>
        <v>1</v>
      </c>
      <c r="AB266" s="36">
        <f t="shared" si="89"/>
        <v>0.28000000000000003</v>
      </c>
      <c r="AC266" s="11">
        <f t="shared" si="90"/>
        <v>0</v>
      </c>
      <c r="AD266" s="36">
        <f t="shared" si="78"/>
        <v>0</v>
      </c>
      <c r="AE266" s="36"/>
      <c r="AF266" s="36">
        <f>IFERROR(VLOOKUP(AE266,'Chemical Cost'!A:D,4,0),0)</f>
        <v>0</v>
      </c>
      <c r="AG266" s="114">
        <f t="shared" si="91"/>
        <v>0</v>
      </c>
      <c r="AH266" s="36">
        <f t="shared" si="73"/>
        <v>0</v>
      </c>
      <c r="AI266" s="36">
        <f t="shared" si="79"/>
        <v>0.28000000000000003</v>
      </c>
      <c r="AJ266" s="36">
        <f>IFERROR(VLOOKUP(A266,'All Products'!A:F,6,0),0)</f>
        <v>7.74</v>
      </c>
      <c r="AK266" s="36"/>
      <c r="AL266" s="23">
        <v>1</v>
      </c>
      <c r="AM266" s="23"/>
      <c r="AN266" s="54" t="e">
        <v>#N/A</v>
      </c>
      <c r="AO266" s="47"/>
      <c r="AP266" s="4">
        <v>1.6</v>
      </c>
      <c r="AQ266" s="111">
        <f t="shared" si="92"/>
        <v>0</v>
      </c>
      <c r="AR266">
        <f>_xlfn.XLOOKUP(F266,'RM Cost'!A:A,'RM Cost'!S:S)</f>
        <v>0</v>
      </c>
      <c r="AS266" t="e">
        <f>_xlfn.XLOOKUP(A266,[3]Sheet1!$B:$B,[3]Sheet1!$B:$B)</f>
        <v>#N/A</v>
      </c>
    </row>
    <row r="267" spans="1:46" x14ac:dyDescent="0.25">
      <c r="A267" s="1" t="s">
        <v>173</v>
      </c>
      <c r="B267" s="2" t="s">
        <v>552</v>
      </c>
      <c r="C267" s="2" t="s">
        <v>174</v>
      </c>
      <c r="D267" s="2" t="s">
        <v>554</v>
      </c>
      <c r="E267" s="2">
        <v>5.2</v>
      </c>
      <c r="F267" s="1" t="str">
        <f>VLOOKUP(H267,'RM Used'!A:B,2,0)</f>
        <v>3342CS</v>
      </c>
      <c r="G267" s="1" t="str">
        <f>IFERROR(VLOOKUP(F267,'RM Cost'!A:B,2,0),"")</f>
        <v>RM - ORI MOOLI X 15 EA</v>
      </c>
      <c r="H267" s="2" t="s">
        <v>1404</v>
      </c>
      <c r="I267" s="1" t="str">
        <f>VLOOKUP(F267,'RM Used'!B:D,3,0)</f>
        <v>RM-FOOD</v>
      </c>
      <c r="J267" s="66">
        <v>0.77</v>
      </c>
      <c r="K267" s="35">
        <f t="shared" si="74"/>
        <v>4.0040000000000004</v>
      </c>
      <c r="L267" s="35">
        <f t="shared" si="84"/>
        <v>4.0040000000000004</v>
      </c>
      <c r="M267" s="77" cm="1">
        <f t="array" ref="M267">_xlfn.IFS(BOM!I267="RM-PACKING","100%",B267="Reynolds",VLOOKUP(H267,'Yield &amp; Time'!A:V,22,0),BOM!B267="Dnata",VLOOKUP(BOM!H267,'Yield &amp; Time'!A:M,13,0),B267="NK",VLOOKUP(H267,'Yield &amp; Time'!A:X,24,0))</f>
        <v>0.80849999999999989</v>
      </c>
      <c r="N267" s="35">
        <f t="shared" si="83"/>
        <v>4.9523809523809534</v>
      </c>
      <c r="O267" s="1" t="str">
        <f>VLOOKUP(H267,'RM Used'!A:E,5,0)</f>
        <v>KG</v>
      </c>
      <c r="P267" s="11">
        <f>VLOOKUP(H267,'RM Used'!A:F,6,0)</f>
        <v>1.23</v>
      </c>
      <c r="Q267" s="11">
        <f t="shared" si="93"/>
        <v>6.0914285714285725</v>
      </c>
      <c r="R267" s="11">
        <f>IFERROR(IF(B267="Reynolds",VLOOKUP(H267,'Yield &amp; Time'!A:U,21,0),VLOOKUP(H267,'Yield &amp; Time'!A:L,12,0)),0)</f>
        <v>1.5223871366728512</v>
      </c>
      <c r="S267" s="11">
        <f t="shared" si="85"/>
        <v>2.0633734952380953</v>
      </c>
      <c r="T267" s="11">
        <f t="shared" si="86"/>
        <v>0.10159396825396828</v>
      </c>
      <c r="U267" s="11">
        <f>IF(A266=A267,0,VLOOKUP(A267,'Packing Time'!A:F,6,0))</f>
        <v>2.4299999999999997</v>
      </c>
      <c r="V267" s="11">
        <f t="shared" si="75"/>
        <v>0.82255499999999981</v>
      </c>
      <c r="W267" s="11">
        <f t="shared" si="76"/>
        <v>4.0499999999999994E-2</v>
      </c>
      <c r="X267" s="11">
        <f t="shared" si="87"/>
        <v>3.1745213447619056</v>
      </c>
      <c r="Y267" s="11">
        <f t="shared" si="77"/>
        <v>3.1745213447619056</v>
      </c>
      <c r="Z267" s="37">
        <v>1</v>
      </c>
      <c r="AA267" s="36">
        <f t="shared" si="88"/>
        <v>4.9523809523809534</v>
      </c>
      <c r="AB267" s="36">
        <f t="shared" si="89"/>
        <v>6.0914285714285725</v>
      </c>
      <c r="AC267" s="11">
        <f t="shared" si="90"/>
        <v>0.15630336507936513</v>
      </c>
      <c r="AD267" s="36">
        <f t="shared" si="78"/>
        <v>3.1745213447619052</v>
      </c>
      <c r="AE267" s="36" t="str">
        <f>VLOOKUP(H267,'Yield &amp; Time'!A:R,18,0)</f>
        <v>CHLORINE</v>
      </c>
      <c r="AF267" s="36">
        <f>IFERROR(VLOOKUP(AE267,'Chemical Cost'!A:D,4,0),0)</f>
        <v>2.7756518066439469E-2</v>
      </c>
      <c r="AG267" s="114">
        <f t="shared" si="91"/>
        <v>4.5820283792217552E-2</v>
      </c>
      <c r="AH267" s="36">
        <f t="shared" si="73"/>
        <v>4.5820283792217552E-2</v>
      </c>
      <c r="AI267" s="36">
        <f t="shared" si="79"/>
        <v>9.3117701999826963</v>
      </c>
      <c r="AJ267" s="36">
        <f>IFERROR(VLOOKUP(A267,'All Products'!A:F,6,0),0)</f>
        <v>17.239999999999998</v>
      </c>
      <c r="AK267" s="36">
        <f>AJ267*Z267*J267</f>
        <v>13.274799999999999</v>
      </c>
      <c r="AL267" s="23">
        <v>9.9999999999999978E-2</v>
      </c>
      <c r="AM267" s="23">
        <v>0.9</v>
      </c>
      <c r="AN267" s="54" t="e">
        <v>#N/A</v>
      </c>
      <c r="AO267" s="47"/>
      <c r="AP267" s="4">
        <v>1.1000000000000001</v>
      </c>
      <c r="AQ267" s="111">
        <f t="shared" si="92"/>
        <v>0.15630336507936513</v>
      </c>
      <c r="AR267">
        <f>_xlfn.XLOOKUP(F267,'RM Cost'!A:A,'RM Cost'!S:S)</f>
        <v>0</v>
      </c>
      <c r="AS267" t="str">
        <f>_xlfn.XLOOKUP(A267,[3]Sheet1!$B:$B,[3]Sheet1!$B:$B)</f>
        <v>584ACS</v>
      </c>
      <c r="AT267">
        <f>_xlfn.XLOOKUP(H267,'Yield &amp; Time'!A:A,'Yield &amp; Time'!F:F)</f>
        <v>0</v>
      </c>
    </row>
    <row r="268" spans="1:46" x14ac:dyDescent="0.25">
      <c r="A268" s="1" t="s">
        <v>173</v>
      </c>
      <c r="B268" s="2" t="s">
        <v>552</v>
      </c>
      <c r="C268" s="2" t="s">
        <v>174</v>
      </c>
      <c r="D268" s="2" t="s">
        <v>554</v>
      </c>
      <c r="E268" s="2">
        <v>5.2</v>
      </c>
      <c r="F268" s="1" t="str">
        <f>VLOOKUP(H268,'RM Used'!A:B,2,0)</f>
        <v>HS685</v>
      </c>
      <c r="G268" s="1" t="str">
        <f>IFERROR(VLOOKUP(F268,'RM Cost'!A:B,2,0),"")</f>
        <v>RM - TIC AMAZU PICKLING VINEGAR 5KG</v>
      </c>
      <c r="H268" s="2" t="s">
        <v>1386</v>
      </c>
      <c r="I268" s="1" t="str">
        <f>VLOOKUP(F268,'RM Used'!B:D,3,0)</f>
        <v>RM-FOOD</v>
      </c>
      <c r="J268" s="66">
        <v>0.23</v>
      </c>
      <c r="K268" s="35">
        <f t="shared" si="74"/>
        <v>1.1960000000000002</v>
      </c>
      <c r="L268" s="35">
        <f t="shared" si="84"/>
        <v>1.1960000000000002</v>
      </c>
      <c r="M268" s="77" cm="1">
        <f t="array" ref="M268">_xlfn.IFS(BOM!I268="RM-PACKING","100%",B268="Reynolds",VLOOKUP(H268,'Yield &amp; Time'!A:V,22,0),BOM!B268="Dnata",VLOOKUP(BOM!H268,'Yield &amp; Time'!A:M,13,0),B268="NK",VLOOKUP(H268,'Yield &amp; Time'!A:X,24,0))</f>
        <v>1</v>
      </c>
      <c r="N268" s="35">
        <f t="shared" si="83"/>
        <v>1.1960000000000002</v>
      </c>
      <c r="O268" s="1" t="str">
        <f>VLOOKUP(H268,'RM Used'!A:E,5,0)</f>
        <v>KG</v>
      </c>
      <c r="P268" s="11">
        <f>VLOOKUP(H268,'RM Used'!A:F,6,0)</f>
        <v>3.6</v>
      </c>
      <c r="Q268" s="11">
        <f t="shared" si="93"/>
        <v>4.305600000000001</v>
      </c>
      <c r="R268" s="11">
        <f>IFERROR(IF(B268="Reynolds",VLOOKUP(H268,'Yield &amp; Time'!A:U,21,0),VLOOKUP(H268,'Yield &amp; Time'!A:L,12,0)),0)</f>
        <v>0</v>
      </c>
      <c r="S268" s="11">
        <f t="shared" si="85"/>
        <v>0</v>
      </c>
      <c r="T268" s="11">
        <f t="shared" si="86"/>
        <v>0</v>
      </c>
      <c r="U268" s="11">
        <f>IF(A267=A268,0,VLOOKUP(A268,'Packing Time'!A:F,6,0))</f>
        <v>0</v>
      </c>
      <c r="V268" s="11">
        <f t="shared" si="75"/>
        <v>0</v>
      </c>
      <c r="W268" s="11">
        <f t="shared" si="76"/>
        <v>0</v>
      </c>
      <c r="X268" s="11">
        <f t="shared" si="87"/>
        <v>0</v>
      </c>
      <c r="Y268" s="11">
        <f t="shared" si="77"/>
        <v>0</v>
      </c>
      <c r="Z268" s="37">
        <v>1</v>
      </c>
      <c r="AA268" s="36">
        <f t="shared" si="88"/>
        <v>1.1960000000000002</v>
      </c>
      <c r="AB268" s="36">
        <f t="shared" si="89"/>
        <v>4.305600000000001</v>
      </c>
      <c r="AC268" s="11">
        <f t="shared" si="90"/>
        <v>0</v>
      </c>
      <c r="AD268" s="36">
        <f t="shared" si="78"/>
        <v>0</v>
      </c>
      <c r="AE268" s="36"/>
      <c r="AF268" s="36">
        <f>IFERROR(VLOOKUP(AE268,'Chemical Cost'!A:D,4,0),0)</f>
        <v>0</v>
      </c>
      <c r="AG268" s="114">
        <f t="shared" si="91"/>
        <v>0</v>
      </c>
      <c r="AH268" s="36">
        <f t="shared" ref="AH268:AH333" si="94">AF268*AA268/3</f>
        <v>0</v>
      </c>
      <c r="AI268" s="36">
        <f t="shared" si="79"/>
        <v>4.305600000000001</v>
      </c>
      <c r="AJ268" s="36">
        <f>IFERROR(VLOOKUP(A268,'All Products'!A:F,6,0),0)</f>
        <v>17.239999999999998</v>
      </c>
      <c r="AK268" s="36">
        <f>AJ268*Z268*J268</f>
        <v>3.9651999999999998</v>
      </c>
      <c r="AL268" s="23">
        <v>9.9999999999999978E-2</v>
      </c>
      <c r="AM268" s="23">
        <v>0.9</v>
      </c>
      <c r="AN268" s="54" t="e">
        <v>#N/A</v>
      </c>
      <c r="AO268" s="47"/>
      <c r="AP268" s="4">
        <v>1.1000000000000001</v>
      </c>
      <c r="AQ268" s="111">
        <f t="shared" si="92"/>
        <v>0</v>
      </c>
      <c r="AR268">
        <f>_xlfn.XLOOKUP(F268,'RM Cost'!A:A,'RM Cost'!S:S)</f>
        <v>0</v>
      </c>
      <c r="AS268" t="str">
        <f>_xlfn.XLOOKUP(A268,[3]Sheet1!$B:$B,[3]Sheet1!$B:$B)</f>
        <v>584ACS</v>
      </c>
      <c r="AT268">
        <f>_xlfn.XLOOKUP(H268,'Yield &amp; Time'!A:A,'Yield &amp; Time'!F:F)</f>
        <v>0</v>
      </c>
    </row>
    <row r="269" spans="1:46" x14ac:dyDescent="0.25">
      <c r="A269" s="1" t="s">
        <v>173</v>
      </c>
      <c r="B269" s="2" t="s">
        <v>552</v>
      </c>
      <c r="C269" s="2" t="s">
        <v>174</v>
      </c>
      <c r="D269" s="2" t="s">
        <v>554</v>
      </c>
      <c r="E269" s="2">
        <v>5.2</v>
      </c>
      <c r="F269" s="1" t="str">
        <f>VLOOKUP(H269,'RM Used'!A:B,2,0)</f>
        <v>P0011</v>
      </c>
      <c r="G269" s="1" t="str">
        <f>IFERROR(VLOOKUP(F269,'RM Cost'!A:B,2,0),"")</f>
        <v>VACK PACK 300x400</v>
      </c>
      <c r="H269" s="2" t="s">
        <v>1326</v>
      </c>
      <c r="I269" s="1" t="str">
        <f>VLOOKUP(F269,'RM Used'!B:D,3,0)</f>
        <v>RM-PACKING</v>
      </c>
      <c r="J269" s="66">
        <v>1</v>
      </c>
      <c r="K269" s="35" t="str">
        <f t="shared" si="74"/>
        <v/>
      </c>
      <c r="L269" s="35">
        <f t="shared" si="84"/>
        <v>0</v>
      </c>
      <c r="M269" s="77" t="str" cm="1">
        <f t="array" ref="M269">_xlfn.IFS(BOM!I269="RM-PACKING","100%",B269="Reynolds",VLOOKUP(H269,'Yield &amp; Time'!A:V,22,0),BOM!B269="Dnata",VLOOKUP(BOM!H269,'Yield &amp; Time'!A:M,13,0),B269="NK",VLOOKUP(H269,'Yield &amp; Time'!A:X,24,0))</f>
        <v>100%</v>
      </c>
      <c r="N269" s="35">
        <v>4</v>
      </c>
      <c r="O269" s="1" t="str">
        <f>VLOOKUP(H269,'RM Used'!A:E,5,0)</f>
        <v>Count</v>
      </c>
      <c r="P269" s="11">
        <f>VLOOKUP(H269,'RM Used'!A:F,6,0)</f>
        <v>0.1</v>
      </c>
      <c r="Q269" s="11">
        <f t="shared" si="93"/>
        <v>0.4</v>
      </c>
      <c r="R269" s="11">
        <f>IFERROR(IF(B269="Reynolds",VLOOKUP(H269,'Yield &amp; Time'!A:U,21,0),VLOOKUP(H269,'Yield &amp; Time'!A:L,12,0)),0)</f>
        <v>0</v>
      </c>
      <c r="S269" s="11">
        <f t="shared" si="85"/>
        <v>0</v>
      </c>
      <c r="T269" s="11">
        <f t="shared" si="86"/>
        <v>0</v>
      </c>
      <c r="U269" s="11">
        <f>IF(A268=A269,0,VLOOKUP(A269,'Packing Time'!A:F,6,0))</f>
        <v>0</v>
      </c>
      <c r="V269" s="11">
        <f t="shared" si="75"/>
        <v>0</v>
      </c>
      <c r="W269" s="11">
        <f t="shared" si="76"/>
        <v>0</v>
      </c>
      <c r="X269" s="11">
        <f t="shared" si="87"/>
        <v>0</v>
      </c>
      <c r="Y269" s="11">
        <f t="shared" si="77"/>
        <v>0</v>
      </c>
      <c r="Z269" s="37">
        <v>1</v>
      </c>
      <c r="AA269" s="36">
        <f t="shared" si="88"/>
        <v>4</v>
      </c>
      <c r="AB269" s="36">
        <f t="shared" si="89"/>
        <v>0.4</v>
      </c>
      <c r="AC269" s="11">
        <f t="shared" si="90"/>
        <v>0</v>
      </c>
      <c r="AD269" s="36">
        <f t="shared" si="78"/>
        <v>0</v>
      </c>
      <c r="AE269" s="36"/>
      <c r="AF269" s="36">
        <f>IFERROR(VLOOKUP(AE269,'Chemical Cost'!A:D,4,0),0)</f>
        <v>0</v>
      </c>
      <c r="AG269" s="114">
        <f t="shared" si="91"/>
        <v>0</v>
      </c>
      <c r="AH269" s="36">
        <f t="shared" si="94"/>
        <v>0</v>
      </c>
      <c r="AI269" s="36">
        <f t="shared" si="79"/>
        <v>0.4</v>
      </c>
      <c r="AJ269" s="36">
        <f>IFERROR(VLOOKUP(A269,'All Products'!A:F,6,0),0)</f>
        <v>17.239999999999998</v>
      </c>
      <c r="AK269" s="36"/>
      <c r="AL269" s="23">
        <v>9.9999999999999978E-2</v>
      </c>
      <c r="AM269" s="23">
        <v>0.9</v>
      </c>
      <c r="AN269" s="54" t="e">
        <v>#N/A</v>
      </c>
      <c r="AO269" s="47"/>
      <c r="AP269" s="4">
        <v>1.1000000000000001</v>
      </c>
      <c r="AQ269" s="111">
        <f t="shared" si="92"/>
        <v>0</v>
      </c>
      <c r="AR269">
        <f>_xlfn.XLOOKUP(F269,'RM Cost'!A:A,'RM Cost'!S:S)</f>
        <v>0</v>
      </c>
      <c r="AS269" t="str">
        <f>_xlfn.XLOOKUP(A269,[3]Sheet1!$B:$B,[3]Sheet1!$B:$B)</f>
        <v>584ACS</v>
      </c>
      <c r="AT269" t="e">
        <f>_xlfn.XLOOKUP(H269,'Yield &amp; Time'!A:A,'Yield &amp; Time'!F:F)</f>
        <v>#N/A</v>
      </c>
    </row>
    <row r="270" spans="1:46" x14ac:dyDescent="0.25">
      <c r="A270" s="1" t="s">
        <v>173</v>
      </c>
      <c r="B270" s="2" t="s">
        <v>552</v>
      </c>
      <c r="C270" s="2" t="s">
        <v>174</v>
      </c>
      <c r="D270" s="2" t="s">
        <v>554</v>
      </c>
      <c r="E270" s="2">
        <v>5.2</v>
      </c>
      <c r="F270" s="1" t="str">
        <f>VLOOKUP(H270,'RM Used'!A:B,2,0)</f>
        <v>P0016</v>
      </c>
      <c r="G270" s="1" t="str">
        <f>IFERROR(VLOOKUP(F270,'RM Cost'!A:B,2,0),"")</f>
        <v>REY 40 30 BOX</v>
      </c>
      <c r="H270" s="2" t="s">
        <v>1332</v>
      </c>
      <c r="I270" s="1" t="str">
        <f>VLOOKUP(F270,'RM Used'!B:D,3,0)</f>
        <v>RM-PACKING</v>
      </c>
      <c r="J270" s="66">
        <v>1</v>
      </c>
      <c r="K270" s="35" t="str">
        <f t="shared" si="74"/>
        <v/>
      </c>
      <c r="L270" s="35">
        <f t="shared" si="84"/>
        <v>0</v>
      </c>
      <c r="M270" s="77" t="str" cm="1">
        <f t="array" ref="M270">_xlfn.IFS(BOM!I270="RM-PACKING","100%",B270="Reynolds",VLOOKUP(H270,'Yield &amp; Time'!A:V,22,0),BOM!B270="Dnata",VLOOKUP(BOM!H270,'Yield &amp; Time'!A:M,13,0),B270="NK",VLOOKUP(H270,'Yield &amp; Time'!A:X,24,0))</f>
        <v>100%</v>
      </c>
      <c r="N270" s="35">
        <f t="shared" ref="N270:N303" si="95">IFERROR(IF(I270="RM-FOOD",(E270*J270)/M270,1),0)</f>
        <v>1</v>
      </c>
      <c r="O270" s="1" t="str">
        <f>VLOOKUP(H270,'RM Used'!A:E,5,0)</f>
        <v>Count</v>
      </c>
      <c r="P270" s="11">
        <f>VLOOKUP(H270,'RM Used'!A:F,6,0)</f>
        <v>0.28000000000000003</v>
      </c>
      <c r="Q270" s="11">
        <f t="shared" si="93"/>
        <v>0.28000000000000003</v>
      </c>
      <c r="R270" s="11">
        <f>IFERROR(IF(B270="Reynolds",VLOOKUP(H270,'Yield &amp; Time'!A:U,21,0),VLOOKUP(H270,'Yield &amp; Time'!A:L,12,0)),0)</f>
        <v>0</v>
      </c>
      <c r="S270" s="11">
        <f t="shared" si="85"/>
        <v>0</v>
      </c>
      <c r="T270" s="11">
        <f t="shared" si="86"/>
        <v>0</v>
      </c>
      <c r="U270" s="11">
        <f>IF(A269=A270,0,VLOOKUP(A270,'Packing Time'!A:F,6,0))</f>
        <v>0</v>
      </c>
      <c r="V270" s="11">
        <f t="shared" si="75"/>
        <v>0</v>
      </c>
      <c r="W270" s="11">
        <f t="shared" si="76"/>
        <v>0</v>
      </c>
      <c r="X270" s="11">
        <f t="shared" si="87"/>
        <v>0</v>
      </c>
      <c r="Y270" s="11">
        <f t="shared" si="77"/>
        <v>0</v>
      </c>
      <c r="Z270" s="37">
        <v>1</v>
      </c>
      <c r="AA270" s="36">
        <f t="shared" si="88"/>
        <v>1</v>
      </c>
      <c r="AB270" s="36">
        <f t="shared" si="89"/>
        <v>0.28000000000000003</v>
      </c>
      <c r="AC270" s="11">
        <f t="shared" si="90"/>
        <v>0</v>
      </c>
      <c r="AD270" s="36">
        <f t="shared" si="78"/>
        <v>0</v>
      </c>
      <c r="AE270" s="36"/>
      <c r="AF270" s="36">
        <f>IFERROR(VLOOKUP(AE270,'Chemical Cost'!A:D,4,0),0)</f>
        <v>0</v>
      </c>
      <c r="AG270" s="114">
        <f t="shared" si="91"/>
        <v>0</v>
      </c>
      <c r="AH270" s="36">
        <f t="shared" si="94"/>
        <v>0</v>
      </c>
      <c r="AI270" s="36">
        <f t="shared" si="79"/>
        <v>0.28000000000000003</v>
      </c>
      <c r="AJ270" s="36">
        <f>IFERROR(VLOOKUP(A270,'All Products'!A:F,6,0),0)</f>
        <v>17.239999999999998</v>
      </c>
      <c r="AK270" s="36"/>
      <c r="AL270" s="23">
        <v>9.9999999999999978E-2</v>
      </c>
      <c r="AM270" s="23">
        <v>0.9</v>
      </c>
      <c r="AN270" s="54" t="e">
        <v>#N/A</v>
      </c>
      <c r="AO270" s="47"/>
      <c r="AP270" s="4">
        <v>1.1000000000000001</v>
      </c>
      <c r="AQ270" s="111">
        <f t="shared" si="92"/>
        <v>0</v>
      </c>
      <c r="AR270">
        <f>_xlfn.XLOOKUP(F270,'RM Cost'!A:A,'RM Cost'!S:S)</f>
        <v>0</v>
      </c>
      <c r="AS270" t="str">
        <f>_xlfn.XLOOKUP(A270,[3]Sheet1!$B:$B,[3]Sheet1!$B:$B)</f>
        <v>584ACS</v>
      </c>
      <c r="AT270" t="e">
        <f>_xlfn.XLOOKUP(H270,'Yield &amp; Time'!A:A,'Yield &amp; Time'!F:F)</f>
        <v>#N/A</v>
      </c>
    </row>
    <row r="271" spans="1:46" x14ac:dyDescent="0.25">
      <c r="A271" s="1" t="s">
        <v>446</v>
      </c>
      <c r="B271" s="2" t="s">
        <v>552</v>
      </c>
      <c r="C271" s="2" t="s">
        <v>590</v>
      </c>
      <c r="D271" s="2" t="s">
        <v>554</v>
      </c>
      <c r="E271" s="2">
        <v>2.5</v>
      </c>
      <c r="F271" s="1" t="str">
        <f>VLOOKUP(H271,'RM Used'!A:B,2,0)</f>
        <v>206ACS</v>
      </c>
      <c r="G271" s="1" t="str">
        <f>IFERROR(VLOOKUP(F271,'RM Cost'!A:B,2,0),"")</f>
        <v>RM - PREP ONION WHOLE 10KG</v>
      </c>
      <c r="H271" s="2" t="s">
        <v>1435</v>
      </c>
      <c r="I271" s="1" t="str">
        <f>VLOOKUP(F271,'RM Used'!B:D,3,0)</f>
        <v>RM-FOOD</v>
      </c>
      <c r="J271" s="66">
        <v>1</v>
      </c>
      <c r="K271" s="35">
        <f t="shared" si="74"/>
        <v>2.5</v>
      </c>
      <c r="L271" s="35">
        <f t="shared" si="84"/>
        <v>2.5</v>
      </c>
      <c r="M271" s="77" cm="1">
        <f t="array" ref="M271">_xlfn.IFS(BOM!I271="RM-PACKING","100%",B271="Reynolds",VLOOKUP(H271,'Yield &amp; Time'!A:V,22,0),BOM!B271="Dnata",VLOOKUP(BOM!H271,'Yield &amp; Time'!A:M,13,0),B271="NK",VLOOKUP(H271,'Yield &amp; Time'!A:X,24,0))</f>
        <v>0.82139712728001835</v>
      </c>
      <c r="N271" s="35">
        <f t="shared" si="95"/>
        <v>3.043594769169113</v>
      </c>
      <c r="O271" s="1" t="str">
        <f>VLOOKUP(H271,'RM Used'!A:E,5,0)</f>
        <v>KG</v>
      </c>
      <c r="P271" s="11">
        <f>VLOOKUP(H271,'RM Used'!A:F,6,0)</f>
        <v>0.87</v>
      </c>
      <c r="Q271" s="11">
        <f t="shared" si="93"/>
        <v>2.6479274491771281</v>
      </c>
      <c r="R271" s="11">
        <f>IFERROR(IF(B271="Reynolds",VLOOKUP(H271,'Yield &amp; Time'!A:U,21,0),VLOOKUP(H271,'Yield &amp; Time'!A:L,12,0)),0)</f>
        <v>0.65</v>
      </c>
      <c r="S271" s="11">
        <f t="shared" si="85"/>
        <v>0.5500624999999999</v>
      </c>
      <c r="T271" s="11">
        <f t="shared" si="86"/>
        <v>2.7083333333333334E-2</v>
      </c>
      <c r="U271" s="11">
        <f>IF(A270=A271,0,VLOOKUP(A271,'Packing Time'!A:F,6,0))</f>
        <v>0.875</v>
      </c>
      <c r="V271" s="11">
        <f t="shared" si="75"/>
        <v>0.29618749999999999</v>
      </c>
      <c r="W271" s="11">
        <f t="shared" si="76"/>
        <v>1.4583333333333334E-2</v>
      </c>
      <c r="X271" s="11">
        <f t="shared" si="87"/>
        <v>1.3540000000000001</v>
      </c>
      <c r="Y271" s="11">
        <f t="shared" si="77"/>
        <v>1.3540000000000001</v>
      </c>
      <c r="Z271" s="37">
        <v>1</v>
      </c>
      <c r="AA271" s="36">
        <f t="shared" si="88"/>
        <v>3.043594769169113</v>
      </c>
      <c r="AB271" s="36">
        <f t="shared" si="89"/>
        <v>2.6479274491771281</v>
      </c>
      <c r="AC271" s="11">
        <f t="shared" si="90"/>
        <v>6.6666666666666666E-2</v>
      </c>
      <c r="AD271" s="36">
        <f t="shared" si="78"/>
        <v>1.3539999999999999</v>
      </c>
      <c r="AE271" s="36" t="str">
        <f>VLOOKUP(H271,'Yield &amp; Time'!A:R,18,0)</f>
        <v>CHLORINE</v>
      </c>
      <c r="AF271" s="36">
        <f>IFERROR(VLOOKUP(AE271,'Chemical Cost'!A:D,4,0),0)</f>
        <v>2.7756518066439469E-2</v>
      </c>
      <c r="AG271" s="114">
        <f t="shared" si="91"/>
        <v>2.8159864399121048E-2</v>
      </c>
      <c r="AH271" s="36">
        <f t="shared" si="94"/>
        <v>2.8159864399121048E-2</v>
      </c>
      <c r="AI271" s="36">
        <f t="shared" si="79"/>
        <v>4.0300873135762485</v>
      </c>
      <c r="AJ271" s="36">
        <f>IFERROR(VLOOKUP(A271,'All Products'!A:F,6,0),0)</f>
        <v>6.33</v>
      </c>
      <c r="AK271" s="36">
        <f>AJ271*Z271*J271</f>
        <v>6.33</v>
      </c>
      <c r="AL271" s="23">
        <v>0.8</v>
      </c>
      <c r="AM271" s="23">
        <v>0.2</v>
      </c>
      <c r="AN271" s="54" t="e">
        <v>#N/A</v>
      </c>
      <c r="AO271" s="47"/>
      <c r="AP271" s="4">
        <v>1.6</v>
      </c>
      <c r="AQ271" s="111">
        <f t="shared" si="92"/>
        <v>6.6666666666666666E-2</v>
      </c>
      <c r="AR271">
        <f>_xlfn.XLOOKUP(F271,'RM Cost'!A:A,'RM Cost'!S:S)</f>
        <v>0</v>
      </c>
      <c r="AS271" t="e">
        <f>_xlfn.XLOOKUP(A271,[3]Sheet1!$B:$B,[3]Sheet1!$B:$B)</f>
        <v>#N/A</v>
      </c>
    </row>
    <row r="272" spans="1:46" x14ac:dyDescent="0.25">
      <c r="A272" s="1" t="s">
        <v>446</v>
      </c>
      <c r="B272" s="2" t="s">
        <v>552</v>
      </c>
      <c r="C272" s="2" t="s">
        <v>590</v>
      </c>
      <c r="D272" s="2" t="s">
        <v>554</v>
      </c>
      <c r="E272" s="2">
        <v>2.5</v>
      </c>
      <c r="F272" s="1" t="str">
        <f>VLOOKUP(H272,'RM Used'!A:B,2,0)</f>
        <v>P0020</v>
      </c>
      <c r="G272" s="1" t="str">
        <f>IFERROR(VLOOKUP(F272,'RM Cost'!A:B,2,0),"")</f>
        <v>PALE BLUE BAG 430X430MM</v>
      </c>
      <c r="H272" s="2" t="s">
        <v>1659</v>
      </c>
      <c r="I272" s="1" t="str">
        <f>VLOOKUP(F272,'RM Used'!B:D,3,0)</f>
        <v>RM-PACKING</v>
      </c>
      <c r="J272" s="66">
        <v>1</v>
      </c>
      <c r="K272" s="35" t="str">
        <f t="shared" si="74"/>
        <v/>
      </c>
      <c r="L272" s="35">
        <f t="shared" si="84"/>
        <v>0</v>
      </c>
      <c r="M272" s="77" t="str" cm="1">
        <f t="array" ref="M272">_xlfn.IFS(BOM!I272="RM-PACKING","100%",B272="Reynolds",VLOOKUP(H272,'Yield &amp; Time'!A:V,22,0),BOM!B272="Dnata",VLOOKUP(BOM!H272,'Yield &amp; Time'!A:M,13,0),B272="NK",VLOOKUP(H272,'Yield &amp; Time'!A:X,24,0))</f>
        <v>100%</v>
      </c>
      <c r="N272" s="35">
        <f t="shared" si="95"/>
        <v>1</v>
      </c>
      <c r="O272" s="1" t="str">
        <f>VLOOKUP(H272,'RM Used'!A:E,5,0)</f>
        <v>Count</v>
      </c>
      <c r="P272" s="11">
        <f>VLOOKUP(H272,'RM Used'!A:F,6,0)</f>
        <v>0.09</v>
      </c>
      <c r="Q272" s="11">
        <f t="shared" si="93"/>
        <v>0.09</v>
      </c>
      <c r="R272" s="11">
        <f>IFERROR(IF(B272="Reynolds",VLOOKUP(H272,'Yield &amp; Time'!A:U,21,0),VLOOKUP(H272,'Yield &amp; Time'!A:L,12,0)),0)</f>
        <v>0</v>
      </c>
      <c r="S272" s="11">
        <f t="shared" si="85"/>
        <v>0</v>
      </c>
      <c r="T272" s="11">
        <f t="shared" si="86"/>
        <v>0</v>
      </c>
      <c r="U272" s="11">
        <f>IF(A271=A272,0,VLOOKUP(A272,'Packing Time'!A:F,6,0))</f>
        <v>0</v>
      </c>
      <c r="V272" s="11">
        <f t="shared" si="75"/>
        <v>0</v>
      </c>
      <c r="W272" s="11">
        <f t="shared" si="76"/>
        <v>0</v>
      </c>
      <c r="X272" s="11">
        <f t="shared" si="87"/>
        <v>0</v>
      </c>
      <c r="Y272" s="11">
        <f t="shared" si="77"/>
        <v>0</v>
      </c>
      <c r="Z272" s="37">
        <v>1</v>
      </c>
      <c r="AA272" s="36">
        <f t="shared" si="88"/>
        <v>1</v>
      </c>
      <c r="AB272" s="36">
        <f t="shared" si="89"/>
        <v>0.09</v>
      </c>
      <c r="AC272" s="11">
        <f t="shared" si="90"/>
        <v>0</v>
      </c>
      <c r="AD272" s="36">
        <f t="shared" si="78"/>
        <v>0</v>
      </c>
      <c r="AE272" s="36"/>
      <c r="AF272" s="36">
        <f>IFERROR(VLOOKUP(AE272,'Chemical Cost'!A:D,4,0),0)</f>
        <v>0</v>
      </c>
      <c r="AG272" s="114">
        <f t="shared" si="91"/>
        <v>0</v>
      </c>
      <c r="AH272" s="36">
        <f t="shared" si="94"/>
        <v>0</v>
      </c>
      <c r="AI272" s="36">
        <f t="shared" si="79"/>
        <v>0.09</v>
      </c>
      <c r="AJ272" s="36">
        <f>IFERROR(VLOOKUP(A272,'All Products'!A:F,6,0),0)</f>
        <v>6.33</v>
      </c>
      <c r="AK272" s="36"/>
      <c r="AL272" s="23">
        <v>0.8</v>
      </c>
      <c r="AM272" s="23">
        <v>0.2</v>
      </c>
      <c r="AN272" s="54" t="e">
        <v>#N/A</v>
      </c>
      <c r="AO272" s="47"/>
      <c r="AP272" s="4">
        <v>1.6</v>
      </c>
      <c r="AQ272" s="111">
        <f t="shared" si="92"/>
        <v>0</v>
      </c>
      <c r="AR272">
        <f>_xlfn.XLOOKUP(F272,'RM Cost'!A:A,'RM Cost'!S:S)</f>
        <v>0</v>
      </c>
      <c r="AS272" t="e">
        <f>_xlfn.XLOOKUP(A272,[3]Sheet1!$B:$B,[3]Sheet1!$B:$B)</f>
        <v>#N/A</v>
      </c>
    </row>
    <row r="273" spans="1:46" x14ac:dyDescent="0.25">
      <c r="A273" s="1" t="s">
        <v>446</v>
      </c>
      <c r="B273" s="2" t="s">
        <v>552</v>
      </c>
      <c r="C273" s="2" t="s">
        <v>590</v>
      </c>
      <c r="D273" s="2" t="s">
        <v>554</v>
      </c>
      <c r="E273" s="2">
        <v>2.5</v>
      </c>
      <c r="F273" s="1" t="str">
        <f>VLOOKUP(H273,'RM Used'!A:B,2,0)</f>
        <v>P0016</v>
      </c>
      <c r="G273" s="1" t="str">
        <f>IFERROR(VLOOKUP(F273,'RM Cost'!A:B,2,0),"")</f>
        <v>REY 40 30 BOX</v>
      </c>
      <c r="H273" s="2" t="s">
        <v>1332</v>
      </c>
      <c r="I273" s="1" t="str">
        <f>VLOOKUP(F273,'RM Used'!B:D,3,0)</f>
        <v>RM-PACKING</v>
      </c>
      <c r="J273" s="66">
        <v>1</v>
      </c>
      <c r="K273" s="35" t="str">
        <f t="shared" ref="K273:K340" si="96">IF(I273="RM-FOOD",J273*E273,"")</f>
        <v/>
      </c>
      <c r="L273" s="35">
        <f t="shared" si="84"/>
        <v>0</v>
      </c>
      <c r="M273" s="77" t="str" cm="1">
        <f t="array" ref="M273">_xlfn.IFS(BOM!I273="RM-PACKING","100%",B273="Reynolds",VLOOKUP(H273,'Yield &amp; Time'!A:V,22,0),BOM!B273="Dnata",VLOOKUP(BOM!H273,'Yield &amp; Time'!A:M,13,0),B273="NK",VLOOKUP(H273,'Yield &amp; Time'!A:X,24,0))</f>
        <v>100%</v>
      </c>
      <c r="N273" s="35">
        <f t="shared" si="95"/>
        <v>1</v>
      </c>
      <c r="O273" s="1" t="str">
        <f>VLOOKUP(H273,'RM Used'!A:E,5,0)</f>
        <v>Count</v>
      </c>
      <c r="P273" s="11">
        <f>VLOOKUP(H273,'RM Used'!A:F,6,0)</f>
        <v>0.28000000000000003</v>
      </c>
      <c r="Q273" s="11">
        <f t="shared" si="93"/>
        <v>0.28000000000000003</v>
      </c>
      <c r="R273" s="11">
        <f>IFERROR(IF(B273="Reynolds",VLOOKUP(H273,'Yield &amp; Time'!A:U,21,0),VLOOKUP(H273,'Yield &amp; Time'!A:L,12,0)),0)</f>
        <v>0</v>
      </c>
      <c r="S273" s="11">
        <f t="shared" si="85"/>
        <v>0</v>
      </c>
      <c r="T273" s="11">
        <f t="shared" si="86"/>
        <v>0</v>
      </c>
      <c r="U273" s="11">
        <f>IF(A272=A273,0,VLOOKUP(A273,'Packing Time'!A:F,6,0))</f>
        <v>0</v>
      </c>
      <c r="V273" s="11">
        <f t="shared" si="75"/>
        <v>0</v>
      </c>
      <c r="W273" s="11">
        <f t="shared" si="76"/>
        <v>0</v>
      </c>
      <c r="X273" s="11">
        <f t="shared" si="87"/>
        <v>0</v>
      </c>
      <c r="Y273" s="11">
        <f t="shared" si="77"/>
        <v>0</v>
      </c>
      <c r="Z273" s="37">
        <v>1</v>
      </c>
      <c r="AA273" s="36">
        <f t="shared" si="88"/>
        <v>1</v>
      </c>
      <c r="AB273" s="36">
        <f t="shared" si="89"/>
        <v>0.28000000000000003</v>
      </c>
      <c r="AC273" s="11">
        <f t="shared" si="90"/>
        <v>0</v>
      </c>
      <c r="AD273" s="36">
        <f t="shared" si="78"/>
        <v>0</v>
      </c>
      <c r="AE273" s="36"/>
      <c r="AF273" s="36">
        <f>IFERROR(VLOOKUP(AE273,'Chemical Cost'!A:D,4,0),0)</f>
        <v>0</v>
      </c>
      <c r="AG273" s="114">
        <f t="shared" si="91"/>
        <v>0</v>
      </c>
      <c r="AH273" s="36">
        <f t="shared" si="94"/>
        <v>0</v>
      </c>
      <c r="AI273" s="36">
        <f t="shared" si="79"/>
        <v>0.28000000000000003</v>
      </c>
      <c r="AJ273" s="36">
        <f>IFERROR(VLOOKUP(A273,'All Products'!A:F,6,0),0)</f>
        <v>6.33</v>
      </c>
      <c r="AK273" s="36"/>
      <c r="AL273" s="23">
        <v>0.8</v>
      </c>
      <c r="AM273" s="23">
        <v>0.2</v>
      </c>
      <c r="AN273" s="54" t="e">
        <v>#N/A</v>
      </c>
      <c r="AO273" s="47"/>
      <c r="AP273" s="4">
        <v>1.6</v>
      </c>
      <c r="AQ273" s="111">
        <f t="shared" si="92"/>
        <v>0</v>
      </c>
      <c r="AR273">
        <f>_xlfn.XLOOKUP(F273,'RM Cost'!A:A,'RM Cost'!S:S)</f>
        <v>0</v>
      </c>
      <c r="AS273" t="e">
        <f>_xlfn.XLOOKUP(A273,[3]Sheet1!$B:$B,[3]Sheet1!$B:$B)</f>
        <v>#N/A</v>
      </c>
    </row>
    <row r="274" spans="1:46" x14ac:dyDescent="0.25">
      <c r="A274" s="1" t="s">
        <v>495</v>
      </c>
      <c r="B274" s="2" t="s">
        <v>552</v>
      </c>
      <c r="C274" s="2" t="s">
        <v>593</v>
      </c>
      <c r="D274" s="2" t="s">
        <v>554</v>
      </c>
      <c r="E274" s="2">
        <v>1</v>
      </c>
      <c r="F274" s="1" t="str">
        <f>VLOOKUP(H274,'RM Used'!A:B,2,0)</f>
        <v>3034CS</v>
      </c>
      <c r="G274" s="1" t="str">
        <f>IFERROR(VLOOKUP(F274,'RM Cost'!A:B,2,0),"")</f>
        <v>RM - BROCCOLI 6KG</v>
      </c>
      <c r="H274" s="2" t="s">
        <v>1357</v>
      </c>
      <c r="I274" s="1" t="str">
        <f>VLOOKUP(F274,'RM Used'!B:D,3,0)</f>
        <v>RM-FOOD</v>
      </c>
      <c r="J274" s="66">
        <v>1</v>
      </c>
      <c r="K274" s="35">
        <f t="shared" si="96"/>
        <v>1</v>
      </c>
      <c r="L274" s="35">
        <f t="shared" si="84"/>
        <v>1</v>
      </c>
      <c r="M274" s="77" cm="1">
        <f t="array" ref="M274">_xlfn.IFS(BOM!I274="RM-PACKING","100%",B274="Reynolds",VLOOKUP(H274,'Yield &amp; Time'!A:V,22,0),BOM!B274="Dnata",VLOOKUP(BOM!H274,'Yield &amp; Time'!A:M,13,0),B274="NK",VLOOKUP(H274,'Yield &amp; Time'!A:X,24,0))</f>
        <v>0.57999999999999996</v>
      </c>
      <c r="N274" s="35">
        <f t="shared" si="95"/>
        <v>1.7241379310344829</v>
      </c>
      <c r="O274" s="1" t="str">
        <f>VLOOKUP(H274,'RM Used'!A:E,5,0)</f>
        <v>KG</v>
      </c>
      <c r="P274" s="11">
        <f>VLOOKUP(H274,'RM Used'!A:F,6,0)</f>
        <v>1.02</v>
      </c>
      <c r="Q274" s="11">
        <f t="shared" si="93"/>
        <v>1.7586206896551726</v>
      </c>
      <c r="R274" s="11">
        <f>IFERROR(IF(B274="Reynolds",VLOOKUP(H274,'Yield &amp; Time'!A:U,21,0),VLOOKUP(H274,'Yield &amp; Time'!A:L,12,0)),0)</f>
        <v>2.7</v>
      </c>
      <c r="S274" s="11">
        <f t="shared" si="85"/>
        <v>0.91394999999999993</v>
      </c>
      <c r="T274" s="11">
        <f t="shared" si="86"/>
        <v>4.5000000000000005E-2</v>
      </c>
      <c r="U274" s="11">
        <f>IF(A273=A274,0,VLOOKUP(A274,'Packing Time'!A:F,6,0))</f>
        <v>0.64500000000000002</v>
      </c>
      <c r="V274" s="11">
        <f t="shared" ref="V274:V341" si="97">U274*AO$1</f>
        <v>0.21833249999999998</v>
      </c>
      <c r="W274" s="11">
        <f t="shared" ref="W274:W341" si="98">(U274*Z274)/60</f>
        <v>1.0750000000000001E-2</v>
      </c>
      <c r="X274" s="11">
        <f t="shared" si="87"/>
        <v>1.8116519999999998</v>
      </c>
      <c r="Y274" s="11">
        <f t="shared" ref="Y274:Y341" si="99">X274*Z274</f>
        <v>1.8116519999999998</v>
      </c>
      <c r="Z274" s="37">
        <v>1</v>
      </c>
      <c r="AA274" s="36">
        <f t="shared" si="88"/>
        <v>1.7241379310344829</v>
      </c>
      <c r="AB274" s="36">
        <f t="shared" si="89"/>
        <v>1.7586206896551726</v>
      </c>
      <c r="AC274" s="11">
        <f t="shared" si="90"/>
        <v>8.9200000000000002E-2</v>
      </c>
      <c r="AD274" s="36">
        <f t="shared" ref="AD274:AD341" si="100">AC274*60*AO$1</f>
        <v>1.811652</v>
      </c>
      <c r="AE274" s="36"/>
      <c r="AF274" s="36">
        <f>IFERROR(VLOOKUP(AE274,'Chemical Cost'!A:D,4,0),0)</f>
        <v>0</v>
      </c>
      <c r="AG274" s="114">
        <f t="shared" si="91"/>
        <v>0</v>
      </c>
      <c r="AH274" s="36">
        <f t="shared" si="94"/>
        <v>0</v>
      </c>
      <c r="AI274" s="36">
        <f t="shared" ref="AI274:AI341" si="101">IFERROR((Q274*Z274)+(Z274*X274)+AH274,0)</f>
        <v>3.5702726896551722</v>
      </c>
      <c r="AJ274" s="36">
        <f>IFERROR(VLOOKUP(A274,'All Products'!A:F,6,0),0)</f>
        <v>6.21</v>
      </c>
      <c r="AK274" s="36">
        <f>AJ274*Z274*J274</f>
        <v>6.21</v>
      </c>
      <c r="AL274" s="23">
        <v>1</v>
      </c>
      <c r="AM274" s="23"/>
      <c r="AN274" s="54" t="e">
        <v>#N/A</v>
      </c>
      <c r="AO274" s="47"/>
      <c r="AP274" s="4">
        <v>1.6</v>
      </c>
      <c r="AQ274" s="111">
        <f t="shared" si="92"/>
        <v>8.9200000000000002E-2</v>
      </c>
      <c r="AR274">
        <f>_xlfn.XLOOKUP(F274,'RM Cost'!A:A,'RM Cost'!S:S)</f>
        <v>0</v>
      </c>
      <c r="AS274" t="str">
        <f>_xlfn.XLOOKUP(A274,[3]Sheet1!$B:$B,[3]Sheet1!$B:$B)</f>
        <v>1646CS</v>
      </c>
      <c r="AT274">
        <f>_xlfn.XLOOKUP(H274,'Yield &amp; Time'!A:A,'Yield &amp; Time'!F:F)</f>
        <v>0</v>
      </c>
    </row>
    <row r="275" spans="1:46" x14ac:dyDescent="0.25">
      <c r="A275" s="1" t="s">
        <v>495</v>
      </c>
      <c r="B275" s="2" t="s">
        <v>552</v>
      </c>
      <c r="C275" s="2" t="s">
        <v>593</v>
      </c>
      <c r="D275" s="2" t="s">
        <v>554</v>
      </c>
      <c r="E275" s="2">
        <v>1</v>
      </c>
      <c r="F275" s="1" t="str">
        <f>VLOOKUP(H275,'RM Used'!A:B,2,0)</f>
        <v>P0020</v>
      </c>
      <c r="G275" s="1" t="str">
        <f>IFERROR(VLOOKUP(F275,'RM Cost'!A:B,2,0),"")</f>
        <v>PALE BLUE BAG 430X430MM</v>
      </c>
      <c r="H275" s="2" t="s">
        <v>1659</v>
      </c>
      <c r="I275" s="1" t="str">
        <f>VLOOKUP(F275,'RM Used'!B:D,3,0)</f>
        <v>RM-PACKING</v>
      </c>
      <c r="J275" s="66">
        <v>1</v>
      </c>
      <c r="K275" s="35" t="str">
        <f t="shared" si="96"/>
        <v/>
      </c>
      <c r="L275" s="35">
        <f t="shared" si="84"/>
        <v>0</v>
      </c>
      <c r="M275" s="77" t="str" cm="1">
        <f t="array" ref="M275">_xlfn.IFS(BOM!I275="RM-PACKING","100%",B275="Reynolds",VLOOKUP(H275,'Yield &amp; Time'!A:V,22,0),BOM!B275="Dnata",VLOOKUP(BOM!H275,'Yield &amp; Time'!A:M,13,0),B275="NK",VLOOKUP(H275,'Yield &amp; Time'!A:X,24,0))</f>
        <v>100%</v>
      </c>
      <c r="N275" s="35">
        <f t="shared" si="95"/>
        <v>1</v>
      </c>
      <c r="O275" s="1" t="str">
        <f>VLOOKUP(H275,'RM Used'!A:E,5,0)</f>
        <v>Count</v>
      </c>
      <c r="P275" s="11">
        <f>VLOOKUP(H275,'RM Used'!A:F,6,0)</f>
        <v>0.09</v>
      </c>
      <c r="Q275" s="11">
        <f t="shared" si="93"/>
        <v>0.09</v>
      </c>
      <c r="R275" s="11">
        <f>IFERROR(IF(B275="Reynolds",VLOOKUP(H275,'Yield &amp; Time'!A:U,21,0),VLOOKUP(H275,'Yield &amp; Time'!A:L,12,0)),0)</f>
        <v>0</v>
      </c>
      <c r="S275" s="11">
        <f t="shared" si="85"/>
        <v>0</v>
      </c>
      <c r="T275" s="11">
        <f t="shared" si="86"/>
        <v>0</v>
      </c>
      <c r="U275" s="11">
        <f>IF(A274=A275,0,VLOOKUP(A275,'Packing Time'!A:F,6,0))</f>
        <v>0</v>
      </c>
      <c r="V275" s="11">
        <f t="shared" si="97"/>
        <v>0</v>
      </c>
      <c r="W275" s="11">
        <f t="shared" si="98"/>
        <v>0</v>
      </c>
      <c r="X275" s="11">
        <f t="shared" si="87"/>
        <v>0</v>
      </c>
      <c r="Y275" s="11">
        <f t="shared" si="99"/>
        <v>0</v>
      </c>
      <c r="Z275" s="37">
        <v>1</v>
      </c>
      <c r="AA275" s="36">
        <f t="shared" si="88"/>
        <v>1</v>
      </c>
      <c r="AB275" s="36">
        <f t="shared" si="89"/>
        <v>0.09</v>
      </c>
      <c r="AC275" s="11">
        <f t="shared" si="90"/>
        <v>0</v>
      </c>
      <c r="AD275" s="36">
        <f t="shared" si="100"/>
        <v>0</v>
      </c>
      <c r="AE275" s="36"/>
      <c r="AF275" s="36">
        <f>IFERROR(VLOOKUP(AE275,'Chemical Cost'!A:D,4,0),0)</f>
        <v>0</v>
      </c>
      <c r="AG275" s="114">
        <f t="shared" si="91"/>
        <v>0</v>
      </c>
      <c r="AH275" s="36">
        <f t="shared" si="94"/>
        <v>0</v>
      </c>
      <c r="AI275" s="36">
        <f t="shared" si="101"/>
        <v>0.09</v>
      </c>
      <c r="AJ275" s="36">
        <f>IFERROR(VLOOKUP(A275,'All Products'!A:F,6,0),0)</f>
        <v>6.21</v>
      </c>
      <c r="AK275" s="36"/>
      <c r="AL275" s="23">
        <v>1</v>
      </c>
      <c r="AM275" s="23"/>
      <c r="AN275" s="54" t="e">
        <v>#N/A</v>
      </c>
      <c r="AO275" s="47"/>
      <c r="AP275" s="4">
        <v>1.6</v>
      </c>
      <c r="AQ275" s="111">
        <f t="shared" si="92"/>
        <v>0</v>
      </c>
      <c r="AR275">
        <f>_xlfn.XLOOKUP(F275,'RM Cost'!A:A,'RM Cost'!S:S)</f>
        <v>0</v>
      </c>
      <c r="AS275" t="str">
        <f>_xlfn.XLOOKUP(A275,[3]Sheet1!$B:$B,[3]Sheet1!$B:$B)</f>
        <v>1646CS</v>
      </c>
      <c r="AT275" t="e">
        <f>_xlfn.XLOOKUP(H275,'Yield &amp; Time'!A:A,'Yield &amp; Time'!F:F)</f>
        <v>#N/A</v>
      </c>
    </row>
    <row r="276" spans="1:46" x14ac:dyDescent="0.25">
      <c r="A276" s="1" t="s">
        <v>495</v>
      </c>
      <c r="B276" s="2" t="s">
        <v>552</v>
      </c>
      <c r="C276" s="2" t="s">
        <v>593</v>
      </c>
      <c r="D276" s="2" t="s">
        <v>554</v>
      </c>
      <c r="E276" s="2">
        <v>1</v>
      </c>
      <c r="F276" s="1" t="str">
        <f>VLOOKUP(H276,'RM Used'!A:B,2,0)</f>
        <v>P0016</v>
      </c>
      <c r="G276" s="1" t="str">
        <f>IFERROR(VLOOKUP(F276,'RM Cost'!A:B,2,0),"")</f>
        <v>REY 40 30 BOX</v>
      </c>
      <c r="H276" s="2" t="s">
        <v>1332</v>
      </c>
      <c r="I276" s="1" t="str">
        <f>VLOOKUP(F276,'RM Used'!B:D,3,0)</f>
        <v>RM-PACKING</v>
      </c>
      <c r="J276" s="66">
        <v>1</v>
      </c>
      <c r="K276" s="35" t="str">
        <f t="shared" si="96"/>
        <v/>
      </c>
      <c r="L276" s="35">
        <f t="shared" si="84"/>
        <v>0</v>
      </c>
      <c r="M276" s="77" t="str" cm="1">
        <f t="array" ref="M276">_xlfn.IFS(BOM!I276="RM-PACKING","100%",B276="Reynolds",VLOOKUP(H276,'Yield &amp; Time'!A:V,22,0),BOM!B276="Dnata",VLOOKUP(BOM!H276,'Yield &amp; Time'!A:M,13,0),B276="NK",VLOOKUP(H276,'Yield &amp; Time'!A:X,24,0))</f>
        <v>100%</v>
      </c>
      <c r="N276" s="35">
        <f t="shared" si="95"/>
        <v>1</v>
      </c>
      <c r="O276" s="1" t="str">
        <f>VLOOKUP(H276,'RM Used'!A:E,5,0)</f>
        <v>Count</v>
      </c>
      <c r="P276" s="11">
        <f>VLOOKUP(H276,'RM Used'!A:F,6,0)</f>
        <v>0.28000000000000003</v>
      </c>
      <c r="Q276" s="11">
        <f t="shared" si="93"/>
        <v>0.28000000000000003</v>
      </c>
      <c r="R276" s="11">
        <f>IFERROR(IF(B276="Reynolds",VLOOKUP(H276,'Yield &amp; Time'!A:U,21,0),VLOOKUP(H276,'Yield &amp; Time'!A:L,12,0)),0)</f>
        <v>0</v>
      </c>
      <c r="S276" s="11">
        <f t="shared" si="85"/>
        <v>0</v>
      </c>
      <c r="T276" s="11">
        <f t="shared" si="86"/>
        <v>0</v>
      </c>
      <c r="U276" s="11">
        <f>IF(A275=A276,0,VLOOKUP(A276,'Packing Time'!A:F,6,0))</f>
        <v>0</v>
      </c>
      <c r="V276" s="11">
        <f t="shared" si="97"/>
        <v>0</v>
      </c>
      <c r="W276" s="11">
        <f t="shared" si="98"/>
        <v>0</v>
      </c>
      <c r="X276" s="11">
        <f t="shared" si="87"/>
        <v>0</v>
      </c>
      <c r="Y276" s="11">
        <f t="shared" si="99"/>
        <v>0</v>
      </c>
      <c r="Z276" s="37">
        <v>1</v>
      </c>
      <c r="AA276" s="36">
        <f t="shared" si="88"/>
        <v>1</v>
      </c>
      <c r="AB276" s="36">
        <f t="shared" si="89"/>
        <v>0.28000000000000003</v>
      </c>
      <c r="AC276" s="11">
        <f t="shared" si="90"/>
        <v>0</v>
      </c>
      <c r="AD276" s="36">
        <f t="shared" si="100"/>
        <v>0</v>
      </c>
      <c r="AE276" s="36"/>
      <c r="AF276" s="36">
        <f>IFERROR(VLOOKUP(AE276,'Chemical Cost'!A:D,4,0),0)</f>
        <v>0</v>
      </c>
      <c r="AG276" s="114">
        <f t="shared" si="91"/>
        <v>0</v>
      </c>
      <c r="AH276" s="36">
        <f t="shared" si="94"/>
        <v>0</v>
      </c>
      <c r="AI276" s="36">
        <f t="shared" si="101"/>
        <v>0.28000000000000003</v>
      </c>
      <c r="AJ276" s="36">
        <f>IFERROR(VLOOKUP(A276,'All Products'!A:F,6,0),0)</f>
        <v>6.21</v>
      </c>
      <c r="AK276" s="36"/>
      <c r="AL276" s="23">
        <v>1</v>
      </c>
      <c r="AM276" s="23"/>
      <c r="AN276" s="54" t="e">
        <v>#N/A</v>
      </c>
      <c r="AO276" s="47"/>
      <c r="AP276" s="4">
        <v>1.6</v>
      </c>
      <c r="AQ276" s="111">
        <f t="shared" si="92"/>
        <v>0</v>
      </c>
      <c r="AR276">
        <f>_xlfn.XLOOKUP(F276,'RM Cost'!A:A,'RM Cost'!S:S)</f>
        <v>0</v>
      </c>
      <c r="AS276" t="str">
        <f>_xlfn.XLOOKUP(A276,[3]Sheet1!$B:$B,[3]Sheet1!$B:$B)</f>
        <v>1646CS</v>
      </c>
      <c r="AT276" t="e">
        <f>_xlfn.XLOOKUP(H276,'Yield &amp; Time'!A:A,'Yield &amp; Time'!F:F)</f>
        <v>#N/A</v>
      </c>
    </row>
    <row r="277" spans="1:46" x14ac:dyDescent="0.25">
      <c r="A277" s="1" t="s">
        <v>94</v>
      </c>
      <c r="B277" s="2" t="s">
        <v>552</v>
      </c>
      <c r="C277" s="2" t="s">
        <v>594</v>
      </c>
      <c r="D277" s="2" t="s">
        <v>595</v>
      </c>
      <c r="E277" s="48">
        <v>2.21</v>
      </c>
      <c r="F277" s="1" t="str">
        <f>VLOOKUP(H277,'RM Used'!A:B,2,0)</f>
        <v>3221CS</v>
      </c>
      <c r="G277" s="1" t="str">
        <f>IFERROR(VLOOKUP(F277,'RM Cost'!A:B,2,0),"")</f>
        <v>BAKING POTATO X50 EA</v>
      </c>
      <c r="H277" s="2" t="s">
        <v>1452</v>
      </c>
      <c r="I277" s="1" t="str">
        <f>VLOOKUP(F277,'RM Used'!B:D,3,0)</f>
        <v>RM-FOOD</v>
      </c>
      <c r="J277" s="66">
        <v>1</v>
      </c>
      <c r="K277" s="35">
        <f t="shared" si="96"/>
        <v>2.21</v>
      </c>
      <c r="L277" s="35">
        <f t="shared" si="84"/>
        <v>2.21</v>
      </c>
      <c r="M277" s="77" cm="1">
        <f t="array" ref="M277">_xlfn.IFS(BOM!I277="RM-PACKING","100%",B277="Reynolds",VLOOKUP(H277,'Yield &amp; Time'!A:V,22,0),BOM!B277="Dnata",VLOOKUP(BOM!H277,'Yield &amp; Time'!A:M,13,0),B277="NK",VLOOKUP(H277,'Yield &amp; Time'!A:X,24,0))</f>
        <v>0.27129094412331406</v>
      </c>
      <c r="N277" s="35">
        <f t="shared" si="95"/>
        <v>8.1462357954545457</v>
      </c>
      <c r="O277" s="1" t="str">
        <f>VLOOKUP(H277,'RM Used'!A:E,5,0)</f>
        <v>KG</v>
      </c>
      <c r="P277" s="11">
        <f>VLOOKUP(H277,'RM Used'!A:F,6,0)</f>
        <v>0.57000000000000006</v>
      </c>
      <c r="Q277" s="11">
        <f t="shared" si="93"/>
        <v>4.6433544034090914</v>
      </c>
      <c r="R277" s="11">
        <f>IFERROR(IF(B277="Reynolds",VLOOKUP(H277,'Yield &amp; Time'!A:U,21,0),VLOOKUP(H277,'Yield &amp; Time'!A:L,12,0)),0)</f>
        <v>2.6568181818181817</v>
      </c>
      <c r="S277" s="11">
        <f t="shared" si="85"/>
        <v>1.9875258295454543</v>
      </c>
      <c r="T277" s="11">
        <f t="shared" si="86"/>
        <v>9.7859469696969695E-2</v>
      </c>
      <c r="U277" s="11">
        <f>IF(A276=A277,0,VLOOKUP(A277,'Packing Time'!A:F,6,0))</f>
        <v>0.8</v>
      </c>
      <c r="V277" s="11">
        <f t="shared" si="97"/>
        <v>0.27079999999999999</v>
      </c>
      <c r="W277" s="11">
        <f t="shared" si="98"/>
        <v>1.3333333333333334E-2</v>
      </c>
      <c r="X277" s="11">
        <f t="shared" si="87"/>
        <v>2.4841584124999998</v>
      </c>
      <c r="Y277" s="11">
        <f t="shared" si="99"/>
        <v>2.4841584124999998</v>
      </c>
      <c r="Z277" s="37">
        <v>1</v>
      </c>
      <c r="AA277" s="36">
        <f t="shared" si="88"/>
        <v>8.1462357954545457</v>
      </c>
      <c r="AB277" s="36">
        <f t="shared" si="89"/>
        <v>4.6433544034090914</v>
      </c>
      <c r="AC277" s="11">
        <f t="shared" si="90"/>
        <v>0.12231208333333335</v>
      </c>
      <c r="AD277" s="36">
        <f t="shared" si="100"/>
        <v>2.4841584125000002</v>
      </c>
      <c r="AE277" s="36" t="str">
        <f>VLOOKUP(H277,'Yield &amp; Time'!A:R,18,0)</f>
        <v>SODIUM METABISULPHITE</v>
      </c>
      <c r="AF277" s="36">
        <f>IFERROR(VLOOKUP(AE277,'Chemical Cost'!A:D,4,0),0)</f>
        <v>9.7586225455882462E-3</v>
      </c>
      <c r="AG277" s="114">
        <f t="shared" si="91"/>
        <v>2.6498680098400243E-2</v>
      </c>
      <c r="AH277" s="36">
        <f t="shared" si="94"/>
        <v>2.6498680098400243E-2</v>
      </c>
      <c r="AI277" s="36">
        <f t="shared" si="101"/>
        <v>7.1540114960074908</v>
      </c>
      <c r="AJ277" s="36">
        <f>IFERROR(VLOOKUP(A277,'All Products'!A:F,6,0),0)</f>
        <v>21.01</v>
      </c>
      <c r="AK277" s="36">
        <f>AJ277*Z277*J277</f>
        <v>21.01</v>
      </c>
      <c r="AL277" s="23">
        <v>1</v>
      </c>
      <c r="AM277" s="23"/>
      <c r="AN277" s="54" t="e">
        <v>#N/A</v>
      </c>
      <c r="AO277" s="47"/>
      <c r="AP277" s="4">
        <v>1.1000000000000001</v>
      </c>
      <c r="AQ277" s="111">
        <f t="shared" si="92"/>
        <v>0.12231208333333335</v>
      </c>
      <c r="AR277">
        <f>_xlfn.XLOOKUP(F277,'RM Cost'!A:A,'RM Cost'!S:S)</f>
        <v>0</v>
      </c>
      <c r="AS277" t="str">
        <f>_xlfn.XLOOKUP(A277,[3]Sheet1!$B:$B,[3]Sheet1!$B:$B)</f>
        <v>2089CS</v>
      </c>
      <c r="AT277">
        <f>_xlfn.XLOOKUP(H277,'Yield &amp; Time'!A:A,'Yield &amp; Time'!F:F)</f>
        <v>0</v>
      </c>
    </row>
    <row r="278" spans="1:46" x14ac:dyDescent="0.25">
      <c r="A278" s="1" t="s">
        <v>94</v>
      </c>
      <c r="B278" s="2" t="s">
        <v>552</v>
      </c>
      <c r="C278" s="2" t="s">
        <v>594</v>
      </c>
      <c r="D278" s="2" t="s">
        <v>595</v>
      </c>
      <c r="E278" s="48">
        <v>2.21</v>
      </c>
      <c r="F278" s="1" t="str">
        <f>VLOOKUP(H278,'RM Used'!A:B,2,0)</f>
        <v>P0020</v>
      </c>
      <c r="G278" s="1" t="str">
        <f>IFERROR(VLOOKUP(F278,'RM Cost'!A:B,2,0),"")</f>
        <v>PALE BLUE BAG 430X430MM</v>
      </c>
      <c r="H278" s="2" t="s">
        <v>1659</v>
      </c>
      <c r="I278" s="1" t="str">
        <f>VLOOKUP(F278,'RM Used'!B:D,3,0)</f>
        <v>RM-PACKING</v>
      </c>
      <c r="J278" s="66">
        <v>1</v>
      </c>
      <c r="K278" s="35" t="str">
        <f t="shared" si="96"/>
        <v/>
      </c>
      <c r="L278" s="35">
        <f t="shared" si="84"/>
        <v>0</v>
      </c>
      <c r="M278" s="77" t="str" cm="1">
        <f t="array" ref="M278">_xlfn.IFS(BOM!I278="RM-PACKING","100%",B278="Reynolds",VLOOKUP(H278,'Yield &amp; Time'!A:V,22,0),BOM!B278="Dnata",VLOOKUP(BOM!H278,'Yield &amp; Time'!A:M,13,0),B278="NK",VLOOKUP(H278,'Yield &amp; Time'!A:X,24,0))</f>
        <v>100%</v>
      </c>
      <c r="N278" s="35">
        <f t="shared" si="95"/>
        <v>1</v>
      </c>
      <c r="O278" s="1" t="str">
        <f>VLOOKUP(H278,'RM Used'!A:E,5,0)</f>
        <v>Count</v>
      </c>
      <c r="P278" s="11">
        <f>VLOOKUP(H278,'RM Used'!A:F,6,0)</f>
        <v>0.09</v>
      </c>
      <c r="Q278" s="11">
        <f t="shared" si="93"/>
        <v>0.09</v>
      </c>
      <c r="R278" s="11">
        <f>IFERROR(IF(B278="Reynolds",VLOOKUP(H278,'Yield &amp; Time'!A:U,21,0),VLOOKUP(H278,'Yield &amp; Time'!A:L,12,0)),0)</f>
        <v>0</v>
      </c>
      <c r="S278" s="11">
        <f t="shared" si="85"/>
        <v>0</v>
      </c>
      <c r="T278" s="11">
        <f t="shared" si="86"/>
        <v>0</v>
      </c>
      <c r="U278" s="11">
        <f>IF(A277=A278,0,VLOOKUP(A278,'Packing Time'!A:F,6,0))</f>
        <v>0</v>
      </c>
      <c r="V278" s="11">
        <f t="shared" si="97"/>
        <v>0</v>
      </c>
      <c r="W278" s="11">
        <f t="shared" si="98"/>
        <v>0</v>
      </c>
      <c r="X278" s="11">
        <f t="shared" si="87"/>
        <v>0</v>
      </c>
      <c r="Y278" s="11">
        <f t="shared" si="99"/>
        <v>0</v>
      </c>
      <c r="Z278" s="37">
        <v>1</v>
      </c>
      <c r="AA278" s="36">
        <f t="shared" si="88"/>
        <v>1</v>
      </c>
      <c r="AB278" s="36">
        <f t="shared" si="89"/>
        <v>0.09</v>
      </c>
      <c r="AC278" s="11">
        <f t="shared" si="90"/>
        <v>0</v>
      </c>
      <c r="AD278" s="36">
        <f t="shared" si="100"/>
        <v>0</v>
      </c>
      <c r="AE278" s="36"/>
      <c r="AF278" s="36">
        <f>IFERROR(VLOOKUP(AE278,'Chemical Cost'!A:D,4,0),0)</f>
        <v>0</v>
      </c>
      <c r="AG278" s="114">
        <f t="shared" si="91"/>
        <v>0</v>
      </c>
      <c r="AH278" s="36">
        <f t="shared" si="94"/>
        <v>0</v>
      </c>
      <c r="AI278" s="36">
        <f t="shared" si="101"/>
        <v>0.09</v>
      </c>
      <c r="AJ278" s="36">
        <f>IFERROR(VLOOKUP(A278,'All Products'!A:F,6,0),0)</f>
        <v>21.01</v>
      </c>
      <c r="AK278" s="36"/>
      <c r="AL278" s="23">
        <v>1</v>
      </c>
      <c r="AM278" s="23"/>
      <c r="AN278" s="54" t="e">
        <v>#N/A</v>
      </c>
      <c r="AO278" s="47"/>
      <c r="AP278" s="4">
        <v>1.1000000000000001</v>
      </c>
      <c r="AQ278" s="111">
        <f t="shared" si="92"/>
        <v>0</v>
      </c>
      <c r="AR278">
        <f>_xlfn.XLOOKUP(F278,'RM Cost'!A:A,'RM Cost'!S:S)</f>
        <v>0</v>
      </c>
      <c r="AS278" t="str">
        <f>_xlfn.XLOOKUP(A278,[3]Sheet1!$B:$B,[3]Sheet1!$B:$B)</f>
        <v>2089CS</v>
      </c>
      <c r="AT278" t="e">
        <f>_xlfn.XLOOKUP(H278,'Yield &amp; Time'!A:A,'Yield &amp; Time'!F:F)</f>
        <v>#N/A</v>
      </c>
    </row>
    <row r="279" spans="1:46" x14ac:dyDescent="0.25">
      <c r="A279" s="1" t="s">
        <v>94</v>
      </c>
      <c r="B279" s="2" t="s">
        <v>552</v>
      </c>
      <c r="C279" s="2" t="s">
        <v>594</v>
      </c>
      <c r="D279" s="2" t="s">
        <v>595</v>
      </c>
      <c r="E279" s="48">
        <v>2.21</v>
      </c>
      <c r="F279" s="1" t="str">
        <f>VLOOKUP(H279,'RM Used'!A:B,2,0)</f>
        <v>P0016</v>
      </c>
      <c r="G279" s="1" t="str">
        <f>IFERROR(VLOOKUP(F279,'RM Cost'!A:B,2,0),"")</f>
        <v>REY 40 30 BOX</v>
      </c>
      <c r="H279" s="2" t="s">
        <v>1332</v>
      </c>
      <c r="I279" s="1" t="str">
        <f>VLOOKUP(F279,'RM Used'!B:D,3,0)</f>
        <v>RM-PACKING</v>
      </c>
      <c r="J279" s="66">
        <v>1</v>
      </c>
      <c r="K279" s="35" t="str">
        <f t="shared" si="96"/>
        <v/>
      </c>
      <c r="L279" s="35">
        <f t="shared" si="84"/>
        <v>0</v>
      </c>
      <c r="M279" s="77" t="str" cm="1">
        <f t="array" ref="M279">_xlfn.IFS(BOM!I279="RM-PACKING","100%",B279="Reynolds",VLOOKUP(H279,'Yield &amp; Time'!A:V,22,0),BOM!B279="Dnata",VLOOKUP(BOM!H279,'Yield &amp; Time'!A:M,13,0),B279="NK",VLOOKUP(H279,'Yield &amp; Time'!A:X,24,0))</f>
        <v>100%</v>
      </c>
      <c r="N279" s="35">
        <f t="shared" si="95"/>
        <v>1</v>
      </c>
      <c r="O279" s="1" t="str">
        <f>VLOOKUP(H279,'RM Used'!A:E,5,0)</f>
        <v>Count</v>
      </c>
      <c r="P279" s="11">
        <f>VLOOKUP(H279,'RM Used'!A:F,6,0)</f>
        <v>0.28000000000000003</v>
      </c>
      <c r="Q279" s="11">
        <f t="shared" si="93"/>
        <v>0.28000000000000003</v>
      </c>
      <c r="R279" s="11">
        <f>IFERROR(IF(B279="Reynolds",VLOOKUP(H279,'Yield &amp; Time'!A:U,21,0),VLOOKUP(H279,'Yield &amp; Time'!A:L,12,0)),0)</f>
        <v>0</v>
      </c>
      <c r="S279" s="11">
        <f t="shared" si="85"/>
        <v>0</v>
      </c>
      <c r="T279" s="11">
        <f t="shared" si="86"/>
        <v>0</v>
      </c>
      <c r="U279" s="11">
        <f>IF(A278=A279,0,VLOOKUP(A279,'Packing Time'!A:F,6,0))</f>
        <v>0</v>
      </c>
      <c r="V279" s="11">
        <f t="shared" si="97"/>
        <v>0</v>
      </c>
      <c r="W279" s="11">
        <f t="shared" si="98"/>
        <v>0</v>
      </c>
      <c r="X279" s="11">
        <f t="shared" si="87"/>
        <v>0</v>
      </c>
      <c r="Y279" s="11">
        <f t="shared" si="99"/>
        <v>0</v>
      </c>
      <c r="Z279" s="37">
        <v>1</v>
      </c>
      <c r="AA279" s="36">
        <f t="shared" si="88"/>
        <v>1</v>
      </c>
      <c r="AB279" s="36">
        <f t="shared" si="89"/>
        <v>0.28000000000000003</v>
      </c>
      <c r="AC279" s="11">
        <f t="shared" si="90"/>
        <v>0</v>
      </c>
      <c r="AD279" s="36">
        <f t="shared" si="100"/>
        <v>0</v>
      </c>
      <c r="AE279" s="36"/>
      <c r="AF279" s="36">
        <f>IFERROR(VLOOKUP(AE279,'Chemical Cost'!A:D,4,0),0)</f>
        <v>0</v>
      </c>
      <c r="AG279" s="114">
        <f t="shared" si="91"/>
        <v>0</v>
      </c>
      <c r="AH279" s="36">
        <f t="shared" si="94"/>
        <v>0</v>
      </c>
      <c r="AI279" s="36">
        <f t="shared" si="101"/>
        <v>0.28000000000000003</v>
      </c>
      <c r="AJ279" s="36">
        <f>IFERROR(VLOOKUP(A279,'All Products'!A:F,6,0),0)</f>
        <v>21.01</v>
      </c>
      <c r="AK279" s="36"/>
      <c r="AL279" s="23">
        <v>1</v>
      </c>
      <c r="AM279" s="23"/>
      <c r="AN279" s="54" t="e">
        <v>#N/A</v>
      </c>
      <c r="AO279" s="47"/>
      <c r="AP279" s="4">
        <v>1.1000000000000001</v>
      </c>
      <c r="AQ279" s="111">
        <f t="shared" si="92"/>
        <v>0</v>
      </c>
      <c r="AR279">
        <f>_xlfn.XLOOKUP(F279,'RM Cost'!A:A,'RM Cost'!S:S)</f>
        <v>0</v>
      </c>
      <c r="AS279" t="str">
        <f>_xlfn.XLOOKUP(A279,[3]Sheet1!$B:$B,[3]Sheet1!$B:$B)</f>
        <v>2089CS</v>
      </c>
      <c r="AT279" t="e">
        <f>_xlfn.XLOOKUP(H279,'Yield &amp; Time'!A:A,'Yield &amp; Time'!F:F)</f>
        <v>#N/A</v>
      </c>
    </row>
    <row r="280" spans="1:46" x14ac:dyDescent="0.25">
      <c r="A280" s="1" t="s">
        <v>101</v>
      </c>
      <c r="B280" s="2" t="s">
        <v>552</v>
      </c>
      <c r="C280" s="2" t="s">
        <v>596</v>
      </c>
      <c r="D280" s="2" t="s">
        <v>554</v>
      </c>
      <c r="E280" s="2">
        <v>2.5</v>
      </c>
      <c r="F280" s="1" t="str">
        <f>VLOOKUP(H280,'RM Used'!A:B,2,0)</f>
        <v>1318CS</v>
      </c>
      <c r="G280" s="1" t="str">
        <f>IFERROR(VLOOKUP(F280,'RM Cost'!A:B,2,0),"")</f>
        <v>RM - PREP ONION RED WHOLE 2.5KG</v>
      </c>
      <c r="H280" s="2" t="s">
        <v>1453</v>
      </c>
      <c r="I280" s="1" t="str">
        <f>VLOOKUP(F280,'RM Used'!B:D,3,0)</f>
        <v>RM-FOOD</v>
      </c>
      <c r="J280" s="66">
        <v>1</v>
      </c>
      <c r="K280" s="35">
        <f t="shared" si="96"/>
        <v>2.5</v>
      </c>
      <c r="L280" s="35">
        <f t="shared" si="84"/>
        <v>2.5</v>
      </c>
      <c r="M280" s="77" cm="1">
        <f t="array" ref="M280">_xlfn.IFS(BOM!I280="RM-PACKING","100%",B280="Reynolds",VLOOKUP(H280,'Yield &amp; Time'!A:V,22,0),BOM!B280="Dnata",VLOOKUP(BOM!H280,'Yield &amp; Time'!A:M,13,0),B280="NK",VLOOKUP(H280,'Yield &amp; Time'!A:X,24,0))</f>
        <v>0.81267690818918592</v>
      </c>
      <c r="N280" s="35">
        <f t="shared" si="95"/>
        <v>3.0762532745891877</v>
      </c>
      <c r="O280" s="1" t="str">
        <f>VLOOKUP(H280,'RM Used'!A:E,5,0)</f>
        <v>KG</v>
      </c>
      <c r="P280" s="11">
        <f>VLOOKUP(H280,'RM Used'!A:F,6,0)</f>
        <v>1.08</v>
      </c>
      <c r="Q280" s="11">
        <f t="shared" si="93"/>
        <v>3.322353536556323</v>
      </c>
      <c r="R280" s="11">
        <f>IFERROR(IF(B280="Reynolds",VLOOKUP(H280,'Yield &amp; Time'!A:U,21,0),VLOOKUP(H280,'Yield &amp; Time'!A:L,12,0)),0)</f>
        <v>0.87753036437246967</v>
      </c>
      <c r="S280" s="11">
        <f t="shared" si="85"/>
        <v>0.74261007085020247</v>
      </c>
      <c r="T280" s="11">
        <f t="shared" si="86"/>
        <v>3.6563765182186243E-2</v>
      </c>
      <c r="U280" s="11">
        <f>IF(A279=A280,0,VLOOKUP(A280,'Packing Time'!A:F,6,0))</f>
        <v>0.875</v>
      </c>
      <c r="V280" s="11">
        <f t="shared" si="97"/>
        <v>0.29618749999999999</v>
      </c>
      <c r="W280" s="11">
        <f t="shared" si="98"/>
        <v>1.4583333333333334E-2</v>
      </c>
      <c r="X280" s="11">
        <f t="shared" si="87"/>
        <v>1.298496963562753</v>
      </c>
      <c r="Y280" s="11">
        <f t="shared" si="99"/>
        <v>1.298496963562753</v>
      </c>
      <c r="Z280" s="37">
        <v>1</v>
      </c>
      <c r="AA280" s="36">
        <f t="shared" si="88"/>
        <v>3.0762532745891877</v>
      </c>
      <c r="AB280" s="36">
        <f t="shared" si="89"/>
        <v>3.322353536556323</v>
      </c>
      <c r="AC280" s="11">
        <f t="shared" si="90"/>
        <v>6.3933873144399467E-2</v>
      </c>
      <c r="AD280" s="36">
        <f t="shared" si="100"/>
        <v>1.298496963562753</v>
      </c>
      <c r="AE280" s="36" t="str">
        <f>VLOOKUP(H280,'Yield &amp; Time'!A:R,18,0)</f>
        <v>CHLORINE</v>
      </c>
      <c r="AF280" s="36">
        <f>IFERROR(VLOOKUP(AE280,'Chemical Cost'!A:D,4,0),0)</f>
        <v>2.7756518066439469E-2</v>
      </c>
      <c r="AG280" s="114">
        <f t="shared" si="91"/>
        <v>2.8462026531026124E-2</v>
      </c>
      <c r="AH280" s="36">
        <f t="shared" si="94"/>
        <v>2.8462026531026124E-2</v>
      </c>
      <c r="AI280" s="36">
        <f t="shared" si="101"/>
        <v>4.6493125266501023</v>
      </c>
      <c r="AJ280" s="36">
        <f>IFERROR(VLOOKUP(A280,'All Products'!A:F,6,0),0)</f>
        <v>8.6</v>
      </c>
      <c r="AK280" s="36">
        <f>AJ280*Z280*J280</f>
        <v>8.6</v>
      </c>
      <c r="AL280" s="23">
        <v>0.8</v>
      </c>
      <c r="AM280" s="23">
        <v>0.2</v>
      </c>
      <c r="AN280" s="54" t="e">
        <v>#N/A</v>
      </c>
      <c r="AO280" s="47"/>
      <c r="AP280" s="4">
        <v>1.25</v>
      </c>
      <c r="AQ280" s="111">
        <f t="shared" si="92"/>
        <v>6.3933873144399467E-2</v>
      </c>
      <c r="AR280">
        <f>_xlfn.XLOOKUP(F280,'RM Cost'!A:A,'RM Cost'!S:S)</f>
        <v>0</v>
      </c>
      <c r="AS280" t="str">
        <f>_xlfn.XLOOKUP(A280,[3]Sheet1!$B:$B,[3]Sheet1!$B:$B)</f>
        <v>1307CS</v>
      </c>
      <c r="AT280" t="str">
        <f>_xlfn.XLOOKUP(H280,'Yield &amp; Time'!A:A,'Yield &amp; Time'!O:O)</f>
        <v>Yes</v>
      </c>
    </row>
    <row r="281" spans="1:46" x14ac:dyDescent="0.25">
      <c r="A281" s="1" t="s">
        <v>101</v>
      </c>
      <c r="B281" s="2" t="s">
        <v>552</v>
      </c>
      <c r="C281" s="2" t="s">
        <v>596</v>
      </c>
      <c r="D281" s="2" t="s">
        <v>554</v>
      </c>
      <c r="E281" s="2">
        <v>2.5</v>
      </c>
      <c r="F281" s="1" t="str">
        <f>VLOOKUP(H281,'RM Used'!A:B,2,0)</f>
        <v>P0020</v>
      </c>
      <c r="G281" s="1" t="str">
        <f>IFERROR(VLOOKUP(F281,'RM Cost'!A:B,2,0),"")</f>
        <v>PALE BLUE BAG 430X430MM</v>
      </c>
      <c r="H281" s="2" t="s">
        <v>1659</v>
      </c>
      <c r="I281" s="1" t="str">
        <f>VLOOKUP(F281,'RM Used'!B:D,3,0)</f>
        <v>RM-PACKING</v>
      </c>
      <c r="J281" s="66">
        <v>1</v>
      </c>
      <c r="K281" s="35" t="str">
        <f t="shared" si="96"/>
        <v/>
      </c>
      <c r="L281" s="35">
        <f t="shared" si="84"/>
        <v>0</v>
      </c>
      <c r="M281" s="77" t="str" cm="1">
        <f t="array" ref="M281">_xlfn.IFS(BOM!I281="RM-PACKING","100%",B281="Reynolds",VLOOKUP(H281,'Yield &amp; Time'!A:V,22,0),BOM!B281="Dnata",VLOOKUP(BOM!H281,'Yield &amp; Time'!A:M,13,0),B281="NK",VLOOKUP(H281,'Yield &amp; Time'!A:X,24,0))</f>
        <v>100%</v>
      </c>
      <c r="N281" s="35">
        <f t="shared" si="95"/>
        <v>1</v>
      </c>
      <c r="O281" s="1" t="str">
        <f>VLOOKUP(H281,'RM Used'!A:E,5,0)</f>
        <v>Count</v>
      </c>
      <c r="P281" s="11">
        <f>VLOOKUP(H281,'RM Used'!A:F,6,0)</f>
        <v>0.09</v>
      </c>
      <c r="Q281" s="11">
        <f t="shared" si="93"/>
        <v>0.09</v>
      </c>
      <c r="R281" s="11">
        <f>IFERROR(IF(B281="Reynolds",VLOOKUP(H281,'Yield &amp; Time'!A:U,21,0),VLOOKUP(H281,'Yield &amp; Time'!A:L,12,0)),0)</f>
        <v>0</v>
      </c>
      <c r="S281" s="11">
        <f t="shared" si="85"/>
        <v>0</v>
      </c>
      <c r="T281" s="11">
        <f t="shared" si="86"/>
        <v>0</v>
      </c>
      <c r="U281" s="11">
        <f>IF(A280=A281,0,VLOOKUP(A281,'Packing Time'!A:F,6,0))</f>
        <v>0</v>
      </c>
      <c r="V281" s="11">
        <f t="shared" si="97"/>
        <v>0</v>
      </c>
      <c r="W281" s="11">
        <f t="shared" si="98"/>
        <v>0</v>
      </c>
      <c r="X281" s="11">
        <f t="shared" si="87"/>
        <v>0</v>
      </c>
      <c r="Y281" s="11">
        <f t="shared" si="99"/>
        <v>0</v>
      </c>
      <c r="Z281" s="37">
        <v>1</v>
      </c>
      <c r="AA281" s="36">
        <f t="shared" si="88"/>
        <v>1</v>
      </c>
      <c r="AB281" s="36">
        <f t="shared" si="89"/>
        <v>0.09</v>
      </c>
      <c r="AC281" s="11">
        <f t="shared" si="90"/>
        <v>0</v>
      </c>
      <c r="AD281" s="36">
        <f t="shared" si="100"/>
        <v>0</v>
      </c>
      <c r="AE281" s="36"/>
      <c r="AF281" s="36">
        <f>IFERROR(VLOOKUP(AE281,'Chemical Cost'!A:D,4,0),0)</f>
        <v>0</v>
      </c>
      <c r="AG281" s="114">
        <f t="shared" si="91"/>
        <v>0</v>
      </c>
      <c r="AH281" s="36">
        <f t="shared" si="94"/>
        <v>0</v>
      </c>
      <c r="AI281" s="36">
        <f t="shared" si="101"/>
        <v>0.09</v>
      </c>
      <c r="AJ281" s="36">
        <f>IFERROR(VLOOKUP(A281,'All Products'!A:F,6,0),0)</f>
        <v>8.6</v>
      </c>
      <c r="AK281" s="36"/>
      <c r="AL281" s="23">
        <v>0.8</v>
      </c>
      <c r="AM281" s="23">
        <v>0.2</v>
      </c>
      <c r="AN281" s="54" t="e">
        <v>#N/A</v>
      </c>
      <c r="AO281" s="47"/>
      <c r="AP281" s="4">
        <v>1.25</v>
      </c>
      <c r="AQ281" s="111">
        <f t="shared" si="92"/>
        <v>0</v>
      </c>
      <c r="AR281">
        <f>_xlfn.XLOOKUP(F281,'RM Cost'!A:A,'RM Cost'!S:S)</f>
        <v>0</v>
      </c>
      <c r="AS281" t="str">
        <f>_xlfn.XLOOKUP(A281,[3]Sheet1!$B:$B,[3]Sheet1!$B:$B)</f>
        <v>1307CS</v>
      </c>
      <c r="AT281" t="e">
        <f>_xlfn.XLOOKUP(H281,'Yield &amp; Time'!A:A,'Yield &amp; Time'!F:F)</f>
        <v>#N/A</v>
      </c>
    </row>
    <row r="282" spans="1:46" x14ac:dyDescent="0.25">
      <c r="A282" s="1" t="s">
        <v>101</v>
      </c>
      <c r="B282" s="2" t="s">
        <v>552</v>
      </c>
      <c r="C282" s="2" t="s">
        <v>596</v>
      </c>
      <c r="D282" s="2" t="s">
        <v>554</v>
      </c>
      <c r="E282" s="2">
        <v>2.5</v>
      </c>
      <c r="F282" s="1" t="str">
        <f>VLOOKUP(H282,'RM Used'!A:B,2,0)</f>
        <v>P0016</v>
      </c>
      <c r="G282" s="1" t="str">
        <f>IFERROR(VLOOKUP(F282,'RM Cost'!A:B,2,0),"")</f>
        <v>REY 40 30 BOX</v>
      </c>
      <c r="H282" s="2" t="s">
        <v>1332</v>
      </c>
      <c r="I282" s="1" t="str">
        <f>VLOOKUP(F282,'RM Used'!B:D,3,0)</f>
        <v>RM-PACKING</v>
      </c>
      <c r="J282" s="66">
        <v>1</v>
      </c>
      <c r="K282" s="35" t="str">
        <f t="shared" si="96"/>
        <v/>
      </c>
      <c r="L282" s="35">
        <f t="shared" si="84"/>
        <v>0</v>
      </c>
      <c r="M282" s="77" t="str" cm="1">
        <f t="array" ref="M282">_xlfn.IFS(BOM!I282="RM-PACKING","100%",B282="Reynolds",VLOOKUP(H282,'Yield &amp; Time'!A:V,22,0),BOM!B282="Dnata",VLOOKUP(BOM!H282,'Yield &amp; Time'!A:M,13,0),B282="NK",VLOOKUP(H282,'Yield &amp; Time'!A:X,24,0))</f>
        <v>100%</v>
      </c>
      <c r="N282" s="35">
        <f t="shared" si="95"/>
        <v>1</v>
      </c>
      <c r="O282" s="1" t="str">
        <f>VLOOKUP(H282,'RM Used'!A:E,5,0)</f>
        <v>Count</v>
      </c>
      <c r="P282" s="11">
        <f>VLOOKUP(H282,'RM Used'!A:F,6,0)</f>
        <v>0.28000000000000003</v>
      </c>
      <c r="Q282" s="11">
        <f t="shared" si="93"/>
        <v>0.28000000000000003</v>
      </c>
      <c r="R282" s="11">
        <f>IFERROR(IF(B282="Reynolds",VLOOKUP(H282,'Yield &amp; Time'!A:U,21,0),VLOOKUP(H282,'Yield &amp; Time'!A:L,12,0)),0)</f>
        <v>0</v>
      </c>
      <c r="S282" s="11">
        <f t="shared" si="85"/>
        <v>0</v>
      </c>
      <c r="T282" s="11">
        <f t="shared" si="86"/>
        <v>0</v>
      </c>
      <c r="U282" s="11">
        <f>IF(A281=A282,0,VLOOKUP(A282,'Packing Time'!A:F,6,0))</f>
        <v>0</v>
      </c>
      <c r="V282" s="11">
        <f t="shared" si="97"/>
        <v>0</v>
      </c>
      <c r="W282" s="11">
        <f t="shared" si="98"/>
        <v>0</v>
      </c>
      <c r="X282" s="11">
        <f t="shared" si="87"/>
        <v>0</v>
      </c>
      <c r="Y282" s="11">
        <f t="shared" si="99"/>
        <v>0</v>
      </c>
      <c r="Z282" s="37">
        <v>1</v>
      </c>
      <c r="AA282" s="36">
        <f t="shared" si="88"/>
        <v>1</v>
      </c>
      <c r="AB282" s="36">
        <f t="shared" si="89"/>
        <v>0.28000000000000003</v>
      </c>
      <c r="AC282" s="11">
        <f t="shared" si="90"/>
        <v>0</v>
      </c>
      <c r="AD282" s="36">
        <f t="shared" si="100"/>
        <v>0</v>
      </c>
      <c r="AE282" s="36"/>
      <c r="AF282" s="36">
        <f>IFERROR(VLOOKUP(AE282,'Chemical Cost'!A:D,4,0),0)</f>
        <v>0</v>
      </c>
      <c r="AG282" s="114">
        <f t="shared" si="91"/>
        <v>0</v>
      </c>
      <c r="AH282" s="36">
        <f t="shared" si="94"/>
        <v>0</v>
      </c>
      <c r="AI282" s="36">
        <f t="shared" si="101"/>
        <v>0.28000000000000003</v>
      </c>
      <c r="AJ282" s="36">
        <f>IFERROR(VLOOKUP(A282,'All Products'!A:F,6,0),0)</f>
        <v>8.6</v>
      </c>
      <c r="AK282" s="36"/>
      <c r="AL282" s="23">
        <v>0.8</v>
      </c>
      <c r="AM282" s="23">
        <v>0.2</v>
      </c>
      <c r="AN282" s="54" t="e">
        <v>#N/A</v>
      </c>
      <c r="AO282" s="47"/>
      <c r="AP282" s="4">
        <v>1.25</v>
      </c>
      <c r="AQ282" s="111">
        <f t="shared" si="92"/>
        <v>0</v>
      </c>
      <c r="AR282">
        <f>_xlfn.XLOOKUP(F282,'RM Cost'!A:A,'RM Cost'!S:S)</f>
        <v>0</v>
      </c>
      <c r="AS282" t="str">
        <f>_xlfn.XLOOKUP(A282,[3]Sheet1!$B:$B,[3]Sheet1!$B:$B)</f>
        <v>1307CS</v>
      </c>
      <c r="AT282" t="e">
        <f>_xlfn.XLOOKUP(H282,'Yield &amp; Time'!A:A,'Yield &amp; Time'!F:F)</f>
        <v>#N/A</v>
      </c>
    </row>
    <row r="283" spans="1:46" x14ac:dyDescent="0.25">
      <c r="A283" s="1" t="s">
        <v>234</v>
      </c>
      <c r="B283" s="2" t="s">
        <v>552</v>
      </c>
      <c r="C283" s="2" t="s">
        <v>597</v>
      </c>
      <c r="D283" s="2" t="s">
        <v>554</v>
      </c>
      <c r="E283" s="2">
        <v>2.5</v>
      </c>
      <c r="F283" s="1" t="str">
        <f>VLOOKUP(H283,'RM Used'!A:B,2,0)</f>
        <v>3080CS</v>
      </c>
      <c r="G283" s="1" t="str">
        <f>IFERROR(VLOOKUP(F283,'RM Cost'!A:B,2,0),"")</f>
        <v>RM - SAVOY CABBAGE 1 X 5KG</v>
      </c>
      <c r="H283" s="1" t="s">
        <v>1353</v>
      </c>
      <c r="I283" s="1" t="str">
        <f>VLOOKUP(F283,'RM Used'!B:D,3,0)</f>
        <v>RM-FOOD</v>
      </c>
      <c r="J283" s="66">
        <v>1</v>
      </c>
      <c r="K283" s="35">
        <f t="shared" si="96"/>
        <v>2.5</v>
      </c>
      <c r="L283" s="35">
        <f t="shared" si="84"/>
        <v>2.5</v>
      </c>
      <c r="M283" s="77" cm="1">
        <f t="array" ref="M283">_xlfn.IFS(BOM!I283="RM-PACKING","100%",B283="Reynolds",VLOOKUP(H283,'Yield &amp; Time'!A:V,22,0),BOM!B283="Dnata",VLOOKUP(BOM!H283,'Yield &amp; Time'!A:M,13,0),B283="NK",VLOOKUP(H283,'Yield &amp; Time'!A:X,24,0))</f>
        <v>0.72000000000000008</v>
      </c>
      <c r="N283" s="35">
        <f t="shared" si="95"/>
        <v>3.4722222222222219</v>
      </c>
      <c r="O283" s="1" t="str">
        <f>VLOOKUP(H283,'RM Used'!A:E,5,0)</f>
        <v>KG</v>
      </c>
      <c r="P283" s="11">
        <f>VLOOKUP(H283,'RM Used'!A:F,6,0)</f>
        <v>0.76</v>
      </c>
      <c r="Q283" s="11">
        <f t="shared" si="93"/>
        <v>2.6388888888888888</v>
      </c>
      <c r="R283" s="11">
        <f>IFERROR(IF(B283="Reynolds",VLOOKUP(H283,'Yield &amp; Time'!A:U,21,0),VLOOKUP(H283,'Yield &amp; Time'!A:L,12,0)),0)</f>
        <v>0.87031835205992514</v>
      </c>
      <c r="S283" s="11">
        <f t="shared" si="85"/>
        <v>0.73650690543071162</v>
      </c>
      <c r="T283" s="11">
        <f t="shared" si="86"/>
        <v>3.6263264669163547E-2</v>
      </c>
      <c r="U283" s="11">
        <f>IF(A282=A283,0,VLOOKUP(A283,'Packing Time'!A:F,6,0))</f>
        <v>0.875</v>
      </c>
      <c r="V283" s="11">
        <f t="shared" si="97"/>
        <v>0.29618749999999999</v>
      </c>
      <c r="W283" s="11">
        <f t="shared" si="98"/>
        <v>1.4583333333333334E-2</v>
      </c>
      <c r="X283" s="11">
        <f t="shared" si="87"/>
        <v>1.6523110486891388</v>
      </c>
      <c r="Y283" s="11">
        <f t="shared" si="99"/>
        <v>1.6523110486891388</v>
      </c>
      <c r="Z283" s="37">
        <v>1</v>
      </c>
      <c r="AA283" s="36">
        <f t="shared" si="88"/>
        <v>3.4722222222222219</v>
      </c>
      <c r="AB283" s="36">
        <f t="shared" si="89"/>
        <v>2.6388888888888888</v>
      </c>
      <c r="AC283" s="11">
        <f t="shared" si="90"/>
        <v>8.1354556803995018E-2</v>
      </c>
      <c r="AD283" s="36">
        <f t="shared" si="100"/>
        <v>1.6523110486891386</v>
      </c>
      <c r="AE283" s="36" t="str">
        <f>VLOOKUP(H283,'Yield &amp; Time'!A:R,18,0)</f>
        <v>CHLORINE</v>
      </c>
      <c r="AF283" s="36">
        <f>IFERROR(VLOOKUP(AE283,'Chemical Cost'!A:D,4,0),0)</f>
        <v>2.7756518066439469E-2</v>
      </c>
      <c r="AG283" s="114">
        <f t="shared" si="91"/>
        <v>3.2125599613934568E-2</v>
      </c>
      <c r="AH283" s="36">
        <f t="shared" si="94"/>
        <v>3.2125599613934568E-2</v>
      </c>
      <c r="AI283" s="36">
        <f t="shared" si="101"/>
        <v>4.3233255371919617</v>
      </c>
      <c r="AJ283" s="36">
        <f>IFERROR(VLOOKUP(A283,'All Products'!A:F,6,0),0)</f>
        <v>7.07</v>
      </c>
      <c r="AK283" s="36">
        <f>AJ283*Z283*J283</f>
        <v>7.07</v>
      </c>
      <c r="AL283" s="23">
        <v>0.8</v>
      </c>
      <c r="AM283" s="23">
        <v>0.2</v>
      </c>
      <c r="AN283" s="54" t="e">
        <v>#N/A</v>
      </c>
      <c r="AO283" s="47"/>
      <c r="AP283" s="4">
        <v>1.6</v>
      </c>
      <c r="AQ283" s="111">
        <f t="shared" si="92"/>
        <v>8.1354556803995018E-2</v>
      </c>
      <c r="AR283">
        <f>_xlfn.XLOOKUP(F283,'RM Cost'!A:A,'RM Cost'!S:S)</f>
        <v>0</v>
      </c>
      <c r="AS283" t="e">
        <f>_xlfn.XLOOKUP(A283,[3]Sheet1!$B:$B,[3]Sheet1!$B:$B)</f>
        <v>#N/A</v>
      </c>
    </row>
    <row r="284" spans="1:46" x14ac:dyDescent="0.25">
      <c r="A284" s="1" t="s">
        <v>234</v>
      </c>
      <c r="B284" s="2" t="s">
        <v>552</v>
      </c>
      <c r="C284" s="2" t="s">
        <v>597</v>
      </c>
      <c r="D284" s="2" t="s">
        <v>554</v>
      </c>
      <c r="E284" s="2">
        <v>2.5</v>
      </c>
      <c r="F284" s="1" t="str">
        <f>VLOOKUP(H284,'RM Used'!A:B,2,0)</f>
        <v>P0008</v>
      </c>
      <c r="G284" s="1" t="str">
        <f>IFERROR(VLOOKUP(F284,'RM Cost'!A:B,2,0),"")</f>
        <v>PALE BLUE BAG 470X750MM</v>
      </c>
      <c r="H284" s="2" t="s">
        <v>1323</v>
      </c>
      <c r="I284" s="1" t="str">
        <f>VLOOKUP(F284,'RM Used'!B:D,3,0)</f>
        <v>RM-PACKING</v>
      </c>
      <c r="J284" s="66">
        <v>1</v>
      </c>
      <c r="K284" s="35" t="str">
        <f t="shared" si="96"/>
        <v/>
      </c>
      <c r="L284" s="35">
        <f t="shared" si="84"/>
        <v>0</v>
      </c>
      <c r="M284" s="77" t="str" cm="1">
        <f t="array" ref="M284">_xlfn.IFS(BOM!I284="RM-PACKING","100%",B284="Reynolds",VLOOKUP(H284,'Yield &amp; Time'!A:V,22,0),BOM!B284="Dnata",VLOOKUP(BOM!H284,'Yield &amp; Time'!A:M,13,0),B284="NK",VLOOKUP(H284,'Yield &amp; Time'!A:X,24,0))</f>
        <v>100%</v>
      </c>
      <c r="N284" s="35">
        <f t="shared" si="95"/>
        <v>1</v>
      </c>
      <c r="O284" s="1" t="str">
        <f>VLOOKUP(H284,'RM Used'!A:E,5,0)</f>
        <v>Count</v>
      </c>
      <c r="P284" s="11">
        <f>VLOOKUP(H284,'RM Used'!A:F,6,0)</f>
        <v>0.14000000000000001</v>
      </c>
      <c r="Q284" s="11">
        <f t="shared" si="93"/>
        <v>0.14000000000000001</v>
      </c>
      <c r="R284" s="11">
        <f>IFERROR(IF(B284="Reynolds",VLOOKUP(H284,'Yield &amp; Time'!A:U,21,0),VLOOKUP(H284,'Yield &amp; Time'!A:L,12,0)),0)</f>
        <v>0</v>
      </c>
      <c r="S284" s="11">
        <f t="shared" si="85"/>
        <v>0</v>
      </c>
      <c r="T284" s="11">
        <f t="shared" si="86"/>
        <v>0</v>
      </c>
      <c r="U284" s="11">
        <f>IF(A283=A284,0,VLOOKUP(A284,'Packing Time'!A:F,6,0))</f>
        <v>0</v>
      </c>
      <c r="V284" s="11">
        <f t="shared" si="97"/>
        <v>0</v>
      </c>
      <c r="W284" s="11">
        <f t="shared" si="98"/>
        <v>0</v>
      </c>
      <c r="X284" s="11">
        <f t="shared" si="87"/>
        <v>0</v>
      </c>
      <c r="Y284" s="11">
        <f t="shared" si="99"/>
        <v>0</v>
      </c>
      <c r="Z284" s="37">
        <v>1</v>
      </c>
      <c r="AA284" s="36">
        <f t="shared" si="88"/>
        <v>1</v>
      </c>
      <c r="AB284" s="36">
        <f t="shared" si="89"/>
        <v>0.14000000000000001</v>
      </c>
      <c r="AC284" s="11">
        <f t="shared" si="90"/>
        <v>0</v>
      </c>
      <c r="AD284" s="36">
        <f t="shared" si="100"/>
        <v>0</v>
      </c>
      <c r="AE284" s="36"/>
      <c r="AF284" s="36">
        <f>IFERROR(VLOOKUP(AE284,'Chemical Cost'!A:D,4,0),0)</f>
        <v>0</v>
      </c>
      <c r="AG284" s="114">
        <f t="shared" si="91"/>
        <v>0</v>
      </c>
      <c r="AH284" s="36">
        <f t="shared" si="94"/>
        <v>0</v>
      </c>
      <c r="AI284" s="36">
        <f t="shared" si="101"/>
        <v>0.14000000000000001</v>
      </c>
      <c r="AJ284" s="36">
        <f>IFERROR(VLOOKUP(A284,'All Products'!A:F,6,0),0)</f>
        <v>7.07</v>
      </c>
      <c r="AK284" s="36"/>
      <c r="AL284" s="23">
        <v>0.8</v>
      </c>
      <c r="AM284" s="23">
        <v>0.2</v>
      </c>
      <c r="AN284" s="54" t="e">
        <v>#N/A</v>
      </c>
      <c r="AO284" s="47"/>
      <c r="AP284" s="4">
        <v>1.6</v>
      </c>
      <c r="AQ284" s="111">
        <f t="shared" si="92"/>
        <v>0</v>
      </c>
      <c r="AR284">
        <f>_xlfn.XLOOKUP(F284,'RM Cost'!A:A,'RM Cost'!S:S)</f>
        <v>0</v>
      </c>
      <c r="AS284" t="e">
        <f>_xlfn.XLOOKUP(A284,[3]Sheet1!$B:$B,[3]Sheet1!$B:$B)</f>
        <v>#N/A</v>
      </c>
    </row>
    <row r="285" spans="1:46" x14ac:dyDescent="0.25">
      <c r="A285" s="1" t="s">
        <v>234</v>
      </c>
      <c r="B285" s="2" t="s">
        <v>552</v>
      </c>
      <c r="C285" s="2" t="s">
        <v>597</v>
      </c>
      <c r="D285" s="2" t="s">
        <v>554</v>
      </c>
      <c r="E285" s="2">
        <v>2.5</v>
      </c>
      <c r="F285" s="1" t="str">
        <f>VLOOKUP(H285,'RM Used'!A:B,2,0)</f>
        <v>P0016</v>
      </c>
      <c r="G285" s="1" t="str">
        <f>IFERROR(VLOOKUP(F285,'RM Cost'!A:B,2,0),"")</f>
        <v>REY 40 30 BOX</v>
      </c>
      <c r="H285" s="2" t="s">
        <v>1332</v>
      </c>
      <c r="I285" s="1" t="str">
        <f>VLOOKUP(F285,'RM Used'!B:D,3,0)</f>
        <v>RM-PACKING</v>
      </c>
      <c r="J285" s="66">
        <v>1</v>
      </c>
      <c r="K285" s="35" t="str">
        <f t="shared" si="96"/>
        <v/>
      </c>
      <c r="L285" s="35">
        <f t="shared" si="84"/>
        <v>0</v>
      </c>
      <c r="M285" s="77" t="str" cm="1">
        <f t="array" ref="M285">_xlfn.IFS(BOM!I285="RM-PACKING","100%",B285="Reynolds",VLOOKUP(H285,'Yield &amp; Time'!A:V,22,0),BOM!B285="Dnata",VLOOKUP(BOM!H285,'Yield &amp; Time'!A:M,13,0),B285="NK",VLOOKUP(H285,'Yield &amp; Time'!A:X,24,0))</f>
        <v>100%</v>
      </c>
      <c r="N285" s="35">
        <f t="shared" si="95"/>
        <v>1</v>
      </c>
      <c r="O285" s="1" t="str">
        <f>VLOOKUP(H285,'RM Used'!A:E,5,0)</f>
        <v>Count</v>
      </c>
      <c r="P285" s="11">
        <f>VLOOKUP(H285,'RM Used'!A:F,6,0)</f>
        <v>0.28000000000000003</v>
      </c>
      <c r="Q285" s="11">
        <f t="shared" si="93"/>
        <v>0.28000000000000003</v>
      </c>
      <c r="R285" s="11">
        <f>IFERROR(IF(B285="Reynolds",VLOOKUP(H285,'Yield &amp; Time'!A:U,21,0),VLOOKUP(H285,'Yield &amp; Time'!A:L,12,0)),0)</f>
        <v>0</v>
      </c>
      <c r="S285" s="11">
        <f t="shared" si="85"/>
        <v>0</v>
      </c>
      <c r="T285" s="11">
        <f t="shared" si="86"/>
        <v>0</v>
      </c>
      <c r="U285" s="11">
        <f>IF(A284=A285,0,VLOOKUP(A285,'Packing Time'!A:F,6,0))</f>
        <v>0</v>
      </c>
      <c r="V285" s="11">
        <f t="shared" si="97"/>
        <v>0</v>
      </c>
      <c r="W285" s="11">
        <f t="shared" si="98"/>
        <v>0</v>
      </c>
      <c r="X285" s="11">
        <f t="shared" si="87"/>
        <v>0</v>
      </c>
      <c r="Y285" s="11">
        <f t="shared" si="99"/>
        <v>0</v>
      </c>
      <c r="Z285" s="37">
        <v>1</v>
      </c>
      <c r="AA285" s="36">
        <f t="shared" si="88"/>
        <v>1</v>
      </c>
      <c r="AB285" s="36">
        <f t="shared" si="89"/>
        <v>0.28000000000000003</v>
      </c>
      <c r="AC285" s="11">
        <f t="shared" si="90"/>
        <v>0</v>
      </c>
      <c r="AD285" s="36">
        <f t="shared" si="100"/>
        <v>0</v>
      </c>
      <c r="AE285" s="36"/>
      <c r="AF285" s="36">
        <f>IFERROR(VLOOKUP(AE285,'Chemical Cost'!A:D,4,0),0)</f>
        <v>0</v>
      </c>
      <c r="AG285" s="114">
        <f t="shared" si="91"/>
        <v>0</v>
      </c>
      <c r="AH285" s="36">
        <f t="shared" si="94"/>
        <v>0</v>
      </c>
      <c r="AI285" s="36">
        <f t="shared" si="101"/>
        <v>0.28000000000000003</v>
      </c>
      <c r="AJ285" s="36">
        <f>IFERROR(VLOOKUP(A285,'All Products'!A:F,6,0),0)</f>
        <v>7.07</v>
      </c>
      <c r="AK285" s="36"/>
      <c r="AL285" s="23">
        <v>0.8</v>
      </c>
      <c r="AM285" s="23">
        <v>0.2</v>
      </c>
      <c r="AN285" s="54" t="e">
        <v>#N/A</v>
      </c>
      <c r="AO285" s="47"/>
      <c r="AP285" s="4">
        <v>1.6</v>
      </c>
      <c r="AQ285" s="111">
        <f t="shared" si="92"/>
        <v>0</v>
      </c>
      <c r="AR285">
        <f>_xlfn.XLOOKUP(F285,'RM Cost'!A:A,'RM Cost'!S:S)</f>
        <v>0</v>
      </c>
      <c r="AS285" t="e">
        <f>_xlfn.XLOOKUP(A285,[3]Sheet1!$B:$B,[3]Sheet1!$B:$B)</f>
        <v>#N/A</v>
      </c>
    </row>
    <row r="286" spans="1:46" x14ac:dyDescent="0.25">
      <c r="A286" s="1" t="s">
        <v>95</v>
      </c>
      <c r="B286" s="2" t="s">
        <v>552</v>
      </c>
      <c r="C286" s="2" t="s">
        <v>96</v>
      </c>
      <c r="D286" s="2" t="s">
        <v>554</v>
      </c>
      <c r="E286" s="2">
        <v>2.7</v>
      </c>
      <c r="F286" s="1" t="str">
        <f>VLOOKUP(H286,'RM Used'!A:B,2,0)</f>
        <v>2789CS</v>
      </c>
      <c r="G286" s="1" t="str">
        <f>IFERROR(VLOOKUP(F286,'RM Cost'!A:B,2,0),"")</f>
        <v>RM - PINEAPPLE X 6</v>
      </c>
      <c r="H286" s="2" t="s">
        <v>1443</v>
      </c>
      <c r="I286" s="1" t="str">
        <f>VLOOKUP(F286,'RM Used'!B:D,3,0)</f>
        <v>RM-FOOD</v>
      </c>
      <c r="J286" s="66">
        <v>0.7407407407407407</v>
      </c>
      <c r="K286" s="35">
        <f t="shared" si="96"/>
        <v>2</v>
      </c>
      <c r="L286" s="35">
        <f t="shared" si="84"/>
        <v>2</v>
      </c>
      <c r="M286" s="77" cm="1">
        <f t="array" ref="M286">_xlfn.IFS(BOM!I286="RM-PACKING","100%",B286="Reynolds",VLOOKUP(H286,'Yield &amp; Time'!A:V,22,0),BOM!B286="Dnata",VLOOKUP(BOM!H286,'Yield &amp; Time'!A:M,13,0),B286="NK",VLOOKUP(H286,'Yield &amp; Time'!A:X,24,0))</f>
        <v>0.4</v>
      </c>
      <c r="N286" s="35">
        <f t="shared" si="95"/>
        <v>5</v>
      </c>
      <c r="O286" s="1" t="str">
        <f>VLOOKUP(H286,'RM Used'!A:E,5,0)</f>
        <v>KG</v>
      </c>
      <c r="P286" s="11">
        <f>VLOOKUP(H286,'RM Used'!A:F,6,0)</f>
        <v>0.7</v>
      </c>
      <c r="Q286" s="11">
        <f t="shared" si="93"/>
        <v>3.5</v>
      </c>
      <c r="R286" s="11">
        <f>IFERROR(IF(B286="Reynolds",VLOOKUP(H286,'Yield &amp; Time'!A:U,21,0),VLOOKUP(H286,'Yield &amp; Time'!A:L,12,0)),0)</f>
        <v>1.5635751872090669</v>
      </c>
      <c r="S286" s="11">
        <f t="shared" si="85"/>
        <v>1.0585404017405382</v>
      </c>
      <c r="T286" s="11">
        <f t="shared" si="86"/>
        <v>5.2119172906968894E-2</v>
      </c>
      <c r="U286" s="11">
        <f>IF(A285=A286,0,VLOOKUP(A286,'Packing Time'!A:F,6,0))</f>
        <v>0.8</v>
      </c>
      <c r="V286" s="11">
        <f t="shared" si="97"/>
        <v>0.27079999999999999</v>
      </c>
      <c r="W286" s="11">
        <f t="shared" si="98"/>
        <v>1.3333333333333334E-2</v>
      </c>
      <c r="X286" s="11">
        <f t="shared" si="87"/>
        <v>1.6616755021756726</v>
      </c>
      <c r="Y286" s="11">
        <f t="shared" si="99"/>
        <v>1.6616755021756726</v>
      </c>
      <c r="Z286" s="37">
        <v>1</v>
      </c>
      <c r="AA286" s="36">
        <f t="shared" si="88"/>
        <v>5</v>
      </c>
      <c r="AB286" s="36">
        <f t="shared" si="89"/>
        <v>3.5</v>
      </c>
      <c r="AC286" s="11">
        <f t="shared" si="90"/>
        <v>8.1815632800377791E-2</v>
      </c>
      <c r="AD286" s="36">
        <f t="shared" si="100"/>
        <v>1.6616755021756726</v>
      </c>
      <c r="AE286" s="36" t="str">
        <f>VLOOKUP(H286,'Yield &amp; Time'!A:R,18,0)</f>
        <v>CHLORINE</v>
      </c>
      <c r="AF286" s="36">
        <f>IFERROR(VLOOKUP(AE286,'Chemical Cost'!A:D,4,0),0)</f>
        <v>2.7756518066439469E-2</v>
      </c>
      <c r="AG286" s="114">
        <f t="shared" si="91"/>
        <v>4.6260863444065776E-2</v>
      </c>
      <c r="AH286" s="36">
        <f t="shared" si="94"/>
        <v>4.6260863444065776E-2</v>
      </c>
      <c r="AI286" s="36">
        <f t="shared" si="101"/>
        <v>5.2079363656197382</v>
      </c>
      <c r="AJ286" s="36">
        <f>IFERROR(VLOOKUP(A286,'All Products'!A:F,6,0),0)</f>
        <v>10.42</v>
      </c>
      <c r="AK286" s="36">
        <f>AJ286*Z286*J286</f>
        <v>7.7185185185185183</v>
      </c>
      <c r="AL286" s="23"/>
      <c r="AM286" s="23">
        <v>1</v>
      </c>
      <c r="AN286" s="54" t="e">
        <v>#N/A</v>
      </c>
      <c r="AO286" s="47"/>
      <c r="AP286" s="4">
        <v>1.25</v>
      </c>
      <c r="AQ286" s="111">
        <f t="shared" si="92"/>
        <v>8.1815632800377791E-2</v>
      </c>
      <c r="AR286">
        <f>_xlfn.XLOOKUP(F286,'RM Cost'!A:A,'RM Cost'!S:S)</f>
        <v>0</v>
      </c>
      <c r="AS286" t="str">
        <f>_xlfn.XLOOKUP(A286,[3]Sheet1!$B:$B,[3]Sheet1!$B:$B)</f>
        <v>1863CS</v>
      </c>
      <c r="AT286" t="str">
        <f>_xlfn.XLOOKUP(H286,'Yield &amp; Time'!A:A,'Yield &amp; Time'!O:O)</f>
        <v>Yes</v>
      </c>
    </row>
    <row r="287" spans="1:46" x14ac:dyDescent="0.25">
      <c r="A287" s="1" t="s">
        <v>95</v>
      </c>
      <c r="B287" s="2" t="s">
        <v>552</v>
      </c>
      <c r="C287" s="2" t="s">
        <v>96</v>
      </c>
      <c r="D287" s="2" t="s">
        <v>554</v>
      </c>
      <c r="E287" s="2">
        <v>2.7</v>
      </c>
      <c r="F287" s="1" t="str">
        <f>VLOOKUP(H287,'RM Used'!A:B,2,0)</f>
        <v>8929CS</v>
      </c>
      <c r="G287" s="1" t="str">
        <f>IFERROR(VLOOKUP(F287,'RM Cost'!A:B,2,0),"")</f>
        <v>GRANULATED SUGAR 1 X 25K</v>
      </c>
      <c r="H287" s="2" t="s">
        <v>1757</v>
      </c>
      <c r="I287" s="1" t="str">
        <f>VLOOKUP(F287,'RM Used'!B:D,3,0)</f>
        <v>RM-FOOD</v>
      </c>
      <c r="J287" s="66">
        <v>0.25925925925925924</v>
      </c>
      <c r="K287" s="35">
        <f>IF(I287="RM-FOOD",J287*E287,"")</f>
        <v>0.7</v>
      </c>
      <c r="L287" s="35">
        <f t="shared" si="84"/>
        <v>0.7</v>
      </c>
      <c r="M287" s="77" cm="1">
        <f t="array" ref="M287">_xlfn.IFS(BOM!I287="RM-PACKING","100%",B287="Reynolds",VLOOKUP(H287,'Yield &amp; Time'!A:V,22,0),BOM!B287="Dnata",VLOOKUP(BOM!H287,'Yield &amp; Time'!A:M,13,0),B287="NK",VLOOKUP(H287,'Yield &amp; Time'!A:X,24,0))</f>
        <v>1</v>
      </c>
      <c r="N287" s="35">
        <f>IFERROR(IF(I287="RM-FOOD",(E287*J287)/M287,1),0)</f>
        <v>0.7</v>
      </c>
      <c r="O287" s="1" t="str">
        <f>VLOOKUP(H287,'RM Used'!A:E,5,0)</f>
        <v>KG</v>
      </c>
      <c r="P287" s="11">
        <f>VLOOKUP(H287,'RM Used'!A:F,6,0)</f>
        <v>6.3E-2</v>
      </c>
      <c r="Q287" s="11">
        <f t="shared" si="93"/>
        <v>4.41E-2</v>
      </c>
      <c r="R287" s="11">
        <f>IFERROR(IF(B287="Reynolds",VLOOKUP(H287,'Yield &amp; Time'!A:U,21,0),VLOOKUP(H287,'Yield &amp; Time'!A:L,12,0)),0)</f>
        <v>0.16666666666666666</v>
      </c>
      <c r="S287" s="11">
        <f t="shared" si="85"/>
        <v>3.9491666666666661E-2</v>
      </c>
      <c r="T287" s="11">
        <f t="shared" si="86"/>
        <v>1.9444444444444444E-3</v>
      </c>
      <c r="U287" s="11">
        <f>IF(A286=A287,0,VLOOKUP(A287,'Packing Time'!A:F,6,0))</f>
        <v>0</v>
      </c>
      <c r="V287" s="11">
        <f>U287*AO$1</f>
        <v>0</v>
      </c>
      <c r="W287" s="11">
        <f>(U287*Z287)/60</f>
        <v>0</v>
      </c>
      <c r="X287" s="11">
        <f t="shared" si="87"/>
        <v>4.9364583333333323E-2</v>
      </c>
      <c r="Y287" s="11">
        <f>X287*Z287</f>
        <v>4.9364583333333323E-2</v>
      </c>
      <c r="Z287" s="37">
        <v>1</v>
      </c>
      <c r="AA287" s="36">
        <f t="shared" si="88"/>
        <v>0.7</v>
      </c>
      <c r="AB287" s="36">
        <f t="shared" si="89"/>
        <v>4.41E-2</v>
      </c>
      <c r="AC287" s="11">
        <f t="shared" si="90"/>
        <v>2.4305555555555556E-3</v>
      </c>
      <c r="AD287" s="36">
        <f>AC287*60*AO$1</f>
        <v>4.936458333333333E-2</v>
      </c>
      <c r="AE287" s="36">
        <f>VLOOKUP(H287,'Yield &amp; Time'!A:R,18,0)</f>
        <v>0</v>
      </c>
      <c r="AF287" s="36">
        <f>IFERROR(VLOOKUP(AE287,'Chemical Cost'!A:D,4,0),0)</f>
        <v>0</v>
      </c>
      <c r="AG287" s="114">
        <f t="shared" si="91"/>
        <v>0</v>
      </c>
      <c r="AH287" s="36">
        <f t="shared" si="94"/>
        <v>0</v>
      </c>
      <c r="AI287" s="36">
        <f>IFERROR((Q287*Z287)+(Z287*X287)+AH287,0)</f>
        <v>9.3464583333333323E-2</v>
      </c>
      <c r="AJ287" s="36">
        <f>IFERROR(VLOOKUP(A287,'All Products'!A:F,6,0),0)</f>
        <v>10.42</v>
      </c>
      <c r="AK287" s="36">
        <f>AJ287*Z287*J287</f>
        <v>2.7014814814814812</v>
      </c>
      <c r="AL287" s="23"/>
      <c r="AM287" s="23">
        <v>1</v>
      </c>
      <c r="AN287" s="54" t="e">
        <v>#N/A</v>
      </c>
      <c r="AO287" s="47"/>
      <c r="AP287" s="4">
        <v>1.25</v>
      </c>
      <c r="AQ287" s="111">
        <f t="shared" si="92"/>
        <v>2.4305555555555556E-3</v>
      </c>
      <c r="AR287">
        <f>_xlfn.XLOOKUP(F287,'RM Cost'!A:A,'RM Cost'!S:S)</f>
        <v>0</v>
      </c>
      <c r="AS287" t="str">
        <f>_xlfn.XLOOKUP(A287,[3]Sheet1!$B:$B,[3]Sheet1!$B:$B)</f>
        <v>1863CS</v>
      </c>
      <c r="AT287">
        <f>_xlfn.XLOOKUP(H287,'Yield &amp; Time'!A:A,'Yield &amp; Time'!F:F)</f>
        <v>0</v>
      </c>
    </row>
    <row r="288" spans="1:46" x14ac:dyDescent="0.25">
      <c r="A288" s="1" t="s">
        <v>95</v>
      </c>
      <c r="B288" s="2" t="s">
        <v>552</v>
      </c>
      <c r="C288" s="2" t="s">
        <v>96</v>
      </c>
      <c r="D288" s="2" t="s">
        <v>554</v>
      </c>
      <c r="E288" s="2">
        <v>2.7</v>
      </c>
      <c r="F288" s="1" t="str">
        <f>VLOOKUP(H288,'RM Used'!A:B,2,0)</f>
        <v>P0010</v>
      </c>
      <c r="G288" s="1" t="str">
        <f>IFERROR(VLOOKUP(F288,'RM Cost'!A:B,2,0),"")</f>
        <v>BUCKET 3L PJET</v>
      </c>
      <c r="H288" s="2" t="s">
        <v>4672</v>
      </c>
      <c r="I288" s="1" t="str">
        <f>VLOOKUP(F288,'RM Used'!B:D,3,0)</f>
        <v>RM-PACKING</v>
      </c>
      <c r="J288" s="66">
        <v>1</v>
      </c>
      <c r="K288" s="35" t="str">
        <f t="shared" si="96"/>
        <v/>
      </c>
      <c r="L288" s="35">
        <f t="shared" si="84"/>
        <v>0</v>
      </c>
      <c r="M288" s="77" t="str" cm="1">
        <f t="array" ref="M288">_xlfn.IFS(BOM!I288="RM-PACKING","100%",B288="Reynolds",VLOOKUP(H288,'Yield &amp; Time'!A:V,22,0),BOM!B288="Dnata",VLOOKUP(BOM!H288,'Yield &amp; Time'!A:M,13,0),B288="NK",VLOOKUP(H288,'Yield &amp; Time'!A:X,24,0))</f>
        <v>100%</v>
      </c>
      <c r="N288" s="35">
        <f t="shared" si="95"/>
        <v>1</v>
      </c>
      <c r="O288" s="1" t="str">
        <f>VLOOKUP(H288,'RM Used'!A:E,5,0)</f>
        <v>Count</v>
      </c>
      <c r="P288" s="11">
        <f>VLOOKUP(H288,'RM Used'!A:F,6,0)</f>
        <v>0.56000000000000005</v>
      </c>
      <c r="Q288" s="11">
        <f t="shared" si="93"/>
        <v>0.56000000000000005</v>
      </c>
      <c r="R288" s="11">
        <f>IFERROR(IF(B288="Reynolds",VLOOKUP(H288,'Yield &amp; Time'!A:U,21,0),VLOOKUP(H288,'Yield &amp; Time'!A:L,12,0)),0)</f>
        <v>0</v>
      </c>
      <c r="S288" s="11">
        <f t="shared" si="85"/>
        <v>0</v>
      </c>
      <c r="T288" s="11">
        <f t="shared" si="86"/>
        <v>0</v>
      </c>
      <c r="U288" s="11">
        <f>IF(A287=A288,0,VLOOKUP(A288,'Packing Time'!A:F,6,0))</f>
        <v>0</v>
      </c>
      <c r="V288" s="11">
        <f t="shared" si="97"/>
        <v>0</v>
      </c>
      <c r="W288" s="11">
        <f t="shared" si="98"/>
        <v>0</v>
      </c>
      <c r="X288" s="11">
        <f t="shared" si="87"/>
        <v>0</v>
      </c>
      <c r="Y288" s="11">
        <f t="shared" si="99"/>
        <v>0</v>
      </c>
      <c r="Z288" s="37">
        <v>1</v>
      </c>
      <c r="AA288" s="36">
        <f t="shared" si="88"/>
        <v>1</v>
      </c>
      <c r="AB288" s="36">
        <f t="shared" si="89"/>
        <v>0.56000000000000005</v>
      </c>
      <c r="AC288" s="11">
        <f t="shared" si="90"/>
        <v>0</v>
      </c>
      <c r="AD288" s="36">
        <f t="shared" si="100"/>
        <v>0</v>
      </c>
      <c r="AE288" s="36"/>
      <c r="AF288" s="36">
        <f>IFERROR(VLOOKUP(AE288,'Chemical Cost'!A:D,4,0),0)</f>
        <v>0</v>
      </c>
      <c r="AG288" s="114">
        <f t="shared" si="91"/>
        <v>0</v>
      </c>
      <c r="AH288" s="36">
        <f t="shared" si="94"/>
        <v>0</v>
      </c>
      <c r="AI288" s="36">
        <f t="shared" si="101"/>
        <v>0.56000000000000005</v>
      </c>
      <c r="AJ288" s="36">
        <f>IFERROR(VLOOKUP(A288,'All Products'!A:F,6,0),0)</f>
        <v>10.42</v>
      </c>
      <c r="AK288" s="36"/>
      <c r="AL288" s="23"/>
      <c r="AM288" s="23">
        <v>1</v>
      </c>
      <c r="AN288" s="54" t="e">
        <v>#N/A</v>
      </c>
      <c r="AO288" s="47"/>
      <c r="AP288" s="4">
        <v>1.25</v>
      </c>
      <c r="AQ288" s="111">
        <f t="shared" si="92"/>
        <v>0</v>
      </c>
      <c r="AR288">
        <f>_xlfn.XLOOKUP(F288,'RM Cost'!A:A,'RM Cost'!S:S)</f>
        <v>0</v>
      </c>
      <c r="AS288" t="str">
        <f>_xlfn.XLOOKUP(A288,[3]Sheet1!$B:$B,[3]Sheet1!$B:$B)</f>
        <v>1863CS</v>
      </c>
      <c r="AT288" t="e">
        <f>_xlfn.XLOOKUP(H288,'Yield &amp; Time'!A:A,'Yield &amp; Time'!F:F)</f>
        <v>#N/A</v>
      </c>
    </row>
    <row r="289" spans="1:46" x14ac:dyDescent="0.25">
      <c r="A289" s="1" t="s">
        <v>95</v>
      </c>
      <c r="B289" s="2" t="s">
        <v>552</v>
      </c>
      <c r="C289" s="2" t="s">
        <v>96</v>
      </c>
      <c r="D289" s="2" t="s">
        <v>554</v>
      </c>
      <c r="E289" s="2">
        <v>2.7</v>
      </c>
      <c r="F289" s="1" t="str">
        <f>VLOOKUP(H289,'RM Used'!A:B,2,0)</f>
        <v>P0026</v>
      </c>
      <c r="G289" s="1" t="str">
        <f>IFERROR(VLOOKUP(F289,'RM Cost'!A:B,2,0),"")</f>
        <v>LID 2.2L PJET 2.2L-3.8L</v>
      </c>
      <c r="H289" s="2" t="s">
        <v>4673</v>
      </c>
      <c r="I289" s="1" t="str">
        <f>VLOOKUP(F289,'RM Used'!B:D,3,0)</f>
        <v>RM-PACKING</v>
      </c>
      <c r="J289" s="66">
        <v>1</v>
      </c>
      <c r="K289" s="35" t="str">
        <f>IF(I289="RM-FOOD",J289*E289,"")</f>
        <v/>
      </c>
      <c r="L289" s="35">
        <f t="shared" si="84"/>
        <v>0</v>
      </c>
      <c r="M289" s="77" t="str" cm="1">
        <f t="array" ref="M289">_xlfn.IFS(BOM!I289="RM-PACKING","100%",B289="Reynolds",VLOOKUP(H289,'Yield &amp; Time'!A:V,22,0),BOM!B289="Dnata",VLOOKUP(BOM!H289,'Yield &amp; Time'!A:M,13,0),B289="NK",VLOOKUP(H289,'Yield &amp; Time'!A:X,24,0))</f>
        <v>100%</v>
      </c>
      <c r="N289" s="35">
        <f>IFERROR(IF(I289="RM-FOOD",(E289*J289)/M289,1),0)</f>
        <v>1</v>
      </c>
      <c r="O289" s="1" t="str">
        <f>VLOOKUP(H289,'RM Used'!A:E,5,0)</f>
        <v>Count</v>
      </c>
      <c r="P289" s="11">
        <f>VLOOKUP(H289,'RM Used'!A:F,6,0)</f>
        <v>0.16</v>
      </c>
      <c r="Q289" s="11">
        <f t="shared" si="93"/>
        <v>0.16</v>
      </c>
      <c r="R289" s="11">
        <f>IFERROR(IF(B289="Reynolds",VLOOKUP(H289,'Yield &amp; Time'!A:U,21,0),VLOOKUP(H289,'Yield &amp; Time'!A:L,12,0)),0)</f>
        <v>0</v>
      </c>
      <c r="S289" s="11">
        <f t="shared" si="85"/>
        <v>0</v>
      </c>
      <c r="T289" s="11">
        <f t="shared" si="86"/>
        <v>0</v>
      </c>
      <c r="U289" s="11">
        <f>IF(A288=A289,0,VLOOKUP(A289,'Packing Time'!A:F,6,0))</f>
        <v>0</v>
      </c>
      <c r="V289" s="11">
        <f>U289*AO$1</f>
        <v>0</v>
      </c>
      <c r="W289" s="11">
        <f>(U289*Z289)/60</f>
        <v>0</v>
      </c>
      <c r="X289" s="11">
        <f t="shared" si="87"/>
        <v>0</v>
      </c>
      <c r="Y289" s="11">
        <f>X289*Z289</f>
        <v>0</v>
      </c>
      <c r="Z289" s="37">
        <v>1</v>
      </c>
      <c r="AA289" s="36">
        <f t="shared" si="88"/>
        <v>1</v>
      </c>
      <c r="AB289" s="36">
        <f t="shared" si="89"/>
        <v>0.16</v>
      </c>
      <c r="AC289" s="11">
        <f t="shared" si="90"/>
        <v>0</v>
      </c>
      <c r="AD289" s="36">
        <f>AC289*60*AO$1</f>
        <v>0</v>
      </c>
      <c r="AE289" s="36"/>
      <c r="AF289" s="36">
        <f>IFERROR(VLOOKUP(AE289,'Chemical Cost'!A:D,4,0),0)</f>
        <v>0</v>
      </c>
      <c r="AG289" s="114">
        <f t="shared" si="91"/>
        <v>0</v>
      </c>
      <c r="AH289" s="36">
        <f>AF289*AA289/3</f>
        <v>0</v>
      </c>
      <c r="AI289" s="36">
        <f>IFERROR((Q289*Z289)+(Z289*X289)+AH289,0)</f>
        <v>0.16</v>
      </c>
      <c r="AJ289" s="36">
        <f>IFERROR(VLOOKUP(A289,'All Products'!A:F,6,0),0)</f>
        <v>10.42</v>
      </c>
      <c r="AK289" s="36"/>
      <c r="AL289" s="23"/>
      <c r="AM289" s="23">
        <v>1</v>
      </c>
      <c r="AN289" s="54" t="e">
        <v>#N/A</v>
      </c>
      <c r="AO289" s="47"/>
      <c r="AP289" s="4">
        <v>1.25</v>
      </c>
      <c r="AQ289" s="111">
        <f t="shared" si="92"/>
        <v>0</v>
      </c>
      <c r="AR289">
        <f>_xlfn.XLOOKUP(F289,'RM Cost'!A:A,'RM Cost'!S:S)</f>
        <v>0</v>
      </c>
      <c r="AS289" t="str">
        <f>_xlfn.XLOOKUP(A289,[3]Sheet1!$B:$B,[3]Sheet1!$B:$B)</f>
        <v>1863CS</v>
      </c>
      <c r="AT289" t="e">
        <f>_xlfn.XLOOKUP(H289,'Yield &amp; Time'!A:A,'Yield &amp; Time'!F:F)</f>
        <v>#N/A</v>
      </c>
    </row>
    <row r="290" spans="1:46" x14ac:dyDescent="0.25">
      <c r="A290" s="1" t="s">
        <v>89</v>
      </c>
      <c r="B290" s="2" t="s">
        <v>552</v>
      </c>
      <c r="C290" s="2" t="s">
        <v>598</v>
      </c>
      <c r="D290" s="2" t="s">
        <v>554</v>
      </c>
      <c r="E290" s="2">
        <v>2.5</v>
      </c>
      <c r="F290" s="1" t="str">
        <f>VLOOKUP(H290,'RM Used'!A:B,2,0)</f>
        <v>3080CS</v>
      </c>
      <c r="G290" s="1" t="str">
        <f>IFERROR(VLOOKUP(F290,'RM Cost'!A:B,2,0),"")</f>
        <v>RM - SAVOY CABBAGE 1 X 5KG</v>
      </c>
      <c r="H290" s="2" t="s">
        <v>1405</v>
      </c>
      <c r="I290" s="1" t="str">
        <f>VLOOKUP(F290,'RM Used'!B:D,3,0)</f>
        <v>RM-FOOD</v>
      </c>
      <c r="J290" s="66">
        <v>0.4</v>
      </c>
      <c r="K290" s="35">
        <f t="shared" si="96"/>
        <v>1</v>
      </c>
      <c r="L290" s="35">
        <f t="shared" si="84"/>
        <v>1</v>
      </c>
      <c r="M290" s="77" cm="1">
        <f t="array" ref="M290">_xlfn.IFS(BOM!I290="RM-PACKING","100%",B290="Reynolds",VLOOKUP(H290,'Yield &amp; Time'!A:V,22,0),BOM!B290="Dnata",VLOOKUP(BOM!H290,'Yield &amp; Time'!A:M,13,0),B290="NK",VLOOKUP(H290,'Yield &amp; Time'!A:X,24,0))</f>
        <v>0.7360000000000001</v>
      </c>
      <c r="N290" s="35">
        <f t="shared" si="95"/>
        <v>1.3586956521739129</v>
      </c>
      <c r="O290" s="1" t="str">
        <f>VLOOKUP(H290,'RM Used'!A:E,5,0)</f>
        <v>KG</v>
      </c>
      <c r="P290" s="11">
        <f>VLOOKUP(H290,'RM Used'!A:F,6,0)</f>
        <v>0.76</v>
      </c>
      <c r="Q290" s="11">
        <f t="shared" si="93"/>
        <v>1.0326086956521738</v>
      </c>
      <c r="R290" s="11">
        <f>IFERROR(IF(B290="Reynolds",VLOOKUP(H290,'Yield &amp; Time'!A:U,21,0),VLOOKUP(H290,'Yield &amp; Time'!A:L,12,0)),0)</f>
        <v>0.70833333333333326</v>
      </c>
      <c r="S290" s="11">
        <f t="shared" si="85"/>
        <v>0.23977083333333329</v>
      </c>
      <c r="T290" s="11">
        <f t="shared" si="86"/>
        <v>1.1805555555555554E-2</v>
      </c>
      <c r="U290" s="11">
        <f>IF(A289=A290,0,VLOOKUP(A290,'Packing Time'!A:F,6,0))</f>
        <v>0.875</v>
      </c>
      <c r="V290" s="11">
        <f t="shared" si="97"/>
        <v>0.29618749999999999</v>
      </c>
      <c r="W290" s="11">
        <f t="shared" si="98"/>
        <v>1.4583333333333334E-2</v>
      </c>
      <c r="X290" s="11">
        <f t="shared" si="87"/>
        <v>0.85753333333333315</v>
      </c>
      <c r="Y290" s="11">
        <f t="shared" si="99"/>
        <v>0.85753333333333315</v>
      </c>
      <c r="Z290" s="37">
        <v>1</v>
      </c>
      <c r="AA290" s="36">
        <f t="shared" si="88"/>
        <v>1.3586956521739129</v>
      </c>
      <c r="AB290" s="36">
        <f t="shared" si="89"/>
        <v>1.0326086956521738</v>
      </c>
      <c r="AC290" s="11">
        <f t="shared" si="90"/>
        <v>4.2222222222222223E-2</v>
      </c>
      <c r="AD290" s="36">
        <f t="shared" si="100"/>
        <v>0.85753333333333326</v>
      </c>
      <c r="AE290" s="36" t="str">
        <f>VLOOKUP(H290,'Yield &amp; Time'!A:R,18,0)</f>
        <v>CHLORINE</v>
      </c>
      <c r="AF290" s="36">
        <f>IFERROR(VLOOKUP(AE290,'Chemical Cost'!A:D,4,0),0)</f>
        <v>2.7756518066439469E-2</v>
      </c>
      <c r="AG290" s="114">
        <f t="shared" si="91"/>
        <v>1.2570886805452658E-2</v>
      </c>
      <c r="AH290" s="36">
        <f t="shared" si="94"/>
        <v>1.2570886805452658E-2</v>
      </c>
      <c r="AI290" s="36">
        <f t="shared" si="101"/>
        <v>1.9027129157909595</v>
      </c>
      <c r="AJ290" s="36">
        <f>IFERROR(VLOOKUP(A290,'All Products'!A:F,6,0),0)</f>
        <v>8.19</v>
      </c>
      <c r="AK290" s="36">
        <f>AJ290*Z290*J290</f>
        <v>3.2759999999999998</v>
      </c>
      <c r="AL290" s="23">
        <v>0.8</v>
      </c>
      <c r="AM290" s="23">
        <v>0.2</v>
      </c>
      <c r="AN290" s="54" t="e">
        <v>#N/A</v>
      </c>
      <c r="AO290" s="47"/>
      <c r="AP290" s="4">
        <v>1.6</v>
      </c>
      <c r="AQ290" s="111">
        <f t="shared" si="92"/>
        <v>4.2222222222222223E-2</v>
      </c>
      <c r="AR290">
        <f>_xlfn.XLOOKUP(F290,'RM Cost'!A:A,'RM Cost'!S:S)</f>
        <v>0</v>
      </c>
      <c r="AS290" t="e">
        <f>_xlfn.XLOOKUP(A290,[3]Sheet1!$B:$B,[3]Sheet1!$B:$B)</f>
        <v>#N/A</v>
      </c>
    </row>
    <row r="291" spans="1:46" x14ac:dyDescent="0.25">
      <c r="A291" s="1" t="s">
        <v>89</v>
      </c>
      <c r="B291" s="2" t="s">
        <v>552</v>
      </c>
      <c r="C291" s="2" t="s">
        <v>598</v>
      </c>
      <c r="D291" s="2" t="s">
        <v>554</v>
      </c>
      <c r="E291" s="2">
        <v>2.5</v>
      </c>
      <c r="F291" s="1" t="str">
        <f>VLOOKUP(H291,'RM Used'!A:B,2,0)</f>
        <v>206ACS</v>
      </c>
      <c r="G291" s="1" t="str">
        <f>IFERROR(VLOOKUP(F291,'RM Cost'!A:B,2,0),"")</f>
        <v>RM - PREP ONION WHOLE 10KG</v>
      </c>
      <c r="H291" s="1" t="s">
        <v>1406</v>
      </c>
      <c r="I291" s="1" t="str">
        <f>VLOOKUP(F291,'RM Used'!B:D,3,0)</f>
        <v>RM-FOOD</v>
      </c>
      <c r="J291" s="66">
        <v>0.35</v>
      </c>
      <c r="K291" s="35">
        <f t="shared" si="96"/>
        <v>0.875</v>
      </c>
      <c r="L291" s="35">
        <f t="shared" si="84"/>
        <v>0.875</v>
      </c>
      <c r="M291" s="77" cm="1">
        <f t="array" ref="M291">_xlfn.IFS(BOM!I291="RM-PACKING","100%",B291="Reynolds",VLOOKUP(H291,'Yield &amp; Time'!A:V,22,0),BOM!B291="Dnata",VLOOKUP(BOM!H291,'Yield &amp; Time'!A:M,13,0),B291="NK",VLOOKUP(H291,'Yield &amp; Time'!A:X,24,0))</f>
        <v>0.90806063628959444</v>
      </c>
      <c r="N291" s="35">
        <f t="shared" si="95"/>
        <v>0.96359203893620726</v>
      </c>
      <c r="O291" s="1" t="str">
        <f>VLOOKUP(H291,'RM Used'!A:E,5,0)</f>
        <v>KG</v>
      </c>
      <c r="P291" s="11">
        <f>VLOOKUP(H291,'RM Used'!A:F,6,0)</f>
        <v>0.87</v>
      </c>
      <c r="Q291" s="11">
        <f t="shared" si="93"/>
        <v>0.83832507387450028</v>
      </c>
      <c r="R291" s="11">
        <f>IFERROR(IF(B291="Reynolds",VLOOKUP(H291,'Yield &amp; Time'!A:U,21,0),VLOOKUP(H291,'Yield &amp; Time'!A:L,12,0)),0)</f>
        <v>1.3</v>
      </c>
      <c r="S291" s="11">
        <f t="shared" si="85"/>
        <v>0.38504374999999996</v>
      </c>
      <c r="T291" s="11">
        <f t="shared" si="86"/>
        <v>1.8958333333333334E-2</v>
      </c>
      <c r="U291" s="11">
        <f>IF(A290=A291,0,VLOOKUP(A291,'Packing Time'!A:F,6,0))</f>
        <v>0</v>
      </c>
      <c r="V291" s="11">
        <f t="shared" si="97"/>
        <v>0</v>
      </c>
      <c r="W291" s="11">
        <f t="shared" si="98"/>
        <v>0</v>
      </c>
      <c r="X291" s="11">
        <f t="shared" si="87"/>
        <v>0.61607000000000001</v>
      </c>
      <c r="Y291" s="11">
        <f t="shared" si="99"/>
        <v>0.61607000000000001</v>
      </c>
      <c r="Z291" s="37">
        <v>1</v>
      </c>
      <c r="AA291" s="36">
        <f t="shared" si="88"/>
        <v>0.96359203893620726</v>
      </c>
      <c r="AB291" s="36">
        <f t="shared" si="89"/>
        <v>0.83832507387450028</v>
      </c>
      <c r="AC291" s="11">
        <f t="shared" si="90"/>
        <v>3.0333333333333337E-2</v>
      </c>
      <c r="AD291" s="36">
        <f t="shared" si="100"/>
        <v>0.61607000000000001</v>
      </c>
      <c r="AE291" s="36" t="str">
        <f>VLOOKUP(H291,'Yield &amp; Time'!A:R,18,0)</f>
        <v>CHLORINE</v>
      </c>
      <c r="AF291" s="36">
        <f>IFERROR(VLOOKUP(AE291,'Chemical Cost'!A:D,4,0),0)</f>
        <v>2.7756518066439469E-2</v>
      </c>
      <c r="AG291" s="114">
        <f t="shared" si="91"/>
        <v>8.9153199458033607E-3</v>
      </c>
      <c r="AH291" s="36">
        <f t="shared" si="94"/>
        <v>8.9153199458033607E-3</v>
      </c>
      <c r="AI291" s="36">
        <f t="shared" si="101"/>
        <v>1.4633103938203036</v>
      </c>
      <c r="AJ291" s="36">
        <f>IFERROR(VLOOKUP(A291,'All Products'!A:F,6,0),0)</f>
        <v>8.19</v>
      </c>
      <c r="AK291" s="36">
        <f>AJ291*Z291*J291</f>
        <v>2.8664999999999998</v>
      </c>
      <c r="AL291" s="23">
        <v>0.8</v>
      </c>
      <c r="AM291" s="23">
        <v>0.2</v>
      </c>
      <c r="AN291" s="54" t="e">
        <v>#N/A</v>
      </c>
      <c r="AO291" s="47"/>
      <c r="AP291" s="4">
        <v>1.6</v>
      </c>
      <c r="AQ291" s="111">
        <f t="shared" si="92"/>
        <v>3.0333333333333337E-2</v>
      </c>
      <c r="AR291">
        <f>_xlfn.XLOOKUP(F291,'RM Cost'!A:A,'RM Cost'!S:S)</f>
        <v>0</v>
      </c>
      <c r="AS291" t="e">
        <f>_xlfn.XLOOKUP(A291,[3]Sheet1!$B:$B,[3]Sheet1!$B:$B)</f>
        <v>#N/A</v>
      </c>
    </row>
    <row r="292" spans="1:46" x14ac:dyDescent="0.25">
      <c r="A292" s="1" t="s">
        <v>89</v>
      </c>
      <c r="B292" s="2" t="s">
        <v>552</v>
      </c>
      <c r="C292" s="2" t="s">
        <v>598</v>
      </c>
      <c r="D292" s="2" t="s">
        <v>554</v>
      </c>
      <c r="E292" s="2">
        <v>2.5</v>
      </c>
      <c r="F292" s="1" t="str">
        <f>VLOOKUP(H292,'RM Used'!A:B,2,0)</f>
        <v>3566CS</v>
      </c>
      <c r="G292" s="1" t="str">
        <f>IFERROR(VLOOKUP(F292,'RM Cost'!A:B,2,0),"")</f>
        <v>PEPPERS RED X 5KG</v>
      </c>
      <c r="H292" s="2" t="s">
        <v>1355</v>
      </c>
      <c r="I292" s="1" t="str">
        <f>VLOOKUP(F292,'RM Used'!B:D,3,0)</f>
        <v>RM-FOOD</v>
      </c>
      <c r="J292" s="66">
        <v>0.15</v>
      </c>
      <c r="K292" s="35">
        <f t="shared" si="96"/>
        <v>0.375</v>
      </c>
      <c r="L292" s="35">
        <f t="shared" si="84"/>
        <v>0.375</v>
      </c>
      <c r="M292" s="77" cm="1">
        <f t="array" ref="M292">_xlfn.IFS(BOM!I292="RM-PACKING","100%",B292="Reynolds",VLOOKUP(H292,'Yield &amp; Time'!A:V,22,0),BOM!B292="Dnata",VLOOKUP(BOM!H292,'Yield &amp; Time'!A:M,13,0),B292="NK",VLOOKUP(H292,'Yield &amp; Time'!A:X,24,0))</f>
        <v>0.69679992348890596</v>
      </c>
      <c r="N292" s="35">
        <f t="shared" si="95"/>
        <v>0.53817457114857237</v>
      </c>
      <c r="O292" s="1" t="str">
        <f>VLOOKUP(H292,'RM Used'!A:E,5,0)</f>
        <v>KG</v>
      </c>
      <c r="P292" s="11">
        <f>VLOOKUP(H292,'RM Used'!A:F,6,0)</f>
        <v>1.72</v>
      </c>
      <c r="Q292" s="11">
        <f t="shared" si="93"/>
        <v>0.92566026237554444</v>
      </c>
      <c r="R292" s="11">
        <f>IFERROR(IF(B292="Reynolds",VLOOKUP(H292,'Yield &amp; Time'!A:U,21,0),VLOOKUP(H292,'Yield &amp; Time'!A:L,12,0)),0)</f>
        <v>1.4647664250073889</v>
      </c>
      <c r="S292" s="11">
        <f t="shared" si="85"/>
        <v>0.18593378807437541</v>
      </c>
      <c r="T292" s="11">
        <f t="shared" si="86"/>
        <v>9.154790156296182E-3</v>
      </c>
      <c r="U292" s="11">
        <f>IF(A291=A292,0,VLOOKUP(A292,'Packing Time'!A:F,6,0))</f>
        <v>0</v>
      </c>
      <c r="V292" s="11">
        <f t="shared" si="97"/>
        <v>0</v>
      </c>
      <c r="W292" s="11">
        <f t="shared" si="98"/>
        <v>0</v>
      </c>
      <c r="X292" s="11">
        <f t="shared" si="87"/>
        <v>0.29749406091900066</v>
      </c>
      <c r="Y292" s="11">
        <f t="shared" si="99"/>
        <v>0.29749406091900066</v>
      </c>
      <c r="Z292" s="37">
        <v>1</v>
      </c>
      <c r="AA292" s="36">
        <f t="shared" si="88"/>
        <v>0.53817457114857237</v>
      </c>
      <c r="AB292" s="36">
        <f t="shared" si="89"/>
        <v>0.92566026237554444</v>
      </c>
      <c r="AC292" s="11">
        <f t="shared" si="90"/>
        <v>1.4647664250073892E-2</v>
      </c>
      <c r="AD292" s="36">
        <f t="shared" si="100"/>
        <v>0.29749406091900071</v>
      </c>
      <c r="AE292" s="36" t="str">
        <f>VLOOKUP(H292,'Yield &amp; Time'!A:R,18,0)</f>
        <v>CHLORINE</v>
      </c>
      <c r="AF292" s="36">
        <f>IFERROR(VLOOKUP(AE292,'Chemical Cost'!A:D,4,0),0)</f>
        <v>2.7756518066439469E-2</v>
      </c>
      <c r="AG292" s="114">
        <f t="shared" si="91"/>
        <v>4.9792840689945545E-3</v>
      </c>
      <c r="AH292" s="36">
        <f t="shared" si="94"/>
        <v>4.9792840689945545E-3</v>
      </c>
      <c r="AI292" s="36">
        <f t="shared" si="101"/>
        <v>1.2281336073635396</v>
      </c>
      <c r="AJ292" s="36">
        <f>IFERROR(VLOOKUP(A292,'All Products'!A:F,6,0),0)</f>
        <v>8.19</v>
      </c>
      <c r="AK292" s="36">
        <f>AJ292*Z292*J292</f>
        <v>1.2284999999999999</v>
      </c>
      <c r="AL292" s="23">
        <v>0.8</v>
      </c>
      <c r="AM292" s="23">
        <v>0.2</v>
      </c>
      <c r="AN292" s="54" t="e">
        <v>#N/A</v>
      </c>
      <c r="AO292" s="47"/>
      <c r="AP292" s="4">
        <v>1.6</v>
      </c>
      <c r="AQ292" s="111">
        <f t="shared" si="92"/>
        <v>1.4647664250073892E-2</v>
      </c>
      <c r="AR292">
        <f>_xlfn.XLOOKUP(F292,'RM Cost'!A:A,'RM Cost'!S:S)</f>
        <v>0</v>
      </c>
      <c r="AS292" t="e">
        <f>_xlfn.XLOOKUP(A292,[3]Sheet1!$B:$B,[3]Sheet1!$B:$B)</f>
        <v>#N/A</v>
      </c>
    </row>
    <row r="293" spans="1:46" x14ac:dyDescent="0.25">
      <c r="A293" s="1" t="s">
        <v>89</v>
      </c>
      <c r="B293" s="2" t="s">
        <v>552</v>
      </c>
      <c r="C293" s="2" t="s">
        <v>598</v>
      </c>
      <c r="D293" s="2" t="s">
        <v>554</v>
      </c>
      <c r="E293" s="2">
        <v>2.5</v>
      </c>
      <c r="F293" s="1" t="str">
        <f>VLOOKUP(H293,'RM Used'!A:B,2,0)</f>
        <v>032ACS</v>
      </c>
      <c r="G293" s="1" t="str">
        <f>IFERROR(VLOOKUP(F293,'RM Cost'!A:B,2,0),"")</f>
        <v>RM - LRG PROCESSING CARROT X 1000KG</v>
      </c>
      <c r="H293" s="2" t="s">
        <v>1351</v>
      </c>
      <c r="I293" s="1" t="str">
        <f>VLOOKUP(F293,'RM Used'!B:D,3,0)</f>
        <v>RM-FOOD</v>
      </c>
      <c r="J293" s="66">
        <v>0.1</v>
      </c>
      <c r="K293" s="35">
        <f t="shared" si="96"/>
        <v>0.25</v>
      </c>
      <c r="L293" s="35">
        <f t="shared" si="84"/>
        <v>0.25</v>
      </c>
      <c r="M293" s="77" cm="1">
        <f t="array" ref="M293">_xlfn.IFS(BOM!I293="RM-PACKING","100%",B293="Reynolds",VLOOKUP(H293,'Yield &amp; Time'!A:V,22,0),BOM!B293="Dnata",VLOOKUP(BOM!H293,'Yield &amp; Time'!A:M,13,0),B293="NK",VLOOKUP(H293,'Yield &amp; Time'!A:X,24,0))</f>
        <v>0.75330000000000008</v>
      </c>
      <c r="N293" s="35">
        <f t="shared" si="95"/>
        <v>0.33187309172972251</v>
      </c>
      <c r="O293" s="1" t="str">
        <f>VLOOKUP(H293,'RM Used'!A:E,5,0)</f>
        <v>KG</v>
      </c>
      <c r="P293" s="11">
        <f>VLOOKUP(H293,'RM Used'!A:F,6,0)</f>
        <v>0.38</v>
      </c>
      <c r="Q293" s="11">
        <f t="shared" si="93"/>
        <v>0.12611177485729455</v>
      </c>
      <c r="R293" s="11">
        <f>IFERROR(IF(B293="Reynolds",VLOOKUP(H293,'Yield &amp; Time'!A:U,21,0),VLOOKUP(H293,'Yield &amp; Time'!A:L,12,0)),0)</f>
        <v>0.90531914893617027</v>
      </c>
      <c r="S293" s="11">
        <f t="shared" si="85"/>
        <v>7.6612632978723408E-2</v>
      </c>
      <c r="T293" s="11">
        <f t="shared" si="86"/>
        <v>3.7721631205673762E-3</v>
      </c>
      <c r="U293" s="11">
        <f>IF(A292=A293,0,VLOOKUP(A293,'Packing Time'!A:F,6,0))</f>
        <v>0</v>
      </c>
      <c r="V293" s="11">
        <f t="shared" si="97"/>
        <v>0</v>
      </c>
      <c r="W293" s="11">
        <f t="shared" si="98"/>
        <v>0</v>
      </c>
      <c r="X293" s="11">
        <f t="shared" si="87"/>
        <v>0.12258021276595746</v>
      </c>
      <c r="Y293" s="11">
        <f t="shared" si="99"/>
        <v>0.12258021276595746</v>
      </c>
      <c r="Z293" s="37">
        <v>1</v>
      </c>
      <c r="AA293" s="36">
        <f t="shared" si="88"/>
        <v>0.33187309172972251</v>
      </c>
      <c r="AB293" s="36">
        <f t="shared" si="89"/>
        <v>0.12611177485729455</v>
      </c>
      <c r="AC293" s="11">
        <f t="shared" si="90"/>
        <v>6.0354609929078023E-3</v>
      </c>
      <c r="AD293" s="36">
        <f t="shared" si="100"/>
        <v>0.12258021276595744</v>
      </c>
      <c r="AE293" s="36" t="str">
        <f>VLOOKUP(H293,'Yield &amp; Time'!A:R,18,0)</f>
        <v>CHLORINE</v>
      </c>
      <c r="AF293" s="36">
        <f>IFERROR(VLOOKUP(AE293,'Chemical Cost'!A:D,4,0),0)</f>
        <v>2.7756518066439469E-2</v>
      </c>
      <c r="AG293" s="114">
        <f t="shared" si="91"/>
        <v>3.0705471554537222E-3</v>
      </c>
      <c r="AH293" s="36">
        <f t="shared" si="94"/>
        <v>3.0705471554537222E-3</v>
      </c>
      <c r="AI293" s="36">
        <f t="shared" si="101"/>
        <v>0.25176253477870575</v>
      </c>
      <c r="AJ293" s="36">
        <f>IFERROR(VLOOKUP(A293,'All Products'!A:F,6,0),0)</f>
        <v>8.19</v>
      </c>
      <c r="AK293" s="36">
        <f>AJ293*Z293*J293</f>
        <v>0.81899999999999995</v>
      </c>
      <c r="AL293" s="23">
        <v>0.8</v>
      </c>
      <c r="AM293" s="23">
        <v>0.2</v>
      </c>
      <c r="AN293" s="54" t="e">
        <v>#N/A</v>
      </c>
      <c r="AO293" s="47"/>
      <c r="AP293" s="4">
        <v>1.6</v>
      </c>
      <c r="AQ293" s="111">
        <f t="shared" si="92"/>
        <v>6.0354609929078023E-3</v>
      </c>
      <c r="AR293">
        <f>_xlfn.XLOOKUP(F293,'RM Cost'!A:A,'RM Cost'!S:S)</f>
        <v>0</v>
      </c>
      <c r="AS293" t="e">
        <f>_xlfn.XLOOKUP(A293,[3]Sheet1!$B:$B,[3]Sheet1!$B:$B)</f>
        <v>#N/A</v>
      </c>
    </row>
    <row r="294" spans="1:46" x14ac:dyDescent="0.25">
      <c r="A294" s="1" t="s">
        <v>89</v>
      </c>
      <c r="B294" s="2" t="s">
        <v>552</v>
      </c>
      <c r="C294" s="2" t="s">
        <v>598</v>
      </c>
      <c r="D294" s="2" t="s">
        <v>554</v>
      </c>
      <c r="E294" s="2">
        <v>2.5</v>
      </c>
      <c r="F294" s="1" t="str">
        <f>VLOOKUP(H294,'RM Used'!A:B,2,0)</f>
        <v>P0020</v>
      </c>
      <c r="G294" s="1" t="str">
        <f>IFERROR(VLOOKUP(F294,'RM Cost'!A:B,2,0),"")</f>
        <v>PALE BLUE BAG 430X430MM</v>
      </c>
      <c r="H294" s="2" t="s">
        <v>1659</v>
      </c>
      <c r="I294" s="1" t="str">
        <f>VLOOKUP(F294,'RM Used'!B:D,3,0)</f>
        <v>RM-PACKING</v>
      </c>
      <c r="J294" s="66">
        <v>1</v>
      </c>
      <c r="K294" s="35" t="str">
        <f t="shared" si="96"/>
        <v/>
      </c>
      <c r="L294" s="35">
        <f t="shared" si="84"/>
        <v>0</v>
      </c>
      <c r="M294" s="77" t="str" cm="1">
        <f t="array" ref="M294">_xlfn.IFS(BOM!I294="RM-PACKING","100%",B294="Reynolds",VLOOKUP(H294,'Yield &amp; Time'!A:V,22,0),BOM!B294="Dnata",VLOOKUP(BOM!H294,'Yield &amp; Time'!A:M,13,0),B294="NK",VLOOKUP(H294,'Yield &amp; Time'!A:X,24,0))</f>
        <v>100%</v>
      </c>
      <c r="N294" s="35">
        <f t="shared" si="95"/>
        <v>1</v>
      </c>
      <c r="O294" s="1" t="str">
        <f>VLOOKUP(H294,'RM Used'!A:E,5,0)</f>
        <v>Count</v>
      </c>
      <c r="P294" s="11">
        <f>VLOOKUP(H294,'RM Used'!A:F,6,0)</f>
        <v>0.09</v>
      </c>
      <c r="Q294" s="11">
        <f t="shared" si="93"/>
        <v>0.09</v>
      </c>
      <c r="R294" s="11">
        <f>IFERROR(IF(B294="Reynolds",VLOOKUP(H294,'Yield &amp; Time'!A:U,21,0),VLOOKUP(H294,'Yield &amp; Time'!A:L,12,0)),0)</f>
        <v>0</v>
      </c>
      <c r="S294" s="11">
        <f t="shared" si="85"/>
        <v>0</v>
      </c>
      <c r="T294" s="11">
        <f t="shared" si="86"/>
        <v>0</v>
      </c>
      <c r="U294" s="11">
        <f>IF(A293=A294,0,VLOOKUP(A294,'Packing Time'!A:F,6,0))</f>
        <v>0</v>
      </c>
      <c r="V294" s="11">
        <f t="shared" si="97"/>
        <v>0</v>
      </c>
      <c r="W294" s="11">
        <f t="shared" si="98"/>
        <v>0</v>
      </c>
      <c r="X294" s="11">
        <f t="shared" si="87"/>
        <v>0</v>
      </c>
      <c r="Y294" s="11">
        <f t="shared" si="99"/>
        <v>0</v>
      </c>
      <c r="Z294" s="37">
        <v>1</v>
      </c>
      <c r="AA294" s="36">
        <f t="shared" si="88"/>
        <v>1</v>
      </c>
      <c r="AB294" s="36">
        <f t="shared" si="89"/>
        <v>0.09</v>
      </c>
      <c r="AC294" s="11">
        <f t="shared" si="90"/>
        <v>0</v>
      </c>
      <c r="AD294" s="36">
        <f t="shared" si="100"/>
        <v>0</v>
      </c>
      <c r="AE294" s="36"/>
      <c r="AF294" s="36">
        <f>IFERROR(VLOOKUP(AE294,'Chemical Cost'!A:D,4,0),0)</f>
        <v>0</v>
      </c>
      <c r="AG294" s="114">
        <f t="shared" si="91"/>
        <v>0</v>
      </c>
      <c r="AH294" s="36">
        <f t="shared" si="94"/>
        <v>0</v>
      </c>
      <c r="AI294" s="36">
        <f t="shared" si="101"/>
        <v>0.09</v>
      </c>
      <c r="AJ294" s="36">
        <f>IFERROR(VLOOKUP(A294,'All Products'!A:F,6,0),0)</f>
        <v>8.19</v>
      </c>
      <c r="AK294" s="36"/>
      <c r="AL294" s="23">
        <v>0.8</v>
      </c>
      <c r="AM294" s="23">
        <v>0.2</v>
      </c>
      <c r="AN294" s="54" t="e">
        <v>#N/A</v>
      </c>
      <c r="AO294" s="47"/>
      <c r="AP294" s="4">
        <v>1.6</v>
      </c>
      <c r="AQ294" s="111">
        <f t="shared" si="92"/>
        <v>0</v>
      </c>
      <c r="AR294">
        <f>_xlfn.XLOOKUP(F294,'RM Cost'!A:A,'RM Cost'!S:S)</f>
        <v>0</v>
      </c>
      <c r="AS294" t="e">
        <f>_xlfn.XLOOKUP(A294,[3]Sheet1!$B:$B,[3]Sheet1!$B:$B)</f>
        <v>#N/A</v>
      </c>
    </row>
    <row r="295" spans="1:46" x14ac:dyDescent="0.25">
      <c r="A295" s="1" t="s">
        <v>89</v>
      </c>
      <c r="B295" s="2" t="s">
        <v>552</v>
      </c>
      <c r="C295" s="2" t="s">
        <v>598</v>
      </c>
      <c r="D295" s="2" t="s">
        <v>554</v>
      </c>
      <c r="E295" s="2">
        <v>2.5</v>
      </c>
      <c r="F295" s="1" t="str">
        <f>VLOOKUP(H295,'RM Used'!A:B,2,0)</f>
        <v>P0016</v>
      </c>
      <c r="G295" s="1" t="str">
        <f>IFERROR(VLOOKUP(F295,'RM Cost'!A:B,2,0),"")</f>
        <v>REY 40 30 BOX</v>
      </c>
      <c r="H295" s="2" t="s">
        <v>1332</v>
      </c>
      <c r="I295" s="1" t="str">
        <f>VLOOKUP(F295,'RM Used'!B:D,3,0)</f>
        <v>RM-PACKING</v>
      </c>
      <c r="J295" s="66">
        <v>1</v>
      </c>
      <c r="K295" s="35" t="str">
        <f t="shared" si="96"/>
        <v/>
      </c>
      <c r="L295" s="35">
        <f t="shared" si="84"/>
        <v>0</v>
      </c>
      <c r="M295" s="77" t="str" cm="1">
        <f t="array" ref="M295">_xlfn.IFS(BOM!I295="RM-PACKING","100%",B295="Reynolds",VLOOKUP(H295,'Yield &amp; Time'!A:V,22,0),BOM!B295="Dnata",VLOOKUP(BOM!H295,'Yield &amp; Time'!A:M,13,0),B295="NK",VLOOKUP(H295,'Yield &amp; Time'!A:X,24,0))</f>
        <v>100%</v>
      </c>
      <c r="N295" s="35">
        <f t="shared" si="95"/>
        <v>1</v>
      </c>
      <c r="O295" s="1" t="str">
        <f>VLOOKUP(H295,'RM Used'!A:E,5,0)</f>
        <v>Count</v>
      </c>
      <c r="P295" s="11">
        <f>VLOOKUP(H295,'RM Used'!A:F,6,0)</f>
        <v>0.28000000000000003</v>
      </c>
      <c r="Q295" s="11">
        <f t="shared" si="93"/>
        <v>0.28000000000000003</v>
      </c>
      <c r="R295" s="11">
        <f>IFERROR(IF(B295="Reynolds",VLOOKUP(H295,'Yield &amp; Time'!A:U,21,0),VLOOKUP(H295,'Yield &amp; Time'!A:L,12,0)),0)</f>
        <v>0</v>
      </c>
      <c r="S295" s="11">
        <f t="shared" si="85"/>
        <v>0</v>
      </c>
      <c r="T295" s="11">
        <f t="shared" si="86"/>
        <v>0</v>
      </c>
      <c r="U295" s="11">
        <f>IF(A294=A295,0,VLOOKUP(A295,'Packing Time'!A:F,6,0))</f>
        <v>0</v>
      </c>
      <c r="V295" s="11">
        <f t="shared" si="97"/>
        <v>0</v>
      </c>
      <c r="W295" s="11">
        <f t="shared" si="98"/>
        <v>0</v>
      </c>
      <c r="X295" s="11">
        <f t="shared" si="87"/>
        <v>0</v>
      </c>
      <c r="Y295" s="11">
        <f t="shared" si="99"/>
        <v>0</v>
      </c>
      <c r="Z295" s="37">
        <v>1</v>
      </c>
      <c r="AA295" s="36">
        <f t="shared" si="88"/>
        <v>1</v>
      </c>
      <c r="AB295" s="36">
        <f t="shared" si="89"/>
        <v>0.28000000000000003</v>
      </c>
      <c r="AC295" s="11">
        <f t="shared" si="90"/>
        <v>0</v>
      </c>
      <c r="AD295" s="36">
        <f t="shared" si="100"/>
        <v>0</v>
      </c>
      <c r="AE295" s="36"/>
      <c r="AF295" s="36">
        <f>IFERROR(VLOOKUP(AE295,'Chemical Cost'!A:D,4,0),0)</f>
        <v>0</v>
      </c>
      <c r="AG295" s="114">
        <f t="shared" si="91"/>
        <v>0</v>
      </c>
      <c r="AH295" s="36">
        <f t="shared" si="94"/>
        <v>0</v>
      </c>
      <c r="AI295" s="36">
        <f t="shared" si="101"/>
        <v>0.28000000000000003</v>
      </c>
      <c r="AJ295" s="36">
        <f>IFERROR(VLOOKUP(A295,'All Products'!A:F,6,0),0)</f>
        <v>8.19</v>
      </c>
      <c r="AK295" s="36"/>
      <c r="AL295" s="23">
        <v>0.8</v>
      </c>
      <c r="AM295" s="23">
        <v>0.2</v>
      </c>
      <c r="AN295" s="54" t="e">
        <v>#N/A</v>
      </c>
      <c r="AO295" s="47"/>
      <c r="AP295" s="4">
        <v>1.6</v>
      </c>
      <c r="AQ295" s="111">
        <f t="shared" si="92"/>
        <v>0</v>
      </c>
      <c r="AR295">
        <f>_xlfn.XLOOKUP(F295,'RM Cost'!A:A,'RM Cost'!S:S)</f>
        <v>0</v>
      </c>
      <c r="AS295" t="e">
        <f>_xlfn.XLOOKUP(A295,[3]Sheet1!$B:$B,[3]Sheet1!$B:$B)</f>
        <v>#N/A</v>
      </c>
    </row>
    <row r="296" spans="1:46" x14ac:dyDescent="0.25">
      <c r="A296" s="1" t="s">
        <v>599</v>
      </c>
      <c r="B296" s="2" t="s">
        <v>552</v>
      </c>
      <c r="C296" s="2" t="s">
        <v>600</v>
      </c>
      <c r="D296" s="2" t="s">
        <v>554</v>
      </c>
      <c r="E296" s="2">
        <v>2.5</v>
      </c>
      <c r="F296" s="1" t="str">
        <f>VLOOKUP(H296,'RM Used'!A:B,2,0)</f>
        <v>3191CS</v>
      </c>
      <c r="G296" s="1" t="str">
        <f>IFERROR(VLOOKUP(F296,'RM Cost'!A:B,2,0),"")</f>
        <v>RM - PARSNIPS 10KG</v>
      </c>
      <c r="H296" s="2" t="s">
        <v>1454</v>
      </c>
      <c r="I296" s="1" t="str">
        <f>VLOOKUP(F296,'RM Used'!B:D,3,0)</f>
        <v>RM-FOOD</v>
      </c>
      <c r="J296" s="66">
        <v>1</v>
      </c>
      <c r="K296" s="35">
        <f t="shared" si="96"/>
        <v>2.5</v>
      </c>
      <c r="L296" s="35">
        <f t="shared" si="84"/>
        <v>2.5</v>
      </c>
      <c r="M296" s="77" cm="1">
        <f t="array" ref="M296">_xlfn.IFS(BOM!I296="RM-PACKING","100%",B296="Reynolds",VLOOKUP(H296,'Yield &amp; Time'!A:V,22,0),BOM!B296="Dnata",VLOOKUP(BOM!H296,'Yield &amp; Time'!A:M,13,0),B296="NK",VLOOKUP(H296,'Yield &amp; Time'!A:X,24,0))</f>
        <v>0.67961165048543681</v>
      </c>
      <c r="N296" s="35">
        <f t="shared" si="95"/>
        <v>3.6785714285714288</v>
      </c>
      <c r="O296" s="1" t="str">
        <f>VLOOKUP(H296,'RM Used'!A:E,5,0)</f>
        <v>KG</v>
      </c>
      <c r="P296" s="11">
        <f>VLOOKUP(H296,'RM Used'!A:F,6,0)</f>
        <v>0.76</v>
      </c>
      <c r="Q296" s="11">
        <f t="shared" si="93"/>
        <v>2.7957142857142858</v>
      </c>
      <c r="R296" s="11">
        <f>IFERROR(IF(B296="Reynolds",VLOOKUP(H296,'Yield &amp; Time'!A:U,21,0),VLOOKUP(H296,'Yield &amp; Time'!A:L,12,0)),0)</f>
        <v>2.7071428571428573</v>
      </c>
      <c r="S296" s="11">
        <f t="shared" si="85"/>
        <v>2.2909196428571428</v>
      </c>
      <c r="T296" s="11">
        <f t="shared" si="86"/>
        <v>0.11279761904761905</v>
      </c>
      <c r="U296" s="11">
        <f>IF(A295=A296,0,VLOOKUP(A296,'Packing Time'!A:F,6,0))</f>
        <v>0.875</v>
      </c>
      <c r="V296" s="11">
        <f t="shared" si="97"/>
        <v>0.29618749999999999</v>
      </c>
      <c r="W296" s="11">
        <f t="shared" si="98"/>
        <v>1.4583333333333334E-2</v>
      </c>
      <c r="X296" s="11">
        <f t="shared" si="87"/>
        <v>2.845817857142857</v>
      </c>
      <c r="Y296" s="11">
        <f t="shared" si="99"/>
        <v>2.845817857142857</v>
      </c>
      <c r="Z296" s="37">
        <v>1</v>
      </c>
      <c r="AA296" s="36">
        <f t="shared" si="88"/>
        <v>3.6785714285714288</v>
      </c>
      <c r="AB296" s="36">
        <f t="shared" si="89"/>
        <v>2.7957142857142858</v>
      </c>
      <c r="AC296" s="11">
        <f t="shared" si="90"/>
        <v>0.14011904761904764</v>
      </c>
      <c r="AD296" s="36">
        <f t="shared" si="100"/>
        <v>2.8458178571428574</v>
      </c>
      <c r="AE296" s="36" t="str">
        <f>VLOOKUP(H296,'Yield &amp; Time'!A:R,18,0)</f>
        <v>SODIUM METABISULPHITE</v>
      </c>
      <c r="AF296" s="36">
        <f>IFERROR(VLOOKUP(AE296,'Chemical Cost'!A:D,4,0),0)</f>
        <v>9.7586225455882462E-3</v>
      </c>
      <c r="AG296" s="114">
        <f t="shared" si="91"/>
        <v>1.1965930026137968E-2</v>
      </c>
      <c r="AH296" s="36">
        <f t="shared" si="94"/>
        <v>1.1965930026137968E-2</v>
      </c>
      <c r="AI296" s="36">
        <f t="shared" si="101"/>
        <v>5.6534980728832807</v>
      </c>
      <c r="AJ296" s="36">
        <f>IFERROR(VLOOKUP(A296,'All Products'!A:F,6,0),0)</f>
        <v>9.56</v>
      </c>
      <c r="AK296" s="36">
        <f>AJ296*Z296*J296</f>
        <v>9.56</v>
      </c>
      <c r="AL296" s="23">
        <v>1</v>
      </c>
      <c r="AM296" s="23"/>
      <c r="AN296" s="54" t="e">
        <v>#N/A</v>
      </c>
      <c r="AO296" s="47"/>
      <c r="AP296" s="4">
        <v>1.1000000000000001</v>
      </c>
      <c r="AQ296" s="111">
        <f t="shared" si="92"/>
        <v>0.14011904761904764</v>
      </c>
      <c r="AR296">
        <f>_xlfn.XLOOKUP(F296,'RM Cost'!A:A,'RM Cost'!S:S)</f>
        <v>0</v>
      </c>
      <c r="AS296" t="str">
        <f>_xlfn.XLOOKUP(A296,[3]Sheet1!$B:$B,[3]Sheet1!$B:$B)</f>
        <v>1366CS</v>
      </c>
      <c r="AT296">
        <f>_xlfn.XLOOKUP(H296,'Yield &amp; Time'!A:A,'Yield &amp; Time'!F:F)</f>
        <v>0</v>
      </c>
    </row>
    <row r="297" spans="1:46" x14ac:dyDescent="0.25">
      <c r="A297" s="1" t="s">
        <v>599</v>
      </c>
      <c r="B297" s="2" t="s">
        <v>552</v>
      </c>
      <c r="C297" s="2" t="s">
        <v>600</v>
      </c>
      <c r="D297" s="2" t="s">
        <v>554</v>
      </c>
      <c r="E297" s="2">
        <v>2.5</v>
      </c>
      <c r="F297" s="1" t="str">
        <f>VLOOKUP(H297,'RM Used'!A:B,2,0)</f>
        <v>P0020</v>
      </c>
      <c r="G297" s="1" t="str">
        <f>IFERROR(VLOOKUP(F297,'RM Cost'!A:B,2,0),"")</f>
        <v>PALE BLUE BAG 430X430MM</v>
      </c>
      <c r="H297" s="2" t="s">
        <v>1659</v>
      </c>
      <c r="I297" s="1" t="str">
        <f>VLOOKUP(F297,'RM Used'!B:D,3,0)</f>
        <v>RM-PACKING</v>
      </c>
      <c r="J297" s="66">
        <v>1</v>
      </c>
      <c r="K297" s="35" t="str">
        <f t="shared" si="96"/>
        <v/>
      </c>
      <c r="L297" s="35">
        <f t="shared" si="84"/>
        <v>0</v>
      </c>
      <c r="M297" s="77" t="str" cm="1">
        <f t="array" ref="M297">_xlfn.IFS(BOM!I297="RM-PACKING","100%",B297="Reynolds",VLOOKUP(H297,'Yield &amp; Time'!A:V,22,0),BOM!B297="Dnata",VLOOKUP(BOM!H297,'Yield &amp; Time'!A:M,13,0),B297="NK",VLOOKUP(H297,'Yield &amp; Time'!A:X,24,0))</f>
        <v>100%</v>
      </c>
      <c r="N297" s="35">
        <f t="shared" si="95"/>
        <v>1</v>
      </c>
      <c r="O297" s="1" t="str">
        <f>VLOOKUP(H297,'RM Used'!A:E,5,0)</f>
        <v>Count</v>
      </c>
      <c r="P297" s="11">
        <f>VLOOKUP(H297,'RM Used'!A:F,6,0)</f>
        <v>0.09</v>
      </c>
      <c r="Q297" s="11">
        <f t="shared" si="93"/>
        <v>0.09</v>
      </c>
      <c r="R297" s="11">
        <f>IFERROR(IF(B297="Reynolds",VLOOKUP(H297,'Yield &amp; Time'!A:U,21,0),VLOOKUP(H297,'Yield &amp; Time'!A:L,12,0)),0)</f>
        <v>0</v>
      </c>
      <c r="S297" s="11">
        <f t="shared" si="85"/>
        <v>0</v>
      </c>
      <c r="T297" s="11">
        <f t="shared" si="86"/>
        <v>0</v>
      </c>
      <c r="U297" s="11">
        <f>IF(A296=A297,0,VLOOKUP(A297,'Packing Time'!A:F,6,0))</f>
        <v>0</v>
      </c>
      <c r="V297" s="11">
        <f t="shared" si="97"/>
        <v>0</v>
      </c>
      <c r="W297" s="11">
        <f t="shared" si="98"/>
        <v>0</v>
      </c>
      <c r="X297" s="11">
        <f t="shared" si="87"/>
        <v>0</v>
      </c>
      <c r="Y297" s="11">
        <f t="shared" si="99"/>
        <v>0</v>
      </c>
      <c r="Z297" s="37">
        <v>1</v>
      </c>
      <c r="AA297" s="36">
        <f t="shared" si="88"/>
        <v>1</v>
      </c>
      <c r="AB297" s="36">
        <f t="shared" si="89"/>
        <v>0.09</v>
      </c>
      <c r="AC297" s="11">
        <f t="shared" si="90"/>
        <v>0</v>
      </c>
      <c r="AD297" s="36">
        <f t="shared" si="100"/>
        <v>0</v>
      </c>
      <c r="AE297" s="36"/>
      <c r="AF297" s="36">
        <f>IFERROR(VLOOKUP(AE297,'Chemical Cost'!A:D,4,0),0)</f>
        <v>0</v>
      </c>
      <c r="AG297" s="114">
        <f t="shared" si="91"/>
        <v>0</v>
      </c>
      <c r="AH297" s="36">
        <f t="shared" si="94"/>
        <v>0</v>
      </c>
      <c r="AI297" s="36">
        <f t="shared" si="101"/>
        <v>0.09</v>
      </c>
      <c r="AJ297" s="36">
        <f>IFERROR(VLOOKUP(A297,'All Products'!A:F,6,0),0)</f>
        <v>9.56</v>
      </c>
      <c r="AK297" s="36"/>
      <c r="AL297" s="23">
        <v>1</v>
      </c>
      <c r="AM297" s="23"/>
      <c r="AN297" s="54" t="e">
        <v>#N/A</v>
      </c>
      <c r="AO297" s="47"/>
      <c r="AP297" s="4">
        <v>1.1000000000000001</v>
      </c>
      <c r="AQ297" s="111">
        <f t="shared" si="92"/>
        <v>0</v>
      </c>
      <c r="AR297">
        <f>_xlfn.XLOOKUP(F297,'RM Cost'!A:A,'RM Cost'!S:S)</f>
        <v>0</v>
      </c>
      <c r="AS297" t="str">
        <f>_xlfn.XLOOKUP(A297,[3]Sheet1!$B:$B,[3]Sheet1!$B:$B)</f>
        <v>1366CS</v>
      </c>
      <c r="AT297" t="e">
        <f>_xlfn.XLOOKUP(H297,'Yield &amp; Time'!A:A,'Yield &amp; Time'!F:F)</f>
        <v>#N/A</v>
      </c>
    </row>
    <row r="298" spans="1:46" x14ac:dyDescent="0.25">
      <c r="A298" s="1" t="s">
        <v>599</v>
      </c>
      <c r="B298" s="2" t="s">
        <v>552</v>
      </c>
      <c r="C298" s="2" t="s">
        <v>600</v>
      </c>
      <c r="D298" s="2" t="s">
        <v>554</v>
      </c>
      <c r="E298" s="2">
        <v>2.5</v>
      </c>
      <c r="F298" s="1" t="str">
        <f>VLOOKUP(H298,'RM Used'!A:B,2,0)</f>
        <v>P0016</v>
      </c>
      <c r="G298" s="1" t="str">
        <f>IFERROR(VLOOKUP(F298,'RM Cost'!A:B,2,0),"")</f>
        <v>REY 40 30 BOX</v>
      </c>
      <c r="H298" s="2" t="s">
        <v>1332</v>
      </c>
      <c r="I298" s="1" t="str">
        <f>VLOOKUP(F298,'RM Used'!B:D,3,0)</f>
        <v>RM-PACKING</v>
      </c>
      <c r="J298" s="66">
        <v>1</v>
      </c>
      <c r="K298" s="35" t="str">
        <f t="shared" si="96"/>
        <v/>
      </c>
      <c r="L298" s="35">
        <f t="shared" si="84"/>
        <v>0</v>
      </c>
      <c r="M298" s="77" t="str" cm="1">
        <f t="array" ref="M298">_xlfn.IFS(BOM!I298="RM-PACKING","100%",B298="Reynolds",VLOOKUP(H298,'Yield &amp; Time'!A:V,22,0),BOM!B298="Dnata",VLOOKUP(BOM!H298,'Yield &amp; Time'!A:M,13,0),B298="NK",VLOOKUP(H298,'Yield &amp; Time'!A:X,24,0))</f>
        <v>100%</v>
      </c>
      <c r="N298" s="35">
        <f t="shared" si="95"/>
        <v>1</v>
      </c>
      <c r="O298" s="1" t="str">
        <f>VLOOKUP(H298,'RM Used'!A:E,5,0)</f>
        <v>Count</v>
      </c>
      <c r="P298" s="11">
        <f>VLOOKUP(H298,'RM Used'!A:F,6,0)</f>
        <v>0.28000000000000003</v>
      </c>
      <c r="Q298" s="11">
        <f t="shared" si="93"/>
        <v>0.28000000000000003</v>
      </c>
      <c r="R298" s="11">
        <f>IFERROR(IF(B298="Reynolds",VLOOKUP(H298,'Yield &amp; Time'!A:U,21,0),VLOOKUP(H298,'Yield &amp; Time'!A:L,12,0)),0)</f>
        <v>0</v>
      </c>
      <c r="S298" s="11">
        <f t="shared" si="85"/>
        <v>0</v>
      </c>
      <c r="T298" s="11">
        <f t="shared" si="86"/>
        <v>0</v>
      </c>
      <c r="U298" s="11">
        <f>IF(A297=A298,0,VLOOKUP(A298,'Packing Time'!A:F,6,0))</f>
        <v>0</v>
      </c>
      <c r="V298" s="11">
        <f t="shared" si="97"/>
        <v>0</v>
      </c>
      <c r="W298" s="11">
        <f t="shared" si="98"/>
        <v>0</v>
      </c>
      <c r="X298" s="11">
        <f t="shared" si="87"/>
        <v>0</v>
      </c>
      <c r="Y298" s="11">
        <f t="shared" si="99"/>
        <v>0</v>
      </c>
      <c r="Z298" s="37">
        <v>1</v>
      </c>
      <c r="AA298" s="36">
        <f t="shared" si="88"/>
        <v>1</v>
      </c>
      <c r="AB298" s="36">
        <f t="shared" si="89"/>
        <v>0.28000000000000003</v>
      </c>
      <c r="AC298" s="11">
        <f t="shared" si="90"/>
        <v>0</v>
      </c>
      <c r="AD298" s="36">
        <f t="shared" si="100"/>
        <v>0</v>
      </c>
      <c r="AE298" s="36"/>
      <c r="AF298" s="36">
        <f>IFERROR(VLOOKUP(AE298,'Chemical Cost'!A:D,4,0),0)</f>
        <v>0</v>
      </c>
      <c r="AG298" s="114">
        <f t="shared" si="91"/>
        <v>0</v>
      </c>
      <c r="AH298" s="36">
        <f t="shared" si="94"/>
        <v>0</v>
      </c>
      <c r="AI298" s="36">
        <f t="shared" si="101"/>
        <v>0.28000000000000003</v>
      </c>
      <c r="AJ298" s="36">
        <f>IFERROR(VLOOKUP(A298,'All Products'!A:F,6,0),0)</f>
        <v>9.56</v>
      </c>
      <c r="AK298" s="36"/>
      <c r="AL298" s="23">
        <v>1</v>
      </c>
      <c r="AM298" s="23"/>
      <c r="AN298" s="54" t="e">
        <v>#N/A</v>
      </c>
      <c r="AO298" s="47"/>
      <c r="AP298" s="4">
        <v>1.1000000000000001</v>
      </c>
      <c r="AQ298" s="111">
        <f t="shared" si="92"/>
        <v>0</v>
      </c>
      <c r="AR298">
        <f>_xlfn.XLOOKUP(F298,'RM Cost'!A:A,'RM Cost'!S:S)</f>
        <v>0</v>
      </c>
      <c r="AS298" t="str">
        <f>_xlfn.XLOOKUP(A298,[3]Sheet1!$B:$B,[3]Sheet1!$B:$B)</f>
        <v>1366CS</v>
      </c>
      <c r="AT298" t="e">
        <f>_xlfn.XLOOKUP(H298,'Yield &amp; Time'!A:A,'Yield &amp; Time'!F:F)</f>
        <v>#N/A</v>
      </c>
    </row>
    <row r="299" spans="1:46" x14ac:dyDescent="0.25">
      <c r="A299" s="1" t="s">
        <v>452</v>
      </c>
      <c r="B299" s="2" t="s">
        <v>552</v>
      </c>
      <c r="C299" s="2" t="s">
        <v>601</v>
      </c>
      <c r="D299" s="2" t="s">
        <v>554</v>
      </c>
      <c r="E299" s="2">
        <v>2.5</v>
      </c>
      <c r="F299" s="1" t="str">
        <f>VLOOKUP(H299,'RM Used'!A:B,2,0)</f>
        <v>3210CS</v>
      </c>
      <c r="G299" s="1" t="str">
        <f>IFERROR(VLOOKUP(F299,'RM Cost'!A:B,2,0),"")</f>
        <v>RM - POTATOES WARE 25KG</v>
      </c>
      <c r="H299" s="2" t="s">
        <v>1455</v>
      </c>
      <c r="I299" s="1" t="str">
        <f>VLOOKUP(F299,'RM Used'!B:D,3,0)</f>
        <v>RM-FOOD</v>
      </c>
      <c r="J299" s="66">
        <v>1</v>
      </c>
      <c r="K299" s="35">
        <f t="shared" si="96"/>
        <v>2.5</v>
      </c>
      <c r="L299" s="35">
        <f t="shared" si="84"/>
        <v>2.5</v>
      </c>
      <c r="M299" s="77" cm="1">
        <f t="array" ref="M299">_xlfn.IFS(BOM!I299="RM-PACKING","100%",B299="Reynolds",VLOOKUP(H299,'Yield &amp; Time'!A:V,22,0),BOM!B299="Dnata",VLOOKUP(BOM!H299,'Yield &amp; Time'!A:M,13,0),B299="NK",VLOOKUP(H299,'Yield &amp; Time'!A:X,24,0))</f>
        <v>0.63894116684395719</v>
      </c>
      <c r="N299" s="35">
        <f t="shared" si="95"/>
        <v>3.9127233143369402</v>
      </c>
      <c r="O299" s="1" t="str">
        <f>VLOOKUP(H299,'RM Used'!A:E,5,0)</f>
        <v>KG</v>
      </c>
      <c r="P299" s="11">
        <f>VLOOKUP(H299,'RM Used'!A:F,6,0)</f>
        <v>0.27</v>
      </c>
      <c r="Q299" s="11">
        <f t="shared" si="93"/>
        <v>1.0564352948709739</v>
      </c>
      <c r="R299" s="11">
        <f>IFERROR(IF(B299="Reynolds",VLOOKUP(H299,'Yield &amp; Time'!A:U,21,0),VLOOKUP(H299,'Yield &amp; Time'!A:L,12,0)),0)</f>
        <v>2.6362639004503641</v>
      </c>
      <c r="S299" s="11">
        <f t="shared" si="85"/>
        <v>2.2309383257561204</v>
      </c>
      <c r="T299" s="11">
        <f t="shared" si="86"/>
        <v>0.10984432918543184</v>
      </c>
      <c r="U299" s="11">
        <f>IF(A298=A299,0,VLOOKUP(A299,'Packing Time'!A:F,6,0))</f>
        <v>0.875</v>
      </c>
      <c r="V299" s="11">
        <f t="shared" si="97"/>
        <v>0.29618749999999999</v>
      </c>
      <c r="W299" s="11">
        <f t="shared" si="98"/>
        <v>1.4583333333333334E-2</v>
      </c>
      <c r="X299" s="11">
        <f t="shared" si="87"/>
        <v>3.15890728219515</v>
      </c>
      <c r="Y299" s="11">
        <f t="shared" si="99"/>
        <v>3.15890728219515</v>
      </c>
      <c r="Z299" s="37">
        <v>1</v>
      </c>
      <c r="AA299" s="36">
        <f t="shared" si="88"/>
        <v>3.9127233143369402</v>
      </c>
      <c r="AB299" s="36">
        <f t="shared" si="89"/>
        <v>1.0564352948709739</v>
      </c>
      <c r="AC299" s="11">
        <f t="shared" si="90"/>
        <v>0.15553457814845648</v>
      </c>
      <c r="AD299" s="36">
        <f t="shared" si="100"/>
        <v>3.1589072821951505</v>
      </c>
      <c r="AE299" s="36" t="str">
        <f>VLOOKUP(H299,'Yield &amp; Time'!A:R,18,0)</f>
        <v>SODIUM METABISULPHITE</v>
      </c>
      <c r="AF299" s="36">
        <f>IFERROR(VLOOKUP(AE299,'Chemical Cost'!A:D,4,0),0)</f>
        <v>9.7586225455882462E-3</v>
      </c>
      <c r="AG299" s="114">
        <f t="shared" si="91"/>
        <v>1.2727596649979077E-2</v>
      </c>
      <c r="AH299" s="36">
        <f t="shared" si="94"/>
        <v>1.2727596649979077E-2</v>
      </c>
      <c r="AI299" s="36">
        <f t="shared" si="101"/>
        <v>4.2280701737161035</v>
      </c>
      <c r="AJ299" s="36">
        <f>IFERROR(VLOOKUP(A299,'All Products'!A:F,6,0),0)</f>
        <v>7.17</v>
      </c>
      <c r="AK299" s="36">
        <f>AJ299*Z299*J299</f>
        <v>7.17</v>
      </c>
      <c r="AL299" s="23">
        <v>1</v>
      </c>
      <c r="AM299" s="23"/>
      <c r="AN299" s="54" t="e">
        <v>#N/A</v>
      </c>
      <c r="AO299" s="47"/>
      <c r="AP299" s="4">
        <v>1.25</v>
      </c>
      <c r="AQ299" s="111">
        <f t="shared" si="92"/>
        <v>0.15553457814845648</v>
      </c>
      <c r="AR299">
        <f>_xlfn.XLOOKUP(F299,'RM Cost'!A:A,'RM Cost'!S:S)</f>
        <v>0</v>
      </c>
      <c r="AS299" t="str">
        <f>_xlfn.XLOOKUP(A299,[3]Sheet1!$B:$B,[3]Sheet1!$B:$B)</f>
        <v>1107CS</v>
      </c>
      <c r="AT299">
        <f>_xlfn.XLOOKUP(H299,'Yield &amp; Time'!A:A,'Yield &amp; Time'!F:F)</f>
        <v>0</v>
      </c>
    </row>
    <row r="300" spans="1:46" x14ac:dyDescent="0.25">
      <c r="A300" s="1" t="s">
        <v>452</v>
      </c>
      <c r="B300" s="2" t="s">
        <v>552</v>
      </c>
      <c r="C300" s="2" t="s">
        <v>601</v>
      </c>
      <c r="D300" s="2" t="s">
        <v>554</v>
      </c>
      <c r="E300" s="2">
        <v>2.5</v>
      </c>
      <c r="F300" s="1" t="str">
        <f>VLOOKUP(H300,'RM Used'!A:B,2,0)</f>
        <v>P0020</v>
      </c>
      <c r="G300" s="1" t="str">
        <f>IFERROR(VLOOKUP(F300,'RM Cost'!A:B,2,0),"")</f>
        <v>PALE BLUE BAG 430X430MM</v>
      </c>
      <c r="H300" s="2" t="s">
        <v>1659</v>
      </c>
      <c r="I300" s="1" t="str">
        <f>VLOOKUP(F300,'RM Used'!B:D,3,0)</f>
        <v>RM-PACKING</v>
      </c>
      <c r="J300" s="66">
        <v>1</v>
      </c>
      <c r="K300" s="35" t="str">
        <f t="shared" si="96"/>
        <v/>
      </c>
      <c r="L300" s="35">
        <f t="shared" si="84"/>
        <v>0</v>
      </c>
      <c r="M300" s="77" t="str" cm="1">
        <f t="array" ref="M300">_xlfn.IFS(BOM!I300="RM-PACKING","100%",B300="Reynolds",VLOOKUP(H300,'Yield &amp; Time'!A:V,22,0),BOM!B300="Dnata",VLOOKUP(BOM!H300,'Yield &amp; Time'!A:M,13,0),B300="NK",VLOOKUP(H300,'Yield &amp; Time'!A:X,24,0))</f>
        <v>100%</v>
      </c>
      <c r="N300" s="35">
        <f t="shared" si="95"/>
        <v>1</v>
      </c>
      <c r="O300" s="1" t="str">
        <f>VLOOKUP(H300,'RM Used'!A:E,5,0)</f>
        <v>Count</v>
      </c>
      <c r="P300" s="11">
        <f>VLOOKUP(H300,'RM Used'!A:F,6,0)</f>
        <v>0.09</v>
      </c>
      <c r="Q300" s="11">
        <f t="shared" si="93"/>
        <v>0.09</v>
      </c>
      <c r="R300" s="11">
        <f>IFERROR(IF(B300="Reynolds",VLOOKUP(H300,'Yield &amp; Time'!A:U,21,0),VLOOKUP(H300,'Yield &amp; Time'!A:L,12,0)),0)</f>
        <v>0</v>
      </c>
      <c r="S300" s="11">
        <f t="shared" si="85"/>
        <v>0</v>
      </c>
      <c r="T300" s="11">
        <f t="shared" si="86"/>
        <v>0</v>
      </c>
      <c r="U300" s="11">
        <f>IF(A299=A300,0,VLOOKUP(A300,'Packing Time'!A:F,6,0))</f>
        <v>0</v>
      </c>
      <c r="V300" s="11">
        <f t="shared" si="97"/>
        <v>0</v>
      </c>
      <c r="W300" s="11">
        <f t="shared" si="98"/>
        <v>0</v>
      </c>
      <c r="X300" s="11">
        <f t="shared" si="87"/>
        <v>0</v>
      </c>
      <c r="Y300" s="11">
        <f t="shared" si="99"/>
        <v>0</v>
      </c>
      <c r="Z300" s="37">
        <v>1</v>
      </c>
      <c r="AA300" s="36">
        <f t="shared" si="88"/>
        <v>1</v>
      </c>
      <c r="AB300" s="36">
        <f t="shared" si="89"/>
        <v>0.09</v>
      </c>
      <c r="AC300" s="11">
        <f t="shared" si="90"/>
        <v>0</v>
      </c>
      <c r="AD300" s="36">
        <f t="shared" si="100"/>
        <v>0</v>
      </c>
      <c r="AE300" s="36"/>
      <c r="AF300" s="36">
        <f>IFERROR(VLOOKUP(AE300,'Chemical Cost'!A:D,4,0),0)</f>
        <v>0</v>
      </c>
      <c r="AG300" s="114">
        <f t="shared" si="91"/>
        <v>0</v>
      </c>
      <c r="AH300" s="36">
        <f t="shared" si="94"/>
        <v>0</v>
      </c>
      <c r="AI300" s="36">
        <f t="shared" si="101"/>
        <v>0.09</v>
      </c>
      <c r="AJ300" s="36">
        <f>IFERROR(VLOOKUP(A300,'All Products'!A:F,6,0),0)</f>
        <v>7.17</v>
      </c>
      <c r="AK300" s="36"/>
      <c r="AL300" s="23">
        <v>1</v>
      </c>
      <c r="AM300" s="23"/>
      <c r="AN300" s="54" t="e">
        <v>#N/A</v>
      </c>
      <c r="AO300" s="47"/>
      <c r="AP300" s="4">
        <v>1.25</v>
      </c>
      <c r="AQ300" s="111">
        <f t="shared" si="92"/>
        <v>0</v>
      </c>
      <c r="AR300">
        <f>_xlfn.XLOOKUP(F300,'RM Cost'!A:A,'RM Cost'!S:S)</f>
        <v>0</v>
      </c>
      <c r="AS300" t="str">
        <f>_xlfn.XLOOKUP(A300,[3]Sheet1!$B:$B,[3]Sheet1!$B:$B)</f>
        <v>1107CS</v>
      </c>
      <c r="AT300" t="e">
        <f>_xlfn.XLOOKUP(H300,'Yield &amp; Time'!A:A,'Yield &amp; Time'!F:F)</f>
        <v>#N/A</v>
      </c>
    </row>
    <row r="301" spans="1:46" x14ac:dyDescent="0.25">
      <c r="A301" s="1" t="s">
        <v>452</v>
      </c>
      <c r="B301" s="2" t="s">
        <v>552</v>
      </c>
      <c r="C301" s="2" t="s">
        <v>601</v>
      </c>
      <c r="D301" s="2" t="s">
        <v>554</v>
      </c>
      <c r="E301" s="2">
        <v>2.5</v>
      </c>
      <c r="F301" s="1" t="str">
        <f>VLOOKUP(H301,'RM Used'!A:B,2,0)</f>
        <v>P0016</v>
      </c>
      <c r="G301" s="1" t="str">
        <f>IFERROR(VLOOKUP(F301,'RM Cost'!A:B,2,0),"")</f>
        <v>REY 40 30 BOX</v>
      </c>
      <c r="H301" s="2" t="s">
        <v>1332</v>
      </c>
      <c r="I301" s="1" t="str">
        <f>VLOOKUP(F301,'RM Used'!B:D,3,0)</f>
        <v>RM-PACKING</v>
      </c>
      <c r="J301" s="66">
        <v>1</v>
      </c>
      <c r="K301" s="35" t="str">
        <f t="shared" si="96"/>
        <v/>
      </c>
      <c r="L301" s="35">
        <f t="shared" si="84"/>
        <v>0</v>
      </c>
      <c r="M301" s="77" t="str" cm="1">
        <f t="array" ref="M301">_xlfn.IFS(BOM!I301="RM-PACKING","100%",B301="Reynolds",VLOOKUP(H301,'Yield &amp; Time'!A:V,22,0),BOM!B301="Dnata",VLOOKUP(BOM!H301,'Yield &amp; Time'!A:M,13,0),B301="NK",VLOOKUP(H301,'Yield &amp; Time'!A:X,24,0))</f>
        <v>100%</v>
      </c>
      <c r="N301" s="35">
        <f t="shared" si="95"/>
        <v>1</v>
      </c>
      <c r="O301" s="1" t="str">
        <f>VLOOKUP(H301,'RM Used'!A:E,5,0)</f>
        <v>Count</v>
      </c>
      <c r="P301" s="11">
        <f>VLOOKUP(H301,'RM Used'!A:F,6,0)</f>
        <v>0.28000000000000003</v>
      </c>
      <c r="Q301" s="11">
        <f t="shared" si="93"/>
        <v>0.28000000000000003</v>
      </c>
      <c r="R301" s="11">
        <f>IFERROR(IF(B301="Reynolds",VLOOKUP(H301,'Yield &amp; Time'!A:U,21,0),VLOOKUP(H301,'Yield &amp; Time'!A:L,12,0)),0)</f>
        <v>0</v>
      </c>
      <c r="S301" s="11">
        <f t="shared" si="85"/>
        <v>0</v>
      </c>
      <c r="T301" s="11">
        <f t="shared" si="86"/>
        <v>0</v>
      </c>
      <c r="U301" s="11">
        <f>IF(A300=A301,0,VLOOKUP(A301,'Packing Time'!A:F,6,0))</f>
        <v>0</v>
      </c>
      <c r="V301" s="11">
        <f t="shared" si="97"/>
        <v>0</v>
      </c>
      <c r="W301" s="11">
        <f t="shared" si="98"/>
        <v>0</v>
      </c>
      <c r="X301" s="11">
        <f t="shared" si="87"/>
        <v>0</v>
      </c>
      <c r="Y301" s="11">
        <f t="shared" si="99"/>
        <v>0</v>
      </c>
      <c r="Z301" s="37">
        <v>1</v>
      </c>
      <c r="AA301" s="36">
        <f t="shared" si="88"/>
        <v>1</v>
      </c>
      <c r="AB301" s="36">
        <f t="shared" si="89"/>
        <v>0.28000000000000003</v>
      </c>
      <c r="AC301" s="11">
        <f t="shared" si="90"/>
        <v>0</v>
      </c>
      <c r="AD301" s="36">
        <f t="shared" si="100"/>
        <v>0</v>
      </c>
      <c r="AE301" s="36"/>
      <c r="AF301" s="36">
        <f>IFERROR(VLOOKUP(AE301,'Chemical Cost'!A:D,4,0),0)</f>
        <v>0</v>
      </c>
      <c r="AG301" s="114">
        <f t="shared" si="91"/>
        <v>0</v>
      </c>
      <c r="AH301" s="36">
        <f t="shared" si="94"/>
        <v>0</v>
      </c>
      <c r="AI301" s="36">
        <f t="shared" si="101"/>
        <v>0.28000000000000003</v>
      </c>
      <c r="AJ301" s="36">
        <f>IFERROR(VLOOKUP(A301,'All Products'!A:F,6,0),0)</f>
        <v>7.17</v>
      </c>
      <c r="AK301" s="36"/>
      <c r="AL301" s="23">
        <v>1</v>
      </c>
      <c r="AM301" s="23"/>
      <c r="AN301" s="54" t="e">
        <v>#N/A</v>
      </c>
      <c r="AO301" s="47"/>
      <c r="AP301" s="4">
        <v>1.25</v>
      </c>
      <c r="AQ301" s="111">
        <f t="shared" si="92"/>
        <v>0</v>
      </c>
      <c r="AR301">
        <f>_xlfn.XLOOKUP(F301,'RM Cost'!A:A,'RM Cost'!S:S)</f>
        <v>0</v>
      </c>
      <c r="AS301" t="str">
        <f>_xlfn.XLOOKUP(A301,[3]Sheet1!$B:$B,[3]Sheet1!$B:$B)</f>
        <v>1107CS</v>
      </c>
      <c r="AT301" t="e">
        <f>_xlfn.XLOOKUP(H301,'Yield &amp; Time'!A:A,'Yield &amp; Time'!F:F)</f>
        <v>#N/A</v>
      </c>
    </row>
    <row r="302" spans="1:46" x14ac:dyDescent="0.25">
      <c r="A302" s="15" t="s">
        <v>535</v>
      </c>
      <c r="B302" s="2" t="s">
        <v>552</v>
      </c>
      <c r="C302" s="2" t="s">
        <v>602</v>
      </c>
      <c r="D302" s="2" t="s">
        <v>554</v>
      </c>
      <c r="E302" s="2">
        <v>2.5</v>
      </c>
      <c r="F302" s="1" t="str">
        <f>VLOOKUP(H302,'RM Used'!A:B,2,0)</f>
        <v>206ACS</v>
      </c>
      <c r="G302" s="1" t="str">
        <f>IFERROR(VLOOKUP(F302,'RM Cost'!A:B,2,0),"")</f>
        <v>RM - PREP ONION WHOLE 10KG</v>
      </c>
      <c r="H302" s="1" t="s">
        <v>1406</v>
      </c>
      <c r="I302" s="1" t="str">
        <f>VLOOKUP(F302,'RM Used'!B:D,3,0)</f>
        <v>RM-FOOD</v>
      </c>
      <c r="J302" s="66">
        <v>0.4</v>
      </c>
      <c r="K302" s="35">
        <f t="shared" si="96"/>
        <v>1</v>
      </c>
      <c r="L302" s="35">
        <f t="shared" si="84"/>
        <v>1</v>
      </c>
      <c r="M302" s="77" cm="1">
        <f t="array" ref="M302">_xlfn.IFS(BOM!I302="RM-PACKING","100%",B302="Reynolds",VLOOKUP(H302,'Yield &amp; Time'!A:V,22,0),BOM!B302="Dnata",VLOOKUP(BOM!H302,'Yield &amp; Time'!A:M,13,0),B302="NK",VLOOKUP(H302,'Yield &amp; Time'!A:X,24,0))</f>
        <v>0.90806063628959444</v>
      </c>
      <c r="N302" s="35">
        <f t="shared" si="95"/>
        <v>1.1012480444985226</v>
      </c>
      <c r="O302" s="1" t="str">
        <f>VLOOKUP(H302,'RM Used'!A:E,5,0)</f>
        <v>KG</v>
      </c>
      <c r="P302" s="11">
        <f>VLOOKUP(H302,'RM Used'!A:F,6,0)</f>
        <v>0.87</v>
      </c>
      <c r="Q302" s="11">
        <f t="shared" si="93"/>
        <v>0.95808579871371469</v>
      </c>
      <c r="R302" s="11">
        <f>IFERROR(IF(B302="Reynolds",VLOOKUP(H302,'Yield &amp; Time'!A:U,21,0),VLOOKUP(H302,'Yield &amp; Time'!A:L,12,0)),0)</f>
        <v>1.3</v>
      </c>
      <c r="S302" s="11">
        <f t="shared" si="85"/>
        <v>0.44005</v>
      </c>
      <c r="T302" s="11">
        <f t="shared" si="86"/>
        <v>2.1666666666666667E-2</v>
      </c>
      <c r="U302" s="11">
        <f>IF(A301=A302,0,VLOOKUP(A302,'Packing Time'!A:F,6,0))</f>
        <v>0.875</v>
      </c>
      <c r="V302" s="11">
        <f t="shared" si="97"/>
        <v>0.29618749999999999</v>
      </c>
      <c r="W302" s="11">
        <f t="shared" si="98"/>
        <v>1.4583333333333334E-2</v>
      </c>
      <c r="X302" s="11">
        <f t="shared" si="87"/>
        <v>1.1779799999999998</v>
      </c>
      <c r="Y302" s="11">
        <f t="shared" si="99"/>
        <v>1.1779799999999998</v>
      </c>
      <c r="Z302" s="37">
        <v>1</v>
      </c>
      <c r="AA302" s="36">
        <f t="shared" si="88"/>
        <v>1.1012480444985226</v>
      </c>
      <c r="AB302" s="36">
        <f t="shared" si="89"/>
        <v>0.95808579871371469</v>
      </c>
      <c r="AC302" s="11">
        <f t="shared" si="90"/>
        <v>5.7999999999999996E-2</v>
      </c>
      <c r="AD302" s="36">
        <f t="shared" si="100"/>
        <v>1.1779799999999998</v>
      </c>
      <c r="AE302" s="36" t="str">
        <f>VLOOKUP(H302,'Yield &amp; Time'!A:R,18,0)</f>
        <v>CHLORINE</v>
      </c>
      <c r="AF302" s="36">
        <f>IFERROR(VLOOKUP(AE302,'Chemical Cost'!A:D,4,0),0)</f>
        <v>2.7756518066439469E-2</v>
      </c>
      <c r="AG302" s="114">
        <f t="shared" si="91"/>
        <v>1.0188937080918127E-2</v>
      </c>
      <c r="AH302" s="36">
        <f t="shared" si="94"/>
        <v>1.0188937080918127E-2</v>
      </c>
      <c r="AI302" s="36">
        <f t="shared" si="101"/>
        <v>2.1462547357946327</v>
      </c>
      <c r="AJ302" s="36">
        <f>IFERROR(VLOOKUP(A302,'All Products'!A:F,6,0),0)</f>
        <v>11.78</v>
      </c>
      <c r="AK302" s="36">
        <f t="shared" ref="AK302:AK309" si="102">AJ302*Z302*J302</f>
        <v>4.7119999999999997</v>
      </c>
      <c r="AL302" s="23">
        <v>0.8</v>
      </c>
      <c r="AM302" s="23">
        <v>0.2</v>
      </c>
      <c r="AN302" s="54" t="e">
        <v>#N/A</v>
      </c>
      <c r="AO302" s="47"/>
      <c r="AP302" s="4">
        <v>1.6</v>
      </c>
      <c r="AQ302" s="111">
        <f t="shared" si="92"/>
        <v>5.7999999999999996E-2</v>
      </c>
      <c r="AR302">
        <f>_xlfn.XLOOKUP(F302,'RM Cost'!A:A,'RM Cost'!S:S)</f>
        <v>0</v>
      </c>
      <c r="AS302" t="e">
        <f>_xlfn.XLOOKUP(A302,[3]Sheet1!$B:$B,[3]Sheet1!$B:$B)</f>
        <v>#N/A</v>
      </c>
    </row>
    <row r="303" spans="1:46" x14ac:dyDescent="0.25">
      <c r="A303" s="15" t="s">
        <v>535</v>
      </c>
      <c r="B303" s="2" t="s">
        <v>552</v>
      </c>
      <c r="C303" s="2" t="s">
        <v>602</v>
      </c>
      <c r="D303" s="2" t="s">
        <v>554</v>
      </c>
      <c r="E303" s="2">
        <v>2.5</v>
      </c>
      <c r="F303" s="1" t="str">
        <f>VLOOKUP(H303,'RM Used'!A:B,2,0)</f>
        <v>3566CS</v>
      </c>
      <c r="G303" s="1" t="str">
        <f>IFERROR(VLOOKUP(F303,'RM Cost'!A:B,2,0),"")</f>
        <v>PEPPERS RED X 5KG</v>
      </c>
      <c r="H303" s="2" t="s">
        <v>1355</v>
      </c>
      <c r="I303" s="1" t="str">
        <f>VLOOKUP(F303,'RM Used'!B:D,3,0)</f>
        <v>RM-FOOD</v>
      </c>
      <c r="J303" s="66">
        <v>0.2</v>
      </c>
      <c r="K303" s="35">
        <f t="shared" si="96"/>
        <v>0.5</v>
      </c>
      <c r="L303" s="35">
        <f t="shared" si="84"/>
        <v>0.5</v>
      </c>
      <c r="M303" s="77" cm="1">
        <f t="array" ref="M303">_xlfn.IFS(BOM!I303="RM-PACKING","100%",B303="Reynolds",VLOOKUP(H303,'Yield &amp; Time'!A:V,22,0),BOM!B303="Dnata",VLOOKUP(BOM!H303,'Yield &amp; Time'!A:M,13,0),B303="NK",VLOOKUP(H303,'Yield &amp; Time'!A:X,24,0))</f>
        <v>0.69679992348890596</v>
      </c>
      <c r="N303" s="35">
        <f t="shared" si="95"/>
        <v>0.71756609486476319</v>
      </c>
      <c r="O303" s="1" t="str">
        <f>VLOOKUP(H303,'RM Used'!A:E,5,0)</f>
        <v>KG</v>
      </c>
      <c r="P303" s="11">
        <f>VLOOKUP(H303,'RM Used'!A:F,6,0)</f>
        <v>1.72</v>
      </c>
      <c r="Q303" s="11">
        <f t="shared" si="93"/>
        <v>1.2342136831673927</v>
      </c>
      <c r="R303" s="11">
        <f>IFERROR(IF(B303="Reynolds",VLOOKUP(H303,'Yield &amp; Time'!A:U,21,0),VLOOKUP(H303,'Yield &amp; Time'!A:L,12,0)),0)</f>
        <v>1.4647664250073889</v>
      </c>
      <c r="S303" s="11">
        <f t="shared" si="85"/>
        <v>0.24791171743250054</v>
      </c>
      <c r="T303" s="11">
        <f t="shared" si="86"/>
        <v>1.2206386875061573E-2</v>
      </c>
      <c r="U303" s="11">
        <f>IF(A302=A303,0,VLOOKUP(A303,'Packing Time'!A:F,6,0))</f>
        <v>0</v>
      </c>
      <c r="V303" s="11">
        <f t="shared" si="97"/>
        <v>0</v>
      </c>
      <c r="W303" s="11">
        <f t="shared" si="98"/>
        <v>0</v>
      </c>
      <c r="X303" s="11">
        <f t="shared" si="87"/>
        <v>0.3966587478920009</v>
      </c>
      <c r="Y303" s="11">
        <f t="shared" si="99"/>
        <v>0.3966587478920009</v>
      </c>
      <c r="Z303" s="37">
        <v>1</v>
      </c>
      <c r="AA303" s="36">
        <f t="shared" si="88"/>
        <v>0.71756609486476319</v>
      </c>
      <c r="AB303" s="36">
        <f t="shared" si="89"/>
        <v>1.2342136831673927</v>
      </c>
      <c r="AC303" s="11">
        <f t="shared" si="90"/>
        <v>1.953021900009852E-2</v>
      </c>
      <c r="AD303" s="36">
        <f t="shared" si="100"/>
        <v>0.39665874789200084</v>
      </c>
      <c r="AE303" s="36" t="str">
        <f>VLOOKUP(H303,'Yield &amp; Time'!A:R,18,0)</f>
        <v>CHLORINE</v>
      </c>
      <c r="AF303" s="36">
        <f>IFERROR(VLOOKUP(AE303,'Chemical Cost'!A:D,4,0),0)</f>
        <v>2.7756518066439469E-2</v>
      </c>
      <c r="AG303" s="114">
        <f t="shared" si="91"/>
        <v>6.6390454253260726E-3</v>
      </c>
      <c r="AH303" s="36">
        <f t="shared" si="94"/>
        <v>6.6390454253260726E-3</v>
      </c>
      <c r="AI303" s="36">
        <f t="shared" si="101"/>
        <v>1.6375114764847196</v>
      </c>
      <c r="AJ303" s="36">
        <f>IFERROR(VLOOKUP(A303,'All Products'!A:F,6,0),0)</f>
        <v>11.78</v>
      </c>
      <c r="AK303" s="36">
        <f t="shared" si="102"/>
        <v>2.3559999999999999</v>
      </c>
      <c r="AL303" s="23">
        <v>0.8</v>
      </c>
      <c r="AM303" s="23">
        <v>0.2</v>
      </c>
      <c r="AN303" s="54" t="e">
        <v>#N/A</v>
      </c>
      <c r="AO303" s="47"/>
      <c r="AP303" s="4">
        <v>1.6</v>
      </c>
      <c r="AQ303" s="111">
        <f t="shared" si="92"/>
        <v>1.953021900009852E-2</v>
      </c>
      <c r="AR303">
        <f>_xlfn.XLOOKUP(F303,'RM Cost'!A:A,'RM Cost'!S:S)</f>
        <v>0</v>
      </c>
      <c r="AS303" t="e">
        <f>_xlfn.XLOOKUP(A303,[3]Sheet1!$B:$B,[3]Sheet1!$B:$B)</f>
        <v>#N/A</v>
      </c>
    </row>
    <row r="304" spans="1:46" x14ac:dyDescent="0.25">
      <c r="A304" s="15" t="s">
        <v>535</v>
      </c>
      <c r="B304" s="2" t="s">
        <v>552</v>
      </c>
      <c r="C304" s="2" t="s">
        <v>602</v>
      </c>
      <c r="D304" s="2" t="s">
        <v>554</v>
      </c>
      <c r="E304" s="2">
        <v>2.5</v>
      </c>
      <c r="F304" s="1" t="str">
        <f>VLOOKUP(H304,'RM Used'!A:B,2,0)</f>
        <v>0930CS</v>
      </c>
      <c r="G304" s="1" t="str">
        <f>IFERROR(VLOOKUP(F304,'RM Cost'!A:B,2,0),"")</f>
        <v>RM - COURGETTE STANDARD</v>
      </c>
      <c r="H304" s="2" t="s">
        <v>1394</v>
      </c>
      <c r="I304" s="1" t="str">
        <f>VLOOKUP(F304,'RM Used'!B:D,3,0)</f>
        <v>RM-FOOD</v>
      </c>
      <c r="J304" s="66">
        <v>0.1</v>
      </c>
      <c r="K304" s="35">
        <f t="shared" si="96"/>
        <v>0.25</v>
      </c>
      <c r="L304" s="35">
        <f t="shared" si="84"/>
        <v>0.25</v>
      </c>
      <c r="M304" s="77" cm="1">
        <f t="array" ref="M304">_xlfn.IFS(BOM!I304="RM-PACKING","100%",B304="Reynolds",VLOOKUP(H304,'Yield &amp; Time'!A:V,22,0),BOM!B304="Dnata",VLOOKUP(BOM!H304,'Yield &amp; Time'!A:M,13,0),B304="NK",VLOOKUP(H304,'Yield &amp; Time'!A:X,24,0))</f>
        <v>0.8</v>
      </c>
      <c r="N304" s="35">
        <f t="shared" ref="N304:N320" si="103">IFERROR(IF(I304="RM-FOOD",(E304*J304)/M304,1),0)</f>
        <v>0.3125</v>
      </c>
      <c r="O304" s="1" t="str">
        <f>VLOOKUP(H304,'RM Used'!A:E,5,0)</f>
        <v>KG</v>
      </c>
      <c r="P304" s="11">
        <f>VLOOKUP(H304,'RM Used'!A:F,6,0)</f>
        <v>1.1000000000000001</v>
      </c>
      <c r="Q304" s="11">
        <f t="shared" si="93"/>
        <v>0.34375</v>
      </c>
      <c r="R304" s="11">
        <f>IFERROR(IF(B304="Reynolds",VLOOKUP(H304,'Yield &amp; Time'!A:U,21,0),VLOOKUP(H304,'Yield &amp; Time'!A:L,12,0)),0)</f>
        <v>1.6666666666666665</v>
      </c>
      <c r="S304" s="11">
        <f t="shared" si="85"/>
        <v>0.14104166666666665</v>
      </c>
      <c r="T304" s="11">
        <f t="shared" si="86"/>
        <v>6.9444444444444441E-3</v>
      </c>
      <c r="U304" s="11">
        <f>IF(A303=A304,0,VLOOKUP(A304,'Packing Time'!A:F,6,0))</f>
        <v>0</v>
      </c>
      <c r="V304" s="11">
        <f t="shared" si="97"/>
        <v>0</v>
      </c>
      <c r="W304" s="11">
        <f t="shared" si="98"/>
        <v>0</v>
      </c>
      <c r="X304" s="11">
        <f t="shared" si="87"/>
        <v>0.22566666666666665</v>
      </c>
      <c r="Y304" s="11">
        <f t="shared" si="99"/>
        <v>0.22566666666666665</v>
      </c>
      <c r="Z304" s="37">
        <v>1</v>
      </c>
      <c r="AA304" s="36">
        <f t="shared" si="88"/>
        <v>0.3125</v>
      </c>
      <c r="AB304" s="36">
        <f t="shared" si="89"/>
        <v>0.34375</v>
      </c>
      <c r="AC304" s="11">
        <f t="shared" si="90"/>
        <v>1.1111111111111112E-2</v>
      </c>
      <c r="AD304" s="36">
        <f t="shared" si="100"/>
        <v>0.22566666666666668</v>
      </c>
      <c r="AE304" s="36"/>
      <c r="AF304" s="36">
        <f>IFERROR(VLOOKUP(AE304,'Chemical Cost'!A:D,4,0),0)</f>
        <v>0</v>
      </c>
      <c r="AG304" s="114">
        <f t="shared" si="91"/>
        <v>0</v>
      </c>
      <c r="AH304" s="36">
        <f t="shared" si="94"/>
        <v>0</v>
      </c>
      <c r="AI304" s="36">
        <f t="shared" si="101"/>
        <v>0.56941666666666668</v>
      </c>
      <c r="AJ304" s="36">
        <f>IFERROR(VLOOKUP(A304,'All Products'!A:F,6,0),0)</f>
        <v>11.78</v>
      </c>
      <c r="AK304" s="36">
        <f t="shared" si="102"/>
        <v>1.1779999999999999</v>
      </c>
      <c r="AL304" s="23">
        <v>0.8</v>
      </c>
      <c r="AM304" s="23">
        <v>0.2</v>
      </c>
      <c r="AN304" s="54" t="e">
        <v>#N/A</v>
      </c>
      <c r="AO304" s="47"/>
      <c r="AP304" s="4">
        <v>1.6</v>
      </c>
      <c r="AQ304" s="111">
        <f t="shared" si="92"/>
        <v>1.1111111111111112E-2</v>
      </c>
      <c r="AR304">
        <f>_xlfn.XLOOKUP(F304,'RM Cost'!A:A,'RM Cost'!S:S)</f>
        <v>1.1644775886170367</v>
      </c>
      <c r="AS304" t="e">
        <f>_xlfn.XLOOKUP(A304,[3]Sheet1!$B:$B,[3]Sheet1!$B:$B)</f>
        <v>#N/A</v>
      </c>
    </row>
    <row r="305" spans="1:46" x14ac:dyDescent="0.25">
      <c r="A305" s="15" t="s">
        <v>535</v>
      </c>
      <c r="B305" s="2" t="s">
        <v>552</v>
      </c>
      <c r="C305" s="2" t="s">
        <v>602</v>
      </c>
      <c r="D305" s="2" t="s">
        <v>554</v>
      </c>
      <c r="E305" s="2">
        <v>2.5</v>
      </c>
      <c r="F305" s="1" t="str">
        <f>VLOOKUP(H305,'RM Used'!A:B,2,0)</f>
        <v>032ACS</v>
      </c>
      <c r="G305" s="1" t="str">
        <f>IFERROR(VLOOKUP(F305,'RM Cost'!A:B,2,0),"")</f>
        <v>RM - LRG PROCESSING CARROT X 1000KG</v>
      </c>
      <c r="H305" s="2" t="s">
        <v>1351</v>
      </c>
      <c r="I305" s="1" t="str">
        <f>VLOOKUP(F305,'RM Used'!B:D,3,0)</f>
        <v>RM-FOOD</v>
      </c>
      <c r="J305" s="66">
        <v>0.1</v>
      </c>
      <c r="K305" s="35">
        <f t="shared" si="96"/>
        <v>0.25</v>
      </c>
      <c r="L305" s="35">
        <f t="shared" si="84"/>
        <v>0.25</v>
      </c>
      <c r="M305" s="77" cm="1">
        <f t="array" ref="M305">_xlfn.IFS(BOM!I305="RM-PACKING","100%",B305="Reynolds",VLOOKUP(H305,'Yield &amp; Time'!A:V,22,0),BOM!B305="Dnata",VLOOKUP(BOM!H305,'Yield &amp; Time'!A:M,13,0),B305="NK",VLOOKUP(H305,'Yield &amp; Time'!A:X,24,0))</f>
        <v>0.75330000000000008</v>
      </c>
      <c r="N305" s="35">
        <f t="shared" si="103"/>
        <v>0.33187309172972251</v>
      </c>
      <c r="O305" s="1" t="str">
        <f>VLOOKUP(H305,'RM Used'!A:E,5,0)</f>
        <v>KG</v>
      </c>
      <c r="P305" s="11">
        <f>VLOOKUP(H305,'RM Used'!A:F,6,0)</f>
        <v>0.38</v>
      </c>
      <c r="Q305" s="11">
        <f t="shared" si="93"/>
        <v>0.12611177485729455</v>
      </c>
      <c r="R305" s="11">
        <f>IFERROR(IF(B305="Reynolds",VLOOKUP(H305,'Yield &amp; Time'!A:U,21,0),VLOOKUP(H305,'Yield &amp; Time'!A:L,12,0)),0)</f>
        <v>0.90531914893617027</v>
      </c>
      <c r="S305" s="11">
        <f t="shared" si="85"/>
        <v>7.6612632978723408E-2</v>
      </c>
      <c r="T305" s="11">
        <f t="shared" si="86"/>
        <v>3.7721631205673762E-3</v>
      </c>
      <c r="U305" s="11">
        <f>IF(A304=A305,0,VLOOKUP(A305,'Packing Time'!A:F,6,0))</f>
        <v>0</v>
      </c>
      <c r="V305" s="11">
        <f t="shared" si="97"/>
        <v>0</v>
      </c>
      <c r="W305" s="11">
        <f t="shared" si="98"/>
        <v>0</v>
      </c>
      <c r="X305" s="11">
        <f t="shared" si="87"/>
        <v>0.12258021276595746</v>
      </c>
      <c r="Y305" s="11">
        <f t="shared" si="99"/>
        <v>0.12258021276595746</v>
      </c>
      <c r="Z305" s="37">
        <v>1</v>
      </c>
      <c r="AA305" s="36">
        <f t="shared" si="88"/>
        <v>0.33187309172972251</v>
      </c>
      <c r="AB305" s="36">
        <f t="shared" si="89"/>
        <v>0.12611177485729455</v>
      </c>
      <c r="AC305" s="11">
        <f t="shared" si="90"/>
        <v>6.0354609929078023E-3</v>
      </c>
      <c r="AD305" s="36">
        <f t="shared" si="100"/>
        <v>0.12258021276595744</v>
      </c>
      <c r="AE305" s="36" t="str">
        <f>VLOOKUP(H305,'Yield &amp; Time'!A:R,18,0)</f>
        <v>CHLORINE</v>
      </c>
      <c r="AF305" s="36">
        <f>IFERROR(VLOOKUP(AE305,'Chemical Cost'!A:D,4,0),0)</f>
        <v>2.7756518066439469E-2</v>
      </c>
      <c r="AG305" s="114">
        <f t="shared" si="91"/>
        <v>3.0705471554537222E-3</v>
      </c>
      <c r="AH305" s="36">
        <f t="shared" si="94"/>
        <v>3.0705471554537222E-3</v>
      </c>
      <c r="AI305" s="36">
        <f t="shared" si="101"/>
        <v>0.25176253477870575</v>
      </c>
      <c r="AJ305" s="36">
        <f>IFERROR(VLOOKUP(A305,'All Products'!A:F,6,0),0)</f>
        <v>11.78</v>
      </c>
      <c r="AK305" s="36">
        <f t="shared" si="102"/>
        <v>1.1779999999999999</v>
      </c>
      <c r="AL305" s="23">
        <v>0.8</v>
      </c>
      <c r="AM305" s="23">
        <v>0.2</v>
      </c>
      <c r="AN305" s="54" t="e">
        <v>#N/A</v>
      </c>
      <c r="AO305" s="47"/>
      <c r="AP305" s="4">
        <v>1.6</v>
      </c>
      <c r="AQ305" s="111">
        <f t="shared" si="92"/>
        <v>6.0354609929078023E-3</v>
      </c>
      <c r="AR305">
        <f>_xlfn.XLOOKUP(F305,'RM Cost'!A:A,'RM Cost'!S:S)</f>
        <v>0</v>
      </c>
      <c r="AS305" t="e">
        <f>_xlfn.XLOOKUP(A305,[3]Sheet1!$B:$B,[3]Sheet1!$B:$B)</f>
        <v>#N/A</v>
      </c>
    </row>
    <row r="306" spans="1:46" x14ac:dyDescent="0.25">
      <c r="A306" s="15" t="s">
        <v>535</v>
      </c>
      <c r="B306" s="2" t="s">
        <v>552</v>
      </c>
      <c r="C306" s="2" t="s">
        <v>602</v>
      </c>
      <c r="D306" s="2" t="s">
        <v>554</v>
      </c>
      <c r="E306" s="2">
        <v>2.5</v>
      </c>
      <c r="F306" s="1" t="str">
        <f>VLOOKUP(H306,'RM Used'!A:B,2,0)</f>
        <v>3138CS</v>
      </c>
      <c r="G306" s="1" t="str">
        <f>IFERROR(VLOOKUP(F306,'RM Cost'!A:B,2,0),"")</f>
        <v>RM - MANGETOUT 2KG</v>
      </c>
      <c r="H306" s="2" t="s">
        <v>1672</v>
      </c>
      <c r="I306" s="1" t="str">
        <f>VLOOKUP(F306,'RM Used'!B:D,3,0)</f>
        <v>RM-FOOD</v>
      </c>
      <c r="J306" s="66">
        <v>0.05</v>
      </c>
      <c r="K306" s="35">
        <f t="shared" si="96"/>
        <v>0.125</v>
      </c>
      <c r="L306" s="35">
        <f t="shared" si="84"/>
        <v>0.125</v>
      </c>
      <c r="M306" s="77" cm="1">
        <f t="array" ref="M306">_xlfn.IFS(BOM!I306="RM-PACKING","100%",B306="Reynolds",VLOOKUP(H306,'Yield &amp; Time'!A:V,22,0),BOM!B306="Dnata",VLOOKUP(BOM!H306,'Yield &amp; Time'!A:M,13,0),B306="NK",VLOOKUP(H306,'Yield &amp; Time'!A:X,24,0))</f>
        <v>1</v>
      </c>
      <c r="N306" s="35">
        <f t="shared" si="103"/>
        <v>0.125</v>
      </c>
      <c r="O306" s="1" t="str">
        <f>VLOOKUP(H306,'RM Used'!A:E,5,0)</f>
        <v>KG</v>
      </c>
      <c r="P306" s="11">
        <f>VLOOKUP(H306,'RM Used'!A:F,6,0)</f>
        <v>4.13</v>
      </c>
      <c r="Q306" s="11">
        <f t="shared" si="93"/>
        <v>0.51624999999999999</v>
      </c>
      <c r="R306" s="11">
        <f>IFERROR(IF(B306="Reynolds",VLOOKUP(H306,'Yield &amp; Time'!A:U,21,0),VLOOKUP(H306,'Yield &amp; Time'!A:L,12,0)),0)</f>
        <v>0</v>
      </c>
      <c r="S306" s="11">
        <f t="shared" si="85"/>
        <v>0</v>
      </c>
      <c r="T306" s="11">
        <f t="shared" si="86"/>
        <v>0</v>
      </c>
      <c r="U306" s="11">
        <f>IF(A305=A306,0,VLOOKUP(A306,'Packing Time'!A:F,6,0))</f>
        <v>0</v>
      </c>
      <c r="V306" s="11">
        <f t="shared" si="97"/>
        <v>0</v>
      </c>
      <c r="W306" s="11">
        <f t="shared" si="98"/>
        <v>0</v>
      </c>
      <c r="X306" s="11">
        <f t="shared" si="87"/>
        <v>0</v>
      </c>
      <c r="Y306" s="11">
        <f t="shared" si="99"/>
        <v>0</v>
      </c>
      <c r="Z306" s="37">
        <v>1</v>
      </c>
      <c r="AA306" s="36">
        <f t="shared" si="88"/>
        <v>0.125</v>
      </c>
      <c r="AB306" s="36">
        <f t="shared" si="89"/>
        <v>0.51624999999999999</v>
      </c>
      <c r="AC306" s="11">
        <f t="shared" si="90"/>
        <v>0</v>
      </c>
      <c r="AD306" s="36">
        <f t="shared" si="100"/>
        <v>0</v>
      </c>
      <c r="AE306" s="36"/>
      <c r="AF306" s="36">
        <f>IFERROR(VLOOKUP(AE306,'Chemical Cost'!A:D,4,0),0)</f>
        <v>0</v>
      </c>
      <c r="AG306" s="114">
        <f t="shared" si="91"/>
        <v>0</v>
      </c>
      <c r="AH306" s="36">
        <f t="shared" si="94"/>
        <v>0</v>
      </c>
      <c r="AI306" s="36">
        <f t="shared" si="101"/>
        <v>0.51624999999999999</v>
      </c>
      <c r="AJ306" s="36">
        <f>IFERROR(VLOOKUP(A306,'All Products'!A:F,6,0),0)</f>
        <v>11.78</v>
      </c>
      <c r="AK306" s="36">
        <f t="shared" si="102"/>
        <v>0.58899999999999997</v>
      </c>
      <c r="AL306" s="23">
        <v>0.8</v>
      </c>
      <c r="AM306" s="23">
        <v>0.2</v>
      </c>
      <c r="AN306" s="54" t="e">
        <v>#N/A</v>
      </c>
      <c r="AO306" s="47"/>
      <c r="AP306" s="4">
        <v>1.6</v>
      </c>
      <c r="AQ306" s="111">
        <f t="shared" si="92"/>
        <v>0</v>
      </c>
      <c r="AR306">
        <f>_xlfn.XLOOKUP(F306,'RM Cost'!A:A,'RM Cost'!S:S)</f>
        <v>0</v>
      </c>
      <c r="AS306" t="e">
        <f>_xlfn.XLOOKUP(A306,[3]Sheet1!$B:$B,[3]Sheet1!$B:$B)</f>
        <v>#N/A</v>
      </c>
    </row>
    <row r="307" spans="1:46" x14ac:dyDescent="0.25">
      <c r="A307" s="15" t="s">
        <v>535</v>
      </c>
      <c r="B307" s="2" t="s">
        <v>552</v>
      </c>
      <c r="C307" s="2" t="s">
        <v>602</v>
      </c>
      <c r="D307" s="2" t="s">
        <v>554</v>
      </c>
      <c r="E307" s="2">
        <v>2.5</v>
      </c>
      <c r="F307" s="1" t="str">
        <f>VLOOKUP(H307,'RM Used'!A:B,2,0)</f>
        <v>3815CS</v>
      </c>
      <c r="G307" s="1" t="str">
        <f>IFERROR(VLOOKUP(F307,'RM Cost'!A:B,2,0),"")</f>
        <v>RM - CORN BABY  12 X 80G</v>
      </c>
      <c r="H307" s="2" t="s">
        <v>1395</v>
      </c>
      <c r="I307" s="1" t="str">
        <f>VLOOKUP(F307,'RM Used'!B:D,3,0)</f>
        <v>RM-FOOD</v>
      </c>
      <c r="J307" s="66">
        <v>0.05</v>
      </c>
      <c r="K307" s="35">
        <f t="shared" si="96"/>
        <v>0.125</v>
      </c>
      <c r="L307" s="35">
        <f t="shared" si="84"/>
        <v>0.125</v>
      </c>
      <c r="M307" s="77" cm="1">
        <f t="array" ref="M307">_xlfn.IFS(BOM!I307="RM-PACKING","100%",B307="Reynolds",VLOOKUP(H307,'Yield &amp; Time'!A:V,22,0),BOM!B307="Dnata",VLOOKUP(BOM!H307,'Yield &amp; Time'!A:M,13,0),B307="NK",VLOOKUP(H307,'Yield &amp; Time'!A:X,24,0))</f>
        <v>1</v>
      </c>
      <c r="N307" s="35">
        <f t="shared" si="103"/>
        <v>0.125</v>
      </c>
      <c r="O307" s="1" t="str">
        <f>VLOOKUP(H307,'RM Used'!A:E,5,0)</f>
        <v>KG</v>
      </c>
      <c r="P307" s="11">
        <f>VLOOKUP(H307,'RM Used'!A:F,6,0)</f>
        <v>6.88</v>
      </c>
      <c r="Q307" s="11">
        <f t="shared" si="93"/>
        <v>0.86</v>
      </c>
      <c r="R307" s="11">
        <f>IFERROR(IF(B307="Reynolds",VLOOKUP(H307,'Yield &amp; Time'!A:U,21,0),VLOOKUP(H307,'Yield &amp; Time'!A:L,12,0)),0)</f>
        <v>0</v>
      </c>
      <c r="S307" s="11">
        <f t="shared" si="85"/>
        <v>0</v>
      </c>
      <c r="T307" s="11">
        <f t="shared" si="86"/>
        <v>0</v>
      </c>
      <c r="U307" s="11">
        <f>IF(A306=A307,0,VLOOKUP(A307,'Packing Time'!A:F,6,0))</f>
        <v>0</v>
      </c>
      <c r="V307" s="11">
        <f t="shared" si="97"/>
        <v>0</v>
      </c>
      <c r="W307" s="11">
        <f t="shared" si="98"/>
        <v>0</v>
      </c>
      <c r="X307" s="11">
        <f t="shared" si="87"/>
        <v>0</v>
      </c>
      <c r="Y307" s="11">
        <f t="shared" si="99"/>
        <v>0</v>
      </c>
      <c r="Z307" s="37">
        <v>1</v>
      </c>
      <c r="AA307" s="36">
        <f t="shared" si="88"/>
        <v>0.125</v>
      </c>
      <c r="AB307" s="36">
        <f t="shared" si="89"/>
        <v>0.86</v>
      </c>
      <c r="AC307" s="11">
        <f t="shared" si="90"/>
        <v>0</v>
      </c>
      <c r="AD307" s="36">
        <f t="shared" si="100"/>
        <v>0</v>
      </c>
      <c r="AE307" s="36"/>
      <c r="AF307" s="36">
        <f>IFERROR(VLOOKUP(AE307,'Chemical Cost'!A:D,4,0),0)</f>
        <v>0</v>
      </c>
      <c r="AG307" s="114">
        <f t="shared" si="91"/>
        <v>0</v>
      </c>
      <c r="AH307" s="36">
        <f t="shared" si="94"/>
        <v>0</v>
      </c>
      <c r="AI307" s="36">
        <f t="shared" si="101"/>
        <v>0.86</v>
      </c>
      <c r="AJ307" s="36">
        <f>IFERROR(VLOOKUP(A307,'All Products'!A:F,6,0),0)</f>
        <v>11.78</v>
      </c>
      <c r="AK307" s="36">
        <f t="shared" si="102"/>
        <v>0.58899999999999997</v>
      </c>
      <c r="AL307" s="23">
        <v>0.8</v>
      </c>
      <c r="AM307" s="23">
        <v>0.2</v>
      </c>
      <c r="AN307" s="54" t="e">
        <v>#N/A</v>
      </c>
      <c r="AO307" s="47"/>
      <c r="AP307" s="4">
        <v>1.6</v>
      </c>
      <c r="AQ307" s="111">
        <f t="shared" si="92"/>
        <v>0</v>
      </c>
      <c r="AR307">
        <f>_xlfn.XLOOKUP(F307,'RM Cost'!A:A,'RM Cost'!S:S)</f>
        <v>3.5695418813421296</v>
      </c>
      <c r="AS307" t="e">
        <f>_xlfn.XLOOKUP(A307,[3]Sheet1!$B:$B,[3]Sheet1!$B:$B)</f>
        <v>#N/A</v>
      </c>
    </row>
    <row r="308" spans="1:46" x14ac:dyDescent="0.25">
      <c r="A308" s="15" t="s">
        <v>535</v>
      </c>
      <c r="B308" s="2" t="s">
        <v>552</v>
      </c>
      <c r="C308" s="2" t="s">
        <v>602</v>
      </c>
      <c r="D308" s="2" t="s">
        <v>554</v>
      </c>
      <c r="E308" s="2">
        <v>2.5</v>
      </c>
      <c r="F308" s="1" t="str">
        <f>VLOOKUP(H308,'RM Used'!A:B,2,0)</f>
        <v>3034CS</v>
      </c>
      <c r="G308" s="1" t="str">
        <f>IFERROR(VLOOKUP(F308,'RM Cost'!A:B,2,0),"")</f>
        <v>RM - BROCCOLI 6KG</v>
      </c>
      <c r="H308" s="2" t="s">
        <v>1357</v>
      </c>
      <c r="I308" s="1" t="str">
        <f>VLOOKUP(F308,'RM Used'!B:D,3,0)</f>
        <v>RM-FOOD</v>
      </c>
      <c r="J308" s="66">
        <v>0.05</v>
      </c>
      <c r="K308" s="35">
        <f t="shared" si="96"/>
        <v>0.125</v>
      </c>
      <c r="L308" s="35">
        <f t="shared" si="84"/>
        <v>0.125</v>
      </c>
      <c r="M308" s="77" cm="1">
        <f t="array" ref="M308">_xlfn.IFS(BOM!I308="RM-PACKING","100%",B308="Reynolds",VLOOKUP(H308,'Yield &amp; Time'!A:V,22,0),BOM!B308="Dnata",VLOOKUP(BOM!H308,'Yield &amp; Time'!A:M,13,0),B308="NK",VLOOKUP(H308,'Yield &amp; Time'!A:X,24,0))</f>
        <v>0.57999999999999996</v>
      </c>
      <c r="N308" s="35">
        <f t="shared" si="103"/>
        <v>0.21551724137931036</v>
      </c>
      <c r="O308" s="1" t="str">
        <f>VLOOKUP(H308,'RM Used'!A:E,5,0)</f>
        <v>KG</v>
      </c>
      <c r="P308" s="11">
        <f>VLOOKUP(H308,'RM Used'!A:F,6,0)</f>
        <v>1.02</v>
      </c>
      <c r="Q308" s="11">
        <f t="shared" si="93"/>
        <v>0.21982758620689657</v>
      </c>
      <c r="R308" s="11">
        <f>IFERROR(IF(B308="Reynolds",VLOOKUP(H308,'Yield &amp; Time'!A:U,21,0),VLOOKUP(H308,'Yield &amp; Time'!A:L,12,0)),0)</f>
        <v>2.7</v>
      </c>
      <c r="S308" s="11">
        <f t="shared" si="85"/>
        <v>0.11424374999999999</v>
      </c>
      <c r="T308" s="11">
        <f t="shared" si="86"/>
        <v>5.6250000000000007E-3</v>
      </c>
      <c r="U308" s="11">
        <f>IF(A307=A308,0,VLOOKUP(A308,'Packing Time'!A:F,6,0))</f>
        <v>0</v>
      </c>
      <c r="V308" s="11">
        <f t="shared" si="97"/>
        <v>0</v>
      </c>
      <c r="W308" s="11">
        <f t="shared" si="98"/>
        <v>0</v>
      </c>
      <c r="X308" s="11">
        <f t="shared" si="87"/>
        <v>0.18279000000000001</v>
      </c>
      <c r="Y308" s="11">
        <f t="shared" si="99"/>
        <v>0.18279000000000001</v>
      </c>
      <c r="Z308" s="37">
        <v>1</v>
      </c>
      <c r="AA308" s="36">
        <f t="shared" si="88"/>
        <v>0.21551724137931036</v>
      </c>
      <c r="AB308" s="36">
        <f t="shared" si="89"/>
        <v>0.21982758620689657</v>
      </c>
      <c r="AC308" s="11">
        <f t="shared" si="90"/>
        <v>9.0000000000000011E-3</v>
      </c>
      <c r="AD308" s="36">
        <f t="shared" si="100"/>
        <v>0.18279000000000001</v>
      </c>
      <c r="AE308" s="36"/>
      <c r="AF308" s="36">
        <f>IFERROR(VLOOKUP(AE308,'Chemical Cost'!A:D,4,0),0)</f>
        <v>0</v>
      </c>
      <c r="AG308" s="114">
        <f t="shared" si="91"/>
        <v>0</v>
      </c>
      <c r="AH308" s="36">
        <f t="shared" si="94"/>
        <v>0</v>
      </c>
      <c r="AI308" s="36">
        <f t="shared" si="101"/>
        <v>0.40261758620689658</v>
      </c>
      <c r="AJ308" s="36">
        <f>IFERROR(VLOOKUP(A308,'All Products'!A:F,6,0),0)</f>
        <v>11.78</v>
      </c>
      <c r="AK308" s="36">
        <f t="shared" si="102"/>
        <v>0.58899999999999997</v>
      </c>
      <c r="AL308" s="23">
        <v>0.8</v>
      </c>
      <c r="AM308" s="23">
        <v>0.2</v>
      </c>
      <c r="AN308" s="54" t="e">
        <v>#N/A</v>
      </c>
      <c r="AO308" s="47"/>
      <c r="AP308" s="4">
        <v>1.6</v>
      </c>
      <c r="AQ308" s="111">
        <f t="shared" si="92"/>
        <v>9.0000000000000011E-3</v>
      </c>
      <c r="AR308">
        <f>_xlfn.XLOOKUP(F308,'RM Cost'!A:A,'RM Cost'!S:S)</f>
        <v>0</v>
      </c>
      <c r="AS308" t="e">
        <f>_xlfn.XLOOKUP(A308,[3]Sheet1!$B:$B,[3]Sheet1!$B:$B)</f>
        <v>#N/A</v>
      </c>
    </row>
    <row r="309" spans="1:46" x14ac:dyDescent="0.25">
      <c r="A309" s="15" t="s">
        <v>535</v>
      </c>
      <c r="B309" s="2" t="s">
        <v>552</v>
      </c>
      <c r="C309" s="2" t="s">
        <v>602</v>
      </c>
      <c r="D309" s="2" t="s">
        <v>554</v>
      </c>
      <c r="E309" s="2">
        <v>2.5</v>
      </c>
      <c r="F309" s="1" t="str">
        <f>VLOOKUP(H309,'RM Used'!A:B,2,0)</f>
        <v>3409CS</v>
      </c>
      <c r="G309" s="1" t="str">
        <f>IFERROR(VLOOKUP(F309,'RM Cost'!A:B,2,0),"")</f>
        <v>RM - CELERY 1 X 12</v>
      </c>
      <c r="H309" s="2" t="s">
        <v>1396</v>
      </c>
      <c r="I309" s="1" t="str">
        <f>VLOOKUP(F309,'RM Used'!B:D,3,0)</f>
        <v>RM-FOOD</v>
      </c>
      <c r="J309" s="66">
        <v>0.05</v>
      </c>
      <c r="K309" s="35">
        <f t="shared" si="96"/>
        <v>0.125</v>
      </c>
      <c r="L309" s="35">
        <f t="shared" si="84"/>
        <v>0.125</v>
      </c>
      <c r="M309" s="77" cm="1">
        <f t="array" ref="M309">_xlfn.IFS(BOM!I309="RM-PACKING","100%",B309="Reynolds",VLOOKUP(H309,'Yield &amp; Time'!A:V,22,0),BOM!B309="Dnata",VLOOKUP(BOM!H309,'Yield &amp; Time'!A:M,13,0),B309="NK",VLOOKUP(H309,'Yield &amp; Time'!A:X,24,0))</f>
        <v>0.75</v>
      </c>
      <c r="N309" s="35">
        <f t="shared" si="103"/>
        <v>0.16666666666666666</v>
      </c>
      <c r="O309" s="1" t="str">
        <f>VLOOKUP(H309,'RM Used'!A:E,5,0)</f>
        <v>KG</v>
      </c>
      <c r="P309" s="11">
        <f>VLOOKUP(H309,'RM Used'!A:F,6,0)</f>
        <v>0.91</v>
      </c>
      <c r="Q309" s="11">
        <f t="shared" si="93"/>
        <v>0.15166666666666667</v>
      </c>
      <c r="R309" s="11">
        <f>IFERROR(IF(B309="Reynolds",VLOOKUP(H309,'Yield &amp; Time'!A:U,21,0),VLOOKUP(H309,'Yield &amp; Time'!A:L,12,0)),0)</f>
        <v>1.4333333333333333</v>
      </c>
      <c r="S309" s="11">
        <f t="shared" si="85"/>
        <v>6.0647916666666662E-2</v>
      </c>
      <c r="T309" s="11">
        <f t="shared" si="86"/>
        <v>2.9861111111111113E-3</v>
      </c>
      <c r="U309" s="11">
        <f>IF(A308=A309,0,VLOOKUP(A309,'Packing Time'!A:F,6,0))</f>
        <v>0</v>
      </c>
      <c r="V309" s="11">
        <f t="shared" si="97"/>
        <v>0</v>
      </c>
      <c r="W309" s="11">
        <f t="shared" si="98"/>
        <v>0</v>
      </c>
      <c r="X309" s="11">
        <f t="shared" si="87"/>
        <v>9.703666666666666E-2</v>
      </c>
      <c r="Y309" s="11">
        <f t="shared" si="99"/>
        <v>9.703666666666666E-2</v>
      </c>
      <c r="Z309" s="37">
        <v>1</v>
      </c>
      <c r="AA309" s="36">
        <f t="shared" si="88"/>
        <v>0.16666666666666666</v>
      </c>
      <c r="AB309" s="36">
        <f t="shared" si="89"/>
        <v>0.15166666666666667</v>
      </c>
      <c r="AC309" s="11">
        <f t="shared" si="90"/>
        <v>4.7777777777777784E-3</v>
      </c>
      <c r="AD309" s="36">
        <f t="shared" si="100"/>
        <v>9.703666666666666E-2</v>
      </c>
      <c r="AE309" s="36" t="str">
        <f>VLOOKUP(H309,'Yield &amp; Time'!A:R,18,0)</f>
        <v>CHLORINE</v>
      </c>
      <c r="AF309" s="36">
        <f>IFERROR(VLOOKUP(AE309,'Chemical Cost'!A:D,4,0),0)</f>
        <v>2.7756518066439469E-2</v>
      </c>
      <c r="AG309" s="114">
        <f t="shared" si="91"/>
        <v>1.5420287814688592E-3</v>
      </c>
      <c r="AH309" s="36">
        <f t="shared" si="94"/>
        <v>1.5420287814688592E-3</v>
      </c>
      <c r="AI309" s="36">
        <f t="shared" si="101"/>
        <v>0.25024536211480219</v>
      </c>
      <c r="AJ309" s="36">
        <f>IFERROR(VLOOKUP(A309,'All Products'!A:F,6,0),0)</f>
        <v>11.78</v>
      </c>
      <c r="AK309" s="36">
        <f t="shared" si="102"/>
        <v>0.58899999999999997</v>
      </c>
      <c r="AL309" s="23">
        <v>0.8</v>
      </c>
      <c r="AM309" s="23">
        <v>0.2</v>
      </c>
      <c r="AN309" s="54" t="e">
        <v>#N/A</v>
      </c>
      <c r="AO309" s="47"/>
      <c r="AP309" s="4">
        <v>1.6</v>
      </c>
      <c r="AQ309" s="111">
        <f t="shared" si="92"/>
        <v>4.7777777777777784E-3</v>
      </c>
      <c r="AR309">
        <f>_xlfn.XLOOKUP(F309,'RM Cost'!A:A,'RM Cost'!S:S)</f>
        <v>0</v>
      </c>
      <c r="AS309" t="e">
        <f>_xlfn.XLOOKUP(A309,[3]Sheet1!$B:$B,[3]Sheet1!$B:$B)</f>
        <v>#N/A</v>
      </c>
    </row>
    <row r="310" spans="1:46" x14ac:dyDescent="0.25">
      <c r="A310" s="15" t="s">
        <v>535</v>
      </c>
      <c r="B310" s="2" t="s">
        <v>552</v>
      </c>
      <c r="C310" s="2" t="s">
        <v>602</v>
      </c>
      <c r="D310" s="2" t="s">
        <v>554</v>
      </c>
      <c r="E310" s="2">
        <v>2.5</v>
      </c>
      <c r="F310" s="1" t="str">
        <f>VLOOKUP(H310,'RM Used'!A:B,2,0)</f>
        <v>P0020</v>
      </c>
      <c r="G310" s="1" t="str">
        <f>IFERROR(VLOOKUP(F310,'RM Cost'!A:B,2,0),"")</f>
        <v>PALE BLUE BAG 430X430MM</v>
      </c>
      <c r="H310" s="2" t="s">
        <v>1659</v>
      </c>
      <c r="I310" s="1" t="str">
        <f>VLOOKUP(F310,'RM Used'!B:D,3,0)</f>
        <v>RM-PACKING</v>
      </c>
      <c r="J310" s="66">
        <v>1</v>
      </c>
      <c r="K310" s="35" t="str">
        <f t="shared" si="96"/>
        <v/>
      </c>
      <c r="L310" s="35">
        <f t="shared" si="84"/>
        <v>0</v>
      </c>
      <c r="M310" s="77" t="str" cm="1">
        <f t="array" ref="M310">_xlfn.IFS(BOM!I310="RM-PACKING","100%",B310="Reynolds",VLOOKUP(H310,'Yield &amp; Time'!A:V,22,0),BOM!B310="Dnata",VLOOKUP(BOM!H310,'Yield &amp; Time'!A:M,13,0),B310="NK",VLOOKUP(H310,'Yield &amp; Time'!A:X,24,0))</f>
        <v>100%</v>
      </c>
      <c r="N310" s="35">
        <f t="shared" si="103"/>
        <v>1</v>
      </c>
      <c r="O310" s="1" t="str">
        <f>VLOOKUP(H310,'RM Used'!A:E,5,0)</f>
        <v>Count</v>
      </c>
      <c r="P310" s="11">
        <f>VLOOKUP(H310,'RM Used'!A:F,6,0)</f>
        <v>0.09</v>
      </c>
      <c r="Q310" s="11">
        <f t="shared" si="93"/>
        <v>0.09</v>
      </c>
      <c r="R310" s="11">
        <f>IFERROR(IF(B310="Reynolds",VLOOKUP(H310,'Yield &amp; Time'!A:U,21,0),VLOOKUP(H310,'Yield &amp; Time'!A:L,12,0)),0)</f>
        <v>0</v>
      </c>
      <c r="S310" s="11">
        <f t="shared" si="85"/>
        <v>0</v>
      </c>
      <c r="T310" s="11">
        <f t="shared" si="86"/>
        <v>0</v>
      </c>
      <c r="U310" s="11">
        <f>IF(A309=A310,0,VLOOKUP(A310,'Packing Time'!A:F,6,0))</f>
        <v>0</v>
      </c>
      <c r="V310" s="11">
        <f t="shared" si="97"/>
        <v>0</v>
      </c>
      <c r="W310" s="11">
        <f t="shared" si="98"/>
        <v>0</v>
      </c>
      <c r="X310" s="11">
        <f t="shared" si="87"/>
        <v>0</v>
      </c>
      <c r="Y310" s="11">
        <f t="shared" si="99"/>
        <v>0</v>
      </c>
      <c r="Z310" s="37">
        <v>1</v>
      </c>
      <c r="AA310" s="36">
        <f t="shared" si="88"/>
        <v>1</v>
      </c>
      <c r="AB310" s="36">
        <f t="shared" si="89"/>
        <v>0.09</v>
      </c>
      <c r="AC310" s="11">
        <f t="shared" si="90"/>
        <v>0</v>
      </c>
      <c r="AD310" s="36">
        <f t="shared" si="100"/>
        <v>0</v>
      </c>
      <c r="AE310" s="36"/>
      <c r="AF310" s="36">
        <f>IFERROR(VLOOKUP(AE310,'Chemical Cost'!A:D,4,0),0)</f>
        <v>0</v>
      </c>
      <c r="AG310" s="114">
        <f t="shared" si="91"/>
        <v>0</v>
      </c>
      <c r="AH310" s="36">
        <f t="shared" si="94"/>
        <v>0</v>
      </c>
      <c r="AI310" s="36">
        <f t="shared" si="101"/>
        <v>0.09</v>
      </c>
      <c r="AJ310" s="36">
        <f>IFERROR(VLOOKUP(A310,'All Products'!A:F,6,0),0)</f>
        <v>11.78</v>
      </c>
      <c r="AK310" s="36"/>
      <c r="AL310" s="23">
        <v>0.8</v>
      </c>
      <c r="AM310" s="23">
        <v>0.2</v>
      </c>
      <c r="AN310" s="54" t="e">
        <v>#N/A</v>
      </c>
      <c r="AO310" s="47"/>
      <c r="AP310" s="4">
        <v>1.6</v>
      </c>
      <c r="AQ310" s="111">
        <f t="shared" si="92"/>
        <v>0</v>
      </c>
      <c r="AR310">
        <f>_xlfn.XLOOKUP(F310,'RM Cost'!A:A,'RM Cost'!S:S)</f>
        <v>0</v>
      </c>
      <c r="AS310" t="e">
        <f>_xlfn.XLOOKUP(A310,[3]Sheet1!$B:$B,[3]Sheet1!$B:$B)</f>
        <v>#N/A</v>
      </c>
    </row>
    <row r="311" spans="1:46" x14ac:dyDescent="0.25">
      <c r="A311" s="1" t="s">
        <v>542</v>
      </c>
      <c r="B311" s="2" t="s">
        <v>552</v>
      </c>
      <c r="C311" s="2" t="s">
        <v>603</v>
      </c>
      <c r="D311" s="2" t="s">
        <v>554</v>
      </c>
      <c r="E311" s="2">
        <v>1</v>
      </c>
      <c r="F311" s="1" t="str">
        <f>VLOOKUP(H311,'RM Used'!A:B,2,0)</f>
        <v>3124CS</v>
      </c>
      <c r="G311" s="1" t="str">
        <f>IFERROR(VLOOKUP(F311,'RM Cost'!A:B,2,0),"")</f>
        <v>RM - GINGER   X 12KG</v>
      </c>
      <c r="H311" s="2" t="s">
        <v>1456</v>
      </c>
      <c r="I311" s="1" t="str">
        <f>VLOOKUP(F311,'RM Used'!B:D,3,0)</f>
        <v>RM-FOOD</v>
      </c>
      <c r="J311" s="66">
        <v>1</v>
      </c>
      <c r="K311" s="35">
        <f t="shared" si="96"/>
        <v>1</v>
      </c>
      <c r="L311" s="35">
        <f t="shared" si="84"/>
        <v>1</v>
      </c>
      <c r="M311" s="77" cm="1">
        <f t="array" ref="M311">_xlfn.IFS(BOM!I311="RM-PACKING","100%",B311="Reynolds",VLOOKUP(H311,'Yield &amp; Time'!A:V,22,0),BOM!B311="Dnata",VLOOKUP(BOM!H311,'Yield &amp; Time'!A:M,13,0),B311="NK",VLOOKUP(H311,'Yield &amp; Time'!A:X,24,0))</f>
        <v>0.53271028037383172</v>
      </c>
      <c r="N311" s="35">
        <f t="shared" si="103"/>
        <v>1.8771929824561406</v>
      </c>
      <c r="O311" s="1" t="str">
        <f>VLOOKUP(H311,'RM Used'!A:E,5,0)</f>
        <v>KG</v>
      </c>
      <c r="P311" s="11">
        <f>VLOOKUP(H311,'RM Used'!A:F,6,0)</f>
        <v>2.0499999999999998</v>
      </c>
      <c r="Q311" s="11">
        <f t="shared" si="93"/>
        <v>3.848245614035088</v>
      </c>
      <c r="R311" s="11">
        <f>IFERROR(IF(B311="Reynolds",VLOOKUP(H311,'Yield &amp; Time'!A:U,21,0),VLOOKUP(H311,'Yield &amp; Time'!A:L,12,0)),0)</f>
        <v>14.210526315789474</v>
      </c>
      <c r="S311" s="11">
        <f t="shared" si="85"/>
        <v>4.8102631578947364</v>
      </c>
      <c r="T311" s="11">
        <f t="shared" si="86"/>
        <v>0.23684210526315791</v>
      </c>
      <c r="U311" s="11">
        <f>IF(A310=A311,0,VLOOKUP(A311,'Packing Time'!A:F,6,0))</f>
        <v>0.64500000000000002</v>
      </c>
      <c r="V311" s="11">
        <f t="shared" si="97"/>
        <v>0.21833249999999998</v>
      </c>
      <c r="W311" s="11">
        <f t="shared" si="98"/>
        <v>1.0750000000000001E-2</v>
      </c>
      <c r="X311" s="11">
        <f t="shared" si="87"/>
        <v>8.0457530526315786</v>
      </c>
      <c r="Y311" s="11">
        <f t="shared" si="99"/>
        <v>8.0457530526315786</v>
      </c>
      <c r="Z311" s="37">
        <v>1</v>
      </c>
      <c r="AA311" s="36">
        <f t="shared" si="88"/>
        <v>1.8771929824561406</v>
      </c>
      <c r="AB311" s="36">
        <f t="shared" si="89"/>
        <v>3.848245614035088</v>
      </c>
      <c r="AC311" s="11">
        <f t="shared" si="90"/>
        <v>0.39614736842105264</v>
      </c>
      <c r="AD311" s="36">
        <f t="shared" si="100"/>
        <v>8.0457530526315786</v>
      </c>
      <c r="AE311" s="36"/>
      <c r="AF311" s="36">
        <f>IFERROR(VLOOKUP(AE311,'Chemical Cost'!A:D,4,0),0)</f>
        <v>0</v>
      </c>
      <c r="AG311" s="114">
        <f t="shared" si="91"/>
        <v>0</v>
      </c>
      <c r="AH311" s="36">
        <f t="shared" si="94"/>
        <v>0</v>
      </c>
      <c r="AI311" s="36">
        <f t="shared" si="101"/>
        <v>11.893998666666667</v>
      </c>
      <c r="AJ311" s="36">
        <f>IFERROR(VLOOKUP(A311,'All Products'!A:F,6,0),0)</f>
        <v>10.08</v>
      </c>
      <c r="AK311" s="36">
        <f>AJ311*Z311*J311</f>
        <v>10.08</v>
      </c>
      <c r="AL311" s="23">
        <v>1</v>
      </c>
      <c r="AM311" s="23"/>
      <c r="AN311" s="54" t="e">
        <v>#N/A</v>
      </c>
      <c r="AO311" s="47"/>
      <c r="AP311" s="4">
        <v>1.6</v>
      </c>
      <c r="AQ311" s="111">
        <f t="shared" si="92"/>
        <v>0.39614736842105264</v>
      </c>
      <c r="AR311">
        <f>_xlfn.XLOOKUP(F311,'RM Cost'!A:A,'RM Cost'!S:S)</f>
        <v>0</v>
      </c>
      <c r="AS311" t="str">
        <f>_xlfn.XLOOKUP(A311,[3]Sheet1!$B:$B,[3]Sheet1!$B:$B)</f>
        <v>1598CS</v>
      </c>
      <c r="AT311">
        <f>_xlfn.XLOOKUP(H311,'Yield &amp; Time'!A:A,'Yield &amp; Time'!F:F)</f>
        <v>0</v>
      </c>
    </row>
    <row r="312" spans="1:46" x14ac:dyDescent="0.25">
      <c r="A312" s="1" t="s">
        <v>542</v>
      </c>
      <c r="B312" s="2" t="s">
        <v>552</v>
      </c>
      <c r="C312" s="2" t="s">
        <v>603</v>
      </c>
      <c r="D312" s="2" t="s">
        <v>554</v>
      </c>
      <c r="E312" s="2">
        <v>1</v>
      </c>
      <c r="F312" s="1" t="str">
        <f>VLOOKUP(H312,'RM Used'!A:B,2,0)</f>
        <v>P0020</v>
      </c>
      <c r="G312" s="1" t="str">
        <f>IFERROR(VLOOKUP(F312,'RM Cost'!A:B,2,0),"")</f>
        <v>PALE BLUE BAG 430X430MM</v>
      </c>
      <c r="H312" s="2" t="s">
        <v>1659</v>
      </c>
      <c r="I312" s="1" t="str">
        <f>VLOOKUP(F312,'RM Used'!B:D,3,0)</f>
        <v>RM-PACKING</v>
      </c>
      <c r="J312" s="66">
        <v>1</v>
      </c>
      <c r="K312" s="35" t="str">
        <f t="shared" si="96"/>
        <v/>
      </c>
      <c r="L312" s="35">
        <f t="shared" si="84"/>
        <v>0</v>
      </c>
      <c r="M312" s="77" t="str" cm="1">
        <f t="array" ref="M312">_xlfn.IFS(BOM!I312="RM-PACKING","100%",B312="Reynolds",VLOOKUP(H312,'Yield &amp; Time'!A:V,22,0),BOM!B312="Dnata",VLOOKUP(BOM!H312,'Yield &amp; Time'!A:M,13,0),B312="NK",VLOOKUP(H312,'Yield &amp; Time'!A:X,24,0))</f>
        <v>100%</v>
      </c>
      <c r="N312" s="35">
        <f t="shared" si="103"/>
        <v>1</v>
      </c>
      <c r="O312" s="1" t="str">
        <f>VLOOKUP(H312,'RM Used'!A:E,5,0)</f>
        <v>Count</v>
      </c>
      <c r="P312" s="11">
        <f>VLOOKUP(H312,'RM Used'!A:F,6,0)</f>
        <v>0.09</v>
      </c>
      <c r="Q312" s="11">
        <f t="shared" si="93"/>
        <v>0.09</v>
      </c>
      <c r="R312" s="11">
        <f>IFERROR(IF(B312="Reynolds",VLOOKUP(H312,'Yield &amp; Time'!A:U,21,0),VLOOKUP(H312,'Yield &amp; Time'!A:L,12,0)),0)</f>
        <v>0</v>
      </c>
      <c r="S312" s="11">
        <f t="shared" si="85"/>
        <v>0</v>
      </c>
      <c r="T312" s="11">
        <f t="shared" si="86"/>
        <v>0</v>
      </c>
      <c r="U312" s="11">
        <f>IF(A311=A312,0,VLOOKUP(A312,'Packing Time'!A:F,6,0))</f>
        <v>0</v>
      </c>
      <c r="V312" s="11">
        <f t="shared" si="97"/>
        <v>0</v>
      </c>
      <c r="W312" s="11">
        <f t="shared" si="98"/>
        <v>0</v>
      </c>
      <c r="X312" s="11">
        <f t="shared" si="87"/>
        <v>0</v>
      </c>
      <c r="Y312" s="11">
        <f t="shared" si="99"/>
        <v>0</v>
      </c>
      <c r="Z312" s="37">
        <v>1</v>
      </c>
      <c r="AA312" s="36">
        <f t="shared" si="88"/>
        <v>1</v>
      </c>
      <c r="AB312" s="36">
        <f t="shared" si="89"/>
        <v>0.09</v>
      </c>
      <c r="AC312" s="11">
        <f t="shared" si="90"/>
        <v>0</v>
      </c>
      <c r="AD312" s="36">
        <f t="shared" si="100"/>
        <v>0</v>
      </c>
      <c r="AE312" s="36"/>
      <c r="AF312" s="36">
        <f>IFERROR(VLOOKUP(AE312,'Chemical Cost'!A:D,4,0),0)</f>
        <v>0</v>
      </c>
      <c r="AG312" s="114">
        <f t="shared" si="91"/>
        <v>0</v>
      </c>
      <c r="AH312" s="36">
        <f t="shared" si="94"/>
        <v>0</v>
      </c>
      <c r="AI312" s="36">
        <f t="shared" si="101"/>
        <v>0.09</v>
      </c>
      <c r="AJ312" s="36">
        <f>IFERROR(VLOOKUP(A312,'All Products'!A:F,6,0),0)</f>
        <v>10.08</v>
      </c>
      <c r="AK312" s="36"/>
      <c r="AL312" s="23">
        <v>1</v>
      </c>
      <c r="AM312" s="23"/>
      <c r="AN312" s="54" t="e">
        <v>#N/A</v>
      </c>
      <c r="AO312" s="47"/>
      <c r="AP312" s="4">
        <v>1.6</v>
      </c>
      <c r="AQ312" s="111">
        <f t="shared" si="92"/>
        <v>0</v>
      </c>
      <c r="AR312">
        <f>_xlfn.XLOOKUP(F312,'RM Cost'!A:A,'RM Cost'!S:S)</f>
        <v>0</v>
      </c>
      <c r="AS312" t="str">
        <f>_xlfn.XLOOKUP(A312,[3]Sheet1!$B:$B,[3]Sheet1!$B:$B)</f>
        <v>1598CS</v>
      </c>
      <c r="AT312" t="e">
        <f>_xlfn.XLOOKUP(H312,'Yield &amp; Time'!A:A,'Yield &amp; Time'!F:F)</f>
        <v>#N/A</v>
      </c>
    </row>
    <row r="313" spans="1:46" x14ac:dyDescent="0.25">
      <c r="A313" s="1" t="s">
        <v>542</v>
      </c>
      <c r="B313" s="2" t="s">
        <v>552</v>
      </c>
      <c r="C313" s="2" t="s">
        <v>603</v>
      </c>
      <c r="D313" s="2" t="s">
        <v>554</v>
      </c>
      <c r="E313" s="2">
        <v>1</v>
      </c>
      <c r="F313" s="1" t="str">
        <f>VLOOKUP(H313,'RM Used'!A:B,2,0)</f>
        <v>P0016</v>
      </c>
      <c r="G313" s="1" t="str">
        <f>IFERROR(VLOOKUP(F313,'RM Cost'!A:B,2,0),"")</f>
        <v>REY 40 30 BOX</v>
      </c>
      <c r="H313" s="2" t="s">
        <v>1332</v>
      </c>
      <c r="I313" s="1" t="str">
        <f>VLOOKUP(F313,'RM Used'!B:D,3,0)</f>
        <v>RM-PACKING</v>
      </c>
      <c r="J313" s="66">
        <v>1</v>
      </c>
      <c r="K313" s="35" t="str">
        <f t="shared" si="96"/>
        <v/>
      </c>
      <c r="L313" s="35">
        <f t="shared" si="84"/>
        <v>0</v>
      </c>
      <c r="M313" s="77" t="str" cm="1">
        <f t="array" ref="M313">_xlfn.IFS(BOM!I313="RM-PACKING","100%",B313="Reynolds",VLOOKUP(H313,'Yield &amp; Time'!A:V,22,0),BOM!B313="Dnata",VLOOKUP(BOM!H313,'Yield &amp; Time'!A:M,13,0),B313="NK",VLOOKUP(H313,'Yield &amp; Time'!A:X,24,0))</f>
        <v>100%</v>
      </c>
      <c r="N313" s="35">
        <f t="shared" si="103"/>
        <v>1</v>
      </c>
      <c r="O313" s="1" t="str">
        <f>VLOOKUP(H313,'RM Used'!A:E,5,0)</f>
        <v>Count</v>
      </c>
      <c r="P313" s="11">
        <f>VLOOKUP(H313,'RM Used'!A:F,6,0)</f>
        <v>0.28000000000000003</v>
      </c>
      <c r="Q313" s="11">
        <f t="shared" si="93"/>
        <v>0.28000000000000003</v>
      </c>
      <c r="R313" s="11">
        <f>IFERROR(IF(B313="Reynolds",VLOOKUP(H313,'Yield &amp; Time'!A:U,21,0),VLOOKUP(H313,'Yield &amp; Time'!A:L,12,0)),0)</f>
        <v>0</v>
      </c>
      <c r="S313" s="11">
        <f t="shared" si="85"/>
        <v>0</v>
      </c>
      <c r="T313" s="11">
        <f t="shared" si="86"/>
        <v>0</v>
      </c>
      <c r="U313" s="11">
        <f>IF(A312=A313,0,VLOOKUP(A313,'Packing Time'!A:F,6,0))</f>
        <v>0</v>
      </c>
      <c r="V313" s="11">
        <f t="shared" si="97"/>
        <v>0</v>
      </c>
      <c r="W313" s="11">
        <f t="shared" si="98"/>
        <v>0</v>
      </c>
      <c r="X313" s="11">
        <f t="shared" si="87"/>
        <v>0</v>
      </c>
      <c r="Y313" s="11">
        <f t="shared" si="99"/>
        <v>0</v>
      </c>
      <c r="Z313" s="37">
        <v>1</v>
      </c>
      <c r="AA313" s="36">
        <f t="shared" si="88"/>
        <v>1</v>
      </c>
      <c r="AB313" s="36">
        <f t="shared" si="89"/>
        <v>0.28000000000000003</v>
      </c>
      <c r="AC313" s="11">
        <f t="shared" si="90"/>
        <v>0</v>
      </c>
      <c r="AD313" s="36">
        <f t="shared" si="100"/>
        <v>0</v>
      </c>
      <c r="AE313" s="36"/>
      <c r="AF313" s="36">
        <f>IFERROR(VLOOKUP(AE313,'Chemical Cost'!A:D,4,0),0)</f>
        <v>0</v>
      </c>
      <c r="AG313" s="114">
        <f t="shared" si="91"/>
        <v>0</v>
      </c>
      <c r="AH313" s="36">
        <f t="shared" si="94"/>
        <v>0</v>
      </c>
      <c r="AI313" s="36">
        <f t="shared" si="101"/>
        <v>0.28000000000000003</v>
      </c>
      <c r="AJ313" s="36">
        <f>IFERROR(VLOOKUP(A313,'All Products'!A:F,6,0),0)</f>
        <v>10.08</v>
      </c>
      <c r="AK313" s="36"/>
      <c r="AL313" s="23">
        <v>1</v>
      </c>
      <c r="AM313" s="23"/>
      <c r="AN313" s="54" t="e">
        <v>#N/A</v>
      </c>
      <c r="AO313" s="47"/>
      <c r="AP313" s="4">
        <v>1.6</v>
      </c>
      <c r="AQ313" s="111">
        <f t="shared" si="92"/>
        <v>0</v>
      </c>
      <c r="AR313">
        <f>_xlfn.XLOOKUP(F313,'RM Cost'!A:A,'RM Cost'!S:S)</f>
        <v>0</v>
      </c>
      <c r="AS313" t="str">
        <f>_xlfn.XLOOKUP(A313,[3]Sheet1!$B:$B,[3]Sheet1!$B:$B)</f>
        <v>1598CS</v>
      </c>
      <c r="AT313" t="e">
        <f>_xlfn.XLOOKUP(H313,'Yield &amp; Time'!A:A,'Yield &amp; Time'!F:F)</f>
        <v>#N/A</v>
      </c>
    </row>
    <row r="314" spans="1:46" x14ac:dyDescent="0.25">
      <c r="A314" s="1" t="s">
        <v>496</v>
      </c>
      <c r="B314" s="2" t="s">
        <v>552</v>
      </c>
      <c r="C314" s="2" t="s">
        <v>604</v>
      </c>
      <c r="D314" s="2" t="s">
        <v>554</v>
      </c>
      <c r="E314" s="2">
        <v>2.5</v>
      </c>
      <c r="F314" s="1" t="str">
        <f>VLOOKUP(H314,'RM Used'!A:B,2,0)</f>
        <v>3191CS</v>
      </c>
      <c r="G314" s="1" t="str">
        <f>IFERROR(VLOOKUP(F314,'RM Cost'!A:B,2,0),"")</f>
        <v>RM - PARSNIPS 10KG</v>
      </c>
      <c r="H314" s="2" t="s">
        <v>1457</v>
      </c>
      <c r="I314" s="1" t="str">
        <f>VLOOKUP(F314,'RM Used'!B:D,3,0)</f>
        <v>RM-FOOD</v>
      </c>
      <c r="J314" s="66">
        <v>1</v>
      </c>
      <c r="K314" s="35">
        <f t="shared" si="96"/>
        <v>2.5</v>
      </c>
      <c r="L314" s="35">
        <f t="shared" si="84"/>
        <v>2.5</v>
      </c>
      <c r="M314" s="77" cm="1">
        <f t="array" ref="M314">_xlfn.IFS(BOM!I314="RM-PACKING","100%",B314="Reynolds",VLOOKUP(H314,'Yield &amp; Time'!A:V,22,0),BOM!B314="Dnata",VLOOKUP(BOM!H314,'Yield &amp; Time'!A:M,13,0),B314="NK",VLOOKUP(H314,'Yield &amp; Time'!A:X,24,0))</f>
        <v>0.67961165048543681</v>
      </c>
      <c r="N314" s="35">
        <f t="shared" si="103"/>
        <v>3.6785714285714288</v>
      </c>
      <c r="O314" s="1" t="str">
        <f>VLOOKUP(H314,'RM Used'!A:E,5,0)</f>
        <v>KG</v>
      </c>
      <c r="P314" s="11">
        <f>VLOOKUP(H314,'RM Used'!A:F,6,0)</f>
        <v>0.76</v>
      </c>
      <c r="Q314" s="11">
        <f t="shared" si="93"/>
        <v>2.7957142857142858</v>
      </c>
      <c r="R314" s="11">
        <f>IFERROR(IF(B314="Reynolds",VLOOKUP(H314,'Yield &amp; Time'!A:U,21,0),VLOOKUP(H314,'Yield &amp; Time'!A:L,12,0)),0)</f>
        <v>2.9333333333333331</v>
      </c>
      <c r="S314" s="11">
        <f t="shared" si="85"/>
        <v>2.4823333333333331</v>
      </c>
      <c r="T314" s="11">
        <f t="shared" si="86"/>
        <v>0.12222222222222222</v>
      </c>
      <c r="U314" s="11">
        <f>IF(A313=A314,0,VLOOKUP(A314,'Packing Time'!A:F,6,0))</f>
        <v>0.875</v>
      </c>
      <c r="V314" s="11">
        <f t="shared" si="97"/>
        <v>0.29618749999999999</v>
      </c>
      <c r="W314" s="11">
        <f t="shared" si="98"/>
        <v>1.4583333333333334E-2</v>
      </c>
      <c r="X314" s="11">
        <f t="shared" si="87"/>
        <v>4.4456333333333324</v>
      </c>
      <c r="Y314" s="11">
        <f t="shared" si="99"/>
        <v>4.4456333333333324</v>
      </c>
      <c r="Z314" s="37">
        <v>1</v>
      </c>
      <c r="AA314" s="36">
        <f t="shared" si="88"/>
        <v>3.6785714285714288</v>
      </c>
      <c r="AB314" s="36">
        <f t="shared" si="89"/>
        <v>2.7957142857142858</v>
      </c>
      <c r="AC314" s="11">
        <f t="shared" si="90"/>
        <v>0.21888888888888888</v>
      </c>
      <c r="AD314" s="36">
        <f t="shared" si="100"/>
        <v>4.4456333333333324</v>
      </c>
      <c r="AE314" s="36" t="str">
        <f>VLOOKUP(H314,'Yield &amp; Time'!A:R,18,0)</f>
        <v>SODIUM METABISULPHITE</v>
      </c>
      <c r="AF314" s="36">
        <f>IFERROR(VLOOKUP(AE314,'Chemical Cost'!A:D,4,0),0)</f>
        <v>9.7586225455882462E-3</v>
      </c>
      <c r="AG314" s="114">
        <f t="shared" si="91"/>
        <v>1.1965930026137968E-2</v>
      </c>
      <c r="AH314" s="36">
        <f t="shared" si="94"/>
        <v>1.1965930026137968E-2</v>
      </c>
      <c r="AI314" s="36">
        <f t="shared" si="101"/>
        <v>7.2533135490737557</v>
      </c>
      <c r="AJ314" s="36">
        <f>IFERROR(VLOOKUP(A314,'All Products'!A:F,6,0),0)</f>
        <v>9.4</v>
      </c>
      <c r="AK314" s="36">
        <f>AJ314*Z314*J314</f>
        <v>9.4</v>
      </c>
      <c r="AL314" s="23">
        <v>1</v>
      </c>
      <c r="AM314" s="23"/>
      <c r="AN314" s="54" t="e">
        <v>#N/A</v>
      </c>
      <c r="AO314" s="47"/>
      <c r="AP314" s="4">
        <v>1.6</v>
      </c>
      <c r="AQ314" s="111">
        <f t="shared" si="92"/>
        <v>0.21888888888888888</v>
      </c>
      <c r="AR314">
        <f>_xlfn.XLOOKUP(F314,'RM Cost'!A:A,'RM Cost'!S:S)</f>
        <v>0</v>
      </c>
      <c r="AS314" t="e">
        <f>_xlfn.XLOOKUP(A314,[3]Sheet1!$B:$B,[3]Sheet1!$B:$B)</f>
        <v>#N/A</v>
      </c>
    </row>
    <row r="315" spans="1:46" x14ac:dyDescent="0.25">
      <c r="A315" s="1" t="s">
        <v>496</v>
      </c>
      <c r="B315" s="2" t="s">
        <v>552</v>
      </c>
      <c r="C315" s="2" t="s">
        <v>604</v>
      </c>
      <c r="D315" s="2" t="s">
        <v>554</v>
      </c>
      <c r="E315" s="2">
        <v>2.5</v>
      </c>
      <c r="F315" s="1" t="str">
        <f>VLOOKUP(H315,'RM Used'!A:B,2,0)</f>
        <v>P0020</v>
      </c>
      <c r="G315" s="1" t="str">
        <f>IFERROR(VLOOKUP(F315,'RM Cost'!A:B,2,0),"")</f>
        <v>PALE BLUE BAG 430X430MM</v>
      </c>
      <c r="H315" s="2" t="s">
        <v>1659</v>
      </c>
      <c r="I315" s="1" t="str">
        <f>VLOOKUP(F315,'RM Used'!B:D,3,0)</f>
        <v>RM-PACKING</v>
      </c>
      <c r="J315" s="66">
        <v>1</v>
      </c>
      <c r="K315" s="35" t="str">
        <f t="shared" si="96"/>
        <v/>
      </c>
      <c r="L315" s="35">
        <f t="shared" si="84"/>
        <v>0</v>
      </c>
      <c r="M315" s="77" t="str" cm="1">
        <f t="array" ref="M315">_xlfn.IFS(BOM!I315="RM-PACKING","100%",B315="Reynolds",VLOOKUP(H315,'Yield &amp; Time'!A:V,22,0),BOM!B315="Dnata",VLOOKUP(BOM!H315,'Yield &amp; Time'!A:M,13,0),B315="NK",VLOOKUP(H315,'Yield &amp; Time'!A:X,24,0))</f>
        <v>100%</v>
      </c>
      <c r="N315" s="35">
        <f t="shared" si="103"/>
        <v>1</v>
      </c>
      <c r="O315" s="1" t="str">
        <f>VLOOKUP(H315,'RM Used'!A:E,5,0)</f>
        <v>Count</v>
      </c>
      <c r="P315" s="11">
        <f>VLOOKUP(H315,'RM Used'!A:F,6,0)</f>
        <v>0.09</v>
      </c>
      <c r="Q315" s="11">
        <f t="shared" si="93"/>
        <v>0.09</v>
      </c>
      <c r="R315" s="11">
        <f>IFERROR(IF(B315="Reynolds",VLOOKUP(H315,'Yield &amp; Time'!A:U,21,0),VLOOKUP(H315,'Yield &amp; Time'!A:L,12,0)),0)</f>
        <v>0</v>
      </c>
      <c r="S315" s="11">
        <f t="shared" si="85"/>
        <v>0</v>
      </c>
      <c r="T315" s="11">
        <f t="shared" si="86"/>
        <v>0</v>
      </c>
      <c r="U315" s="11">
        <f>IF(A314=A315,0,VLOOKUP(A315,'Packing Time'!A:F,6,0))</f>
        <v>0</v>
      </c>
      <c r="V315" s="11">
        <f t="shared" si="97"/>
        <v>0</v>
      </c>
      <c r="W315" s="11">
        <f t="shared" si="98"/>
        <v>0</v>
      </c>
      <c r="X315" s="11">
        <f t="shared" si="87"/>
        <v>0</v>
      </c>
      <c r="Y315" s="11">
        <f t="shared" si="99"/>
        <v>0</v>
      </c>
      <c r="Z315" s="37">
        <v>1</v>
      </c>
      <c r="AA315" s="36">
        <f t="shared" si="88"/>
        <v>1</v>
      </c>
      <c r="AB315" s="36">
        <f t="shared" si="89"/>
        <v>0.09</v>
      </c>
      <c r="AC315" s="11">
        <f t="shared" si="90"/>
        <v>0</v>
      </c>
      <c r="AD315" s="36">
        <f t="shared" si="100"/>
        <v>0</v>
      </c>
      <c r="AE315" s="36"/>
      <c r="AF315" s="36">
        <f>IFERROR(VLOOKUP(AE315,'Chemical Cost'!A:D,4,0),0)</f>
        <v>0</v>
      </c>
      <c r="AG315" s="114">
        <f t="shared" si="91"/>
        <v>0</v>
      </c>
      <c r="AH315" s="36">
        <f t="shared" si="94"/>
        <v>0</v>
      </c>
      <c r="AI315" s="36">
        <f t="shared" si="101"/>
        <v>0.09</v>
      </c>
      <c r="AJ315" s="36">
        <f>IFERROR(VLOOKUP(A315,'All Products'!A:F,6,0),0)</f>
        <v>9.4</v>
      </c>
      <c r="AK315" s="36"/>
      <c r="AL315" s="23">
        <v>1</v>
      </c>
      <c r="AM315" s="23"/>
      <c r="AN315" s="54" t="e">
        <v>#N/A</v>
      </c>
      <c r="AO315" s="47"/>
      <c r="AP315" s="4">
        <v>1.6</v>
      </c>
      <c r="AQ315" s="111">
        <f t="shared" si="92"/>
        <v>0</v>
      </c>
      <c r="AR315">
        <f>_xlfn.XLOOKUP(F315,'RM Cost'!A:A,'RM Cost'!S:S)</f>
        <v>0</v>
      </c>
      <c r="AS315" t="e">
        <f>_xlfn.XLOOKUP(A315,[3]Sheet1!$B:$B,[3]Sheet1!$B:$B)</f>
        <v>#N/A</v>
      </c>
    </row>
    <row r="316" spans="1:46" x14ac:dyDescent="0.25">
      <c r="A316" s="1" t="s">
        <v>496</v>
      </c>
      <c r="B316" s="2" t="s">
        <v>552</v>
      </c>
      <c r="C316" s="2" t="s">
        <v>604</v>
      </c>
      <c r="D316" s="2" t="s">
        <v>554</v>
      </c>
      <c r="E316" s="2">
        <v>2.5</v>
      </c>
      <c r="F316" s="1" t="str">
        <f>VLOOKUP(H316,'RM Used'!A:B,2,0)</f>
        <v>P0016</v>
      </c>
      <c r="G316" s="1" t="str">
        <f>IFERROR(VLOOKUP(F316,'RM Cost'!A:B,2,0),"")</f>
        <v>REY 40 30 BOX</v>
      </c>
      <c r="H316" s="2" t="s">
        <v>1332</v>
      </c>
      <c r="I316" s="1" t="str">
        <f>VLOOKUP(F316,'RM Used'!B:D,3,0)</f>
        <v>RM-PACKING</v>
      </c>
      <c r="J316" s="66">
        <v>1</v>
      </c>
      <c r="K316" s="35" t="str">
        <f t="shared" si="96"/>
        <v/>
      </c>
      <c r="L316" s="35">
        <f t="shared" si="84"/>
        <v>0</v>
      </c>
      <c r="M316" s="77" t="str" cm="1">
        <f t="array" ref="M316">_xlfn.IFS(BOM!I316="RM-PACKING","100%",B316="Reynolds",VLOOKUP(H316,'Yield &amp; Time'!A:V,22,0),BOM!B316="Dnata",VLOOKUP(BOM!H316,'Yield &amp; Time'!A:M,13,0),B316="NK",VLOOKUP(H316,'Yield &amp; Time'!A:X,24,0))</f>
        <v>100%</v>
      </c>
      <c r="N316" s="35">
        <f t="shared" si="103"/>
        <v>1</v>
      </c>
      <c r="O316" s="1" t="str">
        <f>VLOOKUP(H316,'RM Used'!A:E,5,0)</f>
        <v>Count</v>
      </c>
      <c r="P316" s="11">
        <f>VLOOKUP(H316,'RM Used'!A:F,6,0)</f>
        <v>0.28000000000000003</v>
      </c>
      <c r="Q316" s="11">
        <f t="shared" si="93"/>
        <v>0.28000000000000003</v>
      </c>
      <c r="R316" s="11">
        <f>IFERROR(IF(B316="Reynolds",VLOOKUP(H316,'Yield &amp; Time'!A:U,21,0),VLOOKUP(H316,'Yield &amp; Time'!A:L,12,0)),0)</f>
        <v>0</v>
      </c>
      <c r="S316" s="11">
        <f t="shared" si="85"/>
        <v>0</v>
      </c>
      <c r="T316" s="11">
        <f t="shared" si="86"/>
        <v>0</v>
      </c>
      <c r="U316" s="11">
        <f>IF(A315=A316,0,VLOOKUP(A316,'Packing Time'!A:F,6,0))</f>
        <v>0</v>
      </c>
      <c r="V316" s="11">
        <f t="shared" si="97"/>
        <v>0</v>
      </c>
      <c r="W316" s="11">
        <f t="shared" si="98"/>
        <v>0</v>
      </c>
      <c r="X316" s="11">
        <f t="shared" si="87"/>
        <v>0</v>
      </c>
      <c r="Y316" s="11">
        <f t="shared" si="99"/>
        <v>0</v>
      </c>
      <c r="Z316" s="37">
        <v>1</v>
      </c>
      <c r="AA316" s="36">
        <f t="shared" si="88"/>
        <v>1</v>
      </c>
      <c r="AB316" s="36">
        <f t="shared" si="89"/>
        <v>0.28000000000000003</v>
      </c>
      <c r="AC316" s="11">
        <f t="shared" si="90"/>
        <v>0</v>
      </c>
      <c r="AD316" s="36">
        <f t="shared" si="100"/>
        <v>0</v>
      </c>
      <c r="AE316" s="36"/>
      <c r="AF316" s="36">
        <f>IFERROR(VLOOKUP(AE316,'Chemical Cost'!A:D,4,0),0)</f>
        <v>0</v>
      </c>
      <c r="AG316" s="114">
        <f t="shared" si="91"/>
        <v>0</v>
      </c>
      <c r="AH316" s="36">
        <f t="shared" si="94"/>
        <v>0</v>
      </c>
      <c r="AI316" s="36">
        <f t="shared" si="101"/>
        <v>0.28000000000000003</v>
      </c>
      <c r="AJ316" s="36">
        <f>IFERROR(VLOOKUP(A316,'All Products'!A:F,6,0),0)</f>
        <v>9.4</v>
      </c>
      <c r="AK316" s="36"/>
      <c r="AL316" s="23">
        <v>1</v>
      </c>
      <c r="AM316" s="23"/>
      <c r="AN316" s="54" t="e">
        <v>#N/A</v>
      </c>
      <c r="AO316" s="47"/>
      <c r="AP316" s="4">
        <v>1.6</v>
      </c>
      <c r="AQ316" s="111">
        <f t="shared" si="92"/>
        <v>0</v>
      </c>
      <c r="AR316">
        <f>_xlfn.XLOOKUP(F316,'RM Cost'!A:A,'RM Cost'!S:S)</f>
        <v>0</v>
      </c>
      <c r="AS316" t="e">
        <f>_xlfn.XLOOKUP(A316,[3]Sheet1!$B:$B,[3]Sheet1!$B:$B)</f>
        <v>#N/A</v>
      </c>
    </row>
    <row r="317" spans="1:46" x14ac:dyDescent="0.25">
      <c r="A317" s="1" t="s">
        <v>442</v>
      </c>
      <c r="B317" s="2" t="s">
        <v>552</v>
      </c>
      <c r="C317" s="2" t="s">
        <v>607</v>
      </c>
      <c r="D317" s="2" t="s">
        <v>554</v>
      </c>
      <c r="E317" s="2">
        <v>2.5</v>
      </c>
      <c r="F317" s="1" t="str">
        <f>VLOOKUP(H317,'RM Used'!A:B,2,0)</f>
        <v>3191CS</v>
      </c>
      <c r="G317" s="1" t="str">
        <f>IFERROR(VLOOKUP(F317,'RM Cost'!A:B,2,0),"")</f>
        <v>RM - PARSNIPS 10KG</v>
      </c>
      <c r="H317" s="2" t="s">
        <v>1457</v>
      </c>
      <c r="I317" s="1" t="str">
        <f>VLOOKUP(F317,'RM Used'!B:D,3,0)</f>
        <v>RM-FOOD</v>
      </c>
      <c r="J317" s="66">
        <v>1</v>
      </c>
      <c r="K317" s="35">
        <f t="shared" si="96"/>
        <v>2.5</v>
      </c>
      <c r="L317" s="35">
        <f t="shared" si="84"/>
        <v>2.5</v>
      </c>
      <c r="M317" s="77" cm="1">
        <f t="array" ref="M317">_xlfn.IFS(BOM!I317="RM-PACKING","100%",B317="Reynolds",VLOOKUP(H317,'Yield &amp; Time'!A:V,22,0),BOM!B317="Dnata",VLOOKUP(BOM!H317,'Yield &amp; Time'!A:M,13,0),B317="NK",VLOOKUP(H317,'Yield &amp; Time'!A:X,24,0))</f>
        <v>0.67961165048543681</v>
      </c>
      <c r="N317" s="35">
        <f t="shared" si="103"/>
        <v>3.6785714285714288</v>
      </c>
      <c r="O317" s="1" t="str">
        <f>VLOOKUP(H317,'RM Used'!A:E,5,0)</f>
        <v>KG</v>
      </c>
      <c r="P317" s="11">
        <f>VLOOKUP(H317,'RM Used'!A:F,6,0)</f>
        <v>0.76</v>
      </c>
      <c r="Q317" s="11">
        <f t="shared" si="93"/>
        <v>2.7957142857142858</v>
      </c>
      <c r="R317" s="11">
        <f>IFERROR(IF(B317="Reynolds",VLOOKUP(H317,'Yield &amp; Time'!A:U,21,0),VLOOKUP(H317,'Yield &amp; Time'!A:L,12,0)),0)</f>
        <v>2.9333333333333331</v>
      </c>
      <c r="S317" s="11">
        <f t="shared" si="85"/>
        <v>2.4823333333333331</v>
      </c>
      <c r="T317" s="11">
        <f t="shared" si="86"/>
        <v>0.12222222222222222</v>
      </c>
      <c r="U317" s="11">
        <f>IF(A316=A317,0,VLOOKUP(A317,'Packing Time'!A:F,6,0))</f>
        <v>0.875</v>
      </c>
      <c r="V317" s="11">
        <f t="shared" si="97"/>
        <v>0.29618749999999999</v>
      </c>
      <c r="W317" s="11">
        <f t="shared" si="98"/>
        <v>1.4583333333333334E-2</v>
      </c>
      <c r="X317" s="11">
        <f t="shared" si="87"/>
        <v>3.0563729166666662</v>
      </c>
      <c r="Y317" s="11">
        <f t="shared" si="99"/>
        <v>3.0563729166666662</v>
      </c>
      <c r="Z317" s="37">
        <v>1</v>
      </c>
      <c r="AA317" s="36">
        <f t="shared" si="88"/>
        <v>3.6785714285714288</v>
      </c>
      <c r="AB317" s="36">
        <f t="shared" si="89"/>
        <v>2.7957142857142858</v>
      </c>
      <c r="AC317" s="11">
        <f t="shared" si="90"/>
        <v>0.1504861111111111</v>
      </c>
      <c r="AD317" s="36">
        <f t="shared" si="100"/>
        <v>3.0563729166666658</v>
      </c>
      <c r="AE317" s="36" t="str">
        <f>VLOOKUP(H317,'Yield &amp; Time'!A:R,18,0)</f>
        <v>SODIUM METABISULPHITE</v>
      </c>
      <c r="AF317" s="36">
        <f>IFERROR(VLOOKUP(AE317,'Chemical Cost'!A:D,4,0),0)</f>
        <v>9.7586225455882462E-3</v>
      </c>
      <c r="AG317" s="114">
        <f t="shared" si="91"/>
        <v>1.1965930026137968E-2</v>
      </c>
      <c r="AH317" s="36">
        <f t="shared" si="94"/>
        <v>1.1965930026137968E-2</v>
      </c>
      <c r="AI317" s="36">
        <f t="shared" si="101"/>
        <v>5.8640531324070899</v>
      </c>
      <c r="AJ317" s="36">
        <f>IFERROR(VLOOKUP(A317,'All Products'!A:F,6,0),0)</f>
        <v>9.4</v>
      </c>
      <c r="AK317" s="36">
        <f>AJ317*Z317*J317</f>
        <v>9.4</v>
      </c>
      <c r="AL317" s="23">
        <v>1</v>
      </c>
      <c r="AM317" s="23"/>
      <c r="AN317" s="54" t="e">
        <v>#N/A</v>
      </c>
      <c r="AO317" s="47"/>
      <c r="AP317" s="4">
        <v>1.1000000000000001</v>
      </c>
      <c r="AQ317" s="111">
        <f t="shared" si="92"/>
        <v>0.1504861111111111</v>
      </c>
      <c r="AR317">
        <f>_xlfn.XLOOKUP(F317,'RM Cost'!A:A,'RM Cost'!S:S)</f>
        <v>0</v>
      </c>
      <c r="AS317" t="str">
        <f>_xlfn.XLOOKUP(A317,[3]Sheet1!$B:$B,[3]Sheet1!$B:$B)</f>
        <v>1345CS</v>
      </c>
      <c r="AT317">
        <f>_xlfn.XLOOKUP(H317,'Yield &amp; Time'!A:A,'Yield &amp; Time'!F:F)</f>
        <v>0</v>
      </c>
    </row>
    <row r="318" spans="1:46" x14ac:dyDescent="0.25">
      <c r="A318" s="1" t="s">
        <v>442</v>
      </c>
      <c r="B318" s="2" t="s">
        <v>552</v>
      </c>
      <c r="C318" s="2" t="s">
        <v>607</v>
      </c>
      <c r="D318" s="2" t="s">
        <v>554</v>
      </c>
      <c r="E318" s="2">
        <v>2.5</v>
      </c>
      <c r="F318" s="1" t="str">
        <f>VLOOKUP(H318,'RM Used'!A:B,2,0)</f>
        <v>P0020</v>
      </c>
      <c r="G318" s="1" t="str">
        <f>IFERROR(VLOOKUP(F318,'RM Cost'!A:B,2,0),"")</f>
        <v>PALE BLUE BAG 430X430MM</v>
      </c>
      <c r="H318" s="2" t="s">
        <v>1659</v>
      </c>
      <c r="I318" s="1" t="str">
        <f>VLOOKUP(F318,'RM Used'!B:D,3,0)</f>
        <v>RM-PACKING</v>
      </c>
      <c r="J318" s="66">
        <v>1</v>
      </c>
      <c r="K318" s="35" t="str">
        <f t="shared" si="96"/>
        <v/>
      </c>
      <c r="L318" s="35">
        <f t="shared" si="84"/>
        <v>0</v>
      </c>
      <c r="M318" s="77" t="str" cm="1">
        <f t="array" ref="M318">_xlfn.IFS(BOM!I318="RM-PACKING","100%",B318="Reynolds",VLOOKUP(H318,'Yield &amp; Time'!A:V,22,0),BOM!B318="Dnata",VLOOKUP(BOM!H318,'Yield &amp; Time'!A:M,13,0),B318="NK",VLOOKUP(H318,'Yield &amp; Time'!A:X,24,0))</f>
        <v>100%</v>
      </c>
      <c r="N318" s="35">
        <f t="shared" si="103"/>
        <v>1</v>
      </c>
      <c r="O318" s="1" t="str">
        <f>VLOOKUP(H318,'RM Used'!A:E,5,0)</f>
        <v>Count</v>
      </c>
      <c r="P318" s="11">
        <f>VLOOKUP(H318,'RM Used'!A:F,6,0)</f>
        <v>0.09</v>
      </c>
      <c r="Q318" s="11">
        <f t="shared" si="93"/>
        <v>0.09</v>
      </c>
      <c r="R318" s="11">
        <f>IFERROR(IF(B318="Reynolds",VLOOKUP(H318,'Yield &amp; Time'!A:U,21,0),VLOOKUP(H318,'Yield &amp; Time'!A:L,12,0)),0)</f>
        <v>0</v>
      </c>
      <c r="S318" s="11">
        <f t="shared" si="85"/>
        <v>0</v>
      </c>
      <c r="T318" s="11">
        <f t="shared" si="86"/>
        <v>0</v>
      </c>
      <c r="U318" s="11">
        <f>IF(A317=A318,0,VLOOKUP(A318,'Packing Time'!A:F,6,0))</f>
        <v>0</v>
      </c>
      <c r="V318" s="11">
        <f t="shared" si="97"/>
        <v>0</v>
      </c>
      <c r="W318" s="11">
        <f t="shared" si="98"/>
        <v>0</v>
      </c>
      <c r="X318" s="11">
        <f t="shared" si="87"/>
        <v>0</v>
      </c>
      <c r="Y318" s="11">
        <f t="shared" si="99"/>
        <v>0</v>
      </c>
      <c r="Z318" s="37">
        <v>1</v>
      </c>
      <c r="AA318" s="36">
        <f t="shared" si="88"/>
        <v>1</v>
      </c>
      <c r="AB318" s="36">
        <f t="shared" si="89"/>
        <v>0.09</v>
      </c>
      <c r="AC318" s="11">
        <f t="shared" si="90"/>
        <v>0</v>
      </c>
      <c r="AD318" s="36">
        <f t="shared" si="100"/>
        <v>0</v>
      </c>
      <c r="AE318" s="36"/>
      <c r="AF318" s="36">
        <f>IFERROR(VLOOKUP(AE318,'Chemical Cost'!A:D,4,0),0)</f>
        <v>0</v>
      </c>
      <c r="AG318" s="114">
        <f t="shared" si="91"/>
        <v>0</v>
      </c>
      <c r="AH318" s="36">
        <f t="shared" si="94"/>
        <v>0</v>
      </c>
      <c r="AI318" s="36">
        <f t="shared" si="101"/>
        <v>0.09</v>
      </c>
      <c r="AJ318" s="36">
        <f>IFERROR(VLOOKUP(A318,'All Products'!A:F,6,0),0)</f>
        <v>9.4</v>
      </c>
      <c r="AK318" s="36"/>
      <c r="AL318" s="23">
        <v>1</v>
      </c>
      <c r="AM318" s="23"/>
      <c r="AN318" s="54" t="e">
        <v>#N/A</v>
      </c>
      <c r="AO318" s="47"/>
      <c r="AP318" s="4">
        <v>1.1000000000000001</v>
      </c>
      <c r="AQ318" s="111">
        <f t="shared" si="92"/>
        <v>0</v>
      </c>
      <c r="AR318">
        <f>_xlfn.XLOOKUP(F318,'RM Cost'!A:A,'RM Cost'!S:S)</f>
        <v>0</v>
      </c>
      <c r="AS318" t="str">
        <f>_xlfn.XLOOKUP(A318,[3]Sheet1!$B:$B,[3]Sheet1!$B:$B)</f>
        <v>1345CS</v>
      </c>
      <c r="AT318" t="e">
        <f>_xlfn.XLOOKUP(H318,'Yield &amp; Time'!A:A,'Yield &amp; Time'!F:F)</f>
        <v>#N/A</v>
      </c>
    </row>
    <row r="319" spans="1:46" x14ac:dyDescent="0.25">
      <c r="A319" s="1" t="s">
        <v>442</v>
      </c>
      <c r="B319" s="2" t="s">
        <v>552</v>
      </c>
      <c r="C319" s="2" t="s">
        <v>607</v>
      </c>
      <c r="D319" s="2" t="s">
        <v>554</v>
      </c>
      <c r="E319" s="2">
        <v>2.5</v>
      </c>
      <c r="F319" s="1" t="str">
        <f>VLOOKUP(H319,'RM Used'!A:B,2,0)</f>
        <v>P0016</v>
      </c>
      <c r="G319" s="1" t="str">
        <f>IFERROR(VLOOKUP(F319,'RM Cost'!A:B,2,0),"")</f>
        <v>REY 40 30 BOX</v>
      </c>
      <c r="H319" s="2" t="s">
        <v>1332</v>
      </c>
      <c r="I319" s="1" t="str">
        <f>VLOOKUP(F319,'RM Used'!B:D,3,0)</f>
        <v>RM-PACKING</v>
      </c>
      <c r="J319" s="66">
        <v>1</v>
      </c>
      <c r="K319" s="35" t="str">
        <f t="shared" si="96"/>
        <v/>
      </c>
      <c r="L319" s="35">
        <f t="shared" si="84"/>
        <v>0</v>
      </c>
      <c r="M319" s="77" t="str" cm="1">
        <f t="array" ref="M319">_xlfn.IFS(BOM!I319="RM-PACKING","100%",B319="Reynolds",VLOOKUP(H319,'Yield &amp; Time'!A:V,22,0),BOM!B319="Dnata",VLOOKUP(BOM!H319,'Yield &amp; Time'!A:M,13,0),B319="NK",VLOOKUP(H319,'Yield &amp; Time'!A:X,24,0))</f>
        <v>100%</v>
      </c>
      <c r="N319" s="35">
        <f t="shared" si="103"/>
        <v>1</v>
      </c>
      <c r="O319" s="1" t="str">
        <f>VLOOKUP(H319,'RM Used'!A:E,5,0)</f>
        <v>Count</v>
      </c>
      <c r="P319" s="11">
        <f>VLOOKUP(H319,'RM Used'!A:F,6,0)</f>
        <v>0.28000000000000003</v>
      </c>
      <c r="Q319" s="11">
        <f t="shared" si="93"/>
        <v>0.28000000000000003</v>
      </c>
      <c r="R319" s="11">
        <f>IFERROR(IF(B319="Reynolds",VLOOKUP(H319,'Yield &amp; Time'!A:U,21,0),VLOOKUP(H319,'Yield &amp; Time'!A:L,12,0)),0)</f>
        <v>0</v>
      </c>
      <c r="S319" s="11">
        <f t="shared" si="85"/>
        <v>0</v>
      </c>
      <c r="T319" s="11">
        <f t="shared" si="86"/>
        <v>0</v>
      </c>
      <c r="U319" s="11">
        <f>IF(A318=A319,0,VLOOKUP(A319,'Packing Time'!A:F,6,0))</f>
        <v>0</v>
      </c>
      <c r="V319" s="11">
        <f t="shared" si="97"/>
        <v>0</v>
      </c>
      <c r="W319" s="11">
        <f t="shared" si="98"/>
        <v>0</v>
      </c>
      <c r="X319" s="11">
        <f t="shared" si="87"/>
        <v>0</v>
      </c>
      <c r="Y319" s="11">
        <f t="shared" si="99"/>
        <v>0</v>
      </c>
      <c r="Z319" s="37">
        <v>1</v>
      </c>
      <c r="AA319" s="36">
        <f t="shared" si="88"/>
        <v>1</v>
      </c>
      <c r="AB319" s="36">
        <f t="shared" si="89"/>
        <v>0.28000000000000003</v>
      </c>
      <c r="AC319" s="11">
        <f t="shared" si="90"/>
        <v>0</v>
      </c>
      <c r="AD319" s="36">
        <f t="shared" si="100"/>
        <v>0</v>
      </c>
      <c r="AE319" s="36"/>
      <c r="AF319" s="36">
        <f>IFERROR(VLOOKUP(AE319,'Chemical Cost'!A:D,4,0),0)</f>
        <v>0</v>
      </c>
      <c r="AG319" s="114">
        <f t="shared" si="91"/>
        <v>0</v>
      </c>
      <c r="AH319" s="36">
        <f t="shared" si="94"/>
        <v>0</v>
      </c>
      <c r="AI319" s="36">
        <f t="shared" si="101"/>
        <v>0.28000000000000003</v>
      </c>
      <c r="AJ319" s="36">
        <f>IFERROR(VLOOKUP(A319,'All Products'!A:F,6,0),0)</f>
        <v>9.4</v>
      </c>
      <c r="AK319" s="36"/>
      <c r="AL319" s="23">
        <v>1</v>
      </c>
      <c r="AM319" s="23"/>
      <c r="AN319" s="54" t="e">
        <v>#N/A</v>
      </c>
      <c r="AO319" s="47"/>
      <c r="AP319" s="4">
        <v>1.1000000000000001</v>
      </c>
      <c r="AQ319" s="111">
        <f t="shared" si="92"/>
        <v>0</v>
      </c>
      <c r="AR319">
        <f>_xlfn.XLOOKUP(F319,'RM Cost'!A:A,'RM Cost'!S:S)</f>
        <v>0</v>
      </c>
      <c r="AS319" t="str">
        <f>_xlfn.XLOOKUP(A319,[3]Sheet1!$B:$B,[3]Sheet1!$B:$B)</f>
        <v>1345CS</v>
      </c>
      <c r="AT319" t="e">
        <f>_xlfn.XLOOKUP(H319,'Yield &amp; Time'!A:A,'Yield &amp; Time'!F:F)</f>
        <v>#N/A</v>
      </c>
    </row>
    <row r="320" spans="1:46" x14ac:dyDescent="0.25">
      <c r="A320" s="1" t="s">
        <v>74</v>
      </c>
      <c r="B320" s="2" t="s">
        <v>552</v>
      </c>
      <c r="C320" s="2" t="s">
        <v>608</v>
      </c>
      <c r="D320" s="2" t="s">
        <v>554</v>
      </c>
      <c r="E320" s="2">
        <v>1</v>
      </c>
      <c r="F320" s="1" t="str">
        <f>VLOOKUP(H320,'RM Used'!A:B,2,0)</f>
        <v>1318CS</v>
      </c>
      <c r="G320" s="1" t="str">
        <f>IFERROR(VLOOKUP(F320,'RM Cost'!A:B,2,0),"")</f>
        <v>RM - PREP ONION RED WHOLE 2.5KG</v>
      </c>
      <c r="H320" s="2" t="s">
        <v>1365</v>
      </c>
      <c r="I320" s="1" t="str">
        <f>VLOOKUP(F320,'RM Used'!B:D,3,0)</f>
        <v>RM-FOOD</v>
      </c>
      <c r="J320" s="66">
        <v>1</v>
      </c>
      <c r="K320" s="35">
        <f t="shared" si="96"/>
        <v>1</v>
      </c>
      <c r="L320" s="35">
        <f t="shared" si="84"/>
        <v>1</v>
      </c>
      <c r="M320" s="77" cm="1">
        <f t="array" ref="M320">_xlfn.IFS(BOM!I320="RM-PACKING","100%",B320="Reynolds",VLOOKUP(H320,'Yield &amp; Time'!A:V,22,0),BOM!B320="Dnata",VLOOKUP(BOM!H320,'Yield &amp; Time'!A:M,13,0),B320="NK",VLOOKUP(H320,'Yield &amp; Time'!A:X,24,0))</f>
        <v>0.86943999999999999</v>
      </c>
      <c r="N320" s="35">
        <f t="shared" si="103"/>
        <v>1.1501656238498343</v>
      </c>
      <c r="O320" s="1" t="str">
        <f>VLOOKUP(H320,'RM Used'!A:E,5,0)</f>
        <v>KG</v>
      </c>
      <c r="P320" s="11">
        <f>VLOOKUP(H320,'RM Used'!A:F,6,0)</f>
        <v>1.08</v>
      </c>
      <c r="Q320" s="11">
        <f t="shared" si="93"/>
        <v>1.2421788737578212</v>
      </c>
      <c r="R320" s="11">
        <f>IFERROR(IF(B320="Reynolds",VLOOKUP(H320,'Yield &amp; Time'!A:U,21,0),VLOOKUP(H320,'Yield &amp; Time'!A:L,12,0)),0)</f>
        <v>0.91999999999999993</v>
      </c>
      <c r="S320" s="11">
        <f t="shared" si="85"/>
        <v>0.31141999999999992</v>
      </c>
      <c r="T320" s="11">
        <f t="shared" si="86"/>
        <v>1.5333333333333332E-2</v>
      </c>
      <c r="U320" s="11">
        <f>IF(A319=A320,0,VLOOKUP(A320,'Packing Time'!A:F,6,0))</f>
        <v>1.75</v>
      </c>
      <c r="V320" s="11">
        <f t="shared" si="97"/>
        <v>0.59237499999999998</v>
      </c>
      <c r="W320" s="11">
        <f t="shared" si="98"/>
        <v>2.9166666666666667E-2</v>
      </c>
      <c r="X320" s="11">
        <f t="shared" si="87"/>
        <v>1.1297437499999998</v>
      </c>
      <c r="Y320" s="11">
        <f t="shared" si="99"/>
        <v>1.1297437499999998</v>
      </c>
      <c r="Z320" s="37">
        <v>1</v>
      </c>
      <c r="AA320" s="36">
        <f t="shared" si="88"/>
        <v>1.1501656238498343</v>
      </c>
      <c r="AB320" s="36">
        <f t="shared" si="89"/>
        <v>1.2421788737578212</v>
      </c>
      <c r="AC320" s="11">
        <f t="shared" si="90"/>
        <v>5.5624999999999994E-2</v>
      </c>
      <c r="AD320" s="36">
        <f t="shared" si="100"/>
        <v>1.1297437499999996</v>
      </c>
      <c r="AE320" s="36" t="str">
        <f>VLOOKUP(H320,'Yield &amp; Time'!A:R,18,0)</f>
        <v>CHLORINE</v>
      </c>
      <c r="AF320" s="36">
        <f>IFERROR(VLOOKUP(AE320,'Chemical Cost'!A:D,4,0),0)</f>
        <v>2.7756518066439469E-2</v>
      </c>
      <c r="AG320" s="114">
        <f t="shared" si="91"/>
        <v>1.0641530972595183E-2</v>
      </c>
      <c r="AH320" s="36">
        <f t="shared" si="94"/>
        <v>1.0641530972595183E-2</v>
      </c>
      <c r="AI320" s="36">
        <f t="shared" si="101"/>
        <v>2.3825641547304164</v>
      </c>
      <c r="AJ320" s="36">
        <f>IFERROR(VLOOKUP(A320,'All Products'!A:F,6,0),0)</f>
        <v>2.62</v>
      </c>
      <c r="AK320" s="36">
        <f>AJ320*Z320*J320</f>
        <v>2.62</v>
      </c>
      <c r="AL320" s="23">
        <v>0.8</v>
      </c>
      <c r="AM320" s="23">
        <v>0.2</v>
      </c>
      <c r="AN320" s="54" t="e">
        <v>#N/A</v>
      </c>
      <c r="AO320" s="47"/>
      <c r="AP320" s="4">
        <v>1.25</v>
      </c>
      <c r="AQ320" s="111">
        <f t="shared" si="92"/>
        <v>5.5624999999999994E-2</v>
      </c>
      <c r="AR320">
        <f>_xlfn.XLOOKUP(F320,'RM Cost'!A:A,'RM Cost'!S:S)</f>
        <v>0</v>
      </c>
      <c r="AS320" t="str">
        <f>_xlfn.XLOOKUP(A320,[3]Sheet1!$B:$B,[3]Sheet1!$B:$B)</f>
        <v>715ACS</v>
      </c>
      <c r="AT320" t="str">
        <f>_xlfn.XLOOKUP(H320,'Yield &amp; Time'!A:A,'Yield &amp; Time'!O:O)</f>
        <v>Yes</v>
      </c>
    </row>
    <row r="321" spans="1:46" x14ac:dyDescent="0.25">
      <c r="A321" s="1" t="s">
        <v>74</v>
      </c>
      <c r="B321" s="2" t="s">
        <v>552</v>
      </c>
      <c r="C321" s="2" t="s">
        <v>608</v>
      </c>
      <c r="D321" s="2" t="s">
        <v>554</v>
      </c>
      <c r="E321" s="2">
        <v>1</v>
      </c>
      <c r="F321" s="1" t="str">
        <f>VLOOKUP(H321,'RM Used'!A:B,2,0)</f>
        <v>P0017</v>
      </c>
      <c r="G321" s="1" t="str">
        <f>IFERROR(VLOOKUP(F321,'RM Cost'!A:B,2,0),"")</f>
        <v>PALE BLUE BAG 250X300MM</v>
      </c>
      <c r="H321" s="2" t="s">
        <v>1334</v>
      </c>
      <c r="I321" s="1" t="str">
        <f>VLOOKUP(F321,'RM Used'!B:D,3,0)</f>
        <v>RM-PACKING</v>
      </c>
      <c r="J321" s="66">
        <v>1</v>
      </c>
      <c r="K321" s="35" t="str">
        <f t="shared" si="96"/>
        <v/>
      </c>
      <c r="L321" s="35">
        <f t="shared" si="84"/>
        <v>0</v>
      </c>
      <c r="M321" s="77" t="str" cm="1">
        <f t="array" ref="M321">_xlfn.IFS(BOM!I321="RM-PACKING","100%",B321="Reynolds",VLOOKUP(H321,'Yield &amp; Time'!A:V,22,0),BOM!B321="Dnata",VLOOKUP(BOM!H321,'Yield &amp; Time'!A:M,13,0),B321="NK",VLOOKUP(H321,'Yield &amp; Time'!A:X,24,0))</f>
        <v>100%</v>
      </c>
      <c r="N321" s="35">
        <v>4</v>
      </c>
      <c r="O321" s="1" t="str">
        <f>VLOOKUP(H321,'RM Used'!A:E,5,0)</f>
        <v>Count</v>
      </c>
      <c r="P321" s="11">
        <f>VLOOKUP(H321,'RM Used'!A:F,6,0)</f>
        <v>0.05</v>
      </c>
      <c r="Q321" s="11">
        <f t="shared" si="93"/>
        <v>0.2</v>
      </c>
      <c r="R321" s="11">
        <f>IFERROR(IF(B321="Reynolds",VLOOKUP(H321,'Yield &amp; Time'!A:U,21,0),VLOOKUP(H321,'Yield &amp; Time'!A:L,12,0)),0)</f>
        <v>0</v>
      </c>
      <c r="S321" s="11">
        <f t="shared" si="85"/>
        <v>0</v>
      </c>
      <c r="T321" s="11">
        <f t="shared" si="86"/>
        <v>0</v>
      </c>
      <c r="U321" s="11">
        <f>IF(A320=A321,0,VLOOKUP(A321,'Packing Time'!A:F,6,0))</f>
        <v>0</v>
      </c>
      <c r="V321" s="11">
        <f t="shared" si="97"/>
        <v>0</v>
      </c>
      <c r="W321" s="11">
        <f t="shared" si="98"/>
        <v>0</v>
      </c>
      <c r="X321" s="11">
        <f t="shared" si="87"/>
        <v>0</v>
      </c>
      <c r="Y321" s="11">
        <f t="shared" si="99"/>
        <v>0</v>
      </c>
      <c r="Z321" s="37">
        <v>1</v>
      </c>
      <c r="AA321" s="36">
        <f t="shared" si="88"/>
        <v>4</v>
      </c>
      <c r="AB321" s="36">
        <f t="shared" si="89"/>
        <v>0.2</v>
      </c>
      <c r="AC321" s="11">
        <f t="shared" si="90"/>
        <v>0</v>
      </c>
      <c r="AD321" s="36">
        <f t="shared" si="100"/>
        <v>0</v>
      </c>
      <c r="AE321" s="36"/>
      <c r="AF321" s="36">
        <f>IFERROR(VLOOKUP(AE321,'Chemical Cost'!A:D,4,0),0)</f>
        <v>0</v>
      </c>
      <c r="AG321" s="114">
        <f t="shared" si="91"/>
        <v>0</v>
      </c>
      <c r="AH321" s="36">
        <f t="shared" si="94"/>
        <v>0</v>
      </c>
      <c r="AI321" s="36">
        <f t="shared" si="101"/>
        <v>0.2</v>
      </c>
      <c r="AJ321" s="36">
        <f>IFERROR(VLOOKUP(A321,'All Products'!A:F,6,0),0)</f>
        <v>2.62</v>
      </c>
      <c r="AK321" s="36"/>
      <c r="AL321" s="23">
        <v>0.8</v>
      </c>
      <c r="AM321" s="23">
        <v>0.2</v>
      </c>
      <c r="AN321" s="54" t="e">
        <v>#N/A</v>
      </c>
      <c r="AO321" s="47"/>
      <c r="AP321" s="4">
        <v>1.25</v>
      </c>
      <c r="AQ321" s="111">
        <f t="shared" si="92"/>
        <v>0</v>
      </c>
      <c r="AR321">
        <f>_xlfn.XLOOKUP(F321,'RM Cost'!A:A,'RM Cost'!S:S)</f>
        <v>0</v>
      </c>
      <c r="AS321" t="str">
        <f>_xlfn.XLOOKUP(A321,[3]Sheet1!$B:$B,[3]Sheet1!$B:$B)</f>
        <v>715ACS</v>
      </c>
      <c r="AT321" t="e">
        <f>_xlfn.XLOOKUP(H321,'Yield &amp; Time'!A:A,'Yield &amp; Time'!F:F)</f>
        <v>#N/A</v>
      </c>
    </row>
    <row r="322" spans="1:46" x14ac:dyDescent="0.25">
      <c r="A322" s="1" t="s">
        <v>74</v>
      </c>
      <c r="B322" s="2" t="s">
        <v>552</v>
      </c>
      <c r="C322" s="2" t="s">
        <v>608</v>
      </c>
      <c r="D322" s="2" t="s">
        <v>554</v>
      </c>
      <c r="E322" s="2">
        <v>1</v>
      </c>
      <c r="F322" s="1" t="str">
        <f>VLOOKUP(H322,'RM Used'!A:B,2,0)</f>
        <v>P0016</v>
      </c>
      <c r="G322" s="1" t="str">
        <f>IFERROR(VLOOKUP(F322,'RM Cost'!A:B,2,0),"")</f>
        <v>REY 40 30 BOX</v>
      </c>
      <c r="H322" s="2" t="s">
        <v>1332</v>
      </c>
      <c r="I322" s="1" t="str">
        <f>VLOOKUP(F322,'RM Used'!B:D,3,0)</f>
        <v>RM-PACKING</v>
      </c>
      <c r="J322" s="66">
        <v>1</v>
      </c>
      <c r="K322" s="35" t="str">
        <f t="shared" si="96"/>
        <v/>
      </c>
      <c r="L322" s="35">
        <f t="shared" ref="L322:L385" si="104">IFERROR(K322*Z322,0)</f>
        <v>0</v>
      </c>
      <c r="M322" s="77" t="str" cm="1">
        <f t="array" ref="M322">_xlfn.IFS(BOM!I322="RM-PACKING","100%",B322="Reynolds",VLOOKUP(H322,'Yield &amp; Time'!A:V,22,0),BOM!B322="Dnata",VLOOKUP(BOM!H322,'Yield &amp; Time'!A:M,13,0),B322="NK",VLOOKUP(H322,'Yield &amp; Time'!A:X,24,0))</f>
        <v>100%</v>
      </c>
      <c r="N322" s="35">
        <f t="shared" ref="N322:N353" si="105">IFERROR(IF(I322="RM-FOOD",(E322*J322)/M322,1),0)</f>
        <v>1</v>
      </c>
      <c r="O322" s="1" t="str">
        <f>VLOOKUP(H322,'RM Used'!A:E,5,0)</f>
        <v>Count</v>
      </c>
      <c r="P322" s="11">
        <f>VLOOKUP(H322,'RM Used'!A:F,6,0)</f>
        <v>0.28000000000000003</v>
      </c>
      <c r="Q322" s="11">
        <f t="shared" si="93"/>
        <v>0.28000000000000003</v>
      </c>
      <c r="R322" s="11">
        <f>IFERROR(IF(B322="Reynolds",VLOOKUP(H322,'Yield &amp; Time'!A:U,21,0),VLOOKUP(H322,'Yield &amp; Time'!A:L,12,0)),0)</f>
        <v>0</v>
      </c>
      <c r="S322" s="11">
        <f t="shared" ref="S322:S385" si="106">R322*J322*E322*AO$1</f>
        <v>0</v>
      </c>
      <c r="T322" s="11">
        <f t="shared" ref="T322:T385" si="107">(R322*Z322*J322*E322)/60</f>
        <v>0</v>
      </c>
      <c r="U322" s="11">
        <f>IF(A321=A322,0,VLOOKUP(A322,'Packing Time'!A:F,6,0))</f>
        <v>0</v>
      </c>
      <c r="V322" s="11">
        <f t="shared" si="97"/>
        <v>0</v>
      </c>
      <c r="W322" s="11">
        <f t="shared" si="98"/>
        <v>0</v>
      </c>
      <c r="X322" s="11">
        <f t="shared" ref="X322:X385" si="108">((R322*J322*E322)+U322)*AO$1*AP322</f>
        <v>0</v>
      </c>
      <c r="Y322" s="11">
        <f t="shared" si="99"/>
        <v>0</v>
      </c>
      <c r="Z322" s="37">
        <v>1</v>
      </c>
      <c r="AA322" s="36">
        <f t="shared" ref="AA322:AA385" si="109">Z322*N322</f>
        <v>1</v>
      </c>
      <c r="AB322" s="36">
        <f t="shared" ref="AB322:AB385" si="110">AA322*P322</f>
        <v>0.28000000000000003</v>
      </c>
      <c r="AC322" s="11">
        <f t="shared" ref="AC322:AC385" si="111">(((R322*J322*E322)+U322)/60)*Z322*AP322</f>
        <v>0</v>
      </c>
      <c r="AD322" s="36">
        <f t="shared" si="100"/>
        <v>0</v>
      </c>
      <c r="AE322" s="36"/>
      <c r="AF322" s="36">
        <f>IFERROR(VLOOKUP(AE322,'Chemical Cost'!A:D,4,0),0)</f>
        <v>0</v>
      </c>
      <c r="AG322" s="114">
        <f t="shared" ref="AG322:AG385" si="112">AF322*N322/3</f>
        <v>0</v>
      </c>
      <c r="AH322" s="36">
        <f t="shared" si="94"/>
        <v>0</v>
      </c>
      <c r="AI322" s="36">
        <f t="shared" si="101"/>
        <v>0.28000000000000003</v>
      </c>
      <c r="AJ322" s="36">
        <f>IFERROR(VLOOKUP(A322,'All Products'!A:F,6,0),0)</f>
        <v>2.62</v>
      </c>
      <c r="AK322" s="36"/>
      <c r="AL322" s="23">
        <v>0.8</v>
      </c>
      <c r="AM322" s="23">
        <v>0.2</v>
      </c>
      <c r="AN322" s="54" t="e">
        <v>#N/A</v>
      </c>
      <c r="AO322" s="47"/>
      <c r="AP322" s="4">
        <v>1.25</v>
      </c>
      <c r="AQ322" s="111">
        <f t="shared" ref="AQ322:AQ385" si="113">(((R322*J322*E322)+U322)/60)*AP322</f>
        <v>0</v>
      </c>
      <c r="AR322">
        <f>_xlfn.XLOOKUP(F322,'RM Cost'!A:A,'RM Cost'!S:S)</f>
        <v>0</v>
      </c>
      <c r="AS322" t="str">
        <f>_xlfn.XLOOKUP(A322,[3]Sheet1!$B:$B,[3]Sheet1!$B:$B)</f>
        <v>715ACS</v>
      </c>
      <c r="AT322" t="e">
        <f>_xlfn.XLOOKUP(H322,'Yield &amp; Time'!A:A,'Yield &amp; Time'!F:F)</f>
        <v>#N/A</v>
      </c>
    </row>
    <row r="323" spans="1:46" x14ac:dyDescent="0.25">
      <c r="A323" s="1" t="s">
        <v>87</v>
      </c>
      <c r="B323" s="2" t="s">
        <v>552</v>
      </c>
      <c r="C323" s="2" t="s">
        <v>609</v>
      </c>
      <c r="D323" s="2" t="s">
        <v>554</v>
      </c>
      <c r="E323" s="2">
        <v>2.5</v>
      </c>
      <c r="F323" s="1" t="str">
        <f>VLOOKUP(H323,'RM Used'!A:B,2,0)</f>
        <v>3277CS</v>
      </c>
      <c r="G323" s="1" t="str">
        <f>IFERROR(VLOOKUP(F323,'RM Cost'!A:B,2,0),"")</f>
        <v>RM - SWEDE 12.5KG</v>
      </c>
      <c r="H323" s="2" t="s">
        <v>1657</v>
      </c>
      <c r="I323" s="1" t="str">
        <f>VLOOKUP(F323,'RM Used'!B:D,3,0)</f>
        <v>RM-FOOD</v>
      </c>
      <c r="J323" s="66">
        <v>1</v>
      </c>
      <c r="K323" s="35">
        <f t="shared" si="96"/>
        <v>2.5</v>
      </c>
      <c r="L323" s="35">
        <f t="shared" si="104"/>
        <v>2.5</v>
      </c>
      <c r="M323" s="77" cm="1">
        <f t="array" ref="M323">_xlfn.IFS(BOM!I323="RM-PACKING","100%",B323="Reynolds",VLOOKUP(H323,'Yield &amp; Time'!A:V,22,0),BOM!B323="Dnata",VLOOKUP(BOM!H323,'Yield &amp; Time'!A:M,13,0),B323="NK",VLOOKUP(H323,'Yield &amp; Time'!A:X,24,0))</f>
        <v>0.82926829268292668</v>
      </c>
      <c r="N323" s="35">
        <f t="shared" si="105"/>
        <v>3.0147058823529416</v>
      </c>
      <c r="O323" s="1" t="str">
        <f>VLOOKUP(H323,'RM Used'!A:E,5,0)</f>
        <v>KG</v>
      </c>
      <c r="P323" s="11">
        <f>VLOOKUP(H323,'RM Used'!A:F,6,0)</f>
        <v>0.52</v>
      </c>
      <c r="Q323" s="11">
        <f t="shared" ref="Q323:Q386" si="114">P323*N323</f>
        <v>1.5676470588235296</v>
      </c>
      <c r="R323" s="11">
        <f>IFERROR(IF(B323="Reynolds",VLOOKUP(H323,'Yield &amp; Time'!A:U,21,0),VLOOKUP(H323,'Yield &amp; Time'!A:L,12,0)),0)</f>
        <v>1.8982665529980109</v>
      </c>
      <c r="S323" s="11">
        <f t="shared" si="106"/>
        <v>1.6064080704745667</v>
      </c>
      <c r="T323" s="11">
        <f t="shared" si="107"/>
        <v>7.9094439708250461E-2</v>
      </c>
      <c r="U323" s="11">
        <f>IF(A322=A323,0,VLOOKUP(A323,'Packing Time'!A:F,6,0))</f>
        <v>0.875</v>
      </c>
      <c r="V323" s="11">
        <f t="shared" si="97"/>
        <v>0.29618749999999999</v>
      </c>
      <c r="W323" s="11">
        <f t="shared" si="98"/>
        <v>1.4583333333333334E-2</v>
      </c>
      <c r="X323" s="11">
        <f t="shared" si="108"/>
        <v>2.6636337986643932</v>
      </c>
      <c r="Y323" s="11">
        <f t="shared" si="99"/>
        <v>2.6636337986643932</v>
      </c>
      <c r="Z323" s="37">
        <v>1</v>
      </c>
      <c r="AA323" s="36">
        <f t="shared" si="109"/>
        <v>3.0147058823529416</v>
      </c>
      <c r="AB323" s="36">
        <f t="shared" si="110"/>
        <v>1.5676470588235296</v>
      </c>
      <c r="AC323" s="11">
        <f t="shared" si="111"/>
        <v>0.1311488822582173</v>
      </c>
      <c r="AD323" s="36">
        <f t="shared" si="100"/>
        <v>2.6636337986643932</v>
      </c>
      <c r="AE323" s="36"/>
      <c r="AF323" s="36">
        <f>IFERROR(VLOOKUP(AE323,'Chemical Cost'!A:D,4,0),0)</f>
        <v>0</v>
      </c>
      <c r="AG323" s="114">
        <f t="shared" si="112"/>
        <v>0</v>
      </c>
      <c r="AH323" s="36">
        <f t="shared" si="94"/>
        <v>0</v>
      </c>
      <c r="AI323" s="36">
        <f t="shared" si="101"/>
        <v>4.2312808574879224</v>
      </c>
      <c r="AJ323" s="36">
        <f>IFERROR(VLOOKUP(A323,'All Products'!A:F,6,0),0)</f>
        <v>4.8899999999999997</v>
      </c>
      <c r="AK323" s="36">
        <f>AJ323*Z323*J323</f>
        <v>4.8899999999999997</v>
      </c>
      <c r="AL323" s="23">
        <v>1</v>
      </c>
      <c r="AM323" s="23"/>
      <c r="AN323" s="54" t="e">
        <v>#N/A</v>
      </c>
      <c r="AO323" s="47"/>
      <c r="AP323" s="4">
        <v>1.4</v>
      </c>
      <c r="AQ323" s="111">
        <f t="shared" si="113"/>
        <v>0.1311488822582173</v>
      </c>
      <c r="AR323">
        <f>_xlfn.XLOOKUP(F323,'RM Cost'!A:A,'RM Cost'!S:S)</f>
        <v>0</v>
      </c>
      <c r="AS323" t="str">
        <f>_xlfn.XLOOKUP(A323,[3]Sheet1!$B:$B,[3]Sheet1!$B:$B)</f>
        <v>1400CS</v>
      </c>
      <c r="AT323">
        <f>_xlfn.XLOOKUP(H323,'Yield &amp; Time'!A:A,'Yield &amp; Time'!F:F)</f>
        <v>0</v>
      </c>
    </row>
    <row r="324" spans="1:46" x14ac:dyDescent="0.25">
      <c r="A324" s="1" t="s">
        <v>87</v>
      </c>
      <c r="B324" s="2" t="s">
        <v>552</v>
      </c>
      <c r="C324" s="2" t="s">
        <v>609</v>
      </c>
      <c r="D324" s="2" t="s">
        <v>554</v>
      </c>
      <c r="E324" s="2">
        <v>2.5</v>
      </c>
      <c r="F324" s="1" t="str">
        <f>VLOOKUP(H324,'RM Used'!A:B,2,0)</f>
        <v>P0020</v>
      </c>
      <c r="G324" s="1" t="str">
        <f>IFERROR(VLOOKUP(F324,'RM Cost'!A:B,2,0),"")</f>
        <v>PALE BLUE BAG 430X430MM</v>
      </c>
      <c r="H324" s="2" t="s">
        <v>1659</v>
      </c>
      <c r="I324" s="1" t="str">
        <f>VLOOKUP(F324,'RM Used'!B:D,3,0)</f>
        <v>RM-PACKING</v>
      </c>
      <c r="J324" s="66">
        <v>1</v>
      </c>
      <c r="K324" s="35" t="str">
        <f t="shared" si="96"/>
        <v/>
      </c>
      <c r="L324" s="35">
        <f t="shared" si="104"/>
        <v>0</v>
      </c>
      <c r="M324" s="77" t="str" cm="1">
        <f t="array" ref="M324">_xlfn.IFS(BOM!I324="RM-PACKING","100%",B324="Reynolds",VLOOKUP(H324,'Yield &amp; Time'!A:V,22,0),BOM!B324="Dnata",VLOOKUP(BOM!H324,'Yield &amp; Time'!A:M,13,0),B324="NK",VLOOKUP(H324,'Yield &amp; Time'!A:X,24,0))</f>
        <v>100%</v>
      </c>
      <c r="N324" s="35">
        <f t="shared" si="105"/>
        <v>1</v>
      </c>
      <c r="O324" s="1" t="str">
        <f>VLOOKUP(H324,'RM Used'!A:E,5,0)</f>
        <v>Count</v>
      </c>
      <c r="P324" s="11">
        <f>VLOOKUP(H324,'RM Used'!A:F,6,0)</f>
        <v>0.09</v>
      </c>
      <c r="Q324" s="11">
        <f t="shared" si="114"/>
        <v>0.09</v>
      </c>
      <c r="R324" s="11">
        <f>IFERROR(IF(B324="Reynolds",VLOOKUP(H324,'Yield &amp; Time'!A:U,21,0),VLOOKUP(H324,'Yield &amp; Time'!A:L,12,0)),0)</f>
        <v>0</v>
      </c>
      <c r="S324" s="11">
        <f t="shared" si="106"/>
        <v>0</v>
      </c>
      <c r="T324" s="11">
        <f t="shared" si="107"/>
        <v>0</v>
      </c>
      <c r="U324" s="11">
        <f>IF(A323=A324,0,VLOOKUP(A324,'Packing Time'!A:F,6,0))</f>
        <v>0</v>
      </c>
      <c r="V324" s="11">
        <f t="shared" si="97"/>
        <v>0</v>
      </c>
      <c r="W324" s="11">
        <f t="shared" si="98"/>
        <v>0</v>
      </c>
      <c r="X324" s="11">
        <f t="shared" si="108"/>
        <v>0</v>
      </c>
      <c r="Y324" s="11">
        <f t="shared" si="99"/>
        <v>0</v>
      </c>
      <c r="Z324" s="37">
        <v>1</v>
      </c>
      <c r="AA324" s="36">
        <f t="shared" si="109"/>
        <v>1</v>
      </c>
      <c r="AB324" s="36">
        <f t="shared" si="110"/>
        <v>0.09</v>
      </c>
      <c r="AC324" s="11">
        <f t="shared" si="111"/>
        <v>0</v>
      </c>
      <c r="AD324" s="36">
        <f t="shared" si="100"/>
        <v>0</v>
      </c>
      <c r="AE324" s="36"/>
      <c r="AF324" s="36">
        <f>IFERROR(VLOOKUP(AE324,'Chemical Cost'!A:D,4,0),0)</f>
        <v>0</v>
      </c>
      <c r="AG324" s="114">
        <f t="shared" si="112"/>
        <v>0</v>
      </c>
      <c r="AH324" s="36">
        <f t="shared" si="94"/>
        <v>0</v>
      </c>
      <c r="AI324" s="36">
        <f t="shared" si="101"/>
        <v>0.09</v>
      </c>
      <c r="AJ324" s="36">
        <f>IFERROR(VLOOKUP(A324,'All Products'!A:F,6,0),0)</f>
        <v>4.8899999999999997</v>
      </c>
      <c r="AK324" s="36"/>
      <c r="AL324" s="23">
        <v>1</v>
      </c>
      <c r="AM324" s="23"/>
      <c r="AN324" s="54" t="e">
        <v>#N/A</v>
      </c>
      <c r="AO324" s="47"/>
      <c r="AP324" s="4">
        <v>1.4</v>
      </c>
      <c r="AQ324" s="111">
        <f t="shared" si="113"/>
        <v>0</v>
      </c>
      <c r="AR324">
        <f>_xlfn.XLOOKUP(F324,'RM Cost'!A:A,'RM Cost'!S:S)</f>
        <v>0</v>
      </c>
      <c r="AS324" t="str">
        <f>_xlfn.XLOOKUP(A324,[3]Sheet1!$B:$B,[3]Sheet1!$B:$B)</f>
        <v>1400CS</v>
      </c>
      <c r="AT324" t="e">
        <f>_xlfn.XLOOKUP(H324,'Yield &amp; Time'!A:A,'Yield &amp; Time'!F:F)</f>
        <v>#N/A</v>
      </c>
    </row>
    <row r="325" spans="1:46" x14ac:dyDescent="0.25">
      <c r="A325" s="1" t="s">
        <v>87</v>
      </c>
      <c r="B325" s="2" t="s">
        <v>552</v>
      </c>
      <c r="C325" s="2" t="s">
        <v>609</v>
      </c>
      <c r="D325" s="2" t="s">
        <v>554</v>
      </c>
      <c r="E325" s="2">
        <v>2.5</v>
      </c>
      <c r="F325" s="1" t="str">
        <f>VLOOKUP(H325,'RM Used'!A:B,2,0)</f>
        <v>P0016</v>
      </c>
      <c r="G325" s="1" t="str">
        <f>IFERROR(VLOOKUP(F325,'RM Cost'!A:B,2,0),"")</f>
        <v>REY 40 30 BOX</v>
      </c>
      <c r="H325" s="2" t="s">
        <v>1332</v>
      </c>
      <c r="I325" s="1" t="str">
        <f>VLOOKUP(F325,'RM Used'!B:D,3,0)</f>
        <v>RM-PACKING</v>
      </c>
      <c r="J325" s="66">
        <v>1</v>
      </c>
      <c r="K325" s="35" t="str">
        <f t="shared" si="96"/>
        <v/>
      </c>
      <c r="L325" s="35">
        <f t="shared" si="104"/>
        <v>0</v>
      </c>
      <c r="M325" s="77" t="str" cm="1">
        <f t="array" ref="M325">_xlfn.IFS(BOM!I325="RM-PACKING","100%",B325="Reynolds",VLOOKUP(H325,'Yield &amp; Time'!A:V,22,0),BOM!B325="Dnata",VLOOKUP(BOM!H325,'Yield &amp; Time'!A:M,13,0),B325="NK",VLOOKUP(H325,'Yield &amp; Time'!A:X,24,0))</f>
        <v>100%</v>
      </c>
      <c r="N325" s="35">
        <f t="shared" si="105"/>
        <v>1</v>
      </c>
      <c r="O325" s="1" t="str">
        <f>VLOOKUP(H325,'RM Used'!A:E,5,0)</f>
        <v>Count</v>
      </c>
      <c r="P325" s="11">
        <f>VLOOKUP(H325,'RM Used'!A:F,6,0)</f>
        <v>0.28000000000000003</v>
      </c>
      <c r="Q325" s="11">
        <f t="shared" si="114"/>
        <v>0.28000000000000003</v>
      </c>
      <c r="R325" s="11">
        <f>IFERROR(IF(B325="Reynolds",VLOOKUP(H325,'Yield &amp; Time'!A:U,21,0),VLOOKUP(H325,'Yield &amp; Time'!A:L,12,0)),0)</f>
        <v>0</v>
      </c>
      <c r="S325" s="11">
        <f t="shared" si="106"/>
        <v>0</v>
      </c>
      <c r="T325" s="11">
        <f t="shared" si="107"/>
        <v>0</v>
      </c>
      <c r="U325" s="11">
        <f>IF(A324=A325,0,VLOOKUP(A325,'Packing Time'!A:F,6,0))</f>
        <v>0</v>
      </c>
      <c r="V325" s="11">
        <f t="shared" si="97"/>
        <v>0</v>
      </c>
      <c r="W325" s="11">
        <f t="shared" si="98"/>
        <v>0</v>
      </c>
      <c r="X325" s="11">
        <f t="shared" si="108"/>
        <v>0</v>
      </c>
      <c r="Y325" s="11">
        <f t="shared" si="99"/>
        <v>0</v>
      </c>
      <c r="Z325" s="37">
        <v>1</v>
      </c>
      <c r="AA325" s="36">
        <f t="shared" si="109"/>
        <v>1</v>
      </c>
      <c r="AB325" s="36">
        <f t="shared" si="110"/>
        <v>0.28000000000000003</v>
      </c>
      <c r="AC325" s="11">
        <f t="shared" si="111"/>
        <v>0</v>
      </c>
      <c r="AD325" s="36">
        <f t="shared" si="100"/>
        <v>0</v>
      </c>
      <c r="AE325" s="36"/>
      <c r="AF325" s="36">
        <f>IFERROR(VLOOKUP(AE325,'Chemical Cost'!A:D,4,0),0)</f>
        <v>0</v>
      </c>
      <c r="AG325" s="114">
        <f t="shared" si="112"/>
        <v>0</v>
      </c>
      <c r="AH325" s="36">
        <f t="shared" si="94"/>
        <v>0</v>
      </c>
      <c r="AI325" s="36">
        <f t="shared" si="101"/>
        <v>0.28000000000000003</v>
      </c>
      <c r="AJ325" s="36">
        <f>IFERROR(VLOOKUP(A325,'All Products'!A:F,6,0),0)</f>
        <v>4.8899999999999997</v>
      </c>
      <c r="AK325" s="36"/>
      <c r="AL325" s="23">
        <v>1</v>
      </c>
      <c r="AM325" s="23"/>
      <c r="AN325" s="54" t="e">
        <v>#N/A</v>
      </c>
      <c r="AO325" s="47"/>
      <c r="AP325" s="4">
        <v>1.4</v>
      </c>
      <c r="AQ325" s="111">
        <f t="shared" si="113"/>
        <v>0</v>
      </c>
      <c r="AR325">
        <f>_xlfn.XLOOKUP(F325,'RM Cost'!A:A,'RM Cost'!S:S)</f>
        <v>0</v>
      </c>
      <c r="AS325" t="str">
        <f>_xlfn.XLOOKUP(A325,[3]Sheet1!$B:$B,[3]Sheet1!$B:$B)</f>
        <v>1400CS</v>
      </c>
      <c r="AT325" t="e">
        <f>_xlfn.XLOOKUP(H325,'Yield &amp; Time'!A:A,'Yield &amp; Time'!F:F)</f>
        <v>#N/A</v>
      </c>
    </row>
    <row r="326" spans="1:46" x14ac:dyDescent="0.25">
      <c r="A326" s="1" t="s">
        <v>514</v>
      </c>
      <c r="B326" s="2" t="s">
        <v>552</v>
      </c>
      <c r="C326" s="2" t="s">
        <v>612</v>
      </c>
      <c r="D326" s="2" t="s">
        <v>554</v>
      </c>
      <c r="E326" s="2">
        <v>2</v>
      </c>
      <c r="F326" s="1" t="str">
        <f>VLOOKUP(H326,'RM Used'!A:B,2,0)</f>
        <v>206ACS</v>
      </c>
      <c r="G326" s="1" t="str">
        <f>IFERROR(VLOOKUP(F326,'RM Cost'!A:B,2,0),"")</f>
        <v>RM - PREP ONION WHOLE 10KG</v>
      </c>
      <c r="H326" s="2" t="s">
        <v>1435</v>
      </c>
      <c r="I326" s="1" t="str">
        <f>VLOOKUP(F326,'RM Used'!B:D,3,0)</f>
        <v>RM-FOOD</v>
      </c>
      <c r="J326" s="66">
        <v>1</v>
      </c>
      <c r="K326" s="35">
        <f t="shared" si="96"/>
        <v>2</v>
      </c>
      <c r="L326" s="35">
        <f t="shared" si="104"/>
        <v>2</v>
      </c>
      <c r="M326" s="77" cm="1">
        <f t="array" ref="M326">_xlfn.IFS(BOM!I326="RM-PACKING","100%",B326="Reynolds",VLOOKUP(H326,'Yield &amp; Time'!A:V,22,0),BOM!B326="Dnata",VLOOKUP(BOM!H326,'Yield &amp; Time'!A:M,13,0),B326="NK",VLOOKUP(H326,'Yield &amp; Time'!A:X,24,0))</f>
        <v>0.82139712728001835</v>
      </c>
      <c r="N326" s="35">
        <f t="shared" si="105"/>
        <v>2.4348758153352903</v>
      </c>
      <c r="O326" s="1" t="str">
        <f>VLOOKUP(H326,'RM Used'!A:E,5,0)</f>
        <v>KG</v>
      </c>
      <c r="P326" s="11">
        <f>VLOOKUP(H326,'RM Used'!A:F,6,0)</f>
        <v>0.87</v>
      </c>
      <c r="Q326" s="11">
        <f t="shared" si="114"/>
        <v>2.1183419593417026</v>
      </c>
      <c r="R326" s="11">
        <f>IFERROR(IF(B326="Reynolds",VLOOKUP(H326,'Yield &amp; Time'!A:U,21,0),VLOOKUP(H326,'Yield &amp; Time'!A:L,12,0)),0)</f>
        <v>0.65</v>
      </c>
      <c r="S326" s="11">
        <f t="shared" si="106"/>
        <v>0.44005</v>
      </c>
      <c r="T326" s="11">
        <f t="shared" si="107"/>
        <v>2.1666666666666667E-2</v>
      </c>
      <c r="U326" s="11">
        <f>IF(A325=A326,0,VLOOKUP(A326,'Packing Time'!A:F,6,0))</f>
        <v>0.8</v>
      </c>
      <c r="V326" s="11">
        <f t="shared" si="97"/>
        <v>0.27079999999999999</v>
      </c>
      <c r="W326" s="11">
        <f t="shared" si="98"/>
        <v>1.3333333333333334E-2</v>
      </c>
      <c r="X326" s="11">
        <f t="shared" si="108"/>
        <v>1.1373599999999999</v>
      </c>
      <c r="Y326" s="11">
        <f t="shared" si="99"/>
        <v>1.1373599999999999</v>
      </c>
      <c r="Z326" s="37">
        <v>1</v>
      </c>
      <c r="AA326" s="36">
        <f t="shared" si="109"/>
        <v>2.4348758153352903</v>
      </c>
      <c r="AB326" s="36">
        <f t="shared" si="110"/>
        <v>2.1183419593417026</v>
      </c>
      <c r="AC326" s="11">
        <f t="shared" si="111"/>
        <v>5.6000000000000008E-2</v>
      </c>
      <c r="AD326" s="36">
        <f t="shared" si="100"/>
        <v>1.1373599999999999</v>
      </c>
      <c r="AE326" s="36" t="str">
        <f>VLOOKUP(H326,'Yield &amp; Time'!A:R,18,0)</f>
        <v>CHLORINE</v>
      </c>
      <c r="AF326" s="36">
        <f>IFERROR(VLOOKUP(AE326,'Chemical Cost'!A:D,4,0),0)</f>
        <v>2.7756518066439469E-2</v>
      </c>
      <c r="AG326" s="114">
        <f t="shared" si="112"/>
        <v>2.2527891519296839E-2</v>
      </c>
      <c r="AH326" s="36">
        <f t="shared" si="94"/>
        <v>2.2527891519296839E-2</v>
      </c>
      <c r="AI326" s="36">
        <f t="shared" si="101"/>
        <v>3.2782298508609991</v>
      </c>
      <c r="AJ326" s="36">
        <f>IFERROR(VLOOKUP(A326,'All Products'!A:F,6,0),0)</f>
        <v>4.8600000000000003</v>
      </c>
      <c r="AK326" s="36">
        <f>AJ326*Z326*J326</f>
        <v>4.8600000000000003</v>
      </c>
      <c r="AL326" s="23">
        <v>0.8</v>
      </c>
      <c r="AM326" s="23">
        <v>0.2</v>
      </c>
      <c r="AN326" s="54" t="e">
        <v>#N/A</v>
      </c>
      <c r="AO326" s="47"/>
      <c r="AP326" s="4">
        <v>1.6</v>
      </c>
      <c r="AQ326" s="111">
        <f t="shared" si="113"/>
        <v>5.6000000000000008E-2</v>
      </c>
      <c r="AR326">
        <f>_xlfn.XLOOKUP(F326,'RM Cost'!A:A,'RM Cost'!S:S)</f>
        <v>0</v>
      </c>
      <c r="AS326" t="str">
        <f>_xlfn.XLOOKUP(A326,[3]Sheet1!$B:$B,[3]Sheet1!$B:$B)</f>
        <v>2365CS</v>
      </c>
      <c r="AT326" t="str">
        <f>_xlfn.XLOOKUP(H326,'Yield &amp; Time'!A:A,'Yield &amp; Time'!O:O)</f>
        <v>Yes</v>
      </c>
    </row>
    <row r="327" spans="1:46" x14ac:dyDescent="0.25">
      <c r="A327" s="1" t="s">
        <v>514</v>
      </c>
      <c r="B327" s="2" t="s">
        <v>552</v>
      </c>
      <c r="C327" s="2" t="s">
        <v>612</v>
      </c>
      <c r="D327" s="2" t="s">
        <v>554</v>
      </c>
      <c r="E327" s="2">
        <v>2</v>
      </c>
      <c r="F327" s="1" t="str">
        <f>VLOOKUP(H327,'RM Used'!A:B,2,0)</f>
        <v>P0020</v>
      </c>
      <c r="G327" s="1" t="str">
        <f>IFERROR(VLOOKUP(F327,'RM Cost'!A:B,2,0),"")</f>
        <v>PALE BLUE BAG 430X430MM</v>
      </c>
      <c r="H327" s="2" t="s">
        <v>1659</v>
      </c>
      <c r="I327" s="1" t="str">
        <f>VLOOKUP(F327,'RM Used'!B:D,3,0)</f>
        <v>RM-PACKING</v>
      </c>
      <c r="J327" s="66">
        <v>1</v>
      </c>
      <c r="K327" s="35" t="str">
        <f t="shared" si="96"/>
        <v/>
      </c>
      <c r="L327" s="35">
        <f t="shared" si="104"/>
        <v>0</v>
      </c>
      <c r="M327" s="77" t="str" cm="1">
        <f t="array" ref="M327">_xlfn.IFS(BOM!I327="RM-PACKING","100%",B327="Reynolds",VLOOKUP(H327,'Yield &amp; Time'!A:V,22,0),BOM!B327="Dnata",VLOOKUP(BOM!H327,'Yield &amp; Time'!A:M,13,0),B327="NK",VLOOKUP(H327,'Yield &amp; Time'!A:X,24,0))</f>
        <v>100%</v>
      </c>
      <c r="N327" s="35">
        <f t="shared" si="105"/>
        <v>1</v>
      </c>
      <c r="O327" s="1" t="str">
        <f>VLOOKUP(H327,'RM Used'!A:E,5,0)</f>
        <v>Count</v>
      </c>
      <c r="P327" s="11">
        <f>VLOOKUP(H327,'RM Used'!A:F,6,0)</f>
        <v>0.09</v>
      </c>
      <c r="Q327" s="11">
        <f t="shared" si="114"/>
        <v>0.09</v>
      </c>
      <c r="R327" s="11">
        <f>IFERROR(IF(B327="Reynolds",VLOOKUP(H327,'Yield &amp; Time'!A:U,21,0),VLOOKUP(H327,'Yield &amp; Time'!A:L,12,0)),0)</f>
        <v>0</v>
      </c>
      <c r="S327" s="11">
        <f t="shared" si="106"/>
        <v>0</v>
      </c>
      <c r="T327" s="11">
        <f t="shared" si="107"/>
        <v>0</v>
      </c>
      <c r="U327" s="11">
        <f>IF(A326=A327,0,VLOOKUP(A327,'Packing Time'!A:F,6,0))</f>
        <v>0</v>
      </c>
      <c r="V327" s="11">
        <f t="shared" si="97"/>
        <v>0</v>
      </c>
      <c r="W327" s="11">
        <f t="shared" si="98"/>
        <v>0</v>
      </c>
      <c r="X327" s="11">
        <f t="shared" si="108"/>
        <v>0</v>
      </c>
      <c r="Y327" s="11">
        <f t="shared" si="99"/>
        <v>0</v>
      </c>
      <c r="Z327" s="37">
        <v>1</v>
      </c>
      <c r="AA327" s="36">
        <f t="shared" si="109"/>
        <v>1</v>
      </c>
      <c r="AB327" s="36">
        <f t="shared" si="110"/>
        <v>0.09</v>
      </c>
      <c r="AC327" s="11">
        <f t="shared" si="111"/>
        <v>0</v>
      </c>
      <c r="AD327" s="36">
        <f t="shared" si="100"/>
        <v>0</v>
      </c>
      <c r="AE327" s="36"/>
      <c r="AF327" s="36">
        <f>IFERROR(VLOOKUP(AE327,'Chemical Cost'!A:D,4,0),0)</f>
        <v>0</v>
      </c>
      <c r="AG327" s="114">
        <f t="shared" si="112"/>
        <v>0</v>
      </c>
      <c r="AH327" s="36">
        <f t="shared" si="94"/>
        <v>0</v>
      </c>
      <c r="AI327" s="36">
        <f t="shared" si="101"/>
        <v>0.09</v>
      </c>
      <c r="AJ327" s="36">
        <f>IFERROR(VLOOKUP(A327,'All Products'!A:F,6,0),0)</f>
        <v>4.8600000000000003</v>
      </c>
      <c r="AK327" s="36"/>
      <c r="AL327" s="23">
        <v>0.8</v>
      </c>
      <c r="AM327" s="23">
        <v>0.2</v>
      </c>
      <c r="AN327" s="54" t="e">
        <v>#N/A</v>
      </c>
      <c r="AO327" s="47"/>
      <c r="AP327" s="4">
        <v>1.6</v>
      </c>
      <c r="AQ327" s="111">
        <f t="shared" si="113"/>
        <v>0</v>
      </c>
      <c r="AR327">
        <f>_xlfn.XLOOKUP(F327,'RM Cost'!A:A,'RM Cost'!S:S)</f>
        <v>0</v>
      </c>
      <c r="AS327" t="str">
        <f>_xlfn.XLOOKUP(A327,[3]Sheet1!$B:$B,[3]Sheet1!$B:$B)</f>
        <v>2365CS</v>
      </c>
      <c r="AT327" t="e">
        <f>_xlfn.XLOOKUP(H327,'Yield &amp; Time'!A:A,'Yield &amp; Time'!F:F)</f>
        <v>#N/A</v>
      </c>
    </row>
    <row r="328" spans="1:46" x14ac:dyDescent="0.25">
      <c r="A328" s="1" t="s">
        <v>514</v>
      </c>
      <c r="B328" s="2" t="s">
        <v>552</v>
      </c>
      <c r="C328" s="2" t="s">
        <v>612</v>
      </c>
      <c r="D328" s="2" t="s">
        <v>554</v>
      </c>
      <c r="E328" s="2">
        <v>2</v>
      </c>
      <c r="F328" s="1" t="str">
        <f>VLOOKUP(H328,'RM Used'!A:B,2,0)</f>
        <v>P0016</v>
      </c>
      <c r="G328" s="1" t="str">
        <f>IFERROR(VLOOKUP(F328,'RM Cost'!A:B,2,0),"")</f>
        <v>REY 40 30 BOX</v>
      </c>
      <c r="H328" s="2" t="s">
        <v>1332</v>
      </c>
      <c r="I328" s="1" t="str">
        <f>VLOOKUP(F328,'RM Used'!B:D,3,0)</f>
        <v>RM-PACKING</v>
      </c>
      <c r="J328" s="66">
        <v>1</v>
      </c>
      <c r="K328" s="35" t="str">
        <f t="shared" si="96"/>
        <v/>
      </c>
      <c r="L328" s="35">
        <f t="shared" si="104"/>
        <v>0</v>
      </c>
      <c r="M328" s="77" t="str" cm="1">
        <f t="array" ref="M328">_xlfn.IFS(BOM!I328="RM-PACKING","100%",B328="Reynolds",VLOOKUP(H328,'Yield &amp; Time'!A:V,22,0),BOM!B328="Dnata",VLOOKUP(BOM!H328,'Yield &amp; Time'!A:M,13,0),B328="NK",VLOOKUP(H328,'Yield &amp; Time'!A:X,24,0))</f>
        <v>100%</v>
      </c>
      <c r="N328" s="35">
        <f t="shared" si="105"/>
        <v>1</v>
      </c>
      <c r="O328" s="1" t="str">
        <f>VLOOKUP(H328,'RM Used'!A:E,5,0)</f>
        <v>Count</v>
      </c>
      <c r="P328" s="11">
        <f>VLOOKUP(H328,'RM Used'!A:F,6,0)</f>
        <v>0.28000000000000003</v>
      </c>
      <c r="Q328" s="11">
        <f t="shared" si="114"/>
        <v>0.28000000000000003</v>
      </c>
      <c r="R328" s="11">
        <f>IFERROR(IF(B328="Reynolds",VLOOKUP(H328,'Yield &amp; Time'!A:U,21,0),VLOOKUP(H328,'Yield &amp; Time'!A:L,12,0)),0)</f>
        <v>0</v>
      </c>
      <c r="S328" s="11">
        <f t="shared" si="106"/>
        <v>0</v>
      </c>
      <c r="T328" s="11">
        <f t="shared" si="107"/>
        <v>0</v>
      </c>
      <c r="U328" s="11">
        <f>IF(A327=A328,0,VLOOKUP(A328,'Packing Time'!A:F,6,0))</f>
        <v>0</v>
      </c>
      <c r="V328" s="11">
        <f t="shared" si="97"/>
        <v>0</v>
      </c>
      <c r="W328" s="11">
        <f t="shared" si="98"/>
        <v>0</v>
      </c>
      <c r="X328" s="11">
        <f t="shared" si="108"/>
        <v>0</v>
      </c>
      <c r="Y328" s="11">
        <f t="shared" si="99"/>
        <v>0</v>
      </c>
      <c r="Z328" s="37">
        <v>1</v>
      </c>
      <c r="AA328" s="36">
        <f t="shared" si="109"/>
        <v>1</v>
      </c>
      <c r="AB328" s="36">
        <f t="shared" si="110"/>
        <v>0.28000000000000003</v>
      </c>
      <c r="AC328" s="11">
        <f t="shared" si="111"/>
        <v>0</v>
      </c>
      <c r="AD328" s="36">
        <f t="shared" si="100"/>
        <v>0</v>
      </c>
      <c r="AE328" s="36"/>
      <c r="AF328" s="36">
        <f>IFERROR(VLOOKUP(AE328,'Chemical Cost'!A:D,4,0),0)</f>
        <v>0</v>
      </c>
      <c r="AG328" s="114">
        <f t="shared" si="112"/>
        <v>0</v>
      </c>
      <c r="AH328" s="36">
        <f t="shared" si="94"/>
        <v>0</v>
      </c>
      <c r="AI328" s="36">
        <f t="shared" si="101"/>
        <v>0.28000000000000003</v>
      </c>
      <c r="AJ328" s="36">
        <f>IFERROR(VLOOKUP(A328,'All Products'!A:F,6,0),0)</f>
        <v>4.8600000000000003</v>
      </c>
      <c r="AK328" s="36"/>
      <c r="AL328" s="23">
        <v>0.8</v>
      </c>
      <c r="AM328" s="23">
        <v>0.2</v>
      </c>
      <c r="AN328" s="54" t="e">
        <v>#N/A</v>
      </c>
      <c r="AO328" s="47"/>
      <c r="AP328" s="4">
        <v>1.6</v>
      </c>
      <c r="AQ328" s="111">
        <f t="shared" si="113"/>
        <v>0</v>
      </c>
      <c r="AR328">
        <f>_xlfn.XLOOKUP(F328,'RM Cost'!A:A,'RM Cost'!S:S)</f>
        <v>0</v>
      </c>
      <c r="AS328" t="str">
        <f>_xlfn.XLOOKUP(A328,[3]Sheet1!$B:$B,[3]Sheet1!$B:$B)</f>
        <v>2365CS</v>
      </c>
      <c r="AT328" t="e">
        <f>_xlfn.XLOOKUP(H328,'Yield &amp; Time'!A:A,'Yield &amp; Time'!F:F)</f>
        <v>#N/A</v>
      </c>
    </row>
    <row r="329" spans="1:46" x14ac:dyDescent="0.25">
      <c r="A329" s="1" t="s">
        <v>376</v>
      </c>
      <c r="B329" s="2" t="s">
        <v>552</v>
      </c>
      <c r="C329" s="2" t="s">
        <v>614</v>
      </c>
      <c r="D329" s="2" t="s">
        <v>554</v>
      </c>
      <c r="E329" s="2">
        <v>1</v>
      </c>
      <c r="F329" s="1" t="str">
        <f>VLOOKUP(H329,'RM Used'!A:B,2,0)</f>
        <v>3689CS</v>
      </c>
      <c r="G329" s="1" t="str">
        <f>IFERROR(VLOOKUP(F329,'RM Cost'!A:B,2,0),"")</f>
        <v>RM - BEEF TOMATO 1 X 7KG</v>
      </c>
      <c r="H329" s="2" t="s">
        <v>1458</v>
      </c>
      <c r="I329" s="1" t="str">
        <f>VLOOKUP(F329,'RM Used'!B:D,3,0)</f>
        <v>RM-FOOD</v>
      </c>
      <c r="J329" s="66">
        <v>1</v>
      </c>
      <c r="K329" s="35">
        <f t="shared" si="96"/>
        <v>1</v>
      </c>
      <c r="L329" s="35">
        <f t="shared" si="104"/>
        <v>1</v>
      </c>
      <c r="M329" s="77" cm="1">
        <f t="array" ref="M329">_xlfn.IFS(BOM!I329="RM-PACKING","100%",B329="Reynolds",VLOOKUP(H329,'Yield &amp; Time'!A:V,22,0),BOM!B329="Dnata",VLOOKUP(BOM!H329,'Yield &amp; Time'!A:M,13,0),B329="NK",VLOOKUP(H329,'Yield &amp; Time'!A:X,24,0))</f>
        <v>0.76</v>
      </c>
      <c r="N329" s="35">
        <f t="shared" si="105"/>
        <v>1.3157894736842106</v>
      </c>
      <c r="O329" s="1" t="str">
        <f>VLOOKUP(H329,'RM Used'!A:E,5,0)</f>
        <v>KG</v>
      </c>
      <c r="P329" s="11">
        <f>VLOOKUP(H329,'RM Used'!A:F,6,0)</f>
        <v>1.32</v>
      </c>
      <c r="Q329" s="11">
        <f t="shared" si="114"/>
        <v>1.7368421052631582</v>
      </c>
      <c r="R329" s="11">
        <f>IFERROR(IF(B329="Reynolds",VLOOKUP(H329,'Yield &amp; Time'!A:U,21,0),VLOOKUP(H329,'Yield &amp; Time'!A:L,12,0)),0)</f>
        <v>1.4626834381551361</v>
      </c>
      <c r="S329" s="11">
        <f t="shared" si="106"/>
        <v>0.49511834381551351</v>
      </c>
      <c r="T329" s="11">
        <f t="shared" si="107"/>
        <v>2.4378057302585601E-2</v>
      </c>
      <c r="U329" s="11">
        <f>IF(A328=A329,0,VLOOKUP(A329,'Packing Time'!A:F,6,0))</f>
        <v>0.64500000000000002</v>
      </c>
      <c r="V329" s="11">
        <f t="shared" si="97"/>
        <v>0.21833249999999998</v>
      </c>
      <c r="W329" s="11">
        <f t="shared" si="98"/>
        <v>1.0750000000000001E-2</v>
      </c>
      <c r="X329" s="11">
        <f t="shared" si="108"/>
        <v>0.7847959281970649</v>
      </c>
      <c r="Y329" s="11">
        <f t="shared" si="99"/>
        <v>0.7847959281970649</v>
      </c>
      <c r="Z329" s="37">
        <v>1</v>
      </c>
      <c r="AA329" s="36">
        <f t="shared" si="109"/>
        <v>1.3157894736842106</v>
      </c>
      <c r="AB329" s="36">
        <f t="shared" si="110"/>
        <v>1.7368421052631582</v>
      </c>
      <c r="AC329" s="11">
        <f t="shared" si="111"/>
        <v>3.8640863032844162E-2</v>
      </c>
      <c r="AD329" s="36">
        <f t="shared" si="100"/>
        <v>0.78479592819706478</v>
      </c>
      <c r="AE329" s="36" t="str">
        <f>VLOOKUP(H329,'Yield &amp; Time'!A:R,18,0)</f>
        <v>CHLORINE</v>
      </c>
      <c r="AF329" s="36">
        <f>IFERROR(VLOOKUP(AE329,'Chemical Cost'!A:D,4,0),0)</f>
        <v>2.7756518066439469E-2</v>
      </c>
      <c r="AG329" s="114">
        <f t="shared" si="112"/>
        <v>1.2173911432648891E-2</v>
      </c>
      <c r="AH329" s="36">
        <f t="shared" si="94"/>
        <v>1.2173911432648891E-2</v>
      </c>
      <c r="AI329" s="36">
        <f t="shared" si="101"/>
        <v>2.533811944892872</v>
      </c>
      <c r="AJ329" s="36">
        <f>IFERROR(VLOOKUP(A329,'All Products'!A:F,6,0),0)</f>
        <v>5.35</v>
      </c>
      <c r="AK329" s="36">
        <f>AJ329*Z329*J329</f>
        <v>5.35</v>
      </c>
      <c r="AL329" s="23"/>
      <c r="AM329" s="23">
        <v>1</v>
      </c>
      <c r="AN329" s="54" t="e">
        <v>#N/A</v>
      </c>
      <c r="AO329" s="47"/>
      <c r="AP329" s="4">
        <v>1.1000000000000001</v>
      </c>
      <c r="AQ329" s="111">
        <f t="shared" si="113"/>
        <v>3.8640863032844162E-2</v>
      </c>
      <c r="AR329">
        <f>_xlfn.XLOOKUP(F329,'RM Cost'!A:A,'RM Cost'!S:S)</f>
        <v>0</v>
      </c>
      <c r="AS329" t="str">
        <f>_xlfn.XLOOKUP(A329,[3]Sheet1!$B:$B,[3]Sheet1!$B:$B)</f>
        <v>712ACS</v>
      </c>
      <c r="AT329">
        <f>_xlfn.XLOOKUP(H329,'Yield &amp; Time'!A:A,'Yield &amp; Time'!F:F)</f>
        <v>0</v>
      </c>
    </row>
    <row r="330" spans="1:46" x14ac:dyDescent="0.25">
      <c r="A330" s="1" t="s">
        <v>376</v>
      </c>
      <c r="B330" s="2" t="s">
        <v>552</v>
      </c>
      <c r="C330" s="2" t="s">
        <v>614</v>
      </c>
      <c r="D330" s="2" t="s">
        <v>554</v>
      </c>
      <c r="E330" s="2">
        <v>1</v>
      </c>
      <c r="F330" s="1" t="str">
        <f>VLOOKUP(H330,'RM Used'!A:B,2,0)</f>
        <v>P0006</v>
      </c>
      <c r="G330" s="1" t="str">
        <f>IFERROR(VLOOKUP(F330,'RM Cost'!A:B,2,0),"")</f>
        <v>HDPE TRAY 573</v>
      </c>
      <c r="H330" s="2" t="s">
        <v>4666</v>
      </c>
      <c r="I330" s="1" t="str">
        <f>VLOOKUP(F330,'RM Used'!B:D,3,0)</f>
        <v>RM-PACKING</v>
      </c>
      <c r="J330" s="66">
        <v>1</v>
      </c>
      <c r="K330" s="35" t="str">
        <f t="shared" si="96"/>
        <v/>
      </c>
      <c r="L330" s="35">
        <f t="shared" si="104"/>
        <v>0</v>
      </c>
      <c r="M330" s="77" t="str" cm="1">
        <f t="array" ref="M330">_xlfn.IFS(BOM!I330="RM-PACKING","100%",B330="Reynolds",VLOOKUP(H330,'Yield &amp; Time'!A:V,22,0),BOM!B330="Dnata",VLOOKUP(BOM!H330,'Yield &amp; Time'!A:M,13,0),B330="NK",VLOOKUP(H330,'Yield &amp; Time'!A:X,24,0))</f>
        <v>100%</v>
      </c>
      <c r="N330" s="35">
        <f t="shared" si="105"/>
        <v>1</v>
      </c>
      <c r="O330" s="1" t="str">
        <f>VLOOKUP(H330,'RM Used'!A:E,5,0)</f>
        <v>Count</v>
      </c>
      <c r="P330" s="11">
        <f>VLOOKUP(H330,'RM Used'!A:F,6,0)</f>
        <v>0.57999999999999996</v>
      </c>
      <c r="Q330" s="11">
        <f t="shared" si="114"/>
        <v>0.57999999999999996</v>
      </c>
      <c r="R330" s="11">
        <f>IFERROR(IF(B330="Reynolds",VLOOKUP(H330,'Yield &amp; Time'!A:U,21,0),VLOOKUP(H330,'Yield &amp; Time'!A:L,12,0)),0)</f>
        <v>0</v>
      </c>
      <c r="S330" s="11">
        <f t="shared" si="106"/>
        <v>0</v>
      </c>
      <c r="T330" s="11">
        <f t="shared" si="107"/>
        <v>0</v>
      </c>
      <c r="U330" s="11">
        <f>IF(A329=A330,0,VLOOKUP(A330,'Packing Time'!A:F,6,0))</f>
        <v>0</v>
      </c>
      <c r="V330" s="11">
        <f t="shared" si="97"/>
        <v>0</v>
      </c>
      <c r="W330" s="11">
        <f t="shared" si="98"/>
        <v>0</v>
      </c>
      <c r="X330" s="11">
        <f t="shared" si="108"/>
        <v>0</v>
      </c>
      <c r="Y330" s="11">
        <f t="shared" si="99"/>
        <v>0</v>
      </c>
      <c r="Z330" s="37">
        <v>1</v>
      </c>
      <c r="AA330" s="36">
        <f t="shared" si="109"/>
        <v>1</v>
      </c>
      <c r="AB330" s="36">
        <f t="shared" si="110"/>
        <v>0.57999999999999996</v>
      </c>
      <c r="AC330" s="11">
        <f t="shared" si="111"/>
        <v>0</v>
      </c>
      <c r="AD330" s="36">
        <f t="shared" si="100"/>
        <v>0</v>
      </c>
      <c r="AE330" s="36"/>
      <c r="AF330" s="36">
        <f>IFERROR(VLOOKUP(AE330,'Chemical Cost'!A:D,4,0),0)</f>
        <v>0</v>
      </c>
      <c r="AG330" s="114">
        <f t="shared" si="112"/>
        <v>0</v>
      </c>
      <c r="AH330" s="36">
        <f t="shared" si="94"/>
        <v>0</v>
      </c>
      <c r="AI330" s="36">
        <f t="shared" si="101"/>
        <v>0.57999999999999996</v>
      </c>
      <c r="AJ330" s="36">
        <f>IFERROR(VLOOKUP(A330,'All Products'!A:F,6,0),0)</f>
        <v>5.35</v>
      </c>
      <c r="AK330" s="36"/>
      <c r="AL330" s="23"/>
      <c r="AM330" s="23">
        <v>1</v>
      </c>
      <c r="AN330" s="54" t="e">
        <v>#N/A</v>
      </c>
      <c r="AO330" s="47"/>
      <c r="AP330" s="4">
        <v>1.1000000000000001</v>
      </c>
      <c r="AQ330" s="111">
        <f t="shared" si="113"/>
        <v>0</v>
      </c>
      <c r="AR330">
        <f>_xlfn.XLOOKUP(F330,'RM Cost'!A:A,'RM Cost'!S:S)</f>
        <v>0</v>
      </c>
      <c r="AS330" t="str">
        <f>_xlfn.XLOOKUP(A330,[3]Sheet1!$B:$B,[3]Sheet1!$B:$B)</f>
        <v>712ACS</v>
      </c>
      <c r="AT330" t="e">
        <f>_xlfn.XLOOKUP(H330,'Yield &amp; Time'!A:A,'Yield &amp; Time'!F:F)</f>
        <v>#N/A</v>
      </c>
    </row>
    <row r="331" spans="1:46" x14ac:dyDescent="0.25">
      <c r="A331" s="1" t="s">
        <v>376</v>
      </c>
      <c r="B331" s="2" t="s">
        <v>552</v>
      </c>
      <c r="C331" s="2" t="s">
        <v>614</v>
      </c>
      <c r="D331" s="2" t="s">
        <v>554</v>
      </c>
      <c r="E331" s="2">
        <v>1</v>
      </c>
      <c r="F331" s="1" t="str">
        <f>VLOOKUP(H331,'RM Used'!A:B,2,0)</f>
        <v>P0022</v>
      </c>
      <c r="G331" s="1" t="str">
        <f>IFERROR(VLOOKUP(F331,'RM Cost'!A:B,2,0),"")</f>
        <v>FILM FOR HDPE TRAY 573</v>
      </c>
      <c r="H331" s="2" t="s">
        <v>4667</v>
      </c>
      <c r="I331" s="1" t="str">
        <f>VLOOKUP(F331,'RM Used'!B:D,3,0)</f>
        <v>RM-PACKING</v>
      </c>
      <c r="J331" s="66">
        <v>1</v>
      </c>
      <c r="K331" s="35" t="str">
        <f>IF(I331="RM-FOOD",J331*E331,"")</f>
        <v/>
      </c>
      <c r="L331" s="35">
        <f t="shared" si="104"/>
        <v>0</v>
      </c>
      <c r="M331" s="77" t="str" cm="1">
        <f t="array" ref="M331">_xlfn.IFS(BOM!I331="RM-PACKING","100%",B331="Reynolds",VLOOKUP(H331,'Yield &amp; Time'!A:V,22,0),BOM!B331="Dnata",VLOOKUP(BOM!H331,'Yield &amp; Time'!A:M,13,0),B331="NK",VLOOKUP(H331,'Yield &amp; Time'!A:X,24,0))</f>
        <v>100%</v>
      </c>
      <c r="N331" s="35">
        <f>IFERROR(IF(I331="RM-FOOD",(E331*J331)/M331,1),0)</f>
        <v>1</v>
      </c>
      <c r="O331" s="1" t="str">
        <f>VLOOKUP(H331,'RM Used'!A:E,5,0)</f>
        <v>Count</v>
      </c>
      <c r="P331" s="11">
        <f>VLOOKUP(H331,'RM Used'!A:F,6,0)</f>
        <v>0.05</v>
      </c>
      <c r="Q331" s="11">
        <f t="shared" si="114"/>
        <v>0.05</v>
      </c>
      <c r="R331" s="11">
        <f>IFERROR(IF(B331="Reynolds",VLOOKUP(H331,'Yield &amp; Time'!A:U,21,0),VLOOKUP(H331,'Yield &amp; Time'!A:L,12,0)),0)</f>
        <v>0</v>
      </c>
      <c r="S331" s="11">
        <f t="shared" si="106"/>
        <v>0</v>
      </c>
      <c r="T331" s="11">
        <f t="shared" si="107"/>
        <v>0</v>
      </c>
      <c r="U331" s="11">
        <f>IF(A330=A331,0,VLOOKUP(A331,'Packing Time'!A:F,6,0))</f>
        <v>0</v>
      </c>
      <c r="V331" s="11">
        <f>U331*AO$1</f>
        <v>0</v>
      </c>
      <c r="W331" s="11">
        <f>(U331*Z331)/60</f>
        <v>0</v>
      </c>
      <c r="X331" s="11">
        <f t="shared" si="108"/>
        <v>0</v>
      </c>
      <c r="Y331" s="11">
        <f>X331*Z331</f>
        <v>0</v>
      </c>
      <c r="Z331" s="37">
        <v>1</v>
      </c>
      <c r="AA331" s="36">
        <f t="shared" si="109"/>
        <v>1</v>
      </c>
      <c r="AB331" s="36">
        <f t="shared" si="110"/>
        <v>0.05</v>
      </c>
      <c r="AC331" s="11">
        <f t="shared" si="111"/>
        <v>0</v>
      </c>
      <c r="AD331" s="36">
        <f>AC331*60*AO$1</f>
        <v>0</v>
      </c>
      <c r="AE331" s="36"/>
      <c r="AF331" s="36">
        <f>IFERROR(VLOOKUP(AE331,'Chemical Cost'!A:D,4,0),0)</f>
        <v>0</v>
      </c>
      <c r="AG331" s="114">
        <f t="shared" si="112"/>
        <v>0</v>
      </c>
      <c r="AH331" s="36">
        <f>AF331*AA331/3</f>
        <v>0</v>
      </c>
      <c r="AI331" s="36">
        <f>IFERROR((Q331*Z331)+(Z331*X331)+AH331,0)</f>
        <v>0.05</v>
      </c>
      <c r="AJ331" s="36">
        <f>IFERROR(VLOOKUP(A331,'All Products'!A:F,6,0),0)</f>
        <v>5.35</v>
      </c>
      <c r="AK331" s="36"/>
      <c r="AL331" s="23"/>
      <c r="AM331" s="23">
        <v>1</v>
      </c>
      <c r="AN331" s="54" t="e">
        <v>#N/A</v>
      </c>
      <c r="AO331" s="47"/>
      <c r="AP331" s="4">
        <v>1.1000000000000001</v>
      </c>
      <c r="AQ331" s="111">
        <f t="shared" si="113"/>
        <v>0</v>
      </c>
      <c r="AR331">
        <f>_xlfn.XLOOKUP(F331,'RM Cost'!A:A,'RM Cost'!S:S)</f>
        <v>0</v>
      </c>
      <c r="AS331" t="str">
        <f>_xlfn.XLOOKUP(A331,[3]Sheet1!$B:$B,[3]Sheet1!$B:$B)</f>
        <v>712ACS</v>
      </c>
      <c r="AT331" t="e">
        <f>_xlfn.XLOOKUP(H331,'Yield &amp; Time'!A:A,'Yield &amp; Time'!F:F)</f>
        <v>#N/A</v>
      </c>
    </row>
    <row r="332" spans="1:46" x14ac:dyDescent="0.25">
      <c r="A332" s="1" t="s">
        <v>376</v>
      </c>
      <c r="B332" s="2" t="s">
        <v>552</v>
      </c>
      <c r="C332" s="2" t="s">
        <v>614</v>
      </c>
      <c r="D332" s="2" t="s">
        <v>554</v>
      </c>
      <c r="E332" s="2">
        <v>1</v>
      </c>
      <c r="F332" s="1" t="str">
        <f>VLOOKUP(H332,'RM Used'!A:B,2,0)</f>
        <v>P0016</v>
      </c>
      <c r="G332" s="1" t="str">
        <f>IFERROR(VLOOKUP(F332,'RM Cost'!A:B,2,0),"")</f>
        <v>REY 40 30 BOX</v>
      </c>
      <c r="H332" s="2" t="s">
        <v>1332</v>
      </c>
      <c r="I332" s="1" t="str">
        <f>VLOOKUP(F332,'RM Used'!B:D,3,0)</f>
        <v>RM-PACKING</v>
      </c>
      <c r="J332" s="66">
        <v>1</v>
      </c>
      <c r="K332" s="35" t="str">
        <f t="shared" si="96"/>
        <v/>
      </c>
      <c r="L332" s="35">
        <f t="shared" si="104"/>
        <v>0</v>
      </c>
      <c r="M332" s="77" t="str" cm="1">
        <f t="array" ref="M332">_xlfn.IFS(BOM!I332="RM-PACKING","100%",B332="Reynolds",VLOOKUP(H332,'Yield &amp; Time'!A:V,22,0),BOM!B332="Dnata",VLOOKUP(BOM!H332,'Yield &amp; Time'!A:M,13,0),B332="NK",VLOOKUP(H332,'Yield &amp; Time'!A:X,24,0))</f>
        <v>100%</v>
      </c>
      <c r="N332" s="35">
        <f t="shared" si="105"/>
        <v>1</v>
      </c>
      <c r="O332" s="1" t="str">
        <f>VLOOKUP(H332,'RM Used'!A:E,5,0)</f>
        <v>Count</v>
      </c>
      <c r="P332" s="11">
        <f>VLOOKUP(H332,'RM Used'!A:F,6,0)</f>
        <v>0.28000000000000003</v>
      </c>
      <c r="Q332" s="11">
        <f t="shared" si="114"/>
        <v>0.28000000000000003</v>
      </c>
      <c r="R332" s="11">
        <f>IFERROR(IF(B332="Reynolds",VLOOKUP(H332,'Yield &amp; Time'!A:U,21,0),VLOOKUP(H332,'Yield &amp; Time'!A:L,12,0)),0)</f>
        <v>0</v>
      </c>
      <c r="S332" s="11">
        <f t="shared" si="106"/>
        <v>0</v>
      </c>
      <c r="T332" s="11">
        <f t="shared" si="107"/>
        <v>0</v>
      </c>
      <c r="U332" s="11">
        <f>IF(A331=A332,0,VLOOKUP(A332,'Packing Time'!A:F,6,0))</f>
        <v>0</v>
      </c>
      <c r="V332" s="11">
        <f t="shared" si="97"/>
        <v>0</v>
      </c>
      <c r="W332" s="11">
        <f t="shared" si="98"/>
        <v>0</v>
      </c>
      <c r="X332" s="11">
        <f t="shared" si="108"/>
        <v>0</v>
      </c>
      <c r="Y332" s="11">
        <f t="shared" si="99"/>
        <v>0</v>
      </c>
      <c r="Z332" s="37">
        <v>1</v>
      </c>
      <c r="AA332" s="36">
        <f t="shared" si="109"/>
        <v>1</v>
      </c>
      <c r="AB332" s="36">
        <f t="shared" si="110"/>
        <v>0.28000000000000003</v>
      </c>
      <c r="AC332" s="11">
        <f t="shared" si="111"/>
        <v>0</v>
      </c>
      <c r="AD332" s="36">
        <f t="shared" si="100"/>
        <v>0</v>
      </c>
      <c r="AE332" s="36"/>
      <c r="AF332" s="36">
        <f>IFERROR(VLOOKUP(AE332,'Chemical Cost'!A:D,4,0),0)</f>
        <v>0</v>
      </c>
      <c r="AG332" s="114">
        <f t="shared" si="112"/>
        <v>0</v>
      </c>
      <c r="AH332" s="36">
        <f t="shared" si="94"/>
        <v>0</v>
      </c>
      <c r="AI332" s="36">
        <f t="shared" si="101"/>
        <v>0.28000000000000003</v>
      </c>
      <c r="AJ332" s="36">
        <f>IFERROR(VLOOKUP(A332,'All Products'!A:F,6,0),0)</f>
        <v>5.35</v>
      </c>
      <c r="AK332" s="36"/>
      <c r="AL332" s="23"/>
      <c r="AM332" s="23">
        <v>1</v>
      </c>
      <c r="AN332" s="54" t="e">
        <v>#N/A</v>
      </c>
      <c r="AO332" s="47"/>
      <c r="AP332" s="4">
        <v>1.1000000000000001</v>
      </c>
      <c r="AQ332" s="111">
        <f t="shared" si="113"/>
        <v>0</v>
      </c>
      <c r="AR332">
        <f>_xlfn.XLOOKUP(F332,'RM Cost'!A:A,'RM Cost'!S:S)</f>
        <v>0</v>
      </c>
      <c r="AS332" t="str">
        <f>_xlfn.XLOOKUP(A332,[3]Sheet1!$B:$B,[3]Sheet1!$B:$B)</f>
        <v>712ACS</v>
      </c>
      <c r="AT332" t="e">
        <f>_xlfn.XLOOKUP(H332,'Yield &amp; Time'!A:A,'Yield &amp; Time'!F:F)</f>
        <v>#N/A</v>
      </c>
    </row>
    <row r="333" spans="1:46" x14ac:dyDescent="0.25">
      <c r="A333" s="1" t="s">
        <v>296</v>
      </c>
      <c r="B333" s="2" t="s">
        <v>552</v>
      </c>
      <c r="C333" s="2" t="s">
        <v>615</v>
      </c>
      <c r="D333" s="2" t="s">
        <v>554</v>
      </c>
      <c r="E333" s="2">
        <v>1</v>
      </c>
      <c r="F333" s="1" t="str">
        <f>VLOOKUP(H333,'RM Used'!A:B,2,0)</f>
        <v>3638CS</v>
      </c>
      <c r="G333" s="1" t="str">
        <f>IFERROR(VLOOKUP(F333,'RM Cost'!A:B,2,0),"")</f>
        <v>RM - TOMATOES CHERRY LOOSE 4KG</v>
      </c>
      <c r="H333" s="2" t="s">
        <v>1459</v>
      </c>
      <c r="I333" s="1" t="str">
        <f>VLOOKUP(F333,'RM Used'!B:D,3,0)</f>
        <v>RM-FOOD</v>
      </c>
      <c r="J333" s="66">
        <v>1</v>
      </c>
      <c r="K333" s="35">
        <f t="shared" si="96"/>
        <v>1</v>
      </c>
      <c r="L333" s="35">
        <f t="shared" si="104"/>
        <v>1</v>
      </c>
      <c r="M333" s="77" cm="1">
        <f t="array" ref="M333">_xlfn.IFS(BOM!I333="RM-PACKING","100%",B333="Reynolds",VLOOKUP(H333,'Yield &amp; Time'!A:V,22,0),BOM!B333="Dnata",VLOOKUP(BOM!H333,'Yield &amp; Time'!A:M,13,0),B333="NK",VLOOKUP(H333,'Yield &amp; Time'!A:X,24,0))</f>
        <v>0.93560606060606055</v>
      </c>
      <c r="N333" s="35">
        <f t="shared" si="105"/>
        <v>1.0688259109311742</v>
      </c>
      <c r="O333" s="1" t="str">
        <f>VLOOKUP(H333,'RM Used'!A:E,5,0)</f>
        <v>KG</v>
      </c>
      <c r="P333" s="11">
        <f>VLOOKUP(H333,'RM Used'!A:F,6,0)</f>
        <v>1.74</v>
      </c>
      <c r="Q333" s="11">
        <f t="shared" si="114"/>
        <v>1.8597570850202432</v>
      </c>
      <c r="R333" s="11">
        <f>IFERROR(IF(B333="Reynolds",VLOOKUP(H333,'Yield &amp; Time'!A:U,21,0),VLOOKUP(H333,'Yield &amp; Time'!A:L,12,0)),0)</f>
        <v>0.8008547008547009</v>
      </c>
      <c r="S333" s="11">
        <f t="shared" si="106"/>
        <v>0.2710893162393162</v>
      </c>
      <c r="T333" s="11">
        <f t="shared" si="107"/>
        <v>1.3347578347578349E-2</v>
      </c>
      <c r="U333" s="11">
        <f>IF(A332=A333,0,VLOOKUP(A333,'Packing Time'!A:F,6,0))</f>
        <v>0.64500000000000002</v>
      </c>
      <c r="V333" s="11">
        <f t="shared" si="97"/>
        <v>0.21833249999999998</v>
      </c>
      <c r="W333" s="11">
        <f t="shared" si="98"/>
        <v>1.0750000000000001E-2</v>
      </c>
      <c r="X333" s="11">
        <f t="shared" si="108"/>
        <v>0.78307490598290597</v>
      </c>
      <c r="Y333" s="11">
        <f t="shared" si="99"/>
        <v>0.78307490598290597</v>
      </c>
      <c r="Z333" s="37">
        <v>1</v>
      </c>
      <c r="AA333" s="36">
        <f t="shared" si="109"/>
        <v>1.0688259109311742</v>
      </c>
      <c r="AB333" s="36">
        <f t="shared" si="110"/>
        <v>1.8597570850202432</v>
      </c>
      <c r="AC333" s="11">
        <f t="shared" si="111"/>
        <v>3.8556125356125362E-2</v>
      </c>
      <c r="AD333" s="36">
        <f t="shared" si="100"/>
        <v>0.78307490598290597</v>
      </c>
      <c r="AE333" s="36" t="str">
        <f>VLOOKUP(H333,'Yield &amp; Time'!A:R,18,0)</f>
        <v>CHLORINE</v>
      </c>
      <c r="AF333" s="36">
        <f>IFERROR(VLOOKUP(AE333,'Chemical Cost'!A:D,4,0),0)</f>
        <v>2.7756518066439469E-2</v>
      </c>
      <c r="AG333" s="114">
        <f t="shared" si="112"/>
        <v>9.8889619022132537E-3</v>
      </c>
      <c r="AH333" s="36">
        <f t="shared" si="94"/>
        <v>9.8889619022132537E-3</v>
      </c>
      <c r="AI333" s="36">
        <f t="shared" si="101"/>
        <v>2.6527209529053621</v>
      </c>
      <c r="AJ333" s="36">
        <f>IFERROR(VLOOKUP(A333,'All Products'!A:F,6,0),0)</f>
        <v>4.04</v>
      </c>
      <c r="AK333" s="36">
        <f>AJ333*Z333*J333</f>
        <v>4.04</v>
      </c>
      <c r="AL333" s="23">
        <v>0.8</v>
      </c>
      <c r="AM333" s="23">
        <v>0.2</v>
      </c>
      <c r="AN333" s="54" t="e">
        <v>#N/A</v>
      </c>
      <c r="AO333" s="47"/>
      <c r="AP333" s="4">
        <v>1.6</v>
      </c>
      <c r="AQ333" s="111">
        <f t="shared" si="113"/>
        <v>3.8556125356125362E-2</v>
      </c>
      <c r="AR333">
        <f>_xlfn.XLOOKUP(F333,'RM Cost'!A:A,'RM Cost'!S:S)</f>
        <v>0</v>
      </c>
      <c r="AS333" t="e">
        <f>_xlfn.XLOOKUP(A333,[3]Sheet1!$B:$B,[3]Sheet1!$B:$B)</f>
        <v>#N/A</v>
      </c>
    </row>
    <row r="334" spans="1:46" x14ac:dyDescent="0.25">
      <c r="A334" s="1" t="s">
        <v>296</v>
      </c>
      <c r="B334" s="2" t="s">
        <v>552</v>
      </c>
      <c r="C334" s="2" t="s">
        <v>615</v>
      </c>
      <c r="D334" s="2" t="s">
        <v>554</v>
      </c>
      <c r="E334" s="2">
        <v>1</v>
      </c>
      <c r="F334" s="1" t="str">
        <f>VLOOKUP(H334,'RM Used'!A:B,2,0)</f>
        <v>P0006</v>
      </c>
      <c r="G334" s="1" t="str">
        <f>IFERROR(VLOOKUP(F334,'RM Cost'!A:B,2,0),"")</f>
        <v>HDPE TRAY 573</v>
      </c>
      <c r="H334" s="2" t="s">
        <v>4666</v>
      </c>
      <c r="I334" s="1" t="str">
        <f>VLOOKUP(F334,'RM Used'!B:D,3,0)</f>
        <v>RM-PACKING</v>
      </c>
      <c r="J334" s="66">
        <v>1</v>
      </c>
      <c r="K334" s="35" t="str">
        <f t="shared" si="96"/>
        <v/>
      </c>
      <c r="L334" s="35">
        <f t="shared" si="104"/>
        <v>0</v>
      </c>
      <c r="M334" s="77" t="str" cm="1">
        <f t="array" ref="M334">_xlfn.IFS(BOM!I334="RM-PACKING","100%",B334="Reynolds",VLOOKUP(H334,'Yield &amp; Time'!A:V,22,0),BOM!B334="Dnata",VLOOKUP(BOM!H334,'Yield &amp; Time'!A:M,13,0),B334="NK",VLOOKUP(H334,'Yield &amp; Time'!A:X,24,0))</f>
        <v>100%</v>
      </c>
      <c r="N334" s="35">
        <f t="shared" si="105"/>
        <v>1</v>
      </c>
      <c r="O334" s="1" t="str">
        <f>VLOOKUP(H334,'RM Used'!A:E,5,0)</f>
        <v>Count</v>
      </c>
      <c r="P334" s="11">
        <f>VLOOKUP(H334,'RM Used'!A:F,6,0)</f>
        <v>0.57999999999999996</v>
      </c>
      <c r="Q334" s="11">
        <f t="shared" si="114"/>
        <v>0.57999999999999996</v>
      </c>
      <c r="R334" s="11">
        <f>IFERROR(IF(B334="Reynolds",VLOOKUP(H334,'Yield &amp; Time'!A:U,21,0),VLOOKUP(H334,'Yield &amp; Time'!A:L,12,0)),0)</f>
        <v>0</v>
      </c>
      <c r="S334" s="11">
        <f t="shared" si="106"/>
        <v>0</v>
      </c>
      <c r="T334" s="11">
        <f t="shared" si="107"/>
        <v>0</v>
      </c>
      <c r="U334" s="11">
        <f>IF(A333=A334,0,VLOOKUP(A334,'Packing Time'!A:F,6,0))</f>
        <v>0</v>
      </c>
      <c r="V334" s="11">
        <f t="shared" si="97"/>
        <v>0</v>
      </c>
      <c r="W334" s="11">
        <f t="shared" si="98"/>
        <v>0</v>
      </c>
      <c r="X334" s="11">
        <f t="shared" si="108"/>
        <v>0</v>
      </c>
      <c r="Y334" s="11">
        <f t="shared" si="99"/>
        <v>0</v>
      </c>
      <c r="Z334" s="37">
        <v>1</v>
      </c>
      <c r="AA334" s="36">
        <f t="shared" si="109"/>
        <v>1</v>
      </c>
      <c r="AB334" s="36">
        <f t="shared" si="110"/>
        <v>0.57999999999999996</v>
      </c>
      <c r="AC334" s="11">
        <f t="shared" si="111"/>
        <v>0</v>
      </c>
      <c r="AD334" s="36">
        <f t="shared" si="100"/>
        <v>0</v>
      </c>
      <c r="AE334" s="36"/>
      <c r="AF334" s="36">
        <f>IFERROR(VLOOKUP(AE334,'Chemical Cost'!A:D,4,0),0)</f>
        <v>0</v>
      </c>
      <c r="AG334" s="114">
        <f t="shared" si="112"/>
        <v>0</v>
      </c>
      <c r="AH334" s="36">
        <f t="shared" ref="AH334:AH403" si="115">AF334*AA334/3</f>
        <v>0</v>
      </c>
      <c r="AI334" s="36">
        <f t="shared" si="101"/>
        <v>0.57999999999999996</v>
      </c>
      <c r="AJ334" s="36">
        <f>IFERROR(VLOOKUP(A334,'All Products'!A:F,6,0),0)</f>
        <v>4.04</v>
      </c>
      <c r="AK334" s="36"/>
      <c r="AL334" s="23">
        <v>0.8</v>
      </c>
      <c r="AM334" s="23">
        <v>0.2</v>
      </c>
      <c r="AN334" s="54" t="e">
        <v>#N/A</v>
      </c>
      <c r="AO334" s="47"/>
      <c r="AP334" s="4">
        <v>1.6</v>
      </c>
      <c r="AQ334" s="111">
        <f t="shared" si="113"/>
        <v>0</v>
      </c>
      <c r="AR334">
        <f>_xlfn.XLOOKUP(F334,'RM Cost'!A:A,'RM Cost'!S:S)</f>
        <v>0</v>
      </c>
      <c r="AS334" t="e">
        <f>_xlfn.XLOOKUP(A334,[3]Sheet1!$B:$B,[3]Sheet1!$B:$B)</f>
        <v>#N/A</v>
      </c>
    </row>
    <row r="335" spans="1:46" x14ac:dyDescent="0.25">
      <c r="A335" s="1" t="s">
        <v>296</v>
      </c>
      <c r="B335" s="2" t="s">
        <v>552</v>
      </c>
      <c r="C335" s="2" t="s">
        <v>615</v>
      </c>
      <c r="D335" s="2" t="s">
        <v>554</v>
      </c>
      <c r="E335" s="2">
        <v>1</v>
      </c>
      <c r="F335" s="1" t="str">
        <f>VLOOKUP(H335,'RM Used'!A:B,2,0)</f>
        <v>P0022</v>
      </c>
      <c r="G335" s="1" t="str">
        <f>IFERROR(VLOOKUP(F335,'RM Cost'!A:B,2,0),"")</f>
        <v>FILM FOR HDPE TRAY 573</v>
      </c>
      <c r="H335" s="2" t="s">
        <v>4667</v>
      </c>
      <c r="I335" s="1" t="str">
        <f>VLOOKUP(F335,'RM Used'!B:D,3,0)</f>
        <v>RM-PACKING</v>
      </c>
      <c r="J335" s="66">
        <v>1</v>
      </c>
      <c r="K335" s="35" t="str">
        <f>IF(I335="RM-FOOD",J335*E335,"")</f>
        <v/>
      </c>
      <c r="L335" s="35">
        <f t="shared" si="104"/>
        <v>0</v>
      </c>
      <c r="M335" s="77" t="str" cm="1">
        <f t="array" ref="M335">_xlfn.IFS(BOM!I335="RM-PACKING","100%",B335="Reynolds",VLOOKUP(H335,'Yield &amp; Time'!A:V,22,0),BOM!B335="Dnata",VLOOKUP(BOM!H335,'Yield &amp; Time'!A:M,13,0),B335="NK",VLOOKUP(H335,'Yield &amp; Time'!A:X,24,0))</f>
        <v>100%</v>
      </c>
      <c r="N335" s="35">
        <f>IFERROR(IF(I335="RM-FOOD",(E335*J335)/M335,1),0)</f>
        <v>1</v>
      </c>
      <c r="O335" s="1" t="str">
        <f>VLOOKUP(H335,'RM Used'!A:E,5,0)</f>
        <v>Count</v>
      </c>
      <c r="P335" s="11">
        <f>VLOOKUP(H335,'RM Used'!A:F,6,0)</f>
        <v>0.05</v>
      </c>
      <c r="Q335" s="11">
        <f t="shared" si="114"/>
        <v>0.05</v>
      </c>
      <c r="R335" s="11">
        <f>IFERROR(IF(B335="Reynolds",VLOOKUP(H335,'Yield &amp; Time'!A:U,21,0),VLOOKUP(H335,'Yield &amp; Time'!A:L,12,0)),0)</f>
        <v>0</v>
      </c>
      <c r="S335" s="11">
        <f t="shared" si="106"/>
        <v>0</v>
      </c>
      <c r="T335" s="11">
        <f t="shared" si="107"/>
        <v>0</v>
      </c>
      <c r="U335" s="11">
        <f>IF(A334=A335,0,VLOOKUP(A335,'Packing Time'!A:F,6,0))</f>
        <v>0</v>
      </c>
      <c r="V335" s="11">
        <f>U335*AO$1</f>
        <v>0</v>
      </c>
      <c r="W335" s="11">
        <f>(U335*Z335)/60</f>
        <v>0</v>
      </c>
      <c r="X335" s="11">
        <f t="shared" si="108"/>
        <v>0</v>
      </c>
      <c r="Y335" s="11">
        <f>X335*Z335</f>
        <v>0</v>
      </c>
      <c r="Z335" s="37">
        <v>1</v>
      </c>
      <c r="AA335" s="36">
        <f t="shared" si="109"/>
        <v>1</v>
      </c>
      <c r="AB335" s="36">
        <f t="shared" si="110"/>
        <v>0.05</v>
      </c>
      <c r="AC335" s="11">
        <f t="shared" si="111"/>
        <v>0</v>
      </c>
      <c r="AD335" s="36">
        <f>AC335*60*AO$1</f>
        <v>0</v>
      </c>
      <c r="AE335" s="36"/>
      <c r="AF335" s="36">
        <f>IFERROR(VLOOKUP(AE335,'Chemical Cost'!A:D,4,0),0)</f>
        <v>0</v>
      </c>
      <c r="AG335" s="114">
        <f t="shared" si="112"/>
        <v>0</v>
      </c>
      <c r="AH335" s="36">
        <f>AF335*AA335/3</f>
        <v>0</v>
      </c>
      <c r="AI335" s="36">
        <f>IFERROR((Q335*Z335)+(Z335*X335)+AH335,0)</f>
        <v>0.05</v>
      </c>
      <c r="AJ335" s="36">
        <f>IFERROR(VLOOKUP(A335,'All Products'!A:F,6,0),0)</f>
        <v>4.04</v>
      </c>
      <c r="AK335" s="36"/>
      <c r="AL335" s="23">
        <v>0.8</v>
      </c>
      <c r="AM335" s="23">
        <v>0.2</v>
      </c>
      <c r="AN335" s="54" t="e">
        <v>#N/A</v>
      </c>
      <c r="AO335" s="47"/>
      <c r="AP335" s="4">
        <v>1.6</v>
      </c>
      <c r="AQ335" s="111">
        <f t="shared" si="113"/>
        <v>0</v>
      </c>
      <c r="AR335">
        <f>_xlfn.XLOOKUP(F335,'RM Cost'!A:A,'RM Cost'!S:S)</f>
        <v>0</v>
      </c>
      <c r="AS335" t="e">
        <f>_xlfn.XLOOKUP(A335,[3]Sheet1!$B:$B,[3]Sheet1!$B:$B)</f>
        <v>#N/A</v>
      </c>
    </row>
    <row r="336" spans="1:46" x14ac:dyDescent="0.25">
      <c r="A336" s="1" t="s">
        <v>296</v>
      </c>
      <c r="B336" s="2" t="s">
        <v>552</v>
      </c>
      <c r="C336" s="2" t="s">
        <v>615</v>
      </c>
      <c r="D336" s="2" t="s">
        <v>554</v>
      </c>
      <c r="E336" s="2">
        <v>1</v>
      </c>
      <c r="F336" s="1" t="str">
        <f>VLOOKUP(H336,'RM Used'!A:B,2,0)</f>
        <v>P0016</v>
      </c>
      <c r="G336" s="1" t="str">
        <f>IFERROR(VLOOKUP(F336,'RM Cost'!A:B,2,0),"")</f>
        <v>REY 40 30 BOX</v>
      </c>
      <c r="H336" s="2" t="s">
        <v>1332</v>
      </c>
      <c r="I336" s="1" t="str">
        <f>VLOOKUP(F336,'RM Used'!B:D,3,0)</f>
        <v>RM-PACKING</v>
      </c>
      <c r="J336" s="66">
        <v>1</v>
      </c>
      <c r="K336" s="35" t="str">
        <f t="shared" si="96"/>
        <v/>
      </c>
      <c r="L336" s="35">
        <f t="shared" si="104"/>
        <v>0</v>
      </c>
      <c r="M336" s="77" t="str" cm="1">
        <f t="array" ref="M336">_xlfn.IFS(BOM!I336="RM-PACKING","100%",B336="Reynolds",VLOOKUP(H336,'Yield &amp; Time'!A:V,22,0),BOM!B336="Dnata",VLOOKUP(BOM!H336,'Yield &amp; Time'!A:M,13,0),B336="NK",VLOOKUP(H336,'Yield &amp; Time'!A:X,24,0))</f>
        <v>100%</v>
      </c>
      <c r="N336" s="35">
        <f t="shared" si="105"/>
        <v>1</v>
      </c>
      <c r="O336" s="1" t="str">
        <f>VLOOKUP(H336,'RM Used'!A:E,5,0)</f>
        <v>Count</v>
      </c>
      <c r="P336" s="11">
        <f>VLOOKUP(H336,'RM Used'!A:F,6,0)</f>
        <v>0.28000000000000003</v>
      </c>
      <c r="Q336" s="11">
        <f t="shared" si="114"/>
        <v>0.28000000000000003</v>
      </c>
      <c r="R336" s="11">
        <f>IFERROR(IF(B336="Reynolds",VLOOKUP(H336,'Yield &amp; Time'!A:U,21,0),VLOOKUP(H336,'Yield &amp; Time'!A:L,12,0)),0)</f>
        <v>0</v>
      </c>
      <c r="S336" s="11">
        <f t="shared" si="106"/>
        <v>0</v>
      </c>
      <c r="T336" s="11">
        <f t="shared" si="107"/>
        <v>0</v>
      </c>
      <c r="U336" s="11">
        <f>IF(A335=A336,0,VLOOKUP(A336,'Packing Time'!A:F,6,0))</f>
        <v>0</v>
      </c>
      <c r="V336" s="11">
        <f t="shared" si="97"/>
        <v>0</v>
      </c>
      <c r="W336" s="11">
        <f t="shared" si="98"/>
        <v>0</v>
      </c>
      <c r="X336" s="11">
        <f t="shared" si="108"/>
        <v>0</v>
      </c>
      <c r="Y336" s="11">
        <f t="shared" si="99"/>
        <v>0</v>
      </c>
      <c r="Z336" s="37">
        <v>1</v>
      </c>
      <c r="AA336" s="36">
        <f t="shared" si="109"/>
        <v>1</v>
      </c>
      <c r="AB336" s="36">
        <f t="shared" si="110"/>
        <v>0.28000000000000003</v>
      </c>
      <c r="AC336" s="11">
        <f t="shared" si="111"/>
        <v>0</v>
      </c>
      <c r="AD336" s="36">
        <f t="shared" si="100"/>
        <v>0</v>
      </c>
      <c r="AE336" s="36"/>
      <c r="AF336" s="36">
        <f>IFERROR(VLOOKUP(AE336,'Chemical Cost'!A:D,4,0),0)</f>
        <v>0</v>
      </c>
      <c r="AG336" s="114">
        <f t="shared" si="112"/>
        <v>0</v>
      </c>
      <c r="AH336" s="36">
        <f t="shared" si="115"/>
        <v>0</v>
      </c>
      <c r="AI336" s="36">
        <f t="shared" si="101"/>
        <v>0.28000000000000003</v>
      </c>
      <c r="AJ336" s="36">
        <f>IFERROR(VLOOKUP(A336,'All Products'!A:F,6,0),0)</f>
        <v>4.04</v>
      </c>
      <c r="AK336" s="36"/>
      <c r="AL336" s="23">
        <v>0.8</v>
      </c>
      <c r="AM336" s="23">
        <v>0.2</v>
      </c>
      <c r="AN336" s="54" t="e">
        <v>#N/A</v>
      </c>
      <c r="AO336" s="47"/>
      <c r="AP336" s="4">
        <v>1.6</v>
      </c>
      <c r="AQ336" s="111">
        <f t="shared" si="113"/>
        <v>0</v>
      </c>
      <c r="AR336">
        <f>_xlfn.XLOOKUP(F336,'RM Cost'!A:A,'RM Cost'!S:S)</f>
        <v>0</v>
      </c>
      <c r="AS336" t="e">
        <f>_xlfn.XLOOKUP(A336,[3]Sheet1!$B:$B,[3]Sheet1!$B:$B)</f>
        <v>#N/A</v>
      </c>
    </row>
    <row r="337" spans="1:46" x14ac:dyDescent="0.25">
      <c r="A337" s="1" t="s">
        <v>119</v>
      </c>
      <c r="B337" s="2" t="s">
        <v>552</v>
      </c>
      <c r="C337" s="2" t="s">
        <v>616</v>
      </c>
      <c r="D337" s="2" t="s">
        <v>554</v>
      </c>
      <c r="E337" s="2">
        <v>2.5</v>
      </c>
      <c r="F337" s="1" t="str">
        <f>VLOOKUP(H337,'RM Used'!A:B,2,0)</f>
        <v>5267CS</v>
      </c>
      <c r="G337" s="1" t="str">
        <f>IFERROR(VLOOKUP(F337,'RM Cost'!A:B,2,0),"")</f>
        <v>RM - CAULIFLOWER X 9KG</v>
      </c>
      <c r="H337" s="2" t="s">
        <v>1460</v>
      </c>
      <c r="I337" s="1" t="str">
        <f>VLOOKUP(F337,'RM Used'!B:D,3,0)</f>
        <v>RM-FOOD</v>
      </c>
      <c r="J337" s="66">
        <v>1</v>
      </c>
      <c r="K337" s="35">
        <f t="shared" si="96"/>
        <v>2.5</v>
      </c>
      <c r="L337" s="35">
        <f t="shared" si="104"/>
        <v>2.5</v>
      </c>
      <c r="M337" s="77" cm="1">
        <f t="array" ref="M337">_xlfn.IFS(BOM!I337="RM-PACKING","100%",B337="Reynolds",VLOOKUP(H337,'Yield &amp; Time'!A:V,22,0),BOM!B337="Dnata",VLOOKUP(BOM!H337,'Yield &amp; Time'!A:M,13,0),B337="NK",VLOOKUP(H337,'Yield &amp; Time'!A:X,24,0))</f>
        <v>0.40571428571428569</v>
      </c>
      <c r="N337" s="35">
        <f t="shared" si="105"/>
        <v>6.1619718309859159</v>
      </c>
      <c r="O337" s="1" t="str">
        <f>VLOOKUP(H337,'RM Used'!A:E,5,0)</f>
        <v>KG</v>
      </c>
      <c r="P337" s="11">
        <f>VLOOKUP(H337,'RM Used'!A:F,6,0)</f>
        <v>0.6</v>
      </c>
      <c r="Q337" s="11">
        <f t="shared" si="114"/>
        <v>3.6971830985915495</v>
      </c>
      <c r="R337" s="11">
        <f>IFERROR(IF(B337="Reynolds",VLOOKUP(H337,'Yield &amp; Time'!A:U,21,0),VLOOKUP(H337,'Yield &amp; Time'!A:L,12,0)),0)</f>
        <v>6.5962441314553999</v>
      </c>
      <c r="S337" s="11">
        <f t="shared" si="106"/>
        <v>5.5820715962441314</v>
      </c>
      <c r="T337" s="11">
        <f t="shared" si="107"/>
        <v>0.27484350547730835</v>
      </c>
      <c r="U337" s="11">
        <f>IF(A336=A337,0,VLOOKUP(A337,'Packing Time'!A:F,6,0))</f>
        <v>0.875</v>
      </c>
      <c r="V337" s="11">
        <f t="shared" si="97"/>
        <v>0.29618749999999999</v>
      </c>
      <c r="W337" s="11">
        <f t="shared" si="98"/>
        <v>1.4583333333333334E-2</v>
      </c>
      <c r="X337" s="11">
        <f t="shared" si="108"/>
        <v>6.4660850058685453</v>
      </c>
      <c r="Y337" s="11">
        <f t="shared" si="99"/>
        <v>6.4660850058685453</v>
      </c>
      <c r="Z337" s="37">
        <v>1</v>
      </c>
      <c r="AA337" s="36">
        <f t="shared" si="109"/>
        <v>6.1619718309859159</v>
      </c>
      <c r="AB337" s="36">
        <f t="shared" si="110"/>
        <v>3.6971830985915495</v>
      </c>
      <c r="AC337" s="11">
        <f t="shared" si="111"/>
        <v>0.31836952269170588</v>
      </c>
      <c r="AD337" s="36">
        <f t="shared" si="100"/>
        <v>6.4660850058685462</v>
      </c>
      <c r="AE337" s="36"/>
      <c r="AF337" s="36">
        <f>IFERROR(VLOOKUP(AE337,'Chemical Cost'!A:D,4,0),0)</f>
        <v>0</v>
      </c>
      <c r="AG337" s="114">
        <f t="shared" si="112"/>
        <v>0</v>
      </c>
      <c r="AH337" s="36">
        <f t="shared" si="115"/>
        <v>0</v>
      </c>
      <c r="AI337" s="36">
        <f t="shared" si="101"/>
        <v>10.163268104460094</v>
      </c>
      <c r="AJ337" s="36">
        <f>IFERROR(VLOOKUP(A337,'All Products'!A:F,6,0),0)</f>
        <v>16.62</v>
      </c>
      <c r="AK337" s="36">
        <f>AJ337*Z337*J337</f>
        <v>16.62</v>
      </c>
      <c r="AL337" s="23">
        <v>1</v>
      </c>
      <c r="AM337" s="23"/>
      <c r="AN337" s="54" t="e">
        <v>#N/A</v>
      </c>
      <c r="AO337" s="47"/>
      <c r="AP337" s="4">
        <v>1.1000000000000001</v>
      </c>
      <c r="AQ337" s="111">
        <f t="shared" si="113"/>
        <v>0.31836952269170588</v>
      </c>
      <c r="AR337">
        <f>_xlfn.XLOOKUP(F337,'RM Cost'!A:A,'RM Cost'!S:S)</f>
        <v>0</v>
      </c>
      <c r="AS337" t="e">
        <f>_xlfn.XLOOKUP(A337,[3]Sheet1!$B:$B,[3]Sheet1!$B:$B)</f>
        <v>#N/A</v>
      </c>
    </row>
    <row r="338" spans="1:46" x14ac:dyDescent="0.25">
      <c r="A338" s="1" t="s">
        <v>119</v>
      </c>
      <c r="B338" s="2" t="s">
        <v>552</v>
      </c>
      <c r="C338" s="2" t="s">
        <v>616</v>
      </c>
      <c r="D338" s="2" t="s">
        <v>554</v>
      </c>
      <c r="E338" s="2">
        <v>2.5</v>
      </c>
      <c r="F338" s="1" t="str">
        <f>VLOOKUP(H338,'RM Used'!A:B,2,0)</f>
        <v>P0020</v>
      </c>
      <c r="G338" s="1" t="str">
        <f>IFERROR(VLOOKUP(F338,'RM Cost'!A:B,2,0),"")</f>
        <v>PALE BLUE BAG 430X430MM</v>
      </c>
      <c r="H338" s="2" t="s">
        <v>1659</v>
      </c>
      <c r="I338" s="1" t="str">
        <f>VLOOKUP(F338,'RM Used'!B:D,3,0)</f>
        <v>RM-PACKING</v>
      </c>
      <c r="J338" s="66">
        <v>1</v>
      </c>
      <c r="K338" s="35" t="str">
        <f t="shared" si="96"/>
        <v/>
      </c>
      <c r="L338" s="35">
        <f t="shared" si="104"/>
        <v>0</v>
      </c>
      <c r="M338" s="77" t="str" cm="1">
        <f t="array" ref="M338">_xlfn.IFS(BOM!I338="RM-PACKING","100%",B338="Reynolds",VLOOKUP(H338,'Yield &amp; Time'!A:V,22,0),BOM!B338="Dnata",VLOOKUP(BOM!H338,'Yield &amp; Time'!A:M,13,0),B338="NK",VLOOKUP(H338,'Yield &amp; Time'!A:X,24,0))</f>
        <v>100%</v>
      </c>
      <c r="N338" s="35">
        <f t="shared" si="105"/>
        <v>1</v>
      </c>
      <c r="O338" s="1" t="str">
        <f>VLOOKUP(H338,'RM Used'!A:E,5,0)</f>
        <v>Count</v>
      </c>
      <c r="P338" s="11">
        <f>VLOOKUP(H338,'RM Used'!A:F,6,0)</f>
        <v>0.09</v>
      </c>
      <c r="Q338" s="11">
        <f t="shared" si="114"/>
        <v>0.09</v>
      </c>
      <c r="R338" s="11">
        <f>IFERROR(IF(B338="Reynolds",VLOOKUP(H338,'Yield &amp; Time'!A:U,21,0),VLOOKUP(H338,'Yield &amp; Time'!A:L,12,0)),0)</f>
        <v>0</v>
      </c>
      <c r="S338" s="11">
        <f t="shared" si="106"/>
        <v>0</v>
      </c>
      <c r="T338" s="11">
        <f t="shared" si="107"/>
        <v>0</v>
      </c>
      <c r="U338" s="11">
        <f>IF(A337=A338,0,VLOOKUP(A338,'Packing Time'!A:F,6,0))</f>
        <v>0</v>
      </c>
      <c r="V338" s="11">
        <f t="shared" si="97"/>
        <v>0</v>
      </c>
      <c r="W338" s="11">
        <f t="shared" si="98"/>
        <v>0</v>
      </c>
      <c r="X338" s="11">
        <f t="shared" si="108"/>
        <v>0</v>
      </c>
      <c r="Y338" s="11">
        <f t="shared" si="99"/>
        <v>0</v>
      </c>
      <c r="Z338" s="37">
        <v>1</v>
      </c>
      <c r="AA338" s="36">
        <f t="shared" si="109"/>
        <v>1</v>
      </c>
      <c r="AB338" s="36">
        <f t="shared" si="110"/>
        <v>0.09</v>
      </c>
      <c r="AC338" s="11">
        <f t="shared" si="111"/>
        <v>0</v>
      </c>
      <c r="AD338" s="36">
        <f t="shared" si="100"/>
        <v>0</v>
      </c>
      <c r="AE338" s="36"/>
      <c r="AF338" s="36">
        <f>IFERROR(VLOOKUP(AE338,'Chemical Cost'!A:D,4,0),0)</f>
        <v>0</v>
      </c>
      <c r="AG338" s="114">
        <f t="shared" si="112"/>
        <v>0</v>
      </c>
      <c r="AH338" s="36">
        <f t="shared" si="115"/>
        <v>0</v>
      </c>
      <c r="AI338" s="36">
        <f t="shared" si="101"/>
        <v>0.09</v>
      </c>
      <c r="AJ338" s="36">
        <f>IFERROR(VLOOKUP(A338,'All Products'!A:F,6,0),0)</f>
        <v>16.62</v>
      </c>
      <c r="AK338" s="36"/>
      <c r="AL338" s="23">
        <v>1</v>
      </c>
      <c r="AM338" s="23"/>
      <c r="AN338" s="54" t="e">
        <v>#N/A</v>
      </c>
      <c r="AO338" s="47"/>
      <c r="AP338" s="4">
        <v>1.1000000000000001</v>
      </c>
      <c r="AQ338" s="111">
        <f t="shared" si="113"/>
        <v>0</v>
      </c>
      <c r="AR338">
        <f>_xlfn.XLOOKUP(F338,'RM Cost'!A:A,'RM Cost'!S:S)</f>
        <v>0</v>
      </c>
      <c r="AS338" t="e">
        <f>_xlfn.XLOOKUP(A338,[3]Sheet1!$B:$B,[3]Sheet1!$B:$B)</f>
        <v>#N/A</v>
      </c>
    </row>
    <row r="339" spans="1:46" x14ac:dyDescent="0.25">
      <c r="A339" s="1" t="s">
        <v>119</v>
      </c>
      <c r="B339" s="2" t="s">
        <v>552</v>
      </c>
      <c r="C339" s="2" t="s">
        <v>616</v>
      </c>
      <c r="D339" s="2" t="s">
        <v>554</v>
      </c>
      <c r="E339" s="2">
        <v>2.5</v>
      </c>
      <c r="F339" s="1" t="str">
        <f>VLOOKUP(H339,'RM Used'!A:B,2,0)</f>
        <v>P0016</v>
      </c>
      <c r="G339" s="1" t="str">
        <f>IFERROR(VLOOKUP(F339,'RM Cost'!A:B,2,0),"")</f>
        <v>REY 40 30 BOX</v>
      </c>
      <c r="H339" s="2" t="s">
        <v>1332</v>
      </c>
      <c r="I339" s="1" t="str">
        <f>VLOOKUP(F339,'RM Used'!B:D,3,0)</f>
        <v>RM-PACKING</v>
      </c>
      <c r="J339" s="66">
        <v>1</v>
      </c>
      <c r="K339" s="35" t="str">
        <f t="shared" si="96"/>
        <v/>
      </c>
      <c r="L339" s="35">
        <f t="shared" si="104"/>
        <v>0</v>
      </c>
      <c r="M339" s="77" t="str" cm="1">
        <f t="array" ref="M339">_xlfn.IFS(BOM!I339="RM-PACKING","100%",B339="Reynolds",VLOOKUP(H339,'Yield &amp; Time'!A:V,22,0),BOM!B339="Dnata",VLOOKUP(BOM!H339,'Yield &amp; Time'!A:M,13,0),B339="NK",VLOOKUP(H339,'Yield &amp; Time'!A:X,24,0))</f>
        <v>100%</v>
      </c>
      <c r="N339" s="35">
        <f t="shared" si="105"/>
        <v>1</v>
      </c>
      <c r="O339" s="1" t="str">
        <f>VLOOKUP(H339,'RM Used'!A:E,5,0)</f>
        <v>Count</v>
      </c>
      <c r="P339" s="11">
        <f>VLOOKUP(H339,'RM Used'!A:F,6,0)</f>
        <v>0.28000000000000003</v>
      </c>
      <c r="Q339" s="11">
        <f t="shared" si="114"/>
        <v>0.28000000000000003</v>
      </c>
      <c r="R339" s="11">
        <f>IFERROR(IF(B339="Reynolds",VLOOKUP(H339,'Yield &amp; Time'!A:U,21,0),VLOOKUP(H339,'Yield &amp; Time'!A:L,12,0)),0)</f>
        <v>0</v>
      </c>
      <c r="S339" s="11">
        <f t="shared" si="106"/>
        <v>0</v>
      </c>
      <c r="T339" s="11">
        <f t="shared" si="107"/>
        <v>0</v>
      </c>
      <c r="U339" s="11">
        <f>IF(A338=A339,0,VLOOKUP(A339,'Packing Time'!A:F,6,0))</f>
        <v>0</v>
      </c>
      <c r="V339" s="11">
        <f t="shared" si="97"/>
        <v>0</v>
      </c>
      <c r="W339" s="11">
        <f t="shared" si="98"/>
        <v>0</v>
      </c>
      <c r="X339" s="11">
        <f t="shared" si="108"/>
        <v>0</v>
      </c>
      <c r="Y339" s="11">
        <f t="shared" si="99"/>
        <v>0</v>
      </c>
      <c r="Z339" s="37">
        <v>1</v>
      </c>
      <c r="AA339" s="36">
        <f t="shared" si="109"/>
        <v>1</v>
      </c>
      <c r="AB339" s="36">
        <f t="shared" si="110"/>
        <v>0.28000000000000003</v>
      </c>
      <c r="AC339" s="11">
        <f t="shared" si="111"/>
        <v>0</v>
      </c>
      <c r="AD339" s="36">
        <f t="shared" si="100"/>
        <v>0</v>
      </c>
      <c r="AE339" s="36"/>
      <c r="AF339" s="36">
        <f>IFERROR(VLOOKUP(AE339,'Chemical Cost'!A:D,4,0),0)</f>
        <v>0</v>
      </c>
      <c r="AG339" s="114">
        <f t="shared" si="112"/>
        <v>0</v>
      </c>
      <c r="AH339" s="36">
        <f t="shared" si="115"/>
        <v>0</v>
      </c>
      <c r="AI339" s="36">
        <f t="shared" si="101"/>
        <v>0.28000000000000003</v>
      </c>
      <c r="AJ339" s="36">
        <f>IFERROR(VLOOKUP(A339,'All Products'!A:F,6,0),0)</f>
        <v>16.62</v>
      </c>
      <c r="AK339" s="36"/>
      <c r="AL339" s="23">
        <v>1</v>
      </c>
      <c r="AM339" s="23"/>
      <c r="AN339" s="54" t="e">
        <v>#N/A</v>
      </c>
      <c r="AO339" s="47"/>
      <c r="AP339" s="4">
        <v>1.1000000000000001</v>
      </c>
      <c r="AQ339" s="111">
        <f t="shared" si="113"/>
        <v>0</v>
      </c>
      <c r="AR339">
        <f>_xlfn.XLOOKUP(F339,'RM Cost'!A:A,'RM Cost'!S:S)</f>
        <v>0</v>
      </c>
      <c r="AS339" t="e">
        <f>_xlfn.XLOOKUP(A339,[3]Sheet1!$B:$B,[3]Sheet1!$B:$B)</f>
        <v>#N/A</v>
      </c>
    </row>
    <row r="340" spans="1:46" x14ac:dyDescent="0.25">
      <c r="A340" s="1" t="s">
        <v>617</v>
      </c>
      <c r="B340" s="2" t="s">
        <v>552</v>
      </c>
      <c r="C340" s="2" t="s">
        <v>618</v>
      </c>
      <c r="D340" s="2" t="s">
        <v>554</v>
      </c>
      <c r="E340" s="2">
        <v>2.5</v>
      </c>
      <c r="F340" s="1" t="str">
        <f>VLOOKUP(H340,'RM Used'!A:B,2,0)</f>
        <v>3001CS</v>
      </c>
      <c r="G340" s="1" t="str">
        <f>IFERROR(VLOOKUP(F340,'RM Cost'!A:B,2,0),"")</f>
        <v>RM - AUBERGINE 5KG</v>
      </c>
      <c r="H340" s="2" t="s">
        <v>1407</v>
      </c>
      <c r="I340" s="1" t="str">
        <f>VLOOKUP(F340,'RM Used'!B:D,3,0)</f>
        <v>RM-FOOD</v>
      </c>
      <c r="J340" s="66">
        <v>0.2</v>
      </c>
      <c r="K340" s="35">
        <f t="shared" si="96"/>
        <v>0.5</v>
      </c>
      <c r="L340" s="35">
        <f t="shared" si="104"/>
        <v>0.5</v>
      </c>
      <c r="M340" s="77" cm="1">
        <f t="array" ref="M340">_xlfn.IFS(BOM!I340="RM-PACKING","100%",B340="Reynolds",VLOOKUP(H340,'Yield &amp; Time'!A:V,22,0),BOM!B340="Dnata",VLOOKUP(BOM!H340,'Yield &amp; Time'!A:M,13,0),B340="NK",VLOOKUP(H340,'Yield &amp; Time'!A:X,24,0))</f>
        <v>0.8</v>
      </c>
      <c r="N340" s="35">
        <f t="shared" si="105"/>
        <v>0.625</v>
      </c>
      <c r="O340" s="1" t="str">
        <f>VLOOKUP(H340,'RM Used'!A:E,5,0)</f>
        <v>KG</v>
      </c>
      <c r="P340" s="11">
        <f>VLOOKUP(H340,'RM Used'!A:F,6,0)</f>
        <v>1.34</v>
      </c>
      <c r="Q340" s="11">
        <f t="shared" si="114"/>
        <v>0.83750000000000002</v>
      </c>
      <c r="R340" s="11">
        <f>IFERROR(IF(B340="Reynolds",VLOOKUP(H340,'Yield &amp; Time'!A:U,21,0),VLOOKUP(H340,'Yield &amp; Time'!A:L,12,0)),0)</f>
        <v>1.6625000000000001</v>
      </c>
      <c r="S340" s="11">
        <f t="shared" si="106"/>
        <v>0.28137812499999998</v>
      </c>
      <c r="T340" s="11">
        <f t="shared" si="107"/>
        <v>1.3854166666666667E-2</v>
      </c>
      <c r="U340" s="11">
        <f>IF(A339=A340,0,VLOOKUP(A340,'Packing Time'!A:F,6,0))</f>
        <v>0.875</v>
      </c>
      <c r="V340" s="11">
        <f t="shared" si="97"/>
        <v>0.29618749999999999</v>
      </c>
      <c r="W340" s="11">
        <f t="shared" si="98"/>
        <v>1.4583333333333334E-2</v>
      </c>
      <c r="X340" s="11">
        <f t="shared" si="108"/>
        <v>0.92410499999999995</v>
      </c>
      <c r="Y340" s="11">
        <f t="shared" si="99"/>
        <v>0.92410499999999995</v>
      </c>
      <c r="Z340" s="37">
        <v>1</v>
      </c>
      <c r="AA340" s="36">
        <f t="shared" si="109"/>
        <v>0.625</v>
      </c>
      <c r="AB340" s="36">
        <f t="shared" si="110"/>
        <v>0.83750000000000002</v>
      </c>
      <c r="AC340" s="11">
        <f t="shared" si="111"/>
        <v>4.5500000000000006E-2</v>
      </c>
      <c r="AD340" s="36">
        <f t="shared" si="100"/>
        <v>0.92410500000000007</v>
      </c>
      <c r="AE340" s="36" t="str">
        <f>VLOOKUP(H340,'Yield &amp; Time'!A:R,18,0)</f>
        <v>SODIUM METABISULPHITE</v>
      </c>
      <c r="AF340" s="36">
        <f>IFERROR(VLOOKUP(AE340,'Chemical Cost'!A:D,4,0),0)</f>
        <v>9.7586225455882462E-3</v>
      </c>
      <c r="AG340" s="114">
        <f t="shared" si="112"/>
        <v>2.0330463636642183E-3</v>
      </c>
      <c r="AH340" s="36">
        <f t="shared" si="115"/>
        <v>2.0330463636642183E-3</v>
      </c>
      <c r="AI340" s="36">
        <f t="shared" si="101"/>
        <v>1.7636380463636641</v>
      </c>
      <c r="AJ340" s="36">
        <f>IFERROR(VLOOKUP(A340,'All Products'!A:F,6,0),0)</f>
        <v>8.93</v>
      </c>
      <c r="AK340" s="36">
        <f t="shared" ref="AK340:AK346" si="116">AJ340*Z340*J340</f>
        <v>1.786</v>
      </c>
      <c r="AL340" s="23">
        <v>1</v>
      </c>
      <c r="AM340" s="23"/>
      <c r="AN340" s="54" t="e">
        <v>#N/A</v>
      </c>
      <c r="AO340" s="47"/>
      <c r="AP340" s="4">
        <v>1.6</v>
      </c>
      <c r="AQ340" s="111">
        <f t="shared" si="113"/>
        <v>4.5500000000000006E-2</v>
      </c>
      <c r="AR340">
        <f>_xlfn.XLOOKUP(F340,'RM Cost'!A:A,'RM Cost'!S:S)</f>
        <v>0</v>
      </c>
      <c r="AS340" t="e">
        <f>_xlfn.XLOOKUP(A340,[3]Sheet1!$B:$B,[3]Sheet1!$B:$B)</f>
        <v>#N/A</v>
      </c>
    </row>
    <row r="341" spans="1:46" x14ac:dyDescent="0.25">
      <c r="A341" s="1" t="s">
        <v>617</v>
      </c>
      <c r="B341" s="2" t="s">
        <v>552</v>
      </c>
      <c r="C341" s="2" t="s">
        <v>618</v>
      </c>
      <c r="D341" s="2" t="s">
        <v>554</v>
      </c>
      <c r="E341" s="2">
        <v>2.5</v>
      </c>
      <c r="F341" s="1" t="str">
        <f>VLOOKUP(H341,'RM Used'!A:B,2,0)</f>
        <v>0930CS</v>
      </c>
      <c r="G341" s="1" t="str">
        <f>IFERROR(VLOOKUP(F341,'RM Cost'!A:B,2,0),"")</f>
        <v>RM - COURGETTE STANDARD</v>
      </c>
      <c r="H341" s="2" t="s">
        <v>1408</v>
      </c>
      <c r="I341" s="1" t="str">
        <f>VLOOKUP(F341,'RM Used'!B:D,3,0)</f>
        <v>RM-FOOD</v>
      </c>
      <c r="J341" s="66">
        <v>0.2</v>
      </c>
      <c r="K341" s="35">
        <f t="shared" ref="K341:K416" si="117">IF(I341="RM-FOOD",J341*E341,"")</f>
        <v>0.5</v>
      </c>
      <c r="L341" s="35">
        <f t="shared" si="104"/>
        <v>0.5</v>
      </c>
      <c r="M341" s="77" cm="1">
        <f t="array" ref="M341">_xlfn.IFS(BOM!I341="RM-PACKING","100%",B341="Reynolds",VLOOKUP(H341,'Yield &amp; Time'!A:V,22,0),BOM!B341="Dnata",VLOOKUP(BOM!H341,'Yield &amp; Time'!A:M,13,0),B341="NK",VLOOKUP(H341,'Yield &amp; Time'!A:X,24,0))</f>
        <v>0.80999999999999994</v>
      </c>
      <c r="N341" s="35">
        <f t="shared" si="105"/>
        <v>0.61728395061728403</v>
      </c>
      <c r="O341" s="1" t="str">
        <f>VLOOKUP(H341,'RM Used'!A:E,5,0)</f>
        <v>KG</v>
      </c>
      <c r="P341" s="11">
        <f>VLOOKUP(H341,'RM Used'!A:F,6,0)</f>
        <v>1.1000000000000001</v>
      </c>
      <c r="Q341" s="11">
        <f t="shared" si="114"/>
        <v>0.67901234567901247</v>
      </c>
      <c r="R341" s="11">
        <f>IFERROR(IF(B341="Reynolds",VLOOKUP(H341,'Yield &amp; Time'!A:U,21,0),VLOOKUP(H341,'Yield &amp; Time'!A:L,12,0)),0)</f>
        <v>1.5432098765432098</v>
      </c>
      <c r="S341" s="11">
        <f t="shared" si="106"/>
        <v>0.26118827160493829</v>
      </c>
      <c r="T341" s="11">
        <f t="shared" si="107"/>
        <v>1.2860082304526751E-2</v>
      </c>
      <c r="U341" s="11">
        <f>IF(A340=A341,0,VLOOKUP(A341,'Packing Time'!A:F,6,0))</f>
        <v>0</v>
      </c>
      <c r="V341" s="11">
        <f t="shared" si="97"/>
        <v>0</v>
      </c>
      <c r="W341" s="11">
        <f t="shared" si="98"/>
        <v>0</v>
      </c>
      <c r="X341" s="11">
        <f t="shared" si="108"/>
        <v>0.41790123456790129</v>
      </c>
      <c r="Y341" s="11">
        <f t="shared" si="99"/>
        <v>0.41790123456790129</v>
      </c>
      <c r="Z341" s="37">
        <v>1</v>
      </c>
      <c r="AA341" s="36">
        <f t="shared" si="109"/>
        <v>0.61728395061728403</v>
      </c>
      <c r="AB341" s="36">
        <f t="shared" si="110"/>
        <v>0.67901234567901247</v>
      </c>
      <c r="AC341" s="11">
        <f t="shared" si="111"/>
        <v>2.0576131687242802E-2</v>
      </c>
      <c r="AD341" s="36">
        <f t="shared" si="100"/>
        <v>0.41790123456790124</v>
      </c>
      <c r="AE341" s="36"/>
      <c r="AF341" s="36">
        <f>IFERROR(VLOOKUP(AE341,'Chemical Cost'!A:D,4,0),0)</f>
        <v>0</v>
      </c>
      <c r="AG341" s="114">
        <f t="shared" si="112"/>
        <v>0</v>
      </c>
      <c r="AH341" s="36">
        <f t="shared" si="115"/>
        <v>0</v>
      </c>
      <c r="AI341" s="36">
        <f t="shared" si="101"/>
        <v>1.0969135802469139</v>
      </c>
      <c r="AJ341" s="36">
        <f>IFERROR(VLOOKUP(A341,'All Products'!A:F,6,0),0)</f>
        <v>8.93</v>
      </c>
      <c r="AK341" s="36">
        <f t="shared" si="116"/>
        <v>1.786</v>
      </c>
      <c r="AL341" s="23">
        <v>1</v>
      </c>
      <c r="AM341" s="23"/>
      <c r="AN341" s="54" t="e">
        <v>#N/A</v>
      </c>
      <c r="AO341" s="47"/>
      <c r="AP341" s="4">
        <v>1.6</v>
      </c>
      <c r="AQ341" s="111">
        <f t="shared" si="113"/>
        <v>2.0576131687242802E-2</v>
      </c>
      <c r="AR341">
        <f>_xlfn.XLOOKUP(F341,'RM Cost'!A:A,'RM Cost'!S:S)</f>
        <v>1.1644775886170367</v>
      </c>
      <c r="AS341" t="e">
        <f>_xlfn.XLOOKUP(A341,[3]Sheet1!$B:$B,[3]Sheet1!$B:$B)</f>
        <v>#N/A</v>
      </c>
    </row>
    <row r="342" spans="1:46" x14ac:dyDescent="0.25">
      <c r="A342" s="1" t="s">
        <v>617</v>
      </c>
      <c r="B342" s="2" t="s">
        <v>552</v>
      </c>
      <c r="C342" s="2" t="s">
        <v>618</v>
      </c>
      <c r="D342" s="2" t="s">
        <v>554</v>
      </c>
      <c r="E342" s="2">
        <v>2.5</v>
      </c>
      <c r="F342" s="1" t="str">
        <f>VLOOKUP(H342,'RM Used'!A:B,2,0)</f>
        <v>1318CS</v>
      </c>
      <c r="G342" s="1" t="str">
        <f>IFERROR(VLOOKUP(F342,'RM Cost'!A:B,2,0),"")</f>
        <v>RM - PREP ONION RED WHOLE 2.5KG</v>
      </c>
      <c r="H342" s="2" t="s">
        <v>1409</v>
      </c>
      <c r="I342" s="1" t="str">
        <f>VLOOKUP(F342,'RM Used'!B:D,3,0)</f>
        <v>RM-FOOD</v>
      </c>
      <c r="J342" s="66">
        <v>0.2</v>
      </c>
      <c r="K342" s="35">
        <f t="shared" si="117"/>
        <v>0.5</v>
      </c>
      <c r="L342" s="35">
        <f t="shared" si="104"/>
        <v>0.5</v>
      </c>
      <c r="M342" s="77" cm="1">
        <f t="array" ref="M342">_xlfn.IFS(BOM!I342="RM-PACKING","100%",B342="Reynolds",VLOOKUP(H342,'Yield &amp; Time'!A:V,22,0),BOM!B342="Dnata",VLOOKUP(BOM!H342,'Yield &amp; Time'!A:M,13,0),B342="NK",VLOOKUP(H342,'Yield &amp; Time'!A:X,24,0))</f>
        <v>0.8367952522255192</v>
      </c>
      <c r="N342" s="35">
        <f t="shared" si="105"/>
        <v>0.59751773049645396</v>
      </c>
      <c r="O342" s="1" t="str">
        <f>VLOOKUP(H342,'RM Used'!A:E,5,0)</f>
        <v>KG</v>
      </c>
      <c r="P342" s="11">
        <f>VLOOKUP(H342,'RM Used'!A:F,6,0)</f>
        <v>1.08</v>
      </c>
      <c r="Q342" s="11">
        <f t="shared" si="114"/>
        <v>0.64531914893617037</v>
      </c>
      <c r="R342" s="11">
        <f>IFERROR(IF(B342="Reynolds",VLOOKUP(H342,'Yield &amp; Time'!A:U,21,0),VLOOKUP(H342,'Yield &amp; Time'!A:L,12,0)),0)</f>
        <v>2.8368794326241136</v>
      </c>
      <c r="S342" s="11">
        <f t="shared" si="106"/>
        <v>0.48014184397163118</v>
      </c>
      <c r="T342" s="11">
        <f t="shared" si="107"/>
        <v>2.3640661938534278E-2</v>
      </c>
      <c r="U342" s="11">
        <f>IF(A341=A342,0,VLOOKUP(A342,'Packing Time'!A:F,6,0))</f>
        <v>0</v>
      </c>
      <c r="V342" s="11">
        <f t="shared" ref="V342:V417" si="118">U342*AO$1</f>
        <v>0</v>
      </c>
      <c r="W342" s="11">
        <f t="shared" ref="W342:W417" si="119">(U342*Z342)/60</f>
        <v>0</v>
      </c>
      <c r="X342" s="11">
        <f t="shared" si="108"/>
        <v>0.76822695035460997</v>
      </c>
      <c r="Y342" s="11">
        <f t="shared" ref="Y342:Y417" si="120">X342*Z342</f>
        <v>0.76822695035460997</v>
      </c>
      <c r="Z342" s="37">
        <v>1</v>
      </c>
      <c r="AA342" s="36">
        <f t="shared" si="109"/>
        <v>0.59751773049645396</v>
      </c>
      <c r="AB342" s="36">
        <f t="shared" si="110"/>
        <v>0.64531914893617037</v>
      </c>
      <c r="AC342" s="11">
        <f t="shared" si="111"/>
        <v>3.7825059101654845E-2</v>
      </c>
      <c r="AD342" s="36">
        <f t="shared" ref="AD342:AD417" si="121">AC342*60*AO$1</f>
        <v>0.76822695035460975</v>
      </c>
      <c r="AE342" s="36"/>
      <c r="AF342" s="36">
        <f>IFERROR(VLOOKUP(AE342,'Chemical Cost'!A:D,4,0),0)</f>
        <v>0</v>
      </c>
      <c r="AG342" s="114">
        <f t="shared" si="112"/>
        <v>0</v>
      </c>
      <c r="AH342" s="36">
        <f t="shared" si="115"/>
        <v>0</v>
      </c>
      <c r="AI342" s="36">
        <f t="shared" ref="AI342:AI417" si="122">IFERROR((Q342*Z342)+(Z342*X342)+AH342,0)</f>
        <v>1.4135460992907802</v>
      </c>
      <c r="AJ342" s="36">
        <f>IFERROR(VLOOKUP(A342,'All Products'!A:F,6,0),0)</f>
        <v>8.93</v>
      </c>
      <c r="AK342" s="36">
        <f t="shared" si="116"/>
        <v>1.786</v>
      </c>
      <c r="AL342" s="23">
        <v>1</v>
      </c>
      <c r="AM342" s="23"/>
      <c r="AN342" s="54" t="e">
        <v>#N/A</v>
      </c>
      <c r="AO342" s="47"/>
      <c r="AP342" s="4">
        <v>1.6</v>
      </c>
      <c r="AQ342" s="111">
        <f t="shared" si="113"/>
        <v>3.7825059101654845E-2</v>
      </c>
      <c r="AR342">
        <f>_xlfn.XLOOKUP(F342,'RM Cost'!A:A,'RM Cost'!S:S)</f>
        <v>0</v>
      </c>
      <c r="AS342" t="e">
        <f>_xlfn.XLOOKUP(A342,[3]Sheet1!$B:$B,[3]Sheet1!$B:$B)</f>
        <v>#N/A</v>
      </c>
    </row>
    <row r="343" spans="1:46" x14ac:dyDescent="0.25">
      <c r="A343" s="1" t="s">
        <v>617</v>
      </c>
      <c r="B343" s="2" t="s">
        <v>552</v>
      </c>
      <c r="C343" s="2" t="s">
        <v>618</v>
      </c>
      <c r="D343" s="2" t="s">
        <v>554</v>
      </c>
      <c r="E343" s="2">
        <v>2.5</v>
      </c>
      <c r="F343" s="1" t="str">
        <f>VLOOKUP(H343,'RM Used'!A:B,2,0)</f>
        <v>206ACS</v>
      </c>
      <c r="G343" s="1" t="str">
        <f>IFERROR(VLOOKUP(F343,'RM Cost'!A:B,2,0),"")</f>
        <v>RM - PREP ONION WHOLE 10KG</v>
      </c>
      <c r="H343" s="1" t="s">
        <v>1410</v>
      </c>
      <c r="I343" s="1" t="str">
        <f>VLOOKUP(F343,'RM Used'!B:D,3,0)</f>
        <v>RM-FOOD</v>
      </c>
      <c r="J343" s="66">
        <v>0.2</v>
      </c>
      <c r="K343" s="35">
        <f t="shared" si="117"/>
        <v>0.5</v>
      </c>
      <c r="L343" s="35">
        <f t="shared" si="104"/>
        <v>0.5</v>
      </c>
      <c r="M343" s="77" cm="1">
        <f t="array" ref="M343">_xlfn.IFS(BOM!I343="RM-PACKING","100%",B343="Reynolds",VLOOKUP(H343,'Yield &amp; Time'!A:V,22,0),BOM!B343="Dnata",VLOOKUP(BOM!H343,'Yield &amp; Time'!A:M,13,0),B343="NK",VLOOKUP(H343,'Yield &amp; Time'!A:X,24,0))</f>
        <v>0.85</v>
      </c>
      <c r="N343" s="35">
        <f t="shared" si="105"/>
        <v>0.58823529411764708</v>
      </c>
      <c r="O343" s="1" t="str">
        <f>VLOOKUP(H343,'RM Used'!A:E,5,0)</f>
        <v>KG</v>
      </c>
      <c r="P343" s="11">
        <f>VLOOKUP(H343,'RM Used'!A:F,6,0)</f>
        <v>0.87</v>
      </c>
      <c r="Q343" s="11">
        <f t="shared" si="114"/>
        <v>0.51176470588235301</v>
      </c>
      <c r="R343" s="11">
        <f>IFERROR(IF(B343="Reynolds",VLOOKUP(H343,'Yield &amp; Time'!A:U,21,0),VLOOKUP(H343,'Yield &amp; Time'!A:L,12,0)),0)</f>
        <v>2.84</v>
      </c>
      <c r="S343" s="11">
        <f t="shared" si="106"/>
        <v>0.48066999999999993</v>
      </c>
      <c r="T343" s="11">
        <f t="shared" si="107"/>
        <v>2.3666666666666666E-2</v>
      </c>
      <c r="U343" s="11">
        <f>IF(A342=A343,0,VLOOKUP(A343,'Packing Time'!A:F,6,0))</f>
        <v>0</v>
      </c>
      <c r="V343" s="11">
        <f t="shared" si="118"/>
        <v>0</v>
      </c>
      <c r="W343" s="11">
        <f t="shared" si="119"/>
        <v>0</v>
      </c>
      <c r="X343" s="11">
        <f t="shared" si="108"/>
        <v>0.76907199999999998</v>
      </c>
      <c r="Y343" s="11">
        <f t="shared" si="120"/>
        <v>0.76907199999999998</v>
      </c>
      <c r="Z343" s="37">
        <v>1</v>
      </c>
      <c r="AA343" s="36">
        <f t="shared" si="109"/>
        <v>0.58823529411764708</v>
      </c>
      <c r="AB343" s="36">
        <f t="shared" si="110"/>
        <v>0.51176470588235301</v>
      </c>
      <c r="AC343" s="11">
        <f t="shared" si="111"/>
        <v>3.7866666666666667E-2</v>
      </c>
      <c r="AD343" s="36">
        <f t="shared" si="121"/>
        <v>0.76907199999999987</v>
      </c>
      <c r="AE343" s="36"/>
      <c r="AF343" s="36">
        <f>IFERROR(VLOOKUP(AE343,'Chemical Cost'!A:D,4,0),0)</f>
        <v>0</v>
      </c>
      <c r="AG343" s="114">
        <f t="shared" si="112"/>
        <v>0</v>
      </c>
      <c r="AH343" s="36">
        <f t="shared" si="115"/>
        <v>0</v>
      </c>
      <c r="AI343" s="36">
        <f t="shared" si="122"/>
        <v>1.2808367058823529</v>
      </c>
      <c r="AJ343" s="36">
        <f>IFERROR(VLOOKUP(A343,'All Products'!A:F,6,0),0)</f>
        <v>8.93</v>
      </c>
      <c r="AK343" s="36">
        <f t="shared" si="116"/>
        <v>1.786</v>
      </c>
      <c r="AL343" s="23">
        <v>1</v>
      </c>
      <c r="AM343" s="23"/>
      <c r="AN343" s="54" t="e">
        <v>#N/A</v>
      </c>
      <c r="AO343" s="47"/>
      <c r="AP343" s="4">
        <v>1.6</v>
      </c>
      <c r="AQ343" s="111">
        <f t="shared" si="113"/>
        <v>3.7866666666666667E-2</v>
      </c>
      <c r="AR343">
        <f>_xlfn.XLOOKUP(F343,'RM Cost'!A:A,'RM Cost'!S:S)</f>
        <v>0</v>
      </c>
      <c r="AS343" t="e">
        <f>_xlfn.XLOOKUP(A343,[3]Sheet1!$B:$B,[3]Sheet1!$B:$B)</f>
        <v>#N/A</v>
      </c>
    </row>
    <row r="344" spans="1:46" x14ac:dyDescent="0.25">
      <c r="A344" s="1" t="s">
        <v>617</v>
      </c>
      <c r="B344" s="2" t="s">
        <v>552</v>
      </c>
      <c r="C344" s="2" t="s">
        <v>618</v>
      </c>
      <c r="D344" s="2" t="s">
        <v>554</v>
      </c>
      <c r="E344" s="2">
        <v>2.5</v>
      </c>
      <c r="F344" s="1" t="str">
        <f>VLOOKUP(H344,'RM Used'!A:B,2,0)</f>
        <v>3566CS</v>
      </c>
      <c r="G344" s="1" t="str">
        <f>IFERROR(VLOOKUP(F344,'RM Cost'!A:B,2,0),"")</f>
        <v>PEPPERS RED X 5KG</v>
      </c>
      <c r="H344" s="2" t="s">
        <v>1411</v>
      </c>
      <c r="I344" s="1" t="str">
        <f>VLOOKUP(F344,'RM Used'!B:D,3,0)</f>
        <v>RM-FOOD</v>
      </c>
      <c r="J344" s="66">
        <v>7.0000000000000007E-2</v>
      </c>
      <c r="K344" s="35">
        <f t="shared" si="117"/>
        <v>0.17500000000000002</v>
      </c>
      <c r="L344" s="35">
        <f t="shared" si="104"/>
        <v>0.17500000000000002</v>
      </c>
      <c r="M344" s="77" cm="1">
        <f t="array" ref="M344">_xlfn.IFS(BOM!I344="RM-PACKING","100%",B344="Reynolds",VLOOKUP(H344,'Yield &amp; Time'!A:V,22,0),BOM!B344="Dnata",VLOOKUP(BOM!H344,'Yield &amp; Time'!A:M,13,0),B344="NK",VLOOKUP(H344,'Yield &amp; Time'!A:X,24,0))</f>
        <v>0.44</v>
      </c>
      <c r="N344" s="35">
        <f t="shared" si="105"/>
        <v>0.39772727272727276</v>
      </c>
      <c r="O344" s="1" t="str">
        <f>VLOOKUP(H344,'RM Used'!A:E,5,0)</f>
        <v>KG</v>
      </c>
      <c r="P344" s="11">
        <f>VLOOKUP(H344,'RM Used'!A:F,6,0)</f>
        <v>1.72</v>
      </c>
      <c r="Q344" s="11">
        <f t="shared" si="114"/>
        <v>0.68409090909090919</v>
      </c>
      <c r="R344" s="11">
        <f>IFERROR(IF(B344="Reynolds",VLOOKUP(H344,'Yield &amp; Time'!A:U,21,0),VLOOKUP(H344,'Yield &amp; Time'!A:L,12,0)),0)</f>
        <v>6</v>
      </c>
      <c r="S344" s="11">
        <f t="shared" si="106"/>
        <v>0.35542499999999999</v>
      </c>
      <c r="T344" s="11">
        <f t="shared" si="107"/>
        <v>1.7500000000000002E-2</v>
      </c>
      <c r="U344" s="11">
        <f>IF(A343=A344,0,VLOOKUP(A344,'Packing Time'!A:F,6,0))</f>
        <v>0</v>
      </c>
      <c r="V344" s="11">
        <f t="shared" si="118"/>
        <v>0</v>
      </c>
      <c r="W344" s="11">
        <f t="shared" si="119"/>
        <v>0</v>
      </c>
      <c r="X344" s="11">
        <f t="shared" si="108"/>
        <v>0.56867999999999996</v>
      </c>
      <c r="Y344" s="11">
        <f t="shared" si="120"/>
        <v>0.56867999999999996</v>
      </c>
      <c r="Z344" s="37">
        <v>1</v>
      </c>
      <c r="AA344" s="36">
        <f t="shared" si="109"/>
        <v>0.39772727272727276</v>
      </c>
      <c r="AB344" s="36">
        <f t="shared" si="110"/>
        <v>0.68409090909090919</v>
      </c>
      <c r="AC344" s="11">
        <f t="shared" si="111"/>
        <v>2.8000000000000004E-2</v>
      </c>
      <c r="AD344" s="36">
        <f t="shared" si="121"/>
        <v>0.56867999999999996</v>
      </c>
      <c r="AE344" s="36"/>
      <c r="AF344" s="36">
        <f>IFERROR(VLOOKUP(AE344,'Chemical Cost'!A:D,4,0),0)</f>
        <v>0</v>
      </c>
      <c r="AG344" s="114">
        <f t="shared" si="112"/>
        <v>0</v>
      </c>
      <c r="AH344" s="36">
        <f t="shared" si="115"/>
        <v>0</v>
      </c>
      <c r="AI344" s="36">
        <f t="shared" si="122"/>
        <v>1.2527709090909092</v>
      </c>
      <c r="AJ344" s="36">
        <f>IFERROR(VLOOKUP(A344,'All Products'!A:F,6,0),0)</f>
        <v>8.93</v>
      </c>
      <c r="AK344" s="36">
        <f t="shared" si="116"/>
        <v>0.62509999999999999</v>
      </c>
      <c r="AL344" s="23">
        <v>1</v>
      </c>
      <c r="AM344" s="23"/>
      <c r="AN344" s="54" t="e">
        <v>#N/A</v>
      </c>
      <c r="AO344" s="47"/>
      <c r="AP344" s="4">
        <v>1.6</v>
      </c>
      <c r="AQ344" s="111">
        <f t="shared" si="113"/>
        <v>2.8000000000000004E-2</v>
      </c>
      <c r="AR344">
        <f>_xlfn.XLOOKUP(F344,'RM Cost'!A:A,'RM Cost'!S:S)</f>
        <v>0</v>
      </c>
      <c r="AS344" t="e">
        <f>_xlfn.XLOOKUP(A344,[3]Sheet1!$B:$B,[3]Sheet1!$B:$B)</f>
        <v>#N/A</v>
      </c>
    </row>
    <row r="345" spans="1:46" x14ac:dyDescent="0.25">
      <c r="A345" s="1" t="s">
        <v>617</v>
      </c>
      <c r="B345" s="2" t="s">
        <v>552</v>
      </c>
      <c r="C345" s="2" t="s">
        <v>618</v>
      </c>
      <c r="D345" s="2" t="s">
        <v>554</v>
      </c>
      <c r="E345" s="2">
        <v>2.5</v>
      </c>
      <c r="F345" s="1" t="str">
        <f>VLOOKUP(H345,'RM Used'!A:B,2,0)</f>
        <v>3565CS</v>
      </c>
      <c r="G345" s="1" t="str">
        <f>IFERROR(VLOOKUP(F345,'RM Cost'!A:B,2,0),"")</f>
        <v>RM - PEPPERS GREEN  X 5KG</v>
      </c>
      <c r="H345" s="2" t="s">
        <v>1412</v>
      </c>
      <c r="I345" s="1" t="str">
        <f>VLOOKUP(F345,'RM Used'!B:D,3,0)</f>
        <v>RM-FOOD</v>
      </c>
      <c r="J345" s="66">
        <v>7.0000000000000007E-2</v>
      </c>
      <c r="K345" s="35">
        <f t="shared" si="117"/>
        <v>0.17500000000000002</v>
      </c>
      <c r="L345" s="35">
        <f t="shared" si="104"/>
        <v>0.17500000000000002</v>
      </c>
      <c r="M345" s="77" cm="1">
        <f t="array" ref="M345">_xlfn.IFS(BOM!I345="RM-PACKING","100%",B345="Reynolds",VLOOKUP(H345,'Yield &amp; Time'!A:V,22,0),BOM!B345="Dnata",VLOOKUP(BOM!H345,'Yield &amp; Time'!A:M,13,0),B345="NK",VLOOKUP(H345,'Yield &amp; Time'!A:X,24,0))</f>
        <v>0.44</v>
      </c>
      <c r="N345" s="35">
        <f t="shared" si="105"/>
        <v>0.39772727272727276</v>
      </c>
      <c r="O345" s="1" t="str">
        <f>VLOOKUP(H345,'RM Used'!A:E,5,0)</f>
        <v>KG</v>
      </c>
      <c r="P345" s="11">
        <f>VLOOKUP(H345,'RM Used'!A:F,6,0)</f>
        <v>1.76</v>
      </c>
      <c r="Q345" s="11">
        <f t="shared" si="114"/>
        <v>0.70000000000000007</v>
      </c>
      <c r="R345" s="11">
        <f>IFERROR(IF(B345="Reynolds",VLOOKUP(H345,'Yield &amp; Time'!A:U,21,0),VLOOKUP(H345,'Yield &amp; Time'!A:L,12,0)),0)</f>
        <v>6.25</v>
      </c>
      <c r="S345" s="11">
        <f t="shared" si="106"/>
        <v>0.37023437500000006</v>
      </c>
      <c r="T345" s="11">
        <f t="shared" si="107"/>
        <v>1.8229166666666671E-2</v>
      </c>
      <c r="U345" s="11">
        <f>IF(A344=A345,0,VLOOKUP(A345,'Packing Time'!A:F,6,0))</f>
        <v>0</v>
      </c>
      <c r="V345" s="11">
        <f t="shared" si="118"/>
        <v>0</v>
      </c>
      <c r="W345" s="11">
        <f t="shared" si="119"/>
        <v>0</v>
      </c>
      <c r="X345" s="11">
        <f t="shared" si="108"/>
        <v>0.5923750000000001</v>
      </c>
      <c r="Y345" s="11">
        <f t="shared" si="120"/>
        <v>0.5923750000000001</v>
      </c>
      <c r="Z345" s="37">
        <v>1</v>
      </c>
      <c r="AA345" s="36">
        <f t="shared" si="109"/>
        <v>0.39772727272727276</v>
      </c>
      <c r="AB345" s="36">
        <f t="shared" si="110"/>
        <v>0.70000000000000007</v>
      </c>
      <c r="AC345" s="11">
        <f t="shared" si="111"/>
        <v>2.9166666666666674E-2</v>
      </c>
      <c r="AD345" s="36">
        <f t="shared" si="121"/>
        <v>0.5923750000000001</v>
      </c>
      <c r="AE345" s="36"/>
      <c r="AF345" s="36">
        <f>IFERROR(VLOOKUP(AE345,'Chemical Cost'!A:D,4,0),0)</f>
        <v>0</v>
      </c>
      <c r="AG345" s="114">
        <f t="shared" si="112"/>
        <v>0</v>
      </c>
      <c r="AH345" s="36">
        <f t="shared" si="115"/>
        <v>0</v>
      </c>
      <c r="AI345" s="36">
        <f t="shared" si="122"/>
        <v>1.2923750000000003</v>
      </c>
      <c r="AJ345" s="36">
        <f>IFERROR(VLOOKUP(A345,'All Products'!A:F,6,0),0)</f>
        <v>8.93</v>
      </c>
      <c r="AK345" s="36">
        <f t="shared" si="116"/>
        <v>0.62509999999999999</v>
      </c>
      <c r="AL345" s="23">
        <v>1</v>
      </c>
      <c r="AM345" s="23"/>
      <c r="AN345" s="54" t="e">
        <v>#N/A</v>
      </c>
      <c r="AO345" s="47"/>
      <c r="AP345" s="4">
        <v>1.6</v>
      </c>
      <c r="AQ345" s="111">
        <f t="shared" si="113"/>
        <v>2.9166666666666674E-2</v>
      </c>
      <c r="AR345">
        <f>_xlfn.XLOOKUP(F345,'RM Cost'!A:A,'RM Cost'!S:S)</f>
        <v>0</v>
      </c>
      <c r="AS345" t="e">
        <f>_xlfn.XLOOKUP(A345,[3]Sheet1!$B:$B,[3]Sheet1!$B:$B)</f>
        <v>#N/A</v>
      </c>
    </row>
    <row r="346" spans="1:46" x14ac:dyDescent="0.25">
      <c r="A346" s="1" t="s">
        <v>617</v>
      </c>
      <c r="B346" s="2" t="s">
        <v>552</v>
      </c>
      <c r="C346" s="2" t="s">
        <v>618</v>
      </c>
      <c r="D346" s="2" t="s">
        <v>554</v>
      </c>
      <c r="E346" s="2">
        <v>2.5</v>
      </c>
      <c r="F346" s="1" t="str">
        <f>VLOOKUP(H346,'RM Used'!A:B,2,0)</f>
        <v>3567CS</v>
      </c>
      <c r="G346" s="1" t="str">
        <f>IFERROR(VLOOKUP(F346,'RM Cost'!A:B,2,0),"")</f>
        <v>RM - PEPPERS YELLOW  X 5KG</v>
      </c>
      <c r="H346" s="2" t="s">
        <v>1413</v>
      </c>
      <c r="I346" s="1" t="str">
        <f>VLOOKUP(F346,'RM Used'!B:D,3,0)</f>
        <v>RM-FOOD</v>
      </c>
      <c r="J346" s="66">
        <v>7.0000000000000007E-2</v>
      </c>
      <c r="K346" s="35">
        <f t="shared" si="117"/>
        <v>0.17500000000000002</v>
      </c>
      <c r="L346" s="35">
        <f t="shared" si="104"/>
        <v>0.17500000000000002</v>
      </c>
      <c r="M346" s="77" cm="1">
        <f t="array" ref="M346">_xlfn.IFS(BOM!I346="RM-PACKING","100%",B346="Reynolds",VLOOKUP(H346,'Yield &amp; Time'!A:V,22,0),BOM!B346="Dnata",VLOOKUP(BOM!H346,'Yield &amp; Time'!A:M,13,0),B346="NK",VLOOKUP(H346,'Yield &amp; Time'!A:X,24,0))</f>
        <v>0.44</v>
      </c>
      <c r="N346" s="35">
        <f t="shared" si="105"/>
        <v>0.39772727272727276</v>
      </c>
      <c r="O346" s="1" t="str">
        <f>VLOOKUP(H346,'RM Used'!A:E,5,0)</f>
        <v>KG</v>
      </c>
      <c r="P346" s="11">
        <f>VLOOKUP(H346,'RM Used'!A:F,6,0)</f>
        <v>1.68</v>
      </c>
      <c r="Q346" s="11">
        <f t="shared" si="114"/>
        <v>0.66818181818181821</v>
      </c>
      <c r="R346" s="11">
        <f>IFERROR(IF(B346="Reynolds",VLOOKUP(H346,'Yield &amp; Time'!A:U,21,0),VLOOKUP(H346,'Yield &amp; Time'!A:L,12,0)),0)</f>
        <v>6.25</v>
      </c>
      <c r="S346" s="11">
        <f t="shared" si="106"/>
        <v>0.37023437500000006</v>
      </c>
      <c r="T346" s="11">
        <f t="shared" si="107"/>
        <v>1.8229166666666671E-2</v>
      </c>
      <c r="U346" s="11">
        <f>IF(A345=A346,0,VLOOKUP(A346,'Packing Time'!A:F,6,0))</f>
        <v>0</v>
      </c>
      <c r="V346" s="11">
        <f t="shared" si="118"/>
        <v>0</v>
      </c>
      <c r="W346" s="11">
        <f t="shared" si="119"/>
        <v>0</v>
      </c>
      <c r="X346" s="11">
        <f t="shared" si="108"/>
        <v>0.5923750000000001</v>
      </c>
      <c r="Y346" s="11">
        <f t="shared" si="120"/>
        <v>0.5923750000000001</v>
      </c>
      <c r="Z346" s="37">
        <v>1</v>
      </c>
      <c r="AA346" s="36">
        <f t="shared" si="109"/>
        <v>0.39772727272727276</v>
      </c>
      <c r="AB346" s="36">
        <f t="shared" si="110"/>
        <v>0.66818181818181821</v>
      </c>
      <c r="AC346" s="11">
        <f t="shared" si="111"/>
        <v>2.9166666666666674E-2</v>
      </c>
      <c r="AD346" s="36">
        <f t="shared" si="121"/>
        <v>0.5923750000000001</v>
      </c>
      <c r="AE346" s="36"/>
      <c r="AF346" s="36">
        <f>IFERROR(VLOOKUP(AE346,'Chemical Cost'!A:D,4,0),0)</f>
        <v>0</v>
      </c>
      <c r="AG346" s="114">
        <f t="shared" si="112"/>
        <v>0</v>
      </c>
      <c r="AH346" s="36">
        <f t="shared" si="115"/>
        <v>0</v>
      </c>
      <c r="AI346" s="36">
        <f t="shared" si="122"/>
        <v>1.2605568181818183</v>
      </c>
      <c r="AJ346" s="36">
        <f>IFERROR(VLOOKUP(A346,'All Products'!A:F,6,0),0)</f>
        <v>8.93</v>
      </c>
      <c r="AK346" s="36">
        <f t="shared" si="116"/>
        <v>0.62509999999999999</v>
      </c>
      <c r="AL346" s="23">
        <v>1</v>
      </c>
      <c r="AM346" s="23"/>
      <c r="AN346" s="54" t="e">
        <v>#N/A</v>
      </c>
      <c r="AO346" s="47"/>
      <c r="AP346" s="4">
        <v>1.6</v>
      </c>
      <c r="AQ346" s="111">
        <f t="shared" si="113"/>
        <v>2.9166666666666674E-2</v>
      </c>
      <c r="AR346">
        <f>_xlfn.XLOOKUP(F346,'RM Cost'!A:A,'RM Cost'!S:S)</f>
        <v>0</v>
      </c>
      <c r="AS346" t="e">
        <f>_xlfn.XLOOKUP(A346,[3]Sheet1!$B:$B,[3]Sheet1!$B:$B)</f>
        <v>#N/A</v>
      </c>
    </row>
    <row r="347" spans="1:46" x14ac:dyDescent="0.25">
      <c r="A347" s="1" t="s">
        <v>617</v>
      </c>
      <c r="B347" s="2" t="s">
        <v>552</v>
      </c>
      <c r="C347" s="2" t="s">
        <v>618</v>
      </c>
      <c r="D347" s="2" t="s">
        <v>554</v>
      </c>
      <c r="E347" s="2">
        <v>2.5</v>
      </c>
      <c r="F347" s="1" t="str">
        <f>VLOOKUP(H347,'RM Used'!A:B,2,0)</f>
        <v>P0020</v>
      </c>
      <c r="G347" s="1" t="str">
        <f>IFERROR(VLOOKUP(F347,'RM Cost'!A:B,2,0),"")</f>
        <v>PALE BLUE BAG 430X430MM</v>
      </c>
      <c r="H347" s="2" t="s">
        <v>1659</v>
      </c>
      <c r="I347" s="1" t="str">
        <f>VLOOKUP(F347,'RM Used'!B:D,3,0)</f>
        <v>RM-PACKING</v>
      </c>
      <c r="J347" s="66">
        <v>1</v>
      </c>
      <c r="K347" s="35" t="str">
        <f t="shared" si="117"/>
        <v/>
      </c>
      <c r="L347" s="35">
        <f t="shared" si="104"/>
        <v>0</v>
      </c>
      <c r="M347" s="77" t="str" cm="1">
        <f t="array" ref="M347">_xlfn.IFS(BOM!I347="RM-PACKING","100%",B347="Reynolds",VLOOKUP(H347,'Yield &amp; Time'!A:V,22,0),BOM!B347="Dnata",VLOOKUP(BOM!H347,'Yield &amp; Time'!A:M,13,0),B347="NK",VLOOKUP(H347,'Yield &amp; Time'!A:X,24,0))</f>
        <v>100%</v>
      </c>
      <c r="N347" s="35">
        <f t="shared" si="105"/>
        <v>1</v>
      </c>
      <c r="O347" s="1" t="str">
        <f>VLOOKUP(H347,'RM Used'!A:E,5,0)</f>
        <v>Count</v>
      </c>
      <c r="P347" s="11">
        <f>VLOOKUP(H347,'RM Used'!A:F,6,0)</f>
        <v>0.09</v>
      </c>
      <c r="Q347" s="11">
        <f t="shared" si="114"/>
        <v>0.09</v>
      </c>
      <c r="R347" s="11">
        <f>IFERROR(IF(B347="Reynolds",VLOOKUP(H347,'Yield &amp; Time'!A:U,21,0),VLOOKUP(H347,'Yield &amp; Time'!A:L,12,0)),0)</f>
        <v>0</v>
      </c>
      <c r="S347" s="11">
        <f t="shared" si="106"/>
        <v>0</v>
      </c>
      <c r="T347" s="11">
        <f t="shared" si="107"/>
        <v>0</v>
      </c>
      <c r="U347" s="11">
        <f>IF(A346=A347,0,VLOOKUP(A347,'Packing Time'!A:F,6,0))</f>
        <v>0</v>
      </c>
      <c r="V347" s="11">
        <f t="shared" si="118"/>
        <v>0</v>
      </c>
      <c r="W347" s="11">
        <f t="shared" si="119"/>
        <v>0</v>
      </c>
      <c r="X347" s="11">
        <f t="shared" si="108"/>
        <v>0</v>
      </c>
      <c r="Y347" s="11">
        <f t="shared" si="120"/>
        <v>0</v>
      </c>
      <c r="Z347" s="37">
        <v>1</v>
      </c>
      <c r="AA347" s="36">
        <f t="shared" si="109"/>
        <v>1</v>
      </c>
      <c r="AB347" s="36">
        <f t="shared" si="110"/>
        <v>0.09</v>
      </c>
      <c r="AC347" s="11">
        <f t="shared" si="111"/>
        <v>0</v>
      </c>
      <c r="AD347" s="36">
        <f t="shared" si="121"/>
        <v>0</v>
      </c>
      <c r="AE347" s="36"/>
      <c r="AF347" s="36">
        <f>IFERROR(VLOOKUP(AE347,'Chemical Cost'!A:D,4,0),0)</f>
        <v>0</v>
      </c>
      <c r="AG347" s="114">
        <f t="shared" si="112"/>
        <v>0</v>
      </c>
      <c r="AH347" s="36">
        <f t="shared" si="115"/>
        <v>0</v>
      </c>
      <c r="AI347" s="36">
        <f t="shared" si="122"/>
        <v>0.09</v>
      </c>
      <c r="AJ347" s="36">
        <f>IFERROR(VLOOKUP(A347,'All Products'!A:F,6,0),0)</f>
        <v>8.93</v>
      </c>
      <c r="AK347" s="36"/>
      <c r="AL347" s="23">
        <v>1</v>
      </c>
      <c r="AM347" s="23"/>
      <c r="AN347" s="54" t="e">
        <v>#N/A</v>
      </c>
      <c r="AO347" s="47"/>
      <c r="AP347" s="4">
        <v>1.6</v>
      </c>
      <c r="AQ347" s="111">
        <f t="shared" si="113"/>
        <v>0</v>
      </c>
      <c r="AR347">
        <f>_xlfn.XLOOKUP(F347,'RM Cost'!A:A,'RM Cost'!S:S)</f>
        <v>0</v>
      </c>
      <c r="AS347" t="e">
        <f>_xlfn.XLOOKUP(A347,[3]Sheet1!$B:$B,[3]Sheet1!$B:$B)</f>
        <v>#N/A</v>
      </c>
    </row>
    <row r="348" spans="1:46" x14ac:dyDescent="0.25">
      <c r="A348" s="1" t="s">
        <v>617</v>
      </c>
      <c r="B348" s="2" t="s">
        <v>552</v>
      </c>
      <c r="C348" s="2" t="s">
        <v>618</v>
      </c>
      <c r="D348" s="2" t="s">
        <v>554</v>
      </c>
      <c r="E348" s="2">
        <v>2.5</v>
      </c>
      <c r="F348" s="1" t="str">
        <f>VLOOKUP(H348,'RM Used'!A:B,2,0)</f>
        <v>P0016</v>
      </c>
      <c r="G348" s="1" t="str">
        <f>IFERROR(VLOOKUP(F348,'RM Cost'!A:B,2,0),"")</f>
        <v>REY 40 30 BOX</v>
      </c>
      <c r="H348" s="2" t="s">
        <v>1332</v>
      </c>
      <c r="I348" s="1" t="str">
        <f>VLOOKUP(F348,'RM Used'!B:D,3,0)</f>
        <v>RM-PACKING</v>
      </c>
      <c r="J348" s="66">
        <v>1</v>
      </c>
      <c r="K348" s="35" t="str">
        <f t="shared" si="117"/>
        <v/>
      </c>
      <c r="L348" s="35">
        <f t="shared" si="104"/>
        <v>0</v>
      </c>
      <c r="M348" s="77" t="str" cm="1">
        <f t="array" ref="M348">_xlfn.IFS(BOM!I348="RM-PACKING","100%",B348="Reynolds",VLOOKUP(H348,'Yield &amp; Time'!A:V,22,0),BOM!B348="Dnata",VLOOKUP(BOM!H348,'Yield &amp; Time'!A:M,13,0),B348="NK",VLOOKUP(H348,'Yield &amp; Time'!A:X,24,0))</f>
        <v>100%</v>
      </c>
      <c r="N348" s="35">
        <f t="shared" si="105"/>
        <v>1</v>
      </c>
      <c r="O348" s="1" t="str">
        <f>VLOOKUP(H348,'RM Used'!A:E,5,0)</f>
        <v>Count</v>
      </c>
      <c r="P348" s="11">
        <f>VLOOKUP(H348,'RM Used'!A:F,6,0)</f>
        <v>0.28000000000000003</v>
      </c>
      <c r="Q348" s="11">
        <f t="shared" si="114"/>
        <v>0.28000000000000003</v>
      </c>
      <c r="R348" s="11">
        <f>IFERROR(IF(B348="Reynolds",VLOOKUP(H348,'Yield &amp; Time'!A:U,21,0),VLOOKUP(H348,'Yield &amp; Time'!A:L,12,0)),0)</f>
        <v>0</v>
      </c>
      <c r="S348" s="11">
        <f t="shared" si="106"/>
        <v>0</v>
      </c>
      <c r="T348" s="11">
        <f t="shared" si="107"/>
        <v>0</v>
      </c>
      <c r="U348" s="11">
        <f>IF(A347=A348,0,VLOOKUP(A348,'Packing Time'!A:F,6,0))</f>
        <v>0</v>
      </c>
      <c r="V348" s="11">
        <f t="shared" si="118"/>
        <v>0</v>
      </c>
      <c r="W348" s="11">
        <f t="shared" si="119"/>
        <v>0</v>
      </c>
      <c r="X348" s="11">
        <f t="shared" si="108"/>
        <v>0</v>
      </c>
      <c r="Y348" s="11">
        <f t="shared" si="120"/>
        <v>0</v>
      </c>
      <c r="Z348" s="37">
        <v>1</v>
      </c>
      <c r="AA348" s="36">
        <f t="shared" si="109"/>
        <v>1</v>
      </c>
      <c r="AB348" s="36">
        <f t="shared" si="110"/>
        <v>0.28000000000000003</v>
      </c>
      <c r="AC348" s="11">
        <f t="shared" si="111"/>
        <v>0</v>
      </c>
      <c r="AD348" s="36">
        <f t="shared" si="121"/>
        <v>0</v>
      </c>
      <c r="AE348" s="36"/>
      <c r="AF348" s="36">
        <f>IFERROR(VLOOKUP(AE348,'Chemical Cost'!A:D,4,0),0)</f>
        <v>0</v>
      </c>
      <c r="AG348" s="114">
        <f t="shared" si="112"/>
        <v>0</v>
      </c>
      <c r="AH348" s="36">
        <f t="shared" si="115"/>
        <v>0</v>
      </c>
      <c r="AI348" s="36">
        <f t="shared" si="122"/>
        <v>0.28000000000000003</v>
      </c>
      <c r="AJ348" s="36">
        <f>IFERROR(VLOOKUP(A348,'All Products'!A:F,6,0),0)</f>
        <v>8.93</v>
      </c>
      <c r="AK348" s="36"/>
      <c r="AL348" s="23">
        <v>1</v>
      </c>
      <c r="AM348" s="23"/>
      <c r="AN348" s="54" t="e">
        <v>#N/A</v>
      </c>
      <c r="AO348" s="47"/>
      <c r="AP348" s="4">
        <v>1.6</v>
      </c>
      <c r="AQ348" s="111">
        <f t="shared" si="113"/>
        <v>0</v>
      </c>
      <c r="AR348">
        <f>_xlfn.XLOOKUP(F348,'RM Cost'!A:A,'RM Cost'!S:S)</f>
        <v>0</v>
      </c>
      <c r="AS348" t="e">
        <f>_xlfn.XLOOKUP(A348,[3]Sheet1!$B:$B,[3]Sheet1!$B:$B)</f>
        <v>#N/A</v>
      </c>
    </row>
    <row r="349" spans="1:46" x14ac:dyDescent="0.25">
      <c r="A349" s="1" t="s">
        <v>104</v>
      </c>
      <c r="B349" s="2" t="s">
        <v>552</v>
      </c>
      <c r="C349" s="2" t="s">
        <v>105</v>
      </c>
      <c r="D349" s="2" t="s">
        <v>554</v>
      </c>
      <c r="E349" s="2">
        <v>2.7</v>
      </c>
      <c r="F349" s="1" t="str">
        <f>VLOOKUP(H349,'RM Used'!A:B,2,0)</f>
        <v>2792CS</v>
      </c>
      <c r="G349" s="1" t="str">
        <f>IFERROR(VLOOKUP(F349,'RM Cost'!A:B,2,0),"")</f>
        <v>RM - MELON ORANGE FLESH X 6</v>
      </c>
      <c r="H349" s="2" t="s">
        <v>1461</v>
      </c>
      <c r="I349" s="1" t="str">
        <f>VLOOKUP(F349,'RM Used'!B:D,3,0)</f>
        <v>RM-FOOD</v>
      </c>
      <c r="J349" s="66">
        <v>0.7407407407407407</v>
      </c>
      <c r="K349" s="35">
        <f t="shared" si="117"/>
        <v>2</v>
      </c>
      <c r="L349" s="35">
        <f t="shared" si="104"/>
        <v>2</v>
      </c>
      <c r="M349" s="77" cm="1">
        <f t="array" ref="M349">_xlfn.IFS(BOM!I349="RM-PACKING","100%",B349="Reynolds",VLOOKUP(H349,'Yield &amp; Time'!A:V,22,0),BOM!B349="Dnata",VLOOKUP(BOM!H349,'Yield &amp; Time'!A:M,13,0),B349="NK",VLOOKUP(H349,'Yield &amp; Time'!A:X,24,0))</f>
        <v>0.42430939226519337</v>
      </c>
      <c r="N349" s="35">
        <f t="shared" si="105"/>
        <v>4.713541666666667</v>
      </c>
      <c r="O349" s="1" t="str">
        <f>VLOOKUP(H349,'RM Used'!A:E,5,0)</f>
        <v>KG</v>
      </c>
      <c r="P349" s="11">
        <f>VLOOKUP(H349,'RM Used'!A:F,6,0)</f>
        <v>1.32</v>
      </c>
      <c r="Q349" s="11">
        <f t="shared" si="114"/>
        <v>6.2218750000000007</v>
      </c>
      <c r="R349" s="11">
        <f>IFERROR(IF(B349="Reynolds",VLOOKUP(H349,'Yield &amp; Time'!A:U,21,0),VLOOKUP(H349,'Yield &amp; Time'!A:L,12,0)),0)</f>
        <v>3.3527777777777779</v>
      </c>
      <c r="S349" s="11">
        <f t="shared" si="106"/>
        <v>2.2698305555555556</v>
      </c>
      <c r="T349" s="11">
        <f t="shared" si="107"/>
        <v>0.11175925925925928</v>
      </c>
      <c r="U349" s="11">
        <f>IF(A348=A349,0,VLOOKUP(A349,'Packing Time'!A:F,6,0))</f>
        <v>0.8</v>
      </c>
      <c r="V349" s="11">
        <f t="shared" si="118"/>
        <v>0.27079999999999999</v>
      </c>
      <c r="W349" s="11">
        <f t="shared" si="119"/>
        <v>1.3333333333333334E-2</v>
      </c>
      <c r="X349" s="11">
        <f t="shared" si="108"/>
        <v>4.0650088888888893</v>
      </c>
      <c r="Y349" s="11">
        <f t="shared" si="120"/>
        <v>4.0650088888888893</v>
      </c>
      <c r="Z349" s="37">
        <v>1</v>
      </c>
      <c r="AA349" s="36">
        <f t="shared" si="109"/>
        <v>4.713541666666667</v>
      </c>
      <c r="AB349" s="36">
        <f t="shared" si="110"/>
        <v>6.2218750000000007</v>
      </c>
      <c r="AC349" s="11">
        <f t="shared" si="111"/>
        <v>0.20014814814814819</v>
      </c>
      <c r="AD349" s="36">
        <f t="shared" si="121"/>
        <v>4.0650088888888893</v>
      </c>
      <c r="AE349" s="36" t="str">
        <f>VLOOKUP(H349,'Yield &amp; Time'!A:R,18,0)</f>
        <v>CHLORINE</v>
      </c>
      <c r="AF349" s="36">
        <f>IFERROR(VLOOKUP(AE349,'Chemical Cost'!A:D,4,0),0)</f>
        <v>2.7756518066439469E-2</v>
      </c>
      <c r="AG349" s="114">
        <f t="shared" si="112"/>
        <v>4.3610501475916184E-2</v>
      </c>
      <c r="AH349" s="36">
        <f t="shared" si="115"/>
        <v>4.3610501475916184E-2</v>
      </c>
      <c r="AI349" s="36">
        <f t="shared" si="122"/>
        <v>10.330494390364807</v>
      </c>
      <c r="AJ349" s="36">
        <f>IFERROR(VLOOKUP(A349,'All Products'!A:F,6,0),0)</f>
        <v>16.3</v>
      </c>
      <c r="AK349" s="36">
        <f>AJ349*Z349*J349</f>
        <v>12.074074074074074</v>
      </c>
      <c r="AL349" s="23"/>
      <c r="AM349" s="23">
        <v>1</v>
      </c>
      <c r="AN349" s="54" t="e">
        <v>#N/A</v>
      </c>
      <c r="AO349" s="47"/>
      <c r="AP349" s="4">
        <v>1.6</v>
      </c>
      <c r="AQ349" s="111">
        <f t="shared" si="113"/>
        <v>0.20014814814814819</v>
      </c>
      <c r="AR349">
        <f>_xlfn.XLOOKUP(F349,'RM Cost'!A:A,'RM Cost'!S:S)</f>
        <v>0</v>
      </c>
      <c r="AS349" t="str">
        <f>_xlfn.XLOOKUP(A349,[3]Sheet1!$B:$B,[3]Sheet1!$B:$B)</f>
        <v>1865CS</v>
      </c>
      <c r="AT349" t="str">
        <f>_xlfn.XLOOKUP(H349,'Yield &amp; Time'!A:A,'Yield &amp; Time'!O:O)</f>
        <v>Yes</v>
      </c>
    </row>
    <row r="350" spans="1:46" x14ac:dyDescent="0.25">
      <c r="A350" s="1" t="s">
        <v>104</v>
      </c>
      <c r="B350" s="2" t="s">
        <v>552</v>
      </c>
      <c r="C350" s="2" t="s">
        <v>105</v>
      </c>
      <c r="D350" s="2" t="s">
        <v>554</v>
      </c>
      <c r="E350" s="2">
        <v>2.7</v>
      </c>
      <c r="F350" s="1" t="str">
        <f>VLOOKUP(H350,'RM Used'!A:B,2,0)</f>
        <v>8929CS</v>
      </c>
      <c r="G350" s="1" t="str">
        <f>IFERROR(VLOOKUP(F350,'RM Cost'!A:B,2,0),"")</f>
        <v>GRANULATED SUGAR 1 X 25K</v>
      </c>
      <c r="H350" s="2" t="s">
        <v>1757</v>
      </c>
      <c r="I350" s="1" t="str">
        <f>VLOOKUP(F350,'RM Used'!B:D,3,0)</f>
        <v>RM-FOOD</v>
      </c>
      <c r="J350" s="66">
        <v>0.25925925925925924</v>
      </c>
      <c r="K350" s="35">
        <f>IF(I350="RM-FOOD",J350*E350,"")</f>
        <v>0.7</v>
      </c>
      <c r="L350" s="35">
        <f t="shared" si="104"/>
        <v>0.7</v>
      </c>
      <c r="M350" s="77" cm="1">
        <f t="array" ref="M350">_xlfn.IFS(BOM!I350="RM-PACKING","100%",B350="Reynolds",VLOOKUP(H350,'Yield &amp; Time'!A:V,22,0),BOM!B350="Dnata",VLOOKUP(BOM!H350,'Yield &amp; Time'!A:M,13,0),B350="NK",VLOOKUP(H350,'Yield &amp; Time'!A:X,24,0))</f>
        <v>1</v>
      </c>
      <c r="N350" s="35">
        <f>IFERROR(IF(I350="RM-FOOD",(E350*J350)/M350,1),0)</f>
        <v>0.7</v>
      </c>
      <c r="O350" s="1" t="str">
        <f>VLOOKUP(H350,'RM Used'!A:E,5,0)</f>
        <v>KG</v>
      </c>
      <c r="P350" s="11">
        <f>VLOOKUP(H350,'RM Used'!A:F,6,0)</f>
        <v>6.3E-2</v>
      </c>
      <c r="Q350" s="11">
        <f t="shared" si="114"/>
        <v>4.41E-2</v>
      </c>
      <c r="R350" s="11">
        <f>IFERROR(IF(B350="Reynolds",VLOOKUP(H350,'Yield &amp; Time'!A:U,21,0),VLOOKUP(H350,'Yield &amp; Time'!A:L,12,0)),0)</f>
        <v>0.16666666666666666</v>
      </c>
      <c r="S350" s="11">
        <f t="shared" si="106"/>
        <v>3.9491666666666661E-2</v>
      </c>
      <c r="T350" s="11">
        <f t="shared" si="107"/>
        <v>1.9444444444444444E-3</v>
      </c>
      <c r="U350" s="11">
        <f>IF(A349=A350,0,VLOOKUP(A350,'Packing Time'!A:F,6,0))</f>
        <v>0</v>
      </c>
      <c r="V350" s="11">
        <f>U350*AO$1</f>
        <v>0</v>
      </c>
      <c r="W350" s="11">
        <f>(U350*Z350)/60</f>
        <v>0</v>
      </c>
      <c r="X350" s="11">
        <f t="shared" si="108"/>
        <v>6.3186666666666655E-2</v>
      </c>
      <c r="Y350" s="11">
        <f>X350*Z350</f>
        <v>6.3186666666666655E-2</v>
      </c>
      <c r="Z350" s="37">
        <v>1</v>
      </c>
      <c r="AA350" s="36">
        <f t="shared" si="109"/>
        <v>0.7</v>
      </c>
      <c r="AB350" s="36">
        <f t="shared" si="110"/>
        <v>4.41E-2</v>
      </c>
      <c r="AC350" s="11">
        <f t="shared" si="111"/>
        <v>3.1111111111111114E-3</v>
      </c>
      <c r="AD350" s="36">
        <f>AC350*60*AO$1</f>
        <v>6.3186666666666669E-2</v>
      </c>
      <c r="AE350" s="36">
        <f>VLOOKUP(H350,'Yield &amp; Time'!A:R,18,0)</f>
        <v>0</v>
      </c>
      <c r="AF350" s="36">
        <f>IFERROR(VLOOKUP(AE350,'Chemical Cost'!A:D,4,0),0)</f>
        <v>0</v>
      </c>
      <c r="AG350" s="114">
        <f t="shared" si="112"/>
        <v>0</v>
      </c>
      <c r="AH350" s="36">
        <f t="shared" si="115"/>
        <v>0</v>
      </c>
      <c r="AI350" s="36">
        <f>IFERROR((Q350*Z350)+(Z350*X350)+AH350,0)</f>
        <v>0.10728666666666666</v>
      </c>
      <c r="AJ350" s="36">
        <f>IFERROR(VLOOKUP(A350,'All Products'!A:F,6,0),0)</f>
        <v>16.3</v>
      </c>
      <c r="AK350" s="36">
        <f>AJ350*Z350*J350</f>
        <v>4.2259259259259263</v>
      </c>
      <c r="AL350" s="23"/>
      <c r="AM350" s="23">
        <v>1</v>
      </c>
      <c r="AN350" s="54" t="e">
        <v>#N/A</v>
      </c>
      <c r="AO350" s="47"/>
      <c r="AP350" s="4">
        <v>1.6</v>
      </c>
      <c r="AQ350" s="111">
        <f t="shared" si="113"/>
        <v>3.1111111111111114E-3</v>
      </c>
      <c r="AR350">
        <f>_xlfn.XLOOKUP(F350,'RM Cost'!A:A,'RM Cost'!S:S)</f>
        <v>0</v>
      </c>
      <c r="AS350" t="str">
        <f>_xlfn.XLOOKUP(A350,[3]Sheet1!$B:$B,[3]Sheet1!$B:$B)</f>
        <v>1865CS</v>
      </c>
      <c r="AT350">
        <f>_xlfn.XLOOKUP(H350,'Yield &amp; Time'!A:A,'Yield &amp; Time'!F:F)</f>
        <v>0</v>
      </c>
    </row>
    <row r="351" spans="1:46" x14ac:dyDescent="0.25">
      <c r="A351" s="1" t="s">
        <v>104</v>
      </c>
      <c r="B351" s="2" t="s">
        <v>552</v>
      </c>
      <c r="C351" s="2" t="s">
        <v>105</v>
      </c>
      <c r="D351" s="2" t="s">
        <v>554</v>
      </c>
      <c r="E351" s="2">
        <v>2.7</v>
      </c>
      <c r="F351" s="1" t="str">
        <f>VLOOKUP(H351,'RM Used'!A:B,2,0)</f>
        <v>P0010</v>
      </c>
      <c r="G351" s="1" t="str">
        <f>IFERROR(VLOOKUP(F351,'RM Cost'!A:B,2,0),"")</f>
        <v>BUCKET 3L PJET</v>
      </c>
      <c r="H351" s="2" t="s">
        <v>4672</v>
      </c>
      <c r="I351" s="1" t="str">
        <f>VLOOKUP(F351,'RM Used'!B:D,3,0)</f>
        <v>RM-PACKING</v>
      </c>
      <c r="J351" s="66">
        <v>1</v>
      </c>
      <c r="K351" s="35" t="str">
        <f t="shared" si="117"/>
        <v/>
      </c>
      <c r="L351" s="35">
        <f t="shared" si="104"/>
        <v>0</v>
      </c>
      <c r="M351" s="77" t="str" cm="1">
        <f t="array" ref="M351">_xlfn.IFS(BOM!I351="RM-PACKING","100%",B351="Reynolds",VLOOKUP(H351,'Yield &amp; Time'!A:V,22,0),BOM!B351="Dnata",VLOOKUP(BOM!H351,'Yield &amp; Time'!A:M,13,0),B351="NK",VLOOKUP(H351,'Yield &amp; Time'!A:X,24,0))</f>
        <v>100%</v>
      </c>
      <c r="N351" s="35">
        <f t="shared" si="105"/>
        <v>1</v>
      </c>
      <c r="O351" s="1" t="str">
        <f>VLOOKUP(H351,'RM Used'!A:E,5,0)</f>
        <v>Count</v>
      </c>
      <c r="P351" s="11">
        <f>VLOOKUP(H351,'RM Used'!A:F,6,0)</f>
        <v>0.56000000000000005</v>
      </c>
      <c r="Q351" s="11">
        <f t="shared" si="114"/>
        <v>0.56000000000000005</v>
      </c>
      <c r="R351" s="11">
        <f>IFERROR(IF(B351="Reynolds",VLOOKUP(H351,'Yield &amp; Time'!A:U,21,0),VLOOKUP(H351,'Yield &amp; Time'!A:L,12,0)),0)</f>
        <v>0</v>
      </c>
      <c r="S351" s="11">
        <f t="shared" si="106"/>
        <v>0</v>
      </c>
      <c r="T351" s="11">
        <f t="shared" si="107"/>
        <v>0</v>
      </c>
      <c r="U351" s="11">
        <f>IF(A350=A351,0,VLOOKUP(A351,'Packing Time'!A:F,6,0))</f>
        <v>0</v>
      </c>
      <c r="V351" s="11">
        <f t="shared" si="118"/>
        <v>0</v>
      </c>
      <c r="W351" s="11">
        <f t="shared" si="119"/>
        <v>0</v>
      </c>
      <c r="X351" s="11">
        <f t="shared" si="108"/>
        <v>0</v>
      </c>
      <c r="Y351" s="11">
        <f t="shared" si="120"/>
        <v>0</v>
      </c>
      <c r="Z351" s="37">
        <v>1</v>
      </c>
      <c r="AA351" s="36">
        <f t="shared" si="109"/>
        <v>1</v>
      </c>
      <c r="AB351" s="36">
        <f t="shared" si="110"/>
        <v>0.56000000000000005</v>
      </c>
      <c r="AC351" s="11">
        <f t="shared" si="111"/>
        <v>0</v>
      </c>
      <c r="AD351" s="36">
        <f t="shared" si="121"/>
        <v>0</v>
      </c>
      <c r="AE351" s="36"/>
      <c r="AF351" s="36">
        <f>IFERROR(VLOOKUP(AE351,'Chemical Cost'!A:D,4,0),0)</f>
        <v>0</v>
      </c>
      <c r="AG351" s="114">
        <f t="shared" si="112"/>
        <v>0</v>
      </c>
      <c r="AH351" s="36">
        <f t="shared" si="115"/>
        <v>0</v>
      </c>
      <c r="AI351" s="36">
        <f t="shared" si="122"/>
        <v>0.56000000000000005</v>
      </c>
      <c r="AJ351" s="36">
        <f>IFERROR(VLOOKUP(A351,'All Products'!A:F,6,0),0)</f>
        <v>16.3</v>
      </c>
      <c r="AK351" s="36"/>
      <c r="AL351" s="23"/>
      <c r="AM351" s="23">
        <v>1</v>
      </c>
      <c r="AN351" s="54" t="e">
        <v>#N/A</v>
      </c>
      <c r="AO351" s="47"/>
      <c r="AP351" s="4">
        <v>1.6</v>
      </c>
      <c r="AQ351" s="111">
        <f t="shared" si="113"/>
        <v>0</v>
      </c>
      <c r="AR351">
        <f>_xlfn.XLOOKUP(F351,'RM Cost'!A:A,'RM Cost'!S:S)</f>
        <v>0</v>
      </c>
      <c r="AS351" t="str">
        <f>_xlfn.XLOOKUP(A351,[3]Sheet1!$B:$B,[3]Sheet1!$B:$B)</f>
        <v>1865CS</v>
      </c>
      <c r="AT351" t="e">
        <f>_xlfn.XLOOKUP(H351,'Yield &amp; Time'!A:A,'Yield &amp; Time'!F:F)</f>
        <v>#N/A</v>
      </c>
    </row>
    <row r="352" spans="1:46" x14ac:dyDescent="0.25">
      <c r="A352" s="1" t="s">
        <v>104</v>
      </c>
      <c r="B352" s="2" t="s">
        <v>552</v>
      </c>
      <c r="C352" s="2" t="s">
        <v>105</v>
      </c>
      <c r="D352" s="2" t="s">
        <v>554</v>
      </c>
      <c r="E352" s="2">
        <v>2.7</v>
      </c>
      <c r="F352" s="1" t="str">
        <f>VLOOKUP(H352,'RM Used'!A:B,2,0)</f>
        <v>P0026</v>
      </c>
      <c r="G352" s="1" t="str">
        <f>IFERROR(VLOOKUP(F352,'RM Cost'!A:B,2,0),"")</f>
        <v>LID 2.2L PJET 2.2L-3.8L</v>
      </c>
      <c r="H352" s="2" t="s">
        <v>4673</v>
      </c>
      <c r="I352" s="1" t="str">
        <f>VLOOKUP(F352,'RM Used'!B:D,3,0)</f>
        <v>RM-PACKING</v>
      </c>
      <c r="J352" s="66">
        <v>1</v>
      </c>
      <c r="K352" s="35" t="str">
        <f>IF(I352="RM-FOOD",J352*E352,"")</f>
        <v/>
      </c>
      <c r="L352" s="35">
        <f t="shared" si="104"/>
        <v>0</v>
      </c>
      <c r="M352" s="77" t="str" cm="1">
        <f t="array" ref="M352">_xlfn.IFS(BOM!I352="RM-PACKING","100%",B352="Reynolds",VLOOKUP(H352,'Yield &amp; Time'!A:V,22,0),BOM!B352="Dnata",VLOOKUP(BOM!H352,'Yield &amp; Time'!A:M,13,0),B352="NK",VLOOKUP(H352,'Yield &amp; Time'!A:X,24,0))</f>
        <v>100%</v>
      </c>
      <c r="N352" s="35">
        <f>IFERROR(IF(I352="RM-FOOD",(E352*J352)/M352,1),0)</f>
        <v>1</v>
      </c>
      <c r="O352" s="1" t="str">
        <f>VLOOKUP(H352,'RM Used'!A:E,5,0)</f>
        <v>Count</v>
      </c>
      <c r="P352" s="11">
        <f>VLOOKUP(H352,'RM Used'!A:F,6,0)</f>
        <v>0.16</v>
      </c>
      <c r="Q352" s="11">
        <f t="shared" si="114"/>
        <v>0.16</v>
      </c>
      <c r="R352" s="11">
        <f>IFERROR(IF(B352="Reynolds",VLOOKUP(H352,'Yield &amp; Time'!A:U,21,0),VLOOKUP(H352,'Yield &amp; Time'!A:L,12,0)),0)</f>
        <v>0</v>
      </c>
      <c r="S352" s="11">
        <f t="shared" si="106"/>
        <v>0</v>
      </c>
      <c r="T352" s="11">
        <f t="shared" si="107"/>
        <v>0</v>
      </c>
      <c r="U352" s="11">
        <f>IF(A351=A352,0,VLOOKUP(A352,'Packing Time'!A:F,6,0))</f>
        <v>0</v>
      </c>
      <c r="V352" s="11">
        <f>U352*AO$1</f>
        <v>0</v>
      </c>
      <c r="W352" s="11">
        <f>(U352*Z352)/60</f>
        <v>0</v>
      </c>
      <c r="X352" s="11">
        <f t="shared" si="108"/>
        <v>0</v>
      </c>
      <c r="Y352" s="11">
        <f>X352*Z352</f>
        <v>0</v>
      </c>
      <c r="Z352" s="37">
        <v>1</v>
      </c>
      <c r="AA352" s="36">
        <f t="shared" si="109"/>
        <v>1</v>
      </c>
      <c r="AB352" s="36">
        <f t="shared" si="110"/>
        <v>0.16</v>
      </c>
      <c r="AC352" s="11">
        <f t="shared" si="111"/>
        <v>0</v>
      </c>
      <c r="AD352" s="36">
        <f>AC352*60*AO$1</f>
        <v>0</v>
      </c>
      <c r="AE352" s="36"/>
      <c r="AF352" s="36">
        <f>IFERROR(VLOOKUP(AE352,'Chemical Cost'!A:D,4,0),0)</f>
        <v>0</v>
      </c>
      <c r="AG352" s="114">
        <f t="shared" si="112"/>
        <v>0</v>
      </c>
      <c r="AH352" s="36">
        <f>AF352*AA352/3</f>
        <v>0</v>
      </c>
      <c r="AI352" s="36">
        <f>IFERROR((Q352*Z352)+(Z352*X352)+AH352,0)</f>
        <v>0.16</v>
      </c>
      <c r="AJ352" s="36">
        <f>IFERROR(VLOOKUP(A352,'All Products'!A:F,6,0),0)</f>
        <v>16.3</v>
      </c>
      <c r="AK352" s="36"/>
      <c r="AL352" s="23"/>
      <c r="AM352" s="23">
        <v>1</v>
      </c>
      <c r="AN352" s="54" t="e">
        <v>#N/A</v>
      </c>
      <c r="AO352" s="47"/>
      <c r="AP352" s="4">
        <v>1.6</v>
      </c>
      <c r="AQ352" s="111">
        <f t="shared" si="113"/>
        <v>0</v>
      </c>
      <c r="AR352">
        <f>_xlfn.XLOOKUP(F352,'RM Cost'!A:A,'RM Cost'!S:S)</f>
        <v>0</v>
      </c>
      <c r="AS352" t="str">
        <f>_xlfn.XLOOKUP(A352,[3]Sheet1!$B:$B,[3]Sheet1!$B:$B)</f>
        <v>1865CS</v>
      </c>
      <c r="AT352" t="e">
        <f>_xlfn.XLOOKUP(H352,'Yield &amp; Time'!A:A,'Yield &amp; Time'!F:F)</f>
        <v>#N/A</v>
      </c>
    </row>
    <row r="353" spans="1:46" x14ac:dyDescent="0.25">
      <c r="A353" s="1" t="s">
        <v>29</v>
      </c>
      <c r="B353" s="2" t="s">
        <v>552</v>
      </c>
      <c r="C353" s="2" t="s">
        <v>621</v>
      </c>
      <c r="D353" s="2" t="s">
        <v>554</v>
      </c>
      <c r="E353" s="2">
        <v>1</v>
      </c>
      <c r="F353" s="1" t="str">
        <f>VLOOKUP(H353,'RM Used'!A:B,2,0)</f>
        <v>3644CS</v>
      </c>
      <c r="G353" s="1" t="str">
        <f>IFERROR(VLOOKUP(F353,'RM Cost'!A:B,2,0),"")</f>
        <v>RM - SPRING ONION x 2KG</v>
      </c>
      <c r="H353" s="2" t="s">
        <v>1462</v>
      </c>
      <c r="I353" s="1" t="str">
        <f>VLOOKUP(F353,'RM Used'!B:D,3,0)</f>
        <v>RM-FOOD</v>
      </c>
      <c r="J353" s="66">
        <v>1</v>
      </c>
      <c r="K353" s="35">
        <f t="shared" si="117"/>
        <v>1</v>
      </c>
      <c r="L353" s="35">
        <f t="shared" si="104"/>
        <v>1</v>
      </c>
      <c r="M353" s="77" cm="1">
        <f t="array" ref="M353">_xlfn.IFS(BOM!I353="RM-PACKING","100%",B353="Reynolds",VLOOKUP(H353,'Yield &amp; Time'!A:V,22,0),BOM!B353="Dnata",VLOOKUP(BOM!H353,'Yield &amp; Time'!A:M,13,0),B353="NK",VLOOKUP(H353,'Yield &amp; Time'!A:X,24,0))</f>
        <v>0.72041166380789012</v>
      </c>
      <c r="N353" s="35">
        <f t="shared" si="105"/>
        <v>1.3880952380952383</v>
      </c>
      <c r="O353" s="1" t="str">
        <f>VLOOKUP(H353,'RM Used'!A:E,5,0)</f>
        <v>KG</v>
      </c>
      <c r="P353" s="11">
        <f>VLOOKUP(H353,'RM Used'!A:F,6,0)</f>
        <v>3.08</v>
      </c>
      <c r="Q353" s="11">
        <f t="shared" si="114"/>
        <v>4.2753333333333341</v>
      </c>
      <c r="R353" s="11">
        <f>IFERROR(IF(B353="Reynolds",VLOOKUP(H353,'Yield &amp; Time'!A:U,21,0),VLOOKUP(H353,'Yield &amp; Time'!A:L,12,0)),0)</f>
        <v>15.714285714285714</v>
      </c>
      <c r="S353" s="11">
        <f t="shared" si="106"/>
        <v>5.319285714285714</v>
      </c>
      <c r="T353" s="11">
        <f t="shared" si="107"/>
        <v>0.26190476190476192</v>
      </c>
      <c r="U353" s="11">
        <f>IF(A352=A353,0,VLOOKUP(A353,'Packing Time'!A:F,6,0))</f>
        <v>1.75</v>
      </c>
      <c r="V353" s="11">
        <f t="shared" si="118"/>
        <v>0.59237499999999998</v>
      </c>
      <c r="W353" s="11">
        <f t="shared" si="119"/>
        <v>2.9166666666666667E-2</v>
      </c>
      <c r="X353" s="11">
        <f t="shared" si="108"/>
        <v>8.2763249999999999</v>
      </c>
      <c r="Y353" s="11">
        <f t="shared" si="120"/>
        <v>8.2763249999999999</v>
      </c>
      <c r="Z353" s="37">
        <v>1</v>
      </c>
      <c r="AA353" s="36">
        <f t="shared" si="109"/>
        <v>1.3880952380952383</v>
      </c>
      <c r="AB353" s="36">
        <f t="shared" si="110"/>
        <v>4.2753333333333341</v>
      </c>
      <c r="AC353" s="11">
        <f t="shared" si="111"/>
        <v>0.40750000000000003</v>
      </c>
      <c r="AD353" s="36">
        <f t="shared" si="121"/>
        <v>8.2763249999999999</v>
      </c>
      <c r="AE353" s="36" t="str">
        <f>VLOOKUP(H353,'Yield &amp; Time'!A:R,18,0)</f>
        <v>CHLORINE</v>
      </c>
      <c r="AF353" s="36">
        <f>IFERROR(VLOOKUP(AE353,'Chemical Cost'!A:D,4,0),0)</f>
        <v>2.7756518066439469E-2</v>
      </c>
      <c r="AG353" s="114">
        <f t="shared" si="112"/>
        <v>1.284289685137636E-2</v>
      </c>
      <c r="AH353" s="36">
        <f t="shared" si="115"/>
        <v>1.284289685137636E-2</v>
      </c>
      <c r="AI353" s="36">
        <f t="shared" si="122"/>
        <v>12.56450123018471</v>
      </c>
      <c r="AJ353" s="36">
        <f>IFERROR(VLOOKUP(A353,'All Products'!A:F,6,0),0)</f>
        <v>9.85</v>
      </c>
      <c r="AK353" s="36">
        <f>AJ353*Z353*J353</f>
        <v>9.85</v>
      </c>
      <c r="AL353" s="23">
        <v>0.8</v>
      </c>
      <c r="AM353" s="23">
        <v>0.2</v>
      </c>
      <c r="AN353" s="54" t="e">
        <v>#N/A</v>
      </c>
      <c r="AO353" s="47"/>
      <c r="AP353" s="4">
        <v>1.4</v>
      </c>
      <c r="AQ353" s="111">
        <f t="shared" si="113"/>
        <v>0.40750000000000003</v>
      </c>
      <c r="AR353">
        <f>_xlfn.XLOOKUP(F353,'RM Cost'!A:A,'RM Cost'!S:S)</f>
        <v>0</v>
      </c>
      <c r="AS353" t="str">
        <f>_xlfn.XLOOKUP(A353,[3]Sheet1!$B:$B,[3]Sheet1!$B:$B)</f>
        <v>716ACS</v>
      </c>
      <c r="AT353">
        <f>_xlfn.XLOOKUP(H353,'Yield &amp; Time'!A:A,'Yield &amp; Time'!F:F)</f>
        <v>0</v>
      </c>
    </row>
    <row r="354" spans="1:46" x14ac:dyDescent="0.25">
      <c r="A354" s="1" t="s">
        <v>29</v>
      </c>
      <c r="B354" s="2" t="s">
        <v>552</v>
      </c>
      <c r="C354" s="2" t="s">
        <v>621</v>
      </c>
      <c r="D354" s="2" t="s">
        <v>554</v>
      </c>
      <c r="E354" s="2">
        <v>1</v>
      </c>
      <c r="F354" s="1" t="str">
        <f>VLOOKUP(H354,'RM Used'!A:B,2,0)</f>
        <v>P0017</v>
      </c>
      <c r="G354" s="1" t="str">
        <f>IFERROR(VLOOKUP(F354,'RM Cost'!A:B,2,0),"")</f>
        <v>PALE BLUE BAG 250X300MM</v>
      </c>
      <c r="H354" s="2" t="s">
        <v>1334</v>
      </c>
      <c r="I354" s="1" t="str">
        <f>VLOOKUP(F354,'RM Used'!B:D,3,0)</f>
        <v>RM-PACKING</v>
      </c>
      <c r="J354" s="66">
        <v>1</v>
      </c>
      <c r="K354" s="35" t="str">
        <f t="shared" si="117"/>
        <v/>
      </c>
      <c r="L354" s="35">
        <f t="shared" si="104"/>
        <v>0</v>
      </c>
      <c r="M354" s="77" t="str" cm="1">
        <f t="array" ref="M354">_xlfn.IFS(BOM!I354="RM-PACKING","100%",B354="Reynolds",VLOOKUP(H354,'Yield &amp; Time'!A:V,22,0),BOM!B354="Dnata",VLOOKUP(BOM!H354,'Yield &amp; Time'!A:M,13,0),B354="NK",VLOOKUP(H354,'Yield &amp; Time'!A:X,24,0))</f>
        <v>100%</v>
      </c>
      <c r="N354" s="35">
        <v>4</v>
      </c>
      <c r="O354" s="1" t="str">
        <f>VLOOKUP(H354,'RM Used'!A:E,5,0)</f>
        <v>Count</v>
      </c>
      <c r="P354" s="11">
        <f>VLOOKUP(H354,'RM Used'!A:F,6,0)</f>
        <v>0.05</v>
      </c>
      <c r="Q354" s="11">
        <f t="shared" si="114"/>
        <v>0.2</v>
      </c>
      <c r="R354" s="11">
        <f>IFERROR(IF(B354="Reynolds",VLOOKUP(H354,'Yield &amp; Time'!A:U,21,0),VLOOKUP(H354,'Yield &amp; Time'!A:L,12,0)),0)</f>
        <v>0</v>
      </c>
      <c r="S354" s="11">
        <f t="shared" si="106"/>
        <v>0</v>
      </c>
      <c r="T354" s="11">
        <f t="shared" si="107"/>
        <v>0</v>
      </c>
      <c r="U354" s="11">
        <f>IF(A353=A354,0,VLOOKUP(A354,'Packing Time'!A:F,6,0))</f>
        <v>0</v>
      </c>
      <c r="V354" s="11">
        <f t="shared" si="118"/>
        <v>0</v>
      </c>
      <c r="W354" s="11">
        <f t="shared" si="119"/>
        <v>0</v>
      </c>
      <c r="X354" s="11">
        <f t="shared" si="108"/>
        <v>0</v>
      </c>
      <c r="Y354" s="11">
        <f t="shared" si="120"/>
        <v>0</v>
      </c>
      <c r="Z354" s="37">
        <v>1</v>
      </c>
      <c r="AA354" s="36">
        <f t="shared" si="109"/>
        <v>4</v>
      </c>
      <c r="AB354" s="36">
        <f t="shared" si="110"/>
        <v>0.2</v>
      </c>
      <c r="AC354" s="11">
        <f t="shared" si="111"/>
        <v>0</v>
      </c>
      <c r="AD354" s="36">
        <f t="shared" si="121"/>
        <v>0</v>
      </c>
      <c r="AE354" s="36"/>
      <c r="AF354" s="36">
        <f>IFERROR(VLOOKUP(AE354,'Chemical Cost'!A:D,4,0),0)</f>
        <v>0</v>
      </c>
      <c r="AG354" s="114">
        <f t="shared" si="112"/>
        <v>0</v>
      </c>
      <c r="AH354" s="36">
        <f t="shared" si="115"/>
        <v>0</v>
      </c>
      <c r="AI354" s="36">
        <f t="shared" si="122"/>
        <v>0.2</v>
      </c>
      <c r="AJ354" s="36">
        <f>IFERROR(VLOOKUP(A354,'All Products'!A:F,6,0),0)</f>
        <v>9.85</v>
      </c>
      <c r="AK354" s="36"/>
      <c r="AL354" s="23">
        <v>0.8</v>
      </c>
      <c r="AM354" s="23">
        <v>0.2</v>
      </c>
      <c r="AN354" s="54" t="e">
        <v>#N/A</v>
      </c>
      <c r="AO354" s="47"/>
      <c r="AP354" s="4">
        <v>1.4</v>
      </c>
      <c r="AQ354" s="111">
        <f t="shared" si="113"/>
        <v>0</v>
      </c>
      <c r="AR354">
        <f>_xlfn.XLOOKUP(F354,'RM Cost'!A:A,'RM Cost'!S:S)</f>
        <v>0</v>
      </c>
      <c r="AS354" t="str">
        <f>_xlfn.XLOOKUP(A354,[3]Sheet1!$B:$B,[3]Sheet1!$B:$B)</f>
        <v>716ACS</v>
      </c>
      <c r="AT354" t="e">
        <f>_xlfn.XLOOKUP(H354,'Yield &amp; Time'!A:A,'Yield &amp; Time'!F:F)</f>
        <v>#N/A</v>
      </c>
    </row>
    <row r="355" spans="1:46" x14ac:dyDescent="0.25">
      <c r="A355" s="1" t="s">
        <v>29</v>
      </c>
      <c r="B355" s="2" t="s">
        <v>552</v>
      </c>
      <c r="C355" s="2" t="s">
        <v>621</v>
      </c>
      <c r="D355" s="2" t="s">
        <v>554</v>
      </c>
      <c r="E355" s="2">
        <v>1</v>
      </c>
      <c r="F355" s="1" t="str">
        <f>VLOOKUP(H355,'RM Used'!A:B,2,0)</f>
        <v>P0016</v>
      </c>
      <c r="G355" s="1" t="str">
        <f>IFERROR(VLOOKUP(F355,'RM Cost'!A:B,2,0),"")</f>
        <v>REY 40 30 BOX</v>
      </c>
      <c r="H355" s="2" t="s">
        <v>1332</v>
      </c>
      <c r="I355" s="1" t="str">
        <f>VLOOKUP(F355,'RM Used'!B:D,3,0)</f>
        <v>RM-PACKING</v>
      </c>
      <c r="J355" s="66">
        <v>1</v>
      </c>
      <c r="K355" s="35" t="str">
        <f t="shared" si="117"/>
        <v/>
      </c>
      <c r="L355" s="35">
        <f t="shared" si="104"/>
        <v>0</v>
      </c>
      <c r="M355" s="77" t="str" cm="1">
        <f t="array" ref="M355">_xlfn.IFS(BOM!I355="RM-PACKING","100%",B355="Reynolds",VLOOKUP(H355,'Yield &amp; Time'!A:V,22,0),BOM!B355="Dnata",VLOOKUP(BOM!H355,'Yield &amp; Time'!A:M,13,0),B355="NK",VLOOKUP(H355,'Yield &amp; Time'!A:X,24,0))</f>
        <v>100%</v>
      </c>
      <c r="N355" s="35">
        <f t="shared" ref="N355:N366" si="123">IFERROR(IF(I355="RM-FOOD",(E355*J355)/M355,1),0)</f>
        <v>1</v>
      </c>
      <c r="O355" s="1" t="str">
        <f>VLOOKUP(H355,'RM Used'!A:E,5,0)</f>
        <v>Count</v>
      </c>
      <c r="P355" s="11">
        <f>VLOOKUP(H355,'RM Used'!A:F,6,0)</f>
        <v>0.28000000000000003</v>
      </c>
      <c r="Q355" s="11">
        <f t="shared" si="114"/>
        <v>0.28000000000000003</v>
      </c>
      <c r="R355" s="11">
        <f>IFERROR(IF(B355="Reynolds",VLOOKUP(H355,'Yield &amp; Time'!A:U,21,0),VLOOKUP(H355,'Yield &amp; Time'!A:L,12,0)),0)</f>
        <v>0</v>
      </c>
      <c r="S355" s="11">
        <f t="shared" si="106"/>
        <v>0</v>
      </c>
      <c r="T355" s="11">
        <f t="shared" si="107"/>
        <v>0</v>
      </c>
      <c r="U355" s="11">
        <f>IF(A354=A355,0,VLOOKUP(A355,'Packing Time'!A:F,6,0))</f>
        <v>0</v>
      </c>
      <c r="V355" s="11">
        <f t="shared" si="118"/>
        <v>0</v>
      </c>
      <c r="W355" s="11">
        <f t="shared" si="119"/>
        <v>0</v>
      </c>
      <c r="X355" s="11">
        <f t="shared" si="108"/>
        <v>0</v>
      </c>
      <c r="Y355" s="11">
        <f t="shared" si="120"/>
        <v>0</v>
      </c>
      <c r="Z355" s="37">
        <v>1</v>
      </c>
      <c r="AA355" s="36">
        <f t="shared" si="109"/>
        <v>1</v>
      </c>
      <c r="AB355" s="36">
        <f t="shared" si="110"/>
        <v>0.28000000000000003</v>
      </c>
      <c r="AC355" s="11">
        <f t="shared" si="111"/>
        <v>0</v>
      </c>
      <c r="AD355" s="36">
        <f t="shared" si="121"/>
        <v>0</v>
      </c>
      <c r="AE355" s="36"/>
      <c r="AF355" s="36">
        <f>IFERROR(VLOOKUP(AE355,'Chemical Cost'!A:D,4,0),0)</f>
        <v>0</v>
      </c>
      <c r="AG355" s="114">
        <f t="shared" si="112"/>
        <v>0</v>
      </c>
      <c r="AH355" s="36">
        <f t="shared" si="115"/>
        <v>0</v>
      </c>
      <c r="AI355" s="36">
        <f t="shared" si="122"/>
        <v>0.28000000000000003</v>
      </c>
      <c r="AJ355" s="36">
        <f>IFERROR(VLOOKUP(A355,'All Products'!A:F,6,0),0)</f>
        <v>9.85</v>
      </c>
      <c r="AK355" s="36"/>
      <c r="AL355" s="23">
        <v>0.8</v>
      </c>
      <c r="AM355" s="23">
        <v>0.2</v>
      </c>
      <c r="AN355" s="54" t="e">
        <v>#N/A</v>
      </c>
      <c r="AO355" s="47"/>
      <c r="AP355" s="4">
        <v>1.4</v>
      </c>
      <c r="AQ355" s="111">
        <f t="shared" si="113"/>
        <v>0</v>
      </c>
      <c r="AR355">
        <f>_xlfn.XLOOKUP(F355,'RM Cost'!A:A,'RM Cost'!S:S)</f>
        <v>0</v>
      </c>
      <c r="AS355" t="str">
        <f>_xlfn.XLOOKUP(A355,[3]Sheet1!$B:$B,[3]Sheet1!$B:$B)</f>
        <v>716ACS</v>
      </c>
      <c r="AT355" t="e">
        <f>_xlfn.XLOOKUP(H355,'Yield &amp; Time'!A:A,'Yield &amp; Time'!F:F)</f>
        <v>#N/A</v>
      </c>
    </row>
    <row r="356" spans="1:46" x14ac:dyDescent="0.25">
      <c r="A356" s="1" t="s">
        <v>393</v>
      </c>
      <c r="B356" s="2" t="s">
        <v>552</v>
      </c>
      <c r="C356" s="2" t="s">
        <v>394</v>
      </c>
      <c r="D356" s="2" t="s">
        <v>554</v>
      </c>
      <c r="E356" s="2">
        <v>1.35</v>
      </c>
      <c r="F356" s="1" t="str">
        <f>VLOOKUP(H356,'RM Used'!A:B,2,0)</f>
        <v>166ACS</v>
      </c>
      <c r="G356" s="1" t="str">
        <f>IFERROR(VLOOKUP(F356,'RM Cost'!A:B,2,0),"")</f>
        <v>RM - LARGE MANGO 5/6</v>
      </c>
      <c r="H356" s="2" t="s">
        <v>1391</v>
      </c>
      <c r="I356" s="1" t="str">
        <f>VLOOKUP(F356,'RM Used'!B:D,3,0)</f>
        <v>RM-FOOD</v>
      </c>
      <c r="J356" s="66">
        <v>0.7407407407407407</v>
      </c>
      <c r="K356" s="35">
        <f t="shared" si="117"/>
        <v>1</v>
      </c>
      <c r="L356" s="35">
        <f t="shared" si="104"/>
        <v>1</v>
      </c>
      <c r="M356" s="77" cm="1">
        <f t="array" ref="M356">_xlfn.IFS(BOM!I356="RM-PACKING","100%",B356="Reynolds",VLOOKUP(H356,'Yield &amp; Time'!A:V,22,0),BOM!B356="Dnata",VLOOKUP(BOM!H356,'Yield &amp; Time'!A:M,13,0),B356="NK",VLOOKUP(H356,'Yield &amp; Time'!A:X,24,0))</f>
        <v>0.51644204851752018</v>
      </c>
      <c r="N356" s="35">
        <f t="shared" si="123"/>
        <v>1.9363256784968685</v>
      </c>
      <c r="O356" s="1" t="str">
        <f>VLOOKUP(H356,'RM Used'!A:E,5,0)</f>
        <v>KG</v>
      </c>
      <c r="P356" s="11">
        <f>VLOOKUP(H356,'RM Used'!A:F,6,0)</f>
        <v>2.0799999999999996</v>
      </c>
      <c r="Q356" s="11">
        <f t="shared" si="114"/>
        <v>4.0275574112734862</v>
      </c>
      <c r="R356" s="11">
        <f>IFERROR(IF(B356="Reynolds",VLOOKUP(H356,'Yield &amp; Time'!A:U,21,0),VLOOKUP(H356,'Yield &amp; Time'!A:L,12,0)),0)</f>
        <v>4.2363409542237385</v>
      </c>
      <c r="S356" s="11">
        <f t="shared" si="106"/>
        <v>1.4340014130047354</v>
      </c>
      <c r="T356" s="11">
        <f t="shared" si="107"/>
        <v>7.0605682570395636E-2</v>
      </c>
      <c r="U356" s="11">
        <f>IF(A355=A356,0,VLOOKUP(A356,'Packing Time'!A:F,6,0))</f>
        <v>0.64500000000000002</v>
      </c>
      <c r="V356" s="11">
        <f t="shared" si="118"/>
        <v>0.21833249999999998</v>
      </c>
      <c r="W356" s="11">
        <f t="shared" si="119"/>
        <v>1.0750000000000001E-2</v>
      </c>
      <c r="X356" s="11">
        <f t="shared" si="108"/>
        <v>2.3132674782066291</v>
      </c>
      <c r="Y356" s="11">
        <f t="shared" si="120"/>
        <v>2.3132674782066291</v>
      </c>
      <c r="Z356" s="37">
        <v>1</v>
      </c>
      <c r="AA356" s="36">
        <f t="shared" si="109"/>
        <v>1.9363256784968685</v>
      </c>
      <c r="AB356" s="36">
        <f t="shared" si="110"/>
        <v>4.0275574112734862</v>
      </c>
      <c r="AC356" s="11">
        <f t="shared" si="111"/>
        <v>0.11389795559855388</v>
      </c>
      <c r="AD356" s="36">
        <f t="shared" si="121"/>
        <v>2.3132674782066291</v>
      </c>
      <c r="AE356" s="36" t="str">
        <f>VLOOKUP(H356,'Yield &amp; Time'!A:R,18,0)</f>
        <v>CHLORINE</v>
      </c>
      <c r="AF356" s="36">
        <f>IFERROR(VLOOKUP(AE356,'Chemical Cost'!A:D,4,0),0)</f>
        <v>2.7756518066439469E-2</v>
      </c>
      <c r="AG356" s="114">
        <f t="shared" si="112"/>
        <v>1.791521955923633E-2</v>
      </c>
      <c r="AH356" s="36">
        <f t="shared" si="115"/>
        <v>1.791521955923633E-2</v>
      </c>
      <c r="AI356" s="36">
        <f t="shared" si="122"/>
        <v>6.3587401090393518</v>
      </c>
      <c r="AJ356" s="36">
        <f>IFERROR(VLOOKUP(A356,'All Products'!A:F,6,0),0)</f>
        <v>7.93</v>
      </c>
      <c r="AK356" s="36">
        <f>AJ356*Z356*J356</f>
        <v>5.8740740740740733</v>
      </c>
      <c r="AL356" s="23"/>
      <c r="AM356" s="23">
        <v>1</v>
      </c>
      <c r="AN356" s="54" t="e">
        <v>#N/A</v>
      </c>
      <c r="AO356" s="47"/>
      <c r="AP356" s="4">
        <v>1.4</v>
      </c>
      <c r="AQ356" s="111">
        <f t="shared" si="113"/>
        <v>0.11389795559855388</v>
      </c>
      <c r="AR356">
        <f>_xlfn.XLOOKUP(F356,'RM Cost'!A:A,'RM Cost'!S:S)</f>
        <v>0</v>
      </c>
      <c r="AS356" t="str">
        <f>_xlfn.XLOOKUP(A356,[3]Sheet1!$B:$B,[3]Sheet1!$B:$B)</f>
        <v>1875CS</v>
      </c>
      <c r="AT356" t="str">
        <f>_xlfn.XLOOKUP(H356,'Yield &amp; Time'!A:A,'Yield &amp; Time'!O:O)</f>
        <v>Yes</v>
      </c>
    </row>
    <row r="357" spans="1:46" x14ac:dyDescent="0.25">
      <c r="A357" s="1" t="s">
        <v>393</v>
      </c>
      <c r="B357" s="2" t="s">
        <v>552</v>
      </c>
      <c r="C357" s="2" t="s">
        <v>394</v>
      </c>
      <c r="D357" s="2" t="s">
        <v>554</v>
      </c>
      <c r="E357" s="2">
        <v>1.35</v>
      </c>
      <c r="F357" s="1" t="str">
        <f>VLOOKUP(H357,'RM Used'!A:B,2,0)</f>
        <v>8929CS</v>
      </c>
      <c r="G357" s="1" t="str">
        <f>IFERROR(VLOOKUP(F357,'RM Cost'!A:B,2,0),"")</f>
        <v>GRANULATED SUGAR 1 X 25K</v>
      </c>
      <c r="H357" s="2" t="s">
        <v>1757</v>
      </c>
      <c r="I357" s="1" t="str">
        <f>VLOOKUP(F357,'RM Used'!B:D,3,0)</f>
        <v>RM-FOOD</v>
      </c>
      <c r="J357" s="66">
        <v>0.25925925925925924</v>
      </c>
      <c r="K357" s="35">
        <v>0.35</v>
      </c>
      <c r="L357" s="35">
        <f t="shared" si="104"/>
        <v>0.35</v>
      </c>
      <c r="M357" s="77" cm="1">
        <f t="array" ref="M357">_xlfn.IFS(BOM!I357="RM-PACKING","100%",B357="Reynolds",VLOOKUP(H357,'Yield &amp; Time'!A:V,22,0),BOM!B357="Dnata",VLOOKUP(BOM!H357,'Yield &amp; Time'!A:M,13,0),B357="NK",VLOOKUP(H357,'Yield &amp; Time'!A:X,24,0))</f>
        <v>1</v>
      </c>
      <c r="N357" s="35">
        <f>IFERROR(IF(I357="RM-FOOD",(E357*J357)/M357,1),0)</f>
        <v>0.35</v>
      </c>
      <c r="O357" s="1" t="str">
        <f>VLOOKUP(H357,'RM Used'!A:E,5,0)</f>
        <v>KG</v>
      </c>
      <c r="P357" s="11">
        <f>VLOOKUP(H357,'RM Used'!A:F,6,0)</f>
        <v>6.3E-2</v>
      </c>
      <c r="Q357" s="11">
        <f t="shared" si="114"/>
        <v>2.205E-2</v>
      </c>
      <c r="R357" s="11">
        <f>IFERROR(IF(B357="Reynolds",VLOOKUP(H357,'Yield &amp; Time'!A:U,21,0),VLOOKUP(H357,'Yield &amp; Time'!A:L,12,0)),0)</f>
        <v>0.16666666666666666</v>
      </c>
      <c r="S357" s="11">
        <f t="shared" si="106"/>
        <v>1.9745833333333331E-2</v>
      </c>
      <c r="T357" s="11">
        <f t="shared" si="107"/>
        <v>9.7222222222222219E-4</v>
      </c>
      <c r="U357" s="11">
        <f>IF(A356=A357,0,VLOOKUP(A357,'Packing Time'!A:F,6,0))</f>
        <v>0</v>
      </c>
      <c r="V357" s="11">
        <f>U357*AO$1</f>
        <v>0</v>
      </c>
      <c r="W357" s="11">
        <f>(U357*Z357)/60</f>
        <v>0</v>
      </c>
      <c r="X357" s="11">
        <f t="shared" si="108"/>
        <v>2.7644166666666661E-2</v>
      </c>
      <c r="Y357" s="11">
        <f>X357*Z357</f>
        <v>2.7644166666666661E-2</v>
      </c>
      <c r="Z357" s="37">
        <v>1</v>
      </c>
      <c r="AA357" s="36">
        <f t="shared" si="109"/>
        <v>0.35</v>
      </c>
      <c r="AB357" s="36">
        <f t="shared" si="110"/>
        <v>2.205E-2</v>
      </c>
      <c r="AC357" s="11">
        <f t="shared" si="111"/>
        <v>1.3611111111111109E-3</v>
      </c>
      <c r="AD357" s="36">
        <f>AC357*60*AO$1</f>
        <v>2.7644166666666657E-2</v>
      </c>
      <c r="AE357" s="36">
        <f>VLOOKUP(H357,'Yield &amp; Time'!A:R,18,0)</f>
        <v>0</v>
      </c>
      <c r="AF357" s="36">
        <f>IFERROR(VLOOKUP(AE357,'Chemical Cost'!A:D,4,0),0)</f>
        <v>0</v>
      </c>
      <c r="AG357" s="114">
        <f t="shared" si="112"/>
        <v>0</v>
      </c>
      <c r="AH357" s="36">
        <f t="shared" si="115"/>
        <v>0</v>
      </c>
      <c r="AI357" s="36">
        <f>IFERROR((Q357*Z357)+(Z357*X357)+AH357,0)</f>
        <v>4.9694166666666664E-2</v>
      </c>
      <c r="AJ357" s="36">
        <f>IFERROR(VLOOKUP(A357,'All Products'!A:F,6,0),0)</f>
        <v>7.93</v>
      </c>
      <c r="AK357" s="36">
        <f>AJ357*Z357*J357</f>
        <v>2.0559259259259259</v>
      </c>
      <c r="AL357" s="23"/>
      <c r="AM357" s="23">
        <v>1</v>
      </c>
      <c r="AN357" s="54" t="e">
        <v>#N/A</v>
      </c>
      <c r="AO357" s="47"/>
      <c r="AP357" s="4">
        <v>1.4</v>
      </c>
      <c r="AQ357" s="111">
        <f t="shared" si="113"/>
        <v>1.3611111111111109E-3</v>
      </c>
      <c r="AR357">
        <f>_xlfn.XLOOKUP(F357,'RM Cost'!A:A,'RM Cost'!S:S)</f>
        <v>0</v>
      </c>
      <c r="AS357" t="str">
        <f>_xlfn.XLOOKUP(A357,[3]Sheet1!$B:$B,[3]Sheet1!$B:$B)</f>
        <v>1875CS</v>
      </c>
      <c r="AT357">
        <f>_xlfn.XLOOKUP(H357,'Yield &amp; Time'!A:A,'Yield &amp; Time'!F:F)</f>
        <v>0</v>
      </c>
    </row>
    <row r="358" spans="1:46" x14ac:dyDescent="0.25">
      <c r="A358" s="1" t="s">
        <v>393</v>
      </c>
      <c r="B358" s="2" t="s">
        <v>552</v>
      </c>
      <c r="C358" s="2" t="s">
        <v>394</v>
      </c>
      <c r="D358" s="2" t="s">
        <v>554</v>
      </c>
      <c r="E358" s="2">
        <v>1.35</v>
      </c>
      <c r="F358" s="1" t="str">
        <f>VLOOKUP(H358,'RM Used'!A:B,2,0)</f>
        <v>P0014</v>
      </c>
      <c r="G358" s="1" t="str">
        <f>IFERROR(VLOOKUP(F358,'RM Cost'!A:B,2,0),"")</f>
        <v>BUCKET 2.2L PET</v>
      </c>
      <c r="H358" s="117" t="s">
        <v>4676</v>
      </c>
      <c r="I358" s="1" t="str">
        <f>VLOOKUP(F358,'RM Used'!B:D,3,0)</f>
        <v>RM-PACKING</v>
      </c>
      <c r="J358" s="66">
        <v>1</v>
      </c>
      <c r="K358" s="35" t="str">
        <f t="shared" si="117"/>
        <v/>
      </c>
      <c r="L358" s="35">
        <f t="shared" si="104"/>
        <v>0</v>
      </c>
      <c r="M358" s="77" t="str" cm="1">
        <f t="array" ref="M358">_xlfn.IFS(BOM!I358="RM-PACKING","100%",B358="Reynolds",VLOOKUP(H358,'Yield &amp; Time'!A:V,22,0),BOM!B358="Dnata",VLOOKUP(BOM!H358,'Yield &amp; Time'!A:M,13,0),B358="NK",VLOOKUP(H358,'Yield &amp; Time'!A:X,24,0))</f>
        <v>100%</v>
      </c>
      <c r="N358" s="35">
        <f t="shared" si="123"/>
        <v>1</v>
      </c>
      <c r="O358" s="1" t="str">
        <f>VLOOKUP(H358,'RM Used'!A:E,5,0)</f>
        <v>Count</v>
      </c>
      <c r="P358" s="11">
        <f>VLOOKUP(H358,'RM Used'!A:F,6,0)</f>
        <v>0.54</v>
      </c>
      <c r="Q358" s="11">
        <f t="shared" si="114"/>
        <v>0.54</v>
      </c>
      <c r="R358" s="11">
        <f>IFERROR(IF(B358="Reynolds",VLOOKUP(H358,'Yield &amp; Time'!A:U,21,0),VLOOKUP(H358,'Yield &amp; Time'!A:L,12,0)),0)</f>
        <v>0</v>
      </c>
      <c r="S358" s="11">
        <f t="shared" si="106"/>
        <v>0</v>
      </c>
      <c r="T358" s="11">
        <f t="shared" si="107"/>
        <v>0</v>
      </c>
      <c r="U358" s="11">
        <f>IF(A357=A358,0,VLOOKUP(A358,'Packing Time'!A:F,6,0))</f>
        <v>0</v>
      </c>
      <c r="V358" s="11">
        <f t="shared" si="118"/>
        <v>0</v>
      </c>
      <c r="W358" s="11">
        <f t="shared" si="119"/>
        <v>0</v>
      </c>
      <c r="X358" s="11">
        <f t="shared" si="108"/>
        <v>0</v>
      </c>
      <c r="Y358" s="11">
        <f t="shared" si="120"/>
        <v>0</v>
      </c>
      <c r="Z358" s="37">
        <v>1</v>
      </c>
      <c r="AA358" s="36">
        <f t="shared" si="109"/>
        <v>1</v>
      </c>
      <c r="AB358" s="36">
        <f t="shared" si="110"/>
        <v>0.54</v>
      </c>
      <c r="AC358" s="11">
        <f t="shared" si="111"/>
        <v>0</v>
      </c>
      <c r="AD358" s="36">
        <f t="shared" si="121"/>
        <v>0</v>
      </c>
      <c r="AE358" s="36"/>
      <c r="AF358" s="36">
        <f>IFERROR(VLOOKUP(AE358,'Chemical Cost'!A:D,4,0),0)</f>
        <v>0</v>
      </c>
      <c r="AG358" s="114">
        <f t="shared" si="112"/>
        <v>0</v>
      </c>
      <c r="AH358" s="36">
        <f t="shared" si="115"/>
        <v>0</v>
      </c>
      <c r="AI358" s="36">
        <f t="shared" si="122"/>
        <v>0.54</v>
      </c>
      <c r="AJ358" s="36">
        <f>IFERROR(VLOOKUP(A358,'All Products'!A:F,6,0),0)</f>
        <v>7.93</v>
      </c>
      <c r="AK358" s="36"/>
      <c r="AL358" s="23"/>
      <c r="AM358" s="23">
        <v>1</v>
      </c>
      <c r="AN358" s="54" t="e">
        <v>#N/A</v>
      </c>
      <c r="AO358" s="47"/>
      <c r="AP358" s="4">
        <v>1.4</v>
      </c>
      <c r="AQ358" s="111">
        <f t="shared" si="113"/>
        <v>0</v>
      </c>
      <c r="AR358">
        <f>_xlfn.XLOOKUP(F358,'RM Cost'!A:A,'RM Cost'!S:S)</f>
        <v>0</v>
      </c>
      <c r="AS358" t="str">
        <f>_xlfn.XLOOKUP(A358,[3]Sheet1!$B:$B,[3]Sheet1!$B:$B)</f>
        <v>1875CS</v>
      </c>
      <c r="AT358" t="e">
        <f>_xlfn.XLOOKUP(H358,'Yield &amp; Time'!A:A,'Yield &amp; Time'!F:F)</f>
        <v>#N/A</v>
      </c>
    </row>
    <row r="359" spans="1:46" x14ac:dyDescent="0.25">
      <c r="A359" s="1" t="s">
        <v>393</v>
      </c>
      <c r="B359" s="2" t="s">
        <v>552</v>
      </c>
      <c r="C359" s="2" t="s">
        <v>394</v>
      </c>
      <c r="D359" s="2" t="s">
        <v>554</v>
      </c>
      <c r="E359" s="2">
        <v>1.35</v>
      </c>
      <c r="F359" s="1" t="str">
        <f>VLOOKUP(H359,'RM Used'!A:B,2,0)</f>
        <v>P0026</v>
      </c>
      <c r="G359" s="1" t="str">
        <f>IFERROR(VLOOKUP(F359,'RM Cost'!A:B,2,0),"")</f>
        <v>LID 2.2L PJET 2.2L-3.8L</v>
      </c>
      <c r="H359" s="117" t="s">
        <v>4673</v>
      </c>
      <c r="I359" s="1" t="str">
        <f>VLOOKUP(F359,'RM Used'!B:D,3,0)</f>
        <v>RM-PACKING</v>
      </c>
      <c r="J359" s="66">
        <v>1</v>
      </c>
      <c r="K359" s="35" t="str">
        <f>IF(I359="RM-FOOD",J359*E359,"")</f>
        <v/>
      </c>
      <c r="L359" s="35">
        <f t="shared" si="104"/>
        <v>0</v>
      </c>
      <c r="M359" s="77" t="str" cm="1">
        <f t="array" ref="M359">_xlfn.IFS(BOM!I359="RM-PACKING","100%",B359="Reynolds",VLOOKUP(H359,'Yield &amp; Time'!A:V,22,0),BOM!B359="Dnata",VLOOKUP(BOM!H359,'Yield &amp; Time'!A:M,13,0),B359="NK",VLOOKUP(H359,'Yield &amp; Time'!A:X,24,0))</f>
        <v>100%</v>
      </c>
      <c r="N359" s="35">
        <f>IFERROR(IF(I359="RM-FOOD",(E359*J359)/M359,1),0)</f>
        <v>1</v>
      </c>
      <c r="O359" s="1" t="str">
        <f>VLOOKUP(H359,'RM Used'!A:E,5,0)</f>
        <v>Count</v>
      </c>
      <c r="P359" s="11">
        <f>VLOOKUP(H359,'RM Used'!A:F,6,0)</f>
        <v>0.16</v>
      </c>
      <c r="Q359" s="11">
        <f t="shared" si="114"/>
        <v>0.16</v>
      </c>
      <c r="R359" s="11">
        <f>IFERROR(IF(B359="Reynolds",VLOOKUP(H359,'Yield &amp; Time'!A:U,21,0),VLOOKUP(H359,'Yield &amp; Time'!A:L,12,0)),0)</f>
        <v>0</v>
      </c>
      <c r="S359" s="11">
        <f t="shared" si="106"/>
        <v>0</v>
      </c>
      <c r="T359" s="11">
        <f t="shared" si="107"/>
        <v>0</v>
      </c>
      <c r="U359" s="11">
        <f>IF(A358=A359,0,VLOOKUP(A359,'Packing Time'!A:F,6,0))</f>
        <v>0</v>
      </c>
      <c r="V359" s="11">
        <f>U359*AO$1</f>
        <v>0</v>
      </c>
      <c r="W359" s="11">
        <f>(U359*Z359)/60</f>
        <v>0</v>
      </c>
      <c r="X359" s="11">
        <f t="shared" si="108"/>
        <v>0</v>
      </c>
      <c r="Y359" s="11">
        <f>X359*Z359</f>
        <v>0</v>
      </c>
      <c r="Z359" s="37">
        <v>1</v>
      </c>
      <c r="AA359" s="36">
        <f t="shared" si="109"/>
        <v>1</v>
      </c>
      <c r="AB359" s="36">
        <f t="shared" si="110"/>
        <v>0.16</v>
      </c>
      <c r="AC359" s="11">
        <f t="shared" si="111"/>
        <v>0</v>
      </c>
      <c r="AD359" s="36">
        <f>AC359*60*AO$1</f>
        <v>0</v>
      </c>
      <c r="AE359" s="36"/>
      <c r="AF359" s="36">
        <f>IFERROR(VLOOKUP(AE359,'Chemical Cost'!A:D,4,0),0)</f>
        <v>0</v>
      </c>
      <c r="AG359" s="114">
        <f t="shared" si="112"/>
        <v>0</v>
      </c>
      <c r="AH359" s="36">
        <f>AF359*AA359/3</f>
        <v>0</v>
      </c>
      <c r="AI359" s="36">
        <f>IFERROR((Q359*Z359)+(Z359*X359)+AH359,0)</f>
        <v>0.16</v>
      </c>
      <c r="AJ359" s="36">
        <f>IFERROR(VLOOKUP(A359,'All Products'!A:F,6,0),0)</f>
        <v>7.93</v>
      </c>
      <c r="AK359" s="36"/>
      <c r="AL359" s="23"/>
      <c r="AM359" s="23">
        <v>1</v>
      </c>
      <c r="AN359" s="54" t="e">
        <v>#N/A</v>
      </c>
      <c r="AO359" s="47"/>
      <c r="AP359" s="4">
        <v>1.4</v>
      </c>
      <c r="AQ359" s="111">
        <f t="shared" si="113"/>
        <v>0</v>
      </c>
      <c r="AR359">
        <f>_xlfn.XLOOKUP(F359,'RM Cost'!A:A,'RM Cost'!S:S)</f>
        <v>0</v>
      </c>
      <c r="AS359" t="str">
        <f>_xlfn.XLOOKUP(A359,[3]Sheet1!$B:$B,[3]Sheet1!$B:$B)</f>
        <v>1875CS</v>
      </c>
      <c r="AT359" t="e">
        <f>_xlfn.XLOOKUP(H359,'Yield &amp; Time'!A:A,'Yield &amp; Time'!F:F)</f>
        <v>#N/A</v>
      </c>
    </row>
    <row r="360" spans="1:46" x14ac:dyDescent="0.25">
      <c r="A360" s="1" t="s">
        <v>623</v>
      </c>
      <c r="B360" s="2" t="s">
        <v>552</v>
      </c>
      <c r="C360" s="2" t="s">
        <v>624</v>
      </c>
      <c r="D360" s="2" t="s">
        <v>554</v>
      </c>
      <c r="E360" s="2">
        <v>3</v>
      </c>
      <c r="F360" s="1" t="str">
        <f>VLOOKUP(H360,'RM Used'!A:B,2,0)</f>
        <v>3210CS</v>
      </c>
      <c r="G360" s="1" t="str">
        <f>IFERROR(VLOOKUP(F360,'RM Cost'!A:B,2,0),"")</f>
        <v>RM - POTATOES WARE 25KG</v>
      </c>
      <c r="H360" s="2" t="s">
        <v>1463</v>
      </c>
      <c r="I360" s="1" t="str">
        <f>VLOOKUP(F360,'RM Used'!B:D,3,0)</f>
        <v>RM-FOOD</v>
      </c>
      <c r="J360" s="66">
        <v>1</v>
      </c>
      <c r="K360" s="35">
        <f t="shared" si="117"/>
        <v>3</v>
      </c>
      <c r="L360" s="35">
        <f t="shared" si="104"/>
        <v>3</v>
      </c>
      <c r="M360" s="77" cm="1">
        <f t="array" ref="M360">_xlfn.IFS(BOM!I360="RM-PACKING","100%",B360="Reynolds",VLOOKUP(H360,'Yield &amp; Time'!A:V,22,0),BOM!B360="Dnata",VLOOKUP(BOM!H360,'Yield &amp; Time'!A:M,13,0),B360="NK",VLOOKUP(H360,'Yield &amp; Time'!A:X,24,0))</f>
        <v>0.53546453546453554</v>
      </c>
      <c r="N360" s="35">
        <f t="shared" si="123"/>
        <v>5.6026119402985071</v>
      </c>
      <c r="O360" s="1" t="str">
        <f>VLOOKUP(H360,'RM Used'!A:E,5,0)</f>
        <v>KG</v>
      </c>
      <c r="P360" s="11">
        <f>VLOOKUP(H360,'RM Used'!A:F,6,0)</f>
        <v>0.27</v>
      </c>
      <c r="Q360" s="11">
        <f t="shared" si="114"/>
        <v>1.5127052238805969</v>
      </c>
      <c r="R360" s="11">
        <f>IFERROR(IF(B360="Reynolds",VLOOKUP(H360,'Yield &amp; Time'!A:U,21,0),VLOOKUP(H360,'Yield &amp; Time'!A:L,12,0)),0)</f>
        <v>3.6069651741293529</v>
      </c>
      <c r="S360" s="11">
        <f t="shared" si="106"/>
        <v>3.6628731343283576</v>
      </c>
      <c r="T360" s="11">
        <f t="shared" si="107"/>
        <v>0.18034825870646765</v>
      </c>
      <c r="U360" s="11">
        <f>IF(A359=A360,0,VLOOKUP(A360,'Packing Time'!A:F,6,0))</f>
        <v>0.8</v>
      </c>
      <c r="V360" s="11">
        <f t="shared" si="118"/>
        <v>0.27079999999999999</v>
      </c>
      <c r="W360" s="11">
        <f t="shared" si="119"/>
        <v>1.3333333333333334E-2</v>
      </c>
      <c r="X360" s="11">
        <f t="shared" si="108"/>
        <v>6.2938770149253722</v>
      </c>
      <c r="Y360" s="11">
        <f t="shared" si="120"/>
        <v>6.2938770149253722</v>
      </c>
      <c r="Z360" s="37">
        <v>1</v>
      </c>
      <c r="AA360" s="36">
        <f t="shared" si="109"/>
        <v>5.6026119402985071</v>
      </c>
      <c r="AB360" s="36">
        <f t="shared" si="110"/>
        <v>1.5127052238805969</v>
      </c>
      <c r="AC360" s="11">
        <f t="shared" si="111"/>
        <v>0.30989054726368159</v>
      </c>
      <c r="AD360" s="36">
        <f t="shared" si="121"/>
        <v>6.2938770149253722</v>
      </c>
      <c r="AE360" s="36"/>
      <c r="AF360" s="36">
        <f>IFERROR(VLOOKUP(AE360,'Chemical Cost'!A:D,4,0),0)</f>
        <v>0</v>
      </c>
      <c r="AG360" s="114">
        <f t="shared" si="112"/>
        <v>0</v>
      </c>
      <c r="AH360" s="36">
        <f t="shared" si="115"/>
        <v>0</v>
      </c>
      <c r="AI360" s="36">
        <f t="shared" si="122"/>
        <v>7.8065822388059694</v>
      </c>
      <c r="AJ360" s="36">
        <f>IFERROR(VLOOKUP(A360,'All Products'!A:F,6,0),0)</f>
        <v>15.13</v>
      </c>
      <c r="AK360" s="36">
        <f>AJ360*Z360*J360</f>
        <v>15.13</v>
      </c>
      <c r="AL360" s="23"/>
      <c r="AM360" s="23">
        <v>1</v>
      </c>
      <c r="AN360" s="54" t="e">
        <v>#N/A</v>
      </c>
      <c r="AO360" s="47"/>
      <c r="AP360" s="4">
        <v>1.6</v>
      </c>
      <c r="AQ360" s="111">
        <f t="shared" si="113"/>
        <v>0.30989054726368159</v>
      </c>
      <c r="AR360">
        <f>_xlfn.XLOOKUP(F360,'RM Cost'!A:A,'RM Cost'!S:S)</f>
        <v>0</v>
      </c>
      <c r="AS360" t="e">
        <f>_xlfn.XLOOKUP(A360,[3]Sheet1!$B:$B,[3]Sheet1!$B:$B)</f>
        <v>#N/A</v>
      </c>
    </row>
    <row r="361" spans="1:46" x14ac:dyDescent="0.25">
      <c r="A361" s="1" t="s">
        <v>623</v>
      </c>
      <c r="B361" s="2" t="s">
        <v>552</v>
      </c>
      <c r="C361" s="2" t="s">
        <v>624</v>
      </c>
      <c r="D361" s="2" t="s">
        <v>554</v>
      </c>
      <c r="E361" s="2">
        <v>3</v>
      </c>
      <c r="F361" s="1" t="str">
        <f>VLOOKUP(H361,'RM Used'!A:B,2,0)</f>
        <v>P0020</v>
      </c>
      <c r="G361" s="1" t="str">
        <f>IFERROR(VLOOKUP(F361,'RM Cost'!A:B,2,0),"")</f>
        <v>PALE BLUE BAG 430X430MM</v>
      </c>
      <c r="H361" s="2" t="s">
        <v>1659</v>
      </c>
      <c r="I361" s="1" t="str">
        <f>VLOOKUP(F361,'RM Used'!B:D,3,0)</f>
        <v>RM-PACKING</v>
      </c>
      <c r="J361" s="66">
        <v>1</v>
      </c>
      <c r="K361" s="35" t="str">
        <f t="shared" si="117"/>
        <v/>
      </c>
      <c r="L361" s="35">
        <f t="shared" si="104"/>
        <v>0</v>
      </c>
      <c r="M361" s="77" t="str" cm="1">
        <f t="array" ref="M361">_xlfn.IFS(BOM!I361="RM-PACKING","100%",B361="Reynolds",VLOOKUP(H361,'Yield &amp; Time'!A:V,22,0),BOM!B361="Dnata",VLOOKUP(BOM!H361,'Yield &amp; Time'!A:M,13,0),B361="NK",VLOOKUP(H361,'Yield &amp; Time'!A:X,24,0))</f>
        <v>100%</v>
      </c>
      <c r="N361" s="35">
        <f t="shared" si="123"/>
        <v>1</v>
      </c>
      <c r="O361" s="1" t="str">
        <f>VLOOKUP(H361,'RM Used'!A:E,5,0)</f>
        <v>Count</v>
      </c>
      <c r="P361" s="11">
        <f>VLOOKUP(H361,'RM Used'!A:F,6,0)</f>
        <v>0.09</v>
      </c>
      <c r="Q361" s="11">
        <f t="shared" si="114"/>
        <v>0.09</v>
      </c>
      <c r="R361" s="11">
        <f>IFERROR(IF(B361="Reynolds",VLOOKUP(H361,'Yield &amp; Time'!A:U,21,0),VLOOKUP(H361,'Yield &amp; Time'!A:L,12,0)),0)</f>
        <v>0</v>
      </c>
      <c r="S361" s="11">
        <f t="shared" si="106"/>
        <v>0</v>
      </c>
      <c r="T361" s="11">
        <f t="shared" si="107"/>
        <v>0</v>
      </c>
      <c r="U361" s="11">
        <f>IF(A360=A361,0,VLOOKUP(A361,'Packing Time'!A:F,6,0))</f>
        <v>0</v>
      </c>
      <c r="V361" s="11">
        <f t="shared" si="118"/>
        <v>0</v>
      </c>
      <c r="W361" s="11">
        <f t="shared" si="119"/>
        <v>0</v>
      </c>
      <c r="X361" s="11">
        <f t="shared" si="108"/>
        <v>0</v>
      </c>
      <c r="Y361" s="11">
        <f t="shared" si="120"/>
        <v>0</v>
      </c>
      <c r="Z361" s="37">
        <v>1</v>
      </c>
      <c r="AA361" s="36">
        <f t="shared" si="109"/>
        <v>1</v>
      </c>
      <c r="AB361" s="36">
        <f t="shared" si="110"/>
        <v>0.09</v>
      </c>
      <c r="AC361" s="11">
        <f t="shared" si="111"/>
        <v>0</v>
      </c>
      <c r="AD361" s="36">
        <f t="shared" si="121"/>
        <v>0</v>
      </c>
      <c r="AE361" s="36"/>
      <c r="AF361" s="36">
        <f>IFERROR(VLOOKUP(AE361,'Chemical Cost'!A:D,4,0),0)</f>
        <v>0</v>
      </c>
      <c r="AG361" s="114">
        <f t="shared" si="112"/>
        <v>0</v>
      </c>
      <c r="AH361" s="36">
        <f t="shared" si="115"/>
        <v>0</v>
      </c>
      <c r="AI361" s="36">
        <f t="shared" si="122"/>
        <v>0.09</v>
      </c>
      <c r="AJ361" s="36">
        <f>IFERROR(VLOOKUP(A361,'All Products'!A:F,6,0),0)</f>
        <v>15.13</v>
      </c>
      <c r="AK361" s="36"/>
      <c r="AL361" s="23"/>
      <c r="AM361" s="23">
        <v>1</v>
      </c>
      <c r="AN361" s="54" t="e">
        <v>#N/A</v>
      </c>
      <c r="AO361" s="47"/>
      <c r="AP361" s="4">
        <v>1.6</v>
      </c>
      <c r="AQ361" s="111">
        <f t="shared" si="113"/>
        <v>0</v>
      </c>
      <c r="AR361">
        <f>_xlfn.XLOOKUP(F361,'RM Cost'!A:A,'RM Cost'!S:S)</f>
        <v>0</v>
      </c>
      <c r="AS361" t="e">
        <f>_xlfn.XLOOKUP(A361,[3]Sheet1!$B:$B,[3]Sheet1!$B:$B)</f>
        <v>#N/A</v>
      </c>
    </row>
    <row r="362" spans="1:46" x14ac:dyDescent="0.25">
      <c r="A362" s="1" t="s">
        <v>623</v>
      </c>
      <c r="B362" s="2" t="s">
        <v>552</v>
      </c>
      <c r="C362" s="2" t="s">
        <v>624</v>
      </c>
      <c r="D362" s="2" t="s">
        <v>554</v>
      </c>
      <c r="E362" s="2">
        <v>3</v>
      </c>
      <c r="F362" s="1" t="str">
        <f>VLOOKUP(H362,'RM Used'!A:B,2,0)</f>
        <v>P0016</v>
      </c>
      <c r="G362" s="1" t="str">
        <f>IFERROR(VLOOKUP(F362,'RM Cost'!A:B,2,0),"")</f>
        <v>REY 40 30 BOX</v>
      </c>
      <c r="H362" s="2" t="s">
        <v>1332</v>
      </c>
      <c r="I362" s="1" t="str">
        <f>VLOOKUP(F362,'RM Used'!B:D,3,0)</f>
        <v>RM-PACKING</v>
      </c>
      <c r="J362" s="66">
        <v>1</v>
      </c>
      <c r="K362" s="35" t="str">
        <f t="shared" si="117"/>
        <v/>
      </c>
      <c r="L362" s="35">
        <f t="shared" si="104"/>
        <v>0</v>
      </c>
      <c r="M362" s="77" t="str" cm="1">
        <f t="array" ref="M362">_xlfn.IFS(BOM!I362="RM-PACKING","100%",B362="Reynolds",VLOOKUP(H362,'Yield &amp; Time'!A:V,22,0),BOM!B362="Dnata",VLOOKUP(BOM!H362,'Yield &amp; Time'!A:M,13,0),B362="NK",VLOOKUP(H362,'Yield &amp; Time'!A:X,24,0))</f>
        <v>100%</v>
      </c>
      <c r="N362" s="35">
        <f t="shared" si="123"/>
        <v>1</v>
      </c>
      <c r="O362" s="1" t="str">
        <f>VLOOKUP(H362,'RM Used'!A:E,5,0)</f>
        <v>Count</v>
      </c>
      <c r="P362" s="11">
        <f>VLOOKUP(H362,'RM Used'!A:F,6,0)</f>
        <v>0.28000000000000003</v>
      </c>
      <c r="Q362" s="11">
        <f t="shared" si="114"/>
        <v>0.28000000000000003</v>
      </c>
      <c r="R362" s="11">
        <f>IFERROR(IF(B362="Reynolds",VLOOKUP(H362,'Yield &amp; Time'!A:U,21,0),VLOOKUP(H362,'Yield &amp; Time'!A:L,12,0)),0)</f>
        <v>0</v>
      </c>
      <c r="S362" s="11">
        <f t="shared" si="106"/>
        <v>0</v>
      </c>
      <c r="T362" s="11">
        <f t="shared" si="107"/>
        <v>0</v>
      </c>
      <c r="U362" s="11">
        <f>IF(A361=A362,0,VLOOKUP(A362,'Packing Time'!A:F,6,0))</f>
        <v>0</v>
      </c>
      <c r="V362" s="11">
        <f t="shared" si="118"/>
        <v>0</v>
      </c>
      <c r="W362" s="11">
        <f t="shared" si="119"/>
        <v>0</v>
      </c>
      <c r="X362" s="11">
        <f t="shared" si="108"/>
        <v>0</v>
      </c>
      <c r="Y362" s="11">
        <f t="shared" si="120"/>
        <v>0</v>
      </c>
      <c r="Z362" s="37">
        <v>1</v>
      </c>
      <c r="AA362" s="36">
        <f t="shared" si="109"/>
        <v>1</v>
      </c>
      <c r="AB362" s="36">
        <f t="shared" si="110"/>
        <v>0.28000000000000003</v>
      </c>
      <c r="AC362" s="11">
        <f t="shared" si="111"/>
        <v>0</v>
      </c>
      <c r="AD362" s="36">
        <f t="shared" si="121"/>
        <v>0</v>
      </c>
      <c r="AE362" s="36"/>
      <c r="AF362" s="36">
        <f>IFERROR(VLOOKUP(AE362,'Chemical Cost'!A:D,4,0),0)</f>
        <v>0</v>
      </c>
      <c r="AG362" s="114">
        <f t="shared" si="112"/>
        <v>0</v>
      </c>
      <c r="AH362" s="36">
        <f t="shared" si="115"/>
        <v>0</v>
      </c>
      <c r="AI362" s="36">
        <f t="shared" si="122"/>
        <v>0.28000000000000003</v>
      </c>
      <c r="AJ362" s="36">
        <f>IFERROR(VLOOKUP(A362,'All Products'!A:F,6,0),0)</f>
        <v>15.13</v>
      </c>
      <c r="AK362" s="36"/>
      <c r="AL362" s="23"/>
      <c r="AM362" s="23">
        <v>1</v>
      </c>
      <c r="AN362" s="54" t="e">
        <v>#N/A</v>
      </c>
      <c r="AO362" s="47"/>
      <c r="AP362" s="4">
        <v>1.6</v>
      </c>
      <c r="AQ362" s="111">
        <f t="shared" si="113"/>
        <v>0</v>
      </c>
      <c r="AR362">
        <f>_xlfn.XLOOKUP(F362,'RM Cost'!A:A,'RM Cost'!S:S)</f>
        <v>0</v>
      </c>
      <c r="AS362" t="e">
        <f>_xlfn.XLOOKUP(A362,[3]Sheet1!$B:$B,[3]Sheet1!$B:$B)</f>
        <v>#N/A</v>
      </c>
    </row>
    <row r="363" spans="1:46" x14ac:dyDescent="0.25">
      <c r="A363" s="1" t="s">
        <v>625</v>
      </c>
      <c r="B363" s="2" t="s">
        <v>552</v>
      </c>
      <c r="C363" s="2" t="s">
        <v>626</v>
      </c>
      <c r="D363" s="2" t="s">
        <v>554</v>
      </c>
      <c r="E363" s="2">
        <v>1</v>
      </c>
      <c r="F363" s="1" t="str">
        <f>VLOOKUP(H363,'RM Used'!A:B,2,0)</f>
        <v>206ACS</v>
      </c>
      <c r="G363" s="1" t="str">
        <f>IFERROR(VLOOKUP(F363,'RM Cost'!A:B,2,0),"")</f>
        <v>RM - PREP ONION WHOLE 10KG</v>
      </c>
      <c r="H363" s="2" t="s">
        <v>1435</v>
      </c>
      <c r="I363" s="1" t="str">
        <f>VLOOKUP(F363,'RM Used'!B:D,3,0)</f>
        <v>RM-FOOD</v>
      </c>
      <c r="J363" s="66">
        <v>1</v>
      </c>
      <c r="K363" s="35">
        <f t="shared" si="117"/>
        <v>1</v>
      </c>
      <c r="L363" s="35">
        <f t="shared" si="104"/>
        <v>1</v>
      </c>
      <c r="M363" s="77" cm="1">
        <f t="array" ref="M363">_xlfn.IFS(BOM!I363="RM-PACKING","100%",B363="Reynolds",VLOOKUP(H363,'Yield &amp; Time'!A:V,22,0),BOM!B363="Dnata",VLOOKUP(BOM!H363,'Yield &amp; Time'!A:M,13,0),B363="NK",VLOOKUP(H363,'Yield &amp; Time'!A:X,24,0))</f>
        <v>0.82139712728001835</v>
      </c>
      <c r="N363" s="35">
        <f t="shared" si="123"/>
        <v>1.2174379076676451</v>
      </c>
      <c r="O363" s="1" t="str">
        <f>VLOOKUP(H363,'RM Used'!A:E,5,0)</f>
        <v>KG</v>
      </c>
      <c r="P363" s="11">
        <f>VLOOKUP(H363,'RM Used'!A:F,6,0)</f>
        <v>0.87</v>
      </c>
      <c r="Q363" s="11">
        <f t="shared" si="114"/>
        <v>1.0591709796708513</v>
      </c>
      <c r="R363" s="11">
        <f>IFERROR(IF(B363="Reynolds",VLOOKUP(H363,'Yield &amp; Time'!A:U,21,0),VLOOKUP(H363,'Yield &amp; Time'!A:L,12,0)),0)</f>
        <v>0.65</v>
      </c>
      <c r="S363" s="11">
        <f t="shared" si="106"/>
        <v>0.220025</v>
      </c>
      <c r="T363" s="11">
        <f t="shared" si="107"/>
        <v>1.0833333333333334E-2</v>
      </c>
      <c r="U363" s="11">
        <f>IF(A362=A363,0,VLOOKUP(A363,'Packing Time'!A:F,6,0))</f>
        <v>0.64500000000000002</v>
      </c>
      <c r="V363" s="11">
        <f t="shared" si="118"/>
        <v>0.21833249999999998</v>
      </c>
      <c r="W363" s="11">
        <f t="shared" si="119"/>
        <v>1.0750000000000001E-2</v>
      </c>
      <c r="X363" s="11">
        <f t="shared" si="108"/>
        <v>0.701372</v>
      </c>
      <c r="Y363" s="11">
        <f t="shared" si="120"/>
        <v>0.701372</v>
      </c>
      <c r="Z363" s="37">
        <v>1</v>
      </c>
      <c r="AA363" s="36">
        <f t="shared" si="109"/>
        <v>1.2174379076676451</v>
      </c>
      <c r="AB363" s="36">
        <f t="shared" si="110"/>
        <v>1.0591709796708513</v>
      </c>
      <c r="AC363" s="11">
        <f t="shared" si="111"/>
        <v>3.4533333333333333E-2</v>
      </c>
      <c r="AD363" s="36">
        <f t="shared" si="121"/>
        <v>0.701372</v>
      </c>
      <c r="AE363" s="36" t="str">
        <f>VLOOKUP(H363,'Yield &amp; Time'!A:R,18,0)</f>
        <v>CHLORINE</v>
      </c>
      <c r="AF363" s="36">
        <f>IFERROR(VLOOKUP(AE363,'Chemical Cost'!A:D,4,0),0)</f>
        <v>2.7756518066439469E-2</v>
      </c>
      <c r="AG363" s="114">
        <f t="shared" si="112"/>
        <v>1.126394575964842E-2</v>
      </c>
      <c r="AH363" s="36">
        <f t="shared" si="115"/>
        <v>1.126394575964842E-2</v>
      </c>
      <c r="AI363" s="36">
        <f t="shared" si="122"/>
        <v>1.7718069254304996</v>
      </c>
      <c r="AJ363" s="36">
        <f>IFERROR(VLOOKUP(A363,'All Products'!A:F,6,0),0)</f>
        <v>3.59</v>
      </c>
      <c r="AK363" s="36">
        <f>AJ363*Z363*J363</f>
        <v>3.59</v>
      </c>
      <c r="AL363" s="23">
        <v>0.8</v>
      </c>
      <c r="AM363" s="23">
        <v>0.2</v>
      </c>
      <c r="AN363" s="54" t="e">
        <v>#N/A</v>
      </c>
      <c r="AO363" s="47"/>
      <c r="AP363" s="4">
        <v>1.6</v>
      </c>
      <c r="AQ363" s="111">
        <f t="shared" si="113"/>
        <v>3.4533333333333333E-2</v>
      </c>
      <c r="AR363">
        <f>_xlfn.XLOOKUP(F363,'RM Cost'!A:A,'RM Cost'!S:S)</f>
        <v>0</v>
      </c>
      <c r="AS363" t="e">
        <f>_xlfn.XLOOKUP(A363,[3]Sheet1!$B:$B,[3]Sheet1!$B:$B)</f>
        <v>#N/A</v>
      </c>
    </row>
    <row r="364" spans="1:46" x14ac:dyDescent="0.25">
      <c r="A364" s="1" t="s">
        <v>625</v>
      </c>
      <c r="B364" s="2" t="s">
        <v>552</v>
      </c>
      <c r="C364" s="2" t="s">
        <v>626</v>
      </c>
      <c r="D364" s="2" t="s">
        <v>554</v>
      </c>
      <c r="E364" s="2">
        <v>1</v>
      </c>
      <c r="F364" s="1" t="str">
        <f>VLOOKUP(H364,'RM Used'!A:B,2,0)</f>
        <v>P0020</v>
      </c>
      <c r="G364" s="1" t="str">
        <f>IFERROR(VLOOKUP(F364,'RM Cost'!A:B,2,0),"")</f>
        <v>PALE BLUE BAG 430X430MM</v>
      </c>
      <c r="H364" s="2" t="s">
        <v>1659</v>
      </c>
      <c r="I364" s="1" t="str">
        <f>VLOOKUP(F364,'RM Used'!B:D,3,0)</f>
        <v>RM-PACKING</v>
      </c>
      <c r="J364" s="66">
        <v>1</v>
      </c>
      <c r="K364" s="35" t="str">
        <f t="shared" si="117"/>
        <v/>
      </c>
      <c r="L364" s="35">
        <f t="shared" si="104"/>
        <v>0</v>
      </c>
      <c r="M364" s="77" t="str" cm="1">
        <f t="array" ref="M364">_xlfn.IFS(BOM!I364="RM-PACKING","100%",B364="Reynolds",VLOOKUP(H364,'Yield &amp; Time'!A:V,22,0),BOM!B364="Dnata",VLOOKUP(BOM!H364,'Yield &amp; Time'!A:M,13,0),B364="NK",VLOOKUP(H364,'Yield &amp; Time'!A:X,24,0))</f>
        <v>100%</v>
      </c>
      <c r="N364" s="35">
        <f t="shared" si="123"/>
        <v>1</v>
      </c>
      <c r="O364" s="1" t="str">
        <f>VLOOKUP(H364,'RM Used'!A:E,5,0)</f>
        <v>Count</v>
      </c>
      <c r="P364" s="11">
        <f>VLOOKUP(H364,'RM Used'!A:F,6,0)</f>
        <v>0.09</v>
      </c>
      <c r="Q364" s="11">
        <f t="shared" si="114"/>
        <v>0.09</v>
      </c>
      <c r="R364" s="11">
        <f>IFERROR(IF(B364="Reynolds",VLOOKUP(H364,'Yield &amp; Time'!A:U,21,0),VLOOKUP(H364,'Yield &amp; Time'!A:L,12,0)),0)</f>
        <v>0</v>
      </c>
      <c r="S364" s="11">
        <f t="shared" si="106"/>
        <v>0</v>
      </c>
      <c r="T364" s="11">
        <f t="shared" si="107"/>
        <v>0</v>
      </c>
      <c r="U364" s="11">
        <f>IF(A363=A364,0,VLOOKUP(A364,'Packing Time'!A:F,6,0))</f>
        <v>0</v>
      </c>
      <c r="V364" s="11">
        <f t="shared" si="118"/>
        <v>0</v>
      </c>
      <c r="W364" s="11">
        <f t="shared" si="119"/>
        <v>0</v>
      </c>
      <c r="X364" s="11">
        <f t="shared" si="108"/>
        <v>0</v>
      </c>
      <c r="Y364" s="11">
        <f t="shared" si="120"/>
        <v>0</v>
      </c>
      <c r="Z364" s="37">
        <v>1</v>
      </c>
      <c r="AA364" s="36">
        <f t="shared" si="109"/>
        <v>1</v>
      </c>
      <c r="AB364" s="36">
        <f t="shared" si="110"/>
        <v>0.09</v>
      </c>
      <c r="AC364" s="11">
        <f t="shared" si="111"/>
        <v>0</v>
      </c>
      <c r="AD364" s="36">
        <f t="shared" si="121"/>
        <v>0</v>
      </c>
      <c r="AE364" s="36"/>
      <c r="AF364" s="36">
        <f>IFERROR(VLOOKUP(AE364,'Chemical Cost'!A:D,4,0),0)</f>
        <v>0</v>
      </c>
      <c r="AG364" s="114">
        <f t="shared" si="112"/>
        <v>0</v>
      </c>
      <c r="AH364" s="36">
        <f t="shared" si="115"/>
        <v>0</v>
      </c>
      <c r="AI364" s="36">
        <f t="shared" si="122"/>
        <v>0.09</v>
      </c>
      <c r="AJ364" s="36">
        <f>IFERROR(VLOOKUP(A364,'All Products'!A:F,6,0),0)</f>
        <v>3.59</v>
      </c>
      <c r="AK364" s="36"/>
      <c r="AL364" s="23">
        <v>0.8</v>
      </c>
      <c r="AM364" s="23">
        <v>0.2</v>
      </c>
      <c r="AN364" s="54" t="e">
        <v>#N/A</v>
      </c>
      <c r="AO364" s="47"/>
      <c r="AP364" s="4">
        <v>1.6</v>
      </c>
      <c r="AQ364" s="111">
        <f t="shared" si="113"/>
        <v>0</v>
      </c>
      <c r="AR364">
        <f>_xlfn.XLOOKUP(F364,'RM Cost'!A:A,'RM Cost'!S:S)</f>
        <v>0</v>
      </c>
      <c r="AS364" t="e">
        <f>_xlfn.XLOOKUP(A364,[3]Sheet1!$B:$B,[3]Sheet1!$B:$B)</f>
        <v>#N/A</v>
      </c>
    </row>
    <row r="365" spans="1:46" x14ac:dyDescent="0.25">
      <c r="A365" s="1" t="s">
        <v>625</v>
      </c>
      <c r="B365" s="2" t="s">
        <v>552</v>
      </c>
      <c r="C365" s="2" t="s">
        <v>626</v>
      </c>
      <c r="D365" s="2" t="s">
        <v>554</v>
      </c>
      <c r="E365" s="2">
        <v>1</v>
      </c>
      <c r="F365" s="1" t="str">
        <f>VLOOKUP(H365,'RM Used'!A:B,2,0)</f>
        <v>P0016</v>
      </c>
      <c r="G365" s="1" t="str">
        <f>IFERROR(VLOOKUP(F365,'RM Cost'!A:B,2,0),"")</f>
        <v>REY 40 30 BOX</v>
      </c>
      <c r="H365" s="2" t="s">
        <v>1332</v>
      </c>
      <c r="I365" s="1" t="str">
        <f>VLOOKUP(F365,'RM Used'!B:D,3,0)</f>
        <v>RM-PACKING</v>
      </c>
      <c r="J365" s="66">
        <v>1</v>
      </c>
      <c r="K365" s="35" t="str">
        <f t="shared" si="117"/>
        <v/>
      </c>
      <c r="L365" s="35">
        <f t="shared" si="104"/>
        <v>0</v>
      </c>
      <c r="M365" s="77" t="str" cm="1">
        <f t="array" ref="M365">_xlfn.IFS(BOM!I365="RM-PACKING","100%",B365="Reynolds",VLOOKUP(H365,'Yield &amp; Time'!A:V,22,0),BOM!B365="Dnata",VLOOKUP(BOM!H365,'Yield &amp; Time'!A:M,13,0),B365="NK",VLOOKUP(H365,'Yield &amp; Time'!A:X,24,0))</f>
        <v>100%</v>
      </c>
      <c r="N365" s="35">
        <f t="shared" si="123"/>
        <v>1</v>
      </c>
      <c r="O365" s="1" t="str">
        <f>VLOOKUP(H365,'RM Used'!A:E,5,0)</f>
        <v>Count</v>
      </c>
      <c r="P365" s="11">
        <f>VLOOKUP(H365,'RM Used'!A:F,6,0)</f>
        <v>0.28000000000000003</v>
      </c>
      <c r="Q365" s="11">
        <f t="shared" si="114"/>
        <v>0.28000000000000003</v>
      </c>
      <c r="R365" s="11">
        <f>IFERROR(IF(B365="Reynolds",VLOOKUP(H365,'Yield &amp; Time'!A:U,21,0),VLOOKUP(H365,'Yield &amp; Time'!A:L,12,0)),0)</f>
        <v>0</v>
      </c>
      <c r="S365" s="11">
        <f t="shared" si="106"/>
        <v>0</v>
      </c>
      <c r="T365" s="11">
        <f t="shared" si="107"/>
        <v>0</v>
      </c>
      <c r="U365" s="11">
        <f>IF(A364=A365,0,VLOOKUP(A365,'Packing Time'!A:F,6,0))</f>
        <v>0</v>
      </c>
      <c r="V365" s="11">
        <f t="shared" si="118"/>
        <v>0</v>
      </c>
      <c r="W365" s="11">
        <f t="shared" si="119"/>
        <v>0</v>
      </c>
      <c r="X365" s="11">
        <f t="shared" si="108"/>
        <v>0</v>
      </c>
      <c r="Y365" s="11">
        <f t="shared" si="120"/>
        <v>0</v>
      </c>
      <c r="Z365" s="37">
        <v>1</v>
      </c>
      <c r="AA365" s="36">
        <f t="shared" si="109"/>
        <v>1</v>
      </c>
      <c r="AB365" s="36">
        <f t="shared" si="110"/>
        <v>0.28000000000000003</v>
      </c>
      <c r="AC365" s="11">
        <f t="shared" si="111"/>
        <v>0</v>
      </c>
      <c r="AD365" s="36">
        <f t="shared" si="121"/>
        <v>0</v>
      </c>
      <c r="AE365" s="36"/>
      <c r="AF365" s="36">
        <f>IFERROR(VLOOKUP(AE365,'Chemical Cost'!A:D,4,0),0)</f>
        <v>0</v>
      </c>
      <c r="AG365" s="114">
        <f t="shared" si="112"/>
        <v>0</v>
      </c>
      <c r="AH365" s="36">
        <f t="shared" si="115"/>
        <v>0</v>
      </c>
      <c r="AI365" s="36">
        <f t="shared" si="122"/>
        <v>0.28000000000000003</v>
      </c>
      <c r="AJ365" s="36">
        <f>IFERROR(VLOOKUP(A365,'All Products'!A:F,6,0),0)</f>
        <v>3.59</v>
      </c>
      <c r="AK365" s="36"/>
      <c r="AL365" s="23">
        <v>0.8</v>
      </c>
      <c r="AM365" s="23">
        <v>0.2</v>
      </c>
      <c r="AN365" s="54" t="e">
        <v>#N/A</v>
      </c>
      <c r="AO365" s="47"/>
      <c r="AP365" s="4">
        <v>1.6</v>
      </c>
      <c r="AQ365" s="111">
        <f t="shared" si="113"/>
        <v>0</v>
      </c>
      <c r="AR365">
        <f>_xlfn.XLOOKUP(F365,'RM Cost'!A:A,'RM Cost'!S:S)</f>
        <v>0</v>
      </c>
      <c r="AS365" t="e">
        <f>_xlfn.XLOOKUP(A365,[3]Sheet1!$B:$B,[3]Sheet1!$B:$B)</f>
        <v>#N/A</v>
      </c>
    </row>
    <row r="366" spans="1:46" x14ac:dyDescent="0.25">
      <c r="A366" s="1" t="s">
        <v>627</v>
      </c>
      <c r="B366" s="2" t="s">
        <v>552</v>
      </c>
      <c r="C366" s="2" t="s">
        <v>628</v>
      </c>
      <c r="D366" s="2" t="s">
        <v>554</v>
      </c>
      <c r="E366" s="2">
        <v>1</v>
      </c>
      <c r="F366" s="1" t="str">
        <f>VLOOKUP(H366,'RM Used'!A:B,2,0)</f>
        <v>3026CS</v>
      </c>
      <c r="G366" s="1" t="str">
        <f>IFERROR(VLOOKUP(F366,'RM Cost'!A:B,2,0),"")</f>
        <v>RM - BEETROOT RAW  X10KG</v>
      </c>
      <c r="H366" s="2" t="s">
        <v>1445</v>
      </c>
      <c r="I366" s="1" t="str">
        <f>VLOOKUP(F366,'RM Used'!B:D,3,0)</f>
        <v>RM-FOOD</v>
      </c>
      <c r="J366" s="66">
        <v>1</v>
      </c>
      <c r="K366" s="35">
        <f t="shared" si="117"/>
        <v>1</v>
      </c>
      <c r="L366" s="35">
        <f t="shared" si="104"/>
        <v>1</v>
      </c>
      <c r="M366" s="77" cm="1">
        <f t="array" ref="M366">_xlfn.IFS(BOM!I366="RM-PACKING","100%",B366="Reynolds",VLOOKUP(H366,'Yield &amp; Time'!A:V,22,0),BOM!B366="Dnata",VLOOKUP(BOM!H366,'Yield &amp; Time'!A:M,13,0),B366="NK",VLOOKUP(H366,'Yield &amp; Time'!A:X,24,0))</f>
        <v>0.70840000000000003</v>
      </c>
      <c r="N366" s="35">
        <f t="shared" si="123"/>
        <v>1.411631846414455</v>
      </c>
      <c r="O366" s="1" t="str">
        <f>VLOOKUP(H366,'RM Used'!A:E,5,0)</f>
        <v>KG</v>
      </c>
      <c r="P366" s="11">
        <f>VLOOKUP(H366,'RM Used'!A:F,6,0)</f>
        <v>0.47</v>
      </c>
      <c r="Q366" s="11">
        <f t="shared" si="114"/>
        <v>0.66346696781479386</v>
      </c>
      <c r="R366" s="11">
        <f>IFERROR(IF(B366="Reynolds",VLOOKUP(H366,'Yield &amp; Time'!A:U,21,0),VLOOKUP(H366,'Yield &amp; Time'!A:L,12,0)),0)</f>
        <v>1.5999999999999999</v>
      </c>
      <c r="S366" s="11">
        <f t="shared" si="106"/>
        <v>0.54159999999999986</v>
      </c>
      <c r="T366" s="11">
        <f t="shared" si="107"/>
        <v>2.6666666666666665E-2</v>
      </c>
      <c r="U366" s="11">
        <f>IF(A365=A366,0,VLOOKUP(A366,'Packing Time'!A:F,6,0))</f>
        <v>1.75</v>
      </c>
      <c r="V366" s="11">
        <f t="shared" si="118"/>
        <v>0.59237499999999998</v>
      </c>
      <c r="W366" s="11">
        <f t="shared" si="119"/>
        <v>2.9166666666666667E-2</v>
      </c>
      <c r="X366" s="11">
        <f t="shared" si="108"/>
        <v>1.8143599999999998</v>
      </c>
      <c r="Y366" s="11">
        <f t="shared" si="120"/>
        <v>1.8143599999999998</v>
      </c>
      <c r="Z366" s="37">
        <v>1</v>
      </c>
      <c r="AA366" s="36">
        <f t="shared" si="109"/>
        <v>1.411631846414455</v>
      </c>
      <c r="AB366" s="36">
        <f t="shared" si="110"/>
        <v>0.66346696781479386</v>
      </c>
      <c r="AC366" s="11">
        <f t="shared" si="111"/>
        <v>8.933333333333332E-2</v>
      </c>
      <c r="AD366" s="36">
        <f t="shared" si="121"/>
        <v>1.8143599999999995</v>
      </c>
      <c r="AE366" s="36" t="str">
        <f>VLOOKUP(H366,'Yield &amp; Time'!A:R,18,0)</f>
        <v>CHLORINE</v>
      </c>
      <c r="AF366" s="36">
        <f>IFERROR(VLOOKUP(AE366,'Chemical Cost'!A:D,4,0),0)</f>
        <v>2.7756518066439469E-2</v>
      </c>
      <c r="AG366" s="114">
        <f t="shared" si="112"/>
        <v>1.3060661616054708E-2</v>
      </c>
      <c r="AH366" s="36">
        <f t="shared" si="115"/>
        <v>1.3060661616054708E-2</v>
      </c>
      <c r="AI366" s="36">
        <f t="shared" si="122"/>
        <v>2.4908876294308482</v>
      </c>
      <c r="AJ366" s="36">
        <f>IFERROR(VLOOKUP(A366,'All Products'!A:F,6,0),0)</f>
        <v>1.94</v>
      </c>
      <c r="AK366" s="36">
        <f>AJ366*Z366*J366</f>
        <v>1.94</v>
      </c>
      <c r="AL366" s="23">
        <v>0.8</v>
      </c>
      <c r="AM366" s="23">
        <v>0.2</v>
      </c>
      <c r="AN366" s="54" t="e">
        <v>#N/A</v>
      </c>
      <c r="AO366" s="47"/>
      <c r="AP366" s="4">
        <v>1.6</v>
      </c>
      <c r="AQ366" s="111">
        <f t="shared" si="113"/>
        <v>8.933333333333332E-2</v>
      </c>
      <c r="AR366">
        <f>_xlfn.XLOOKUP(F366,'RM Cost'!A:A,'RM Cost'!S:S)</f>
        <v>0</v>
      </c>
      <c r="AS366" t="str">
        <f>_xlfn.XLOOKUP(A366,[3]Sheet1!$B:$B,[3]Sheet1!$B:$B)</f>
        <v>713ACS</v>
      </c>
      <c r="AT366">
        <f>_xlfn.XLOOKUP(H366,'Yield &amp; Time'!A:A,'Yield &amp; Time'!F:F)</f>
        <v>0</v>
      </c>
    </row>
    <row r="367" spans="1:46" x14ac:dyDescent="0.25">
      <c r="A367" s="1" t="s">
        <v>627</v>
      </c>
      <c r="B367" s="2" t="s">
        <v>552</v>
      </c>
      <c r="C367" s="2" t="s">
        <v>628</v>
      </c>
      <c r="D367" s="2" t="s">
        <v>554</v>
      </c>
      <c r="E367" s="2">
        <v>1</v>
      </c>
      <c r="F367" s="1" t="str">
        <f>VLOOKUP(H367,'RM Used'!A:B,2,0)</f>
        <v>P0017</v>
      </c>
      <c r="G367" s="1" t="str">
        <f>IFERROR(VLOOKUP(F367,'RM Cost'!A:B,2,0),"")</f>
        <v>PALE BLUE BAG 250X300MM</v>
      </c>
      <c r="H367" s="2" t="s">
        <v>1334</v>
      </c>
      <c r="I367" s="1" t="str">
        <f>VLOOKUP(F367,'RM Used'!B:D,3,0)</f>
        <v>RM-PACKING</v>
      </c>
      <c r="J367" s="66">
        <v>1</v>
      </c>
      <c r="K367" s="35" t="str">
        <f t="shared" si="117"/>
        <v/>
      </c>
      <c r="L367" s="35">
        <f t="shared" si="104"/>
        <v>0</v>
      </c>
      <c r="M367" s="77" t="str" cm="1">
        <f t="array" ref="M367">_xlfn.IFS(BOM!I367="RM-PACKING","100%",B367="Reynolds",VLOOKUP(H367,'Yield &amp; Time'!A:V,22,0),BOM!B367="Dnata",VLOOKUP(BOM!H367,'Yield &amp; Time'!A:M,13,0),B367="NK",VLOOKUP(H367,'Yield &amp; Time'!A:X,24,0))</f>
        <v>100%</v>
      </c>
      <c r="N367" s="35">
        <v>4</v>
      </c>
      <c r="O367" s="1" t="str">
        <f>VLOOKUP(H367,'RM Used'!A:E,5,0)</f>
        <v>Count</v>
      </c>
      <c r="P367" s="11">
        <f>VLOOKUP(H367,'RM Used'!A:F,6,0)</f>
        <v>0.05</v>
      </c>
      <c r="Q367" s="11">
        <f t="shared" si="114"/>
        <v>0.2</v>
      </c>
      <c r="R367" s="11">
        <f>IFERROR(IF(B367="Reynolds",VLOOKUP(H367,'Yield &amp; Time'!A:U,21,0),VLOOKUP(H367,'Yield &amp; Time'!A:L,12,0)),0)</f>
        <v>0</v>
      </c>
      <c r="S367" s="11">
        <f t="shared" si="106"/>
        <v>0</v>
      </c>
      <c r="T367" s="11">
        <f t="shared" si="107"/>
        <v>0</v>
      </c>
      <c r="U367" s="11">
        <f>IF(A366=A367,0,VLOOKUP(A367,'Packing Time'!A:F,6,0))</f>
        <v>0</v>
      </c>
      <c r="V367" s="11">
        <f t="shared" si="118"/>
        <v>0</v>
      </c>
      <c r="W367" s="11">
        <f t="shared" si="119"/>
        <v>0</v>
      </c>
      <c r="X367" s="11">
        <f t="shared" si="108"/>
        <v>0</v>
      </c>
      <c r="Y367" s="11">
        <f t="shared" si="120"/>
        <v>0</v>
      </c>
      <c r="Z367" s="37">
        <v>1</v>
      </c>
      <c r="AA367" s="36">
        <f t="shared" si="109"/>
        <v>4</v>
      </c>
      <c r="AB367" s="36">
        <f t="shared" si="110"/>
        <v>0.2</v>
      </c>
      <c r="AC367" s="11">
        <f t="shared" si="111"/>
        <v>0</v>
      </c>
      <c r="AD367" s="36">
        <f t="shared" si="121"/>
        <v>0</v>
      </c>
      <c r="AE367" s="36"/>
      <c r="AF367" s="36">
        <f>IFERROR(VLOOKUP(AE367,'Chemical Cost'!A:D,4,0),0)</f>
        <v>0</v>
      </c>
      <c r="AG367" s="114">
        <f t="shared" si="112"/>
        <v>0</v>
      </c>
      <c r="AH367" s="36">
        <f t="shared" si="115"/>
        <v>0</v>
      </c>
      <c r="AI367" s="36">
        <f t="shared" si="122"/>
        <v>0.2</v>
      </c>
      <c r="AJ367" s="36">
        <f>IFERROR(VLOOKUP(A367,'All Products'!A:F,6,0),0)</f>
        <v>1.94</v>
      </c>
      <c r="AK367" s="36"/>
      <c r="AL367" s="23">
        <v>0.8</v>
      </c>
      <c r="AM367" s="23">
        <v>0.2</v>
      </c>
      <c r="AN367" s="54" t="e">
        <v>#N/A</v>
      </c>
      <c r="AO367" s="47"/>
      <c r="AP367" s="4">
        <v>1.6</v>
      </c>
      <c r="AQ367" s="111">
        <f t="shared" si="113"/>
        <v>0</v>
      </c>
      <c r="AR367">
        <f>_xlfn.XLOOKUP(F367,'RM Cost'!A:A,'RM Cost'!S:S)</f>
        <v>0</v>
      </c>
      <c r="AS367" t="str">
        <f>_xlfn.XLOOKUP(A367,[3]Sheet1!$B:$B,[3]Sheet1!$B:$B)</f>
        <v>713ACS</v>
      </c>
      <c r="AT367" t="e">
        <f>_xlfn.XLOOKUP(H367,'Yield &amp; Time'!A:A,'Yield &amp; Time'!F:F)</f>
        <v>#N/A</v>
      </c>
    </row>
    <row r="368" spans="1:46" x14ac:dyDescent="0.25">
      <c r="A368" s="1" t="s">
        <v>627</v>
      </c>
      <c r="B368" s="2" t="s">
        <v>552</v>
      </c>
      <c r="C368" s="2" t="s">
        <v>628</v>
      </c>
      <c r="D368" s="2" t="s">
        <v>554</v>
      </c>
      <c r="E368" s="2">
        <v>1</v>
      </c>
      <c r="F368" s="1" t="str">
        <f>VLOOKUP(H368,'RM Used'!A:B,2,0)</f>
        <v>P0016</v>
      </c>
      <c r="G368" s="1" t="str">
        <f>IFERROR(VLOOKUP(F368,'RM Cost'!A:B,2,0),"")</f>
        <v>REY 40 30 BOX</v>
      </c>
      <c r="H368" s="2" t="s">
        <v>1332</v>
      </c>
      <c r="I368" s="1" t="str">
        <f>VLOOKUP(F368,'RM Used'!B:D,3,0)</f>
        <v>RM-PACKING</v>
      </c>
      <c r="J368" s="66">
        <v>1</v>
      </c>
      <c r="K368" s="35" t="str">
        <f t="shared" si="117"/>
        <v/>
      </c>
      <c r="L368" s="35">
        <f t="shared" si="104"/>
        <v>0</v>
      </c>
      <c r="M368" s="77" t="str" cm="1">
        <f t="array" ref="M368">_xlfn.IFS(BOM!I368="RM-PACKING","100%",B368="Reynolds",VLOOKUP(H368,'Yield &amp; Time'!A:V,22,0),BOM!B368="Dnata",VLOOKUP(BOM!H368,'Yield &amp; Time'!A:M,13,0),B368="NK",VLOOKUP(H368,'Yield &amp; Time'!A:X,24,0))</f>
        <v>100%</v>
      </c>
      <c r="N368" s="35">
        <f t="shared" ref="N368:N396" si="124">IFERROR(IF(I368="RM-FOOD",(E368*J368)/M368,1),0)</f>
        <v>1</v>
      </c>
      <c r="O368" s="1" t="str">
        <f>VLOOKUP(H368,'RM Used'!A:E,5,0)</f>
        <v>Count</v>
      </c>
      <c r="P368" s="11">
        <f>VLOOKUP(H368,'RM Used'!A:F,6,0)</f>
        <v>0.28000000000000003</v>
      </c>
      <c r="Q368" s="11">
        <f t="shared" si="114"/>
        <v>0.28000000000000003</v>
      </c>
      <c r="R368" s="11">
        <f>IFERROR(IF(B368="Reynolds",VLOOKUP(H368,'Yield &amp; Time'!A:U,21,0),VLOOKUP(H368,'Yield &amp; Time'!A:L,12,0)),0)</f>
        <v>0</v>
      </c>
      <c r="S368" s="11">
        <f t="shared" si="106"/>
        <v>0</v>
      </c>
      <c r="T368" s="11">
        <f t="shared" si="107"/>
        <v>0</v>
      </c>
      <c r="U368" s="11">
        <f>IF(A367=A368,0,VLOOKUP(A368,'Packing Time'!A:F,6,0))</f>
        <v>0</v>
      </c>
      <c r="V368" s="11">
        <f t="shared" si="118"/>
        <v>0</v>
      </c>
      <c r="W368" s="11">
        <f t="shared" si="119"/>
        <v>0</v>
      </c>
      <c r="X368" s="11">
        <f t="shared" si="108"/>
        <v>0</v>
      </c>
      <c r="Y368" s="11">
        <f t="shared" si="120"/>
        <v>0</v>
      </c>
      <c r="Z368" s="37">
        <v>1</v>
      </c>
      <c r="AA368" s="36">
        <f t="shared" si="109"/>
        <v>1</v>
      </c>
      <c r="AB368" s="36">
        <f t="shared" si="110"/>
        <v>0.28000000000000003</v>
      </c>
      <c r="AC368" s="11">
        <f t="shared" si="111"/>
        <v>0</v>
      </c>
      <c r="AD368" s="36">
        <f t="shared" si="121"/>
        <v>0</v>
      </c>
      <c r="AE368" s="36"/>
      <c r="AF368" s="36">
        <f>IFERROR(VLOOKUP(AE368,'Chemical Cost'!A:D,4,0),0)</f>
        <v>0</v>
      </c>
      <c r="AG368" s="114">
        <f t="shared" si="112"/>
        <v>0</v>
      </c>
      <c r="AH368" s="36">
        <f t="shared" si="115"/>
        <v>0</v>
      </c>
      <c r="AI368" s="36">
        <f t="shared" si="122"/>
        <v>0.28000000000000003</v>
      </c>
      <c r="AJ368" s="36">
        <f>IFERROR(VLOOKUP(A368,'All Products'!A:F,6,0),0)</f>
        <v>1.94</v>
      </c>
      <c r="AK368" s="36"/>
      <c r="AL368" s="23">
        <v>0.8</v>
      </c>
      <c r="AM368" s="23">
        <v>0.2</v>
      </c>
      <c r="AN368" s="54" t="e">
        <v>#N/A</v>
      </c>
      <c r="AO368" s="47"/>
      <c r="AP368" s="4">
        <v>1.6</v>
      </c>
      <c r="AQ368" s="111">
        <f t="shared" si="113"/>
        <v>0</v>
      </c>
      <c r="AR368">
        <f>_xlfn.XLOOKUP(F368,'RM Cost'!A:A,'RM Cost'!S:S)</f>
        <v>0</v>
      </c>
      <c r="AS368" t="str">
        <f>_xlfn.XLOOKUP(A368,[3]Sheet1!$B:$B,[3]Sheet1!$B:$B)</f>
        <v>713ACS</v>
      </c>
      <c r="AT368" t="e">
        <f>_xlfn.XLOOKUP(H368,'Yield &amp; Time'!A:A,'Yield &amp; Time'!F:F)</f>
        <v>#N/A</v>
      </c>
    </row>
    <row r="369" spans="1:46" x14ac:dyDescent="0.25">
      <c r="A369" s="1" t="s">
        <v>233</v>
      </c>
      <c r="B369" s="2" t="s">
        <v>552</v>
      </c>
      <c r="C369" s="2" t="s">
        <v>629</v>
      </c>
      <c r="D369" s="2" t="s">
        <v>554</v>
      </c>
      <c r="E369" s="2">
        <v>2.5</v>
      </c>
      <c r="F369" s="1" t="str">
        <f>VLOOKUP(H369,'RM Used'!A:B,2,0)</f>
        <v>S3998CS</v>
      </c>
      <c r="G369" s="1" t="str">
        <f>IFERROR(VLOOKUP(F369,'RM Cost'!A:B,2,0),"")</f>
        <v>RM - DECORED RED CABBAGE 1/3 1200KG</v>
      </c>
      <c r="H369" s="2" t="s">
        <v>1360</v>
      </c>
      <c r="I369" s="1" t="str">
        <f>VLOOKUP(F369,'RM Used'!B:D,3,0)</f>
        <v>RM-FOOD</v>
      </c>
      <c r="J369" s="66">
        <v>1</v>
      </c>
      <c r="K369" s="35">
        <f t="shared" si="117"/>
        <v>2.5</v>
      </c>
      <c r="L369" s="35">
        <f t="shared" si="104"/>
        <v>2.5</v>
      </c>
      <c r="M369" s="77" cm="1">
        <f t="array" ref="M369">_xlfn.IFS(BOM!I369="RM-PACKING","100%",B369="Reynolds",VLOOKUP(H369,'Yield &amp; Time'!A:V,22,0),BOM!B369="Dnata",VLOOKUP(BOM!H369,'Yield &amp; Time'!A:M,13,0),B369="NK",VLOOKUP(H369,'Yield &amp; Time'!A:X,24,0))</f>
        <v>0.70079999999999998</v>
      </c>
      <c r="N369" s="35">
        <f t="shared" si="124"/>
        <v>3.567351598173516</v>
      </c>
      <c r="O369" s="1" t="str">
        <f>VLOOKUP(H369,'RM Used'!A:E,5,0)</f>
        <v>KG</v>
      </c>
      <c r="P369" s="11">
        <f>VLOOKUP(H369,'RM Used'!A:F,6,0)</f>
        <v>0.38</v>
      </c>
      <c r="Q369" s="11">
        <f t="shared" si="114"/>
        <v>1.355593607305936</v>
      </c>
      <c r="R369" s="11">
        <f>IFERROR(IF(B369="Reynolds",VLOOKUP(H369,'Yield &amp; Time'!A:U,21,0),VLOOKUP(H369,'Yield &amp; Time'!A:L,12,0)),0)</f>
        <v>0.89425536255080118</v>
      </c>
      <c r="S369" s="11">
        <f t="shared" si="106"/>
        <v>0.75676360055861547</v>
      </c>
      <c r="T369" s="11">
        <f t="shared" si="107"/>
        <v>3.7260640106283383E-2</v>
      </c>
      <c r="U369" s="11">
        <f>IF(A368=A369,0,VLOOKUP(A369,'Packing Time'!A:F,6,0))</f>
        <v>0.875</v>
      </c>
      <c r="V369" s="11">
        <f t="shared" si="118"/>
        <v>0.29618749999999999</v>
      </c>
      <c r="W369" s="11">
        <f t="shared" si="119"/>
        <v>1.4583333333333334E-2</v>
      </c>
      <c r="X369" s="11">
        <f t="shared" si="108"/>
        <v>1.6847217608937848</v>
      </c>
      <c r="Y369" s="11">
        <f t="shared" si="120"/>
        <v>1.6847217608937848</v>
      </c>
      <c r="Z369" s="37">
        <v>1</v>
      </c>
      <c r="AA369" s="36">
        <f t="shared" si="109"/>
        <v>3.567351598173516</v>
      </c>
      <c r="AB369" s="36">
        <f t="shared" si="110"/>
        <v>1.355593607305936</v>
      </c>
      <c r="AC369" s="11">
        <f t="shared" si="111"/>
        <v>8.2950357503386751E-2</v>
      </c>
      <c r="AD369" s="36">
        <f t="shared" si="121"/>
        <v>1.6847217608937848</v>
      </c>
      <c r="AE369" s="36" t="str">
        <f>VLOOKUP(H369,'Yield &amp; Time'!A:R,18,0)</f>
        <v>CHLORINE</v>
      </c>
      <c r="AF369" s="36">
        <f>IFERROR(VLOOKUP(AE369,'Chemical Cost'!A:D,4,0),0)</f>
        <v>2.7756518066439469E-2</v>
      </c>
      <c r="AG369" s="114">
        <f t="shared" si="112"/>
        <v>3.3005753028014971E-2</v>
      </c>
      <c r="AH369" s="36">
        <f t="shared" si="115"/>
        <v>3.3005753028014971E-2</v>
      </c>
      <c r="AI369" s="36">
        <f t="shared" si="122"/>
        <v>3.0733211212277358</v>
      </c>
      <c r="AJ369" s="36">
        <f>IFERROR(VLOOKUP(A369,'All Products'!A:F,6,0),0)</f>
        <v>3.88</v>
      </c>
      <c r="AK369" s="36">
        <f>AJ369*Z369*J369</f>
        <v>3.88</v>
      </c>
      <c r="AL369" s="23">
        <v>0.8</v>
      </c>
      <c r="AM369" s="23">
        <v>0.2</v>
      </c>
      <c r="AN369" s="54" t="e">
        <v>#N/A</v>
      </c>
      <c r="AO369" s="47"/>
      <c r="AP369" s="4">
        <v>1.6</v>
      </c>
      <c r="AQ369" s="111">
        <f t="shared" si="113"/>
        <v>8.2950357503386751E-2</v>
      </c>
      <c r="AR369">
        <f>_xlfn.XLOOKUP(F369,'RM Cost'!A:A,'RM Cost'!S:S)</f>
        <v>0.29914853989077506</v>
      </c>
      <c r="AS369" t="e">
        <f>_xlfn.XLOOKUP(A369,[3]Sheet1!$B:$B,[3]Sheet1!$B:$B)</f>
        <v>#N/A</v>
      </c>
    </row>
    <row r="370" spans="1:46" x14ac:dyDescent="0.25">
      <c r="A370" s="1" t="s">
        <v>233</v>
      </c>
      <c r="B370" s="2" t="s">
        <v>552</v>
      </c>
      <c r="C370" s="2" t="s">
        <v>629</v>
      </c>
      <c r="D370" s="2" t="s">
        <v>554</v>
      </c>
      <c r="E370" s="2">
        <v>2.5</v>
      </c>
      <c r="F370" s="1" t="str">
        <f>VLOOKUP(H370,'RM Used'!A:B,2,0)</f>
        <v>P0020</v>
      </c>
      <c r="G370" s="1" t="str">
        <f>IFERROR(VLOOKUP(F370,'RM Cost'!A:B,2,0),"")</f>
        <v>PALE BLUE BAG 430X430MM</v>
      </c>
      <c r="H370" s="2" t="s">
        <v>1659</v>
      </c>
      <c r="I370" s="1" t="str">
        <f>VLOOKUP(F370,'RM Used'!B:D,3,0)</f>
        <v>RM-PACKING</v>
      </c>
      <c r="J370" s="66">
        <v>1</v>
      </c>
      <c r="K370" s="35" t="str">
        <f t="shared" si="117"/>
        <v/>
      </c>
      <c r="L370" s="35">
        <f t="shared" si="104"/>
        <v>0</v>
      </c>
      <c r="M370" s="77" t="str" cm="1">
        <f t="array" ref="M370">_xlfn.IFS(BOM!I370="RM-PACKING","100%",B370="Reynolds",VLOOKUP(H370,'Yield &amp; Time'!A:V,22,0),BOM!B370="Dnata",VLOOKUP(BOM!H370,'Yield &amp; Time'!A:M,13,0),B370="NK",VLOOKUP(H370,'Yield &amp; Time'!A:X,24,0))</f>
        <v>100%</v>
      </c>
      <c r="N370" s="35">
        <f t="shared" si="124"/>
        <v>1</v>
      </c>
      <c r="O370" s="1" t="str">
        <f>VLOOKUP(H370,'RM Used'!A:E,5,0)</f>
        <v>Count</v>
      </c>
      <c r="P370" s="11">
        <f>VLOOKUP(H370,'RM Used'!A:F,6,0)</f>
        <v>0.09</v>
      </c>
      <c r="Q370" s="11">
        <f t="shared" si="114"/>
        <v>0.09</v>
      </c>
      <c r="R370" s="11">
        <f>IFERROR(IF(B370="Reynolds",VLOOKUP(H370,'Yield &amp; Time'!A:U,21,0),VLOOKUP(H370,'Yield &amp; Time'!A:L,12,0)),0)</f>
        <v>0</v>
      </c>
      <c r="S370" s="11">
        <f t="shared" si="106"/>
        <v>0</v>
      </c>
      <c r="T370" s="11">
        <f t="shared" si="107"/>
        <v>0</v>
      </c>
      <c r="U370" s="11">
        <f>IF(A369=A370,0,VLOOKUP(A370,'Packing Time'!A:F,6,0))</f>
        <v>0</v>
      </c>
      <c r="V370" s="11">
        <f t="shared" si="118"/>
        <v>0</v>
      </c>
      <c r="W370" s="11">
        <f t="shared" si="119"/>
        <v>0</v>
      </c>
      <c r="X370" s="11">
        <f t="shared" si="108"/>
        <v>0</v>
      </c>
      <c r="Y370" s="11">
        <f t="shared" si="120"/>
        <v>0</v>
      </c>
      <c r="Z370" s="37">
        <v>1</v>
      </c>
      <c r="AA370" s="36">
        <f t="shared" si="109"/>
        <v>1</v>
      </c>
      <c r="AB370" s="36">
        <f t="shared" si="110"/>
        <v>0.09</v>
      </c>
      <c r="AC370" s="11">
        <f t="shared" si="111"/>
        <v>0</v>
      </c>
      <c r="AD370" s="36">
        <f t="shared" si="121"/>
        <v>0</v>
      </c>
      <c r="AE370" s="36"/>
      <c r="AF370" s="36">
        <f>IFERROR(VLOOKUP(AE370,'Chemical Cost'!A:D,4,0),0)</f>
        <v>0</v>
      </c>
      <c r="AG370" s="114">
        <f t="shared" si="112"/>
        <v>0</v>
      </c>
      <c r="AH370" s="36">
        <f t="shared" si="115"/>
        <v>0</v>
      </c>
      <c r="AI370" s="36">
        <f t="shared" si="122"/>
        <v>0.09</v>
      </c>
      <c r="AJ370" s="36">
        <f>IFERROR(VLOOKUP(A370,'All Products'!A:F,6,0),0)</f>
        <v>3.88</v>
      </c>
      <c r="AK370" s="36"/>
      <c r="AL370" s="23">
        <v>0.8</v>
      </c>
      <c r="AM370" s="23">
        <v>0.2</v>
      </c>
      <c r="AN370" s="54" t="e">
        <v>#N/A</v>
      </c>
      <c r="AO370" s="47"/>
      <c r="AP370" s="4">
        <v>1.6</v>
      </c>
      <c r="AQ370" s="111">
        <f t="shared" si="113"/>
        <v>0</v>
      </c>
      <c r="AR370">
        <f>_xlfn.XLOOKUP(F370,'RM Cost'!A:A,'RM Cost'!S:S)</f>
        <v>0</v>
      </c>
      <c r="AS370" t="e">
        <f>_xlfn.XLOOKUP(A370,[3]Sheet1!$B:$B,[3]Sheet1!$B:$B)</f>
        <v>#N/A</v>
      </c>
    </row>
    <row r="371" spans="1:46" x14ac:dyDescent="0.25">
      <c r="A371" s="1" t="s">
        <v>233</v>
      </c>
      <c r="B371" s="2" t="s">
        <v>552</v>
      </c>
      <c r="C371" s="2" t="s">
        <v>629</v>
      </c>
      <c r="D371" s="2" t="s">
        <v>554</v>
      </c>
      <c r="E371" s="2">
        <v>2.5</v>
      </c>
      <c r="F371" s="1" t="str">
        <f>VLOOKUP(H371,'RM Used'!A:B,2,0)</f>
        <v>P0016</v>
      </c>
      <c r="G371" s="1" t="str">
        <f>IFERROR(VLOOKUP(F371,'RM Cost'!A:B,2,0),"")</f>
        <v>REY 40 30 BOX</v>
      </c>
      <c r="H371" s="2" t="s">
        <v>1332</v>
      </c>
      <c r="I371" s="1" t="str">
        <f>VLOOKUP(F371,'RM Used'!B:D,3,0)</f>
        <v>RM-PACKING</v>
      </c>
      <c r="J371" s="66">
        <v>1</v>
      </c>
      <c r="K371" s="35" t="str">
        <f t="shared" si="117"/>
        <v/>
      </c>
      <c r="L371" s="35">
        <f t="shared" si="104"/>
        <v>0</v>
      </c>
      <c r="M371" s="77" t="str" cm="1">
        <f t="array" ref="M371">_xlfn.IFS(BOM!I371="RM-PACKING","100%",B371="Reynolds",VLOOKUP(H371,'Yield &amp; Time'!A:V,22,0),BOM!B371="Dnata",VLOOKUP(BOM!H371,'Yield &amp; Time'!A:M,13,0),B371="NK",VLOOKUP(H371,'Yield &amp; Time'!A:X,24,0))</f>
        <v>100%</v>
      </c>
      <c r="N371" s="35">
        <f t="shared" si="124"/>
        <v>1</v>
      </c>
      <c r="O371" s="1" t="str">
        <f>VLOOKUP(H371,'RM Used'!A:E,5,0)</f>
        <v>Count</v>
      </c>
      <c r="P371" s="11">
        <f>VLOOKUP(H371,'RM Used'!A:F,6,0)</f>
        <v>0.28000000000000003</v>
      </c>
      <c r="Q371" s="11">
        <f t="shared" si="114"/>
        <v>0.28000000000000003</v>
      </c>
      <c r="R371" s="11">
        <f>IFERROR(IF(B371="Reynolds",VLOOKUP(H371,'Yield &amp; Time'!A:U,21,0),VLOOKUP(H371,'Yield &amp; Time'!A:L,12,0)),0)</f>
        <v>0</v>
      </c>
      <c r="S371" s="11">
        <f t="shared" si="106"/>
        <v>0</v>
      </c>
      <c r="T371" s="11">
        <f t="shared" si="107"/>
        <v>0</v>
      </c>
      <c r="U371" s="11">
        <f>IF(A370=A371,0,VLOOKUP(A371,'Packing Time'!A:F,6,0))</f>
        <v>0</v>
      </c>
      <c r="V371" s="11">
        <f t="shared" si="118"/>
        <v>0</v>
      </c>
      <c r="W371" s="11">
        <f t="shared" si="119"/>
        <v>0</v>
      </c>
      <c r="X371" s="11">
        <f t="shared" si="108"/>
        <v>0</v>
      </c>
      <c r="Y371" s="11">
        <f t="shared" si="120"/>
        <v>0</v>
      </c>
      <c r="Z371" s="37">
        <v>1</v>
      </c>
      <c r="AA371" s="36">
        <f t="shared" si="109"/>
        <v>1</v>
      </c>
      <c r="AB371" s="36">
        <f t="shared" si="110"/>
        <v>0.28000000000000003</v>
      </c>
      <c r="AC371" s="11">
        <f t="shared" si="111"/>
        <v>0</v>
      </c>
      <c r="AD371" s="36">
        <f t="shared" si="121"/>
        <v>0</v>
      </c>
      <c r="AE371" s="36"/>
      <c r="AF371" s="36">
        <f>IFERROR(VLOOKUP(AE371,'Chemical Cost'!A:D,4,0),0)</f>
        <v>0</v>
      </c>
      <c r="AG371" s="114">
        <f t="shared" si="112"/>
        <v>0</v>
      </c>
      <c r="AH371" s="36">
        <f t="shared" si="115"/>
        <v>0</v>
      </c>
      <c r="AI371" s="36">
        <f t="shared" si="122"/>
        <v>0.28000000000000003</v>
      </c>
      <c r="AJ371" s="36">
        <f>IFERROR(VLOOKUP(A371,'All Products'!A:F,6,0),0)</f>
        <v>3.88</v>
      </c>
      <c r="AK371" s="36"/>
      <c r="AL371" s="23">
        <v>0.8</v>
      </c>
      <c r="AM371" s="23">
        <v>0.2</v>
      </c>
      <c r="AN371" s="54" t="e">
        <v>#N/A</v>
      </c>
      <c r="AO371" s="47"/>
      <c r="AP371" s="4">
        <v>1.6</v>
      </c>
      <c r="AQ371" s="111">
        <f t="shared" si="113"/>
        <v>0</v>
      </c>
      <c r="AR371">
        <f>_xlfn.XLOOKUP(F371,'RM Cost'!A:A,'RM Cost'!S:S)</f>
        <v>0</v>
      </c>
      <c r="AS371" t="e">
        <f>_xlfn.XLOOKUP(A371,[3]Sheet1!$B:$B,[3]Sheet1!$B:$B)</f>
        <v>#N/A</v>
      </c>
    </row>
    <row r="372" spans="1:46" x14ac:dyDescent="0.25">
      <c r="A372" s="1" t="s">
        <v>630</v>
      </c>
      <c r="B372" s="2" t="s">
        <v>552</v>
      </c>
      <c r="C372" s="2" t="s">
        <v>631</v>
      </c>
      <c r="D372" s="2" t="s">
        <v>554</v>
      </c>
      <c r="E372" s="2">
        <v>2.5</v>
      </c>
      <c r="F372" s="1" t="str">
        <f>VLOOKUP(H372,'RM Used'!A:B,2,0)</f>
        <v>3277CS</v>
      </c>
      <c r="G372" s="1" t="str">
        <f>IFERROR(VLOOKUP(F372,'RM Cost'!A:B,2,0),"")</f>
        <v>RM - SWEDE 12.5KG</v>
      </c>
      <c r="H372" s="2" t="s">
        <v>1344</v>
      </c>
      <c r="I372" s="1" t="str">
        <f>VLOOKUP(F372,'RM Used'!B:D,3,0)</f>
        <v>RM-FOOD</v>
      </c>
      <c r="J372" s="66">
        <v>1</v>
      </c>
      <c r="K372" s="35">
        <f t="shared" si="117"/>
        <v>2.5</v>
      </c>
      <c r="L372" s="35">
        <f t="shared" si="104"/>
        <v>2.5</v>
      </c>
      <c r="M372" s="77" cm="1">
        <f t="array" ref="M372">_xlfn.IFS(BOM!I372="RM-PACKING","100%",B372="Reynolds",VLOOKUP(H372,'Yield &amp; Time'!A:V,22,0),BOM!B372="Dnata",VLOOKUP(BOM!H372,'Yield &amp; Time'!A:M,13,0),B372="NK",VLOOKUP(H372,'Yield &amp; Time'!A:X,24,0))</f>
        <v>0.82357723577235775</v>
      </c>
      <c r="N372" s="35">
        <f t="shared" si="124"/>
        <v>3.035538005923001</v>
      </c>
      <c r="O372" s="1" t="str">
        <f>VLOOKUP(H372,'RM Used'!A:E,5,0)</f>
        <v>KG</v>
      </c>
      <c r="P372" s="11">
        <f>VLOOKUP(H372,'RM Used'!A:F,6,0)</f>
        <v>0.52</v>
      </c>
      <c r="Q372" s="11">
        <f t="shared" si="114"/>
        <v>1.5784797630799605</v>
      </c>
      <c r="R372" s="11">
        <f>IFERROR(IF(B372="Reynolds",VLOOKUP(H372,'Yield &amp; Time'!A:U,21,0),VLOOKUP(H372,'Yield &amp; Time'!A:L,12,0)),0)</f>
        <v>1.9442894544830251</v>
      </c>
      <c r="S372" s="11">
        <f t="shared" si="106"/>
        <v>1.6453549508562599</v>
      </c>
      <c r="T372" s="11">
        <f t="shared" si="107"/>
        <v>8.101206060345939E-2</v>
      </c>
      <c r="U372" s="11">
        <f>IF(A371=A372,0,VLOOKUP(A372,'Packing Time'!A:F,6,0))</f>
        <v>0.875</v>
      </c>
      <c r="V372" s="11">
        <f t="shared" si="118"/>
        <v>0.29618749999999999</v>
      </c>
      <c r="W372" s="11">
        <f t="shared" si="119"/>
        <v>1.4583333333333334E-2</v>
      </c>
      <c r="X372" s="11">
        <f t="shared" si="108"/>
        <v>3.1064679213700161</v>
      </c>
      <c r="Y372" s="11">
        <f t="shared" si="120"/>
        <v>3.1064679213700161</v>
      </c>
      <c r="Z372" s="37">
        <v>1</v>
      </c>
      <c r="AA372" s="36">
        <f t="shared" si="109"/>
        <v>3.035538005923001</v>
      </c>
      <c r="AB372" s="36">
        <f t="shared" si="110"/>
        <v>1.5784797630799605</v>
      </c>
      <c r="AC372" s="11">
        <f t="shared" si="111"/>
        <v>0.15295263029886835</v>
      </c>
      <c r="AD372" s="36">
        <f t="shared" si="121"/>
        <v>3.1064679213700161</v>
      </c>
      <c r="AE372" s="36"/>
      <c r="AF372" s="36">
        <f>IFERROR(VLOOKUP(AE372,'Chemical Cost'!A:D,4,0),0)</f>
        <v>0</v>
      </c>
      <c r="AG372" s="114">
        <f t="shared" si="112"/>
        <v>0</v>
      </c>
      <c r="AH372" s="36">
        <f t="shared" si="115"/>
        <v>0</v>
      </c>
      <c r="AI372" s="36">
        <f t="shared" si="122"/>
        <v>4.6849476844499769</v>
      </c>
      <c r="AJ372" s="36">
        <f>IFERROR(VLOOKUP(A372,'All Products'!A:F,6,0),0)</f>
        <v>4.75</v>
      </c>
      <c r="AK372" s="36">
        <f>AJ372*Z372*J372</f>
        <v>4.75</v>
      </c>
      <c r="AL372" s="23">
        <v>1</v>
      </c>
      <c r="AM372" s="23"/>
      <c r="AN372" s="54" t="e">
        <v>#N/A</v>
      </c>
      <c r="AO372" s="47"/>
      <c r="AP372" s="4">
        <v>1.6</v>
      </c>
      <c r="AQ372" s="111">
        <f t="shared" si="113"/>
        <v>0.15295263029886835</v>
      </c>
      <c r="AR372">
        <f>_xlfn.XLOOKUP(F372,'RM Cost'!A:A,'RM Cost'!S:S)</f>
        <v>0</v>
      </c>
      <c r="AS372" t="e">
        <f>_xlfn.XLOOKUP(A372,[3]Sheet1!$B:$B,[3]Sheet1!$B:$B)</f>
        <v>#N/A</v>
      </c>
    </row>
    <row r="373" spans="1:46" x14ac:dyDescent="0.25">
      <c r="A373" s="1" t="s">
        <v>630</v>
      </c>
      <c r="B373" s="2" t="s">
        <v>552</v>
      </c>
      <c r="C373" s="2" t="s">
        <v>631</v>
      </c>
      <c r="D373" s="2" t="s">
        <v>554</v>
      </c>
      <c r="E373" s="2">
        <v>2.5</v>
      </c>
      <c r="F373" s="1" t="str">
        <f>VLOOKUP(H373,'RM Used'!A:B,2,0)</f>
        <v>P0020</v>
      </c>
      <c r="G373" s="1" t="str">
        <f>IFERROR(VLOOKUP(F373,'RM Cost'!A:B,2,0),"")</f>
        <v>PALE BLUE BAG 430X430MM</v>
      </c>
      <c r="H373" s="2" t="s">
        <v>1659</v>
      </c>
      <c r="I373" s="1" t="str">
        <f>VLOOKUP(F373,'RM Used'!B:D,3,0)</f>
        <v>RM-PACKING</v>
      </c>
      <c r="J373" s="66">
        <v>1</v>
      </c>
      <c r="K373" s="35" t="str">
        <f t="shared" si="117"/>
        <v/>
      </c>
      <c r="L373" s="35">
        <f t="shared" si="104"/>
        <v>0</v>
      </c>
      <c r="M373" s="77" t="str" cm="1">
        <f t="array" ref="M373">_xlfn.IFS(BOM!I373="RM-PACKING","100%",B373="Reynolds",VLOOKUP(H373,'Yield &amp; Time'!A:V,22,0),BOM!B373="Dnata",VLOOKUP(BOM!H373,'Yield &amp; Time'!A:M,13,0),B373="NK",VLOOKUP(H373,'Yield &amp; Time'!A:X,24,0))</f>
        <v>100%</v>
      </c>
      <c r="N373" s="35">
        <f t="shared" si="124"/>
        <v>1</v>
      </c>
      <c r="O373" s="1" t="str">
        <f>VLOOKUP(H373,'RM Used'!A:E,5,0)</f>
        <v>Count</v>
      </c>
      <c r="P373" s="11">
        <f>VLOOKUP(H373,'RM Used'!A:F,6,0)</f>
        <v>0.09</v>
      </c>
      <c r="Q373" s="11">
        <f t="shared" si="114"/>
        <v>0.09</v>
      </c>
      <c r="R373" s="11">
        <f>IFERROR(IF(B373="Reynolds",VLOOKUP(H373,'Yield &amp; Time'!A:U,21,0),VLOOKUP(H373,'Yield &amp; Time'!A:L,12,0)),0)</f>
        <v>0</v>
      </c>
      <c r="S373" s="11">
        <f t="shared" si="106"/>
        <v>0</v>
      </c>
      <c r="T373" s="11">
        <f t="shared" si="107"/>
        <v>0</v>
      </c>
      <c r="U373" s="11">
        <f>IF(A372=A373,0,VLOOKUP(A373,'Packing Time'!A:F,6,0))</f>
        <v>0</v>
      </c>
      <c r="V373" s="11">
        <f t="shared" si="118"/>
        <v>0</v>
      </c>
      <c r="W373" s="11">
        <f t="shared" si="119"/>
        <v>0</v>
      </c>
      <c r="X373" s="11">
        <f t="shared" si="108"/>
        <v>0</v>
      </c>
      <c r="Y373" s="11">
        <f t="shared" si="120"/>
        <v>0</v>
      </c>
      <c r="Z373" s="37">
        <v>1</v>
      </c>
      <c r="AA373" s="36">
        <f t="shared" si="109"/>
        <v>1</v>
      </c>
      <c r="AB373" s="36">
        <f t="shared" si="110"/>
        <v>0.09</v>
      </c>
      <c r="AC373" s="11">
        <f t="shared" si="111"/>
        <v>0</v>
      </c>
      <c r="AD373" s="36">
        <f t="shared" si="121"/>
        <v>0</v>
      </c>
      <c r="AE373" s="36"/>
      <c r="AF373" s="36">
        <f>IFERROR(VLOOKUP(AE373,'Chemical Cost'!A:D,4,0),0)</f>
        <v>0</v>
      </c>
      <c r="AG373" s="114">
        <f t="shared" si="112"/>
        <v>0</v>
      </c>
      <c r="AH373" s="36">
        <f t="shared" si="115"/>
        <v>0</v>
      </c>
      <c r="AI373" s="36">
        <f t="shared" si="122"/>
        <v>0.09</v>
      </c>
      <c r="AJ373" s="36">
        <f>IFERROR(VLOOKUP(A373,'All Products'!A:F,6,0),0)</f>
        <v>4.75</v>
      </c>
      <c r="AK373" s="36"/>
      <c r="AL373" s="23">
        <v>1</v>
      </c>
      <c r="AM373" s="23"/>
      <c r="AN373" s="54" t="e">
        <v>#N/A</v>
      </c>
      <c r="AO373" s="47"/>
      <c r="AP373" s="4">
        <v>1.6</v>
      </c>
      <c r="AQ373" s="111">
        <f t="shared" si="113"/>
        <v>0</v>
      </c>
      <c r="AR373">
        <f>_xlfn.XLOOKUP(F373,'RM Cost'!A:A,'RM Cost'!S:S)</f>
        <v>0</v>
      </c>
      <c r="AS373" t="e">
        <f>_xlfn.XLOOKUP(A373,[3]Sheet1!$B:$B,[3]Sheet1!$B:$B)</f>
        <v>#N/A</v>
      </c>
    </row>
    <row r="374" spans="1:46" x14ac:dyDescent="0.25">
      <c r="A374" s="1" t="s">
        <v>630</v>
      </c>
      <c r="B374" s="2" t="s">
        <v>552</v>
      </c>
      <c r="C374" s="2" t="s">
        <v>631</v>
      </c>
      <c r="D374" s="2" t="s">
        <v>554</v>
      </c>
      <c r="E374" s="2">
        <v>2.5</v>
      </c>
      <c r="F374" s="1" t="str">
        <f>VLOOKUP(H374,'RM Used'!A:B,2,0)</f>
        <v>P0016</v>
      </c>
      <c r="G374" s="1" t="str">
        <f>IFERROR(VLOOKUP(F374,'RM Cost'!A:B,2,0),"")</f>
        <v>REY 40 30 BOX</v>
      </c>
      <c r="H374" s="2" t="s">
        <v>1332</v>
      </c>
      <c r="I374" s="1" t="str">
        <f>VLOOKUP(F374,'RM Used'!B:D,3,0)</f>
        <v>RM-PACKING</v>
      </c>
      <c r="J374" s="66">
        <v>1</v>
      </c>
      <c r="K374" s="35" t="str">
        <f t="shared" si="117"/>
        <v/>
      </c>
      <c r="L374" s="35">
        <f t="shared" si="104"/>
        <v>0</v>
      </c>
      <c r="M374" s="77" t="str" cm="1">
        <f t="array" ref="M374">_xlfn.IFS(BOM!I374="RM-PACKING","100%",B374="Reynolds",VLOOKUP(H374,'Yield &amp; Time'!A:V,22,0),BOM!B374="Dnata",VLOOKUP(BOM!H374,'Yield &amp; Time'!A:M,13,0),B374="NK",VLOOKUP(H374,'Yield &amp; Time'!A:X,24,0))</f>
        <v>100%</v>
      </c>
      <c r="N374" s="35">
        <f t="shared" si="124"/>
        <v>1</v>
      </c>
      <c r="O374" s="1" t="str">
        <f>VLOOKUP(H374,'RM Used'!A:E,5,0)</f>
        <v>Count</v>
      </c>
      <c r="P374" s="11">
        <f>VLOOKUP(H374,'RM Used'!A:F,6,0)</f>
        <v>0.28000000000000003</v>
      </c>
      <c r="Q374" s="11">
        <f t="shared" si="114"/>
        <v>0.28000000000000003</v>
      </c>
      <c r="R374" s="11">
        <f>IFERROR(IF(B374="Reynolds",VLOOKUP(H374,'Yield &amp; Time'!A:U,21,0),VLOOKUP(H374,'Yield &amp; Time'!A:L,12,0)),0)</f>
        <v>0</v>
      </c>
      <c r="S374" s="11">
        <f t="shared" si="106"/>
        <v>0</v>
      </c>
      <c r="T374" s="11">
        <f t="shared" si="107"/>
        <v>0</v>
      </c>
      <c r="U374" s="11">
        <f>IF(A373=A374,0,VLOOKUP(A374,'Packing Time'!A:F,6,0))</f>
        <v>0</v>
      </c>
      <c r="V374" s="11">
        <f t="shared" si="118"/>
        <v>0</v>
      </c>
      <c r="W374" s="11">
        <f t="shared" si="119"/>
        <v>0</v>
      </c>
      <c r="X374" s="11">
        <f t="shared" si="108"/>
        <v>0</v>
      </c>
      <c r="Y374" s="11">
        <f t="shared" si="120"/>
        <v>0</v>
      </c>
      <c r="Z374" s="37">
        <v>1</v>
      </c>
      <c r="AA374" s="36">
        <f t="shared" si="109"/>
        <v>1</v>
      </c>
      <c r="AB374" s="36">
        <f t="shared" si="110"/>
        <v>0.28000000000000003</v>
      </c>
      <c r="AC374" s="11">
        <f t="shared" si="111"/>
        <v>0</v>
      </c>
      <c r="AD374" s="36">
        <f t="shared" si="121"/>
        <v>0</v>
      </c>
      <c r="AE374" s="36"/>
      <c r="AF374" s="36">
        <f>IFERROR(VLOOKUP(AE374,'Chemical Cost'!A:D,4,0),0)</f>
        <v>0</v>
      </c>
      <c r="AG374" s="114">
        <f t="shared" si="112"/>
        <v>0</v>
      </c>
      <c r="AH374" s="36">
        <f t="shared" si="115"/>
        <v>0</v>
      </c>
      <c r="AI374" s="36">
        <f t="shared" si="122"/>
        <v>0.28000000000000003</v>
      </c>
      <c r="AJ374" s="36">
        <f>IFERROR(VLOOKUP(A374,'All Products'!A:F,6,0),0)</f>
        <v>4.75</v>
      </c>
      <c r="AK374" s="36"/>
      <c r="AL374" s="23">
        <v>1</v>
      </c>
      <c r="AM374" s="23"/>
      <c r="AN374" s="54" t="e">
        <v>#N/A</v>
      </c>
      <c r="AO374" s="47"/>
      <c r="AP374" s="4">
        <v>1.6</v>
      </c>
      <c r="AQ374" s="111">
        <f t="shared" si="113"/>
        <v>0</v>
      </c>
      <c r="AR374">
        <f>_xlfn.XLOOKUP(F374,'RM Cost'!A:A,'RM Cost'!S:S)</f>
        <v>0</v>
      </c>
      <c r="AS374" t="e">
        <f>_xlfn.XLOOKUP(A374,[3]Sheet1!$B:$B,[3]Sheet1!$B:$B)</f>
        <v>#N/A</v>
      </c>
    </row>
    <row r="375" spans="1:46" x14ac:dyDescent="0.25">
      <c r="A375" s="1" t="s">
        <v>632</v>
      </c>
      <c r="B375" s="2" t="s">
        <v>552</v>
      </c>
      <c r="C375" s="2" t="s">
        <v>633</v>
      </c>
      <c r="D375" s="2" t="s">
        <v>554</v>
      </c>
      <c r="E375" s="2">
        <v>5</v>
      </c>
      <c r="F375" s="1" t="str">
        <f>VLOOKUP(H375,'RM Used'!A:B,2,0)</f>
        <v>3080CS</v>
      </c>
      <c r="G375" s="1" t="str">
        <f>IFERROR(VLOOKUP(F375,'RM Cost'!A:B,2,0),"")</f>
        <v>RM - SAVOY CABBAGE 1 X 5KG</v>
      </c>
      <c r="H375" s="2" t="s">
        <v>1405</v>
      </c>
      <c r="I375" s="1" t="str">
        <f>VLOOKUP(F375,'RM Used'!B:D,3,0)</f>
        <v>RM-FOOD</v>
      </c>
      <c r="J375" s="66">
        <v>1</v>
      </c>
      <c r="K375" s="35">
        <f t="shared" si="117"/>
        <v>5</v>
      </c>
      <c r="L375" s="35">
        <f t="shared" si="104"/>
        <v>5</v>
      </c>
      <c r="M375" s="77" cm="1">
        <f t="array" ref="M375">_xlfn.IFS(BOM!I375="RM-PACKING","100%",B375="Reynolds",VLOOKUP(H375,'Yield &amp; Time'!A:V,22,0),BOM!B375="Dnata",VLOOKUP(BOM!H375,'Yield &amp; Time'!A:M,13,0),B375="NK",VLOOKUP(H375,'Yield &amp; Time'!A:X,24,0))</f>
        <v>0.7360000000000001</v>
      </c>
      <c r="N375" s="35">
        <f t="shared" si="124"/>
        <v>6.7934782608695645</v>
      </c>
      <c r="O375" s="1" t="str">
        <f>VLOOKUP(H375,'RM Used'!A:E,5,0)</f>
        <v>KG</v>
      </c>
      <c r="P375" s="11">
        <f>VLOOKUP(H375,'RM Used'!A:F,6,0)</f>
        <v>0.76</v>
      </c>
      <c r="Q375" s="11">
        <f t="shared" si="114"/>
        <v>5.1630434782608692</v>
      </c>
      <c r="R375" s="11">
        <f>IFERROR(IF(B375="Reynolds",VLOOKUP(H375,'Yield &amp; Time'!A:U,21,0),VLOOKUP(H375,'Yield &amp; Time'!A:L,12,0)),0)</f>
        <v>0.70833333333333326</v>
      </c>
      <c r="S375" s="11">
        <f t="shared" si="106"/>
        <v>1.1988541666666663</v>
      </c>
      <c r="T375" s="11">
        <f t="shared" si="107"/>
        <v>5.9027777777777769E-2</v>
      </c>
      <c r="U375" s="11">
        <f>IF(A374=A375,0,VLOOKUP(A375,'Packing Time'!A:F,6,0))</f>
        <v>1.1850000000000001</v>
      </c>
      <c r="V375" s="11">
        <f t="shared" si="118"/>
        <v>0.40112249999999999</v>
      </c>
      <c r="W375" s="11">
        <f t="shared" si="119"/>
        <v>1.975E-2</v>
      </c>
      <c r="X375" s="11">
        <f t="shared" si="108"/>
        <v>2.5599626666666664</v>
      </c>
      <c r="Y375" s="11">
        <f t="shared" si="120"/>
        <v>2.5599626666666664</v>
      </c>
      <c r="Z375" s="37">
        <v>1</v>
      </c>
      <c r="AA375" s="36">
        <f t="shared" si="109"/>
        <v>6.7934782608695645</v>
      </c>
      <c r="AB375" s="36">
        <f t="shared" si="110"/>
        <v>5.1630434782608692</v>
      </c>
      <c r="AC375" s="11">
        <f t="shared" si="111"/>
        <v>0.12604444444444446</v>
      </c>
      <c r="AD375" s="36">
        <f t="shared" si="121"/>
        <v>2.5599626666666668</v>
      </c>
      <c r="AE375" s="36" t="str">
        <f>VLOOKUP(H375,'Yield &amp; Time'!A:R,18,0)</f>
        <v>CHLORINE</v>
      </c>
      <c r="AF375" s="36">
        <f>IFERROR(VLOOKUP(AE375,'Chemical Cost'!A:D,4,0),0)</f>
        <v>2.7756518066439469E-2</v>
      </c>
      <c r="AG375" s="114">
        <f t="shared" si="112"/>
        <v>6.2854434027263276E-2</v>
      </c>
      <c r="AH375" s="36">
        <f t="shared" si="115"/>
        <v>6.2854434027263276E-2</v>
      </c>
      <c r="AI375" s="36">
        <f t="shared" si="122"/>
        <v>7.7858605789547992</v>
      </c>
      <c r="AJ375" s="36">
        <f>IFERROR(VLOOKUP(A375,'All Products'!A:F,6,0),0)</f>
        <v>19.149999999999999</v>
      </c>
      <c r="AK375" s="36">
        <f>AJ375*Z375*J375</f>
        <v>19.149999999999999</v>
      </c>
      <c r="AL375" s="23">
        <v>0.8</v>
      </c>
      <c r="AM375" s="23">
        <v>0.2</v>
      </c>
      <c r="AN375" s="54" t="e">
        <v>#N/A</v>
      </c>
      <c r="AO375" s="47"/>
      <c r="AP375" s="4">
        <v>1.6</v>
      </c>
      <c r="AQ375" s="111">
        <f t="shared" si="113"/>
        <v>0.12604444444444446</v>
      </c>
      <c r="AR375">
        <f>_xlfn.XLOOKUP(F375,'RM Cost'!A:A,'RM Cost'!S:S)</f>
        <v>0</v>
      </c>
      <c r="AS375" t="e">
        <f>_xlfn.XLOOKUP(A375,[3]Sheet1!$B:$B,[3]Sheet1!$B:$B)</f>
        <v>#N/A</v>
      </c>
    </row>
    <row r="376" spans="1:46" x14ac:dyDescent="0.25">
      <c r="A376" s="1" t="s">
        <v>632</v>
      </c>
      <c r="B376" s="2" t="s">
        <v>552</v>
      </c>
      <c r="C376" s="2" t="s">
        <v>633</v>
      </c>
      <c r="D376" s="2" t="s">
        <v>554</v>
      </c>
      <c r="E376" s="2">
        <v>5</v>
      </c>
      <c r="F376" s="1" t="str">
        <f>VLOOKUP(H376,'RM Used'!A:B,2,0)</f>
        <v>P0020</v>
      </c>
      <c r="G376" s="1" t="str">
        <f>IFERROR(VLOOKUP(F376,'RM Cost'!A:B,2,0),"")</f>
        <v>PALE BLUE BAG 430X430MM</v>
      </c>
      <c r="H376" s="2" t="s">
        <v>1659</v>
      </c>
      <c r="I376" s="1" t="str">
        <f>VLOOKUP(F376,'RM Used'!B:D,3,0)</f>
        <v>RM-PACKING</v>
      </c>
      <c r="J376" s="66">
        <v>1</v>
      </c>
      <c r="K376" s="35" t="str">
        <f t="shared" si="117"/>
        <v/>
      </c>
      <c r="L376" s="35">
        <f t="shared" si="104"/>
        <v>0</v>
      </c>
      <c r="M376" s="77" t="str" cm="1">
        <f t="array" ref="M376">_xlfn.IFS(BOM!I376="RM-PACKING","100%",B376="Reynolds",VLOOKUP(H376,'Yield &amp; Time'!A:V,22,0),BOM!B376="Dnata",VLOOKUP(BOM!H376,'Yield &amp; Time'!A:M,13,0),B376="NK",VLOOKUP(H376,'Yield &amp; Time'!A:X,24,0))</f>
        <v>100%</v>
      </c>
      <c r="N376" s="35">
        <f t="shared" si="124"/>
        <v>1</v>
      </c>
      <c r="O376" s="1" t="str">
        <f>VLOOKUP(H376,'RM Used'!A:E,5,0)</f>
        <v>Count</v>
      </c>
      <c r="P376" s="11">
        <f>VLOOKUP(H376,'RM Used'!A:F,6,0)</f>
        <v>0.09</v>
      </c>
      <c r="Q376" s="11">
        <f t="shared" si="114"/>
        <v>0.09</v>
      </c>
      <c r="R376" s="11">
        <f>IFERROR(IF(B376="Reynolds",VLOOKUP(H376,'Yield &amp; Time'!A:U,21,0),VLOOKUP(H376,'Yield &amp; Time'!A:L,12,0)),0)</f>
        <v>0</v>
      </c>
      <c r="S376" s="11">
        <f t="shared" si="106"/>
        <v>0</v>
      </c>
      <c r="T376" s="11">
        <f t="shared" si="107"/>
        <v>0</v>
      </c>
      <c r="U376" s="11">
        <f>IF(A375=A376,0,VLOOKUP(A376,'Packing Time'!A:F,6,0))</f>
        <v>0</v>
      </c>
      <c r="V376" s="11">
        <f t="shared" si="118"/>
        <v>0</v>
      </c>
      <c r="W376" s="11">
        <f t="shared" si="119"/>
        <v>0</v>
      </c>
      <c r="X376" s="11">
        <f t="shared" si="108"/>
        <v>0</v>
      </c>
      <c r="Y376" s="11">
        <f t="shared" si="120"/>
        <v>0</v>
      </c>
      <c r="Z376" s="37">
        <v>1</v>
      </c>
      <c r="AA376" s="36">
        <f t="shared" si="109"/>
        <v>1</v>
      </c>
      <c r="AB376" s="36">
        <f t="shared" si="110"/>
        <v>0.09</v>
      </c>
      <c r="AC376" s="11">
        <f t="shared" si="111"/>
        <v>0</v>
      </c>
      <c r="AD376" s="36">
        <f t="shared" si="121"/>
        <v>0</v>
      </c>
      <c r="AE376" s="36"/>
      <c r="AF376" s="36">
        <f>IFERROR(VLOOKUP(AE376,'Chemical Cost'!A:D,4,0),0)</f>
        <v>0</v>
      </c>
      <c r="AG376" s="114">
        <f t="shared" si="112"/>
        <v>0</v>
      </c>
      <c r="AH376" s="36">
        <f t="shared" si="115"/>
        <v>0</v>
      </c>
      <c r="AI376" s="36">
        <f t="shared" si="122"/>
        <v>0.09</v>
      </c>
      <c r="AJ376" s="36">
        <f>IFERROR(VLOOKUP(A376,'All Products'!A:F,6,0),0)</f>
        <v>19.149999999999999</v>
      </c>
      <c r="AK376" s="36"/>
      <c r="AL376" s="23">
        <v>0.8</v>
      </c>
      <c r="AM376" s="23">
        <v>0.2</v>
      </c>
      <c r="AN376" s="54" t="e">
        <v>#N/A</v>
      </c>
      <c r="AO376" s="47"/>
      <c r="AP376" s="4">
        <v>1.6</v>
      </c>
      <c r="AQ376" s="111">
        <f t="shared" si="113"/>
        <v>0</v>
      </c>
      <c r="AR376">
        <f>_xlfn.XLOOKUP(F376,'RM Cost'!A:A,'RM Cost'!S:S)</f>
        <v>0</v>
      </c>
      <c r="AS376" t="e">
        <f>_xlfn.XLOOKUP(A376,[3]Sheet1!$B:$B,[3]Sheet1!$B:$B)</f>
        <v>#N/A</v>
      </c>
    </row>
    <row r="377" spans="1:46" x14ac:dyDescent="0.25">
      <c r="A377" s="1" t="s">
        <v>632</v>
      </c>
      <c r="B377" s="2" t="s">
        <v>552</v>
      </c>
      <c r="C377" s="2" t="s">
        <v>633</v>
      </c>
      <c r="D377" s="2" t="s">
        <v>554</v>
      </c>
      <c r="E377" s="2">
        <v>5</v>
      </c>
      <c r="F377" s="1" t="str">
        <f>VLOOKUP(H377,'RM Used'!A:B,2,0)</f>
        <v>P0016</v>
      </c>
      <c r="G377" s="1" t="str">
        <f>IFERROR(VLOOKUP(F377,'RM Cost'!A:B,2,0),"")</f>
        <v>REY 40 30 BOX</v>
      </c>
      <c r="H377" s="2" t="s">
        <v>1332</v>
      </c>
      <c r="I377" s="1" t="str">
        <f>VLOOKUP(F377,'RM Used'!B:D,3,0)</f>
        <v>RM-PACKING</v>
      </c>
      <c r="J377" s="66">
        <v>1</v>
      </c>
      <c r="K377" s="35" t="str">
        <f t="shared" si="117"/>
        <v/>
      </c>
      <c r="L377" s="35">
        <f t="shared" si="104"/>
        <v>0</v>
      </c>
      <c r="M377" s="77" t="str" cm="1">
        <f t="array" ref="M377">_xlfn.IFS(BOM!I377="RM-PACKING","100%",B377="Reynolds",VLOOKUP(H377,'Yield &amp; Time'!A:V,22,0),BOM!B377="Dnata",VLOOKUP(BOM!H377,'Yield &amp; Time'!A:M,13,0),B377="NK",VLOOKUP(H377,'Yield &amp; Time'!A:X,24,0))</f>
        <v>100%</v>
      </c>
      <c r="N377" s="35">
        <f t="shared" si="124"/>
        <v>1</v>
      </c>
      <c r="O377" s="1" t="str">
        <f>VLOOKUP(H377,'RM Used'!A:E,5,0)</f>
        <v>Count</v>
      </c>
      <c r="P377" s="11">
        <f>VLOOKUP(H377,'RM Used'!A:F,6,0)</f>
        <v>0.28000000000000003</v>
      </c>
      <c r="Q377" s="11">
        <f t="shared" si="114"/>
        <v>0.28000000000000003</v>
      </c>
      <c r="R377" s="11">
        <f>IFERROR(IF(B377="Reynolds",VLOOKUP(H377,'Yield &amp; Time'!A:U,21,0),VLOOKUP(H377,'Yield &amp; Time'!A:L,12,0)),0)</f>
        <v>0</v>
      </c>
      <c r="S377" s="11">
        <f t="shared" si="106"/>
        <v>0</v>
      </c>
      <c r="T377" s="11">
        <f t="shared" si="107"/>
        <v>0</v>
      </c>
      <c r="U377" s="11">
        <f>IF(A376=A377,0,VLOOKUP(A377,'Packing Time'!A:F,6,0))</f>
        <v>0</v>
      </c>
      <c r="V377" s="11">
        <f t="shared" si="118"/>
        <v>0</v>
      </c>
      <c r="W377" s="11">
        <f t="shared" si="119"/>
        <v>0</v>
      </c>
      <c r="X377" s="11">
        <f t="shared" si="108"/>
        <v>0</v>
      </c>
      <c r="Y377" s="11">
        <f t="shared" si="120"/>
        <v>0</v>
      </c>
      <c r="Z377" s="37">
        <v>1</v>
      </c>
      <c r="AA377" s="36">
        <f t="shared" si="109"/>
        <v>1</v>
      </c>
      <c r="AB377" s="36">
        <f t="shared" si="110"/>
        <v>0.28000000000000003</v>
      </c>
      <c r="AC377" s="11">
        <f t="shared" si="111"/>
        <v>0</v>
      </c>
      <c r="AD377" s="36">
        <f t="shared" si="121"/>
        <v>0</v>
      </c>
      <c r="AE377" s="36"/>
      <c r="AF377" s="36">
        <f>IFERROR(VLOOKUP(AE377,'Chemical Cost'!A:D,4,0),0)</f>
        <v>0</v>
      </c>
      <c r="AG377" s="114">
        <f t="shared" si="112"/>
        <v>0</v>
      </c>
      <c r="AH377" s="36">
        <f t="shared" si="115"/>
        <v>0</v>
      </c>
      <c r="AI377" s="36">
        <f t="shared" si="122"/>
        <v>0.28000000000000003</v>
      </c>
      <c r="AJ377" s="36">
        <f>IFERROR(VLOOKUP(A377,'All Products'!A:F,6,0),0)</f>
        <v>19.149999999999999</v>
      </c>
      <c r="AK377" s="36"/>
      <c r="AL377" s="23">
        <v>0.8</v>
      </c>
      <c r="AM377" s="23">
        <v>0.2</v>
      </c>
      <c r="AN377" s="54" t="e">
        <v>#N/A</v>
      </c>
      <c r="AO377" s="47"/>
      <c r="AP377" s="4">
        <v>1.6</v>
      </c>
      <c r="AQ377" s="111">
        <f t="shared" si="113"/>
        <v>0</v>
      </c>
      <c r="AR377">
        <f>_xlfn.XLOOKUP(F377,'RM Cost'!A:A,'RM Cost'!S:S)</f>
        <v>0</v>
      </c>
      <c r="AS377" t="e">
        <f>_xlfn.XLOOKUP(A377,[3]Sheet1!$B:$B,[3]Sheet1!$B:$B)</f>
        <v>#N/A</v>
      </c>
    </row>
    <row r="378" spans="1:46" x14ac:dyDescent="0.25">
      <c r="A378" s="1" t="s">
        <v>634</v>
      </c>
      <c r="B378" s="2" t="s">
        <v>552</v>
      </c>
      <c r="C378" s="2" t="s">
        <v>635</v>
      </c>
      <c r="D378" s="2" t="s">
        <v>554</v>
      </c>
      <c r="E378" s="2">
        <v>2.5</v>
      </c>
      <c r="F378" s="1" t="str">
        <f>VLOOKUP(H378,'RM Used'!A:B,2,0)</f>
        <v>1318CS</v>
      </c>
      <c r="G378" s="1" t="str">
        <f>IFERROR(VLOOKUP(F378,'RM Cost'!A:B,2,0),"")</f>
        <v>RM - PREP ONION RED WHOLE 2.5KG</v>
      </c>
      <c r="H378" s="2" t="s">
        <v>1464</v>
      </c>
      <c r="I378" s="1" t="str">
        <f>VLOOKUP(F378,'RM Used'!B:D,3,0)</f>
        <v>RM-FOOD</v>
      </c>
      <c r="J378" s="66">
        <v>1</v>
      </c>
      <c r="K378" s="35">
        <f t="shared" si="117"/>
        <v>2.5</v>
      </c>
      <c r="L378" s="35">
        <f t="shared" si="104"/>
        <v>2.5</v>
      </c>
      <c r="M378" s="77" cm="1">
        <f t="array" ref="M378">_xlfn.IFS(BOM!I378="RM-PACKING","100%",B378="Reynolds",VLOOKUP(H378,'Yield &amp; Time'!A:V,22,0),BOM!B378="Dnata",VLOOKUP(BOM!H378,'Yield &amp; Time'!A:M,13,0),B378="NK",VLOOKUP(H378,'Yield &amp; Time'!A:X,24,0))</f>
        <v>0.82335178661298436</v>
      </c>
      <c r="N378" s="35">
        <f t="shared" si="124"/>
        <v>3.0363691931540342</v>
      </c>
      <c r="O378" s="1" t="str">
        <f>VLOOKUP(H378,'RM Used'!A:E,5,0)</f>
        <v>KG</v>
      </c>
      <c r="P378" s="11">
        <f>VLOOKUP(H378,'RM Used'!A:F,6,0)</f>
        <v>1.08</v>
      </c>
      <c r="Q378" s="11">
        <f t="shared" si="114"/>
        <v>3.2792787286063572</v>
      </c>
      <c r="R378" s="11">
        <f>IFERROR(IF(B378="Reynolds",VLOOKUP(H378,'Yield &amp; Time'!A:U,21,0),VLOOKUP(H378,'Yield &amp; Time'!A:L,12,0)),0)</f>
        <v>0.5</v>
      </c>
      <c r="S378" s="11">
        <f t="shared" si="106"/>
        <v>0.42312499999999997</v>
      </c>
      <c r="T378" s="11">
        <f t="shared" si="107"/>
        <v>2.0833333333333332E-2</v>
      </c>
      <c r="U378" s="11">
        <f>IF(A377=A378,0,VLOOKUP(A378,'Packing Time'!A:F,6,0))</f>
        <v>0.875</v>
      </c>
      <c r="V378" s="11">
        <f t="shared" si="118"/>
        <v>0.29618749999999999</v>
      </c>
      <c r="W378" s="11">
        <f t="shared" si="119"/>
        <v>1.4583333333333334E-2</v>
      </c>
      <c r="X378" s="11">
        <f t="shared" si="108"/>
        <v>1.1508999999999998</v>
      </c>
      <c r="Y378" s="11">
        <f t="shared" si="120"/>
        <v>1.1508999999999998</v>
      </c>
      <c r="Z378" s="37">
        <v>1</v>
      </c>
      <c r="AA378" s="36">
        <f t="shared" si="109"/>
        <v>3.0363691931540342</v>
      </c>
      <c r="AB378" s="36">
        <f t="shared" si="110"/>
        <v>3.2792787286063572</v>
      </c>
      <c r="AC378" s="11">
        <f t="shared" si="111"/>
        <v>5.6666666666666671E-2</v>
      </c>
      <c r="AD378" s="36">
        <f t="shared" si="121"/>
        <v>1.1509</v>
      </c>
      <c r="AE378" s="36"/>
      <c r="AF378" s="36">
        <f>IFERROR(VLOOKUP(AE378,'Chemical Cost'!A:D,4,0),0)</f>
        <v>0</v>
      </c>
      <c r="AG378" s="114">
        <f t="shared" si="112"/>
        <v>0</v>
      </c>
      <c r="AH378" s="36">
        <f t="shared" si="115"/>
        <v>0</v>
      </c>
      <c r="AI378" s="36">
        <f t="shared" si="122"/>
        <v>4.4301787286063572</v>
      </c>
      <c r="AJ378" s="36">
        <f>IFERROR(VLOOKUP(A378,'All Products'!A:F,6,0),0)</f>
        <v>6</v>
      </c>
      <c r="AK378" s="36">
        <f>AJ378*Z378*J378</f>
        <v>6</v>
      </c>
      <c r="AL378" s="23">
        <v>1</v>
      </c>
      <c r="AM378" s="23"/>
      <c r="AN378" s="54" t="e">
        <v>#N/A</v>
      </c>
      <c r="AO378" s="47"/>
      <c r="AP378" s="4">
        <v>1.6</v>
      </c>
      <c r="AQ378" s="111">
        <f t="shared" si="113"/>
        <v>5.6666666666666671E-2</v>
      </c>
      <c r="AR378">
        <f>_xlfn.XLOOKUP(F378,'RM Cost'!A:A,'RM Cost'!S:S)</f>
        <v>0</v>
      </c>
      <c r="AS378" t="e">
        <f>_xlfn.XLOOKUP(A378,[3]Sheet1!$B:$B,[3]Sheet1!$B:$B)</f>
        <v>#N/A</v>
      </c>
    </row>
    <row r="379" spans="1:46" x14ac:dyDescent="0.25">
      <c r="A379" s="1" t="s">
        <v>634</v>
      </c>
      <c r="B379" s="2" t="s">
        <v>552</v>
      </c>
      <c r="C379" s="2" t="s">
        <v>635</v>
      </c>
      <c r="D379" s="2" t="s">
        <v>554</v>
      </c>
      <c r="E379" s="2">
        <v>2.5</v>
      </c>
      <c r="F379" s="1" t="str">
        <f>VLOOKUP(H379,'RM Used'!A:B,2,0)</f>
        <v>P0020</v>
      </c>
      <c r="G379" s="1" t="str">
        <f>IFERROR(VLOOKUP(F379,'RM Cost'!A:B,2,0),"")</f>
        <v>PALE BLUE BAG 430X430MM</v>
      </c>
      <c r="H379" s="2" t="s">
        <v>1659</v>
      </c>
      <c r="I379" s="1" t="str">
        <f>VLOOKUP(F379,'RM Used'!B:D,3,0)</f>
        <v>RM-PACKING</v>
      </c>
      <c r="J379" s="66">
        <v>1</v>
      </c>
      <c r="K379" s="35" t="str">
        <f t="shared" si="117"/>
        <v/>
      </c>
      <c r="L379" s="35">
        <f t="shared" si="104"/>
        <v>0</v>
      </c>
      <c r="M379" s="77" t="str" cm="1">
        <f t="array" ref="M379">_xlfn.IFS(BOM!I379="RM-PACKING","100%",B379="Reynolds",VLOOKUP(H379,'Yield &amp; Time'!A:V,22,0),BOM!B379="Dnata",VLOOKUP(BOM!H379,'Yield &amp; Time'!A:M,13,0),B379="NK",VLOOKUP(H379,'Yield &amp; Time'!A:X,24,0))</f>
        <v>100%</v>
      </c>
      <c r="N379" s="35">
        <f t="shared" si="124"/>
        <v>1</v>
      </c>
      <c r="O379" s="1" t="str">
        <f>VLOOKUP(H379,'RM Used'!A:E,5,0)</f>
        <v>Count</v>
      </c>
      <c r="P379" s="11">
        <f>VLOOKUP(H379,'RM Used'!A:F,6,0)</f>
        <v>0.09</v>
      </c>
      <c r="Q379" s="11">
        <f t="shared" si="114"/>
        <v>0.09</v>
      </c>
      <c r="R379" s="11">
        <f>IFERROR(IF(B379="Reynolds",VLOOKUP(H379,'Yield &amp; Time'!A:U,21,0),VLOOKUP(H379,'Yield &amp; Time'!A:L,12,0)),0)</f>
        <v>0</v>
      </c>
      <c r="S379" s="11">
        <f t="shared" si="106"/>
        <v>0</v>
      </c>
      <c r="T379" s="11">
        <f t="shared" si="107"/>
        <v>0</v>
      </c>
      <c r="U379" s="11">
        <f>IF(A378=A379,0,VLOOKUP(A379,'Packing Time'!A:F,6,0))</f>
        <v>0</v>
      </c>
      <c r="V379" s="11">
        <f t="shared" si="118"/>
        <v>0</v>
      </c>
      <c r="W379" s="11">
        <f t="shared" si="119"/>
        <v>0</v>
      </c>
      <c r="X379" s="11">
        <f t="shared" si="108"/>
        <v>0</v>
      </c>
      <c r="Y379" s="11">
        <f t="shared" si="120"/>
        <v>0</v>
      </c>
      <c r="Z379" s="37">
        <v>1</v>
      </c>
      <c r="AA379" s="36">
        <f t="shared" si="109"/>
        <v>1</v>
      </c>
      <c r="AB379" s="36">
        <f t="shared" si="110"/>
        <v>0.09</v>
      </c>
      <c r="AC379" s="11">
        <f t="shared" si="111"/>
        <v>0</v>
      </c>
      <c r="AD379" s="36">
        <f t="shared" si="121"/>
        <v>0</v>
      </c>
      <c r="AE379" s="36"/>
      <c r="AF379" s="36">
        <f>IFERROR(VLOOKUP(AE379,'Chemical Cost'!A:D,4,0),0)</f>
        <v>0</v>
      </c>
      <c r="AG379" s="114">
        <f t="shared" si="112"/>
        <v>0</v>
      </c>
      <c r="AH379" s="36">
        <f t="shared" si="115"/>
        <v>0</v>
      </c>
      <c r="AI379" s="36">
        <f t="shared" si="122"/>
        <v>0.09</v>
      </c>
      <c r="AJ379" s="36">
        <f>IFERROR(VLOOKUP(A379,'All Products'!A:F,6,0),0)</f>
        <v>6</v>
      </c>
      <c r="AK379" s="36"/>
      <c r="AL379" s="23">
        <v>1</v>
      </c>
      <c r="AM379" s="23"/>
      <c r="AN379" s="54" t="e">
        <v>#N/A</v>
      </c>
      <c r="AO379" s="47"/>
      <c r="AP379" s="4">
        <v>1.6</v>
      </c>
      <c r="AQ379" s="111">
        <f t="shared" si="113"/>
        <v>0</v>
      </c>
      <c r="AR379">
        <f>_xlfn.XLOOKUP(F379,'RM Cost'!A:A,'RM Cost'!S:S)</f>
        <v>0</v>
      </c>
      <c r="AS379" t="e">
        <f>_xlfn.XLOOKUP(A379,[3]Sheet1!$B:$B,[3]Sheet1!$B:$B)</f>
        <v>#N/A</v>
      </c>
    </row>
    <row r="380" spans="1:46" x14ac:dyDescent="0.25">
      <c r="A380" s="1" t="s">
        <v>634</v>
      </c>
      <c r="B380" s="2" t="s">
        <v>552</v>
      </c>
      <c r="C380" s="2" t="s">
        <v>635</v>
      </c>
      <c r="D380" s="2" t="s">
        <v>554</v>
      </c>
      <c r="E380" s="2">
        <v>2.5</v>
      </c>
      <c r="F380" s="1" t="str">
        <f>VLOOKUP(H380,'RM Used'!A:B,2,0)</f>
        <v>P0016</v>
      </c>
      <c r="G380" s="1" t="str">
        <f>IFERROR(VLOOKUP(F380,'RM Cost'!A:B,2,0),"")</f>
        <v>REY 40 30 BOX</v>
      </c>
      <c r="H380" s="2" t="s">
        <v>1332</v>
      </c>
      <c r="I380" s="1" t="str">
        <f>VLOOKUP(F380,'RM Used'!B:D,3,0)</f>
        <v>RM-PACKING</v>
      </c>
      <c r="J380" s="66">
        <v>1</v>
      </c>
      <c r="K380" s="35" t="str">
        <f t="shared" si="117"/>
        <v/>
      </c>
      <c r="L380" s="35">
        <f t="shared" si="104"/>
        <v>0</v>
      </c>
      <c r="M380" s="77" t="str" cm="1">
        <f t="array" ref="M380">_xlfn.IFS(BOM!I380="RM-PACKING","100%",B380="Reynolds",VLOOKUP(H380,'Yield &amp; Time'!A:V,22,0),BOM!B380="Dnata",VLOOKUP(BOM!H380,'Yield &amp; Time'!A:M,13,0),B380="NK",VLOOKUP(H380,'Yield &amp; Time'!A:X,24,0))</f>
        <v>100%</v>
      </c>
      <c r="N380" s="35">
        <f t="shared" si="124"/>
        <v>1</v>
      </c>
      <c r="O380" s="1" t="str">
        <f>VLOOKUP(H380,'RM Used'!A:E,5,0)</f>
        <v>Count</v>
      </c>
      <c r="P380" s="11">
        <f>VLOOKUP(H380,'RM Used'!A:F,6,0)</f>
        <v>0.28000000000000003</v>
      </c>
      <c r="Q380" s="11">
        <f t="shared" si="114"/>
        <v>0.28000000000000003</v>
      </c>
      <c r="R380" s="11">
        <f>IFERROR(IF(B380="Reynolds",VLOOKUP(H380,'Yield &amp; Time'!A:U,21,0),VLOOKUP(H380,'Yield &amp; Time'!A:L,12,0)),0)</f>
        <v>0</v>
      </c>
      <c r="S380" s="11">
        <f t="shared" si="106"/>
        <v>0</v>
      </c>
      <c r="T380" s="11">
        <f t="shared" si="107"/>
        <v>0</v>
      </c>
      <c r="U380" s="11">
        <f>IF(A379=A380,0,VLOOKUP(A380,'Packing Time'!A:F,6,0))</f>
        <v>0</v>
      </c>
      <c r="V380" s="11">
        <f t="shared" si="118"/>
        <v>0</v>
      </c>
      <c r="W380" s="11">
        <f t="shared" si="119"/>
        <v>0</v>
      </c>
      <c r="X380" s="11">
        <f t="shared" si="108"/>
        <v>0</v>
      </c>
      <c r="Y380" s="11">
        <f t="shared" si="120"/>
        <v>0</v>
      </c>
      <c r="Z380" s="37">
        <v>1</v>
      </c>
      <c r="AA380" s="36">
        <f t="shared" si="109"/>
        <v>1</v>
      </c>
      <c r="AB380" s="36">
        <f t="shared" si="110"/>
        <v>0.28000000000000003</v>
      </c>
      <c r="AC380" s="11">
        <f t="shared" si="111"/>
        <v>0</v>
      </c>
      <c r="AD380" s="36">
        <f t="shared" si="121"/>
        <v>0</v>
      </c>
      <c r="AE380" s="36"/>
      <c r="AF380" s="36">
        <f>IFERROR(VLOOKUP(AE380,'Chemical Cost'!A:D,4,0),0)</f>
        <v>0</v>
      </c>
      <c r="AG380" s="114">
        <f t="shared" si="112"/>
        <v>0</v>
      </c>
      <c r="AH380" s="36">
        <f t="shared" si="115"/>
        <v>0</v>
      </c>
      <c r="AI380" s="36">
        <f t="shared" si="122"/>
        <v>0.28000000000000003</v>
      </c>
      <c r="AJ380" s="36">
        <f>IFERROR(VLOOKUP(A380,'All Products'!A:F,6,0),0)</f>
        <v>6</v>
      </c>
      <c r="AK380" s="36"/>
      <c r="AL380" s="23">
        <v>1</v>
      </c>
      <c r="AM380" s="23"/>
      <c r="AN380" s="54" t="e">
        <v>#N/A</v>
      </c>
      <c r="AO380" s="47"/>
      <c r="AP380" s="4">
        <v>1.6</v>
      </c>
      <c r="AQ380" s="111">
        <f t="shared" si="113"/>
        <v>0</v>
      </c>
      <c r="AR380">
        <f>_xlfn.XLOOKUP(F380,'RM Cost'!A:A,'RM Cost'!S:S)</f>
        <v>0</v>
      </c>
      <c r="AS380" t="e">
        <f>_xlfn.XLOOKUP(A380,[3]Sheet1!$B:$B,[3]Sheet1!$B:$B)</f>
        <v>#N/A</v>
      </c>
    </row>
    <row r="381" spans="1:46" x14ac:dyDescent="0.25">
      <c r="A381" s="1" t="s">
        <v>371</v>
      </c>
      <c r="B381" s="2" t="s">
        <v>552</v>
      </c>
      <c r="C381" s="2" t="s">
        <v>636</v>
      </c>
      <c r="D381" s="2" t="s">
        <v>554</v>
      </c>
      <c r="E381" s="2">
        <v>1.35</v>
      </c>
      <c r="F381" s="1" t="str">
        <f>VLOOKUP(H381,'RM Used'!A:B,2,0)</f>
        <v>166ACS</v>
      </c>
      <c r="G381" s="1" t="str">
        <f>IFERROR(VLOOKUP(F381,'RM Cost'!A:B,2,0),"")</f>
        <v>RM - LARGE MANGO 5/6</v>
      </c>
      <c r="H381" s="2" t="s">
        <v>1391</v>
      </c>
      <c r="I381" s="1" t="str">
        <f>VLOOKUP(F381,'RM Used'!B:D,3,0)</f>
        <v>RM-FOOD</v>
      </c>
      <c r="J381" s="66">
        <v>0.7407407407407407</v>
      </c>
      <c r="K381" s="35">
        <f t="shared" si="117"/>
        <v>1</v>
      </c>
      <c r="L381" s="35">
        <f t="shared" si="104"/>
        <v>1</v>
      </c>
      <c r="M381" s="77" cm="1">
        <f t="array" ref="M381">_xlfn.IFS(BOM!I381="RM-PACKING","100%",B381="Reynolds",VLOOKUP(H381,'Yield &amp; Time'!A:V,22,0),BOM!B381="Dnata",VLOOKUP(BOM!H381,'Yield &amp; Time'!A:M,13,0),B381="NK",VLOOKUP(H381,'Yield &amp; Time'!A:X,24,0))</f>
        <v>0.51644204851752018</v>
      </c>
      <c r="N381" s="35">
        <f t="shared" si="124"/>
        <v>1.9363256784968685</v>
      </c>
      <c r="O381" s="1" t="str">
        <f>VLOOKUP(H381,'RM Used'!A:E,5,0)</f>
        <v>KG</v>
      </c>
      <c r="P381" s="11">
        <f>VLOOKUP(H381,'RM Used'!A:F,6,0)</f>
        <v>2.0799999999999996</v>
      </c>
      <c r="Q381" s="11">
        <f t="shared" si="114"/>
        <v>4.0275574112734862</v>
      </c>
      <c r="R381" s="11">
        <f>IFERROR(IF(B381="Reynolds",VLOOKUP(H381,'Yield &amp; Time'!A:U,21,0),VLOOKUP(H381,'Yield &amp; Time'!A:L,12,0)),0)</f>
        <v>4.2363409542237385</v>
      </c>
      <c r="S381" s="11">
        <f t="shared" si="106"/>
        <v>1.4340014130047354</v>
      </c>
      <c r="T381" s="11">
        <f t="shared" si="107"/>
        <v>7.0605682570395636E-2</v>
      </c>
      <c r="U381" s="11">
        <f>IF(A380=A381,0,VLOOKUP(A381,'Packing Time'!A:F,6,0))</f>
        <v>0.64500000000000002</v>
      </c>
      <c r="V381" s="11">
        <f t="shared" si="118"/>
        <v>0.21833249999999998</v>
      </c>
      <c r="W381" s="11">
        <f t="shared" si="119"/>
        <v>1.0750000000000001E-2</v>
      </c>
      <c r="X381" s="11">
        <f t="shared" si="108"/>
        <v>2.6437342608075767</v>
      </c>
      <c r="Y381" s="11">
        <f t="shared" si="120"/>
        <v>2.6437342608075767</v>
      </c>
      <c r="Z381" s="37">
        <v>1</v>
      </c>
      <c r="AA381" s="36">
        <f t="shared" si="109"/>
        <v>1.9363256784968685</v>
      </c>
      <c r="AB381" s="36">
        <f t="shared" si="110"/>
        <v>4.0275574112734862</v>
      </c>
      <c r="AC381" s="11">
        <f t="shared" si="111"/>
        <v>0.13016909211263303</v>
      </c>
      <c r="AD381" s="36">
        <f t="shared" si="121"/>
        <v>2.6437342608075767</v>
      </c>
      <c r="AE381" s="36" t="str">
        <f>VLOOKUP(H381,'Yield &amp; Time'!A:R,18,0)</f>
        <v>CHLORINE</v>
      </c>
      <c r="AF381" s="36">
        <f>IFERROR(VLOOKUP(AE381,'Chemical Cost'!A:D,4,0),0)</f>
        <v>2.7756518066439469E-2</v>
      </c>
      <c r="AG381" s="114">
        <f t="shared" si="112"/>
        <v>1.791521955923633E-2</v>
      </c>
      <c r="AH381" s="36">
        <f t="shared" si="115"/>
        <v>1.791521955923633E-2</v>
      </c>
      <c r="AI381" s="36">
        <f t="shared" si="122"/>
        <v>6.6892068916402989</v>
      </c>
      <c r="AJ381" s="36">
        <f>IFERROR(VLOOKUP(A381,'All Products'!A:F,6,0),0)</f>
        <v>7.93</v>
      </c>
      <c r="AK381" s="36">
        <f>AJ381*Z381*J381</f>
        <v>5.8740740740740733</v>
      </c>
      <c r="AL381" s="23"/>
      <c r="AM381" s="23">
        <v>1</v>
      </c>
      <c r="AN381" s="54" t="e">
        <v>#N/A</v>
      </c>
      <c r="AO381" s="47"/>
      <c r="AP381" s="4">
        <v>1.6</v>
      </c>
      <c r="AQ381" s="111">
        <f t="shared" si="113"/>
        <v>0.13016909211263303</v>
      </c>
      <c r="AR381">
        <f>_xlfn.XLOOKUP(F381,'RM Cost'!A:A,'RM Cost'!S:S)</f>
        <v>0</v>
      </c>
      <c r="AS381" t="str">
        <f>_xlfn.XLOOKUP(A381,[3]Sheet1!$B:$B,[3]Sheet1!$B:$B)</f>
        <v>906ACS</v>
      </c>
      <c r="AT381" t="str">
        <f>_xlfn.XLOOKUP(H381,'Yield &amp; Time'!A:A,'Yield &amp; Time'!O:O)</f>
        <v>Yes</v>
      </c>
    </row>
    <row r="382" spans="1:46" x14ac:dyDescent="0.25">
      <c r="A382" s="1" t="s">
        <v>371</v>
      </c>
      <c r="B382" s="2" t="s">
        <v>552</v>
      </c>
      <c r="C382" s="2" t="s">
        <v>636</v>
      </c>
      <c r="D382" s="2" t="s">
        <v>554</v>
      </c>
      <c r="E382" s="2">
        <v>1.35</v>
      </c>
      <c r="F382" s="1" t="str">
        <f>VLOOKUP(H382,'RM Used'!A:B,2,0)</f>
        <v>8929CS</v>
      </c>
      <c r="G382" s="1" t="str">
        <f>IFERROR(VLOOKUP(F382,'RM Cost'!A:B,2,0),"")</f>
        <v>GRANULATED SUGAR 1 X 25K</v>
      </c>
      <c r="H382" s="2" t="s">
        <v>1757</v>
      </c>
      <c r="I382" s="1" t="str">
        <f>VLOOKUP(F382,'RM Used'!B:D,3,0)</f>
        <v>RM-FOOD</v>
      </c>
      <c r="J382" s="66">
        <v>0.25925925925925924</v>
      </c>
      <c r="K382" s="35">
        <f>IF(I382="RM-FOOD",J382*E382,"")</f>
        <v>0.35</v>
      </c>
      <c r="L382" s="35">
        <f t="shared" si="104"/>
        <v>0.35</v>
      </c>
      <c r="M382" s="77" cm="1">
        <f t="array" ref="M382">_xlfn.IFS(BOM!I382="RM-PACKING","100%",B382="Reynolds",VLOOKUP(H382,'Yield &amp; Time'!A:V,22,0),BOM!B382="Dnata",VLOOKUP(BOM!H382,'Yield &amp; Time'!A:M,13,0),B382="NK",VLOOKUP(H382,'Yield &amp; Time'!A:X,24,0))</f>
        <v>1</v>
      </c>
      <c r="N382" s="35">
        <f>IFERROR(IF(I382="RM-FOOD",(E382*J382)/M382,1),0)</f>
        <v>0.35</v>
      </c>
      <c r="O382" s="1" t="str">
        <f>VLOOKUP(H382,'RM Used'!A:E,5,0)</f>
        <v>KG</v>
      </c>
      <c r="P382" s="11">
        <f>VLOOKUP(H382,'RM Used'!A:F,6,0)</f>
        <v>6.3E-2</v>
      </c>
      <c r="Q382" s="11">
        <f t="shared" si="114"/>
        <v>2.205E-2</v>
      </c>
      <c r="R382" s="11">
        <f>IFERROR(IF(B382="Reynolds",VLOOKUP(H382,'Yield &amp; Time'!A:U,21,0),VLOOKUP(H382,'Yield &amp; Time'!A:L,12,0)),0)</f>
        <v>0.16666666666666666</v>
      </c>
      <c r="S382" s="11">
        <f t="shared" si="106"/>
        <v>1.9745833333333331E-2</v>
      </c>
      <c r="T382" s="11">
        <f t="shared" si="107"/>
        <v>9.7222222222222219E-4</v>
      </c>
      <c r="U382" s="11">
        <f>IF(A381=A382,0,VLOOKUP(A382,'Packing Time'!A:F,6,0))</f>
        <v>0</v>
      </c>
      <c r="V382" s="11">
        <f>U382*AO$1</f>
        <v>0</v>
      </c>
      <c r="W382" s="11">
        <f>(U382*Z382)/60</f>
        <v>0</v>
      </c>
      <c r="X382" s="11">
        <f t="shared" si="108"/>
        <v>3.1593333333333327E-2</v>
      </c>
      <c r="Y382" s="11">
        <f>X382*Z382</f>
        <v>3.1593333333333327E-2</v>
      </c>
      <c r="Z382" s="37">
        <v>1</v>
      </c>
      <c r="AA382" s="36">
        <f t="shared" si="109"/>
        <v>0.35</v>
      </c>
      <c r="AB382" s="36">
        <f t="shared" si="110"/>
        <v>2.205E-2</v>
      </c>
      <c r="AC382" s="11">
        <f t="shared" si="111"/>
        <v>1.5555555555555557E-3</v>
      </c>
      <c r="AD382" s="36">
        <f>AC382*60*AO$1</f>
        <v>3.1593333333333334E-2</v>
      </c>
      <c r="AE382" s="36">
        <f>VLOOKUP(H382,'Yield &amp; Time'!A:R,18,0)</f>
        <v>0</v>
      </c>
      <c r="AF382" s="36">
        <f>IFERROR(VLOOKUP(AE382,'Chemical Cost'!A:D,4,0),0)</f>
        <v>0</v>
      </c>
      <c r="AG382" s="114">
        <f t="shared" si="112"/>
        <v>0</v>
      </c>
      <c r="AH382" s="36">
        <f t="shared" si="115"/>
        <v>0</v>
      </c>
      <c r="AI382" s="36">
        <f>IFERROR((Q382*Z382)+(Z382*X382)+AH382,0)</f>
        <v>5.3643333333333328E-2</v>
      </c>
      <c r="AJ382" s="36">
        <f>IFERROR(VLOOKUP(A382,'All Products'!A:F,6,0),0)</f>
        <v>7.93</v>
      </c>
      <c r="AK382" s="36">
        <f>AJ382*Z382*J382</f>
        <v>2.0559259259259259</v>
      </c>
      <c r="AL382" s="23"/>
      <c r="AM382" s="23">
        <v>1</v>
      </c>
      <c r="AN382" s="54" t="e">
        <v>#N/A</v>
      </c>
      <c r="AO382" s="47"/>
      <c r="AP382" s="4">
        <v>1.6</v>
      </c>
      <c r="AQ382" s="111">
        <f t="shared" si="113"/>
        <v>1.5555555555555557E-3</v>
      </c>
      <c r="AR382">
        <f>_xlfn.XLOOKUP(F382,'RM Cost'!A:A,'RM Cost'!S:S)</f>
        <v>0</v>
      </c>
      <c r="AS382" t="str">
        <f>_xlfn.XLOOKUP(A382,[3]Sheet1!$B:$B,[3]Sheet1!$B:$B)</f>
        <v>906ACS</v>
      </c>
      <c r="AT382">
        <f>_xlfn.XLOOKUP(H382,'Yield &amp; Time'!A:A,'Yield &amp; Time'!F:F)</f>
        <v>0</v>
      </c>
    </row>
    <row r="383" spans="1:46" x14ac:dyDescent="0.25">
      <c r="A383" s="1" t="s">
        <v>371</v>
      </c>
      <c r="B383" s="2" t="s">
        <v>552</v>
      </c>
      <c r="C383" s="2" t="s">
        <v>636</v>
      </c>
      <c r="D383" s="2" t="s">
        <v>554</v>
      </c>
      <c r="E383" s="2">
        <v>1.35</v>
      </c>
      <c r="F383" s="1" t="str">
        <f>VLOOKUP(H383,'RM Used'!A:B,2,0)</f>
        <v>P0014</v>
      </c>
      <c r="G383" s="1" t="str">
        <f>IFERROR(VLOOKUP(F383,'RM Cost'!A:B,2,0),"")</f>
        <v>BUCKET 2.2L PET</v>
      </c>
      <c r="H383" s="117" t="s">
        <v>4676</v>
      </c>
      <c r="I383" s="1" t="str">
        <f>VLOOKUP(F383,'RM Used'!B:D,3,0)</f>
        <v>RM-PACKING</v>
      </c>
      <c r="J383" s="66">
        <v>1</v>
      </c>
      <c r="K383" s="35" t="str">
        <f t="shared" si="117"/>
        <v/>
      </c>
      <c r="L383" s="35">
        <f t="shared" si="104"/>
        <v>0</v>
      </c>
      <c r="M383" s="77" t="str" cm="1">
        <f t="array" ref="M383">_xlfn.IFS(BOM!I383="RM-PACKING","100%",B383="Reynolds",VLOOKUP(H383,'Yield &amp; Time'!A:V,22,0),BOM!B383="Dnata",VLOOKUP(BOM!H383,'Yield &amp; Time'!A:M,13,0),B383="NK",VLOOKUP(H383,'Yield &amp; Time'!A:X,24,0))</f>
        <v>100%</v>
      </c>
      <c r="N383" s="35">
        <f t="shared" si="124"/>
        <v>1</v>
      </c>
      <c r="O383" s="1" t="str">
        <f>VLOOKUP(H383,'RM Used'!A:E,5,0)</f>
        <v>Count</v>
      </c>
      <c r="P383" s="11">
        <f>VLOOKUP(H383,'RM Used'!A:F,6,0)</f>
        <v>0.54</v>
      </c>
      <c r="Q383" s="11">
        <f t="shared" si="114"/>
        <v>0.54</v>
      </c>
      <c r="R383" s="11">
        <f>IFERROR(IF(B383="Reynolds",VLOOKUP(H383,'Yield &amp; Time'!A:U,21,0),VLOOKUP(H383,'Yield &amp; Time'!A:L,12,0)),0)</f>
        <v>0</v>
      </c>
      <c r="S383" s="11">
        <f t="shared" si="106"/>
        <v>0</v>
      </c>
      <c r="T383" s="11">
        <f t="shared" si="107"/>
        <v>0</v>
      </c>
      <c r="U383" s="11">
        <f>IF(A382=A383,0,VLOOKUP(A383,'Packing Time'!A:F,6,0))</f>
        <v>0</v>
      </c>
      <c r="V383" s="11">
        <f t="shared" si="118"/>
        <v>0</v>
      </c>
      <c r="W383" s="11">
        <f t="shared" si="119"/>
        <v>0</v>
      </c>
      <c r="X383" s="11">
        <f t="shared" si="108"/>
        <v>0</v>
      </c>
      <c r="Y383" s="11">
        <f t="shared" si="120"/>
        <v>0</v>
      </c>
      <c r="Z383" s="37">
        <v>1</v>
      </c>
      <c r="AA383" s="36">
        <f t="shared" si="109"/>
        <v>1</v>
      </c>
      <c r="AB383" s="36">
        <f t="shared" si="110"/>
        <v>0.54</v>
      </c>
      <c r="AC383" s="11">
        <f t="shared" si="111"/>
        <v>0</v>
      </c>
      <c r="AD383" s="36">
        <f t="shared" si="121"/>
        <v>0</v>
      </c>
      <c r="AE383" s="36"/>
      <c r="AF383" s="36">
        <f>IFERROR(VLOOKUP(AE383,'Chemical Cost'!A:D,4,0),0)</f>
        <v>0</v>
      </c>
      <c r="AG383" s="114">
        <f t="shared" si="112"/>
        <v>0</v>
      </c>
      <c r="AH383" s="36">
        <f t="shared" si="115"/>
        <v>0</v>
      </c>
      <c r="AI383" s="36">
        <f t="shared" si="122"/>
        <v>0.54</v>
      </c>
      <c r="AJ383" s="36">
        <f>IFERROR(VLOOKUP(A383,'All Products'!A:F,6,0),0)</f>
        <v>7.93</v>
      </c>
      <c r="AK383" s="36"/>
      <c r="AL383" s="23"/>
      <c r="AM383" s="23">
        <v>1</v>
      </c>
      <c r="AN383" s="54" t="e">
        <v>#N/A</v>
      </c>
      <c r="AO383" s="47"/>
      <c r="AP383" s="4">
        <v>1.6</v>
      </c>
      <c r="AQ383" s="111">
        <f t="shared" si="113"/>
        <v>0</v>
      </c>
      <c r="AR383">
        <f>_xlfn.XLOOKUP(F383,'RM Cost'!A:A,'RM Cost'!S:S)</f>
        <v>0</v>
      </c>
      <c r="AS383" t="str">
        <f>_xlfn.XLOOKUP(A383,[3]Sheet1!$B:$B,[3]Sheet1!$B:$B)</f>
        <v>906ACS</v>
      </c>
      <c r="AT383" t="e">
        <f>_xlfn.XLOOKUP(H383,'Yield &amp; Time'!A:A,'Yield &amp; Time'!F:F)</f>
        <v>#N/A</v>
      </c>
    </row>
    <row r="384" spans="1:46" x14ac:dyDescent="0.25">
      <c r="A384" s="1" t="s">
        <v>371</v>
      </c>
      <c r="B384" s="2" t="s">
        <v>552</v>
      </c>
      <c r="C384" s="2" t="s">
        <v>636</v>
      </c>
      <c r="D384" s="2" t="s">
        <v>554</v>
      </c>
      <c r="E384" s="2">
        <v>1.35</v>
      </c>
      <c r="F384" s="1" t="str">
        <f>VLOOKUP(H384,'RM Used'!A:B,2,0)</f>
        <v>P0026</v>
      </c>
      <c r="G384" s="1" t="str">
        <f>IFERROR(VLOOKUP(F384,'RM Cost'!A:B,2,0),"")</f>
        <v>LID 2.2L PJET 2.2L-3.8L</v>
      </c>
      <c r="H384" s="117" t="s">
        <v>4673</v>
      </c>
      <c r="I384" s="1" t="str">
        <f>VLOOKUP(F384,'RM Used'!B:D,3,0)</f>
        <v>RM-PACKING</v>
      </c>
      <c r="J384" s="66">
        <v>1</v>
      </c>
      <c r="K384" s="35" t="str">
        <f>IF(I384="RM-FOOD",J384*E384,"")</f>
        <v/>
      </c>
      <c r="L384" s="35">
        <f t="shared" si="104"/>
        <v>0</v>
      </c>
      <c r="M384" s="77" t="str" cm="1">
        <f t="array" ref="M384">_xlfn.IFS(BOM!I384="RM-PACKING","100%",B384="Reynolds",VLOOKUP(H384,'Yield &amp; Time'!A:V,22,0),BOM!B384="Dnata",VLOOKUP(BOM!H384,'Yield &amp; Time'!A:M,13,0),B384="NK",VLOOKUP(H384,'Yield &amp; Time'!A:X,24,0))</f>
        <v>100%</v>
      </c>
      <c r="N384" s="35">
        <f>IFERROR(IF(I384="RM-FOOD",(E384*J384)/M384,1),0)</f>
        <v>1</v>
      </c>
      <c r="O384" s="1" t="str">
        <f>VLOOKUP(H384,'RM Used'!A:E,5,0)</f>
        <v>Count</v>
      </c>
      <c r="P384" s="11">
        <f>VLOOKUP(H384,'RM Used'!A:F,6,0)</f>
        <v>0.16</v>
      </c>
      <c r="Q384" s="11">
        <f t="shared" si="114"/>
        <v>0.16</v>
      </c>
      <c r="R384" s="11">
        <f>IFERROR(IF(B384="Reynolds",VLOOKUP(H384,'Yield &amp; Time'!A:U,21,0),VLOOKUP(H384,'Yield &amp; Time'!A:L,12,0)),0)</f>
        <v>0</v>
      </c>
      <c r="S384" s="11">
        <f t="shared" si="106"/>
        <v>0</v>
      </c>
      <c r="T384" s="11">
        <f t="shared" si="107"/>
        <v>0</v>
      </c>
      <c r="U384" s="11">
        <f>IF(A383=A384,0,VLOOKUP(A384,'Packing Time'!A:F,6,0))</f>
        <v>0</v>
      </c>
      <c r="V384" s="11">
        <f>U384*AO$1</f>
        <v>0</v>
      </c>
      <c r="W384" s="11">
        <f>(U384*Z384)/60</f>
        <v>0</v>
      </c>
      <c r="X384" s="11">
        <f t="shared" si="108"/>
        <v>0</v>
      </c>
      <c r="Y384" s="11">
        <f>X384*Z384</f>
        <v>0</v>
      </c>
      <c r="Z384" s="37">
        <v>1</v>
      </c>
      <c r="AA384" s="36">
        <f t="shared" si="109"/>
        <v>1</v>
      </c>
      <c r="AB384" s="36">
        <f t="shared" si="110"/>
        <v>0.16</v>
      </c>
      <c r="AC384" s="11">
        <f t="shared" si="111"/>
        <v>0</v>
      </c>
      <c r="AD384" s="36">
        <f>AC384*60*AO$1</f>
        <v>0</v>
      </c>
      <c r="AE384" s="36"/>
      <c r="AF384" s="36">
        <f>IFERROR(VLOOKUP(AE384,'Chemical Cost'!A:D,4,0),0)</f>
        <v>0</v>
      </c>
      <c r="AG384" s="114">
        <f t="shared" si="112"/>
        <v>0</v>
      </c>
      <c r="AH384" s="36">
        <f>AF384*AA384/3</f>
        <v>0</v>
      </c>
      <c r="AI384" s="36">
        <f>IFERROR((Q384*Z384)+(Z384*X384)+AH384,0)</f>
        <v>0.16</v>
      </c>
      <c r="AJ384" s="36">
        <f>IFERROR(VLOOKUP(A384,'All Products'!A:F,6,0),0)</f>
        <v>7.93</v>
      </c>
      <c r="AK384" s="36"/>
      <c r="AL384" s="23"/>
      <c r="AM384" s="23">
        <v>1</v>
      </c>
      <c r="AN384" s="54" t="e">
        <v>#N/A</v>
      </c>
      <c r="AO384" s="47"/>
      <c r="AP384" s="4">
        <v>1.6</v>
      </c>
      <c r="AQ384" s="111">
        <f t="shared" si="113"/>
        <v>0</v>
      </c>
      <c r="AR384">
        <f>_xlfn.XLOOKUP(F384,'RM Cost'!A:A,'RM Cost'!S:S)</f>
        <v>0</v>
      </c>
      <c r="AS384" t="str">
        <f>_xlfn.XLOOKUP(A384,[3]Sheet1!$B:$B,[3]Sheet1!$B:$B)</f>
        <v>906ACS</v>
      </c>
      <c r="AT384" t="e">
        <f>_xlfn.XLOOKUP(H384,'Yield &amp; Time'!A:A,'Yield &amp; Time'!F:F)</f>
        <v>#N/A</v>
      </c>
    </row>
    <row r="385" spans="1:46" x14ac:dyDescent="0.25">
      <c r="A385" s="1" t="s">
        <v>640</v>
      </c>
      <c r="B385" s="2" t="s">
        <v>552</v>
      </c>
      <c r="C385" s="2" t="s">
        <v>641</v>
      </c>
      <c r="D385" s="2" t="s">
        <v>554</v>
      </c>
      <c r="E385" s="2">
        <v>5</v>
      </c>
      <c r="F385" s="1" t="str">
        <f>VLOOKUP(H385,'RM Used'!A:B,2,0)</f>
        <v>3080CS</v>
      </c>
      <c r="G385" s="1" t="str">
        <f>IFERROR(VLOOKUP(F385,'RM Cost'!A:B,2,0),"")</f>
        <v>RM - SAVOY CABBAGE 1 X 5KG</v>
      </c>
      <c r="H385" s="2" t="s">
        <v>1353</v>
      </c>
      <c r="I385" s="1" t="str">
        <f>VLOOKUP(F385,'RM Used'!B:D,3,0)</f>
        <v>RM-FOOD</v>
      </c>
      <c r="J385" s="66">
        <v>1</v>
      </c>
      <c r="K385" s="35">
        <f t="shared" si="117"/>
        <v>5</v>
      </c>
      <c r="L385" s="35">
        <f t="shared" si="104"/>
        <v>5</v>
      </c>
      <c r="M385" s="77" cm="1">
        <f t="array" ref="M385">_xlfn.IFS(BOM!I385="RM-PACKING","100%",B385="Reynolds",VLOOKUP(H385,'Yield &amp; Time'!A:V,22,0),BOM!B385="Dnata",VLOOKUP(BOM!H385,'Yield &amp; Time'!A:M,13,0),B385="NK",VLOOKUP(H385,'Yield &amp; Time'!A:X,24,0))</f>
        <v>0.72000000000000008</v>
      </c>
      <c r="N385" s="35">
        <f t="shared" si="124"/>
        <v>6.9444444444444438</v>
      </c>
      <c r="O385" s="1" t="str">
        <f>VLOOKUP(H385,'RM Used'!A:E,5,0)</f>
        <v>KG</v>
      </c>
      <c r="P385" s="11">
        <f>VLOOKUP(H385,'RM Used'!A:F,6,0)</f>
        <v>0.76</v>
      </c>
      <c r="Q385" s="11">
        <f t="shared" si="114"/>
        <v>5.2777777777777777</v>
      </c>
      <c r="R385" s="11">
        <f>IFERROR(IF(B385="Reynolds",VLOOKUP(H385,'Yield &amp; Time'!A:U,21,0),VLOOKUP(H385,'Yield &amp; Time'!A:L,12,0)),0)</f>
        <v>0.87031835205992514</v>
      </c>
      <c r="S385" s="11">
        <f t="shared" si="106"/>
        <v>1.4730138108614232</v>
      </c>
      <c r="T385" s="11">
        <f t="shared" si="107"/>
        <v>7.2526529338327095E-2</v>
      </c>
      <c r="U385" s="11">
        <f>IF(A384=A385,0,VLOOKUP(A385,'Packing Time'!A:F,6,0))</f>
        <v>1.1850000000000001</v>
      </c>
      <c r="V385" s="11">
        <f t="shared" si="118"/>
        <v>0.40112249999999999</v>
      </c>
      <c r="W385" s="11">
        <f t="shared" si="119"/>
        <v>1.975E-2</v>
      </c>
      <c r="X385" s="11">
        <f t="shared" si="108"/>
        <v>2.998618097378277</v>
      </c>
      <c r="Y385" s="11">
        <f t="shared" si="120"/>
        <v>2.998618097378277</v>
      </c>
      <c r="Z385" s="37">
        <v>1</v>
      </c>
      <c r="AA385" s="36">
        <f t="shared" si="109"/>
        <v>6.9444444444444438</v>
      </c>
      <c r="AB385" s="36">
        <f t="shared" si="110"/>
        <v>5.2777777777777777</v>
      </c>
      <c r="AC385" s="11">
        <f t="shared" si="111"/>
        <v>0.14764244694132336</v>
      </c>
      <c r="AD385" s="36">
        <f t="shared" si="121"/>
        <v>2.9986180973782774</v>
      </c>
      <c r="AE385" s="36" t="str">
        <f>VLOOKUP(H385,'Yield &amp; Time'!A:R,18,0)</f>
        <v>CHLORINE</v>
      </c>
      <c r="AF385" s="36">
        <f>IFERROR(VLOOKUP(AE385,'Chemical Cost'!A:D,4,0),0)</f>
        <v>2.7756518066439469E-2</v>
      </c>
      <c r="AG385" s="114">
        <f t="shared" si="112"/>
        <v>6.4251199227869135E-2</v>
      </c>
      <c r="AH385" s="36">
        <f t="shared" si="115"/>
        <v>6.4251199227869135E-2</v>
      </c>
      <c r="AI385" s="36">
        <f t="shared" si="122"/>
        <v>8.3406470743839236</v>
      </c>
      <c r="AJ385" s="36">
        <f>IFERROR(VLOOKUP(A385,'All Products'!A:F,6,0),0)</f>
        <v>18.96</v>
      </c>
      <c r="AK385" s="36">
        <f>AJ385*Z385*J385</f>
        <v>18.96</v>
      </c>
      <c r="AL385" s="23">
        <v>0.8</v>
      </c>
      <c r="AM385" s="23">
        <v>0.2</v>
      </c>
      <c r="AN385" s="54" t="e">
        <v>#N/A</v>
      </c>
      <c r="AO385" s="47"/>
      <c r="AP385" s="4">
        <v>1.6</v>
      </c>
      <c r="AQ385" s="111">
        <f t="shared" si="113"/>
        <v>0.14764244694132336</v>
      </c>
      <c r="AR385">
        <f>_xlfn.XLOOKUP(F385,'RM Cost'!A:A,'RM Cost'!S:S)</f>
        <v>0</v>
      </c>
      <c r="AS385" t="e">
        <f>_xlfn.XLOOKUP(A385,[3]Sheet1!$B:$B,[3]Sheet1!$B:$B)</f>
        <v>#N/A</v>
      </c>
    </row>
    <row r="386" spans="1:46" x14ac:dyDescent="0.25">
      <c r="A386" s="1" t="s">
        <v>640</v>
      </c>
      <c r="B386" s="2" t="s">
        <v>552</v>
      </c>
      <c r="C386" s="2" t="s">
        <v>641</v>
      </c>
      <c r="D386" s="2" t="s">
        <v>554</v>
      </c>
      <c r="E386" s="2">
        <v>5</v>
      </c>
      <c r="F386" s="1" t="str">
        <f>VLOOKUP(H386,'RM Used'!A:B,2,0)</f>
        <v>P0008</v>
      </c>
      <c r="G386" s="1" t="str">
        <f>IFERROR(VLOOKUP(F386,'RM Cost'!A:B,2,0),"")</f>
        <v>PALE BLUE BAG 470X750MM</v>
      </c>
      <c r="H386" s="2" t="s">
        <v>1323</v>
      </c>
      <c r="I386" s="1" t="str">
        <f>VLOOKUP(F386,'RM Used'!B:D,3,0)</f>
        <v>RM-PACKING</v>
      </c>
      <c r="J386" s="66">
        <v>1</v>
      </c>
      <c r="K386" s="35" t="str">
        <f t="shared" si="117"/>
        <v/>
      </c>
      <c r="L386" s="35">
        <f t="shared" ref="L386:L449" si="125">IFERROR(K386*Z386,0)</f>
        <v>0</v>
      </c>
      <c r="M386" s="77" t="str" cm="1">
        <f t="array" ref="M386">_xlfn.IFS(BOM!I386="RM-PACKING","100%",B386="Reynolds",VLOOKUP(H386,'Yield &amp; Time'!A:V,22,0),BOM!B386="Dnata",VLOOKUP(BOM!H386,'Yield &amp; Time'!A:M,13,0),B386="NK",VLOOKUP(H386,'Yield &amp; Time'!A:X,24,0))</f>
        <v>100%</v>
      </c>
      <c r="N386" s="35">
        <f t="shared" si="124"/>
        <v>1</v>
      </c>
      <c r="O386" s="1" t="str">
        <f>VLOOKUP(H386,'RM Used'!A:E,5,0)</f>
        <v>Count</v>
      </c>
      <c r="P386" s="11">
        <f>VLOOKUP(H386,'RM Used'!A:F,6,0)</f>
        <v>0.14000000000000001</v>
      </c>
      <c r="Q386" s="11">
        <f t="shared" si="114"/>
        <v>0.14000000000000001</v>
      </c>
      <c r="R386" s="11">
        <f>IFERROR(IF(B386="Reynolds",VLOOKUP(H386,'Yield &amp; Time'!A:U,21,0),VLOOKUP(H386,'Yield &amp; Time'!A:L,12,0)),0)</f>
        <v>0</v>
      </c>
      <c r="S386" s="11">
        <f t="shared" ref="S386:S449" si="126">R386*J386*E386*AO$1</f>
        <v>0</v>
      </c>
      <c r="T386" s="11">
        <f t="shared" ref="T386:T449" si="127">(R386*Z386*J386*E386)/60</f>
        <v>0</v>
      </c>
      <c r="U386" s="11">
        <f>IF(A385=A386,0,VLOOKUP(A386,'Packing Time'!A:F,6,0))</f>
        <v>0</v>
      </c>
      <c r="V386" s="11">
        <f t="shared" si="118"/>
        <v>0</v>
      </c>
      <c r="W386" s="11">
        <f t="shared" si="119"/>
        <v>0</v>
      </c>
      <c r="X386" s="11">
        <f t="shared" ref="X386:X449" si="128">((R386*J386*E386)+U386)*AO$1*AP386</f>
        <v>0</v>
      </c>
      <c r="Y386" s="11">
        <f t="shared" si="120"/>
        <v>0</v>
      </c>
      <c r="Z386" s="37">
        <v>1</v>
      </c>
      <c r="AA386" s="36">
        <f t="shared" ref="AA386:AA449" si="129">Z386*N386</f>
        <v>1</v>
      </c>
      <c r="AB386" s="36">
        <f t="shared" ref="AB386:AB449" si="130">AA386*P386</f>
        <v>0.14000000000000001</v>
      </c>
      <c r="AC386" s="11">
        <f t="shared" ref="AC386:AC449" si="131">(((R386*J386*E386)+U386)/60)*Z386*AP386</f>
        <v>0</v>
      </c>
      <c r="AD386" s="36">
        <f t="shared" si="121"/>
        <v>0</v>
      </c>
      <c r="AE386" s="36"/>
      <c r="AF386" s="36">
        <f>IFERROR(VLOOKUP(AE386,'Chemical Cost'!A:D,4,0),0)</f>
        <v>0</v>
      </c>
      <c r="AG386" s="114">
        <f t="shared" ref="AG386:AG449" si="132">AF386*N386/3</f>
        <v>0</v>
      </c>
      <c r="AH386" s="36">
        <f t="shared" si="115"/>
        <v>0</v>
      </c>
      <c r="AI386" s="36">
        <f t="shared" si="122"/>
        <v>0.14000000000000001</v>
      </c>
      <c r="AJ386" s="36">
        <f>IFERROR(VLOOKUP(A386,'All Products'!A:F,6,0),0)</f>
        <v>18.96</v>
      </c>
      <c r="AK386" s="36"/>
      <c r="AL386" s="23">
        <v>0.8</v>
      </c>
      <c r="AM386" s="23">
        <v>0.2</v>
      </c>
      <c r="AN386" s="54" t="e">
        <v>#N/A</v>
      </c>
      <c r="AO386" s="47"/>
      <c r="AP386" s="4">
        <v>1.6</v>
      </c>
      <c r="AQ386" s="111">
        <f t="shared" ref="AQ386:AQ449" si="133">(((R386*J386*E386)+U386)/60)*AP386</f>
        <v>0</v>
      </c>
      <c r="AR386">
        <f>_xlfn.XLOOKUP(F386,'RM Cost'!A:A,'RM Cost'!S:S)</f>
        <v>0</v>
      </c>
      <c r="AS386" t="e">
        <f>_xlfn.XLOOKUP(A386,[3]Sheet1!$B:$B,[3]Sheet1!$B:$B)</f>
        <v>#N/A</v>
      </c>
    </row>
    <row r="387" spans="1:46" x14ac:dyDescent="0.25">
      <c r="A387" s="1" t="s">
        <v>640</v>
      </c>
      <c r="B387" s="2" t="s">
        <v>552</v>
      </c>
      <c r="C387" s="2" t="s">
        <v>641</v>
      </c>
      <c r="D387" s="2" t="s">
        <v>554</v>
      </c>
      <c r="E387" s="2">
        <v>5</v>
      </c>
      <c r="F387" s="1" t="str">
        <f>VLOOKUP(H387,'RM Used'!A:B,2,0)</f>
        <v>P0016</v>
      </c>
      <c r="G387" s="1" t="str">
        <f>IFERROR(VLOOKUP(F387,'RM Cost'!A:B,2,0),"")</f>
        <v>REY 40 30 BOX</v>
      </c>
      <c r="H387" s="2" t="s">
        <v>1332</v>
      </c>
      <c r="I387" s="1" t="str">
        <f>VLOOKUP(F387,'RM Used'!B:D,3,0)</f>
        <v>RM-PACKING</v>
      </c>
      <c r="J387" s="66">
        <v>1</v>
      </c>
      <c r="K387" s="35" t="str">
        <f t="shared" si="117"/>
        <v/>
      </c>
      <c r="L387" s="35">
        <f t="shared" si="125"/>
        <v>0</v>
      </c>
      <c r="M387" s="77" t="str" cm="1">
        <f t="array" ref="M387">_xlfn.IFS(BOM!I387="RM-PACKING","100%",B387="Reynolds",VLOOKUP(H387,'Yield &amp; Time'!A:V,22,0),BOM!B387="Dnata",VLOOKUP(BOM!H387,'Yield &amp; Time'!A:M,13,0),B387="NK",VLOOKUP(H387,'Yield &amp; Time'!A:X,24,0))</f>
        <v>100%</v>
      </c>
      <c r="N387" s="35">
        <f t="shared" si="124"/>
        <v>1</v>
      </c>
      <c r="O387" s="1" t="str">
        <f>VLOOKUP(H387,'RM Used'!A:E,5,0)</f>
        <v>Count</v>
      </c>
      <c r="P387" s="11">
        <f>VLOOKUP(H387,'RM Used'!A:F,6,0)</f>
        <v>0.28000000000000003</v>
      </c>
      <c r="Q387" s="11">
        <f t="shared" ref="Q387:Q450" si="134">P387*N387</f>
        <v>0.28000000000000003</v>
      </c>
      <c r="R387" s="11">
        <f>IFERROR(IF(B387="Reynolds",VLOOKUP(H387,'Yield &amp; Time'!A:U,21,0),VLOOKUP(H387,'Yield &amp; Time'!A:L,12,0)),0)</f>
        <v>0</v>
      </c>
      <c r="S387" s="11">
        <f t="shared" si="126"/>
        <v>0</v>
      </c>
      <c r="T387" s="11">
        <f t="shared" si="127"/>
        <v>0</v>
      </c>
      <c r="U387" s="11">
        <f>IF(A386=A387,0,VLOOKUP(A387,'Packing Time'!A:F,6,0))</f>
        <v>0</v>
      </c>
      <c r="V387" s="11">
        <f t="shared" si="118"/>
        <v>0</v>
      </c>
      <c r="W387" s="11">
        <f t="shared" si="119"/>
        <v>0</v>
      </c>
      <c r="X387" s="11">
        <f t="shared" si="128"/>
        <v>0</v>
      </c>
      <c r="Y387" s="11">
        <f t="shared" si="120"/>
        <v>0</v>
      </c>
      <c r="Z387" s="37">
        <v>1</v>
      </c>
      <c r="AA387" s="36">
        <f t="shared" si="129"/>
        <v>1</v>
      </c>
      <c r="AB387" s="36">
        <f t="shared" si="130"/>
        <v>0.28000000000000003</v>
      </c>
      <c r="AC387" s="11">
        <f t="shared" si="131"/>
        <v>0</v>
      </c>
      <c r="AD387" s="36">
        <f t="shared" si="121"/>
        <v>0</v>
      </c>
      <c r="AE387" s="36"/>
      <c r="AF387" s="36">
        <f>IFERROR(VLOOKUP(AE387,'Chemical Cost'!A:D,4,0),0)</f>
        <v>0</v>
      </c>
      <c r="AG387" s="114">
        <f t="shared" si="132"/>
        <v>0</v>
      </c>
      <c r="AH387" s="36">
        <f t="shared" si="115"/>
        <v>0</v>
      </c>
      <c r="AI387" s="36">
        <f t="shared" si="122"/>
        <v>0.28000000000000003</v>
      </c>
      <c r="AJ387" s="36">
        <f>IFERROR(VLOOKUP(A387,'All Products'!A:F,6,0),0)</f>
        <v>18.96</v>
      </c>
      <c r="AK387" s="36"/>
      <c r="AL387" s="23">
        <v>0.8</v>
      </c>
      <c r="AM387" s="23">
        <v>0.2</v>
      </c>
      <c r="AN387" s="54" t="e">
        <v>#N/A</v>
      </c>
      <c r="AO387" s="47"/>
      <c r="AP387" s="4">
        <v>1.6</v>
      </c>
      <c r="AQ387" s="111">
        <f t="shared" si="133"/>
        <v>0</v>
      </c>
      <c r="AR387">
        <f>_xlfn.XLOOKUP(F387,'RM Cost'!A:A,'RM Cost'!S:S)</f>
        <v>0</v>
      </c>
      <c r="AS387" t="e">
        <f>_xlfn.XLOOKUP(A387,[3]Sheet1!$B:$B,[3]Sheet1!$B:$B)</f>
        <v>#N/A</v>
      </c>
    </row>
    <row r="388" spans="1:46" x14ac:dyDescent="0.25">
      <c r="A388" s="1" t="s">
        <v>110</v>
      </c>
      <c r="B388" s="2" t="s">
        <v>552</v>
      </c>
      <c r="C388" s="2" t="s">
        <v>111</v>
      </c>
      <c r="D388" s="2" t="s">
        <v>554</v>
      </c>
      <c r="E388" s="2">
        <v>2.7</v>
      </c>
      <c r="F388" s="1" t="str">
        <f>VLOOKUP(H388,'RM Used'!A:B,2,0)</f>
        <v>2623CS</v>
      </c>
      <c r="G388" s="1" t="str">
        <f>IFERROR(VLOOKUP(F388,'RM Cost'!A:B,2,0),"")</f>
        <v>RM - GRAPEFRUIT WHITE X40EA</v>
      </c>
      <c r="H388" s="2" t="s">
        <v>1465</v>
      </c>
      <c r="I388" s="1" t="str">
        <f>VLOOKUP(F388,'RM Used'!B:D,3,0)</f>
        <v>RM-FOOD</v>
      </c>
      <c r="J388" s="66">
        <v>0.7407407407407407</v>
      </c>
      <c r="K388" s="35">
        <f t="shared" si="117"/>
        <v>2</v>
      </c>
      <c r="L388" s="35">
        <f t="shared" si="125"/>
        <v>2</v>
      </c>
      <c r="M388" s="77" cm="1">
        <f t="array" ref="M388">_xlfn.IFS(BOM!I388="RM-PACKING","100%",B388="Reynolds",VLOOKUP(H388,'Yield &amp; Time'!A:V,22,0),BOM!B388="Dnata",VLOOKUP(BOM!H388,'Yield &amp; Time'!A:M,13,0),B388="NK",VLOOKUP(H388,'Yield &amp; Time'!A:X,24,0))</f>
        <v>0.43333333333333335</v>
      </c>
      <c r="N388" s="35">
        <f t="shared" si="124"/>
        <v>4.615384615384615</v>
      </c>
      <c r="O388" s="1" t="str">
        <f>VLOOKUP(H388,'RM Used'!A:E,5,0)</f>
        <v>KG</v>
      </c>
      <c r="P388" s="11">
        <f>VLOOKUP(H388,'RM Used'!A:F,6,0)</f>
        <v>1.22</v>
      </c>
      <c r="Q388" s="11">
        <f t="shared" si="134"/>
        <v>5.6307692307692303</v>
      </c>
      <c r="R388" s="11">
        <f>IFERROR(IF(B388="Reynolds",VLOOKUP(H388,'Yield &amp; Time'!A:U,21,0),VLOOKUP(H388,'Yield &amp; Time'!A:L,12,0)),0)</f>
        <v>4.6716909216909217</v>
      </c>
      <c r="S388" s="11">
        <f t="shared" si="126"/>
        <v>3.1627347539847537</v>
      </c>
      <c r="T388" s="11">
        <f t="shared" si="127"/>
        <v>0.15572303072303073</v>
      </c>
      <c r="U388" s="11">
        <f>IF(A387=A388,0,VLOOKUP(A388,'Packing Time'!A:F,6,0))</f>
        <v>0.8</v>
      </c>
      <c r="V388" s="11">
        <f t="shared" si="118"/>
        <v>0.27079999999999999</v>
      </c>
      <c r="W388" s="11">
        <f t="shared" si="119"/>
        <v>1.3333333333333334E-2</v>
      </c>
      <c r="X388" s="11">
        <f t="shared" si="128"/>
        <v>5.493655606375607</v>
      </c>
      <c r="Y388" s="11">
        <f t="shared" si="120"/>
        <v>5.493655606375607</v>
      </c>
      <c r="Z388" s="37">
        <v>1</v>
      </c>
      <c r="AA388" s="36">
        <f t="shared" si="129"/>
        <v>4.615384615384615</v>
      </c>
      <c r="AB388" s="36">
        <f t="shared" si="130"/>
        <v>5.6307692307692303</v>
      </c>
      <c r="AC388" s="11">
        <f t="shared" si="131"/>
        <v>0.27049018249018253</v>
      </c>
      <c r="AD388" s="36">
        <f t="shared" si="121"/>
        <v>5.4936556063756061</v>
      </c>
      <c r="AE388" s="36" t="str">
        <f>VLOOKUP(H388,'Yield &amp; Time'!A:R,18,0)</f>
        <v>CHLORINE</v>
      </c>
      <c r="AF388" s="36">
        <f>IFERROR(VLOOKUP(AE388,'Chemical Cost'!A:D,4,0),0)</f>
        <v>2.7756518066439469E-2</v>
      </c>
      <c r="AG388" s="114">
        <f t="shared" si="132"/>
        <v>4.2702335486829945E-2</v>
      </c>
      <c r="AH388" s="36">
        <f t="shared" si="115"/>
        <v>4.2702335486829945E-2</v>
      </c>
      <c r="AI388" s="36">
        <f t="shared" si="122"/>
        <v>11.167127172631666</v>
      </c>
      <c r="AJ388" s="36">
        <f>IFERROR(VLOOKUP(A388,'All Products'!A:F,6,0),0)</f>
        <v>16.690000000000001</v>
      </c>
      <c r="AK388" s="36">
        <f>AJ388*Z388*J388</f>
        <v>12.362962962962964</v>
      </c>
      <c r="AL388" s="23"/>
      <c r="AM388" s="23">
        <v>1</v>
      </c>
      <c r="AN388" s="54" t="e">
        <v>#N/A</v>
      </c>
      <c r="AO388" s="47"/>
      <c r="AP388" s="4">
        <v>1.6</v>
      </c>
      <c r="AQ388" s="111">
        <f t="shared" si="133"/>
        <v>0.27049018249018253</v>
      </c>
      <c r="AR388">
        <f>_xlfn.XLOOKUP(F388,'RM Cost'!A:A,'RM Cost'!S:S)</f>
        <v>0</v>
      </c>
      <c r="AS388" t="str">
        <f>_xlfn.XLOOKUP(A388,[3]Sheet1!$B:$B,[3]Sheet1!$B:$B)</f>
        <v>1853CS</v>
      </c>
      <c r="AT388" t="str">
        <f>_xlfn.XLOOKUP(H388,'Yield &amp; Time'!A:A,'Yield &amp; Time'!O:O)</f>
        <v>Yes</v>
      </c>
    </row>
    <row r="389" spans="1:46" x14ac:dyDescent="0.25">
      <c r="A389" s="1" t="s">
        <v>110</v>
      </c>
      <c r="B389" s="2" t="s">
        <v>552</v>
      </c>
      <c r="C389" s="2" t="s">
        <v>111</v>
      </c>
      <c r="D389" s="2" t="s">
        <v>554</v>
      </c>
      <c r="E389" s="2">
        <v>2.7</v>
      </c>
      <c r="F389" s="1" t="str">
        <f>VLOOKUP(H389,'RM Used'!A:B,2,0)</f>
        <v>8929CS</v>
      </c>
      <c r="G389" s="1" t="str">
        <f>IFERROR(VLOOKUP(F389,'RM Cost'!A:B,2,0),"")</f>
        <v>GRANULATED SUGAR 1 X 25K</v>
      </c>
      <c r="H389" s="2" t="s">
        <v>1757</v>
      </c>
      <c r="I389" s="1" t="str">
        <f>VLOOKUP(F389,'RM Used'!B:D,3,0)</f>
        <v>RM-FOOD</v>
      </c>
      <c r="J389" s="66">
        <v>0.25925925925925924</v>
      </c>
      <c r="K389" s="35">
        <f>IF(I389="RM-FOOD",J389*E389,"")</f>
        <v>0.7</v>
      </c>
      <c r="L389" s="35">
        <f t="shared" si="125"/>
        <v>0.7</v>
      </c>
      <c r="M389" s="77" cm="1">
        <f t="array" ref="M389">_xlfn.IFS(BOM!I389="RM-PACKING","100%",B389="Reynolds",VLOOKUP(H389,'Yield &amp; Time'!A:V,22,0),BOM!B389="Dnata",VLOOKUP(BOM!H389,'Yield &amp; Time'!A:M,13,0),B389="NK",VLOOKUP(H389,'Yield &amp; Time'!A:X,24,0))</f>
        <v>1</v>
      </c>
      <c r="N389" s="35">
        <f>IFERROR(IF(I389="RM-FOOD",(E389*J389)/M389,1),0)</f>
        <v>0.7</v>
      </c>
      <c r="O389" s="1" t="str">
        <f>VLOOKUP(H389,'RM Used'!A:E,5,0)</f>
        <v>KG</v>
      </c>
      <c r="P389" s="11">
        <f>VLOOKUP(H389,'RM Used'!A:F,6,0)</f>
        <v>6.3E-2</v>
      </c>
      <c r="Q389" s="11">
        <f t="shared" si="134"/>
        <v>4.41E-2</v>
      </c>
      <c r="R389" s="11">
        <f>IFERROR(IF(B389="Reynolds",VLOOKUP(H389,'Yield &amp; Time'!A:U,21,0),VLOOKUP(H389,'Yield &amp; Time'!A:L,12,0)),0)</f>
        <v>0.16666666666666666</v>
      </c>
      <c r="S389" s="11">
        <f t="shared" si="126"/>
        <v>3.9491666666666661E-2</v>
      </c>
      <c r="T389" s="11">
        <f t="shared" si="127"/>
        <v>1.9444444444444444E-3</v>
      </c>
      <c r="U389" s="11">
        <f>IF(A388=A389,0,VLOOKUP(A389,'Packing Time'!A:F,6,0))</f>
        <v>0</v>
      </c>
      <c r="V389" s="11">
        <f>U389*AO$1</f>
        <v>0</v>
      </c>
      <c r="W389" s="11">
        <f>(U389*Z389)/60</f>
        <v>0</v>
      </c>
      <c r="X389" s="11">
        <f t="shared" si="128"/>
        <v>6.3186666666666655E-2</v>
      </c>
      <c r="Y389" s="11">
        <f>X389*Z389</f>
        <v>6.3186666666666655E-2</v>
      </c>
      <c r="Z389" s="37">
        <v>1</v>
      </c>
      <c r="AA389" s="36">
        <f t="shared" si="129"/>
        <v>0.7</v>
      </c>
      <c r="AB389" s="36">
        <f t="shared" si="130"/>
        <v>4.41E-2</v>
      </c>
      <c r="AC389" s="11">
        <f t="shared" si="131"/>
        <v>3.1111111111111114E-3</v>
      </c>
      <c r="AD389" s="36">
        <f>AC389*60*AO$1</f>
        <v>6.3186666666666669E-2</v>
      </c>
      <c r="AE389" s="36">
        <f>VLOOKUP(H389,'Yield &amp; Time'!A:R,18,0)</f>
        <v>0</v>
      </c>
      <c r="AF389" s="36">
        <f>IFERROR(VLOOKUP(AE389,'Chemical Cost'!A:D,4,0),0)</f>
        <v>0</v>
      </c>
      <c r="AG389" s="114">
        <f t="shared" si="132"/>
        <v>0</v>
      </c>
      <c r="AH389" s="36">
        <f t="shared" si="115"/>
        <v>0</v>
      </c>
      <c r="AI389" s="36">
        <f>IFERROR((Q389*Z389)+(Z389*X389)+AH389,0)</f>
        <v>0.10728666666666666</v>
      </c>
      <c r="AJ389" s="36">
        <f>IFERROR(VLOOKUP(A389,'All Products'!A:F,6,0),0)</f>
        <v>16.690000000000001</v>
      </c>
      <c r="AK389" s="36">
        <f>AJ389*Z389*J389</f>
        <v>4.3270370370370372</v>
      </c>
      <c r="AL389" s="23"/>
      <c r="AM389" s="23">
        <v>1</v>
      </c>
      <c r="AN389" s="54" t="e">
        <v>#N/A</v>
      </c>
      <c r="AO389" s="47"/>
      <c r="AP389" s="4">
        <v>1.6</v>
      </c>
      <c r="AQ389" s="111">
        <f t="shared" si="133"/>
        <v>3.1111111111111114E-3</v>
      </c>
      <c r="AR389">
        <f>_xlfn.XLOOKUP(F389,'RM Cost'!A:A,'RM Cost'!S:S)</f>
        <v>0</v>
      </c>
      <c r="AS389" t="str">
        <f>_xlfn.XLOOKUP(A389,[3]Sheet1!$B:$B,[3]Sheet1!$B:$B)</f>
        <v>1853CS</v>
      </c>
      <c r="AT389">
        <f>_xlfn.XLOOKUP(H389,'Yield &amp; Time'!A:A,'Yield &amp; Time'!F:F)</f>
        <v>0</v>
      </c>
    </row>
    <row r="390" spans="1:46" x14ac:dyDescent="0.25">
      <c r="A390" s="1" t="s">
        <v>110</v>
      </c>
      <c r="B390" s="2" t="s">
        <v>552</v>
      </c>
      <c r="C390" s="2" t="s">
        <v>111</v>
      </c>
      <c r="D390" s="2" t="s">
        <v>554</v>
      </c>
      <c r="E390" s="2">
        <v>2.7</v>
      </c>
      <c r="F390" s="1" t="str">
        <f>VLOOKUP(H390,'RM Used'!A:B,2,0)</f>
        <v>P0010</v>
      </c>
      <c r="G390" s="1" t="str">
        <f>IFERROR(VLOOKUP(F390,'RM Cost'!A:B,2,0),"")</f>
        <v>BUCKET 3L PJET</v>
      </c>
      <c r="H390" s="2" t="s">
        <v>4672</v>
      </c>
      <c r="I390" s="1" t="str">
        <f>VLOOKUP(F390,'RM Used'!B:D,3,0)</f>
        <v>RM-PACKING</v>
      </c>
      <c r="J390" s="66">
        <v>1</v>
      </c>
      <c r="K390" s="35" t="str">
        <f t="shared" si="117"/>
        <v/>
      </c>
      <c r="L390" s="35">
        <f t="shared" si="125"/>
        <v>0</v>
      </c>
      <c r="M390" s="77" t="str" cm="1">
        <f t="array" ref="M390">_xlfn.IFS(BOM!I390="RM-PACKING","100%",B390="Reynolds",VLOOKUP(H390,'Yield &amp; Time'!A:V,22,0),BOM!B390="Dnata",VLOOKUP(BOM!H390,'Yield &amp; Time'!A:M,13,0),B390="NK",VLOOKUP(H390,'Yield &amp; Time'!A:X,24,0))</f>
        <v>100%</v>
      </c>
      <c r="N390" s="35">
        <f t="shared" si="124"/>
        <v>1</v>
      </c>
      <c r="O390" s="1" t="str">
        <f>VLOOKUP(H390,'RM Used'!A:E,5,0)</f>
        <v>Count</v>
      </c>
      <c r="P390" s="11">
        <f>VLOOKUP(H390,'RM Used'!A:F,6,0)</f>
        <v>0.56000000000000005</v>
      </c>
      <c r="Q390" s="11">
        <f t="shared" si="134"/>
        <v>0.56000000000000005</v>
      </c>
      <c r="R390" s="11">
        <f>IFERROR(IF(B390="Reynolds",VLOOKUP(H390,'Yield &amp; Time'!A:U,21,0),VLOOKUP(H390,'Yield &amp; Time'!A:L,12,0)),0)</f>
        <v>0</v>
      </c>
      <c r="S390" s="11">
        <f t="shared" si="126"/>
        <v>0</v>
      </c>
      <c r="T390" s="11">
        <f t="shared" si="127"/>
        <v>0</v>
      </c>
      <c r="U390" s="11">
        <f>IF(A389=A390,0,VLOOKUP(A390,'Packing Time'!A:F,6,0))</f>
        <v>0</v>
      </c>
      <c r="V390" s="11">
        <f t="shared" si="118"/>
        <v>0</v>
      </c>
      <c r="W390" s="11">
        <f t="shared" si="119"/>
        <v>0</v>
      </c>
      <c r="X390" s="11">
        <f t="shared" si="128"/>
        <v>0</v>
      </c>
      <c r="Y390" s="11">
        <f t="shared" si="120"/>
        <v>0</v>
      </c>
      <c r="Z390" s="37">
        <v>1</v>
      </c>
      <c r="AA390" s="36">
        <f t="shared" si="129"/>
        <v>1</v>
      </c>
      <c r="AB390" s="36">
        <f t="shared" si="130"/>
        <v>0.56000000000000005</v>
      </c>
      <c r="AC390" s="11">
        <f t="shared" si="131"/>
        <v>0</v>
      </c>
      <c r="AD390" s="36">
        <f t="shared" si="121"/>
        <v>0</v>
      </c>
      <c r="AE390" s="36"/>
      <c r="AF390" s="36">
        <f>IFERROR(VLOOKUP(AE390,'Chemical Cost'!A:D,4,0),0)</f>
        <v>0</v>
      </c>
      <c r="AG390" s="114">
        <f t="shared" si="132"/>
        <v>0</v>
      </c>
      <c r="AH390" s="36">
        <f t="shared" si="115"/>
        <v>0</v>
      </c>
      <c r="AI390" s="36">
        <f t="shared" si="122"/>
        <v>0.56000000000000005</v>
      </c>
      <c r="AJ390" s="36">
        <f>IFERROR(VLOOKUP(A390,'All Products'!A:F,6,0),0)</f>
        <v>16.690000000000001</v>
      </c>
      <c r="AK390" s="36"/>
      <c r="AL390" s="23"/>
      <c r="AM390" s="23">
        <v>1</v>
      </c>
      <c r="AN390" s="54" t="e">
        <v>#N/A</v>
      </c>
      <c r="AO390" s="47"/>
      <c r="AP390" s="4">
        <v>1.6</v>
      </c>
      <c r="AQ390" s="111">
        <f t="shared" si="133"/>
        <v>0</v>
      </c>
      <c r="AR390">
        <f>_xlfn.XLOOKUP(F390,'RM Cost'!A:A,'RM Cost'!S:S)</f>
        <v>0</v>
      </c>
      <c r="AS390" t="str">
        <f>_xlfn.XLOOKUP(A390,[3]Sheet1!$B:$B,[3]Sheet1!$B:$B)</f>
        <v>1853CS</v>
      </c>
      <c r="AT390" t="e">
        <f>_xlfn.XLOOKUP(H390,'Yield &amp; Time'!A:A,'Yield &amp; Time'!F:F)</f>
        <v>#N/A</v>
      </c>
    </row>
    <row r="391" spans="1:46" x14ac:dyDescent="0.25">
      <c r="A391" s="1" t="s">
        <v>110</v>
      </c>
      <c r="B391" s="2" t="s">
        <v>552</v>
      </c>
      <c r="C391" s="2" t="s">
        <v>111</v>
      </c>
      <c r="D391" s="2" t="s">
        <v>554</v>
      </c>
      <c r="E391" s="2">
        <v>2.7</v>
      </c>
      <c r="F391" s="1" t="str">
        <f>VLOOKUP(H391,'RM Used'!A:B,2,0)</f>
        <v>P0026</v>
      </c>
      <c r="G391" s="1" t="str">
        <f>IFERROR(VLOOKUP(F391,'RM Cost'!A:B,2,0),"")</f>
        <v>LID 2.2L PJET 2.2L-3.8L</v>
      </c>
      <c r="H391" s="2" t="s">
        <v>4673</v>
      </c>
      <c r="I391" s="1" t="str">
        <f>VLOOKUP(F391,'RM Used'!B:D,3,0)</f>
        <v>RM-PACKING</v>
      </c>
      <c r="J391" s="66">
        <v>1</v>
      </c>
      <c r="K391" s="35" t="str">
        <f>IF(I391="RM-FOOD",J391*E391,"")</f>
        <v/>
      </c>
      <c r="L391" s="35">
        <f t="shared" si="125"/>
        <v>0</v>
      </c>
      <c r="M391" s="77" t="str" cm="1">
        <f t="array" ref="M391">_xlfn.IFS(BOM!I391="RM-PACKING","100%",B391="Reynolds",VLOOKUP(H391,'Yield &amp; Time'!A:V,22,0),BOM!B391="Dnata",VLOOKUP(BOM!H391,'Yield &amp; Time'!A:M,13,0),B391="NK",VLOOKUP(H391,'Yield &amp; Time'!A:X,24,0))</f>
        <v>100%</v>
      </c>
      <c r="N391" s="35">
        <f>IFERROR(IF(I391="RM-FOOD",(E391*J391)/M391,1),0)</f>
        <v>1</v>
      </c>
      <c r="O391" s="1" t="str">
        <f>VLOOKUP(H391,'RM Used'!A:E,5,0)</f>
        <v>Count</v>
      </c>
      <c r="P391" s="11">
        <f>VLOOKUP(H391,'RM Used'!A:F,6,0)</f>
        <v>0.16</v>
      </c>
      <c r="Q391" s="11">
        <f t="shared" si="134"/>
        <v>0.16</v>
      </c>
      <c r="R391" s="11">
        <f>IFERROR(IF(B391="Reynolds",VLOOKUP(H391,'Yield &amp; Time'!A:U,21,0),VLOOKUP(H391,'Yield &amp; Time'!A:L,12,0)),0)</f>
        <v>0</v>
      </c>
      <c r="S391" s="11">
        <f t="shared" si="126"/>
        <v>0</v>
      </c>
      <c r="T391" s="11">
        <f t="shared" si="127"/>
        <v>0</v>
      </c>
      <c r="U391" s="11">
        <f>IF(A390=A391,0,VLOOKUP(A391,'Packing Time'!A:F,6,0))</f>
        <v>0</v>
      </c>
      <c r="V391" s="11">
        <f>U391*AO$1</f>
        <v>0</v>
      </c>
      <c r="W391" s="11">
        <f>(U391*Z391)/60</f>
        <v>0</v>
      </c>
      <c r="X391" s="11">
        <f t="shared" si="128"/>
        <v>0</v>
      </c>
      <c r="Y391" s="11">
        <f>X391*Z391</f>
        <v>0</v>
      </c>
      <c r="Z391" s="37">
        <v>1</v>
      </c>
      <c r="AA391" s="36">
        <f t="shared" si="129"/>
        <v>1</v>
      </c>
      <c r="AB391" s="36">
        <f t="shared" si="130"/>
        <v>0.16</v>
      </c>
      <c r="AC391" s="11">
        <f t="shared" si="131"/>
        <v>0</v>
      </c>
      <c r="AD391" s="36">
        <f>AC391*60*AO$1</f>
        <v>0</v>
      </c>
      <c r="AE391" s="36"/>
      <c r="AF391" s="36">
        <f>IFERROR(VLOOKUP(AE391,'Chemical Cost'!A:D,4,0),0)</f>
        <v>0</v>
      </c>
      <c r="AG391" s="114">
        <f t="shared" si="132"/>
        <v>0</v>
      </c>
      <c r="AH391" s="36">
        <f>AF391*AA391/3</f>
        <v>0</v>
      </c>
      <c r="AI391" s="36">
        <f>IFERROR((Q391*Z391)+(Z391*X391)+AH391,0)</f>
        <v>0.16</v>
      </c>
      <c r="AJ391" s="36">
        <f>IFERROR(VLOOKUP(A391,'All Products'!A:F,6,0),0)</f>
        <v>16.690000000000001</v>
      </c>
      <c r="AK391" s="36"/>
      <c r="AL391" s="23"/>
      <c r="AM391" s="23">
        <v>1</v>
      </c>
      <c r="AN391" s="54" t="e">
        <v>#N/A</v>
      </c>
      <c r="AO391" s="47"/>
      <c r="AP391" s="4">
        <v>1.6</v>
      </c>
      <c r="AQ391" s="111">
        <f t="shared" si="133"/>
        <v>0</v>
      </c>
      <c r="AR391">
        <f>_xlfn.XLOOKUP(F391,'RM Cost'!A:A,'RM Cost'!S:S)</f>
        <v>0</v>
      </c>
      <c r="AS391" t="str">
        <f>_xlfn.XLOOKUP(A391,[3]Sheet1!$B:$B,[3]Sheet1!$B:$B)</f>
        <v>1853CS</v>
      </c>
      <c r="AT391" t="e">
        <f>_xlfn.XLOOKUP(H391,'Yield &amp; Time'!A:A,'Yield &amp; Time'!F:F)</f>
        <v>#N/A</v>
      </c>
    </row>
    <row r="392" spans="1:46" x14ac:dyDescent="0.25">
      <c r="A392" s="62" t="s">
        <v>642</v>
      </c>
      <c r="B392" s="2" t="s">
        <v>552</v>
      </c>
      <c r="C392" s="2" t="s">
        <v>643</v>
      </c>
      <c r="D392" s="2" t="s">
        <v>554</v>
      </c>
      <c r="E392" s="2">
        <v>2.7</v>
      </c>
      <c r="F392" s="1" t="str">
        <f>VLOOKUP(H392,'RM Used'!A:B,2,0)</f>
        <v>2860CS</v>
      </c>
      <c r="G392" s="1" t="str">
        <f>IFERROR(VLOOKUP(F392,'RM Cost'!A:B,2,0),"")</f>
        <v>RM - WATERMELON x 5EA</v>
      </c>
      <c r="H392" s="2" t="s">
        <v>1466</v>
      </c>
      <c r="I392" s="1" t="str">
        <f>VLOOKUP(F392,'RM Used'!B:D,3,0)</f>
        <v>RM-FOOD</v>
      </c>
      <c r="J392" s="66">
        <v>0.7407407407407407</v>
      </c>
      <c r="K392" s="35">
        <f t="shared" si="117"/>
        <v>2</v>
      </c>
      <c r="L392" s="35">
        <f t="shared" si="125"/>
        <v>2</v>
      </c>
      <c r="M392" s="77" cm="1">
        <f t="array" ref="M392">_xlfn.IFS(BOM!I392="RM-PACKING","100%",B392="Reynolds",VLOOKUP(H392,'Yield &amp; Time'!A:V,22,0),BOM!B392="Dnata",VLOOKUP(BOM!H392,'Yield &amp; Time'!A:M,13,0),B392="NK",VLOOKUP(H392,'Yield &amp; Time'!A:X,24,0))</f>
        <v>0.58095238095238089</v>
      </c>
      <c r="N392" s="35">
        <f t="shared" si="124"/>
        <v>3.4426229508196724</v>
      </c>
      <c r="O392" s="1" t="str">
        <f>VLOOKUP(H392,'RM Used'!A:E,5,0)</f>
        <v>KG</v>
      </c>
      <c r="P392" s="11">
        <f>VLOOKUP(H392,'RM Used'!A:F,6,0)</f>
        <v>0.85</v>
      </c>
      <c r="Q392" s="11">
        <f t="shared" si="134"/>
        <v>2.9262295081967213</v>
      </c>
      <c r="R392" s="11">
        <f>IFERROR(IF(B392="Reynolds",VLOOKUP(H392,'Yield &amp; Time'!A:U,21,0),VLOOKUP(H392,'Yield &amp; Time'!A:L,12,0)),0)</f>
        <v>2.3868055555555552</v>
      </c>
      <c r="S392" s="11">
        <f t="shared" si="126"/>
        <v>1.6158673611111107</v>
      </c>
      <c r="T392" s="11">
        <f t="shared" si="127"/>
        <v>7.9560185185185178E-2</v>
      </c>
      <c r="U392" s="11">
        <f>IF(A391=A392,0,VLOOKUP(A392,'Packing Time'!A:F,6,0))</f>
        <v>0.8</v>
      </c>
      <c r="V392" s="11">
        <f t="shared" si="118"/>
        <v>0.27079999999999999</v>
      </c>
      <c r="W392" s="11">
        <f t="shared" si="119"/>
        <v>1.3333333333333334E-2</v>
      </c>
      <c r="X392" s="11">
        <f t="shared" si="128"/>
        <v>2.6413343055555547</v>
      </c>
      <c r="Y392" s="11">
        <f t="shared" si="120"/>
        <v>2.6413343055555547</v>
      </c>
      <c r="Z392" s="37">
        <v>1</v>
      </c>
      <c r="AA392" s="36">
        <f t="shared" si="129"/>
        <v>3.4426229508196724</v>
      </c>
      <c r="AB392" s="36">
        <f t="shared" si="130"/>
        <v>2.9262295081967213</v>
      </c>
      <c r="AC392" s="11">
        <f t="shared" si="131"/>
        <v>0.1300509259259259</v>
      </c>
      <c r="AD392" s="36">
        <f t="shared" si="121"/>
        <v>2.6413343055555547</v>
      </c>
      <c r="AE392" s="36" t="str">
        <f>VLOOKUP(H392,'Yield &amp; Time'!A:R,18,0)</f>
        <v>CHLORINE</v>
      </c>
      <c r="AF392" s="36">
        <f>IFERROR(VLOOKUP(AE392,'Chemical Cost'!A:D,4,0),0)</f>
        <v>2.7756518066439469E-2</v>
      </c>
      <c r="AG392" s="114">
        <f t="shared" si="132"/>
        <v>3.1851742043455131E-2</v>
      </c>
      <c r="AH392" s="36">
        <f t="shared" si="115"/>
        <v>3.1851742043455131E-2</v>
      </c>
      <c r="AI392" s="36">
        <f t="shared" si="122"/>
        <v>5.5994155557957308</v>
      </c>
      <c r="AJ392" s="36">
        <f>IFERROR(VLOOKUP(A392,'All Products'!A:F,6,0),0)</f>
        <v>6.93</v>
      </c>
      <c r="AK392" s="36">
        <f>AJ392*Z392*J392</f>
        <v>5.1333333333333329</v>
      </c>
      <c r="AL392" s="23"/>
      <c r="AM392" s="23">
        <v>1</v>
      </c>
      <c r="AN392" s="54" t="e">
        <v>#N/A</v>
      </c>
      <c r="AO392" s="47"/>
      <c r="AP392" s="4">
        <v>1.4</v>
      </c>
      <c r="AQ392" s="111">
        <f t="shared" si="133"/>
        <v>0.1300509259259259</v>
      </c>
      <c r="AR392">
        <f>_xlfn.XLOOKUP(F392,'RM Cost'!A:A,'RM Cost'!S:S)</f>
        <v>0</v>
      </c>
      <c r="AS392" t="str">
        <f>_xlfn.XLOOKUP(A392,[3]Sheet1!$B:$B,[3]Sheet1!$B:$B)</f>
        <v>1860CS</v>
      </c>
      <c r="AT392" t="str">
        <f>_xlfn.XLOOKUP(H392,'Yield &amp; Time'!A:A,'Yield &amp; Time'!O:O)</f>
        <v>Yes</v>
      </c>
    </row>
    <row r="393" spans="1:46" x14ac:dyDescent="0.25">
      <c r="A393" s="62" t="s">
        <v>642</v>
      </c>
      <c r="B393" s="2" t="s">
        <v>552</v>
      </c>
      <c r="C393" s="2" t="s">
        <v>643</v>
      </c>
      <c r="D393" s="2" t="s">
        <v>554</v>
      </c>
      <c r="E393" s="2">
        <v>2.7</v>
      </c>
      <c r="F393" s="1" t="str">
        <f>VLOOKUP(H393,'RM Used'!A:B,2,0)</f>
        <v>8929CS</v>
      </c>
      <c r="G393" s="1" t="str">
        <f>IFERROR(VLOOKUP(F393,'RM Cost'!A:B,2,0),"")</f>
        <v>GRANULATED SUGAR 1 X 25K</v>
      </c>
      <c r="H393" s="2" t="s">
        <v>1757</v>
      </c>
      <c r="I393" s="1" t="str">
        <f>VLOOKUP(F393,'RM Used'!B:D,3,0)</f>
        <v>RM-FOOD</v>
      </c>
      <c r="J393" s="66">
        <v>0.25925925925925924</v>
      </c>
      <c r="K393" s="35">
        <f>IF(I393="RM-FOOD",J393*E393,"")</f>
        <v>0.7</v>
      </c>
      <c r="L393" s="35">
        <f t="shared" si="125"/>
        <v>0.7</v>
      </c>
      <c r="M393" s="77" cm="1">
        <f t="array" ref="M393">_xlfn.IFS(BOM!I393="RM-PACKING","100%",B393="Reynolds",VLOOKUP(H393,'Yield &amp; Time'!A:V,22,0),BOM!B393="Dnata",VLOOKUP(BOM!H393,'Yield &amp; Time'!A:M,13,0),B393="NK",VLOOKUP(H393,'Yield &amp; Time'!A:X,24,0))</f>
        <v>1</v>
      </c>
      <c r="N393" s="35">
        <f>IFERROR(IF(I393="RM-FOOD",(E393*J393)/M393,1),0)</f>
        <v>0.7</v>
      </c>
      <c r="O393" s="1" t="str">
        <f>VLOOKUP(H393,'RM Used'!A:E,5,0)</f>
        <v>KG</v>
      </c>
      <c r="P393" s="11">
        <f>VLOOKUP(H393,'RM Used'!A:F,6,0)</f>
        <v>6.3E-2</v>
      </c>
      <c r="Q393" s="11">
        <f t="shared" si="134"/>
        <v>4.41E-2</v>
      </c>
      <c r="R393" s="11">
        <f>IFERROR(IF(B393="Reynolds",VLOOKUP(H393,'Yield &amp; Time'!A:U,21,0),VLOOKUP(H393,'Yield &amp; Time'!A:L,12,0)),0)</f>
        <v>0.16666666666666666</v>
      </c>
      <c r="S393" s="11">
        <f t="shared" si="126"/>
        <v>3.9491666666666661E-2</v>
      </c>
      <c r="T393" s="11">
        <f t="shared" si="127"/>
        <v>1.9444444444444444E-3</v>
      </c>
      <c r="U393" s="11">
        <f>IF(A392=A393,0,VLOOKUP(A393,'Packing Time'!A:F,6,0))</f>
        <v>0</v>
      </c>
      <c r="V393" s="11">
        <f>U393*AO$1</f>
        <v>0</v>
      </c>
      <c r="W393" s="11">
        <f>(U393*Z393)/60</f>
        <v>0</v>
      </c>
      <c r="X393" s="11">
        <f t="shared" si="128"/>
        <v>5.5288333333333321E-2</v>
      </c>
      <c r="Y393" s="11">
        <f>X393*Z393</f>
        <v>5.5288333333333321E-2</v>
      </c>
      <c r="Z393" s="37">
        <v>1</v>
      </c>
      <c r="AA393" s="36">
        <f t="shared" si="129"/>
        <v>0.7</v>
      </c>
      <c r="AB393" s="36">
        <f t="shared" si="130"/>
        <v>4.41E-2</v>
      </c>
      <c r="AC393" s="11">
        <f t="shared" si="131"/>
        <v>2.7222222222222218E-3</v>
      </c>
      <c r="AD393" s="36">
        <f>AC393*60*AO$1</f>
        <v>5.5288333333333314E-2</v>
      </c>
      <c r="AE393" s="36">
        <f>VLOOKUP(H393,'Yield &amp; Time'!A:R,18,0)</f>
        <v>0</v>
      </c>
      <c r="AF393" s="36">
        <f>IFERROR(VLOOKUP(AE393,'Chemical Cost'!A:D,4,0),0)</f>
        <v>0</v>
      </c>
      <c r="AG393" s="114">
        <f t="shared" si="132"/>
        <v>0</v>
      </c>
      <c r="AH393" s="36">
        <f t="shared" si="115"/>
        <v>0</v>
      </c>
      <c r="AI393" s="36">
        <f>IFERROR((Q393*Z393)+(Z393*X393)+AH393,0)</f>
        <v>9.9388333333333329E-2</v>
      </c>
      <c r="AJ393" s="36">
        <f>IFERROR(VLOOKUP(A393,'All Products'!A:F,6,0),0)</f>
        <v>6.93</v>
      </c>
      <c r="AK393" s="36">
        <f>AJ393*Z393*J393</f>
        <v>1.7966666666666664</v>
      </c>
      <c r="AL393" s="23"/>
      <c r="AM393" s="23">
        <v>1</v>
      </c>
      <c r="AN393" s="54" t="e">
        <v>#N/A</v>
      </c>
      <c r="AO393" s="47"/>
      <c r="AP393" s="4">
        <v>1.4</v>
      </c>
      <c r="AQ393" s="111">
        <f t="shared" si="133"/>
        <v>2.7222222222222218E-3</v>
      </c>
      <c r="AR393">
        <f>_xlfn.XLOOKUP(F393,'RM Cost'!A:A,'RM Cost'!S:S)</f>
        <v>0</v>
      </c>
      <c r="AS393" t="str">
        <f>_xlfn.XLOOKUP(A393,[3]Sheet1!$B:$B,[3]Sheet1!$B:$B)</f>
        <v>1860CS</v>
      </c>
      <c r="AT393">
        <f>_xlfn.XLOOKUP(H393,'Yield &amp; Time'!A:A,'Yield &amp; Time'!F:F)</f>
        <v>0</v>
      </c>
    </row>
    <row r="394" spans="1:46" x14ac:dyDescent="0.25">
      <c r="A394" s="62" t="s">
        <v>642</v>
      </c>
      <c r="B394" s="2" t="s">
        <v>552</v>
      </c>
      <c r="C394" s="2" t="s">
        <v>643</v>
      </c>
      <c r="D394" s="2" t="s">
        <v>554</v>
      </c>
      <c r="E394" s="2">
        <v>2.7</v>
      </c>
      <c r="F394" s="1" t="str">
        <f>VLOOKUP(H394,'RM Used'!A:B,2,0)</f>
        <v>P0010</v>
      </c>
      <c r="G394" s="1" t="str">
        <f>IFERROR(VLOOKUP(F394,'RM Cost'!A:B,2,0),"")</f>
        <v>BUCKET 3L PJET</v>
      </c>
      <c r="H394" s="2" t="s">
        <v>4672</v>
      </c>
      <c r="I394" s="1" t="str">
        <f>VLOOKUP(F394,'RM Used'!B:D,3,0)</f>
        <v>RM-PACKING</v>
      </c>
      <c r="J394" s="66">
        <v>1</v>
      </c>
      <c r="K394" s="35" t="str">
        <f t="shared" si="117"/>
        <v/>
      </c>
      <c r="L394" s="35">
        <f t="shared" si="125"/>
        <v>0</v>
      </c>
      <c r="M394" s="77" t="str" cm="1">
        <f t="array" ref="M394">_xlfn.IFS(BOM!I394="RM-PACKING","100%",B394="Reynolds",VLOOKUP(H394,'Yield &amp; Time'!A:V,22,0),BOM!B394="Dnata",VLOOKUP(BOM!H394,'Yield &amp; Time'!A:M,13,0),B394="NK",VLOOKUP(H394,'Yield &amp; Time'!A:X,24,0))</f>
        <v>100%</v>
      </c>
      <c r="N394" s="35">
        <f t="shared" si="124"/>
        <v>1</v>
      </c>
      <c r="O394" s="1" t="str">
        <f>VLOOKUP(H394,'RM Used'!A:E,5,0)</f>
        <v>Count</v>
      </c>
      <c r="P394" s="11">
        <f>VLOOKUP(H394,'RM Used'!A:F,6,0)</f>
        <v>0.56000000000000005</v>
      </c>
      <c r="Q394" s="11">
        <f t="shared" si="134"/>
        <v>0.56000000000000005</v>
      </c>
      <c r="R394" s="11">
        <f>IFERROR(IF(B394="Reynolds",VLOOKUP(H394,'Yield &amp; Time'!A:U,21,0),VLOOKUP(H394,'Yield &amp; Time'!A:L,12,0)),0)</f>
        <v>0</v>
      </c>
      <c r="S394" s="11">
        <f t="shared" si="126"/>
        <v>0</v>
      </c>
      <c r="T394" s="11">
        <f t="shared" si="127"/>
        <v>0</v>
      </c>
      <c r="U394" s="11">
        <f>IF(A393=A394,0,VLOOKUP(A394,'Packing Time'!A:F,6,0))</f>
        <v>0</v>
      </c>
      <c r="V394" s="11">
        <f t="shared" si="118"/>
        <v>0</v>
      </c>
      <c r="W394" s="11">
        <f t="shared" si="119"/>
        <v>0</v>
      </c>
      <c r="X394" s="11">
        <f t="shared" si="128"/>
        <v>0</v>
      </c>
      <c r="Y394" s="11">
        <f t="shared" si="120"/>
        <v>0</v>
      </c>
      <c r="Z394" s="37">
        <v>1</v>
      </c>
      <c r="AA394" s="36">
        <f t="shared" si="129"/>
        <v>1</v>
      </c>
      <c r="AB394" s="36">
        <f t="shared" si="130"/>
        <v>0.56000000000000005</v>
      </c>
      <c r="AC394" s="11">
        <f t="shared" si="131"/>
        <v>0</v>
      </c>
      <c r="AD394" s="36">
        <f t="shared" si="121"/>
        <v>0</v>
      </c>
      <c r="AE394" s="36"/>
      <c r="AF394" s="36">
        <f>IFERROR(VLOOKUP(AE394,'Chemical Cost'!A:D,4,0),0)</f>
        <v>0</v>
      </c>
      <c r="AG394" s="114">
        <f t="shared" si="132"/>
        <v>0</v>
      </c>
      <c r="AH394" s="36">
        <f t="shared" si="115"/>
        <v>0</v>
      </c>
      <c r="AI394" s="36">
        <f t="shared" si="122"/>
        <v>0.56000000000000005</v>
      </c>
      <c r="AJ394" s="36">
        <f>IFERROR(VLOOKUP(A394,'All Products'!A:F,6,0),0)</f>
        <v>6.93</v>
      </c>
      <c r="AK394" s="36"/>
      <c r="AL394" s="23"/>
      <c r="AM394" s="23">
        <v>1</v>
      </c>
      <c r="AN394" s="54" t="e">
        <v>#N/A</v>
      </c>
      <c r="AO394" s="47"/>
      <c r="AP394" s="4">
        <v>1.4</v>
      </c>
      <c r="AQ394" s="111">
        <f t="shared" si="133"/>
        <v>0</v>
      </c>
      <c r="AR394">
        <f>_xlfn.XLOOKUP(F394,'RM Cost'!A:A,'RM Cost'!S:S)</f>
        <v>0</v>
      </c>
      <c r="AS394" t="str">
        <f>_xlfn.XLOOKUP(A394,[3]Sheet1!$B:$B,[3]Sheet1!$B:$B)</f>
        <v>1860CS</v>
      </c>
      <c r="AT394" t="e">
        <f>_xlfn.XLOOKUP(H394,'Yield &amp; Time'!A:A,'Yield &amp; Time'!F:F)</f>
        <v>#N/A</v>
      </c>
    </row>
    <row r="395" spans="1:46" x14ac:dyDescent="0.25">
      <c r="A395" s="62" t="s">
        <v>642</v>
      </c>
      <c r="B395" s="2" t="s">
        <v>552</v>
      </c>
      <c r="C395" s="2" t="s">
        <v>643</v>
      </c>
      <c r="D395" s="2" t="s">
        <v>554</v>
      </c>
      <c r="E395" s="2">
        <v>2.7</v>
      </c>
      <c r="F395" s="1" t="str">
        <f>VLOOKUP(H395,'RM Used'!A:B,2,0)</f>
        <v>P0026</v>
      </c>
      <c r="G395" s="1" t="str">
        <f>IFERROR(VLOOKUP(F395,'RM Cost'!A:B,2,0),"")</f>
        <v>LID 2.2L PJET 2.2L-3.8L</v>
      </c>
      <c r="H395" s="2" t="s">
        <v>4673</v>
      </c>
      <c r="I395" s="1" t="str">
        <f>VLOOKUP(F395,'RM Used'!B:D,3,0)</f>
        <v>RM-PACKING</v>
      </c>
      <c r="J395" s="66">
        <v>1</v>
      </c>
      <c r="K395" s="35" t="str">
        <f>IF(I395="RM-FOOD",J395*E395,"")</f>
        <v/>
      </c>
      <c r="L395" s="35">
        <f t="shared" si="125"/>
        <v>0</v>
      </c>
      <c r="M395" s="77" t="str" cm="1">
        <f t="array" ref="M395">_xlfn.IFS(BOM!I395="RM-PACKING","100%",B395="Reynolds",VLOOKUP(H395,'Yield &amp; Time'!A:V,22,0),BOM!B395="Dnata",VLOOKUP(BOM!H395,'Yield &amp; Time'!A:M,13,0),B395="NK",VLOOKUP(H395,'Yield &amp; Time'!A:X,24,0))</f>
        <v>100%</v>
      </c>
      <c r="N395" s="35">
        <f>IFERROR(IF(I395="RM-FOOD",(E395*J395)/M395,1),0)</f>
        <v>1</v>
      </c>
      <c r="O395" s="1" t="str">
        <f>VLOOKUP(H395,'RM Used'!A:E,5,0)</f>
        <v>Count</v>
      </c>
      <c r="P395" s="11">
        <f>VLOOKUP(H395,'RM Used'!A:F,6,0)</f>
        <v>0.16</v>
      </c>
      <c r="Q395" s="11">
        <f t="shared" si="134"/>
        <v>0.16</v>
      </c>
      <c r="R395" s="11">
        <f>IFERROR(IF(B395="Reynolds",VLOOKUP(H395,'Yield &amp; Time'!A:U,21,0),VLOOKUP(H395,'Yield &amp; Time'!A:L,12,0)),0)</f>
        <v>0</v>
      </c>
      <c r="S395" s="11">
        <f t="shared" si="126"/>
        <v>0</v>
      </c>
      <c r="T395" s="11">
        <f t="shared" si="127"/>
        <v>0</v>
      </c>
      <c r="U395" s="11">
        <f>IF(A394=A395,0,VLOOKUP(A395,'Packing Time'!A:F,6,0))</f>
        <v>0</v>
      </c>
      <c r="V395" s="11">
        <f>U395*AO$1</f>
        <v>0</v>
      </c>
      <c r="W395" s="11">
        <f>(U395*Z395)/60</f>
        <v>0</v>
      </c>
      <c r="X395" s="11">
        <f t="shared" si="128"/>
        <v>0</v>
      </c>
      <c r="Y395" s="11">
        <f>X395*Z395</f>
        <v>0</v>
      </c>
      <c r="Z395" s="37">
        <v>1</v>
      </c>
      <c r="AA395" s="36">
        <f t="shared" si="129"/>
        <v>1</v>
      </c>
      <c r="AB395" s="36">
        <f t="shared" si="130"/>
        <v>0.16</v>
      </c>
      <c r="AC395" s="11">
        <f t="shared" si="131"/>
        <v>0</v>
      </c>
      <c r="AD395" s="36">
        <f>AC395*60*AO$1</f>
        <v>0</v>
      </c>
      <c r="AE395" s="36"/>
      <c r="AF395" s="36">
        <f>IFERROR(VLOOKUP(AE395,'Chemical Cost'!A:D,4,0),0)</f>
        <v>0</v>
      </c>
      <c r="AG395" s="114">
        <f t="shared" si="132"/>
        <v>0</v>
      </c>
      <c r="AH395" s="36">
        <f>AF395*AA395/3</f>
        <v>0</v>
      </c>
      <c r="AI395" s="36">
        <f>IFERROR((Q395*Z395)+(Z395*X395)+AH395,0)</f>
        <v>0.16</v>
      </c>
      <c r="AJ395" s="36">
        <f>IFERROR(VLOOKUP(A395,'All Products'!A:F,6,0),0)</f>
        <v>6.93</v>
      </c>
      <c r="AK395" s="36"/>
      <c r="AL395" s="23"/>
      <c r="AM395" s="23">
        <v>1</v>
      </c>
      <c r="AN395" s="54" t="e">
        <v>#N/A</v>
      </c>
      <c r="AO395" s="47"/>
      <c r="AP395" s="4">
        <v>1.4</v>
      </c>
      <c r="AQ395" s="111">
        <f t="shared" si="133"/>
        <v>0</v>
      </c>
      <c r="AR395">
        <f>_xlfn.XLOOKUP(F395,'RM Cost'!A:A,'RM Cost'!S:S)</f>
        <v>0</v>
      </c>
      <c r="AS395" t="str">
        <f>_xlfn.XLOOKUP(A395,[3]Sheet1!$B:$B,[3]Sheet1!$B:$B)</f>
        <v>1860CS</v>
      </c>
      <c r="AT395" t="e">
        <f>_xlfn.XLOOKUP(H395,'Yield &amp; Time'!A:A,'Yield &amp; Time'!F:F)</f>
        <v>#N/A</v>
      </c>
    </row>
    <row r="396" spans="1:46" x14ac:dyDescent="0.25">
      <c r="A396" s="1" t="s">
        <v>644</v>
      </c>
      <c r="B396" s="2" t="s">
        <v>552</v>
      </c>
      <c r="C396" s="2" t="s">
        <v>645</v>
      </c>
      <c r="D396" s="2" t="s">
        <v>554</v>
      </c>
      <c r="E396" s="2">
        <v>2</v>
      </c>
      <c r="F396" s="1" t="str">
        <f>VLOOKUP(H396,'RM Used'!A:B,2,0)</f>
        <v>0930CS</v>
      </c>
      <c r="G396" s="1" t="str">
        <f>IFERROR(VLOOKUP(F396,'RM Cost'!A:B,2,0),"")</f>
        <v>RM - COURGETTE STANDARD</v>
      </c>
      <c r="H396" s="2" t="s">
        <v>1439</v>
      </c>
      <c r="I396" s="1" t="str">
        <f>VLOOKUP(F396,'RM Used'!B:D,3,0)</f>
        <v>RM-FOOD</v>
      </c>
      <c r="J396" s="66">
        <v>1</v>
      </c>
      <c r="K396" s="35">
        <f t="shared" si="117"/>
        <v>2</v>
      </c>
      <c r="L396" s="35">
        <f t="shared" si="125"/>
        <v>2</v>
      </c>
      <c r="M396" s="77" cm="1">
        <f t="array" ref="M396">_xlfn.IFS(BOM!I396="RM-PACKING","100%",B396="Reynolds",VLOOKUP(H396,'Yield &amp; Time'!A:V,22,0),BOM!B396="Dnata",VLOOKUP(BOM!H396,'Yield &amp; Time'!A:M,13,0),B396="NK",VLOOKUP(H396,'Yield &amp; Time'!A:X,24,0))</f>
        <v>0</v>
      </c>
      <c r="N396" s="35">
        <f t="shared" si="124"/>
        <v>0</v>
      </c>
      <c r="O396" s="1" t="str">
        <f>VLOOKUP(H396,'RM Used'!A:E,5,0)</f>
        <v>KG</v>
      </c>
      <c r="P396" s="11">
        <f>VLOOKUP(H396,'RM Used'!A:F,6,0)</f>
        <v>1.1000000000000001</v>
      </c>
      <c r="Q396" s="11">
        <f t="shared" si="134"/>
        <v>0</v>
      </c>
      <c r="R396" s="11">
        <f>IFERROR(IF(B396="Reynolds",VLOOKUP(H396,'Yield &amp; Time'!A:U,21,0),VLOOKUP(H396,'Yield &amp; Time'!A:L,12,0)),0)</f>
        <v>0.1</v>
      </c>
      <c r="S396" s="11">
        <f t="shared" si="126"/>
        <v>6.7699999999999996E-2</v>
      </c>
      <c r="T396" s="11">
        <f t="shared" si="127"/>
        <v>3.3333333333333335E-3</v>
      </c>
      <c r="U396" s="11">
        <f>IF(A395=A396,0,VLOOKUP(A396,'Packing Time'!A:F,6,0))</f>
        <v>2.4299999999999997</v>
      </c>
      <c r="V396" s="11">
        <f t="shared" si="118"/>
        <v>0.82255499999999981</v>
      </c>
      <c r="W396" s="11">
        <f t="shared" si="119"/>
        <v>4.0499999999999994E-2</v>
      </c>
      <c r="X396" s="11">
        <f t="shared" si="128"/>
        <v>1.4244079999999999</v>
      </c>
      <c r="Y396" s="11">
        <f t="shared" si="120"/>
        <v>1.4244079999999999</v>
      </c>
      <c r="Z396" s="37">
        <v>1</v>
      </c>
      <c r="AA396" s="36">
        <f t="shared" si="129"/>
        <v>0</v>
      </c>
      <c r="AB396" s="36">
        <f t="shared" si="130"/>
        <v>0</v>
      </c>
      <c r="AC396" s="11">
        <f t="shared" si="131"/>
        <v>7.0133333333333325E-2</v>
      </c>
      <c r="AD396" s="36">
        <f t="shared" si="121"/>
        <v>1.4244079999999997</v>
      </c>
      <c r="AE396" s="36" t="str">
        <f>VLOOKUP(H396,'Yield &amp; Time'!A:R,18,0)</f>
        <v>CHLORINE</v>
      </c>
      <c r="AF396" s="36">
        <f>IFERROR(VLOOKUP(AE396,'Chemical Cost'!A:D,4,0),0)</f>
        <v>2.7756518066439469E-2</v>
      </c>
      <c r="AG396" s="114">
        <f t="shared" si="132"/>
        <v>0</v>
      </c>
      <c r="AH396" s="36">
        <f t="shared" si="115"/>
        <v>0</v>
      </c>
      <c r="AI396" s="36">
        <f t="shared" si="122"/>
        <v>1.4244079999999999</v>
      </c>
      <c r="AJ396" s="36">
        <f>IFERROR(VLOOKUP(A396,'All Products'!A:F,6,0),0)</f>
        <v>15.87</v>
      </c>
      <c r="AK396" s="36">
        <f>AJ396*Z396*J396</f>
        <v>15.87</v>
      </c>
      <c r="AL396" s="23"/>
      <c r="AM396" s="23">
        <v>1</v>
      </c>
      <c r="AN396" s="54" t="e">
        <v>#N/A</v>
      </c>
      <c r="AO396" s="47"/>
      <c r="AP396" s="4">
        <v>1.6</v>
      </c>
      <c r="AQ396" s="111">
        <f t="shared" si="133"/>
        <v>7.0133333333333325E-2</v>
      </c>
      <c r="AR396">
        <f>_xlfn.XLOOKUP(F396,'RM Cost'!A:A,'RM Cost'!S:S)</f>
        <v>1.1644775886170367</v>
      </c>
      <c r="AS396" t="e">
        <f>_xlfn.XLOOKUP(A396,[3]Sheet1!$B:$B,[3]Sheet1!$B:$B)</f>
        <v>#N/A</v>
      </c>
    </row>
    <row r="397" spans="1:46" x14ac:dyDescent="0.25">
      <c r="A397" s="1" t="s">
        <v>644</v>
      </c>
      <c r="B397" s="2" t="s">
        <v>552</v>
      </c>
      <c r="C397" s="2" t="s">
        <v>645</v>
      </c>
      <c r="D397" s="2" t="s">
        <v>554</v>
      </c>
      <c r="E397" s="2">
        <v>2</v>
      </c>
      <c r="F397" s="1" t="str">
        <f>VLOOKUP(H397,'RM Used'!A:B,2,0)</f>
        <v>P0020</v>
      </c>
      <c r="G397" s="1" t="str">
        <f>IFERROR(VLOOKUP(F397,'RM Cost'!A:B,2,0),"")</f>
        <v>PALE BLUE BAG 430X430MM</v>
      </c>
      <c r="H397" s="2" t="s">
        <v>1659</v>
      </c>
      <c r="I397" s="1" t="str">
        <f>VLOOKUP(F397,'RM Used'!B:D,3,0)</f>
        <v>RM-PACKING</v>
      </c>
      <c r="J397" s="66">
        <v>1</v>
      </c>
      <c r="K397" s="35" t="str">
        <f t="shared" si="117"/>
        <v/>
      </c>
      <c r="L397" s="35">
        <f t="shared" si="125"/>
        <v>0</v>
      </c>
      <c r="M397" s="77" t="str" cm="1">
        <f t="array" ref="M397">_xlfn.IFS(BOM!I397="RM-PACKING","100%",B397="Reynolds",VLOOKUP(H397,'Yield &amp; Time'!A:V,22,0),BOM!B397="Dnata",VLOOKUP(BOM!H397,'Yield &amp; Time'!A:M,13,0),B397="NK",VLOOKUP(H397,'Yield &amp; Time'!A:X,24,0))</f>
        <v>100%</v>
      </c>
      <c r="N397" s="35">
        <v>4</v>
      </c>
      <c r="O397" s="1" t="str">
        <f>VLOOKUP(H397,'RM Used'!A:E,5,0)</f>
        <v>Count</v>
      </c>
      <c r="P397" s="11">
        <f>VLOOKUP(H397,'RM Used'!A:F,6,0)</f>
        <v>0.09</v>
      </c>
      <c r="Q397" s="11">
        <f t="shared" si="134"/>
        <v>0.36</v>
      </c>
      <c r="R397" s="11">
        <f>IFERROR(IF(B397="Reynolds",VLOOKUP(H397,'Yield &amp; Time'!A:U,21,0),VLOOKUP(H397,'Yield &amp; Time'!A:L,12,0)),0)</f>
        <v>0</v>
      </c>
      <c r="S397" s="11">
        <f t="shared" si="126"/>
        <v>0</v>
      </c>
      <c r="T397" s="11">
        <f t="shared" si="127"/>
        <v>0</v>
      </c>
      <c r="U397" s="11">
        <f>IF(A396=A397,0,VLOOKUP(A397,'Packing Time'!A:F,6,0))</f>
        <v>0</v>
      </c>
      <c r="V397" s="11">
        <f t="shared" si="118"/>
        <v>0</v>
      </c>
      <c r="W397" s="11">
        <f t="shared" si="119"/>
        <v>0</v>
      </c>
      <c r="X397" s="11">
        <f t="shared" si="128"/>
        <v>0</v>
      </c>
      <c r="Y397" s="11">
        <f t="shared" si="120"/>
        <v>0</v>
      </c>
      <c r="Z397" s="37">
        <v>1</v>
      </c>
      <c r="AA397" s="36">
        <f t="shared" si="129"/>
        <v>4</v>
      </c>
      <c r="AB397" s="36">
        <f t="shared" si="130"/>
        <v>0.36</v>
      </c>
      <c r="AC397" s="11">
        <f t="shared" si="131"/>
        <v>0</v>
      </c>
      <c r="AD397" s="36">
        <f t="shared" si="121"/>
        <v>0</v>
      </c>
      <c r="AE397" s="36"/>
      <c r="AF397" s="36">
        <f>IFERROR(VLOOKUP(AE397,'Chemical Cost'!A:D,4,0),0)</f>
        <v>0</v>
      </c>
      <c r="AG397" s="114">
        <f t="shared" si="132"/>
        <v>0</v>
      </c>
      <c r="AH397" s="36">
        <f t="shared" si="115"/>
        <v>0</v>
      </c>
      <c r="AI397" s="36">
        <f t="shared" si="122"/>
        <v>0.36</v>
      </c>
      <c r="AJ397" s="36">
        <f>IFERROR(VLOOKUP(A397,'All Products'!A:F,6,0),0)</f>
        <v>15.87</v>
      </c>
      <c r="AK397" s="36"/>
      <c r="AL397" s="23"/>
      <c r="AM397" s="23">
        <v>1</v>
      </c>
      <c r="AN397" s="54" t="e">
        <v>#N/A</v>
      </c>
      <c r="AO397" s="47"/>
      <c r="AP397" s="4">
        <v>1.6</v>
      </c>
      <c r="AQ397" s="111">
        <f t="shared" si="133"/>
        <v>0</v>
      </c>
      <c r="AR397">
        <f>_xlfn.XLOOKUP(F397,'RM Cost'!A:A,'RM Cost'!S:S)</f>
        <v>0</v>
      </c>
      <c r="AS397" t="e">
        <f>_xlfn.XLOOKUP(A397,[3]Sheet1!$B:$B,[3]Sheet1!$B:$B)</f>
        <v>#N/A</v>
      </c>
    </row>
    <row r="398" spans="1:46" x14ac:dyDescent="0.25">
      <c r="A398" s="1" t="s">
        <v>644</v>
      </c>
      <c r="B398" s="2" t="s">
        <v>552</v>
      </c>
      <c r="C398" s="2" t="s">
        <v>645</v>
      </c>
      <c r="D398" s="2" t="s">
        <v>554</v>
      </c>
      <c r="E398" s="2">
        <v>2</v>
      </c>
      <c r="F398" s="1" t="str">
        <f>VLOOKUP(H398,'RM Used'!A:B,2,0)</f>
        <v>P0016</v>
      </c>
      <c r="G398" s="1" t="str">
        <f>IFERROR(VLOOKUP(F398,'RM Cost'!A:B,2,0),"")</f>
        <v>REY 40 30 BOX</v>
      </c>
      <c r="H398" s="2" t="s">
        <v>1332</v>
      </c>
      <c r="I398" s="1" t="str">
        <f>VLOOKUP(F398,'RM Used'!B:D,3,0)</f>
        <v>RM-PACKING</v>
      </c>
      <c r="J398" s="66">
        <v>1</v>
      </c>
      <c r="K398" s="35" t="str">
        <f t="shared" si="117"/>
        <v/>
      </c>
      <c r="L398" s="35">
        <f t="shared" si="125"/>
        <v>0</v>
      </c>
      <c r="M398" s="77" t="str" cm="1">
        <f t="array" ref="M398">_xlfn.IFS(BOM!I398="RM-PACKING","100%",B398="Reynolds",VLOOKUP(H398,'Yield &amp; Time'!A:V,22,0),BOM!B398="Dnata",VLOOKUP(BOM!H398,'Yield &amp; Time'!A:M,13,0),B398="NK",VLOOKUP(H398,'Yield &amp; Time'!A:X,24,0))</f>
        <v>100%</v>
      </c>
      <c r="N398" s="35">
        <f t="shared" ref="N398:N408" si="135">IFERROR(IF(I398="RM-FOOD",(E398*J398)/M398,1),0)</f>
        <v>1</v>
      </c>
      <c r="O398" s="1" t="str">
        <f>VLOOKUP(H398,'RM Used'!A:E,5,0)</f>
        <v>Count</v>
      </c>
      <c r="P398" s="11">
        <f>VLOOKUP(H398,'RM Used'!A:F,6,0)</f>
        <v>0.28000000000000003</v>
      </c>
      <c r="Q398" s="11">
        <f t="shared" si="134"/>
        <v>0.28000000000000003</v>
      </c>
      <c r="R398" s="11">
        <f>IFERROR(IF(B398="Reynolds",VLOOKUP(H398,'Yield &amp; Time'!A:U,21,0),VLOOKUP(H398,'Yield &amp; Time'!A:L,12,0)),0)</f>
        <v>0</v>
      </c>
      <c r="S398" s="11">
        <f t="shared" si="126"/>
        <v>0</v>
      </c>
      <c r="T398" s="11">
        <f t="shared" si="127"/>
        <v>0</v>
      </c>
      <c r="U398" s="11">
        <f>IF(A397=A398,0,VLOOKUP(A398,'Packing Time'!A:F,6,0))</f>
        <v>0</v>
      </c>
      <c r="V398" s="11">
        <f t="shared" si="118"/>
        <v>0</v>
      </c>
      <c r="W398" s="11">
        <f t="shared" si="119"/>
        <v>0</v>
      </c>
      <c r="X398" s="11">
        <f t="shared" si="128"/>
        <v>0</v>
      </c>
      <c r="Y398" s="11">
        <f t="shared" si="120"/>
        <v>0</v>
      </c>
      <c r="Z398" s="37">
        <v>1</v>
      </c>
      <c r="AA398" s="36">
        <f t="shared" si="129"/>
        <v>1</v>
      </c>
      <c r="AB398" s="36">
        <f t="shared" si="130"/>
        <v>0.28000000000000003</v>
      </c>
      <c r="AC398" s="11">
        <f t="shared" si="131"/>
        <v>0</v>
      </c>
      <c r="AD398" s="36">
        <f t="shared" si="121"/>
        <v>0</v>
      </c>
      <c r="AE398" s="36"/>
      <c r="AF398" s="36">
        <f>IFERROR(VLOOKUP(AE398,'Chemical Cost'!A:D,4,0),0)</f>
        <v>0</v>
      </c>
      <c r="AG398" s="114">
        <f t="shared" si="132"/>
        <v>0</v>
      </c>
      <c r="AH398" s="36">
        <f t="shared" si="115"/>
        <v>0</v>
      </c>
      <c r="AI398" s="36">
        <f t="shared" si="122"/>
        <v>0.28000000000000003</v>
      </c>
      <c r="AJ398" s="36">
        <f>IFERROR(VLOOKUP(A398,'All Products'!A:F,6,0),0)</f>
        <v>15.87</v>
      </c>
      <c r="AK398" s="36"/>
      <c r="AL398" s="23"/>
      <c r="AM398" s="23">
        <v>1</v>
      </c>
      <c r="AN398" s="54" t="e">
        <v>#N/A</v>
      </c>
      <c r="AO398" s="47"/>
      <c r="AP398" s="4">
        <v>1.6</v>
      </c>
      <c r="AQ398" s="111">
        <f t="shared" si="133"/>
        <v>0</v>
      </c>
      <c r="AR398">
        <f>_xlfn.XLOOKUP(F398,'RM Cost'!A:A,'RM Cost'!S:S)</f>
        <v>0</v>
      </c>
      <c r="AS398" t="e">
        <f>_xlfn.XLOOKUP(A398,[3]Sheet1!$B:$B,[3]Sheet1!$B:$B)</f>
        <v>#N/A</v>
      </c>
    </row>
    <row r="399" spans="1:46" x14ac:dyDescent="0.25">
      <c r="A399" s="1" t="s">
        <v>441</v>
      </c>
      <c r="B399" s="2" t="s">
        <v>552</v>
      </c>
      <c r="C399" s="2" t="s">
        <v>649</v>
      </c>
      <c r="D399" s="2" t="s">
        <v>595</v>
      </c>
      <c r="E399" s="48">
        <v>2.84</v>
      </c>
      <c r="F399" s="1" t="str">
        <f>VLOOKUP(H399,'RM Used'!A:B,2,0)</f>
        <v>3221CS</v>
      </c>
      <c r="G399" s="1" t="str">
        <f>IFERROR(VLOOKUP(F399,'RM Cost'!A:B,2,0),"")</f>
        <v>BAKING POTATO X50 EA</v>
      </c>
      <c r="H399" s="2" t="s">
        <v>1467</v>
      </c>
      <c r="I399" s="1" t="str">
        <f>VLOOKUP(F399,'RM Used'!B:D,3,0)</f>
        <v>RM-FOOD</v>
      </c>
      <c r="J399" s="66">
        <v>1</v>
      </c>
      <c r="K399" s="35">
        <f t="shared" si="117"/>
        <v>2.84</v>
      </c>
      <c r="L399" s="35">
        <f t="shared" si="125"/>
        <v>2.84</v>
      </c>
      <c r="M399" s="77" cm="1">
        <f t="array" ref="M399">_xlfn.IFS(BOM!I399="RM-PACKING","100%",B399="Reynolds",VLOOKUP(H399,'Yield &amp; Time'!A:V,22,0),BOM!B399="Dnata",VLOOKUP(BOM!H399,'Yield &amp; Time'!A:M,13,0),B399="NK",VLOOKUP(H399,'Yield &amp; Time'!A:X,24,0))</f>
        <v>0.30683760683760686</v>
      </c>
      <c r="N399" s="35">
        <f t="shared" si="135"/>
        <v>9.2557103064066837</v>
      </c>
      <c r="O399" s="1" t="str">
        <f>VLOOKUP(H399,'RM Used'!A:E,5,0)</f>
        <v>KG</v>
      </c>
      <c r="P399" s="11">
        <f>VLOOKUP(H399,'RM Used'!A:F,6,0)</f>
        <v>0.57000000000000006</v>
      </c>
      <c r="Q399" s="11">
        <f t="shared" si="134"/>
        <v>5.2757548746518106</v>
      </c>
      <c r="R399" s="11">
        <f>IFERROR(IF(B399="Reynolds",VLOOKUP(H399,'Yield &amp; Time'!A:U,21,0),VLOOKUP(H399,'Yield &amp; Time'!A:L,12,0)),0)</f>
        <v>2.8855153203342621</v>
      </c>
      <c r="S399" s="11">
        <f t="shared" si="126"/>
        <v>2.7739612980501391</v>
      </c>
      <c r="T399" s="11">
        <f t="shared" si="127"/>
        <v>0.13658105849582172</v>
      </c>
      <c r="U399" s="11">
        <f>IF(A398=A399,0,VLOOKUP(A399,'Packing Time'!A:F,6,0))</f>
        <v>0.8</v>
      </c>
      <c r="V399" s="11">
        <f t="shared" si="118"/>
        <v>0.27079999999999999</v>
      </c>
      <c r="W399" s="11">
        <f t="shared" si="119"/>
        <v>1.3333333333333334E-2</v>
      </c>
      <c r="X399" s="11">
        <f t="shared" si="128"/>
        <v>4.2626658172701948</v>
      </c>
      <c r="Y399" s="11">
        <f t="shared" si="120"/>
        <v>4.2626658172701948</v>
      </c>
      <c r="Z399" s="37">
        <v>1</v>
      </c>
      <c r="AA399" s="36">
        <f t="shared" si="129"/>
        <v>9.2557103064066837</v>
      </c>
      <c r="AB399" s="36">
        <f t="shared" si="130"/>
        <v>5.2757548746518106</v>
      </c>
      <c r="AC399" s="11">
        <f t="shared" si="131"/>
        <v>0.2098801485608171</v>
      </c>
      <c r="AD399" s="36">
        <f t="shared" si="121"/>
        <v>4.2626658172701948</v>
      </c>
      <c r="AE399" s="36" t="str">
        <f>VLOOKUP(H399,'Yield &amp; Time'!A:R,18,0)</f>
        <v>SODIUM METABISULPHITE</v>
      </c>
      <c r="AF399" s="36">
        <f>IFERROR(VLOOKUP(AE399,'Chemical Cost'!A:D,4,0),0)</f>
        <v>9.7586225455882462E-3</v>
      </c>
      <c r="AG399" s="114">
        <f t="shared" si="132"/>
        <v>3.0107661090511256E-2</v>
      </c>
      <c r="AH399" s="36">
        <f t="shared" si="115"/>
        <v>3.0107661090511256E-2</v>
      </c>
      <c r="AI399" s="36">
        <f t="shared" si="122"/>
        <v>9.5685283530125176</v>
      </c>
      <c r="AJ399" s="36">
        <f>IFERROR(VLOOKUP(A399,'All Products'!A:F,6,0),0)</f>
        <v>27.18</v>
      </c>
      <c r="AK399" s="36">
        <f>AJ399*Z399*J399</f>
        <v>27.18</v>
      </c>
      <c r="AL399" s="23">
        <v>1</v>
      </c>
      <c r="AM399" s="23"/>
      <c r="AN399" s="54" t="e">
        <v>#N/A</v>
      </c>
      <c r="AO399" s="47"/>
      <c r="AP399" s="4">
        <v>1.4</v>
      </c>
      <c r="AQ399" s="111">
        <f t="shared" si="133"/>
        <v>0.2098801485608171</v>
      </c>
      <c r="AR399">
        <f>_xlfn.XLOOKUP(F399,'RM Cost'!A:A,'RM Cost'!S:S)</f>
        <v>0</v>
      </c>
      <c r="AS399" t="str">
        <f>_xlfn.XLOOKUP(A399,[3]Sheet1!$B:$B,[3]Sheet1!$B:$B)</f>
        <v>2093CS</v>
      </c>
      <c r="AT399">
        <f>_xlfn.XLOOKUP(H399,'Yield &amp; Time'!A:A,'Yield &amp; Time'!F:F)</f>
        <v>0</v>
      </c>
    </row>
    <row r="400" spans="1:46" x14ac:dyDescent="0.25">
      <c r="A400" s="1" t="s">
        <v>441</v>
      </c>
      <c r="B400" s="2" t="s">
        <v>552</v>
      </c>
      <c r="C400" s="2" t="s">
        <v>649</v>
      </c>
      <c r="D400" s="2" t="s">
        <v>595</v>
      </c>
      <c r="E400" s="48">
        <v>2.84</v>
      </c>
      <c r="F400" s="1" t="str">
        <f>VLOOKUP(H400,'RM Used'!A:B,2,0)</f>
        <v>P0020</v>
      </c>
      <c r="G400" s="1" t="str">
        <f>IFERROR(VLOOKUP(F400,'RM Cost'!A:B,2,0),"")</f>
        <v>PALE BLUE BAG 430X430MM</v>
      </c>
      <c r="H400" s="2" t="s">
        <v>1659</v>
      </c>
      <c r="I400" s="1" t="str">
        <f>VLOOKUP(F400,'RM Used'!B:D,3,0)</f>
        <v>RM-PACKING</v>
      </c>
      <c r="J400" s="66">
        <v>1</v>
      </c>
      <c r="K400" s="35" t="str">
        <f t="shared" si="117"/>
        <v/>
      </c>
      <c r="L400" s="35">
        <f t="shared" si="125"/>
        <v>0</v>
      </c>
      <c r="M400" s="77" t="str" cm="1">
        <f t="array" ref="M400">_xlfn.IFS(BOM!I400="RM-PACKING","100%",B400="Reynolds",VLOOKUP(H400,'Yield &amp; Time'!A:V,22,0),BOM!B400="Dnata",VLOOKUP(BOM!H400,'Yield &amp; Time'!A:M,13,0),B400="NK",VLOOKUP(H400,'Yield &amp; Time'!A:X,24,0))</f>
        <v>100%</v>
      </c>
      <c r="N400" s="35">
        <f t="shared" si="135"/>
        <v>1</v>
      </c>
      <c r="O400" s="1" t="str">
        <f>VLOOKUP(H400,'RM Used'!A:E,5,0)</f>
        <v>Count</v>
      </c>
      <c r="P400" s="11">
        <f>VLOOKUP(H400,'RM Used'!A:F,6,0)</f>
        <v>0.09</v>
      </c>
      <c r="Q400" s="11">
        <f t="shared" si="134"/>
        <v>0.09</v>
      </c>
      <c r="R400" s="11">
        <f>IFERROR(IF(B400="Reynolds",VLOOKUP(H400,'Yield &amp; Time'!A:U,21,0),VLOOKUP(H400,'Yield &amp; Time'!A:L,12,0)),0)</f>
        <v>0</v>
      </c>
      <c r="S400" s="11">
        <f t="shared" si="126"/>
        <v>0</v>
      </c>
      <c r="T400" s="11">
        <f t="shared" si="127"/>
        <v>0</v>
      </c>
      <c r="U400" s="11">
        <f>IF(A399=A400,0,VLOOKUP(A400,'Packing Time'!A:F,6,0))</f>
        <v>0</v>
      </c>
      <c r="V400" s="11">
        <f t="shared" si="118"/>
        <v>0</v>
      </c>
      <c r="W400" s="11">
        <f t="shared" si="119"/>
        <v>0</v>
      </c>
      <c r="X400" s="11">
        <f t="shared" si="128"/>
        <v>0</v>
      </c>
      <c r="Y400" s="11">
        <f t="shared" si="120"/>
        <v>0</v>
      </c>
      <c r="Z400" s="37">
        <v>1</v>
      </c>
      <c r="AA400" s="36">
        <f t="shared" si="129"/>
        <v>1</v>
      </c>
      <c r="AB400" s="36">
        <f t="shared" si="130"/>
        <v>0.09</v>
      </c>
      <c r="AC400" s="11">
        <f t="shared" si="131"/>
        <v>0</v>
      </c>
      <c r="AD400" s="36">
        <f t="shared" si="121"/>
        <v>0</v>
      </c>
      <c r="AE400" s="36"/>
      <c r="AF400" s="36">
        <f>IFERROR(VLOOKUP(AE400,'Chemical Cost'!A:D,4,0),0)</f>
        <v>0</v>
      </c>
      <c r="AG400" s="114">
        <f t="shared" si="132"/>
        <v>0</v>
      </c>
      <c r="AH400" s="36">
        <f t="shared" si="115"/>
        <v>0</v>
      </c>
      <c r="AI400" s="36">
        <f t="shared" si="122"/>
        <v>0.09</v>
      </c>
      <c r="AJ400" s="36">
        <f>IFERROR(VLOOKUP(A400,'All Products'!A:F,6,0),0)</f>
        <v>27.18</v>
      </c>
      <c r="AK400" s="36"/>
      <c r="AL400" s="23">
        <v>1</v>
      </c>
      <c r="AM400" s="23"/>
      <c r="AN400" s="54" t="e">
        <v>#N/A</v>
      </c>
      <c r="AO400" s="47"/>
      <c r="AP400" s="4">
        <v>1.4</v>
      </c>
      <c r="AQ400" s="111">
        <f t="shared" si="133"/>
        <v>0</v>
      </c>
      <c r="AR400">
        <f>_xlfn.XLOOKUP(F400,'RM Cost'!A:A,'RM Cost'!S:S)</f>
        <v>0</v>
      </c>
      <c r="AS400" t="str">
        <f>_xlfn.XLOOKUP(A400,[3]Sheet1!$B:$B,[3]Sheet1!$B:$B)</f>
        <v>2093CS</v>
      </c>
      <c r="AT400" t="e">
        <f>_xlfn.XLOOKUP(H400,'Yield &amp; Time'!A:A,'Yield &amp; Time'!F:F)</f>
        <v>#N/A</v>
      </c>
    </row>
    <row r="401" spans="1:46" x14ac:dyDescent="0.25">
      <c r="A401" s="1" t="s">
        <v>441</v>
      </c>
      <c r="B401" s="2" t="s">
        <v>552</v>
      </c>
      <c r="C401" s="2" t="s">
        <v>649</v>
      </c>
      <c r="D401" s="2" t="s">
        <v>595</v>
      </c>
      <c r="E401" s="48">
        <v>2.84</v>
      </c>
      <c r="F401" s="1" t="str">
        <f>VLOOKUP(H401,'RM Used'!A:B,2,0)</f>
        <v>P0016</v>
      </c>
      <c r="G401" s="1" t="str">
        <f>IFERROR(VLOOKUP(F401,'RM Cost'!A:B,2,0),"")</f>
        <v>REY 40 30 BOX</v>
      </c>
      <c r="H401" s="2" t="s">
        <v>1332</v>
      </c>
      <c r="I401" s="1" t="str">
        <f>VLOOKUP(F401,'RM Used'!B:D,3,0)</f>
        <v>RM-PACKING</v>
      </c>
      <c r="J401" s="66">
        <v>1</v>
      </c>
      <c r="K401" s="35" t="str">
        <f t="shared" si="117"/>
        <v/>
      </c>
      <c r="L401" s="35">
        <f t="shared" si="125"/>
        <v>0</v>
      </c>
      <c r="M401" s="77" t="str" cm="1">
        <f t="array" ref="M401">_xlfn.IFS(BOM!I401="RM-PACKING","100%",B401="Reynolds",VLOOKUP(H401,'Yield &amp; Time'!A:V,22,0),BOM!B401="Dnata",VLOOKUP(BOM!H401,'Yield &amp; Time'!A:M,13,0),B401="NK",VLOOKUP(H401,'Yield &amp; Time'!A:X,24,0))</f>
        <v>100%</v>
      </c>
      <c r="N401" s="35">
        <f t="shared" si="135"/>
        <v>1</v>
      </c>
      <c r="O401" s="1" t="str">
        <f>VLOOKUP(H401,'RM Used'!A:E,5,0)</f>
        <v>Count</v>
      </c>
      <c r="P401" s="11">
        <f>VLOOKUP(H401,'RM Used'!A:F,6,0)</f>
        <v>0.28000000000000003</v>
      </c>
      <c r="Q401" s="11">
        <f t="shared" si="134"/>
        <v>0.28000000000000003</v>
      </c>
      <c r="R401" s="11">
        <f>IFERROR(IF(B401="Reynolds",VLOOKUP(H401,'Yield &amp; Time'!A:U,21,0),VLOOKUP(H401,'Yield &amp; Time'!A:L,12,0)),0)</f>
        <v>0</v>
      </c>
      <c r="S401" s="11">
        <f t="shared" si="126"/>
        <v>0</v>
      </c>
      <c r="T401" s="11">
        <f t="shared" si="127"/>
        <v>0</v>
      </c>
      <c r="U401" s="11">
        <f>IF(A400=A401,0,VLOOKUP(A401,'Packing Time'!A:F,6,0))</f>
        <v>0</v>
      </c>
      <c r="V401" s="11">
        <f t="shared" si="118"/>
        <v>0</v>
      </c>
      <c r="W401" s="11">
        <f t="shared" si="119"/>
        <v>0</v>
      </c>
      <c r="X401" s="11">
        <f t="shared" si="128"/>
        <v>0</v>
      </c>
      <c r="Y401" s="11">
        <f t="shared" si="120"/>
        <v>0</v>
      </c>
      <c r="Z401" s="37">
        <v>1</v>
      </c>
      <c r="AA401" s="36">
        <f t="shared" si="129"/>
        <v>1</v>
      </c>
      <c r="AB401" s="36">
        <f t="shared" si="130"/>
        <v>0.28000000000000003</v>
      </c>
      <c r="AC401" s="11">
        <f t="shared" si="131"/>
        <v>0</v>
      </c>
      <c r="AD401" s="36">
        <f t="shared" si="121"/>
        <v>0</v>
      </c>
      <c r="AE401" s="36"/>
      <c r="AF401" s="36">
        <f>IFERROR(VLOOKUP(AE401,'Chemical Cost'!A:D,4,0),0)</f>
        <v>0</v>
      </c>
      <c r="AG401" s="114">
        <f t="shared" si="132"/>
        <v>0</v>
      </c>
      <c r="AH401" s="36">
        <f t="shared" si="115"/>
        <v>0</v>
      </c>
      <c r="AI401" s="36">
        <f t="shared" si="122"/>
        <v>0.28000000000000003</v>
      </c>
      <c r="AJ401" s="36">
        <f>IFERROR(VLOOKUP(A401,'All Products'!A:F,6,0),0)</f>
        <v>27.18</v>
      </c>
      <c r="AK401" s="36"/>
      <c r="AL401" s="23">
        <v>1</v>
      </c>
      <c r="AM401" s="23"/>
      <c r="AN401" s="54" t="e">
        <v>#N/A</v>
      </c>
      <c r="AO401" s="47"/>
      <c r="AP401" s="4">
        <v>1.4</v>
      </c>
      <c r="AQ401" s="111">
        <f t="shared" si="133"/>
        <v>0</v>
      </c>
      <c r="AR401">
        <f>_xlfn.XLOOKUP(F401,'RM Cost'!A:A,'RM Cost'!S:S)</f>
        <v>0</v>
      </c>
      <c r="AS401" t="str">
        <f>_xlfn.XLOOKUP(A401,[3]Sheet1!$B:$B,[3]Sheet1!$B:$B)</f>
        <v>2093CS</v>
      </c>
      <c r="AT401" t="e">
        <f>_xlfn.XLOOKUP(H401,'Yield &amp; Time'!A:A,'Yield &amp; Time'!F:F)</f>
        <v>#N/A</v>
      </c>
    </row>
    <row r="402" spans="1:46" x14ac:dyDescent="0.25">
      <c r="A402" s="1" t="s">
        <v>262</v>
      </c>
      <c r="B402" s="2" t="s">
        <v>552</v>
      </c>
      <c r="C402" s="2" t="s">
        <v>652</v>
      </c>
      <c r="D402" s="2" t="s">
        <v>554</v>
      </c>
      <c r="E402" s="2">
        <v>0.3</v>
      </c>
      <c r="F402" s="1" t="str">
        <f>VLOOKUP(H402,'RM Used'!A:B,2,0)</f>
        <v>F218CS</v>
      </c>
      <c r="G402" s="1" t="str">
        <f>IFERROR(VLOOKUP(F402,'RM Cost'!A:B,2,0),"")</f>
        <v>RM - GINGER FROZEN 10KG</v>
      </c>
      <c r="H402" s="2" t="s">
        <v>1434</v>
      </c>
      <c r="I402" s="1" t="str">
        <f>VLOOKUP(F402,'RM Used'!B:D,3,0)</f>
        <v>RM-FOOD</v>
      </c>
      <c r="J402" s="66">
        <v>1</v>
      </c>
      <c r="K402" s="35">
        <f t="shared" si="117"/>
        <v>0.3</v>
      </c>
      <c r="L402" s="35">
        <f t="shared" si="125"/>
        <v>0.3</v>
      </c>
      <c r="M402" s="77" cm="1">
        <f t="array" ref="M402">_xlfn.IFS(BOM!I402="RM-PACKING","100%",B402="Reynolds",VLOOKUP(H402,'Yield &amp; Time'!A:V,22,0),BOM!B402="Dnata",VLOOKUP(BOM!H402,'Yield &amp; Time'!A:M,13,0),B402="NK",VLOOKUP(H402,'Yield &amp; Time'!A:X,24,0))</f>
        <v>0.68869999999999998</v>
      </c>
      <c r="N402" s="35">
        <f t="shared" si="135"/>
        <v>0.43560331058516044</v>
      </c>
      <c r="O402" s="1" t="str">
        <f>VLOOKUP(H402,'RM Used'!A:E,5,0)</f>
        <v>KG</v>
      </c>
      <c r="P402" s="11">
        <f>VLOOKUP(H402,'RM Used'!A:F,6,0)</f>
        <v>1.64</v>
      </c>
      <c r="Q402" s="11">
        <f t="shared" si="134"/>
        <v>0.7143894293596631</v>
      </c>
      <c r="R402" s="11">
        <f>IFERROR(IF(B402="Reynolds",VLOOKUP(H402,'Yield &amp; Time'!A:U,21,0),VLOOKUP(H402,'Yield &amp; Time'!A:L,12,0)),0)</f>
        <v>0.75</v>
      </c>
      <c r="S402" s="11">
        <f t="shared" si="126"/>
        <v>7.616249999999998E-2</v>
      </c>
      <c r="T402" s="11">
        <f t="shared" si="127"/>
        <v>3.7499999999999994E-3</v>
      </c>
      <c r="U402" s="11">
        <f>IF(A401=A402,0,VLOOKUP(A402,'Packing Time'!A:F,6,0))</f>
        <v>0.47499999999999998</v>
      </c>
      <c r="V402" s="11">
        <f t="shared" si="118"/>
        <v>0.16078749999999997</v>
      </c>
      <c r="W402" s="11">
        <f t="shared" si="119"/>
        <v>7.9166666666666656E-3</v>
      </c>
      <c r="X402" s="11">
        <f t="shared" si="128"/>
        <v>0.26064499999999996</v>
      </c>
      <c r="Y402" s="11">
        <f t="shared" si="120"/>
        <v>0.26064499999999996</v>
      </c>
      <c r="Z402" s="37">
        <v>1</v>
      </c>
      <c r="AA402" s="36">
        <f t="shared" si="129"/>
        <v>0.43560331058516044</v>
      </c>
      <c r="AB402" s="36">
        <f t="shared" si="130"/>
        <v>0.7143894293596631</v>
      </c>
      <c r="AC402" s="11">
        <f t="shared" si="131"/>
        <v>1.2833333333333334E-2</v>
      </c>
      <c r="AD402" s="36">
        <f t="shared" si="121"/>
        <v>0.26064499999999996</v>
      </c>
      <c r="AE402" s="36" t="str">
        <f>VLOOKUP(H402,'Yield &amp; Time'!A:R,18,0)</f>
        <v>CHLORINE</v>
      </c>
      <c r="AF402" s="36">
        <f>IFERROR(VLOOKUP(AE402,'Chemical Cost'!A:D,4,0),0)</f>
        <v>2.7756518066439469E-2</v>
      </c>
      <c r="AG402" s="114">
        <f t="shared" si="132"/>
        <v>4.0302770533526162E-3</v>
      </c>
      <c r="AH402" s="36">
        <f t="shared" si="115"/>
        <v>4.0302770533526162E-3</v>
      </c>
      <c r="AI402" s="36">
        <f t="shared" si="122"/>
        <v>0.97906470641301568</v>
      </c>
      <c r="AJ402" s="36">
        <f>IFERROR(VLOOKUP(A402,'All Products'!A:F,6,0),0)</f>
        <v>1.61</v>
      </c>
      <c r="AK402" s="36">
        <f>AJ402*Z402*J402</f>
        <v>1.61</v>
      </c>
      <c r="AL402" s="23">
        <v>0.7</v>
      </c>
      <c r="AM402" s="23">
        <v>0.3</v>
      </c>
      <c r="AN402" s="54" t="e">
        <v>#N/A</v>
      </c>
      <c r="AO402" s="47"/>
      <c r="AP402" s="4">
        <v>1.1000000000000001</v>
      </c>
      <c r="AQ402" s="111">
        <f t="shared" si="133"/>
        <v>1.2833333333333334E-2</v>
      </c>
      <c r="AR402">
        <f>_xlfn.XLOOKUP(F402,'RM Cost'!A:A,'RM Cost'!S:S)</f>
        <v>0</v>
      </c>
      <c r="AS402" t="str">
        <f>_xlfn.XLOOKUP(A402,[3]Sheet1!$B:$B,[3]Sheet1!$B:$B)</f>
        <v>917ACS</v>
      </c>
      <c r="AT402">
        <f>_xlfn.XLOOKUP(H402,'Yield &amp; Time'!A:A,'Yield &amp; Time'!F:F)</f>
        <v>0</v>
      </c>
    </row>
    <row r="403" spans="1:46" x14ac:dyDescent="0.25">
      <c r="A403" s="1" t="s">
        <v>262</v>
      </c>
      <c r="B403" s="2" t="s">
        <v>552</v>
      </c>
      <c r="C403" s="2" t="s">
        <v>652</v>
      </c>
      <c r="D403" s="2" t="s">
        <v>554</v>
      </c>
      <c r="E403" s="2">
        <v>0.3</v>
      </c>
      <c r="F403" s="1" t="str">
        <f>VLOOKUP(H403,'RM Used'!A:B,2,0)</f>
        <v>P0001</v>
      </c>
      <c r="G403" s="1" t="str">
        <f>IFERROR(VLOOKUP(F403,'RM Cost'!A:B,2,0),"")</f>
        <v>SOL 30EL # PPLUS 630x1000 BLUE -1</v>
      </c>
      <c r="H403" s="2" t="s">
        <v>4678</v>
      </c>
      <c r="I403" s="1" t="str">
        <f>VLOOKUP(F403,'RM Used'!B:D,3,0)</f>
        <v>RM-PACKING</v>
      </c>
      <c r="J403" s="66">
        <v>1</v>
      </c>
      <c r="K403" s="35" t="str">
        <f t="shared" si="117"/>
        <v/>
      </c>
      <c r="L403" s="35">
        <f t="shared" si="125"/>
        <v>0</v>
      </c>
      <c r="M403" s="77" t="str" cm="1">
        <f t="array" ref="M403">_xlfn.IFS(BOM!I403="RM-PACKING","100%",B403="Reynolds",VLOOKUP(H403,'Yield &amp; Time'!A:V,22,0),BOM!B403="Dnata",VLOOKUP(BOM!H403,'Yield &amp; Time'!A:M,13,0),B403="NK",VLOOKUP(H403,'Yield &amp; Time'!A:X,24,0))</f>
        <v>100%</v>
      </c>
      <c r="N403" s="35">
        <f t="shared" si="135"/>
        <v>1</v>
      </c>
      <c r="O403" s="1" t="str">
        <f>VLOOKUP(H403,'RM Used'!A:E,5,0)</f>
        <v>Count</v>
      </c>
      <c r="P403" s="11">
        <f>VLOOKUP(H403,'RM Used'!A:F,6,0)</f>
        <v>0.08</v>
      </c>
      <c r="Q403" s="11">
        <f t="shared" si="134"/>
        <v>0.08</v>
      </c>
      <c r="R403" s="11">
        <f>IFERROR(IF(B403="Reynolds",VLOOKUP(H403,'Yield &amp; Time'!A:U,21,0),VLOOKUP(H403,'Yield &amp; Time'!A:L,12,0)),0)</f>
        <v>0</v>
      </c>
      <c r="S403" s="11">
        <f t="shared" si="126"/>
        <v>0</v>
      </c>
      <c r="T403" s="11">
        <f t="shared" si="127"/>
        <v>0</v>
      </c>
      <c r="U403" s="11">
        <f>IF(A402=A403,0,VLOOKUP(A403,'Packing Time'!A:F,6,0))</f>
        <v>0</v>
      </c>
      <c r="V403" s="11">
        <f t="shared" si="118"/>
        <v>0</v>
      </c>
      <c r="W403" s="11">
        <f t="shared" si="119"/>
        <v>0</v>
      </c>
      <c r="X403" s="11">
        <f t="shared" si="128"/>
        <v>0</v>
      </c>
      <c r="Y403" s="11">
        <f t="shared" si="120"/>
        <v>0</v>
      </c>
      <c r="Z403" s="37">
        <v>1</v>
      </c>
      <c r="AA403" s="36">
        <f t="shared" si="129"/>
        <v>1</v>
      </c>
      <c r="AB403" s="36">
        <f t="shared" si="130"/>
        <v>0.08</v>
      </c>
      <c r="AC403" s="11">
        <f t="shared" si="131"/>
        <v>0</v>
      </c>
      <c r="AD403" s="36">
        <f t="shared" si="121"/>
        <v>0</v>
      </c>
      <c r="AE403" s="36"/>
      <c r="AF403" s="36">
        <f>IFERROR(VLOOKUP(AE403,'Chemical Cost'!A:D,4,0),0)</f>
        <v>0</v>
      </c>
      <c r="AG403" s="114">
        <f t="shared" si="132"/>
        <v>0</v>
      </c>
      <c r="AH403" s="36">
        <f t="shared" si="115"/>
        <v>0</v>
      </c>
      <c r="AI403" s="36">
        <f t="shared" si="122"/>
        <v>0.08</v>
      </c>
      <c r="AJ403" s="36">
        <f>IFERROR(VLOOKUP(A403,'All Products'!A:F,6,0),0)</f>
        <v>1.61</v>
      </c>
      <c r="AK403" s="36"/>
      <c r="AL403" s="23">
        <v>0.7</v>
      </c>
      <c r="AM403" s="23">
        <v>0.3</v>
      </c>
      <c r="AN403" s="54" t="e">
        <v>#N/A</v>
      </c>
      <c r="AO403" s="47"/>
      <c r="AP403" s="4">
        <v>1.1000000000000001</v>
      </c>
      <c r="AQ403" s="111">
        <f t="shared" si="133"/>
        <v>0</v>
      </c>
      <c r="AR403">
        <f>_xlfn.XLOOKUP(F403,'RM Cost'!A:A,'RM Cost'!S:S)</f>
        <v>0</v>
      </c>
      <c r="AS403" t="str">
        <f>_xlfn.XLOOKUP(A403,[3]Sheet1!$B:$B,[3]Sheet1!$B:$B)</f>
        <v>917ACS</v>
      </c>
      <c r="AT403" t="e">
        <f>_xlfn.XLOOKUP(H403,'Yield &amp; Time'!A:A,'Yield &amp; Time'!F:F)</f>
        <v>#N/A</v>
      </c>
    </row>
    <row r="404" spans="1:46" x14ac:dyDescent="0.25">
      <c r="A404" s="1" t="s">
        <v>262</v>
      </c>
      <c r="B404" s="2" t="s">
        <v>552</v>
      </c>
      <c r="C404" s="2" t="s">
        <v>652</v>
      </c>
      <c r="D404" s="2" t="s">
        <v>554</v>
      </c>
      <c r="E404" s="2">
        <v>0.3</v>
      </c>
      <c r="F404" s="1" t="str">
        <f>VLOOKUP(H404,'RM Used'!A:B,2,0)</f>
        <v>P0016B</v>
      </c>
      <c r="G404" s="1" t="str">
        <f>IFERROR(VLOOKUP(F404,'RM Cost'!A:B,2,0),"")</f>
        <v>REY 40 30 BOX 8 in 1</v>
      </c>
      <c r="H404" s="2" t="s">
        <v>4815</v>
      </c>
      <c r="I404" s="1" t="str">
        <f>VLOOKUP(F404,'RM Used'!B:D,3,0)</f>
        <v>RM-PACKING</v>
      </c>
      <c r="J404" s="66">
        <v>1</v>
      </c>
      <c r="K404" s="35" t="str">
        <f t="shared" si="117"/>
        <v/>
      </c>
      <c r="L404" s="35">
        <f t="shared" si="125"/>
        <v>0</v>
      </c>
      <c r="M404" s="77" t="str" cm="1">
        <f t="array" ref="M404">_xlfn.IFS(BOM!I404="RM-PACKING","100%",B404="Reynolds",VLOOKUP(H404,'Yield &amp; Time'!A:V,22,0),BOM!B404="Dnata",VLOOKUP(BOM!H404,'Yield &amp; Time'!A:M,13,0),B404="NK",VLOOKUP(H404,'Yield &amp; Time'!A:X,24,0))</f>
        <v>100%</v>
      </c>
      <c r="N404" s="35">
        <f t="shared" si="135"/>
        <v>1</v>
      </c>
      <c r="O404" s="1" t="str">
        <f>VLOOKUP(H404,'RM Used'!A:E,5,0)</f>
        <v>Count</v>
      </c>
      <c r="P404" s="11">
        <f>VLOOKUP(H404,'RM Used'!A:F,6,0)</f>
        <v>3.5000000000000003E-2</v>
      </c>
      <c r="Q404" s="11">
        <f t="shared" si="134"/>
        <v>3.5000000000000003E-2</v>
      </c>
      <c r="R404" s="11">
        <f>IFERROR(IF(B404="Reynolds",VLOOKUP(H404,'Yield &amp; Time'!A:U,21,0),VLOOKUP(H404,'Yield &amp; Time'!A:L,12,0)),0)</f>
        <v>0</v>
      </c>
      <c r="S404" s="11">
        <f t="shared" si="126"/>
        <v>0</v>
      </c>
      <c r="T404" s="11">
        <f t="shared" si="127"/>
        <v>0</v>
      </c>
      <c r="U404" s="11">
        <f>IF(A403=A404,0,VLOOKUP(A404,'Packing Time'!A:F,6,0))</f>
        <v>0</v>
      </c>
      <c r="V404" s="11">
        <f t="shared" si="118"/>
        <v>0</v>
      </c>
      <c r="W404" s="11">
        <f t="shared" si="119"/>
        <v>0</v>
      </c>
      <c r="X404" s="11">
        <f t="shared" si="128"/>
        <v>0</v>
      </c>
      <c r="Y404" s="11">
        <f t="shared" si="120"/>
        <v>0</v>
      </c>
      <c r="Z404" s="37">
        <v>1</v>
      </c>
      <c r="AA404" s="36">
        <f t="shared" si="129"/>
        <v>1</v>
      </c>
      <c r="AB404" s="36">
        <f t="shared" si="130"/>
        <v>3.5000000000000003E-2</v>
      </c>
      <c r="AC404" s="11">
        <f t="shared" si="131"/>
        <v>0</v>
      </c>
      <c r="AD404" s="36">
        <f t="shared" si="121"/>
        <v>0</v>
      </c>
      <c r="AE404" s="36"/>
      <c r="AF404" s="36">
        <f>IFERROR(VLOOKUP(AE404,'Chemical Cost'!A:D,4,0),0)</f>
        <v>0</v>
      </c>
      <c r="AG404" s="114">
        <f t="shared" si="132"/>
        <v>0</v>
      </c>
      <c r="AH404" s="36">
        <f t="shared" ref="AH404:AH469" si="136">AF404*AA404/3</f>
        <v>0</v>
      </c>
      <c r="AI404" s="36">
        <f t="shared" si="122"/>
        <v>3.5000000000000003E-2</v>
      </c>
      <c r="AJ404" s="36">
        <f>IFERROR(VLOOKUP(A404,'All Products'!A:F,6,0),0)</f>
        <v>1.61</v>
      </c>
      <c r="AK404" s="36"/>
      <c r="AL404" s="23">
        <v>0.7</v>
      </c>
      <c r="AM404" s="23">
        <v>0.3</v>
      </c>
      <c r="AN404" s="54" t="e">
        <v>#N/A</v>
      </c>
      <c r="AO404" s="47"/>
      <c r="AP404" s="4">
        <v>1.1000000000000001</v>
      </c>
      <c r="AQ404" s="111">
        <f t="shared" si="133"/>
        <v>0</v>
      </c>
      <c r="AR404">
        <f>_xlfn.XLOOKUP(F404,'RM Cost'!A:A,'RM Cost'!S:S)</f>
        <v>0</v>
      </c>
      <c r="AS404" t="str">
        <f>_xlfn.XLOOKUP(A404,[3]Sheet1!$B:$B,[3]Sheet1!$B:$B)</f>
        <v>917ACS</v>
      </c>
      <c r="AT404" t="e">
        <f>_xlfn.XLOOKUP(H404,'Yield &amp; Time'!A:A,'Yield &amp; Time'!F:F)</f>
        <v>#N/A</v>
      </c>
    </row>
    <row r="405" spans="1:46" x14ac:dyDescent="0.25">
      <c r="A405" s="1" t="s">
        <v>653</v>
      </c>
      <c r="B405" s="2" t="s">
        <v>552</v>
      </c>
      <c r="C405" s="2" t="s">
        <v>654</v>
      </c>
      <c r="D405" s="2" t="s">
        <v>554</v>
      </c>
      <c r="E405" s="2">
        <v>5</v>
      </c>
      <c r="F405" s="1" t="str">
        <f>VLOOKUP(H405,'RM Used'!A:B,2,0)</f>
        <v>3205CS</v>
      </c>
      <c r="G405" s="1" t="str">
        <f>IFERROR(VLOOKUP(F405,'RM Cost'!A:B,2,0),"")</f>
        <v>RM - PREMIUM CHIPPING POTATO 1X25KG</v>
      </c>
      <c r="H405" s="2" t="s">
        <v>1468</v>
      </c>
      <c r="I405" s="1" t="str">
        <f>VLOOKUP(F405,'RM Used'!B:D,3,0)</f>
        <v>RM-FOOD</v>
      </c>
      <c r="J405" s="66">
        <v>1</v>
      </c>
      <c r="K405" s="35">
        <f t="shared" si="117"/>
        <v>5</v>
      </c>
      <c r="L405" s="35">
        <f t="shared" si="125"/>
        <v>5</v>
      </c>
      <c r="M405" s="77" cm="1">
        <f t="array" ref="M405">_xlfn.IFS(BOM!I405="RM-PACKING","100%",B405="Reynolds",VLOOKUP(H405,'Yield &amp; Time'!A:V,22,0),BOM!B405="Dnata",VLOOKUP(BOM!H405,'Yield &amp; Time'!A:M,13,0),B405="NK",VLOOKUP(H405,'Yield &amp; Time'!A:X,24,0))</f>
        <v>0.57108055009823178</v>
      </c>
      <c r="N405" s="35">
        <f t="shared" si="135"/>
        <v>8.7553323242053125</v>
      </c>
      <c r="O405" s="1" t="str">
        <f>VLOOKUP(H405,'RM Used'!A:E,5,0)</f>
        <v>KG</v>
      </c>
      <c r="P405" s="11">
        <f>VLOOKUP(H405,'RM Used'!A:F,6,0)</f>
        <v>0.45</v>
      </c>
      <c r="Q405" s="11">
        <f t="shared" si="134"/>
        <v>3.9398995458923909</v>
      </c>
      <c r="R405" s="11">
        <f>IFERROR(IF(B405="Reynolds",VLOOKUP(H405,'Yield &amp; Time'!A:U,21,0),VLOOKUP(H405,'Yield &amp; Time'!A:L,12,0)),0)</f>
        <v>0.82626637921807866</v>
      </c>
      <c r="S405" s="11">
        <f t="shared" si="126"/>
        <v>1.398455846826598</v>
      </c>
      <c r="T405" s="11">
        <f t="shared" si="127"/>
        <v>6.885553160150655E-2</v>
      </c>
      <c r="U405" s="11">
        <f>IF(A404=A405,0,VLOOKUP(A405,'Packing Time'!A:F,6,0))</f>
        <v>1.1850000000000001</v>
      </c>
      <c r="V405" s="11">
        <f t="shared" si="118"/>
        <v>0.40112249999999999</v>
      </c>
      <c r="W405" s="11">
        <f t="shared" si="119"/>
        <v>1.975E-2</v>
      </c>
      <c r="X405" s="11">
        <f t="shared" si="128"/>
        <v>2.5194096855572368</v>
      </c>
      <c r="Y405" s="11">
        <f t="shared" si="120"/>
        <v>2.5194096855572368</v>
      </c>
      <c r="Z405" s="37">
        <v>1</v>
      </c>
      <c r="AA405" s="36">
        <f t="shared" si="129"/>
        <v>8.7553323242053125</v>
      </c>
      <c r="AB405" s="36">
        <f t="shared" si="130"/>
        <v>3.9398995458923909</v>
      </c>
      <c r="AC405" s="11">
        <f t="shared" si="131"/>
        <v>0.12404774424210917</v>
      </c>
      <c r="AD405" s="36">
        <f t="shared" si="121"/>
        <v>2.5194096855572372</v>
      </c>
      <c r="AE405" s="36" t="str">
        <f>VLOOKUP(H405,'Yield &amp; Time'!A:R,18,0)</f>
        <v>SODIUM METABISULPHITE</v>
      </c>
      <c r="AF405" s="36">
        <f>IFERROR(VLOOKUP(AE405,'Chemical Cost'!A:D,4,0),0)</f>
        <v>9.7586225455882462E-3</v>
      </c>
      <c r="AG405" s="114">
        <f t="shared" si="132"/>
        <v>2.8479994471035833E-2</v>
      </c>
      <c r="AH405" s="36">
        <f t="shared" si="136"/>
        <v>2.8479994471035833E-2</v>
      </c>
      <c r="AI405" s="36">
        <f t="shared" si="122"/>
        <v>6.4877892259206638</v>
      </c>
      <c r="AJ405" s="36">
        <f>IFERROR(VLOOKUP(A405,'All Products'!A:F,6,0),0)</f>
        <v>12.38</v>
      </c>
      <c r="AK405" s="36">
        <f>AJ405*Z405*J405</f>
        <v>12.38</v>
      </c>
      <c r="AL405" s="23">
        <v>1</v>
      </c>
      <c r="AM405" s="23"/>
      <c r="AN405" s="54" t="e">
        <v>#N/A</v>
      </c>
      <c r="AO405" s="47"/>
      <c r="AP405" s="4">
        <v>1.4</v>
      </c>
      <c r="AQ405" s="111">
        <f t="shared" si="133"/>
        <v>0.12404774424210917</v>
      </c>
      <c r="AR405">
        <f>_xlfn.XLOOKUP(F405,'RM Cost'!A:A,'RM Cost'!S:S)</f>
        <v>0</v>
      </c>
      <c r="AS405" t="e">
        <f>_xlfn.XLOOKUP(A405,[3]Sheet1!$B:$B,[3]Sheet1!$B:$B)</f>
        <v>#N/A</v>
      </c>
    </row>
    <row r="406" spans="1:46" x14ac:dyDescent="0.25">
      <c r="A406" s="1" t="s">
        <v>653</v>
      </c>
      <c r="B406" s="2" t="s">
        <v>552</v>
      </c>
      <c r="C406" s="2" t="s">
        <v>654</v>
      </c>
      <c r="D406" s="2" t="s">
        <v>554</v>
      </c>
      <c r="E406" s="2">
        <v>5</v>
      </c>
      <c r="F406" s="1" t="str">
        <f>VLOOKUP(H406,'RM Used'!A:B,2,0)</f>
        <v>P0008</v>
      </c>
      <c r="G406" s="1" t="str">
        <f>IFERROR(VLOOKUP(F406,'RM Cost'!A:B,2,0),"")</f>
        <v>PALE BLUE BAG 470X750MM</v>
      </c>
      <c r="H406" s="2" t="s">
        <v>1323</v>
      </c>
      <c r="I406" s="1" t="str">
        <f>VLOOKUP(F406,'RM Used'!B:D,3,0)</f>
        <v>RM-PACKING</v>
      </c>
      <c r="J406" s="66">
        <v>1</v>
      </c>
      <c r="K406" s="35" t="str">
        <f t="shared" si="117"/>
        <v/>
      </c>
      <c r="L406" s="35">
        <f t="shared" si="125"/>
        <v>0</v>
      </c>
      <c r="M406" s="77" t="str" cm="1">
        <f t="array" ref="M406">_xlfn.IFS(BOM!I406="RM-PACKING","100%",B406="Reynolds",VLOOKUP(H406,'Yield &amp; Time'!A:V,22,0),BOM!B406="Dnata",VLOOKUP(BOM!H406,'Yield &amp; Time'!A:M,13,0),B406="NK",VLOOKUP(H406,'Yield &amp; Time'!A:X,24,0))</f>
        <v>100%</v>
      </c>
      <c r="N406" s="35">
        <f t="shared" si="135"/>
        <v>1</v>
      </c>
      <c r="O406" s="1" t="str">
        <f>VLOOKUP(H406,'RM Used'!A:E,5,0)</f>
        <v>Count</v>
      </c>
      <c r="P406" s="11">
        <f>VLOOKUP(H406,'RM Used'!A:F,6,0)</f>
        <v>0.14000000000000001</v>
      </c>
      <c r="Q406" s="11">
        <f t="shared" si="134"/>
        <v>0.14000000000000001</v>
      </c>
      <c r="R406" s="11">
        <f>IFERROR(IF(B406="Reynolds",VLOOKUP(H406,'Yield &amp; Time'!A:U,21,0),VLOOKUP(H406,'Yield &amp; Time'!A:L,12,0)),0)</f>
        <v>0</v>
      </c>
      <c r="S406" s="11">
        <f t="shared" si="126"/>
        <v>0</v>
      </c>
      <c r="T406" s="11">
        <f t="shared" si="127"/>
        <v>0</v>
      </c>
      <c r="U406" s="11">
        <f>IF(A405=A406,0,VLOOKUP(A406,'Packing Time'!A:F,6,0))</f>
        <v>0</v>
      </c>
      <c r="V406" s="11">
        <f t="shared" si="118"/>
        <v>0</v>
      </c>
      <c r="W406" s="11">
        <f t="shared" si="119"/>
        <v>0</v>
      </c>
      <c r="X406" s="11">
        <f t="shared" si="128"/>
        <v>0</v>
      </c>
      <c r="Y406" s="11">
        <f t="shared" si="120"/>
        <v>0</v>
      </c>
      <c r="Z406" s="37">
        <v>1</v>
      </c>
      <c r="AA406" s="36">
        <f t="shared" si="129"/>
        <v>1</v>
      </c>
      <c r="AB406" s="36">
        <f t="shared" si="130"/>
        <v>0.14000000000000001</v>
      </c>
      <c r="AC406" s="11">
        <f t="shared" si="131"/>
        <v>0</v>
      </c>
      <c r="AD406" s="36">
        <f t="shared" si="121"/>
        <v>0</v>
      </c>
      <c r="AE406" s="36"/>
      <c r="AF406" s="36">
        <f>IFERROR(VLOOKUP(AE406,'Chemical Cost'!A:D,4,0),0)</f>
        <v>0</v>
      </c>
      <c r="AG406" s="114">
        <f t="shared" si="132"/>
        <v>0</v>
      </c>
      <c r="AH406" s="36">
        <f t="shared" si="136"/>
        <v>0</v>
      </c>
      <c r="AI406" s="36">
        <f t="shared" si="122"/>
        <v>0.14000000000000001</v>
      </c>
      <c r="AJ406" s="36">
        <f>IFERROR(VLOOKUP(A406,'All Products'!A:F,6,0),0)</f>
        <v>12.38</v>
      </c>
      <c r="AK406" s="36"/>
      <c r="AL406" s="23">
        <v>1</v>
      </c>
      <c r="AM406" s="23"/>
      <c r="AN406" s="54" t="e">
        <v>#N/A</v>
      </c>
      <c r="AO406" s="47"/>
      <c r="AP406" s="4">
        <v>1.4</v>
      </c>
      <c r="AQ406" s="111">
        <f t="shared" si="133"/>
        <v>0</v>
      </c>
      <c r="AR406">
        <f>_xlfn.XLOOKUP(F406,'RM Cost'!A:A,'RM Cost'!S:S)</f>
        <v>0</v>
      </c>
      <c r="AS406" t="e">
        <f>_xlfn.XLOOKUP(A406,[3]Sheet1!$B:$B,[3]Sheet1!$B:$B)</f>
        <v>#N/A</v>
      </c>
    </row>
    <row r="407" spans="1:46" x14ac:dyDescent="0.25">
      <c r="A407" s="1" t="s">
        <v>653</v>
      </c>
      <c r="B407" s="2" t="s">
        <v>552</v>
      </c>
      <c r="C407" s="2" t="s">
        <v>654</v>
      </c>
      <c r="D407" s="2" t="s">
        <v>554</v>
      </c>
      <c r="E407" s="2">
        <v>5</v>
      </c>
      <c r="F407" s="1" t="str">
        <f>VLOOKUP(H407,'RM Used'!A:B,2,0)</f>
        <v>P0016</v>
      </c>
      <c r="G407" s="1" t="str">
        <f>IFERROR(VLOOKUP(F407,'RM Cost'!A:B,2,0),"")</f>
        <v>REY 40 30 BOX</v>
      </c>
      <c r="H407" s="2" t="s">
        <v>1332</v>
      </c>
      <c r="I407" s="1" t="str">
        <f>VLOOKUP(F407,'RM Used'!B:D,3,0)</f>
        <v>RM-PACKING</v>
      </c>
      <c r="J407" s="66">
        <v>1</v>
      </c>
      <c r="K407" s="35" t="str">
        <f t="shared" si="117"/>
        <v/>
      </c>
      <c r="L407" s="35">
        <f t="shared" si="125"/>
        <v>0</v>
      </c>
      <c r="M407" s="77" t="str" cm="1">
        <f t="array" ref="M407">_xlfn.IFS(BOM!I407="RM-PACKING","100%",B407="Reynolds",VLOOKUP(H407,'Yield &amp; Time'!A:V,22,0),BOM!B407="Dnata",VLOOKUP(BOM!H407,'Yield &amp; Time'!A:M,13,0),B407="NK",VLOOKUP(H407,'Yield &amp; Time'!A:X,24,0))</f>
        <v>100%</v>
      </c>
      <c r="N407" s="35">
        <f t="shared" si="135"/>
        <v>1</v>
      </c>
      <c r="O407" s="1" t="str">
        <f>VLOOKUP(H407,'RM Used'!A:E,5,0)</f>
        <v>Count</v>
      </c>
      <c r="P407" s="11">
        <f>VLOOKUP(H407,'RM Used'!A:F,6,0)</f>
        <v>0.28000000000000003</v>
      </c>
      <c r="Q407" s="11">
        <f t="shared" si="134"/>
        <v>0.28000000000000003</v>
      </c>
      <c r="R407" s="11">
        <f>IFERROR(IF(B407="Reynolds",VLOOKUP(H407,'Yield &amp; Time'!A:U,21,0),VLOOKUP(H407,'Yield &amp; Time'!A:L,12,0)),0)</f>
        <v>0</v>
      </c>
      <c r="S407" s="11">
        <f t="shared" si="126"/>
        <v>0</v>
      </c>
      <c r="T407" s="11">
        <f t="shared" si="127"/>
        <v>0</v>
      </c>
      <c r="U407" s="11">
        <f>IF(A406=A407,0,VLOOKUP(A407,'Packing Time'!A:F,6,0))</f>
        <v>0</v>
      </c>
      <c r="V407" s="11">
        <f t="shared" si="118"/>
        <v>0</v>
      </c>
      <c r="W407" s="11">
        <f t="shared" si="119"/>
        <v>0</v>
      </c>
      <c r="X407" s="11">
        <f t="shared" si="128"/>
        <v>0</v>
      </c>
      <c r="Y407" s="11">
        <f t="shared" si="120"/>
        <v>0</v>
      </c>
      <c r="Z407" s="37">
        <v>1</v>
      </c>
      <c r="AA407" s="36">
        <f t="shared" si="129"/>
        <v>1</v>
      </c>
      <c r="AB407" s="36">
        <f t="shared" si="130"/>
        <v>0.28000000000000003</v>
      </c>
      <c r="AC407" s="11">
        <f t="shared" si="131"/>
        <v>0</v>
      </c>
      <c r="AD407" s="36">
        <f t="shared" si="121"/>
        <v>0</v>
      </c>
      <c r="AE407" s="36"/>
      <c r="AF407" s="36">
        <f>IFERROR(VLOOKUP(AE407,'Chemical Cost'!A:D,4,0),0)</f>
        <v>0</v>
      </c>
      <c r="AG407" s="114">
        <f t="shared" si="132"/>
        <v>0</v>
      </c>
      <c r="AH407" s="36">
        <f t="shared" si="136"/>
        <v>0</v>
      </c>
      <c r="AI407" s="36">
        <f t="shared" si="122"/>
        <v>0.28000000000000003</v>
      </c>
      <c r="AJ407" s="36">
        <f>IFERROR(VLOOKUP(A407,'All Products'!A:F,6,0),0)</f>
        <v>12.38</v>
      </c>
      <c r="AK407" s="36"/>
      <c r="AL407" s="23">
        <v>1</v>
      </c>
      <c r="AM407" s="23"/>
      <c r="AN407" s="54" t="e">
        <v>#N/A</v>
      </c>
      <c r="AO407" s="47"/>
      <c r="AP407" s="4">
        <v>1.4</v>
      </c>
      <c r="AQ407" s="111">
        <f t="shared" si="133"/>
        <v>0</v>
      </c>
      <c r="AR407">
        <f>_xlfn.XLOOKUP(F407,'RM Cost'!A:A,'RM Cost'!S:S)</f>
        <v>0</v>
      </c>
      <c r="AS407" t="e">
        <f>_xlfn.XLOOKUP(A407,[3]Sheet1!$B:$B,[3]Sheet1!$B:$B)</f>
        <v>#N/A</v>
      </c>
    </row>
    <row r="408" spans="1:46" x14ac:dyDescent="0.25">
      <c r="A408" s="1" t="s">
        <v>432</v>
      </c>
      <c r="B408" s="2" t="s">
        <v>552</v>
      </c>
      <c r="C408" s="2" t="s">
        <v>433</v>
      </c>
      <c r="D408" s="2" t="s">
        <v>554</v>
      </c>
      <c r="E408" s="2">
        <v>2</v>
      </c>
      <c r="F408" s="1" t="str">
        <f>VLOOKUP(H408,'RM Used'!A:B,2,0)</f>
        <v>3689CS</v>
      </c>
      <c r="G408" s="1" t="str">
        <f>IFERROR(VLOOKUP(F408,'RM Cost'!A:B,2,0),"")</f>
        <v>RM - BEEF TOMATO 1 X 7KG</v>
      </c>
      <c r="H408" s="2" t="s">
        <v>1458</v>
      </c>
      <c r="I408" s="1" t="str">
        <f>VLOOKUP(F408,'RM Used'!B:D,3,0)</f>
        <v>RM-FOOD</v>
      </c>
      <c r="J408" s="66">
        <v>1</v>
      </c>
      <c r="K408" s="35">
        <f t="shared" si="117"/>
        <v>2</v>
      </c>
      <c r="L408" s="35">
        <f t="shared" si="125"/>
        <v>2</v>
      </c>
      <c r="M408" s="77" cm="1">
        <f t="array" ref="M408">_xlfn.IFS(BOM!I408="RM-PACKING","100%",B408="Reynolds",VLOOKUP(H408,'Yield &amp; Time'!A:V,22,0),BOM!B408="Dnata",VLOOKUP(BOM!H408,'Yield &amp; Time'!A:M,13,0),B408="NK",VLOOKUP(H408,'Yield &amp; Time'!A:X,24,0))</f>
        <v>0.76</v>
      </c>
      <c r="N408" s="35">
        <f t="shared" si="135"/>
        <v>2.6315789473684212</v>
      </c>
      <c r="O408" s="1" t="str">
        <f>VLOOKUP(H408,'RM Used'!A:E,5,0)</f>
        <v>KG</v>
      </c>
      <c r="P408" s="11">
        <f>VLOOKUP(H408,'RM Used'!A:F,6,0)</f>
        <v>1.32</v>
      </c>
      <c r="Q408" s="11">
        <f t="shared" si="134"/>
        <v>3.4736842105263164</v>
      </c>
      <c r="R408" s="11">
        <f>IFERROR(IF(B408="Reynolds",VLOOKUP(H408,'Yield &amp; Time'!A:U,21,0),VLOOKUP(H408,'Yield &amp; Time'!A:L,12,0)),0)</f>
        <v>1.4626834381551361</v>
      </c>
      <c r="S408" s="11">
        <f t="shared" si="126"/>
        <v>0.99023668763102701</v>
      </c>
      <c r="T408" s="11">
        <f t="shared" si="127"/>
        <v>4.8756114605171201E-2</v>
      </c>
      <c r="U408" s="11">
        <f>IF(A407=A408,0,VLOOKUP(A408,'Packing Time'!A:F,6,0))</f>
        <v>1.44</v>
      </c>
      <c r="V408" s="11">
        <f t="shared" si="118"/>
        <v>0.48743999999999993</v>
      </c>
      <c r="W408" s="11">
        <f t="shared" si="119"/>
        <v>2.4E-2</v>
      </c>
      <c r="X408" s="11">
        <f t="shared" si="128"/>
        <v>2.3642827002096434</v>
      </c>
      <c r="Y408" s="11">
        <f t="shared" si="120"/>
        <v>2.3642827002096434</v>
      </c>
      <c r="Z408" s="37">
        <v>1</v>
      </c>
      <c r="AA408" s="36">
        <f t="shared" si="129"/>
        <v>2.6315789473684212</v>
      </c>
      <c r="AB408" s="36">
        <f t="shared" si="130"/>
        <v>3.4736842105263164</v>
      </c>
      <c r="AC408" s="11">
        <f t="shared" si="131"/>
        <v>0.11640978336827393</v>
      </c>
      <c r="AD408" s="36">
        <f t="shared" si="121"/>
        <v>2.3642827002096429</v>
      </c>
      <c r="AE408" s="36" t="str">
        <f>VLOOKUP(H408,'Yield &amp; Time'!A:R,18,0)</f>
        <v>CHLORINE</v>
      </c>
      <c r="AF408" s="36">
        <f>IFERROR(VLOOKUP(AE408,'Chemical Cost'!A:D,4,0),0)</f>
        <v>2.7756518066439469E-2</v>
      </c>
      <c r="AG408" s="114">
        <f t="shared" si="132"/>
        <v>2.4347822865297783E-2</v>
      </c>
      <c r="AH408" s="36">
        <f t="shared" si="136"/>
        <v>2.4347822865297783E-2</v>
      </c>
      <c r="AI408" s="36">
        <f t="shared" si="122"/>
        <v>5.8623147336012567</v>
      </c>
      <c r="AJ408" s="36">
        <f>IFERROR(VLOOKUP(A408,'All Products'!A:F,6,0),0)</f>
        <v>10.7</v>
      </c>
      <c r="AK408" s="36">
        <f>AJ408*Z408*J408</f>
        <v>10.7</v>
      </c>
      <c r="AL408" s="23"/>
      <c r="AM408" s="23">
        <v>1</v>
      </c>
      <c r="AN408" s="54" t="e">
        <v>#N/A</v>
      </c>
      <c r="AO408" s="47"/>
      <c r="AP408" s="4">
        <v>1.6</v>
      </c>
      <c r="AQ408" s="111">
        <f t="shared" si="133"/>
        <v>0.11640978336827393</v>
      </c>
      <c r="AR408">
        <f>_xlfn.XLOOKUP(F408,'RM Cost'!A:A,'RM Cost'!S:S)</f>
        <v>0</v>
      </c>
      <c r="AS408" t="e">
        <f>_xlfn.XLOOKUP(A408,[3]Sheet1!$B:$B,[3]Sheet1!$B:$B)</f>
        <v>#N/A</v>
      </c>
    </row>
    <row r="409" spans="1:46" x14ac:dyDescent="0.25">
      <c r="A409" s="1" t="s">
        <v>432</v>
      </c>
      <c r="B409" s="2" t="s">
        <v>552</v>
      </c>
      <c r="C409" s="2" t="s">
        <v>433</v>
      </c>
      <c r="D409" s="2" t="s">
        <v>554</v>
      </c>
      <c r="E409" s="2">
        <v>2</v>
      </c>
      <c r="F409" s="1" t="str">
        <f>VLOOKUP(H409,'RM Used'!A:B,2,0)</f>
        <v>P0006</v>
      </c>
      <c r="G409" s="1" t="str">
        <f>IFERROR(VLOOKUP(F409,'RM Cost'!A:B,2,0),"")</f>
        <v>HDPE TRAY 573</v>
      </c>
      <c r="H409" s="2" t="s">
        <v>4666</v>
      </c>
      <c r="I409" s="1" t="str">
        <f>VLOOKUP(F409,'RM Used'!B:D,3,0)</f>
        <v>RM-PACKING</v>
      </c>
      <c r="J409" s="66">
        <v>1</v>
      </c>
      <c r="K409" s="35" t="str">
        <f t="shared" si="117"/>
        <v/>
      </c>
      <c r="L409" s="35">
        <f t="shared" si="125"/>
        <v>0</v>
      </c>
      <c r="M409" s="77" t="str" cm="1">
        <f t="array" ref="M409">_xlfn.IFS(BOM!I409="RM-PACKING","100%",B409="Reynolds",VLOOKUP(H409,'Yield &amp; Time'!A:V,22,0),BOM!B409="Dnata",VLOOKUP(BOM!H409,'Yield &amp; Time'!A:M,13,0),B409="NK",VLOOKUP(H409,'Yield &amp; Time'!A:X,24,0))</f>
        <v>100%</v>
      </c>
      <c r="N409" s="35">
        <v>2</v>
      </c>
      <c r="O409" s="1" t="str">
        <f>VLOOKUP(H409,'RM Used'!A:E,5,0)</f>
        <v>Count</v>
      </c>
      <c r="P409" s="11">
        <f>VLOOKUP(H409,'RM Used'!A:F,6,0)</f>
        <v>0.57999999999999996</v>
      </c>
      <c r="Q409" s="11">
        <f t="shared" si="134"/>
        <v>1.1599999999999999</v>
      </c>
      <c r="R409" s="11">
        <f>IFERROR(IF(B409="Reynolds",VLOOKUP(H409,'Yield &amp; Time'!A:U,21,0),VLOOKUP(H409,'Yield &amp; Time'!A:L,12,0)),0)</f>
        <v>0</v>
      </c>
      <c r="S409" s="11">
        <f t="shared" si="126"/>
        <v>0</v>
      </c>
      <c r="T409" s="11">
        <f t="shared" si="127"/>
        <v>0</v>
      </c>
      <c r="U409" s="11">
        <f>IF(A408=A409,0,VLOOKUP(A409,'Packing Time'!A:F,6,0))</f>
        <v>0</v>
      </c>
      <c r="V409" s="11">
        <f t="shared" si="118"/>
        <v>0</v>
      </c>
      <c r="W409" s="11">
        <f t="shared" si="119"/>
        <v>0</v>
      </c>
      <c r="X409" s="11">
        <f t="shared" si="128"/>
        <v>0</v>
      </c>
      <c r="Y409" s="11">
        <f t="shared" si="120"/>
        <v>0</v>
      </c>
      <c r="Z409" s="37">
        <v>1</v>
      </c>
      <c r="AA409" s="36">
        <f t="shared" si="129"/>
        <v>2</v>
      </c>
      <c r="AB409" s="36">
        <f t="shared" si="130"/>
        <v>1.1599999999999999</v>
      </c>
      <c r="AC409" s="11">
        <f t="shared" si="131"/>
        <v>0</v>
      </c>
      <c r="AD409" s="36">
        <f t="shared" si="121"/>
        <v>0</v>
      </c>
      <c r="AE409" s="36"/>
      <c r="AF409" s="36">
        <f>IFERROR(VLOOKUP(AE409,'Chemical Cost'!A:D,4,0),0)</f>
        <v>0</v>
      </c>
      <c r="AG409" s="114">
        <f t="shared" si="132"/>
        <v>0</v>
      </c>
      <c r="AH409" s="36">
        <f t="shared" si="136"/>
        <v>0</v>
      </c>
      <c r="AI409" s="36">
        <f t="shared" si="122"/>
        <v>1.1599999999999999</v>
      </c>
      <c r="AJ409" s="36">
        <f>IFERROR(VLOOKUP(A409,'All Products'!A:F,6,0),0)</f>
        <v>10.7</v>
      </c>
      <c r="AK409" s="36"/>
      <c r="AL409" s="23"/>
      <c r="AM409" s="23">
        <v>1</v>
      </c>
      <c r="AN409" s="54" t="e">
        <v>#N/A</v>
      </c>
      <c r="AO409" s="47"/>
      <c r="AP409" s="4">
        <v>1.6</v>
      </c>
      <c r="AQ409" s="111">
        <f t="shared" si="133"/>
        <v>0</v>
      </c>
      <c r="AR409">
        <f>_xlfn.XLOOKUP(F409,'RM Cost'!A:A,'RM Cost'!S:S)</f>
        <v>0</v>
      </c>
      <c r="AS409" t="e">
        <f>_xlfn.XLOOKUP(A409,[3]Sheet1!$B:$B,[3]Sheet1!$B:$B)</f>
        <v>#N/A</v>
      </c>
    </row>
    <row r="410" spans="1:46" x14ac:dyDescent="0.25">
      <c r="A410" s="1" t="s">
        <v>432</v>
      </c>
      <c r="B410" s="2" t="s">
        <v>552</v>
      </c>
      <c r="C410" s="2" t="s">
        <v>433</v>
      </c>
      <c r="D410" s="2" t="s">
        <v>554</v>
      </c>
      <c r="E410" s="2">
        <v>2</v>
      </c>
      <c r="F410" s="1" t="str">
        <f>VLOOKUP(H410,'RM Used'!A:B,2,0)</f>
        <v>P0022</v>
      </c>
      <c r="G410" s="1" t="str">
        <f>IFERROR(VLOOKUP(F410,'RM Cost'!A:B,2,0),"")</f>
        <v>FILM FOR HDPE TRAY 573</v>
      </c>
      <c r="H410" s="2" t="s">
        <v>4667</v>
      </c>
      <c r="I410" s="1" t="str">
        <f>VLOOKUP(F410,'RM Used'!B:D,3,0)</f>
        <v>RM-PACKING</v>
      </c>
      <c r="J410" s="66">
        <v>1</v>
      </c>
      <c r="K410" s="35" t="str">
        <f>IF(I410="RM-FOOD",J410*E410,"")</f>
        <v/>
      </c>
      <c r="L410" s="35">
        <f t="shared" si="125"/>
        <v>0</v>
      </c>
      <c r="M410" s="77" t="str" cm="1">
        <f t="array" ref="M410">_xlfn.IFS(BOM!I410="RM-PACKING","100%",B410="Reynolds",VLOOKUP(H410,'Yield &amp; Time'!A:V,22,0),BOM!B410="Dnata",VLOOKUP(BOM!H410,'Yield &amp; Time'!A:M,13,0),B410="NK",VLOOKUP(H410,'Yield &amp; Time'!A:X,24,0))</f>
        <v>100%</v>
      </c>
      <c r="N410" s="35">
        <v>2</v>
      </c>
      <c r="O410" s="1" t="str">
        <f>VLOOKUP(H410,'RM Used'!A:E,5,0)</f>
        <v>Count</v>
      </c>
      <c r="P410" s="11">
        <f>VLOOKUP(H410,'RM Used'!A:F,6,0)</f>
        <v>0.05</v>
      </c>
      <c r="Q410" s="11">
        <f t="shared" si="134"/>
        <v>0.1</v>
      </c>
      <c r="R410" s="11">
        <f>IFERROR(IF(B410="Reynolds",VLOOKUP(H410,'Yield &amp; Time'!A:U,21,0),VLOOKUP(H410,'Yield &amp; Time'!A:L,12,0)),0)</f>
        <v>0</v>
      </c>
      <c r="S410" s="11">
        <f t="shared" si="126"/>
        <v>0</v>
      </c>
      <c r="T410" s="11">
        <f t="shared" si="127"/>
        <v>0</v>
      </c>
      <c r="U410" s="11">
        <f>IF(A409=A410,0,VLOOKUP(A410,'Packing Time'!A:F,6,0))</f>
        <v>0</v>
      </c>
      <c r="V410" s="11">
        <f>U410*AO$1</f>
        <v>0</v>
      </c>
      <c r="W410" s="11">
        <f>(U410*Z410)/60</f>
        <v>0</v>
      </c>
      <c r="X410" s="11">
        <f t="shared" si="128"/>
        <v>0</v>
      </c>
      <c r="Y410" s="11">
        <f>X410*Z410</f>
        <v>0</v>
      </c>
      <c r="Z410" s="37">
        <v>1</v>
      </c>
      <c r="AA410" s="36">
        <f t="shared" si="129"/>
        <v>2</v>
      </c>
      <c r="AB410" s="36">
        <f t="shared" si="130"/>
        <v>0.1</v>
      </c>
      <c r="AC410" s="11">
        <f t="shared" si="131"/>
        <v>0</v>
      </c>
      <c r="AD410" s="36">
        <f>AC410*60*AO$1</f>
        <v>0</v>
      </c>
      <c r="AE410" s="36"/>
      <c r="AF410" s="36">
        <f>IFERROR(VLOOKUP(AE410,'Chemical Cost'!A:D,4,0),0)</f>
        <v>0</v>
      </c>
      <c r="AG410" s="114">
        <f t="shared" si="132"/>
        <v>0</v>
      </c>
      <c r="AH410" s="36">
        <f>AF410*AA410/3</f>
        <v>0</v>
      </c>
      <c r="AI410" s="36">
        <f>IFERROR((Q410*Z410)+(Z410*X410)+AH410,0)</f>
        <v>0.1</v>
      </c>
      <c r="AJ410" s="36">
        <f>IFERROR(VLOOKUP(A410,'All Products'!A:F,6,0),0)</f>
        <v>10.7</v>
      </c>
      <c r="AK410" s="36"/>
      <c r="AL410" s="23"/>
      <c r="AM410" s="23">
        <v>1</v>
      </c>
      <c r="AN410" s="54" t="e">
        <v>#N/A</v>
      </c>
      <c r="AO410" s="47"/>
      <c r="AP410" s="4">
        <v>1.6</v>
      </c>
      <c r="AQ410" s="111">
        <f t="shared" si="133"/>
        <v>0</v>
      </c>
      <c r="AR410">
        <f>_xlfn.XLOOKUP(F410,'RM Cost'!A:A,'RM Cost'!S:S)</f>
        <v>0</v>
      </c>
      <c r="AS410" t="e">
        <f>_xlfn.XLOOKUP(A410,[3]Sheet1!$B:$B,[3]Sheet1!$B:$B)</f>
        <v>#N/A</v>
      </c>
    </row>
    <row r="411" spans="1:46" x14ac:dyDescent="0.25">
      <c r="A411" s="1" t="s">
        <v>432</v>
      </c>
      <c r="B411" s="2" t="s">
        <v>552</v>
      </c>
      <c r="C411" s="2" t="s">
        <v>433</v>
      </c>
      <c r="D411" s="2" t="s">
        <v>554</v>
      </c>
      <c r="E411" s="2">
        <v>2</v>
      </c>
      <c r="F411" s="1" t="str">
        <f>VLOOKUP(H411,'RM Used'!A:B,2,0)</f>
        <v>P0016</v>
      </c>
      <c r="G411" s="1" t="str">
        <f>IFERROR(VLOOKUP(F411,'RM Cost'!A:B,2,0),"")</f>
        <v>REY 40 30 BOX</v>
      </c>
      <c r="H411" s="2" t="s">
        <v>1332</v>
      </c>
      <c r="I411" s="1" t="str">
        <f>VLOOKUP(F411,'RM Used'!B:D,3,0)</f>
        <v>RM-PACKING</v>
      </c>
      <c r="J411" s="66">
        <v>1</v>
      </c>
      <c r="K411" s="35" t="str">
        <f t="shared" si="117"/>
        <v/>
      </c>
      <c r="L411" s="35">
        <f t="shared" si="125"/>
        <v>0</v>
      </c>
      <c r="M411" s="77" t="str" cm="1">
        <f t="array" ref="M411">_xlfn.IFS(BOM!I411="RM-PACKING","100%",B411="Reynolds",VLOOKUP(H411,'Yield &amp; Time'!A:V,22,0),BOM!B411="Dnata",VLOOKUP(BOM!H411,'Yield &amp; Time'!A:M,13,0),B411="NK",VLOOKUP(H411,'Yield &amp; Time'!A:X,24,0))</f>
        <v>100%</v>
      </c>
      <c r="N411" s="35">
        <f>IFERROR(IF(I411="RM-FOOD",(E411*J411)/M411,1),0)</f>
        <v>1</v>
      </c>
      <c r="O411" s="1" t="str">
        <f>VLOOKUP(H411,'RM Used'!A:E,5,0)</f>
        <v>Count</v>
      </c>
      <c r="P411" s="11">
        <f>VLOOKUP(H411,'RM Used'!A:F,6,0)</f>
        <v>0.28000000000000003</v>
      </c>
      <c r="Q411" s="11">
        <f t="shared" si="134"/>
        <v>0.28000000000000003</v>
      </c>
      <c r="R411" s="11">
        <f>IFERROR(IF(B411="Reynolds",VLOOKUP(H411,'Yield &amp; Time'!A:U,21,0),VLOOKUP(H411,'Yield &amp; Time'!A:L,12,0)),0)</f>
        <v>0</v>
      </c>
      <c r="S411" s="11">
        <f t="shared" si="126"/>
        <v>0</v>
      </c>
      <c r="T411" s="11">
        <f t="shared" si="127"/>
        <v>0</v>
      </c>
      <c r="U411" s="11">
        <f>IF(A410=A411,0,VLOOKUP(A411,'Packing Time'!A:F,6,0))</f>
        <v>0</v>
      </c>
      <c r="V411" s="11">
        <f t="shared" si="118"/>
        <v>0</v>
      </c>
      <c r="W411" s="11">
        <f t="shared" si="119"/>
        <v>0</v>
      </c>
      <c r="X411" s="11">
        <f t="shared" si="128"/>
        <v>0</v>
      </c>
      <c r="Y411" s="11">
        <f t="shared" si="120"/>
        <v>0</v>
      </c>
      <c r="Z411" s="37">
        <v>1</v>
      </c>
      <c r="AA411" s="36">
        <f t="shared" si="129"/>
        <v>1</v>
      </c>
      <c r="AB411" s="36">
        <f t="shared" si="130"/>
        <v>0.28000000000000003</v>
      </c>
      <c r="AC411" s="11">
        <f t="shared" si="131"/>
        <v>0</v>
      </c>
      <c r="AD411" s="36">
        <f t="shared" si="121"/>
        <v>0</v>
      </c>
      <c r="AE411" s="36"/>
      <c r="AF411" s="36">
        <f>IFERROR(VLOOKUP(AE411,'Chemical Cost'!A:D,4,0),0)</f>
        <v>0</v>
      </c>
      <c r="AG411" s="114">
        <f t="shared" si="132"/>
        <v>0</v>
      </c>
      <c r="AH411" s="36">
        <f t="shared" si="136"/>
        <v>0</v>
      </c>
      <c r="AI411" s="36">
        <f t="shared" si="122"/>
        <v>0.28000000000000003</v>
      </c>
      <c r="AJ411" s="36">
        <f>IFERROR(VLOOKUP(A411,'All Products'!A:F,6,0),0)</f>
        <v>10.7</v>
      </c>
      <c r="AK411" s="36"/>
      <c r="AL411" s="23"/>
      <c r="AM411" s="23">
        <v>1</v>
      </c>
      <c r="AN411" s="54" t="e">
        <v>#N/A</v>
      </c>
      <c r="AO411" s="47"/>
      <c r="AP411" s="4">
        <v>1.6</v>
      </c>
      <c r="AQ411" s="111">
        <f t="shared" si="133"/>
        <v>0</v>
      </c>
      <c r="AR411">
        <f>_xlfn.XLOOKUP(F411,'RM Cost'!A:A,'RM Cost'!S:S)</f>
        <v>0</v>
      </c>
      <c r="AS411" t="e">
        <f>_xlfn.XLOOKUP(A411,[3]Sheet1!$B:$B,[3]Sheet1!$B:$B)</f>
        <v>#N/A</v>
      </c>
    </row>
    <row r="412" spans="1:46" x14ac:dyDescent="0.25">
      <c r="A412" s="15" t="s">
        <v>279</v>
      </c>
      <c r="B412" s="2" t="s">
        <v>552</v>
      </c>
      <c r="C412" s="2" t="s">
        <v>655</v>
      </c>
      <c r="D412" s="2" t="s">
        <v>554</v>
      </c>
      <c r="E412" s="2">
        <v>1</v>
      </c>
      <c r="F412" s="1" t="str">
        <f>VLOOKUP(H412,'RM Used'!A:B,2,0)</f>
        <v>0930CS</v>
      </c>
      <c r="G412" s="1" t="str">
        <f>IFERROR(VLOOKUP(F412,'RM Cost'!A:B,2,0),"")</f>
        <v>RM - COURGETTE STANDARD</v>
      </c>
      <c r="H412" s="2" t="s">
        <v>1356</v>
      </c>
      <c r="I412" s="1" t="str">
        <f>VLOOKUP(F412,'RM Used'!B:D,3,0)</f>
        <v>RM-FOOD</v>
      </c>
      <c r="J412" s="66">
        <v>1</v>
      </c>
      <c r="K412" s="35">
        <f t="shared" si="117"/>
        <v>1</v>
      </c>
      <c r="L412" s="35">
        <f t="shared" si="125"/>
        <v>1</v>
      </c>
      <c r="M412" s="77" cm="1">
        <f t="array" ref="M412">_xlfn.IFS(BOM!I412="RM-PACKING","100%",B412="Reynolds",VLOOKUP(H412,'Yield &amp; Time'!A:V,22,0),BOM!B412="Dnata",VLOOKUP(BOM!H412,'Yield &amp; Time'!A:M,13,0),B412="NK",VLOOKUP(H412,'Yield &amp; Time'!A:X,24,0))</f>
        <v>0.75000000000000011</v>
      </c>
      <c r="N412" s="35">
        <f>IFERROR(IF(I412="RM-FOOD",(E412*J412)/M412,1),0)</f>
        <v>1.333333333333333</v>
      </c>
      <c r="O412" s="1" t="str">
        <f>VLOOKUP(H412,'RM Used'!A:E,5,0)</f>
        <v>KG</v>
      </c>
      <c r="P412" s="11">
        <f>VLOOKUP(H412,'RM Used'!A:F,6,0)</f>
        <v>1.1000000000000001</v>
      </c>
      <c r="Q412" s="11">
        <f t="shared" si="134"/>
        <v>1.4666666666666666</v>
      </c>
      <c r="R412" s="11">
        <f>IFERROR(IF(B412="Reynolds",VLOOKUP(H412,'Yield &amp; Time'!A:U,21,0),VLOOKUP(H412,'Yield &amp; Time'!A:L,12,0)),0)</f>
        <v>1.2000000000000002</v>
      </c>
      <c r="S412" s="11">
        <f t="shared" si="126"/>
        <v>0.40620000000000001</v>
      </c>
      <c r="T412" s="11">
        <f t="shared" si="127"/>
        <v>2.0000000000000004E-2</v>
      </c>
      <c r="U412" s="11">
        <f>IF(A411=A412,0,VLOOKUP(A412,'Packing Time'!A:F,6,0))</f>
        <v>1.0499999999999998</v>
      </c>
      <c r="V412" s="11">
        <f t="shared" si="118"/>
        <v>0.35542499999999988</v>
      </c>
      <c r="W412" s="11">
        <f t="shared" si="119"/>
        <v>1.7499999999999998E-2</v>
      </c>
      <c r="X412" s="11">
        <f t="shared" si="128"/>
        <v>0.83778749999999991</v>
      </c>
      <c r="Y412" s="11">
        <f t="shared" si="120"/>
        <v>0.83778749999999991</v>
      </c>
      <c r="Z412" s="37">
        <v>1</v>
      </c>
      <c r="AA412" s="36">
        <f t="shared" si="129"/>
        <v>1.333333333333333</v>
      </c>
      <c r="AB412" s="36">
        <f t="shared" si="130"/>
        <v>1.4666666666666666</v>
      </c>
      <c r="AC412" s="11">
        <f t="shared" si="131"/>
        <v>4.1250000000000002E-2</v>
      </c>
      <c r="AD412" s="36">
        <f t="shared" si="121"/>
        <v>0.83778749999999991</v>
      </c>
      <c r="AE412" s="36" t="str">
        <f>VLOOKUP(H412,'Yield &amp; Time'!A:R,18,0)</f>
        <v>CHLORINE</v>
      </c>
      <c r="AF412" s="36">
        <f>IFERROR(VLOOKUP(AE412,'Chemical Cost'!A:D,4,0),0)</f>
        <v>2.7756518066439469E-2</v>
      </c>
      <c r="AG412" s="114">
        <f t="shared" si="132"/>
        <v>1.2336230251750872E-2</v>
      </c>
      <c r="AH412" s="36">
        <f t="shared" si="136"/>
        <v>1.2336230251750872E-2</v>
      </c>
      <c r="AI412" s="36">
        <f t="shared" si="122"/>
        <v>2.3167903969184174</v>
      </c>
      <c r="AJ412" s="36">
        <f>IFERROR(VLOOKUP(A412,'All Products'!A:F,6,0),0)</f>
        <v>5.22</v>
      </c>
      <c r="AK412" s="36">
        <f>AJ412*Z412*J412</f>
        <v>5.22</v>
      </c>
      <c r="AL412" s="23"/>
      <c r="AM412" s="23">
        <v>1</v>
      </c>
      <c r="AN412" s="54" t="e">
        <v>#N/A</v>
      </c>
      <c r="AO412" s="47"/>
      <c r="AP412" s="4">
        <v>1.1000000000000001</v>
      </c>
      <c r="AQ412" s="111">
        <f t="shared" si="133"/>
        <v>4.1250000000000002E-2</v>
      </c>
      <c r="AR412">
        <f>_xlfn.XLOOKUP(F412,'RM Cost'!A:A,'RM Cost'!S:S)</f>
        <v>1.1644775886170367</v>
      </c>
      <c r="AS412" t="str">
        <f>_xlfn.XLOOKUP(A412,[3]Sheet1!$B:$B,[3]Sheet1!$B:$B)</f>
        <v>916ACS</v>
      </c>
      <c r="AT412">
        <f>_xlfn.XLOOKUP(H412,'Yield &amp; Time'!A:A,'Yield &amp; Time'!F:F)</f>
        <v>0</v>
      </c>
    </row>
    <row r="413" spans="1:46" x14ac:dyDescent="0.25">
      <c r="A413" s="15" t="s">
        <v>279</v>
      </c>
      <c r="B413" s="2" t="s">
        <v>552</v>
      </c>
      <c r="C413" s="2" t="s">
        <v>655</v>
      </c>
      <c r="D413" s="2" t="s">
        <v>554</v>
      </c>
      <c r="E413" s="2">
        <v>1</v>
      </c>
      <c r="F413" s="1" t="str">
        <f>VLOOKUP(H413,'RM Used'!A:B,2,0)</f>
        <v>P0020</v>
      </c>
      <c r="G413" s="1" t="str">
        <f>IFERROR(VLOOKUP(F413,'RM Cost'!A:B,2,0),"")</f>
        <v>PALE BLUE BAG 430X430MM</v>
      </c>
      <c r="H413" s="2" t="s">
        <v>1659</v>
      </c>
      <c r="I413" s="1" t="str">
        <f>VLOOKUP(F413,'RM Used'!B:D,3,0)</f>
        <v>RM-PACKING</v>
      </c>
      <c r="J413" s="66">
        <v>1</v>
      </c>
      <c r="K413" s="35" t="str">
        <f t="shared" si="117"/>
        <v/>
      </c>
      <c r="L413" s="35">
        <f t="shared" si="125"/>
        <v>0</v>
      </c>
      <c r="M413" s="77" t="str" cm="1">
        <f t="array" ref="M413">_xlfn.IFS(BOM!I413="RM-PACKING","100%",B413="Reynolds",VLOOKUP(H413,'Yield &amp; Time'!A:V,22,0),BOM!B413="Dnata",VLOOKUP(BOM!H413,'Yield &amp; Time'!A:M,13,0),B413="NK",VLOOKUP(H413,'Yield &amp; Time'!A:X,24,0))</f>
        <v>100%</v>
      </c>
      <c r="N413" s="35">
        <v>2</v>
      </c>
      <c r="O413" s="1" t="str">
        <f>VLOOKUP(H413,'RM Used'!A:E,5,0)</f>
        <v>Count</v>
      </c>
      <c r="P413" s="11">
        <f>VLOOKUP(H413,'RM Used'!A:F,6,0)</f>
        <v>0.09</v>
      </c>
      <c r="Q413" s="11">
        <f t="shared" si="134"/>
        <v>0.18</v>
      </c>
      <c r="R413" s="11">
        <f>IFERROR(IF(B413="Reynolds",VLOOKUP(H413,'Yield &amp; Time'!A:U,21,0),VLOOKUP(H413,'Yield &amp; Time'!A:L,12,0)),0)</f>
        <v>0</v>
      </c>
      <c r="S413" s="11">
        <f t="shared" si="126"/>
        <v>0</v>
      </c>
      <c r="T413" s="11">
        <f t="shared" si="127"/>
        <v>0</v>
      </c>
      <c r="U413" s="11">
        <f>IF(A412=A413,0,VLOOKUP(A413,'Packing Time'!A:F,6,0))</f>
        <v>0</v>
      </c>
      <c r="V413" s="11">
        <f t="shared" si="118"/>
        <v>0</v>
      </c>
      <c r="W413" s="11">
        <f t="shared" si="119"/>
        <v>0</v>
      </c>
      <c r="X413" s="11">
        <f t="shared" si="128"/>
        <v>0</v>
      </c>
      <c r="Y413" s="11">
        <f t="shared" si="120"/>
        <v>0</v>
      </c>
      <c r="Z413" s="37">
        <v>1</v>
      </c>
      <c r="AA413" s="36">
        <f t="shared" si="129"/>
        <v>2</v>
      </c>
      <c r="AB413" s="36">
        <f t="shared" si="130"/>
        <v>0.18</v>
      </c>
      <c r="AC413" s="11">
        <f t="shared" si="131"/>
        <v>0</v>
      </c>
      <c r="AD413" s="36">
        <f t="shared" si="121"/>
        <v>0</v>
      </c>
      <c r="AE413" s="36"/>
      <c r="AF413" s="36">
        <f>IFERROR(VLOOKUP(AE413,'Chemical Cost'!A:D,4,0),0)</f>
        <v>0</v>
      </c>
      <c r="AG413" s="114">
        <f t="shared" si="132"/>
        <v>0</v>
      </c>
      <c r="AH413" s="36">
        <f t="shared" si="136"/>
        <v>0</v>
      </c>
      <c r="AI413" s="36">
        <f t="shared" si="122"/>
        <v>0.18</v>
      </c>
      <c r="AJ413" s="36">
        <f>IFERROR(VLOOKUP(A413,'All Products'!A:F,6,0),0)</f>
        <v>5.22</v>
      </c>
      <c r="AK413" s="36"/>
      <c r="AL413" s="23"/>
      <c r="AM413" s="23">
        <v>1</v>
      </c>
      <c r="AN413" s="54" t="e">
        <v>#N/A</v>
      </c>
      <c r="AO413" s="47"/>
      <c r="AP413" s="4">
        <v>1.1000000000000001</v>
      </c>
      <c r="AQ413" s="111">
        <f t="shared" si="133"/>
        <v>0</v>
      </c>
      <c r="AR413">
        <f>_xlfn.XLOOKUP(F413,'RM Cost'!A:A,'RM Cost'!S:S)</f>
        <v>0</v>
      </c>
      <c r="AS413" t="str">
        <f>_xlfn.XLOOKUP(A413,[3]Sheet1!$B:$B,[3]Sheet1!$B:$B)</f>
        <v>916ACS</v>
      </c>
      <c r="AT413" t="e">
        <f>_xlfn.XLOOKUP(H413,'Yield &amp; Time'!A:A,'Yield &amp; Time'!F:F)</f>
        <v>#N/A</v>
      </c>
    </row>
    <row r="414" spans="1:46" x14ac:dyDescent="0.25">
      <c r="A414" s="15" t="s">
        <v>279</v>
      </c>
      <c r="B414" s="2" t="s">
        <v>552</v>
      </c>
      <c r="C414" s="2" t="s">
        <v>655</v>
      </c>
      <c r="D414" s="2" t="s">
        <v>554</v>
      </c>
      <c r="E414" s="2">
        <v>1</v>
      </c>
      <c r="F414" s="1" t="str">
        <f>VLOOKUP(H414,'RM Used'!A:B,2,0)</f>
        <v>P0016</v>
      </c>
      <c r="G414" s="1" t="str">
        <f>IFERROR(VLOOKUP(F414,'RM Cost'!A:B,2,0),"")</f>
        <v>REY 40 30 BOX</v>
      </c>
      <c r="H414" s="2" t="s">
        <v>1332</v>
      </c>
      <c r="I414" s="1" t="str">
        <f>VLOOKUP(F414,'RM Used'!B:D,3,0)</f>
        <v>RM-PACKING</v>
      </c>
      <c r="J414" s="66">
        <v>1</v>
      </c>
      <c r="K414" s="35" t="str">
        <f>IF(I414="RM-FOOD",J414*E414,"")</f>
        <v/>
      </c>
      <c r="L414" s="35">
        <f t="shared" si="125"/>
        <v>0</v>
      </c>
      <c r="M414" s="77" t="str" cm="1">
        <f t="array" ref="M414">_xlfn.IFS(BOM!I414="RM-PACKING","100%",B414="Reynolds",VLOOKUP(H414,'Yield &amp; Time'!A:V,22,0),BOM!B414="Dnata",VLOOKUP(BOM!H414,'Yield &amp; Time'!A:M,13,0),B414="NK",VLOOKUP(H414,'Yield &amp; Time'!A:X,24,0))</f>
        <v>100%</v>
      </c>
      <c r="N414" s="35">
        <v>2</v>
      </c>
      <c r="O414" s="1" t="str">
        <f>VLOOKUP(H414,'RM Used'!A:E,5,0)</f>
        <v>Count</v>
      </c>
      <c r="P414" s="11">
        <f>VLOOKUP(H414,'RM Used'!A:F,6,0)</f>
        <v>0.28000000000000003</v>
      </c>
      <c r="Q414" s="11">
        <f t="shared" si="134"/>
        <v>0.56000000000000005</v>
      </c>
      <c r="R414" s="11">
        <f>IFERROR(IF(B414="Reynolds",VLOOKUP(H414,'Yield &amp; Time'!A:U,21,0),VLOOKUP(H414,'Yield &amp; Time'!A:L,12,0)),0)</f>
        <v>0</v>
      </c>
      <c r="S414" s="11">
        <f t="shared" si="126"/>
        <v>0</v>
      </c>
      <c r="T414" s="11">
        <f t="shared" si="127"/>
        <v>0</v>
      </c>
      <c r="U414" s="11">
        <f>IF(A413=A414,0,VLOOKUP(A414,'Packing Time'!A:F,6,0))</f>
        <v>0</v>
      </c>
      <c r="V414" s="11">
        <f>U414*AO$1</f>
        <v>0</v>
      </c>
      <c r="W414" s="11">
        <f>(U414*Z414)/60</f>
        <v>0</v>
      </c>
      <c r="X414" s="11">
        <f t="shared" si="128"/>
        <v>0</v>
      </c>
      <c r="Y414" s="11">
        <f>X414*Z414</f>
        <v>0</v>
      </c>
      <c r="Z414" s="37">
        <v>1</v>
      </c>
      <c r="AA414" s="36">
        <f t="shared" si="129"/>
        <v>2</v>
      </c>
      <c r="AB414" s="36">
        <f t="shared" si="130"/>
        <v>0.56000000000000005</v>
      </c>
      <c r="AC414" s="11">
        <f t="shared" si="131"/>
        <v>0</v>
      </c>
      <c r="AD414" s="36">
        <f>AC414*60*AO$1</f>
        <v>0</v>
      </c>
      <c r="AE414" s="36"/>
      <c r="AF414" s="36">
        <f>IFERROR(VLOOKUP(AE414,'Chemical Cost'!A:D,4,0),0)</f>
        <v>0</v>
      </c>
      <c r="AG414" s="114">
        <f t="shared" si="132"/>
        <v>0</v>
      </c>
      <c r="AH414" s="36">
        <f>AF414*AA414/3</f>
        <v>0</v>
      </c>
      <c r="AI414" s="36">
        <f>IFERROR((Q414*Z414)+(Z414*X414)+AH414,0)</f>
        <v>0.56000000000000005</v>
      </c>
      <c r="AJ414" s="36">
        <f>IFERROR(VLOOKUP(A414,'All Products'!A:F,6,0),0)</f>
        <v>5.22</v>
      </c>
      <c r="AK414" s="36"/>
      <c r="AL414" s="23"/>
      <c r="AM414" s="23">
        <v>1</v>
      </c>
      <c r="AN414" s="54" t="e">
        <v>#N/A</v>
      </c>
      <c r="AO414" s="47"/>
      <c r="AP414" s="4">
        <v>1.1000000000000001</v>
      </c>
      <c r="AQ414" s="111">
        <f t="shared" si="133"/>
        <v>0</v>
      </c>
      <c r="AR414">
        <f>_xlfn.XLOOKUP(F414,'RM Cost'!A:A,'RM Cost'!S:S)</f>
        <v>0</v>
      </c>
      <c r="AS414" t="str">
        <f>_xlfn.XLOOKUP(A414,[3]Sheet1!$B:$B,[3]Sheet1!$B:$B)</f>
        <v>916ACS</v>
      </c>
      <c r="AT414" t="e">
        <f>_xlfn.XLOOKUP(H414,'Yield &amp; Time'!A:A,'Yield &amp; Time'!F:F)</f>
        <v>#N/A</v>
      </c>
    </row>
    <row r="415" spans="1:46" x14ac:dyDescent="0.25">
      <c r="A415" s="2" t="s">
        <v>657</v>
      </c>
      <c r="B415" s="2" t="s">
        <v>656</v>
      </c>
      <c r="C415" s="2" t="s">
        <v>658</v>
      </c>
      <c r="D415" s="2" t="s">
        <v>554</v>
      </c>
      <c r="E415" s="2">
        <v>1</v>
      </c>
      <c r="F415" s="1" t="str">
        <f>VLOOKUP(H415,'RM Used'!A:B,2,0)</f>
        <v>3080CS</v>
      </c>
      <c r="G415" s="1" t="str">
        <f>IFERROR(VLOOKUP(F415,'RM Cost'!A:B,2,0),"")</f>
        <v>RM - SAVOY CABBAGE 1 X 5KG</v>
      </c>
      <c r="H415" s="2" t="s">
        <v>1469</v>
      </c>
      <c r="I415" s="1" t="str">
        <f>VLOOKUP(F415,'RM Used'!B:D,3,0)</f>
        <v>RM-FOOD</v>
      </c>
      <c r="J415" s="66">
        <v>1</v>
      </c>
      <c r="K415" s="35">
        <f t="shared" si="117"/>
        <v>1</v>
      </c>
      <c r="L415" s="35">
        <f t="shared" si="125"/>
        <v>1</v>
      </c>
      <c r="M415" s="77" cm="1">
        <f t="array" ref="M415">_xlfn.IFS(BOM!I415="RM-PACKING","100%",B415="Reynolds",VLOOKUP(H415,'Yield &amp; Time'!A:V,22,0),BOM!B415="Dnata",VLOOKUP(BOM!H415,'Yield &amp; Time'!A:M,13,0),B415="NK",VLOOKUP(H415,'Yield &amp; Time'!A:X,24,0))</f>
        <v>0.65384615384615385</v>
      </c>
      <c r="N415" s="35">
        <f t="shared" ref="N415:N478" si="137">IFERROR(IF(I415="RM-FOOD",(E415*J415)/M415,1),0)</f>
        <v>1.5294117647058822</v>
      </c>
      <c r="O415" s="1" t="str">
        <f>VLOOKUP(H415,'RM Used'!A:E,5,0)</f>
        <v>KG</v>
      </c>
      <c r="P415" s="11">
        <f>VLOOKUP(H415,'RM Used'!A:F,6,0)</f>
        <v>0.76</v>
      </c>
      <c r="Q415" s="11">
        <f t="shared" si="134"/>
        <v>1.1623529411764706</v>
      </c>
      <c r="R415" s="11">
        <f>IFERROR(IF(B415="Reynolds",VLOOKUP(H415,'Yield &amp; Time'!A:U,21,0),VLOOKUP(H415,'Yield &amp; Time'!A:L,12,0)),0)</f>
        <v>2.2176470588235295</v>
      </c>
      <c r="S415" s="11">
        <f t="shared" si="126"/>
        <v>0.75067352941176468</v>
      </c>
      <c r="T415" s="11">
        <f t="shared" si="127"/>
        <v>3.6960784313725493E-2</v>
      </c>
      <c r="U415" s="11">
        <f>IF(A413=A415,0,VLOOKUP(A415,'Packing Time'!A:F,6,0))</f>
        <v>0.64166666666666661</v>
      </c>
      <c r="V415" s="11">
        <f t="shared" si="118"/>
        <v>0.21720416666666661</v>
      </c>
      <c r="W415" s="11">
        <f t="shared" si="119"/>
        <v>1.0694444444444444E-2</v>
      </c>
      <c r="X415" s="11">
        <f t="shared" si="128"/>
        <v>1.5486043137254901</v>
      </c>
      <c r="Y415" s="11">
        <f t="shared" si="120"/>
        <v>1.5486043137254901</v>
      </c>
      <c r="Z415" s="37">
        <v>1</v>
      </c>
      <c r="AA415" s="36">
        <f t="shared" si="129"/>
        <v>1.5294117647058822</v>
      </c>
      <c r="AB415" s="36">
        <f t="shared" si="130"/>
        <v>1.1623529411764706</v>
      </c>
      <c r="AC415" s="11">
        <f t="shared" si="131"/>
        <v>7.6248366013071903E-2</v>
      </c>
      <c r="AD415" s="36">
        <f t="shared" si="121"/>
        <v>1.5486043137254901</v>
      </c>
      <c r="AE415" s="36" t="str">
        <f>VLOOKUP(H415,'Yield &amp; Time'!A:I,9,0)</f>
        <v>CHLORINE</v>
      </c>
      <c r="AF415" s="36">
        <f>IFERROR(VLOOKUP(AE415,'Chemical Cost'!A:D,4,0),0)</f>
        <v>2.7756518066439469E-2</v>
      </c>
      <c r="AG415" s="114">
        <f t="shared" si="132"/>
        <v>1.4150381759361298E-2</v>
      </c>
      <c r="AH415" s="36">
        <f t="shared" si="136"/>
        <v>1.4150381759361298E-2</v>
      </c>
      <c r="AI415" s="36">
        <f t="shared" si="122"/>
        <v>2.7251076366613218</v>
      </c>
      <c r="AJ415" s="36">
        <f>IFERROR(VLOOKUP(A415,'All Products'!A:F,6,0),0)</f>
        <v>4.87</v>
      </c>
      <c r="AK415" s="36">
        <f>AJ415*Z415*J415</f>
        <v>4.87</v>
      </c>
      <c r="AL415" s="23">
        <v>1</v>
      </c>
      <c r="AM415" s="23"/>
      <c r="AN415" s="54" t="e">
        <v>#N/A</v>
      </c>
      <c r="AO415" s="47"/>
      <c r="AP415" s="4">
        <v>1.6</v>
      </c>
      <c r="AQ415" s="111">
        <f t="shared" si="133"/>
        <v>7.6248366013071903E-2</v>
      </c>
      <c r="AR415">
        <f>_xlfn.XLOOKUP(F415,'RM Cost'!A:A,'RM Cost'!S:S)</f>
        <v>0</v>
      </c>
      <c r="AS415" t="e">
        <f>_xlfn.XLOOKUP(A415,[3]Sheet1!$B:$B,[3]Sheet1!$B:$B)</f>
        <v>#N/A</v>
      </c>
    </row>
    <row r="416" spans="1:46" x14ac:dyDescent="0.25">
      <c r="A416" s="2" t="s">
        <v>657</v>
      </c>
      <c r="B416" s="2" t="s">
        <v>656</v>
      </c>
      <c r="C416" s="2" t="s">
        <v>658</v>
      </c>
      <c r="D416" s="2" t="s">
        <v>554</v>
      </c>
      <c r="E416" s="2">
        <v>1</v>
      </c>
      <c r="F416" s="1" t="str">
        <f>VLOOKUP(H416,'RM Used'!A:B,2,0)</f>
        <v>P0008</v>
      </c>
      <c r="G416" s="1" t="str">
        <f>IFERROR(VLOOKUP(F416,'RM Cost'!A:B,2,0),"")</f>
        <v>PALE BLUE BAG 470X750MM</v>
      </c>
      <c r="H416" s="2" t="s">
        <v>1323</v>
      </c>
      <c r="I416" s="1" t="str">
        <f>VLOOKUP(F416,'RM Used'!B:D,3,0)</f>
        <v>RM-PACKING</v>
      </c>
      <c r="J416" s="66">
        <v>1</v>
      </c>
      <c r="K416" s="35" t="str">
        <f t="shared" si="117"/>
        <v/>
      </c>
      <c r="L416" s="35">
        <f t="shared" si="125"/>
        <v>0</v>
      </c>
      <c r="M416" s="77" t="str" cm="1">
        <f t="array" ref="M416">_xlfn.IFS(BOM!I416="RM-PACKING","100%",B416="Reynolds",VLOOKUP(H416,'Yield &amp; Time'!A:V,22,0),BOM!B416="Dnata",VLOOKUP(BOM!H416,'Yield &amp; Time'!A:M,13,0),B416="NK",VLOOKUP(H416,'Yield &amp; Time'!A:X,24,0))</f>
        <v>100%</v>
      </c>
      <c r="N416" s="35">
        <f t="shared" si="137"/>
        <v>1</v>
      </c>
      <c r="O416" s="1" t="str">
        <f>VLOOKUP(H416,'RM Used'!A:E,5,0)</f>
        <v>Count</v>
      </c>
      <c r="P416" s="11">
        <f>VLOOKUP(H416,'RM Used'!A:F,6,0)</f>
        <v>0.14000000000000001</v>
      </c>
      <c r="Q416" s="11">
        <f t="shared" si="134"/>
        <v>0.14000000000000001</v>
      </c>
      <c r="R416" s="11">
        <f>IFERROR(IF(B416="Reynolds",VLOOKUP(H416,'Yield &amp; Time'!A:U,21,0),VLOOKUP(H416,'Yield &amp; Time'!A:L,12,0)),0)</f>
        <v>0</v>
      </c>
      <c r="S416" s="11">
        <f t="shared" si="126"/>
        <v>0</v>
      </c>
      <c r="T416" s="11">
        <f t="shared" si="127"/>
        <v>0</v>
      </c>
      <c r="U416" s="11">
        <f>IF(A415=A416,0,VLOOKUP(A416,'Packing Time'!A:F,6,0))</f>
        <v>0</v>
      </c>
      <c r="V416" s="11">
        <f t="shared" si="118"/>
        <v>0</v>
      </c>
      <c r="W416" s="11">
        <f t="shared" si="119"/>
        <v>0</v>
      </c>
      <c r="X416" s="11">
        <f t="shared" si="128"/>
        <v>0</v>
      </c>
      <c r="Y416" s="11">
        <f t="shared" si="120"/>
        <v>0</v>
      </c>
      <c r="Z416" s="37">
        <v>1</v>
      </c>
      <c r="AA416" s="36">
        <f t="shared" si="129"/>
        <v>1</v>
      </c>
      <c r="AB416" s="36">
        <f t="shared" si="130"/>
        <v>0.14000000000000001</v>
      </c>
      <c r="AC416" s="11">
        <f t="shared" si="131"/>
        <v>0</v>
      </c>
      <c r="AD416" s="36">
        <f t="shared" si="121"/>
        <v>0</v>
      </c>
      <c r="AE416" s="36"/>
      <c r="AF416" s="36">
        <f>IFERROR(VLOOKUP(AE416,'Chemical Cost'!A:D,4,0),0)</f>
        <v>0</v>
      </c>
      <c r="AG416" s="114">
        <f t="shared" si="132"/>
        <v>0</v>
      </c>
      <c r="AH416" s="36">
        <f t="shared" si="136"/>
        <v>0</v>
      </c>
      <c r="AI416" s="36">
        <f t="shared" si="122"/>
        <v>0.14000000000000001</v>
      </c>
      <c r="AJ416" s="36">
        <f>IFERROR(VLOOKUP(A416,'All Products'!A:F,6,0),0)</f>
        <v>4.87</v>
      </c>
      <c r="AK416" s="36"/>
      <c r="AL416" s="23">
        <v>1</v>
      </c>
      <c r="AM416" s="23"/>
      <c r="AN416" s="54" t="e">
        <v>#N/A</v>
      </c>
      <c r="AO416" s="47"/>
      <c r="AP416" s="4">
        <v>1.6</v>
      </c>
      <c r="AQ416" s="111">
        <f t="shared" si="133"/>
        <v>0</v>
      </c>
      <c r="AR416">
        <f>_xlfn.XLOOKUP(F416,'RM Cost'!A:A,'RM Cost'!S:S)</f>
        <v>0</v>
      </c>
      <c r="AS416" t="e">
        <f>_xlfn.XLOOKUP(A416,[3]Sheet1!$B:$B,[3]Sheet1!$B:$B)</f>
        <v>#N/A</v>
      </c>
    </row>
    <row r="417" spans="1:46" x14ac:dyDescent="0.25">
      <c r="A417" s="2" t="s">
        <v>201</v>
      </c>
      <c r="B417" s="2" t="s">
        <v>656</v>
      </c>
      <c r="C417" s="2" t="s">
        <v>659</v>
      </c>
      <c r="D417" s="2" t="s">
        <v>554</v>
      </c>
      <c r="E417" s="2">
        <v>1</v>
      </c>
      <c r="F417" s="1" t="str">
        <f>VLOOKUP(H417,'RM Used'!A:B,2,0)</f>
        <v>3389CS</v>
      </c>
      <c r="G417" s="1" t="str">
        <f>IFERROR(VLOOKUP(F417,'RM Cost'!A:B,2,0),"")</f>
        <v>RM - PAK CHOI X2KG</v>
      </c>
      <c r="H417" s="2" t="s">
        <v>1470</v>
      </c>
      <c r="I417" s="1" t="str">
        <f>VLOOKUP(F417,'RM Used'!B:D,3,0)</f>
        <v>RM-FOOD</v>
      </c>
      <c r="J417" s="66">
        <v>1</v>
      </c>
      <c r="K417" s="35">
        <f t="shared" ref="K417:K480" si="138">IF(I417="RM-FOOD",J417*E417,"")</f>
        <v>1</v>
      </c>
      <c r="L417" s="35">
        <f t="shared" si="125"/>
        <v>1</v>
      </c>
      <c r="M417" s="77" cm="1">
        <f t="array" ref="M417">_xlfn.IFS(BOM!I417="RM-PACKING","100%",B417="Reynolds",VLOOKUP(H417,'Yield &amp; Time'!A:V,22,0),BOM!B417="Dnata",VLOOKUP(BOM!H417,'Yield &amp; Time'!A:M,13,0),B417="NK",VLOOKUP(H417,'Yield &amp; Time'!A:X,24,0))</f>
        <v>0.67272727272727262</v>
      </c>
      <c r="N417" s="35">
        <f t="shared" si="137"/>
        <v>1.4864864864864866</v>
      </c>
      <c r="O417" s="1" t="str">
        <f>VLOOKUP(H417,'RM Used'!A:E,5,0)</f>
        <v>KG</v>
      </c>
      <c r="P417" s="11">
        <f>VLOOKUP(H417,'RM Used'!A:F,6,0)</f>
        <v>1.81</v>
      </c>
      <c r="Q417" s="11">
        <f t="shared" si="134"/>
        <v>2.6905405405405407</v>
      </c>
      <c r="R417" s="11">
        <f>IFERROR(IF(B417="Reynolds",VLOOKUP(H417,'Yield &amp; Time'!A:U,21,0),VLOOKUP(H417,'Yield &amp; Time'!A:L,12,0)),0)</f>
        <v>3.5360360360360361</v>
      </c>
      <c r="S417" s="11">
        <f t="shared" si="126"/>
        <v>1.1969481981981982</v>
      </c>
      <c r="T417" s="11">
        <f t="shared" si="127"/>
        <v>5.8933933933933938E-2</v>
      </c>
      <c r="U417" s="11">
        <f>IF(A416=A417,0,VLOOKUP(A417,'Packing Time'!A:F,6,0))</f>
        <v>0.64166666666666661</v>
      </c>
      <c r="V417" s="11">
        <f t="shared" si="118"/>
        <v>0.21720416666666661</v>
      </c>
      <c r="W417" s="11">
        <f t="shared" si="119"/>
        <v>1.0694444444444444E-2</v>
      </c>
      <c r="X417" s="11">
        <f t="shared" si="128"/>
        <v>2.2626437837837838</v>
      </c>
      <c r="Y417" s="11">
        <f t="shared" si="120"/>
        <v>2.2626437837837838</v>
      </c>
      <c r="Z417" s="37">
        <v>1</v>
      </c>
      <c r="AA417" s="36">
        <f t="shared" si="129"/>
        <v>1.4864864864864866</v>
      </c>
      <c r="AB417" s="36">
        <f t="shared" si="130"/>
        <v>2.6905405405405407</v>
      </c>
      <c r="AC417" s="11">
        <f t="shared" si="131"/>
        <v>0.11140540540540543</v>
      </c>
      <c r="AD417" s="36">
        <f t="shared" si="121"/>
        <v>2.2626437837837843</v>
      </c>
      <c r="AE417" s="36"/>
      <c r="AF417" s="36">
        <f>IFERROR(VLOOKUP(AE417,'Chemical Cost'!A:D,4,0),0)</f>
        <v>0</v>
      </c>
      <c r="AG417" s="114">
        <f t="shared" si="132"/>
        <v>0</v>
      </c>
      <c r="AH417" s="36">
        <f t="shared" si="136"/>
        <v>0</v>
      </c>
      <c r="AI417" s="36">
        <f t="shared" si="122"/>
        <v>4.9531843243243241</v>
      </c>
      <c r="AJ417" s="36">
        <f>IFERROR(VLOOKUP(A417,'All Products'!A:F,6,0),0)</f>
        <v>5.94</v>
      </c>
      <c r="AK417" s="36">
        <f>AJ417*Z417*J417</f>
        <v>5.94</v>
      </c>
      <c r="AL417" s="23">
        <v>1</v>
      </c>
      <c r="AM417" s="23"/>
      <c r="AN417" s="54" t="e">
        <v>#N/A</v>
      </c>
      <c r="AO417" s="47"/>
      <c r="AP417" s="4">
        <v>1.6</v>
      </c>
      <c r="AQ417" s="111">
        <f t="shared" si="133"/>
        <v>0.11140540540540543</v>
      </c>
      <c r="AR417">
        <f>_xlfn.XLOOKUP(F417,'RM Cost'!A:A,'RM Cost'!S:S)</f>
        <v>0</v>
      </c>
      <c r="AS417" t="e">
        <f>_xlfn.XLOOKUP(A417,[3]Sheet1!$B:$B,[3]Sheet1!$B:$B)</f>
        <v>#N/A</v>
      </c>
    </row>
    <row r="418" spans="1:46" x14ac:dyDescent="0.25">
      <c r="A418" s="2" t="s">
        <v>201</v>
      </c>
      <c r="B418" s="2" t="s">
        <v>656</v>
      </c>
      <c r="C418" s="2" t="s">
        <v>659</v>
      </c>
      <c r="D418" s="2" t="s">
        <v>554</v>
      </c>
      <c r="E418" s="2">
        <v>1</v>
      </c>
      <c r="F418" s="1" t="str">
        <f>VLOOKUP(H418,'RM Used'!A:B,2,0)</f>
        <v>P0008</v>
      </c>
      <c r="G418" s="1" t="str">
        <f>IFERROR(VLOOKUP(F418,'RM Cost'!A:B,2,0),"")</f>
        <v>PALE BLUE BAG 470X750MM</v>
      </c>
      <c r="H418" s="2" t="s">
        <v>1323</v>
      </c>
      <c r="I418" s="1" t="str">
        <f>VLOOKUP(F418,'RM Used'!B:D,3,0)</f>
        <v>RM-PACKING</v>
      </c>
      <c r="J418" s="66">
        <v>1</v>
      </c>
      <c r="K418" s="35" t="str">
        <f t="shared" si="138"/>
        <v/>
      </c>
      <c r="L418" s="35">
        <f t="shared" si="125"/>
        <v>0</v>
      </c>
      <c r="M418" s="77" t="str" cm="1">
        <f t="array" ref="M418">_xlfn.IFS(BOM!I418="RM-PACKING","100%",B418="Reynolds",VLOOKUP(H418,'Yield &amp; Time'!A:V,22,0),BOM!B418="Dnata",VLOOKUP(BOM!H418,'Yield &amp; Time'!A:M,13,0),B418="NK",VLOOKUP(H418,'Yield &amp; Time'!A:X,24,0))</f>
        <v>100%</v>
      </c>
      <c r="N418" s="35">
        <f t="shared" si="137"/>
        <v>1</v>
      </c>
      <c r="O418" s="1" t="str">
        <f>VLOOKUP(H418,'RM Used'!A:E,5,0)</f>
        <v>Count</v>
      </c>
      <c r="P418" s="11">
        <f>VLOOKUP(H418,'RM Used'!A:F,6,0)</f>
        <v>0.14000000000000001</v>
      </c>
      <c r="Q418" s="11">
        <f t="shared" si="134"/>
        <v>0.14000000000000001</v>
      </c>
      <c r="R418" s="11">
        <f>IFERROR(IF(B418="Reynolds",VLOOKUP(H418,'Yield &amp; Time'!A:U,21,0),VLOOKUP(H418,'Yield &amp; Time'!A:L,12,0)),0)</f>
        <v>0</v>
      </c>
      <c r="S418" s="11">
        <f t="shared" si="126"/>
        <v>0</v>
      </c>
      <c r="T418" s="11">
        <f t="shared" si="127"/>
        <v>0</v>
      </c>
      <c r="U418" s="11">
        <f>IF(A417=A418,0,VLOOKUP(A418,'Packing Time'!A:F,6,0))</f>
        <v>0</v>
      </c>
      <c r="V418" s="11">
        <f t="shared" ref="V418:V481" si="139">U418*AO$1</f>
        <v>0</v>
      </c>
      <c r="W418" s="11">
        <f t="shared" ref="W418:W481" si="140">(U418*Z418)/60</f>
        <v>0</v>
      </c>
      <c r="X418" s="11">
        <f t="shared" si="128"/>
        <v>0</v>
      </c>
      <c r="Y418" s="11">
        <f t="shared" ref="Y418:Y481" si="141">X418*Z418</f>
        <v>0</v>
      </c>
      <c r="Z418" s="37">
        <v>1</v>
      </c>
      <c r="AA418" s="36">
        <f t="shared" si="129"/>
        <v>1</v>
      </c>
      <c r="AB418" s="36">
        <f t="shared" si="130"/>
        <v>0.14000000000000001</v>
      </c>
      <c r="AC418" s="11">
        <f t="shared" si="131"/>
        <v>0</v>
      </c>
      <c r="AD418" s="36">
        <f t="shared" ref="AD418:AD481" si="142">AC418*60*AO$1</f>
        <v>0</v>
      </c>
      <c r="AE418" s="36"/>
      <c r="AF418" s="36">
        <f>IFERROR(VLOOKUP(AE418,'Chemical Cost'!A:D,4,0),0)</f>
        <v>0</v>
      </c>
      <c r="AG418" s="114">
        <f t="shared" si="132"/>
        <v>0</v>
      </c>
      <c r="AH418" s="36">
        <f t="shared" si="136"/>
        <v>0</v>
      </c>
      <c r="AI418" s="36">
        <f t="shared" ref="AI418:AI481" si="143">IFERROR((Q418*Z418)+(Z418*X418)+AH418,0)</f>
        <v>0.14000000000000001</v>
      </c>
      <c r="AJ418" s="36">
        <f>IFERROR(VLOOKUP(A418,'All Products'!A:F,6,0),0)</f>
        <v>5.94</v>
      </c>
      <c r="AK418" s="36"/>
      <c r="AL418" s="23">
        <v>1</v>
      </c>
      <c r="AM418" s="23"/>
      <c r="AN418" s="54" t="e">
        <v>#N/A</v>
      </c>
      <c r="AO418" s="47"/>
      <c r="AP418" s="4">
        <v>1.6</v>
      </c>
      <c r="AQ418" s="111">
        <f t="shared" si="133"/>
        <v>0</v>
      </c>
      <c r="AR418">
        <f>_xlfn.XLOOKUP(F418,'RM Cost'!A:A,'RM Cost'!S:S)</f>
        <v>0</v>
      </c>
      <c r="AS418" t="e">
        <f>_xlfn.XLOOKUP(A418,[3]Sheet1!$B:$B,[3]Sheet1!$B:$B)</f>
        <v>#N/A</v>
      </c>
    </row>
    <row r="419" spans="1:46" x14ac:dyDescent="0.25">
      <c r="A419" s="2" t="s">
        <v>660</v>
      </c>
      <c r="B419" s="2" t="s">
        <v>656</v>
      </c>
      <c r="C419" s="2" t="s">
        <v>661</v>
      </c>
      <c r="D419" s="2" t="s">
        <v>554</v>
      </c>
      <c r="E419" s="2">
        <v>1</v>
      </c>
      <c r="F419" s="1" t="str">
        <f>VLOOKUP(H419,'RM Used'!A:B,2,0)</f>
        <v>3205CS</v>
      </c>
      <c r="G419" s="1" t="str">
        <f>IFERROR(VLOOKUP(F419,'RM Cost'!A:B,2,0),"")</f>
        <v>RM - PREMIUM CHIPPING POTATO 1X25KG</v>
      </c>
      <c r="H419" s="2" t="s">
        <v>1471</v>
      </c>
      <c r="I419" s="1" t="str">
        <f>VLOOKUP(F419,'RM Used'!B:D,3,0)</f>
        <v>RM-FOOD</v>
      </c>
      <c r="J419" s="66">
        <v>1</v>
      </c>
      <c r="K419" s="35">
        <f t="shared" si="138"/>
        <v>1</v>
      </c>
      <c r="L419" s="35">
        <f t="shared" si="125"/>
        <v>1</v>
      </c>
      <c r="M419" s="77" cm="1">
        <f t="array" ref="M419">_xlfn.IFS(BOM!I419="RM-PACKING","100%",B419="Reynolds",VLOOKUP(H419,'Yield &amp; Time'!A:V,22,0),BOM!B419="Dnata",VLOOKUP(BOM!H419,'Yield &amp; Time'!A:M,13,0),B419="NK",VLOOKUP(H419,'Yield &amp; Time'!A:X,24,0))</f>
        <v>0</v>
      </c>
      <c r="N419" s="35">
        <f t="shared" si="137"/>
        <v>0</v>
      </c>
      <c r="O419" s="1" t="str">
        <f>VLOOKUP(H419,'RM Used'!A:E,5,0)</f>
        <v>KG</v>
      </c>
      <c r="P419" s="11">
        <f>VLOOKUP(H419,'RM Used'!A:F,6,0)</f>
        <v>0.45</v>
      </c>
      <c r="Q419" s="11">
        <f t="shared" si="134"/>
        <v>0</v>
      </c>
      <c r="R419" s="11">
        <f>IFERROR(IF(B419="Reynolds",VLOOKUP(H419,'Yield &amp; Time'!A:U,21,0),VLOOKUP(H419,'Yield &amp; Time'!A:L,12,0)),0)</f>
        <v>0.1</v>
      </c>
      <c r="S419" s="11">
        <f t="shared" si="126"/>
        <v>3.3849999999999998E-2</v>
      </c>
      <c r="T419" s="11">
        <f t="shared" si="127"/>
        <v>1.6666666666666668E-3</v>
      </c>
      <c r="U419" s="11">
        <f>IF(A418=A419,0,VLOOKUP(A419,'Packing Time'!A:F,6,0))</f>
        <v>0.64166666666666661</v>
      </c>
      <c r="V419" s="11">
        <f t="shared" si="139"/>
        <v>0.21720416666666661</v>
      </c>
      <c r="W419" s="11">
        <f t="shared" si="140"/>
        <v>1.0694444444444444E-2</v>
      </c>
      <c r="X419" s="11">
        <f t="shared" si="128"/>
        <v>0.40168666666666664</v>
      </c>
      <c r="Y419" s="11">
        <f t="shared" si="141"/>
        <v>0.40168666666666664</v>
      </c>
      <c r="Z419" s="37">
        <v>1</v>
      </c>
      <c r="AA419" s="36">
        <f t="shared" si="129"/>
        <v>0</v>
      </c>
      <c r="AB419" s="36">
        <f t="shared" si="130"/>
        <v>0</v>
      </c>
      <c r="AC419" s="11">
        <f t="shared" si="131"/>
        <v>1.9777777777777776E-2</v>
      </c>
      <c r="AD419" s="36">
        <f t="shared" si="142"/>
        <v>0.40168666666666658</v>
      </c>
      <c r="AE419" s="36" t="str">
        <f>VLOOKUP(H419,'Yield &amp; Time'!A:I,9,0)</f>
        <v>SODIUM METABISULPHITE</v>
      </c>
      <c r="AF419" s="36">
        <f>IFERROR(VLOOKUP(AE419,'Chemical Cost'!A:D,4,0),0)</f>
        <v>9.7586225455882462E-3</v>
      </c>
      <c r="AG419" s="114">
        <f t="shared" si="132"/>
        <v>0</v>
      </c>
      <c r="AH419" s="36">
        <f t="shared" si="136"/>
        <v>0</v>
      </c>
      <c r="AI419" s="36">
        <f t="shared" si="143"/>
        <v>0.40168666666666664</v>
      </c>
      <c r="AJ419" s="36">
        <f>IFERROR(VLOOKUP(A419,'All Products'!A:F,6,0),0)</f>
        <v>5.62</v>
      </c>
      <c r="AK419" s="36">
        <f>AJ419*Z419*J419</f>
        <v>5.62</v>
      </c>
      <c r="AL419" s="23">
        <v>1</v>
      </c>
      <c r="AM419" s="23"/>
      <c r="AN419" s="54" t="e">
        <v>#N/A</v>
      </c>
      <c r="AO419" s="47"/>
      <c r="AP419" s="4">
        <v>1.6</v>
      </c>
      <c r="AQ419" s="111">
        <f t="shared" si="133"/>
        <v>1.9777777777777776E-2</v>
      </c>
      <c r="AR419">
        <f>_xlfn.XLOOKUP(F419,'RM Cost'!A:A,'RM Cost'!S:S)</f>
        <v>0</v>
      </c>
      <c r="AS419" t="e">
        <f>_xlfn.XLOOKUP(A419,[3]Sheet1!$B:$B,[3]Sheet1!$B:$B)</f>
        <v>#N/A</v>
      </c>
    </row>
    <row r="420" spans="1:46" x14ac:dyDescent="0.25">
      <c r="A420" s="2" t="s">
        <v>660</v>
      </c>
      <c r="B420" s="2" t="s">
        <v>656</v>
      </c>
      <c r="C420" s="2" t="s">
        <v>661</v>
      </c>
      <c r="D420" s="2" t="s">
        <v>554</v>
      </c>
      <c r="E420" s="2">
        <v>1</v>
      </c>
      <c r="F420" s="1" t="str">
        <f>VLOOKUP(H420,'RM Used'!A:B,2,0)</f>
        <v>P0008</v>
      </c>
      <c r="G420" s="1" t="str">
        <f>IFERROR(VLOOKUP(F420,'RM Cost'!A:B,2,0),"")</f>
        <v>PALE BLUE BAG 470X750MM</v>
      </c>
      <c r="H420" s="2" t="s">
        <v>1323</v>
      </c>
      <c r="I420" s="1" t="str">
        <f>VLOOKUP(F420,'RM Used'!B:D,3,0)</f>
        <v>RM-PACKING</v>
      </c>
      <c r="J420" s="66">
        <v>1</v>
      </c>
      <c r="K420" s="35" t="str">
        <f t="shared" si="138"/>
        <v/>
      </c>
      <c r="L420" s="35">
        <f t="shared" si="125"/>
        <v>0</v>
      </c>
      <c r="M420" s="77" t="str" cm="1">
        <f t="array" ref="M420">_xlfn.IFS(BOM!I420="RM-PACKING","100%",B420="Reynolds",VLOOKUP(H420,'Yield &amp; Time'!A:V,22,0),BOM!B420="Dnata",VLOOKUP(BOM!H420,'Yield &amp; Time'!A:M,13,0),B420="NK",VLOOKUP(H420,'Yield &amp; Time'!A:X,24,0))</f>
        <v>100%</v>
      </c>
      <c r="N420" s="35">
        <f t="shared" si="137"/>
        <v>1</v>
      </c>
      <c r="O420" s="1" t="str">
        <f>VLOOKUP(H420,'RM Used'!A:E,5,0)</f>
        <v>Count</v>
      </c>
      <c r="P420" s="11">
        <f>VLOOKUP(H420,'RM Used'!A:F,6,0)</f>
        <v>0.14000000000000001</v>
      </c>
      <c r="Q420" s="11">
        <f t="shared" si="134"/>
        <v>0.14000000000000001</v>
      </c>
      <c r="R420" s="11">
        <f>IFERROR(IF(B420="Reynolds",VLOOKUP(H420,'Yield &amp; Time'!A:U,21,0),VLOOKUP(H420,'Yield &amp; Time'!A:L,12,0)),0)</f>
        <v>0</v>
      </c>
      <c r="S420" s="11">
        <f t="shared" si="126"/>
        <v>0</v>
      </c>
      <c r="T420" s="11">
        <f t="shared" si="127"/>
        <v>0</v>
      </c>
      <c r="U420" s="11">
        <f>IF(A419=A420,0,VLOOKUP(A420,'Packing Time'!A:F,6,0))</f>
        <v>0</v>
      </c>
      <c r="V420" s="11">
        <f t="shared" si="139"/>
        <v>0</v>
      </c>
      <c r="W420" s="11">
        <f t="shared" si="140"/>
        <v>0</v>
      </c>
      <c r="X420" s="11">
        <f t="shared" si="128"/>
        <v>0</v>
      </c>
      <c r="Y420" s="11">
        <f t="shared" si="141"/>
        <v>0</v>
      </c>
      <c r="Z420" s="37">
        <v>1</v>
      </c>
      <c r="AA420" s="36">
        <f t="shared" si="129"/>
        <v>1</v>
      </c>
      <c r="AB420" s="36">
        <f t="shared" si="130"/>
        <v>0.14000000000000001</v>
      </c>
      <c r="AC420" s="11">
        <f t="shared" si="131"/>
        <v>0</v>
      </c>
      <c r="AD420" s="36">
        <f t="shared" si="142"/>
        <v>0</v>
      </c>
      <c r="AE420" s="36"/>
      <c r="AF420" s="36">
        <f>IFERROR(VLOOKUP(AE420,'Chemical Cost'!A:D,4,0),0)</f>
        <v>0</v>
      </c>
      <c r="AG420" s="114">
        <f t="shared" si="132"/>
        <v>0</v>
      </c>
      <c r="AH420" s="36">
        <f t="shared" si="136"/>
        <v>0</v>
      </c>
      <c r="AI420" s="36">
        <f t="shared" si="143"/>
        <v>0.14000000000000001</v>
      </c>
      <c r="AJ420" s="36">
        <f>IFERROR(VLOOKUP(A420,'All Products'!A:F,6,0),0)</f>
        <v>5.62</v>
      </c>
      <c r="AK420" s="36"/>
      <c r="AL420" s="23">
        <v>1</v>
      </c>
      <c r="AM420" s="23"/>
      <c r="AN420" s="54" t="e">
        <v>#N/A</v>
      </c>
      <c r="AO420" s="47"/>
      <c r="AP420" s="4">
        <v>1.6</v>
      </c>
      <c r="AQ420" s="111">
        <f t="shared" si="133"/>
        <v>0</v>
      </c>
      <c r="AR420">
        <f>_xlfn.XLOOKUP(F420,'RM Cost'!A:A,'RM Cost'!S:S)</f>
        <v>0</v>
      </c>
      <c r="AS420" t="e">
        <f>_xlfn.XLOOKUP(A420,[3]Sheet1!$B:$B,[3]Sheet1!$B:$B)</f>
        <v>#N/A</v>
      </c>
    </row>
    <row r="421" spans="1:46" x14ac:dyDescent="0.25">
      <c r="A421" s="2" t="s">
        <v>662</v>
      </c>
      <c r="B421" s="2" t="s">
        <v>656</v>
      </c>
      <c r="C421" s="2" t="s">
        <v>663</v>
      </c>
      <c r="D421" s="2" t="s">
        <v>554</v>
      </c>
      <c r="E421" s="2">
        <v>1</v>
      </c>
      <c r="F421" s="1" t="str">
        <f>VLOOKUP(H421,'RM Used'!A:B,2,0)</f>
        <v>3273CS</v>
      </c>
      <c r="G421" s="1" t="str">
        <f>IFERROR(VLOOKUP(F421,'RM Cost'!A:B,2,0),"")</f>
        <v>RM - MARIS PIPER 25KG</v>
      </c>
      <c r="H421" s="2" t="s">
        <v>1472</v>
      </c>
      <c r="I421" s="1" t="str">
        <f>VLOOKUP(F421,'RM Used'!B:D,3,0)</f>
        <v>RM-FOOD</v>
      </c>
      <c r="J421" s="66">
        <v>1</v>
      </c>
      <c r="K421" s="35">
        <f t="shared" si="138"/>
        <v>1</v>
      </c>
      <c r="L421" s="35">
        <f t="shared" si="125"/>
        <v>1</v>
      </c>
      <c r="M421" s="77" cm="1">
        <f t="array" ref="M421">_xlfn.IFS(BOM!I421="RM-PACKING","100%",B421="Reynolds",VLOOKUP(H421,'Yield &amp; Time'!A:V,22,0),BOM!B421="Dnata",VLOOKUP(BOM!H421,'Yield &amp; Time'!A:M,13,0),B421="NK",VLOOKUP(H421,'Yield &amp; Time'!A:X,24,0))</f>
        <v>0.67687588174008007</v>
      </c>
      <c r="N421" s="35">
        <f t="shared" si="137"/>
        <v>1.4773757301401373</v>
      </c>
      <c r="O421" s="1" t="str">
        <f>VLOOKUP(H421,'RM Used'!A:E,5,0)</f>
        <v>KG</v>
      </c>
      <c r="P421" s="11">
        <f>VLOOKUP(H421,'RM Used'!A:F,6,0)</f>
        <v>0.43</v>
      </c>
      <c r="Q421" s="11">
        <f t="shared" si="134"/>
        <v>0.63527156396025908</v>
      </c>
      <c r="R421" s="11">
        <f>IFERROR(IF(B421="Reynolds",VLOOKUP(H421,'Yield &amp; Time'!A:U,21,0),VLOOKUP(H421,'Yield &amp; Time'!A:L,12,0)),0)</f>
        <v>2.2879022352980618</v>
      </c>
      <c r="S421" s="11">
        <f t="shared" si="126"/>
        <v>0.77445490664839389</v>
      </c>
      <c r="T421" s="11">
        <f t="shared" si="127"/>
        <v>3.8131703921634362E-2</v>
      </c>
      <c r="U421" s="11">
        <f>IF(A420=A421,0,VLOOKUP(A421,'Packing Time'!A:F,6,0))</f>
        <v>0.64166666666666661</v>
      </c>
      <c r="V421" s="11">
        <f t="shared" si="139"/>
        <v>0.21720416666666661</v>
      </c>
      <c r="W421" s="11">
        <f t="shared" si="140"/>
        <v>1.0694444444444444E-2</v>
      </c>
      <c r="X421" s="11">
        <f t="shared" si="128"/>
        <v>1.5866545173040967</v>
      </c>
      <c r="Y421" s="11">
        <f t="shared" si="141"/>
        <v>1.5866545173040967</v>
      </c>
      <c r="Z421" s="37">
        <v>1</v>
      </c>
      <c r="AA421" s="36">
        <f t="shared" si="129"/>
        <v>1.4773757301401373</v>
      </c>
      <c r="AB421" s="36">
        <f t="shared" si="130"/>
        <v>0.63527156396025908</v>
      </c>
      <c r="AC421" s="11">
        <f t="shared" si="131"/>
        <v>7.8121837385726089E-2</v>
      </c>
      <c r="AD421" s="36">
        <f t="shared" si="142"/>
        <v>1.5866545173040969</v>
      </c>
      <c r="AE421" s="36" t="str">
        <f>VLOOKUP(H421,'Yield &amp; Time'!A:I,9,0)</f>
        <v>SODIUM METABISULPHITE</v>
      </c>
      <c r="AF421" s="36">
        <f>IFERROR(VLOOKUP(AE421,'Chemical Cost'!A:D,4,0),0)</f>
        <v>9.7586225455882462E-3</v>
      </c>
      <c r="AG421" s="114">
        <f t="shared" si="132"/>
        <v>4.8057173694834804E-3</v>
      </c>
      <c r="AH421" s="36">
        <f t="shared" si="136"/>
        <v>4.8057173694834804E-3</v>
      </c>
      <c r="AI421" s="36">
        <f t="shared" si="143"/>
        <v>2.2267317986338395</v>
      </c>
      <c r="AJ421" s="36">
        <f>IFERROR(VLOOKUP(A421,'All Products'!A:F,6,0),0)</f>
        <v>1.86</v>
      </c>
      <c r="AK421" s="36">
        <f>AJ421*Z421*J421</f>
        <v>1.86</v>
      </c>
      <c r="AL421" s="23">
        <v>1</v>
      </c>
      <c r="AM421" s="23"/>
      <c r="AN421" s="54" t="e">
        <v>#N/A</v>
      </c>
      <c r="AO421" s="47"/>
      <c r="AP421" s="4">
        <v>1.6</v>
      </c>
      <c r="AQ421" s="111">
        <f t="shared" si="133"/>
        <v>7.8121837385726089E-2</v>
      </c>
      <c r="AR421">
        <f>_xlfn.XLOOKUP(F421,'RM Cost'!A:A,'RM Cost'!S:S)</f>
        <v>0</v>
      </c>
      <c r="AS421" t="str">
        <f>_xlfn.XLOOKUP(A421,[3]Sheet1!$B:$B,[3]Sheet1!$B:$B)</f>
        <v>Z371CS</v>
      </c>
      <c r="AT421">
        <f>_xlfn.XLOOKUP(H421,'Yield &amp; Time'!A:A,'Yield &amp; Time'!F:F)</f>
        <v>0</v>
      </c>
    </row>
    <row r="422" spans="1:46" x14ac:dyDescent="0.25">
      <c r="A422" s="2" t="s">
        <v>662</v>
      </c>
      <c r="B422" s="2" t="s">
        <v>656</v>
      </c>
      <c r="C422" s="2" t="s">
        <v>663</v>
      </c>
      <c r="D422" s="2" t="s">
        <v>554</v>
      </c>
      <c r="E422" s="2">
        <v>1</v>
      </c>
      <c r="F422" s="1" t="str">
        <f>VLOOKUP(H422,'RM Used'!A:B,2,0)</f>
        <v>P0008</v>
      </c>
      <c r="G422" s="1" t="str">
        <f>IFERROR(VLOOKUP(F422,'RM Cost'!A:B,2,0),"")</f>
        <v>PALE BLUE BAG 470X750MM</v>
      </c>
      <c r="H422" s="2" t="s">
        <v>1323</v>
      </c>
      <c r="I422" s="1" t="str">
        <f>VLOOKUP(F422,'RM Used'!B:D,3,0)</f>
        <v>RM-PACKING</v>
      </c>
      <c r="J422" s="66">
        <v>1</v>
      </c>
      <c r="K422" s="35" t="str">
        <f t="shared" si="138"/>
        <v/>
      </c>
      <c r="L422" s="35">
        <f t="shared" si="125"/>
        <v>0</v>
      </c>
      <c r="M422" s="77" t="str" cm="1">
        <f t="array" ref="M422">_xlfn.IFS(BOM!I422="RM-PACKING","100%",B422="Reynolds",VLOOKUP(H422,'Yield &amp; Time'!A:V,22,0),BOM!B422="Dnata",VLOOKUP(BOM!H422,'Yield &amp; Time'!A:M,13,0),B422="NK",VLOOKUP(H422,'Yield &amp; Time'!A:X,24,0))</f>
        <v>100%</v>
      </c>
      <c r="N422" s="35">
        <f t="shared" si="137"/>
        <v>1</v>
      </c>
      <c r="O422" s="1" t="str">
        <f>VLOOKUP(H422,'RM Used'!A:E,5,0)</f>
        <v>Count</v>
      </c>
      <c r="P422" s="11">
        <f>VLOOKUP(H422,'RM Used'!A:F,6,0)</f>
        <v>0.14000000000000001</v>
      </c>
      <c r="Q422" s="11">
        <f t="shared" si="134"/>
        <v>0.14000000000000001</v>
      </c>
      <c r="R422" s="11">
        <f>IFERROR(IF(B422="Reynolds",VLOOKUP(H422,'Yield &amp; Time'!A:U,21,0),VLOOKUP(H422,'Yield &amp; Time'!A:L,12,0)),0)</f>
        <v>0</v>
      </c>
      <c r="S422" s="11">
        <f t="shared" si="126"/>
        <v>0</v>
      </c>
      <c r="T422" s="11">
        <f t="shared" si="127"/>
        <v>0</v>
      </c>
      <c r="U422" s="11">
        <f>IF(A421=A422,0,VLOOKUP(A422,'Packing Time'!A:F,6,0))</f>
        <v>0</v>
      </c>
      <c r="V422" s="11">
        <f t="shared" si="139"/>
        <v>0</v>
      </c>
      <c r="W422" s="11">
        <f t="shared" si="140"/>
        <v>0</v>
      </c>
      <c r="X422" s="11">
        <f t="shared" si="128"/>
        <v>0</v>
      </c>
      <c r="Y422" s="11">
        <f t="shared" si="141"/>
        <v>0</v>
      </c>
      <c r="Z422" s="37">
        <v>1</v>
      </c>
      <c r="AA422" s="36">
        <f t="shared" si="129"/>
        <v>1</v>
      </c>
      <c r="AB422" s="36">
        <f t="shared" si="130"/>
        <v>0.14000000000000001</v>
      </c>
      <c r="AC422" s="11">
        <f t="shared" si="131"/>
        <v>0</v>
      </c>
      <c r="AD422" s="36">
        <f t="shared" si="142"/>
        <v>0</v>
      </c>
      <c r="AE422" s="36"/>
      <c r="AF422" s="36">
        <f>IFERROR(VLOOKUP(AE422,'Chemical Cost'!A:D,4,0),0)</f>
        <v>0</v>
      </c>
      <c r="AG422" s="114">
        <f t="shared" si="132"/>
        <v>0</v>
      </c>
      <c r="AH422" s="36">
        <f t="shared" si="136"/>
        <v>0</v>
      </c>
      <c r="AI422" s="36">
        <f t="shared" si="143"/>
        <v>0.14000000000000001</v>
      </c>
      <c r="AJ422" s="36">
        <f>IFERROR(VLOOKUP(A422,'All Products'!A:F,6,0),0)</f>
        <v>1.86</v>
      </c>
      <c r="AK422" s="36"/>
      <c r="AL422" s="23">
        <v>1</v>
      </c>
      <c r="AM422" s="23"/>
      <c r="AN422" s="54" t="e">
        <v>#N/A</v>
      </c>
      <c r="AO422" s="47"/>
      <c r="AP422" s="4">
        <v>1.6</v>
      </c>
      <c r="AQ422" s="111">
        <f t="shared" si="133"/>
        <v>0</v>
      </c>
      <c r="AR422">
        <f>_xlfn.XLOOKUP(F422,'RM Cost'!A:A,'RM Cost'!S:S)</f>
        <v>0</v>
      </c>
      <c r="AS422" t="str">
        <f>_xlfn.XLOOKUP(A422,[3]Sheet1!$B:$B,[3]Sheet1!$B:$B)</f>
        <v>Z371CS</v>
      </c>
      <c r="AT422" t="e">
        <f>_xlfn.XLOOKUP(H422,'Yield &amp; Time'!A:A,'Yield &amp; Time'!F:F)</f>
        <v>#N/A</v>
      </c>
    </row>
    <row r="423" spans="1:46" x14ac:dyDescent="0.25">
      <c r="A423" s="2" t="s">
        <v>664</v>
      </c>
      <c r="B423" s="2" t="s">
        <v>656</v>
      </c>
      <c r="C423" s="2" t="s">
        <v>665</v>
      </c>
      <c r="D423" s="2" t="s">
        <v>554</v>
      </c>
      <c r="E423" s="2">
        <v>2.5</v>
      </c>
      <c r="F423" s="1" t="str">
        <f>VLOOKUP(H423,'RM Used'!A:B,2,0)</f>
        <v>3273CS</v>
      </c>
      <c r="G423" s="1" t="str">
        <f>IFERROR(VLOOKUP(F423,'RM Cost'!A:B,2,0),"")</f>
        <v>RM - MARIS PIPER 25KG</v>
      </c>
      <c r="H423" s="2" t="s">
        <v>1472</v>
      </c>
      <c r="I423" s="1" t="str">
        <f>VLOOKUP(F423,'RM Used'!B:D,3,0)</f>
        <v>RM-FOOD</v>
      </c>
      <c r="J423" s="66">
        <v>1</v>
      </c>
      <c r="K423" s="35">
        <f t="shared" si="138"/>
        <v>2.5</v>
      </c>
      <c r="L423" s="35">
        <f t="shared" si="125"/>
        <v>2.5</v>
      </c>
      <c r="M423" s="77" cm="1">
        <f t="array" ref="M423">_xlfn.IFS(BOM!I423="RM-PACKING","100%",B423="Reynolds",VLOOKUP(H423,'Yield &amp; Time'!A:V,22,0),BOM!B423="Dnata",VLOOKUP(BOM!H423,'Yield &amp; Time'!A:M,13,0),B423="NK",VLOOKUP(H423,'Yield &amp; Time'!A:X,24,0))</f>
        <v>0.67687588174008007</v>
      </c>
      <c r="N423" s="35">
        <f t="shared" si="137"/>
        <v>3.6934393253503432</v>
      </c>
      <c r="O423" s="1" t="str">
        <f>VLOOKUP(H423,'RM Used'!A:E,5,0)</f>
        <v>KG</v>
      </c>
      <c r="P423" s="11">
        <f>VLOOKUP(H423,'RM Used'!A:F,6,0)</f>
        <v>0.43</v>
      </c>
      <c r="Q423" s="11">
        <f t="shared" si="134"/>
        <v>1.5881789099006476</v>
      </c>
      <c r="R423" s="11">
        <f>IFERROR(IF(B423="Reynolds",VLOOKUP(H423,'Yield &amp; Time'!A:U,21,0),VLOOKUP(H423,'Yield &amp; Time'!A:L,12,0)),0)</f>
        <v>2.2879022352980618</v>
      </c>
      <c r="S423" s="11">
        <f t="shared" si="126"/>
        <v>1.9361372666209848</v>
      </c>
      <c r="T423" s="11">
        <f t="shared" si="127"/>
        <v>9.5329259804085922E-2</v>
      </c>
      <c r="U423" s="11">
        <f>IF(A422=A423,0,VLOOKUP(A423,'Packing Time'!A:F,6,0))</f>
        <v>0.875</v>
      </c>
      <c r="V423" s="11">
        <f t="shared" si="139"/>
        <v>0.29618749999999999</v>
      </c>
      <c r="W423" s="11">
        <f t="shared" si="140"/>
        <v>1.4583333333333334E-2</v>
      </c>
      <c r="X423" s="11">
        <f t="shared" si="128"/>
        <v>3.1252546732693784</v>
      </c>
      <c r="Y423" s="11">
        <f t="shared" si="141"/>
        <v>3.1252546732693784</v>
      </c>
      <c r="Z423" s="37">
        <v>1</v>
      </c>
      <c r="AA423" s="36">
        <f t="shared" si="129"/>
        <v>3.6934393253503432</v>
      </c>
      <c r="AB423" s="36">
        <f t="shared" si="130"/>
        <v>1.5881789099006476</v>
      </c>
      <c r="AC423" s="11">
        <f t="shared" si="131"/>
        <v>0.15387763039238694</v>
      </c>
      <c r="AD423" s="36">
        <f t="shared" si="142"/>
        <v>3.1252546732693789</v>
      </c>
      <c r="AE423" s="36" t="str">
        <f>VLOOKUP(H423,'Yield &amp; Time'!A:I,9,0)</f>
        <v>SODIUM METABISULPHITE</v>
      </c>
      <c r="AF423" s="36">
        <f>IFERROR(VLOOKUP(AE423,'Chemical Cost'!A:D,4,0),0)</f>
        <v>9.7586225455882462E-3</v>
      </c>
      <c r="AG423" s="114">
        <f t="shared" si="132"/>
        <v>1.2014293423708701E-2</v>
      </c>
      <c r="AH423" s="36">
        <f t="shared" si="136"/>
        <v>1.2014293423708701E-2</v>
      </c>
      <c r="AI423" s="36">
        <f t="shared" si="143"/>
        <v>4.7254478765937353</v>
      </c>
      <c r="AJ423" s="36">
        <f>IFERROR(VLOOKUP(A423,'All Products'!A:F,6,0),0)</f>
        <v>3.42</v>
      </c>
      <c r="AK423" s="36">
        <f>AJ423*Z423*J423</f>
        <v>3.42</v>
      </c>
      <c r="AL423" s="23">
        <v>1</v>
      </c>
      <c r="AM423" s="23"/>
      <c r="AN423" s="54" t="e">
        <v>#N/A</v>
      </c>
      <c r="AO423" s="47"/>
      <c r="AP423" s="4">
        <v>1.4</v>
      </c>
      <c r="AQ423" s="111">
        <f t="shared" si="133"/>
        <v>0.15387763039238694</v>
      </c>
      <c r="AR423">
        <f>_xlfn.XLOOKUP(F423,'RM Cost'!A:A,'RM Cost'!S:S)</f>
        <v>0</v>
      </c>
      <c r="AS423" t="e">
        <f>_xlfn.XLOOKUP(A423,[3]Sheet1!$B:$B,[3]Sheet1!$B:$B)</f>
        <v>#N/A</v>
      </c>
    </row>
    <row r="424" spans="1:46" x14ac:dyDescent="0.25">
      <c r="A424" s="2" t="s">
        <v>664</v>
      </c>
      <c r="B424" s="2" t="s">
        <v>656</v>
      </c>
      <c r="C424" s="2" t="s">
        <v>665</v>
      </c>
      <c r="D424" s="2" t="s">
        <v>554</v>
      </c>
      <c r="E424" s="2">
        <v>2.5</v>
      </c>
      <c r="F424" s="1" t="str">
        <f>VLOOKUP(H424,'RM Used'!A:B,2,0)</f>
        <v>P0008</v>
      </c>
      <c r="G424" s="1" t="str">
        <f>IFERROR(VLOOKUP(F424,'RM Cost'!A:B,2,0),"")</f>
        <v>PALE BLUE BAG 470X750MM</v>
      </c>
      <c r="H424" s="2" t="s">
        <v>1323</v>
      </c>
      <c r="I424" s="1" t="str">
        <f>VLOOKUP(F424,'RM Used'!B:D,3,0)</f>
        <v>RM-PACKING</v>
      </c>
      <c r="J424" s="66">
        <v>1</v>
      </c>
      <c r="K424" s="35" t="str">
        <f t="shared" si="138"/>
        <v/>
      </c>
      <c r="L424" s="35">
        <f t="shared" si="125"/>
        <v>0</v>
      </c>
      <c r="M424" s="77" t="str" cm="1">
        <f t="array" ref="M424">_xlfn.IFS(BOM!I424="RM-PACKING","100%",B424="Reynolds",VLOOKUP(H424,'Yield &amp; Time'!A:V,22,0),BOM!B424="Dnata",VLOOKUP(BOM!H424,'Yield &amp; Time'!A:M,13,0),B424="NK",VLOOKUP(H424,'Yield &amp; Time'!A:X,24,0))</f>
        <v>100%</v>
      </c>
      <c r="N424" s="35">
        <f t="shared" si="137"/>
        <v>1</v>
      </c>
      <c r="O424" s="1" t="str">
        <f>VLOOKUP(H424,'RM Used'!A:E,5,0)</f>
        <v>Count</v>
      </c>
      <c r="P424" s="11">
        <f>VLOOKUP(H424,'RM Used'!A:F,6,0)</f>
        <v>0.14000000000000001</v>
      </c>
      <c r="Q424" s="11">
        <f t="shared" si="134"/>
        <v>0.14000000000000001</v>
      </c>
      <c r="R424" s="11">
        <f>IFERROR(IF(B424="Reynolds",VLOOKUP(H424,'Yield &amp; Time'!A:U,21,0),VLOOKUP(H424,'Yield &amp; Time'!A:L,12,0)),0)</f>
        <v>0</v>
      </c>
      <c r="S424" s="11">
        <f t="shared" si="126"/>
        <v>0</v>
      </c>
      <c r="T424" s="11">
        <f t="shared" si="127"/>
        <v>0</v>
      </c>
      <c r="U424" s="11">
        <f>IF(A423=A424,0,VLOOKUP(A424,'Packing Time'!A:F,6,0))</f>
        <v>0</v>
      </c>
      <c r="V424" s="11">
        <f t="shared" si="139"/>
        <v>0</v>
      </c>
      <c r="W424" s="11">
        <f t="shared" si="140"/>
        <v>0</v>
      </c>
      <c r="X424" s="11">
        <f t="shared" si="128"/>
        <v>0</v>
      </c>
      <c r="Y424" s="11">
        <f t="shared" si="141"/>
        <v>0</v>
      </c>
      <c r="Z424" s="37">
        <v>1</v>
      </c>
      <c r="AA424" s="36">
        <f t="shared" si="129"/>
        <v>1</v>
      </c>
      <c r="AB424" s="36">
        <f t="shared" si="130"/>
        <v>0.14000000000000001</v>
      </c>
      <c r="AC424" s="11">
        <f t="shared" si="131"/>
        <v>0</v>
      </c>
      <c r="AD424" s="36">
        <f t="shared" si="142"/>
        <v>0</v>
      </c>
      <c r="AE424" s="36"/>
      <c r="AF424" s="36">
        <f>IFERROR(VLOOKUP(AE424,'Chemical Cost'!A:D,4,0),0)</f>
        <v>0</v>
      </c>
      <c r="AG424" s="114">
        <f t="shared" si="132"/>
        <v>0</v>
      </c>
      <c r="AH424" s="36">
        <f t="shared" si="136"/>
        <v>0</v>
      </c>
      <c r="AI424" s="36">
        <f t="shared" si="143"/>
        <v>0.14000000000000001</v>
      </c>
      <c r="AJ424" s="36">
        <f>IFERROR(VLOOKUP(A424,'All Products'!A:F,6,0),0)</f>
        <v>3.42</v>
      </c>
      <c r="AK424" s="36"/>
      <c r="AL424" s="23">
        <v>1</v>
      </c>
      <c r="AM424" s="23"/>
      <c r="AN424" s="54" t="e">
        <v>#N/A</v>
      </c>
      <c r="AO424" s="47"/>
      <c r="AP424" s="4">
        <v>1.4</v>
      </c>
      <c r="AQ424" s="111">
        <f t="shared" si="133"/>
        <v>0</v>
      </c>
      <c r="AR424">
        <f>_xlfn.XLOOKUP(F424,'RM Cost'!A:A,'RM Cost'!S:S)</f>
        <v>0</v>
      </c>
      <c r="AS424" t="e">
        <f>_xlfn.XLOOKUP(A424,[3]Sheet1!$B:$B,[3]Sheet1!$B:$B)</f>
        <v>#N/A</v>
      </c>
    </row>
    <row r="425" spans="1:46" x14ac:dyDescent="0.25">
      <c r="A425" s="2" t="s">
        <v>533</v>
      </c>
      <c r="B425" s="2" t="s">
        <v>656</v>
      </c>
      <c r="C425" s="2" t="s">
        <v>534</v>
      </c>
      <c r="D425" s="2" t="s">
        <v>554</v>
      </c>
      <c r="E425" s="2">
        <v>2.5</v>
      </c>
      <c r="F425" s="1" t="str">
        <f>VLOOKUP(H425,'RM Used'!A:B,2,0)</f>
        <v>120ACS</v>
      </c>
      <c r="G425" s="1" t="str">
        <f>IFERROR(VLOOKUP(F425,'RM Cost'!A:B,2,0),"")</f>
        <v>RM - BEANS EXTRA FINE PREMIUM 1.5KG</v>
      </c>
      <c r="H425" s="2" t="s">
        <v>1473</v>
      </c>
      <c r="I425" s="1" t="str">
        <f>VLOOKUP(F425,'RM Used'!B:D,3,0)</f>
        <v>RM-FOOD</v>
      </c>
      <c r="J425" s="66">
        <v>1</v>
      </c>
      <c r="K425" s="35">
        <f t="shared" si="138"/>
        <v>2.5</v>
      </c>
      <c r="L425" s="35">
        <f t="shared" si="125"/>
        <v>2.5</v>
      </c>
      <c r="M425" s="77" cm="1">
        <f t="array" ref="M425">_xlfn.IFS(BOM!I425="RM-PACKING","100%",B425="Reynolds",VLOOKUP(H425,'Yield &amp; Time'!A:V,22,0),BOM!B425="Dnata",VLOOKUP(BOM!H425,'Yield &amp; Time'!A:M,13,0),B425="NK",VLOOKUP(H425,'Yield &amp; Time'!A:X,24,0))</f>
        <v>0.7</v>
      </c>
      <c r="N425" s="35">
        <f t="shared" si="137"/>
        <v>3.5714285714285716</v>
      </c>
      <c r="O425" s="1" t="str">
        <f>VLOOKUP(H425,'RM Used'!A:E,5,0)</f>
        <v>KG</v>
      </c>
      <c r="P425" s="11" t="e">
        <f>VLOOKUP(H425,'RM Used'!A:F,6,0)</f>
        <v>#N/A</v>
      </c>
      <c r="Q425" s="11" t="e">
        <f t="shared" si="134"/>
        <v>#N/A</v>
      </c>
      <c r="R425" s="11">
        <f>IFERROR(IF(B425="Reynolds",VLOOKUP(H425,'Yield &amp; Time'!A:U,21,0),VLOOKUP(H425,'Yield &amp; Time'!A:L,12,0)),0)</f>
        <v>18.428571428571431</v>
      </c>
      <c r="S425" s="11">
        <f t="shared" si="126"/>
        <v>15.595178571428571</v>
      </c>
      <c r="T425" s="11">
        <f t="shared" si="127"/>
        <v>0.7678571428571429</v>
      </c>
      <c r="U425" s="11">
        <f>IF(A424=A425,0,VLOOKUP(A425,'Packing Time'!A:F,6,0))</f>
        <v>0.875</v>
      </c>
      <c r="V425" s="11">
        <f t="shared" si="139"/>
        <v>0.29618749999999999</v>
      </c>
      <c r="W425" s="11">
        <f t="shared" si="140"/>
        <v>1.4583333333333334E-2</v>
      </c>
      <c r="X425" s="11">
        <f t="shared" si="128"/>
        <v>25.426185714285715</v>
      </c>
      <c r="Y425" s="11">
        <f t="shared" si="141"/>
        <v>25.426185714285715</v>
      </c>
      <c r="Z425" s="37">
        <v>1</v>
      </c>
      <c r="AA425" s="36">
        <f t="shared" si="129"/>
        <v>3.5714285714285716</v>
      </c>
      <c r="AB425" s="36" t="e">
        <f t="shared" si="130"/>
        <v>#N/A</v>
      </c>
      <c r="AC425" s="11">
        <f t="shared" si="131"/>
        <v>1.2519047619047621</v>
      </c>
      <c r="AD425" s="36">
        <f t="shared" si="142"/>
        <v>25.426185714285715</v>
      </c>
      <c r="AE425" s="36"/>
      <c r="AF425" s="36">
        <f>IFERROR(VLOOKUP(AE425,'Chemical Cost'!A:D,4,0),0)</f>
        <v>0</v>
      </c>
      <c r="AG425" s="114">
        <f t="shared" si="132"/>
        <v>0</v>
      </c>
      <c r="AH425" s="36">
        <f t="shared" si="136"/>
        <v>0</v>
      </c>
      <c r="AI425" s="36">
        <f t="shared" si="143"/>
        <v>0</v>
      </c>
      <c r="AJ425" s="36">
        <f>IFERROR(VLOOKUP(A425,'All Products'!A:F,6,0),0)</f>
        <v>35.75</v>
      </c>
      <c r="AK425" s="36">
        <f>AJ425*Z425*J425</f>
        <v>35.75</v>
      </c>
      <c r="AL425" s="23">
        <v>1</v>
      </c>
      <c r="AM425" s="23"/>
      <c r="AN425" s="54" t="e">
        <v>#N/A</v>
      </c>
      <c r="AO425" s="47"/>
      <c r="AP425" s="4">
        <v>1.6</v>
      </c>
      <c r="AQ425" s="111">
        <f t="shared" si="133"/>
        <v>1.2519047619047621</v>
      </c>
      <c r="AR425">
        <f>_xlfn.XLOOKUP(F425,'RM Cost'!A:A,'RM Cost'!S:S)</f>
        <v>0</v>
      </c>
      <c r="AS425" t="e">
        <f>_xlfn.XLOOKUP(A425,[3]Sheet1!$B:$B,[3]Sheet1!$B:$B)</f>
        <v>#N/A</v>
      </c>
    </row>
    <row r="426" spans="1:46" x14ac:dyDescent="0.25">
      <c r="A426" s="2" t="s">
        <v>533</v>
      </c>
      <c r="B426" s="2" t="s">
        <v>656</v>
      </c>
      <c r="C426" s="2" t="s">
        <v>534</v>
      </c>
      <c r="D426" s="2" t="s">
        <v>554</v>
      </c>
      <c r="E426" s="2">
        <v>2.5</v>
      </c>
      <c r="F426" s="1" t="str">
        <f>VLOOKUP(H426,'RM Used'!A:B,2,0)</f>
        <v>P0008</v>
      </c>
      <c r="G426" s="1" t="str">
        <f>IFERROR(VLOOKUP(F426,'RM Cost'!A:B,2,0),"")</f>
        <v>PALE BLUE BAG 470X750MM</v>
      </c>
      <c r="H426" s="2" t="s">
        <v>1323</v>
      </c>
      <c r="I426" s="1" t="str">
        <f>VLOOKUP(F426,'RM Used'!B:D,3,0)</f>
        <v>RM-PACKING</v>
      </c>
      <c r="J426" s="66">
        <v>1</v>
      </c>
      <c r="K426" s="35" t="str">
        <f t="shared" si="138"/>
        <v/>
      </c>
      <c r="L426" s="35">
        <f t="shared" si="125"/>
        <v>0</v>
      </c>
      <c r="M426" s="77" t="str" cm="1">
        <f t="array" ref="M426">_xlfn.IFS(BOM!I426="RM-PACKING","100%",B426="Reynolds",VLOOKUP(H426,'Yield &amp; Time'!A:V,22,0),BOM!B426="Dnata",VLOOKUP(BOM!H426,'Yield &amp; Time'!A:M,13,0),B426="NK",VLOOKUP(H426,'Yield &amp; Time'!A:X,24,0))</f>
        <v>100%</v>
      </c>
      <c r="N426" s="35">
        <f t="shared" si="137"/>
        <v>1</v>
      </c>
      <c r="O426" s="1" t="str">
        <f>VLOOKUP(H426,'RM Used'!A:E,5,0)</f>
        <v>Count</v>
      </c>
      <c r="P426" s="11">
        <f>VLOOKUP(H426,'RM Used'!A:F,6,0)</f>
        <v>0.14000000000000001</v>
      </c>
      <c r="Q426" s="11">
        <f t="shared" si="134"/>
        <v>0.14000000000000001</v>
      </c>
      <c r="R426" s="11">
        <f>IFERROR(IF(B426="Reynolds",VLOOKUP(H426,'Yield &amp; Time'!A:U,21,0),VLOOKUP(H426,'Yield &amp; Time'!A:L,12,0)),0)</f>
        <v>0</v>
      </c>
      <c r="S426" s="11">
        <f t="shared" si="126"/>
        <v>0</v>
      </c>
      <c r="T426" s="11">
        <f t="shared" si="127"/>
        <v>0</v>
      </c>
      <c r="U426" s="11">
        <f>IF(A425=A426,0,VLOOKUP(A426,'Packing Time'!A:F,6,0))</f>
        <v>0</v>
      </c>
      <c r="V426" s="11">
        <f t="shared" si="139"/>
        <v>0</v>
      </c>
      <c r="W426" s="11">
        <f t="shared" si="140"/>
        <v>0</v>
      </c>
      <c r="X426" s="11">
        <f t="shared" si="128"/>
        <v>0</v>
      </c>
      <c r="Y426" s="11">
        <f t="shared" si="141"/>
        <v>0</v>
      </c>
      <c r="Z426" s="37">
        <v>1</v>
      </c>
      <c r="AA426" s="36">
        <f t="shared" si="129"/>
        <v>1</v>
      </c>
      <c r="AB426" s="36">
        <f t="shared" si="130"/>
        <v>0.14000000000000001</v>
      </c>
      <c r="AC426" s="11">
        <f t="shared" si="131"/>
        <v>0</v>
      </c>
      <c r="AD426" s="36">
        <f t="shared" si="142"/>
        <v>0</v>
      </c>
      <c r="AE426" s="36"/>
      <c r="AF426" s="36">
        <f>IFERROR(VLOOKUP(AE426,'Chemical Cost'!A:D,4,0),0)</f>
        <v>0</v>
      </c>
      <c r="AG426" s="114">
        <f t="shared" si="132"/>
        <v>0</v>
      </c>
      <c r="AH426" s="36">
        <f t="shared" si="136"/>
        <v>0</v>
      </c>
      <c r="AI426" s="36">
        <f t="shared" si="143"/>
        <v>0.14000000000000001</v>
      </c>
      <c r="AJ426" s="36">
        <f>IFERROR(VLOOKUP(A426,'All Products'!A:F,6,0),0)</f>
        <v>35.75</v>
      </c>
      <c r="AK426" s="36"/>
      <c r="AL426" s="23">
        <v>1</v>
      </c>
      <c r="AM426" s="23"/>
      <c r="AN426" s="54" t="e">
        <v>#N/A</v>
      </c>
      <c r="AO426" s="47"/>
      <c r="AP426" s="4">
        <v>1.6</v>
      </c>
      <c r="AQ426" s="111">
        <f t="shared" si="133"/>
        <v>0</v>
      </c>
      <c r="AR426">
        <f>_xlfn.XLOOKUP(F426,'RM Cost'!A:A,'RM Cost'!S:S)</f>
        <v>0</v>
      </c>
      <c r="AS426" t="e">
        <f>_xlfn.XLOOKUP(A426,[3]Sheet1!$B:$B,[3]Sheet1!$B:$B)</f>
        <v>#N/A</v>
      </c>
    </row>
    <row r="427" spans="1:46" x14ac:dyDescent="0.25">
      <c r="A427" s="2" t="s">
        <v>666</v>
      </c>
      <c r="B427" s="2" t="s">
        <v>656</v>
      </c>
      <c r="C427" s="2" t="s">
        <v>667</v>
      </c>
      <c r="D427" s="2" t="s">
        <v>554</v>
      </c>
      <c r="E427" s="2">
        <v>1</v>
      </c>
      <c r="F427" s="1" t="str">
        <f>VLOOKUP(H427,'RM Used'!A:B,2,0)</f>
        <v>3565CS</v>
      </c>
      <c r="G427" s="1" t="str">
        <f>IFERROR(VLOOKUP(F427,'RM Cost'!A:B,2,0),"")</f>
        <v>RM - PEPPERS GREEN  X 5KG</v>
      </c>
      <c r="H427" s="2" t="s">
        <v>1398</v>
      </c>
      <c r="I427" s="1" t="str">
        <f>VLOOKUP(F427,'RM Used'!B:D,3,0)</f>
        <v>RM-FOOD</v>
      </c>
      <c r="J427" s="66">
        <v>1</v>
      </c>
      <c r="K427" s="35">
        <f t="shared" si="138"/>
        <v>1</v>
      </c>
      <c r="L427" s="35">
        <f t="shared" si="125"/>
        <v>1</v>
      </c>
      <c r="M427" s="77" cm="1">
        <f t="array" ref="M427">_xlfn.IFS(BOM!I427="RM-PACKING","100%",B427="Reynolds",VLOOKUP(H427,'Yield &amp; Time'!A:V,22,0),BOM!B427="Dnata",VLOOKUP(BOM!H427,'Yield &amp; Time'!A:M,13,0),B427="NK",VLOOKUP(H427,'Yield &amp; Time'!A:X,24,0))</f>
        <v>0.45454545454545459</v>
      </c>
      <c r="N427" s="35">
        <f t="shared" si="137"/>
        <v>2.1999999999999997</v>
      </c>
      <c r="O427" s="1" t="str">
        <f>VLOOKUP(H427,'RM Used'!A:E,5,0)</f>
        <v>KG</v>
      </c>
      <c r="P427" s="11">
        <f>VLOOKUP(H427,'RM Used'!A:F,6,0)</f>
        <v>1.76</v>
      </c>
      <c r="Q427" s="11">
        <f t="shared" si="134"/>
        <v>3.8719999999999994</v>
      </c>
      <c r="R427" s="11">
        <f>IFERROR(IF(B427="Reynolds",VLOOKUP(H427,'Yield &amp; Time'!A:U,21,0),VLOOKUP(H427,'Yield &amp; Time'!A:L,12,0)),0)</f>
        <v>6.75</v>
      </c>
      <c r="S427" s="11">
        <f t="shared" si="126"/>
        <v>2.284875</v>
      </c>
      <c r="T427" s="11">
        <f t="shared" si="127"/>
        <v>0.1125</v>
      </c>
      <c r="U427" s="11">
        <f>IF(A426=A427,0,VLOOKUP(A427,'Packing Time'!A:F,6,0))</f>
        <v>0.64166666666666661</v>
      </c>
      <c r="V427" s="11">
        <f t="shared" si="139"/>
        <v>0.21720416666666661</v>
      </c>
      <c r="W427" s="11">
        <f t="shared" si="140"/>
        <v>1.0694444444444444E-2</v>
      </c>
      <c r="X427" s="11">
        <f t="shared" si="128"/>
        <v>4.0033266666666663</v>
      </c>
      <c r="Y427" s="11">
        <f t="shared" si="141"/>
        <v>4.0033266666666663</v>
      </c>
      <c r="Z427" s="37">
        <v>1</v>
      </c>
      <c r="AA427" s="36">
        <f t="shared" si="129"/>
        <v>2.1999999999999997</v>
      </c>
      <c r="AB427" s="36">
        <f t="shared" si="130"/>
        <v>3.8719999999999994</v>
      </c>
      <c r="AC427" s="11">
        <f t="shared" si="131"/>
        <v>0.19711111111111113</v>
      </c>
      <c r="AD427" s="36">
        <f t="shared" si="142"/>
        <v>4.0033266666666671</v>
      </c>
      <c r="AE427" s="36"/>
      <c r="AF427" s="36">
        <f>IFERROR(VLOOKUP(AE427,'Chemical Cost'!A:D,4,0),0)</f>
        <v>0</v>
      </c>
      <c r="AG427" s="114">
        <f t="shared" si="132"/>
        <v>0</v>
      </c>
      <c r="AH427" s="36">
        <f t="shared" si="136"/>
        <v>0</v>
      </c>
      <c r="AI427" s="36">
        <f t="shared" si="143"/>
        <v>7.8753266666666661</v>
      </c>
      <c r="AJ427" s="36">
        <f>IFERROR(VLOOKUP(A427,'All Products'!A:F,6,0),0)</f>
        <v>8.0500000000000007</v>
      </c>
      <c r="AK427" s="36">
        <f>AJ427*Z427*J427</f>
        <v>8.0500000000000007</v>
      </c>
      <c r="AL427" s="23">
        <v>1</v>
      </c>
      <c r="AM427" s="23"/>
      <c r="AN427" s="54" t="e">
        <v>#N/A</v>
      </c>
      <c r="AO427" s="47"/>
      <c r="AP427" s="4">
        <v>1.6</v>
      </c>
      <c r="AQ427" s="111">
        <f t="shared" si="133"/>
        <v>0.19711111111111113</v>
      </c>
      <c r="AR427">
        <f>_xlfn.XLOOKUP(F427,'RM Cost'!A:A,'RM Cost'!S:S)</f>
        <v>0</v>
      </c>
      <c r="AS427" t="e">
        <f>_xlfn.XLOOKUP(A427,[3]Sheet1!$B:$B,[3]Sheet1!$B:$B)</f>
        <v>#N/A</v>
      </c>
    </row>
    <row r="428" spans="1:46" x14ac:dyDescent="0.25">
      <c r="A428" s="2" t="s">
        <v>666</v>
      </c>
      <c r="B428" s="2" t="s">
        <v>656</v>
      </c>
      <c r="C428" s="2" t="s">
        <v>667</v>
      </c>
      <c r="D428" s="2" t="s">
        <v>554</v>
      </c>
      <c r="E428" s="2">
        <v>1</v>
      </c>
      <c r="F428" s="1" t="str">
        <f>VLOOKUP(H428,'RM Used'!A:B,2,0)</f>
        <v>P0008</v>
      </c>
      <c r="G428" s="1" t="str">
        <f>IFERROR(VLOOKUP(F428,'RM Cost'!A:B,2,0),"")</f>
        <v>PALE BLUE BAG 470X750MM</v>
      </c>
      <c r="H428" s="2" t="s">
        <v>1323</v>
      </c>
      <c r="I428" s="1" t="str">
        <f>VLOOKUP(F428,'RM Used'!B:D,3,0)</f>
        <v>RM-PACKING</v>
      </c>
      <c r="J428" s="66">
        <v>1</v>
      </c>
      <c r="K428" s="35" t="str">
        <f t="shared" si="138"/>
        <v/>
      </c>
      <c r="L428" s="35">
        <f t="shared" si="125"/>
        <v>0</v>
      </c>
      <c r="M428" s="77" t="str" cm="1">
        <f t="array" ref="M428">_xlfn.IFS(BOM!I428="RM-PACKING","100%",B428="Reynolds",VLOOKUP(H428,'Yield &amp; Time'!A:V,22,0),BOM!B428="Dnata",VLOOKUP(BOM!H428,'Yield &amp; Time'!A:M,13,0),B428="NK",VLOOKUP(H428,'Yield &amp; Time'!A:X,24,0))</f>
        <v>100%</v>
      </c>
      <c r="N428" s="35">
        <f t="shared" si="137"/>
        <v>1</v>
      </c>
      <c r="O428" s="1" t="str">
        <f>VLOOKUP(H428,'RM Used'!A:E,5,0)</f>
        <v>Count</v>
      </c>
      <c r="P428" s="11">
        <f>VLOOKUP(H428,'RM Used'!A:F,6,0)</f>
        <v>0.14000000000000001</v>
      </c>
      <c r="Q428" s="11">
        <f t="shared" si="134"/>
        <v>0.14000000000000001</v>
      </c>
      <c r="R428" s="11">
        <f>IFERROR(IF(B428="Reynolds",VLOOKUP(H428,'Yield &amp; Time'!A:U,21,0),VLOOKUP(H428,'Yield &amp; Time'!A:L,12,0)),0)</f>
        <v>0</v>
      </c>
      <c r="S428" s="11">
        <f t="shared" si="126"/>
        <v>0</v>
      </c>
      <c r="T428" s="11">
        <f t="shared" si="127"/>
        <v>0</v>
      </c>
      <c r="U428" s="11">
        <f>IF(A427=A428,0,VLOOKUP(A428,'Packing Time'!A:F,6,0))</f>
        <v>0</v>
      </c>
      <c r="V428" s="11">
        <f t="shared" si="139"/>
        <v>0</v>
      </c>
      <c r="W428" s="11">
        <f t="shared" si="140"/>
        <v>0</v>
      </c>
      <c r="X428" s="11">
        <f t="shared" si="128"/>
        <v>0</v>
      </c>
      <c r="Y428" s="11">
        <f t="shared" si="141"/>
        <v>0</v>
      </c>
      <c r="Z428" s="37">
        <v>1</v>
      </c>
      <c r="AA428" s="36">
        <f t="shared" si="129"/>
        <v>1</v>
      </c>
      <c r="AB428" s="36">
        <f t="shared" si="130"/>
        <v>0.14000000000000001</v>
      </c>
      <c r="AC428" s="11">
        <f t="shared" si="131"/>
        <v>0</v>
      </c>
      <c r="AD428" s="36">
        <f t="shared" si="142"/>
        <v>0</v>
      </c>
      <c r="AE428" s="36"/>
      <c r="AF428" s="36">
        <f>IFERROR(VLOOKUP(AE428,'Chemical Cost'!A:D,4,0),0)</f>
        <v>0</v>
      </c>
      <c r="AG428" s="114">
        <f t="shared" si="132"/>
        <v>0</v>
      </c>
      <c r="AH428" s="36">
        <f t="shared" si="136"/>
        <v>0</v>
      </c>
      <c r="AI428" s="36">
        <f t="shared" si="143"/>
        <v>0.14000000000000001</v>
      </c>
      <c r="AJ428" s="36">
        <f>IFERROR(VLOOKUP(A428,'All Products'!A:F,6,0),0)</f>
        <v>8.0500000000000007</v>
      </c>
      <c r="AK428" s="36"/>
      <c r="AL428" s="23">
        <v>1</v>
      </c>
      <c r="AM428" s="23"/>
      <c r="AN428" s="54" t="e">
        <v>#N/A</v>
      </c>
      <c r="AO428" s="47"/>
      <c r="AP428" s="4">
        <v>1.6</v>
      </c>
      <c r="AQ428" s="111">
        <f t="shared" si="133"/>
        <v>0</v>
      </c>
      <c r="AR428">
        <f>_xlfn.XLOOKUP(F428,'RM Cost'!A:A,'RM Cost'!S:S)</f>
        <v>0</v>
      </c>
      <c r="AS428" t="e">
        <f>_xlfn.XLOOKUP(A428,[3]Sheet1!$B:$B,[3]Sheet1!$B:$B)</f>
        <v>#N/A</v>
      </c>
    </row>
    <row r="429" spans="1:46" x14ac:dyDescent="0.25">
      <c r="A429" s="2" t="s">
        <v>668</v>
      </c>
      <c r="B429" s="2" t="s">
        <v>656</v>
      </c>
      <c r="C429" s="2" t="s">
        <v>669</v>
      </c>
      <c r="D429" s="2" t="s">
        <v>554</v>
      </c>
      <c r="E429" s="2">
        <v>2.5</v>
      </c>
      <c r="F429" s="1" t="str">
        <f>VLOOKUP(H429,'RM Used'!A:B,2,0)</f>
        <v>3565CS</v>
      </c>
      <c r="G429" s="1" t="str">
        <f>IFERROR(VLOOKUP(F429,'RM Cost'!A:B,2,0),"")</f>
        <v>RM - PEPPERS GREEN  X 5KG</v>
      </c>
      <c r="H429" s="2" t="s">
        <v>1398</v>
      </c>
      <c r="I429" s="1" t="str">
        <f>VLOOKUP(F429,'RM Used'!B:D,3,0)</f>
        <v>RM-FOOD</v>
      </c>
      <c r="J429" s="66">
        <v>1</v>
      </c>
      <c r="K429" s="35">
        <f t="shared" si="138"/>
        <v>2.5</v>
      </c>
      <c r="L429" s="35">
        <f t="shared" si="125"/>
        <v>2.5</v>
      </c>
      <c r="M429" s="77" cm="1">
        <f t="array" ref="M429">_xlfn.IFS(BOM!I429="RM-PACKING","100%",B429="Reynolds",VLOOKUP(H429,'Yield &amp; Time'!A:V,22,0),BOM!B429="Dnata",VLOOKUP(BOM!H429,'Yield &amp; Time'!A:M,13,0),B429="NK",VLOOKUP(H429,'Yield &amp; Time'!A:X,24,0))</f>
        <v>0.45454545454545459</v>
      </c>
      <c r="N429" s="35">
        <f t="shared" si="137"/>
        <v>5.4999999999999991</v>
      </c>
      <c r="O429" s="1" t="str">
        <f>VLOOKUP(H429,'RM Used'!A:E,5,0)</f>
        <v>KG</v>
      </c>
      <c r="P429" s="11">
        <f>VLOOKUP(H429,'RM Used'!A:F,6,0)</f>
        <v>1.76</v>
      </c>
      <c r="Q429" s="11">
        <f t="shared" si="134"/>
        <v>9.6799999999999979</v>
      </c>
      <c r="R429" s="11">
        <f>IFERROR(IF(B429="Reynolds",VLOOKUP(H429,'Yield &amp; Time'!A:U,21,0),VLOOKUP(H429,'Yield &amp; Time'!A:L,12,0)),0)</f>
        <v>6.75</v>
      </c>
      <c r="S429" s="11">
        <f t="shared" si="126"/>
        <v>5.7121874999999998</v>
      </c>
      <c r="T429" s="11">
        <f t="shared" si="127"/>
        <v>0.28125</v>
      </c>
      <c r="U429" s="11">
        <f>IF(A428=A429,0,VLOOKUP(A429,'Packing Time'!A:F,6,0))</f>
        <v>0.875</v>
      </c>
      <c r="V429" s="11">
        <f t="shared" si="139"/>
        <v>0.29618749999999999</v>
      </c>
      <c r="W429" s="11">
        <f t="shared" si="140"/>
        <v>1.4583333333333334E-2</v>
      </c>
      <c r="X429" s="11">
        <f t="shared" si="128"/>
        <v>9.6133999999999986</v>
      </c>
      <c r="Y429" s="11">
        <f t="shared" si="141"/>
        <v>9.6133999999999986</v>
      </c>
      <c r="Z429" s="37">
        <v>1</v>
      </c>
      <c r="AA429" s="36">
        <f t="shared" si="129"/>
        <v>5.4999999999999991</v>
      </c>
      <c r="AB429" s="36">
        <f t="shared" si="130"/>
        <v>9.6799999999999979</v>
      </c>
      <c r="AC429" s="11">
        <f t="shared" si="131"/>
        <v>0.47333333333333338</v>
      </c>
      <c r="AD429" s="36">
        <f t="shared" si="142"/>
        <v>9.6134000000000004</v>
      </c>
      <c r="AE429" s="36"/>
      <c r="AF429" s="36">
        <f>IFERROR(VLOOKUP(AE429,'Chemical Cost'!A:D,4,0),0)</f>
        <v>0</v>
      </c>
      <c r="AG429" s="114">
        <f t="shared" si="132"/>
        <v>0</v>
      </c>
      <c r="AH429" s="36">
        <f t="shared" si="136"/>
        <v>0</v>
      </c>
      <c r="AI429" s="36">
        <f t="shared" si="143"/>
        <v>19.293399999999998</v>
      </c>
      <c r="AJ429" s="36">
        <f>IFERROR(VLOOKUP(A429,'All Products'!A:F,6,0),0)</f>
        <v>20.11</v>
      </c>
      <c r="AK429" s="36">
        <f>AJ429*Z429*J429</f>
        <v>20.11</v>
      </c>
      <c r="AL429" s="23">
        <v>1</v>
      </c>
      <c r="AM429" s="23"/>
      <c r="AN429" s="54" t="e">
        <v>#N/A</v>
      </c>
      <c r="AO429" s="47"/>
      <c r="AP429" s="4">
        <v>1.6</v>
      </c>
      <c r="AQ429" s="111">
        <f t="shared" si="133"/>
        <v>0.47333333333333338</v>
      </c>
      <c r="AR429">
        <f>_xlfn.XLOOKUP(F429,'RM Cost'!A:A,'RM Cost'!S:S)</f>
        <v>0</v>
      </c>
      <c r="AS429" t="e">
        <f>_xlfn.XLOOKUP(A429,[3]Sheet1!$B:$B,[3]Sheet1!$B:$B)</f>
        <v>#N/A</v>
      </c>
    </row>
    <row r="430" spans="1:46" x14ac:dyDescent="0.25">
      <c r="A430" s="2" t="s">
        <v>668</v>
      </c>
      <c r="B430" s="2" t="s">
        <v>656</v>
      </c>
      <c r="C430" s="2" t="s">
        <v>669</v>
      </c>
      <c r="D430" s="2" t="s">
        <v>554</v>
      </c>
      <c r="E430" s="2">
        <v>2.5</v>
      </c>
      <c r="F430" s="1" t="str">
        <f>VLOOKUP(H430,'RM Used'!A:B,2,0)</f>
        <v>P0008</v>
      </c>
      <c r="G430" s="1" t="str">
        <f>IFERROR(VLOOKUP(F430,'RM Cost'!A:B,2,0),"")</f>
        <v>PALE BLUE BAG 470X750MM</v>
      </c>
      <c r="H430" s="2" t="s">
        <v>1323</v>
      </c>
      <c r="I430" s="1" t="str">
        <f>VLOOKUP(F430,'RM Used'!B:D,3,0)</f>
        <v>RM-PACKING</v>
      </c>
      <c r="J430" s="66">
        <v>1</v>
      </c>
      <c r="K430" s="35" t="str">
        <f t="shared" si="138"/>
        <v/>
      </c>
      <c r="L430" s="35">
        <f t="shared" si="125"/>
        <v>0</v>
      </c>
      <c r="M430" s="77" t="str" cm="1">
        <f t="array" ref="M430">_xlfn.IFS(BOM!I430="RM-PACKING","100%",B430="Reynolds",VLOOKUP(H430,'Yield &amp; Time'!A:V,22,0),BOM!B430="Dnata",VLOOKUP(BOM!H430,'Yield &amp; Time'!A:M,13,0),B430="NK",VLOOKUP(H430,'Yield &amp; Time'!A:X,24,0))</f>
        <v>100%</v>
      </c>
      <c r="N430" s="35">
        <f t="shared" si="137"/>
        <v>1</v>
      </c>
      <c r="O430" s="1" t="str">
        <f>VLOOKUP(H430,'RM Used'!A:E,5,0)</f>
        <v>Count</v>
      </c>
      <c r="P430" s="11">
        <f>VLOOKUP(H430,'RM Used'!A:F,6,0)</f>
        <v>0.14000000000000001</v>
      </c>
      <c r="Q430" s="11">
        <f t="shared" si="134"/>
        <v>0.14000000000000001</v>
      </c>
      <c r="R430" s="11">
        <f>IFERROR(IF(B430="Reynolds",VLOOKUP(H430,'Yield &amp; Time'!A:U,21,0),VLOOKUP(H430,'Yield &amp; Time'!A:L,12,0)),0)</f>
        <v>0</v>
      </c>
      <c r="S430" s="11">
        <f t="shared" si="126"/>
        <v>0</v>
      </c>
      <c r="T430" s="11">
        <f t="shared" si="127"/>
        <v>0</v>
      </c>
      <c r="U430" s="11">
        <f>IF(A429=A430,0,VLOOKUP(A430,'Packing Time'!A:F,6,0))</f>
        <v>0</v>
      </c>
      <c r="V430" s="11">
        <f t="shared" si="139"/>
        <v>0</v>
      </c>
      <c r="W430" s="11">
        <f t="shared" si="140"/>
        <v>0</v>
      </c>
      <c r="X430" s="11">
        <f t="shared" si="128"/>
        <v>0</v>
      </c>
      <c r="Y430" s="11">
        <f t="shared" si="141"/>
        <v>0</v>
      </c>
      <c r="Z430" s="37">
        <v>1</v>
      </c>
      <c r="AA430" s="36">
        <f t="shared" si="129"/>
        <v>1</v>
      </c>
      <c r="AB430" s="36">
        <f t="shared" si="130"/>
        <v>0.14000000000000001</v>
      </c>
      <c r="AC430" s="11">
        <f t="shared" si="131"/>
        <v>0</v>
      </c>
      <c r="AD430" s="36">
        <f t="shared" si="142"/>
        <v>0</v>
      </c>
      <c r="AE430" s="36"/>
      <c r="AF430" s="36">
        <f>IFERROR(VLOOKUP(AE430,'Chemical Cost'!A:D,4,0),0)</f>
        <v>0</v>
      </c>
      <c r="AG430" s="114">
        <f t="shared" si="132"/>
        <v>0</v>
      </c>
      <c r="AH430" s="36">
        <f t="shared" si="136"/>
        <v>0</v>
      </c>
      <c r="AI430" s="36">
        <f t="shared" si="143"/>
        <v>0.14000000000000001</v>
      </c>
      <c r="AJ430" s="36">
        <f>IFERROR(VLOOKUP(A430,'All Products'!A:F,6,0),0)</f>
        <v>20.11</v>
      </c>
      <c r="AK430" s="36"/>
      <c r="AL430" s="23">
        <v>1</v>
      </c>
      <c r="AM430" s="23"/>
      <c r="AN430" s="54" t="e">
        <v>#N/A</v>
      </c>
      <c r="AO430" s="47"/>
      <c r="AP430" s="4">
        <v>1.6</v>
      </c>
      <c r="AQ430" s="111">
        <f t="shared" si="133"/>
        <v>0</v>
      </c>
      <c r="AR430">
        <f>_xlfn.XLOOKUP(F430,'RM Cost'!A:A,'RM Cost'!S:S)</f>
        <v>0</v>
      </c>
      <c r="AS430" t="e">
        <f>_xlfn.XLOOKUP(A430,[3]Sheet1!$B:$B,[3]Sheet1!$B:$B)</f>
        <v>#N/A</v>
      </c>
    </row>
    <row r="431" spans="1:46" x14ac:dyDescent="0.25">
      <c r="A431" s="2" t="s">
        <v>320</v>
      </c>
      <c r="B431" s="2" t="s">
        <v>656</v>
      </c>
      <c r="C431" s="2" t="s">
        <v>670</v>
      </c>
      <c r="D431" s="2" t="s">
        <v>554</v>
      </c>
      <c r="E431" s="2">
        <v>1</v>
      </c>
      <c r="F431" s="1" t="str">
        <f>VLOOKUP(H431,'RM Used'!A:B,2,0)</f>
        <v>032ACS</v>
      </c>
      <c r="G431" s="1" t="str">
        <f>IFERROR(VLOOKUP(F431,'RM Cost'!A:B,2,0),"")</f>
        <v>RM - LRG PROCESSING CARROT X 1000KG</v>
      </c>
      <c r="H431" s="2" t="s">
        <v>1474</v>
      </c>
      <c r="I431" s="1" t="str">
        <f>VLOOKUP(F431,'RM Used'!B:D,3,0)</f>
        <v>RM-FOOD</v>
      </c>
      <c r="J431" s="66">
        <v>1</v>
      </c>
      <c r="K431" s="35">
        <f t="shared" si="138"/>
        <v>1</v>
      </c>
      <c r="L431" s="35">
        <f t="shared" si="125"/>
        <v>1</v>
      </c>
      <c r="M431" s="77" cm="1">
        <f t="array" ref="M431">_xlfn.IFS(BOM!I431="RM-PACKING","100%",B431="Reynolds",VLOOKUP(H431,'Yield &amp; Time'!A:V,22,0),BOM!B431="Dnata",VLOOKUP(BOM!H431,'Yield &amp; Time'!A:M,13,0),B431="NK",VLOOKUP(H431,'Yield &amp; Time'!A:X,24,0))</f>
        <v>0.54988008845423131</v>
      </c>
      <c r="N431" s="35">
        <f t="shared" si="137"/>
        <v>1.8185783064287733</v>
      </c>
      <c r="O431" s="1" t="str">
        <f>VLOOKUP(H431,'RM Used'!A:E,5,0)</f>
        <v>KG</v>
      </c>
      <c r="P431" s="11">
        <f>VLOOKUP(H431,'RM Used'!A:F,6,0)</f>
        <v>0.38</v>
      </c>
      <c r="Q431" s="11">
        <f t="shared" si="134"/>
        <v>0.69105975644293383</v>
      </c>
      <c r="R431" s="11">
        <f>IFERROR(IF(B431="Reynolds",VLOOKUP(H431,'Yield &amp; Time'!A:U,21,0),VLOOKUP(H431,'Yield &amp; Time'!A:L,12,0)),0)</f>
        <v>2.2869945561534344</v>
      </c>
      <c r="S431" s="11">
        <f t="shared" si="126"/>
        <v>0.77414765725793744</v>
      </c>
      <c r="T431" s="11">
        <f t="shared" si="127"/>
        <v>3.8116575935890573E-2</v>
      </c>
      <c r="U431" s="11">
        <f>IF(A430=A431,0,VLOOKUP(A431,'Packing Time'!A:F,6,0))</f>
        <v>0.64166666666666661</v>
      </c>
      <c r="V431" s="11">
        <f t="shared" si="139"/>
        <v>0.21720416666666661</v>
      </c>
      <c r="W431" s="11">
        <f t="shared" si="140"/>
        <v>1.0694444444444444E-2</v>
      </c>
      <c r="X431" s="11">
        <f t="shared" si="128"/>
        <v>1.5861629182793666</v>
      </c>
      <c r="Y431" s="11">
        <f t="shared" si="141"/>
        <v>1.5861629182793666</v>
      </c>
      <c r="Z431" s="37">
        <v>1</v>
      </c>
      <c r="AA431" s="36">
        <f t="shared" si="129"/>
        <v>1.8185783064287733</v>
      </c>
      <c r="AB431" s="36">
        <f t="shared" si="130"/>
        <v>0.69105975644293383</v>
      </c>
      <c r="AC431" s="11">
        <f t="shared" si="131"/>
        <v>7.8097632608536027E-2</v>
      </c>
      <c r="AD431" s="36">
        <f t="shared" si="142"/>
        <v>1.5861629182793664</v>
      </c>
      <c r="AE431" s="36" t="str">
        <f>VLOOKUP(H431,'Yield &amp; Time'!A:I,9,0)</f>
        <v>CHLORINE</v>
      </c>
      <c r="AF431" s="36">
        <f>IFERROR(VLOOKUP(AE431,'Chemical Cost'!A:D,4,0),0)</f>
        <v>2.7756518066439469E-2</v>
      </c>
      <c r="AG431" s="114">
        <f t="shared" si="132"/>
        <v>1.6825800539208378E-2</v>
      </c>
      <c r="AH431" s="36">
        <f t="shared" si="136"/>
        <v>1.6825800539208378E-2</v>
      </c>
      <c r="AI431" s="36">
        <f t="shared" si="143"/>
        <v>2.2940484752615089</v>
      </c>
      <c r="AJ431" s="36">
        <f>IFERROR(VLOOKUP(A431,'All Products'!A:F,6,0),0)</f>
        <v>2.11</v>
      </c>
      <c r="AK431" s="36">
        <f>AJ431*Z431*J431</f>
        <v>2.11</v>
      </c>
      <c r="AL431" s="23">
        <v>0</v>
      </c>
      <c r="AM431" s="23">
        <v>1</v>
      </c>
      <c r="AN431" s="54" t="e">
        <v>#N/A</v>
      </c>
      <c r="AO431" s="47"/>
      <c r="AP431" s="4">
        <v>1.6</v>
      </c>
      <c r="AQ431" s="111">
        <f t="shared" si="133"/>
        <v>7.8097632608536027E-2</v>
      </c>
      <c r="AR431">
        <f>_xlfn.XLOOKUP(F431,'RM Cost'!A:A,'RM Cost'!S:S)</f>
        <v>0</v>
      </c>
      <c r="AS431" t="e">
        <f>_xlfn.XLOOKUP(A431,[3]Sheet1!$B:$B,[3]Sheet1!$B:$B)</f>
        <v>#N/A</v>
      </c>
    </row>
    <row r="432" spans="1:46" x14ac:dyDescent="0.25">
      <c r="A432" s="2" t="s">
        <v>320</v>
      </c>
      <c r="B432" s="2" t="s">
        <v>656</v>
      </c>
      <c r="C432" s="2" t="s">
        <v>670</v>
      </c>
      <c r="D432" s="2" t="s">
        <v>554</v>
      </c>
      <c r="E432" s="2">
        <v>1</v>
      </c>
      <c r="F432" s="1" t="str">
        <f>VLOOKUP(H432,'RM Used'!A:B,2,0)</f>
        <v>P0008</v>
      </c>
      <c r="G432" s="1" t="str">
        <f>IFERROR(VLOOKUP(F432,'RM Cost'!A:B,2,0),"")</f>
        <v>PALE BLUE BAG 470X750MM</v>
      </c>
      <c r="H432" s="2" t="s">
        <v>1323</v>
      </c>
      <c r="I432" s="1" t="str">
        <f>VLOOKUP(F432,'RM Used'!B:D,3,0)</f>
        <v>RM-PACKING</v>
      </c>
      <c r="J432" s="66">
        <v>1</v>
      </c>
      <c r="K432" s="35" t="str">
        <f t="shared" si="138"/>
        <v/>
      </c>
      <c r="L432" s="35">
        <f t="shared" si="125"/>
        <v>0</v>
      </c>
      <c r="M432" s="77" t="str" cm="1">
        <f t="array" ref="M432">_xlfn.IFS(BOM!I432="RM-PACKING","100%",B432="Reynolds",VLOOKUP(H432,'Yield &amp; Time'!A:V,22,0),BOM!B432="Dnata",VLOOKUP(BOM!H432,'Yield &amp; Time'!A:M,13,0),B432="NK",VLOOKUP(H432,'Yield &amp; Time'!A:X,24,0))</f>
        <v>100%</v>
      </c>
      <c r="N432" s="35">
        <f t="shared" si="137"/>
        <v>1</v>
      </c>
      <c r="O432" s="1" t="str">
        <f>VLOOKUP(H432,'RM Used'!A:E,5,0)</f>
        <v>Count</v>
      </c>
      <c r="P432" s="11">
        <f>VLOOKUP(H432,'RM Used'!A:F,6,0)</f>
        <v>0.14000000000000001</v>
      </c>
      <c r="Q432" s="11">
        <f t="shared" si="134"/>
        <v>0.14000000000000001</v>
      </c>
      <c r="R432" s="11">
        <f>IFERROR(IF(B432="Reynolds",VLOOKUP(H432,'Yield &amp; Time'!A:U,21,0),VLOOKUP(H432,'Yield &amp; Time'!A:L,12,0)),0)</f>
        <v>0</v>
      </c>
      <c r="S432" s="11">
        <f t="shared" si="126"/>
        <v>0</v>
      </c>
      <c r="T432" s="11">
        <f t="shared" si="127"/>
        <v>0</v>
      </c>
      <c r="U432" s="11">
        <f>IF(A431=A432,0,VLOOKUP(A432,'Packing Time'!A:F,6,0))</f>
        <v>0</v>
      </c>
      <c r="V432" s="11">
        <f t="shared" si="139"/>
        <v>0</v>
      </c>
      <c r="W432" s="11">
        <f t="shared" si="140"/>
        <v>0</v>
      </c>
      <c r="X432" s="11">
        <f t="shared" si="128"/>
        <v>0</v>
      </c>
      <c r="Y432" s="11">
        <f t="shared" si="141"/>
        <v>0</v>
      </c>
      <c r="Z432" s="37">
        <v>1</v>
      </c>
      <c r="AA432" s="36">
        <f t="shared" si="129"/>
        <v>1</v>
      </c>
      <c r="AB432" s="36">
        <f t="shared" si="130"/>
        <v>0.14000000000000001</v>
      </c>
      <c r="AC432" s="11">
        <f t="shared" si="131"/>
        <v>0</v>
      </c>
      <c r="AD432" s="36">
        <f t="shared" si="142"/>
        <v>0</v>
      </c>
      <c r="AE432" s="36"/>
      <c r="AF432" s="36">
        <f>IFERROR(VLOOKUP(AE432,'Chemical Cost'!A:D,4,0),0)</f>
        <v>0</v>
      </c>
      <c r="AG432" s="114">
        <f t="shared" si="132"/>
        <v>0</v>
      </c>
      <c r="AH432" s="36">
        <f t="shared" si="136"/>
        <v>0</v>
      </c>
      <c r="AI432" s="36">
        <f t="shared" si="143"/>
        <v>0.14000000000000001</v>
      </c>
      <c r="AJ432" s="36">
        <f>IFERROR(VLOOKUP(A432,'All Products'!A:F,6,0),0)</f>
        <v>2.11</v>
      </c>
      <c r="AK432" s="36"/>
      <c r="AL432" s="23">
        <v>0</v>
      </c>
      <c r="AM432" s="23">
        <v>1</v>
      </c>
      <c r="AN432" s="54" t="e">
        <v>#N/A</v>
      </c>
      <c r="AO432" s="47"/>
      <c r="AP432" s="4">
        <v>1.6</v>
      </c>
      <c r="AQ432" s="111">
        <f t="shared" si="133"/>
        <v>0</v>
      </c>
      <c r="AR432">
        <f>_xlfn.XLOOKUP(F432,'RM Cost'!A:A,'RM Cost'!S:S)</f>
        <v>0</v>
      </c>
      <c r="AS432" t="e">
        <f>_xlfn.XLOOKUP(A432,[3]Sheet1!$B:$B,[3]Sheet1!$B:$B)</f>
        <v>#N/A</v>
      </c>
    </row>
    <row r="433" spans="1:46" x14ac:dyDescent="0.25">
      <c r="A433" s="2" t="s">
        <v>671</v>
      </c>
      <c r="B433" s="2" t="s">
        <v>656</v>
      </c>
      <c r="C433" s="2" t="s">
        <v>672</v>
      </c>
      <c r="D433" s="2" t="s">
        <v>554</v>
      </c>
      <c r="E433" s="2">
        <v>2.5</v>
      </c>
      <c r="F433" s="1" t="str">
        <f>VLOOKUP(H433,'RM Used'!A:B,2,0)</f>
        <v>032ACS</v>
      </c>
      <c r="G433" s="1" t="str">
        <f>IFERROR(VLOOKUP(F433,'RM Cost'!A:B,2,0),"")</f>
        <v>RM - LRG PROCESSING CARROT X 1000KG</v>
      </c>
      <c r="H433" s="2" t="s">
        <v>1474</v>
      </c>
      <c r="I433" s="1" t="str">
        <f>VLOOKUP(F433,'RM Used'!B:D,3,0)</f>
        <v>RM-FOOD</v>
      </c>
      <c r="J433" s="66">
        <v>1</v>
      </c>
      <c r="K433" s="35">
        <f t="shared" si="138"/>
        <v>2.5</v>
      </c>
      <c r="L433" s="35">
        <f t="shared" si="125"/>
        <v>2.5</v>
      </c>
      <c r="M433" s="77" cm="1">
        <f t="array" ref="M433">_xlfn.IFS(BOM!I433="RM-PACKING","100%",B433="Reynolds",VLOOKUP(H433,'Yield &amp; Time'!A:V,22,0),BOM!B433="Dnata",VLOOKUP(BOM!H433,'Yield &amp; Time'!A:M,13,0),B433="NK",VLOOKUP(H433,'Yield &amp; Time'!A:X,24,0))</f>
        <v>0.54988008845423131</v>
      </c>
      <c r="N433" s="35">
        <f t="shared" si="137"/>
        <v>4.5464457660719333</v>
      </c>
      <c r="O433" s="1" t="str">
        <f>VLOOKUP(H433,'RM Used'!A:E,5,0)</f>
        <v>KG</v>
      </c>
      <c r="P433" s="11">
        <f>VLOOKUP(H433,'RM Used'!A:F,6,0)</f>
        <v>0.38</v>
      </c>
      <c r="Q433" s="11">
        <f t="shared" si="134"/>
        <v>1.7276493911073347</v>
      </c>
      <c r="R433" s="11">
        <f>IFERROR(IF(B433="Reynolds",VLOOKUP(H433,'Yield &amp; Time'!A:U,21,0),VLOOKUP(H433,'Yield &amp; Time'!A:L,12,0)),0)</f>
        <v>2.2869945561534344</v>
      </c>
      <c r="S433" s="11">
        <f t="shared" si="126"/>
        <v>1.9353691431448437</v>
      </c>
      <c r="T433" s="11">
        <f t="shared" si="127"/>
        <v>9.5291439839726433E-2</v>
      </c>
      <c r="U433" s="11">
        <f>IF(A432=A433,0,VLOOKUP(A433,'Packing Time'!A:F,6,0))</f>
        <v>0.875</v>
      </c>
      <c r="V433" s="11">
        <f t="shared" si="139"/>
        <v>0.29618749999999999</v>
      </c>
      <c r="W433" s="11">
        <f t="shared" si="140"/>
        <v>1.4583333333333334E-2</v>
      </c>
      <c r="X433" s="11">
        <f t="shared" si="128"/>
        <v>3.5704906290317497</v>
      </c>
      <c r="Y433" s="11">
        <f t="shared" si="141"/>
        <v>3.5704906290317497</v>
      </c>
      <c r="Z433" s="37">
        <v>1</v>
      </c>
      <c r="AA433" s="36">
        <f t="shared" si="129"/>
        <v>4.5464457660719333</v>
      </c>
      <c r="AB433" s="36">
        <f t="shared" si="130"/>
        <v>1.7276493911073347</v>
      </c>
      <c r="AC433" s="11">
        <f t="shared" si="131"/>
        <v>0.17579963707689564</v>
      </c>
      <c r="AD433" s="36">
        <f t="shared" si="142"/>
        <v>3.5704906290317497</v>
      </c>
      <c r="AE433" s="36" t="str">
        <f>VLOOKUP(H433,'Yield &amp; Time'!A:I,9,0)</f>
        <v>CHLORINE</v>
      </c>
      <c r="AF433" s="36">
        <f>IFERROR(VLOOKUP(AE433,'Chemical Cost'!A:D,4,0),0)</f>
        <v>2.7756518066439469E-2</v>
      </c>
      <c r="AG433" s="114">
        <f t="shared" si="132"/>
        <v>4.206450134802095E-2</v>
      </c>
      <c r="AH433" s="36">
        <f t="shared" si="136"/>
        <v>4.206450134802095E-2</v>
      </c>
      <c r="AI433" s="36">
        <f t="shared" si="143"/>
        <v>5.340204521487105</v>
      </c>
      <c r="AJ433" s="36">
        <f>IFERROR(VLOOKUP(A433,'All Products'!A:F,6,0),0)</f>
        <v>5.26</v>
      </c>
      <c r="AK433" s="36">
        <f>AJ433*Z433*J433</f>
        <v>5.26</v>
      </c>
      <c r="AL433" s="23">
        <v>0</v>
      </c>
      <c r="AM433" s="23">
        <v>1</v>
      </c>
      <c r="AN433" s="54" t="e">
        <v>#N/A</v>
      </c>
      <c r="AO433" s="47"/>
      <c r="AP433" s="4">
        <v>1.6</v>
      </c>
      <c r="AQ433" s="111">
        <f t="shared" si="133"/>
        <v>0.17579963707689564</v>
      </c>
      <c r="AR433">
        <f>_xlfn.XLOOKUP(F433,'RM Cost'!A:A,'RM Cost'!S:S)</f>
        <v>0</v>
      </c>
      <c r="AS433" t="e">
        <f>_xlfn.XLOOKUP(A433,[3]Sheet1!$B:$B,[3]Sheet1!$B:$B)</f>
        <v>#N/A</v>
      </c>
    </row>
    <row r="434" spans="1:46" x14ac:dyDescent="0.25">
      <c r="A434" s="2" t="s">
        <v>671</v>
      </c>
      <c r="B434" s="2" t="s">
        <v>656</v>
      </c>
      <c r="C434" s="2" t="s">
        <v>672</v>
      </c>
      <c r="D434" s="2" t="s">
        <v>554</v>
      </c>
      <c r="E434" s="2">
        <v>2.5</v>
      </c>
      <c r="F434" s="1" t="str">
        <f>VLOOKUP(H434,'RM Used'!A:B,2,0)</f>
        <v>P0008</v>
      </c>
      <c r="G434" s="1" t="str">
        <f>IFERROR(VLOOKUP(F434,'RM Cost'!A:B,2,0),"")</f>
        <v>PALE BLUE BAG 470X750MM</v>
      </c>
      <c r="H434" s="2" t="s">
        <v>1323</v>
      </c>
      <c r="I434" s="1" t="str">
        <f>VLOOKUP(F434,'RM Used'!B:D,3,0)</f>
        <v>RM-PACKING</v>
      </c>
      <c r="J434" s="66">
        <v>1</v>
      </c>
      <c r="K434" s="35" t="str">
        <f t="shared" si="138"/>
        <v/>
      </c>
      <c r="L434" s="35">
        <f t="shared" si="125"/>
        <v>0</v>
      </c>
      <c r="M434" s="77" t="str" cm="1">
        <f t="array" ref="M434">_xlfn.IFS(BOM!I434="RM-PACKING","100%",B434="Reynolds",VLOOKUP(H434,'Yield &amp; Time'!A:V,22,0),BOM!B434="Dnata",VLOOKUP(BOM!H434,'Yield &amp; Time'!A:M,13,0),B434="NK",VLOOKUP(H434,'Yield &amp; Time'!A:X,24,0))</f>
        <v>100%</v>
      </c>
      <c r="N434" s="35">
        <f t="shared" si="137"/>
        <v>1</v>
      </c>
      <c r="O434" s="1" t="str">
        <f>VLOOKUP(H434,'RM Used'!A:E,5,0)</f>
        <v>Count</v>
      </c>
      <c r="P434" s="11">
        <f>VLOOKUP(H434,'RM Used'!A:F,6,0)</f>
        <v>0.14000000000000001</v>
      </c>
      <c r="Q434" s="11">
        <f t="shared" si="134"/>
        <v>0.14000000000000001</v>
      </c>
      <c r="R434" s="11">
        <f>IFERROR(IF(B434="Reynolds",VLOOKUP(H434,'Yield &amp; Time'!A:U,21,0),VLOOKUP(H434,'Yield &amp; Time'!A:L,12,0)),0)</f>
        <v>0</v>
      </c>
      <c r="S434" s="11">
        <f t="shared" si="126"/>
        <v>0</v>
      </c>
      <c r="T434" s="11">
        <f t="shared" si="127"/>
        <v>0</v>
      </c>
      <c r="U434" s="11">
        <f>IF(A433=A434,0,VLOOKUP(A434,'Packing Time'!A:F,6,0))</f>
        <v>0</v>
      </c>
      <c r="V434" s="11">
        <f t="shared" si="139"/>
        <v>0</v>
      </c>
      <c r="W434" s="11">
        <f t="shared" si="140"/>
        <v>0</v>
      </c>
      <c r="X434" s="11">
        <f t="shared" si="128"/>
        <v>0</v>
      </c>
      <c r="Y434" s="11">
        <f t="shared" si="141"/>
        <v>0</v>
      </c>
      <c r="Z434" s="37">
        <v>1</v>
      </c>
      <c r="AA434" s="36">
        <f t="shared" si="129"/>
        <v>1</v>
      </c>
      <c r="AB434" s="36">
        <f t="shared" si="130"/>
        <v>0.14000000000000001</v>
      </c>
      <c r="AC434" s="11">
        <f t="shared" si="131"/>
        <v>0</v>
      </c>
      <c r="AD434" s="36">
        <f t="shared" si="142"/>
        <v>0</v>
      </c>
      <c r="AE434" s="36"/>
      <c r="AF434" s="36">
        <f>IFERROR(VLOOKUP(AE434,'Chemical Cost'!A:D,4,0),0)</f>
        <v>0</v>
      </c>
      <c r="AG434" s="114">
        <f t="shared" si="132"/>
        <v>0</v>
      </c>
      <c r="AH434" s="36">
        <f t="shared" si="136"/>
        <v>0</v>
      </c>
      <c r="AI434" s="36">
        <f t="shared" si="143"/>
        <v>0.14000000000000001</v>
      </c>
      <c r="AJ434" s="36">
        <f>IFERROR(VLOOKUP(A434,'All Products'!A:F,6,0),0)</f>
        <v>5.26</v>
      </c>
      <c r="AK434" s="36"/>
      <c r="AL434" s="23">
        <v>0</v>
      </c>
      <c r="AM434" s="23">
        <v>1</v>
      </c>
      <c r="AN434" s="54" t="e">
        <v>#N/A</v>
      </c>
      <c r="AO434" s="47"/>
      <c r="AP434" s="4">
        <v>1.6</v>
      </c>
      <c r="AQ434" s="111">
        <f t="shared" si="133"/>
        <v>0</v>
      </c>
      <c r="AR434">
        <f>_xlfn.XLOOKUP(F434,'RM Cost'!A:A,'RM Cost'!S:S)</f>
        <v>0</v>
      </c>
      <c r="AS434" t="e">
        <f>_xlfn.XLOOKUP(A434,[3]Sheet1!$B:$B,[3]Sheet1!$B:$B)</f>
        <v>#N/A</v>
      </c>
    </row>
    <row r="435" spans="1:46" x14ac:dyDescent="0.25">
      <c r="A435" s="2" t="s">
        <v>319</v>
      </c>
      <c r="B435" s="2" t="s">
        <v>656</v>
      </c>
      <c r="C435" s="2" t="s">
        <v>673</v>
      </c>
      <c r="D435" s="2" t="s">
        <v>554</v>
      </c>
      <c r="E435" s="2">
        <v>0.25</v>
      </c>
      <c r="F435" s="1" t="str">
        <f>VLOOKUP(H435,'RM Used'!A:B,2,0)</f>
        <v>032ACS</v>
      </c>
      <c r="G435" s="1" t="str">
        <f>IFERROR(VLOOKUP(F435,'RM Cost'!A:B,2,0),"")</f>
        <v>RM - LRG PROCESSING CARROT X 1000KG</v>
      </c>
      <c r="H435" s="2" t="s">
        <v>1474</v>
      </c>
      <c r="I435" s="1" t="str">
        <f>VLOOKUP(F435,'RM Used'!B:D,3,0)</f>
        <v>RM-FOOD</v>
      </c>
      <c r="J435" s="66">
        <v>1</v>
      </c>
      <c r="K435" s="35">
        <f t="shared" si="138"/>
        <v>0.25</v>
      </c>
      <c r="L435" s="35">
        <f t="shared" si="125"/>
        <v>0.25</v>
      </c>
      <c r="M435" s="77" cm="1">
        <f t="array" ref="M435">_xlfn.IFS(BOM!I435="RM-PACKING","100%",B435="Reynolds",VLOOKUP(H435,'Yield &amp; Time'!A:V,22,0),BOM!B435="Dnata",VLOOKUP(BOM!H435,'Yield &amp; Time'!A:M,13,0),B435="NK",VLOOKUP(H435,'Yield &amp; Time'!A:X,24,0))</f>
        <v>0.54988008845423131</v>
      </c>
      <c r="N435" s="35">
        <f t="shared" si="137"/>
        <v>0.45464457660719332</v>
      </c>
      <c r="O435" s="1" t="str">
        <f>VLOOKUP(H435,'RM Used'!A:E,5,0)</f>
        <v>KG</v>
      </c>
      <c r="P435" s="11">
        <f>VLOOKUP(H435,'RM Used'!A:F,6,0)</f>
        <v>0.38</v>
      </c>
      <c r="Q435" s="11">
        <f t="shared" si="134"/>
        <v>0.17276493911073346</v>
      </c>
      <c r="R435" s="11">
        <f>IFERROR(IF(B435="Reynolds",VLOOKUP(H435,'Yield &amp; Time'!A:U,21,0),VLOOKUP(H435,'Yield &amp; Time'!A:L,12,0)),0)</f>
        <v>2.2869945561534344</v>
      </c>
      <c r="S435" s="11">
        <f t="shared" si="126"/>
        <v>0.19353691431448436</v>
      </c>
      <c r="T435" s="11">
        <f t="shared" si="127"/>
        <v>9.5291439839726433E-3</v>
      </c>
      <c r="U435" s="11">
        <f>IF(A434=A435,0,VLOOKUP(A435,'Packing Time'!A:F,6,0))</f>
        <v>0.47499999999999998</v>
      </c>
      <c r="V435" s="11">
        <f t="shared" si="139"/>
        <v>0.16078749999999997</v>
      </c>
      <c r="W435" s="11">
        <f t="shared" si="140"/>
        <v>7.9166666666666656E-3</v>
      </c>
      <c r="X435" s="11">
        <f t="shared" si="128"/>
        <v>0.56691906290317495</v>
      </c>
      <c r="Y435" s="11">
        <f t="shared" si="141"/>
        <v>0.56691906290317495</v>
      </c>
      <c r="Z435" s="37">
        <v>1</v>
      </c>
      <c r="AA435" s="36">
        <f t="shared" si="129"/>
        <v>0.45464457660719332</v>
      </c>
      <c r="AB435" s="36">
        <f t="shared" si="130"/>
        <v>0.17276493911073346</v>
      </c>
      <c r="AC435" s="11">
        <f t="shared" si="131"/>
        <v>2.79132970410229E-2</v>
      </c>
      <c r="AD435" s="36">
        <f t="shared" si="142"/>
        <v>0.56691906290317506</v>
      </c>
      <c r="AE435" s="36" t="str">
        <f>VLOOKUP(H435,'Yield &amp; Time'!A:I,9,0)</f>
        <v>CHLORINE</v>
      </c>
      <c r="AF435" s="36">
        <f>IFERROR(VLOOKUP(AE435,'Chemical Cost'!A:D,4,0),0)</f>
        <v>2.7756518066439469E-2</v>
      </c>
      <c r="AG435" s="114">
        <f t="shared" si="132"/>
        <v>4.2064501348020944E-3</v>
      </c>
      <c r="AH435" s="36">
        <f t="shared" si="136"/>
        <v>4.2064501348020944E-3</v>
      </c>
      <c r="AI435" s="36">
        <f t="shared" si="143"/>
        <v>0.74389045214871052</v>
      </c>
      <c r="AJ435" s="36">
        <f>IFERROR(VLOOKUP(A435,'All Products'!A:F,6,0),0)</f>
        <v>0.53</v>
      </c>
      <c r="AK435" s="36">
        <f>AJ435*Z435*J435</f>
        <v>0.53</v>
      </c>
      <c r="AL435" s="23">
        <v>0</v>
      </c>
      <c r="AM435" s="23">
        <v>1</v>
      </c>
      <c r="AN435" s="54" t="e">
        <v>#N/A</v>
      </c>
      <c r="AO435" s="47"/>
      <c r="AP435" s="4">
        <v>1.6</v>
      </c>
      <c r="AQ435" s="111">
        <f t="shared" si="133"/>
        <v>2.79132970410229E-2</v>
      </c>
      <c r="AR435">
        <f>_xlfn.XLOOKUP(F435,'RM Cost'!A:A,'RM Cost'!S:S)</f>
        <v>0</v>
      </c>
      <c r="AS435" t="e">
        <f>_xlfn.XLOOKUP(A435,[3]Sheet1!$B:$B,[3]Sheet1!$B:$B)</f>
        <v>#N/A</v>
      </c>
    </row>
    <row r="436" spans="1:46" x14ac:dyDescent="0.25">
      <c r="A436" s="2" t="s">
        <v>319</v>
      </c>
      <c r="B436" s="2" t="s">
        <v>656</v>
      </c>
      <c r="C436" s="2" t="s">
        <v>673</v>
      </c>
      <c r="D436" s="2" t="s">
        <v>554</v>
      </c>
      <c r="E436" s="2">
        <v>0.25</v>
      </c>
      <c r="F436" s="1" t="str">
        <f>VLOOKUP(H436,'RM Used'!A:B,2,0)</f>
        <v>P0017</v>
      </c>
      <c r="G436" s="1" t="str">
        <f>IFERROR(VLOOKUP(F436,'RM Cost'!A:B,2,0),"")</f>
        <v>PALE BLUE BAG 250X300MM</v>
      </c>
      <c r="H436" s="2" t="s">
        <v>1334</v>
      </c>
      <c r="I436" s="1" t="str">
        <f>VLOOKUP(F436,'RM Used'!B:D,3,0)</f>
        <v>RM-PACKING</v>
      </c>
      <c r="J436" s="66">
        <v>1</v>
      </c>
      <c r="K436" s="35" t="str">
        <f t="shared" si="138"/>
        <v/>
      </c>
      <c r="L436" s="35">
        <f t="shared" si="125"/>
        <v>0</v>
      </c>
      <c r="M436" s="77" t="str" cm="1">
        <f t="array" ref="M436">_xlfn.IFS(BOM!I436="RM-PACKING","100%",B436="Reynolds",VLOOKUP(H436,'Yield &amp; Time'!A:V,22,0),BOM!B436="Dnata",VLOOKUP(BOM!H436,'Yield &amp; Time'!A:M,13,0),B436="NK",VLOOKUP(H436,'Yield &amp; Time'!A:X,24,0))</f>
        <v>100%</v>
      </c>
      <c r="N436" s="35">
        <f t="shared" si="137"/>
        <v>1</v>
      </c>
      <c r="O436" s="1" t="str">
        <f>VLOOKUP(H436,'RM Used'!A:E,5,0)</f>
        <v>Count</v>
      </c>
      <c r="P436" s="11">
        <f>VLOOKUP(H436,'RM Used'!A:F,6,0)</f>
        <v>0.05</v>
      </c>
      <c r="Q436" s="11">
        <f t="shared" si="134"/>
        <v>0.05</v>
      </c>
      <c r="R436" s="11">
        <f>IFERROR(IF(B436="Reynolds",VLOOKUP(H436,'Yield &amp; Time'!A:U,21,0),VLOOKUP(H436,'Yield &amp; Time'!A:L,12,0)),0)</f>
        <v>0</v>
      </c>
      <c r="S436" s="11">
        <f t="shared" si="126"/>
        <v>0</v>
      </c>
      <c r="T436" s="11">
        <f t="shared" si="127"/>
        <v>0</v>
      </c>
      <c r="U436" s="11">
        <f>IF(A435=A436,0,VLOOKUP(A436,'Packing Time'!A:F,6,0))</f>
        <v>0</v>
      </c>
      <c r="V436" s="11">
        <f t="shared" si="139"/>
        <v>0</v>
      </c>
      <c r="W436" s="11">
        <f t="shared" si="140"/>
        <v>0</v>
      </c>
      <c r="X436" s="11">
        <f t="shared" si="128"/>
        <v>0</v>
      </c>
      <c r="Y436" s="11">
        <f t="shared" si="141"/>
        <v>0</v>
      </c>
      <c r="Z436" s="37">
        <v>1</v>
      </c>
      <c r="AA436" s="36">
        <f t="shared" si="129"/>
        <v>1</v>
      </c>
      <c r="AB436" s="36">
        <f t="shared" si="130"/>
        <v>0.05</v>
      </c>
      <c r="AC436" s="11">
        <f t="shared" si="131"/>
        <v>0</v>
      </c>
      <c r="AD436" s="36">
        <f t="shared" si="142"/>
        <v>0</v>
      </c>
      <c r="AE436" s="36"/>
      <c r="AF436" s="36">
        <f>IFERROR(VLOOKUP(AE436,'Chemical Cost'!A:D,4,0),0)</f>
        <v>0</v>
      </c>
      <c r="AG436" s="114">
        <f t="shared" si="132"/>
        <v>0</v>
      </c>
      <c r="AH436" s="36">
        <f t="shared" si="136"/>
        <v>0</v>
      </c>
      <c r="AI436" s="36">
        <f t="shared" si="143"/>
        <v>0.05</v>
      </c>
      <c r="AJ436" s="36">
        <f>IFERROR(VLOOKUP(A436,'All Products'!A:F,6,0),0)</f>
        <v>0.53</v>
      </c>
      <c r="AK436" s="36"/>
      <c r="AL436" s="23">
        <v>0</v>
      </c>
      <c r="AM436" s="23">
        <v>1</v>
      </c>
      <c r="AN436" s="54" t="e">
        <v>#N/A</v>
      </c>
      <c r="AO436" s="47"/>
      <c r="AP436" s="4">
        <v>1.6</v>
      </c>
      <c r="AQ436" s="111">
        <f t="shared" si="133"/>
        <v>0</v>
      </c>
      <c r="AR436">
        <f>_xlfn.XLOOKUP(F436,'RM Cost'!A:A,'RM Cost'!S:S)</f>
        <v>0</v>
      </c>
      <c r="AS436" t="e">
        <f>_xlfn.XLOOKUP(A436,[3]Sheet1!$B:$B,[3]Sheet1!$B:$B)</f>
        <v>#N/A</v>
      </c>
    </row>
    <row r="437" spans="1:46" x14ac:dyDescent="0.25">
      <c r="A437" s="2" t="s">
        <v>292</v>
      </c>
      <c r="B437" s="2" t="s">
        <v>656</v>
      </c>
      <c r="C437" s="2" t="s">
        <v>674</v>
      </c>
      <c r="D437" s="2" t="s">
        <v>554</v>
      </c>
      <c r="E437" s="2">
        <v>1</v>
      </c>
      <c r="F437" s="1" t="str">
        <f>VLOOKUP(H437,'RM Used'!A:B,2,0)</f>
        <v>3582CS</v>
      </c>
      <c r="G437" s="1" t="str">
        <f>IFERROR(VLOOKUP(F437,'RM Cost'!A:B,2,0),"")</f>
        <v>RM - CHILLI GREEN LONG DUTCH 3KG</v>
      </c>
      <c r="H437" s="2" t="s">
        <v>1475</v>
      </c>
      <c r="I437" s="1" t="str">
        <f>VLOOKUP(F437,'RM Used'!B:D,3,0)</f>
        <v>RM-FOOD</v>
      </c>
      <c r="J437" s="66">
        <v>1</v>
      </c>
      <c r="K437" s="35">
        <f t="shared" si="138"/>
        <v>1</v>
      </c>
      <c r="L437" s="35">
        <f t="shared" si="125"/>
        <v>1</v>
      </c>
      <c r="M437" s="77" cm="1">
        <f t="array" ref="M437">_xlfn.IFS(BOM!I437="RM-PACKING","100%",B437="Reynolds",VLOOKUP(H437,'Yield &amp; Time'!A:V,22,0),BOM!B437="Dnata",VLOOKUP(BOM!H437,'Yield &amp; Time'!A:M,13,0),B437="NK",VLOOKUP(H437,'Yield &amp; Time'!A:X,24,0))</f>
        <v>0.80720609711573554</v>
      </c>
      <c r="N437" s="35">
        <f t="shared" si="137"/>
        <v>1.2388409893992935</v>
      </c>
      <c r="O437" s="1" t="str">
        <f>VLOOKUP(H437,'RM Used'!A:E,5,0)</f>
        <v>KG</v>
      </c>
      <c r="P437" s="11">
        <f>VLOOKUP(H437,'RM Used'!A:F,6,0)</f>
        <v>2.84</v>
      </c>
      <c r="Q437" s="11">
        <f t="shared" si="134"/>
        <v>3.5183084098939936</v>
      </c>
      <c r="R437" s="11">
        <f>IFERROR(IF(B437="Reynolds",VLOOKUP(H437,'Yield &amp; Time'!A:U,21,0),VLOOKUP(H437,'Yield &amp; Time'!A:L,12,0)),0)</f>
        <v>4.8666666666666663</v>
      </c>
      <c r="S437" s="11">
        <f t="shared" si="126"/>
        <v>1.6473666666666664</v>
      </c>
      <c r="T437" s="11">
        <f t="shared" si="127"/>
        <v>8.1111111111111106E-2</v>
      </c>
      <c r="U437" s="11">
        <f>IF(A436=A437,0,VLOOKUP(A437,'Packing Time'!A:F,6,0))</f>
        <v>0.64166666666666661</v>
      </c>
      <c r="V437" s="11">
        <f t="shared" si="139"/>
        <v>0.21720416666666661</v>
      </c>
      <c r="W437" s="11">
        <f t="shared" si="140"/>
        <v>1.0694444444444444E-2</v>
      </c>
      <c r="X437" s="11">
        <f t="shared" si="128"/>
        <v>2.9833133333333333</v>
      </c>
      <c r="Y437" s="11">
        <f t="shared" si="141"/>
        <v>2.9833133333333333</v>
      </c>
      <c r="Z437" s="37">
        <v>1</v>
      </c>
      <c r="AA437" s="36">
        <f t="shared" si="129"/>
        <v>1.2388409893992935</v>
      </c>
      <c r="AB437" s="36">
        <f t="shared" si="130"/>
        <v>3.5183084098939936</v>
      </c>
      <c r="AC437" s="11">
        <f t="shared" si="131"/>
        <v>0.14688888888888887</v>
      </c>
      <c r="AD437" s="36">
        <f t="shared" si="142"/>
        <v>2.9833133333333328</v>
      </c>
      <c r="AE437" s="36" t="str">
        <f>VLOOKUP(H437,'Yield &amp; Time'!A:I,9,0)</f>
        <v>CHLORINE</v>
      </c>
      <c r="AF437" s="36">
        <f>IFERROR(VLOOKUP(AE437,'Chemical Cost'!A:D,4,0),0)</f>
        <v>2.7756518066439469E-2</v>
      </c>
      <c r="AG437" s="114">
        <f t="shared" si="132"/>
        <v>1.1461970767902412E-2</v>
      </c>
      <c r="AH437" s="36">
        <f t="shared" si="136"/>
        <v>1.1461970767902412E-2</v>
      </c>
      <c r="AI437" s="36">
        <f t="shared" si="143"/>
        <v>6.5130837139952291</v>
      </c>
      <c r="AJ437" s="36">
        <f>IFERROR(VLOOKUP(A437,'All Products'!A:F,6,0),0)</f>
        <v>18.57</v>
      </c>
      <c r="AK437" s="36">
        <f>AJ437*Z437*J437</f>
        <v>18.57</v>
      </c>
      <c r="AL437" s="23">
        <v>1</v>
      </c>
      <c r="AM437" s="23"/>
      <c r="AN437" s="54" t="e">
        <v>#N/A</v>
      </c>
      <c r="AO437" s="47"/>
      <c r="AP437" s="4">
        <v>1.6</v>
      </c>
      <c r="AQ437" s="111">
        <f t="shared" si="133"/>
        <v>0.14688888888888887</v>
      </c>
      <c r="AR437">
        <f>_xlfn.XLOOKUP(F437,'RM Cost'!A:A,'RM Cost'!S:S)</f>
        <v>0</v>
      </c>
      <c r="AS437" t="str">
        <f>_xlfn.XLOOKUP(A437,[3]Sheet1!$B:$B,[3]Sheet1!$B:$B)</f>
        <v>Z305CS</v>
      </c>
      <c r="AT437">
        <f>_xlfn.XLOOKUP(H437,'Yield &amp; Time'!A:A,'Yield &amp; Time'!F:F)</f>
        <v>0</v>
      </c>
    </row>
    <row r="438" spans="1:46" x14ac:dyDescent="0.25">
      <c r="A438" s="2" t="s">
        <v>292</v>
      </c>
      <c r="B438" s="2" t="s">
        <v>656</v>
      </c>
      <c r="C438" s="2" t="s">
        <v>674</v>
      </c>
      <c r="D438" s="2" t="s">
        <v>554</v>
      </c>
      <c r="E438" s="2">
        <v>1</v>
      </c>
      <c r="F438" s="1" t="str">
        <f>VLOOKUP(H438,'RM Used'!A:B,2,0)</f>
        <v>P0008</v>
      </c>
      <c r="G438" s="1" t="str">
        <f>IFERROR(VLOOKUP(F438,'RM Cost'!A:B,2,0),"")</f>
        <v>PALE BLUE BAG 470X750MM</v>
      </c>
      <c r="H438" s="2" t="s">
        <v>1323</v>
      </c>
      <c r="I438" s="1" t="str">
        <f>VLOOKUP(F438,'RM Used'!B:D,3,0)</f>
        <v>RM-PACKING</v>
      </c>
      <c r="J438" s="66">
        <v>1</v>
      </c>
      <c r="K438" s="35" t="str">
        <f t="shared" si="138"/>
        <v/>
      </c>
      <c r="L438" s="35">
        <f t="shared" si="125"/>
        <v>0</v>
      </c>
      <c r="M438" s="77" t="str" cm="1">
        <f t="array" ref="M438">_xlfn.IFS(BOM!I438="RM-PACKING","100%",B438="Reynolds",VLOOKUP(H438,'Yield &amp; Time'!A:V,22,0),BOM!B438="Dnata",VLOOKUP(BOM!H438,'Yield &amp; Time'!A:M,13,0),B438="NK",VLOOKUP(H438,'Yield &amp; Time'!A:X,24,0))</f>
        <v>100%</v>
      </c>
      <c r="N438" s="35">
        <f t="shared" si="137"/>
        <v>1</v>
      </c>
      <c r="O438" s="1" t="str">
        <f>VLOOKUP(H438,'RM Used'!A:E,5,0)</f>
        <v>Count</v>
      </c>
      <c r="P438" s="11">
        <f>VLOOKUP(H438,'RM Used'!A:F,6,0)</f>
        <v>0.14000000000000001</v>
      </c>
      <c r="Q438" s="11">
        <f t="shared" si="134"/>
        <v>0.14000000000000001</v>
      </c>
      <c r="R438" s="11">
        <f>IFERROR(IF(B438="Reynolds",VLOOKUP(H438,'Yield &amp; Time'!A:U,21,0),VLOOKUP(H438,'Yield &amp; Time'!A:L,12,0)),0)</f>
        <v>0</v>
      </c>
      <c r="S438" s="11">
        <f t="shared" si="126"/>
        <v>0</v>
      </c>
      <c r="T438" s="11">
        <f t="shared" si="127"/>
        <v>0</v>
      </c>
      <c r="U438" s="11">
        <f>IF(A437=A438,0,VLOOKUP(A438,'Packing Time'!A:F,6,0))</f>
        <v>0</v>
      </c>
      <c r="V438" s="11">
        <f t="shared" si="139"/>
        <v>0</v>
      </c>
      <c r="W438" s="11">
        <f t="shared" si="140"/>
        <v>0</v>
      </c>
      <c r="X438" s="11">
        <f t="shared" si="128"/>
        <v>0</v>
      </c>
      <c r="Y438" s="11">
        <f t="shared" si="141"/>
        <v>0</v>
      </c>
      <c r="Z438" s="37">
        <v>1</v>
      </c>
      <c r="AA438" s="36">
        <f t="shared" si="129"/>
        <v>1</v>
      </c>
      <c r="AB438" s="36">
        <f t="shared" si="130"/>
        <v>0.14000000000000001</v>
      </c>
      <c r="AC438" s="11">
        <f t="shared" si="131"/>
        <v>0</v>
      </c>
      <c r="AD438" s="36">
        <f t="shared" si="142"/>
        <v>0</v>
      </c>
      <c r="AE438" s="36"/>
      <c r="AF438" s="36">
        <f>IFERROR(VLOOKUP(AE438,'Chemical Cost'!A:D,4,0),0)</f>
        <v>0</v>
      </c>
      <c r="AG438" s="114">
        <f t="shared" si="132"/>
        <v>0</v>
      </c>
      <c r="AH438" s="36">
        <f t="shared" si="136"/>
        <v>0</v>
      </c>
      <c r="AI438" s="36">
        <f t="shared" si="143"/>
        <v>0.14000000000000001</v>
      </c>
      <c r="AJ438" s="36">
        <f>IFERROR(VLOOKUP(A438,'All Products'!A:F,6,0),0)</f>
        <v>18.57</v>
      </c>
      <c r="AK438" s="36"/>
      <c r="AL438" s="23">
        <v>1</v>
      </c>
      <c r="AM438" s="23"/>
      <c r="AN438" s="54" t="e">
        <v>#N/A</v>
      </c>
      <c r="AO438" s="47"/>
      <c r="AP438" s="4">
        <v>1.6</v>
      </c>
      <c r="AQ438" s="111">
        <f t="shared" si="133"/>
        <v>0</v>
      </c>
      <c r="AR438">
        <f>_xlfn.XLOOKUP(F438,'RM Cost'!A:A,'RM Cost'!S:S)</f>
        <v>0</v>
      </c>
      <c r="AS438" t="str">
        <f>_xlfn.XLOOKUP(A438,[3]Sheet1!$B:$B,[3]Sheet1!$B:$B)</f>
        <v>Z305CS</v>
      </c>
      <c r="AT438" t="e">
        <f>_xlfn.XLOOKUP(H438,'Yield &amp; Time'!A:A,'Yield &amp; Time'!F:F)</f>
        <v>#N/A</v>
      </c>
    </row>
    <row r="439" spans="1:46" x14ac:dyDescent="0.25">
      <c r="A439" s="2" t="s">
        <v>675</v>
      </c>
      <c r="B439" s="2" t="s">
        <v>656</v>
      </c>
      <c r="C439" s="2" t="s">
        <v>676</v>
      </c>
      <c r="D439" s="2" t="s">
        <v>554</v>
      </c>
      <c r="E439" s="2">
        <v>2.5</v>
      </c>
      <c r="F439" s="1" t="str">
        <f>VLOOKUP(H439,'RM Used'!A:B,2,0)</f>
        <v>3582CS</v>
      </c>
      <c r="G439" s="1" t="str">
        <f>IFERROR(VLOOKUP(F439,'RM Cost'!A:B,2,0),"")</f>
        <v>RM - CHILLI GREEN LONG DUTCH 3KG</v>
      </c>
      <c r="H439" s="2" t="s">
        <v>1475</v>
      </c>
      <c r="I439" s="1" t="str">
        <f>VLOOKUP(F439,'RM Used'!B:D,3,0)</f>
        <v>RM-FOOD</v>
      </c>
      <c r="J439" s="66">
        <v>1</v>
      </c>
      <c r="K439" s="35">
        <f t="shared" si="138"/>
        <v>2.5</v>
      </c>
      <c r="L439" s="35">
        <f t="shared" si="125"/>
        <v>2.5</v>
      </c>
      <c r="M439" s="77" cm="1">
        <f t="array" ref="M439">_xlfn.IFS(BOM!I439="RM-PACKING","100%",B439="Reynolds",VLOOKUP(H439,'Yield &amp; Time'!A:V,22,0),BOM!B439="Dnata",VLOOKUP(BOM!H439,'Yield &amp; Time'!A:M,13,0),B439="NK",VLOOKUP(H439,'Yield &amp; Time'!A:X,24,0))</f>
        <v>0.80720609711573554</v>
      </c>
      <c r="N439" s="35">
        <f t="shared" si="137"/>
        <v>3.0971024734982335</v>
      </c>
      <c r="O439" s="1" t="str">
        <f>VLOOKUP(H439,'RM Used'!A:E,5,0)</f>
        <v>KG</v>
      </c>
      <c r="P439" s="11">
        <f>VLOOKUP(H439,'RM Used'!A:F,6,0)</f>
        <v>2.84</v>
      </c>
      <c r="Q439" s="11">
        <f t="shared" si="134"/>
        <v>8.7957710247349823</v>
      </c>
      <c r="R439" s="11">
        <f>IFERROR(IF(B439="Reynolds",VLOOKUP(H439,'Yield &amp; Time'!A:U,21,0),VLOOKUP(H439,'Yield &amp; Time'!A:L,12,0)),0)</f>
        <v>4.8666666666666663</v>
      </c>
      <c r="S439" s="11">
        <f t="shared" si="126"/>
        <v>4.1184166666666657</v>
      </c>
      <c r="T439" s="11">
        <f t="shared" si="127"/>
        <v>0.20277777777777778</v>
      </c>
      <c r="U439" s="11">
        <f>IF(A438=A439,0,VLOOKUP(A439,'Packing Time'!A:F,6,0))</f>
        <v>0.875</v>
      </c>
      <c r="V439" s="11">
        <f t="shared" si="139"/>
        <v>0.29618749999999999</v>
      </c>
      <c r="W439" s="11">
        <f t="shared" si="140"/>
        <v>1.4583333333333334E-2</v>
      </c>
      <c r="X439" s="11">
        <f t="shared" si="128"/>
        <v>7.0633666666666661</v>
      </c>
      <c r="Y439" s="11">
        <f t="shared" si="141"/>
        <v>7.0633666666666661</v>
      </c>
      <c r="Z439" s="37">
        <v>1</v>
      </c>
      <c r="AA439" s="36">
        <f t="shared" si="129"/>
        <v>3.0971024734982335</v>
      </c>
      <c r="AB439" s="36">
        <f t="shared" si="130"/>
        <v>8.7957710247349823</v>
      </c>
      <c r="AC439" s="11">
        <f t="shared" si="131"/>
        <v>0.34777777777777774</v>
      </c>
      <c r="AD439" s="36">
        <f t="shared" si="142"/>
        <v>7.0633666666666652</v>
      </c>
      <c r="AE439" s="36" t="str">
        <f>VLOOKUP(H439,'Yield &amp; Time'!A:I,9,0)</f>
        <v>CHLORINE</v>
      </c>
      <c r="AF439" s="36">
        <f>IFERROR(VLOOKUP(AE439,'Chemical Cost'!A:D,4,0),0)</f>
        <v>2.7756518066439469E-2</v>
      </c>
      <c r="AG439" s="114">
        <f t="shared" si="132"/>
        <v>2.8654926919756029E-2</v>
      </c>
      <c r="AH439" s="36">
        <f t="shared" si="136"/>
        <v>2.8654926919756029E-2</v>
      </c>
      <c r="AI439" s="36">
        <f t="shared" si="143"/>
        <v>15.887792618321406</v>
      </c>
      <c r="AJ439" s="36">
        <f>IFERROR(VLOOKUP(A439,'All Products'!A:F,6,0),0)</f>
        <v>46.75</v>
      </c>
      <c r="AK439" s="36">
        <f>AJ439*Z439*J439</f>
        <v>46.75</v>
      </c>
      <c r="AL439" s="23">
        <v>1</v>
      </c>
      <c r="AM439" s="23"/>
      <c r="AN439" s="54" t="e">
        <v>#N/A</v>
      </c>
      <c r="AO439" s="47"/>
      <c r="AP439" s="4">
        <v>1.6</v>
      </c>
      <c r="AQ439" s="111">
        <f t="shared" si="133"/>
        <v>0.34777777777777774</v>
      </c>
      <c r="AR439">
        <f>_xlfn.XLOOKUP(F439,'RM Cost'!A:A,'RM Cost'!S:S)</f>
        <v>0</v>
      </c>
      <c r="AS439" t="e">
        <f>_xlfn.XLOOKUP(A439,[3]Sheet1!$B:$B,[3]Sheet1!$B:$B)</f>
        <v>#N/A</v>
      </c>
    </row>
    <row r="440" spans="1:46" x14ac:dyDescent="0.25">
      <c r="A440" s="2" t="s">
        <v>675</v>
      </c>
      <c r="B440" s="2" t="s">
        <v>656</v>
      </c>
      <c r="C440" s="2" t="s">
        <v>676</v>
      </c>
      <c r="D440" s="2" t="s">
        <v>554</v>
      </c>
      <c r="E440" s="2">
        <v>2.5</v>
      </c>
      <c r="F440" s="1" t="str">
        <f>VLOOKUP(H440,'RM Used'!A:B,2,0)</f>
        <v>P0008</v>
      </c>
      <c r="G440" s="1" t="str">
        <f>IFERROR(VLOOKUP(F440,'RM Cost'!A:B,2,0),"")</f>
        <v>PALE BLUE BAG 470X750MM</v>
      </c>
      <c r="H440" s="2" t="s">
        <v>1323</v>
      </c>
      <c r="I440" s="1" t="str">
        <f>VLOOKUP(F440,'RM Used'!B:D,3,0)</f>
        <v>RM-PACKING</v>
      </c>
      <c r="J440" s="66">
        <v>1</v>
      </c>
      <c r="K440" s="35" t="str">
        <f t="shared" si="138"/>
        <v/>
      </c>
      <c r="L440" s="35">
        <f t="shared" si="125"/>
        <v>0</v>
      </c>
      <c r="M440" s="77" t="str" cm="1">
        <f t="array" ref="M440">_xlfn.IFS(BOM!I440="RM-PACKING","100%",B440="Reynolds",VLOOKUP(H440,'Yield &amp; Time'!A:V,22,0),BOM!B440="Dnata",VLOOKUP(BOM!H440,'Yield &amp; Time'!A:M,13,0),B440="NK",VLOOKUP(H440,'Yield &amp; Time'!A:X,24,0))</f>
        <v>100%</v>
      </c>
      <c r="N440" s="35">
        <f t="shared" si="137"/>
        <v>1</v>
      </c>
      <c r="O440" s="1" t="str">
        <f>VLOOKUP(H440,'RM Used'!A:E,5,0)</f>
        <v>Count</v>
      </c>
      <c r="P440" s="11">
        <f>VLOOKUP(H440,'RM Used'!A:F,6,0)</f>
        <v>0.14000000000000001</v>
      </c>
      <c r="Q440" s="11">
        <f t="shared" si="134"/>
        <v>0.14000000000000001</v>
      </c>
      <c r="R440" s="11">
        <f>IFERROR(IF(B440="Reynolds",VLOOKUP(H440,'Yield &amp; Time'!A:U,21,0),VLOOKUP(H440,'Yield &amp; Time'!A:L,12,0)),0)</f>
        <v>0</v>
      </c>
      <c r="S440" s="11">
        <f t="shared" si="126"/>
        <v>0</v>
      </c>
      <c r="T440" s="11">
        <f t="shared" si="127"/>
        <v>0</v>
      </c>
      <c r="U440" s="11">
        <f>IF(A439=A440,0,VLOOKUP(A440,'Packing Time'!A:F,6,0))</f>
        <v>0</v>
      </c>
      <c r="V440" s="11">
        <f t="shared" si="139"/>
        <v>0</v>
      </c>
      <c r="W440" s="11">
        <f t="shared" si="140"/>
        <v>0</v>
      </c>
      <c r="X440" s="11">
        <f t="shared" si="128"/>
        <v>0</v>
      </c>
      <c r="Y440" s="11">
        <f t="shared" si="141"/>
        <v>0</v>
      </c>
      <c r="Z440" s="37">
        <v>1</v>
      </c>
      <c r="AA440" s="36">
        <f t="shared" si="129"/>
        <v>1</v>
      </c>
      <c r="AB440" s="36">
        <f t="shared" si="130"/>
        <v>0.14000000000000001</v>
      </c>
      <c r="AC440" s="11">
        <f t="shared" si="131"/>
        <v>0</v>
      </c>
      <c r="AD440" s="36">
        <f t="shared" si="142"/>
        <v>0</v>
      </c>
      <c r="AE440" s="36"/>
      <c r="AF440" s="36">
        <f>IFERROR(VLOOKUP(AE440,'Chemical Cost'!A:D,4,0),0)</f>
        <v>0</v>
      </c>
      <c r="AG440" s="114">
        <f t="shared" si="132"/>
        <v>0</v>
      </c>
      <c r="AH440" s="36">
        <f t="shared" si="136"/>
        <v>0</v>
      </c>
      <c r="AI440" s="36">
        <f t="shared" si="143"/>
        <v>0.14000000000000001</v>
      </c>
      <c r="AJ440" s="36">
        <f>IFERROR(VLOOKUP(A440,'All Products'!A:F,6,0),0)</f>
        <v>46.75</v>
      </c>
      <c r="AK440" s="36"/>
      <c r="AL440" s="23">
        <v>1</v>
      </c>
      <c r="AM440" s="23"/>
      <c r="AN440" s="54" t="e">
        <v>#N/A</v>
      </c>
      <c r="AO440" s="47"/>
      <c r="AP440" s="4">
        <v>1.6</v>
      </c>
      <c r="AQ440" s="111">
        <f t="shared" si="133"/>
        <v>0</v>
      </c>
      <c r="AR440">
        <f>_xlfn.XLOOKUP(F440,'RM Cost'!A:A,'RM Cost'!S:S)</f>
        <v>0</v>
      </c>
      <c r="AS440" t="e">
        <f>_xlfn.XLOOKUP(A440,[3]Sheet1!$B:$B,[3]Sheet1!$B:$B)</f>
        <v>#N/A</v>
      </c>
    </row>
    <row r="441" spans="1:46" x14ac:dyDescent="0.25">
      <c r="A441" s="2" t="s">
        <v>677</v>
      </c>
      <c r="B441" s="2" t="s">
        <v>656</v>
      </c>
      <c r="C441" s="2" t="s">
        <v>678</v>
      </c>
      <c r="D441" s="2" t="s">
        <v>554</v>
      </c>
      <c r="E441" s="2">
        <v>1</v>
      </c>
      <c r="F441" s="1" t="str">
        <f>VLOOKUP(H441,'RM Used'!A:B,2,0)</f>
        <v>032ACS</v>
      </c>
      <c r="G441" s="1" t="str">
        <f>IFERROR(VLOOKUP(F441,'RM Cost'!A:B,2,0),"")</f>
        <v>RM - LRG PROCESSING CARROT X 1000KG</v>
      </c>
      <c r="H441" s="2" t="s">
        <v>1420</v>
      </c>
      <c r="I441" s="1" t="str">
        <f>VLOOKUP(F441,'RM Used'!B:D,3,0)</f>
        <v>RM-FOOD</v>
      </c>
      <c r="J441" s="66">
        <v>1</v>
      </c>
      <c r="K441" s="35">
        <f t="shared" si="138"/>
        <v>1</v>
      </c>
      <c r="L441" s="35">
        <f t="shared" si="125"/>
        <v>1</v>
      </c>
      <c r="M441" s="77" cm="1">
        <f t="array" ref="M441">_xlfn.IFS(BOM!I441="RM-PACKING","100%",B441="Reynolds",VLOOKUP(H441,'Yield &amp; Time'!A:V,22,0),BOM!B441="Dnata",VLOOKUP(BOM!H441,'Yield &amp; Time'!A:M,13,0),B441="NK",VLOOKUP(H441,'Yield &amp; Time'!A:X,24,0))</f>
        <v>0</v>
      </c>
      <c r="N441" s="35">
        <f t="shared" si="137"/>
        <v>0</v>
      </c>
      <c r="O441" s="1" t="str">
        <f>VLOOKUP(H441,'RM Used'!A:E,5,0)</f>
        <v>KG</v>
      </c>
      <c r="P441" s="11">
        <f>VLOOKUP(H441,'RM Used'!A:F,6,0)</f>
        <v>0.38</v>
      </c>
      <c r="Q441" s="11">
        <f t="shared" si="134"/>
        <v>0</v>
      </c>
      <c r="R441" s="11">
        <f>IFERROR(IF(B441="Reynolds",VLOOKUP(H441,'Yield &amp; Time'!A:U,21,0),VLOOKUP(H441,'Yield &amp; Time'!A:L,12,0)),0)</f>
        <v>0</v>
      </c>
      <c r="S441" s="11">
        <f t="shared" si="126"/>
        <v>0</v>
      </c>
      <c r="T441" s="11">
        <f t="shared" si="127"/>
        <v>0</v>
      </c>
      <c r="U441" s="11">
        <f>IF(A440=A441,0,VLOOKUP(A441,'Packing Time'!A:F,6,0))</f>
        <v>0.64166666666666661</v>
      </c>
      <c r="V441" s="11">
        <f t="shared" si="139"/>
        <v>0.21720416666666661</v>
      </c>
      <c r="W441" s="11">
        <f t="shared" si="140"/>
        <v>1.0694444444444444E-2</v>
      </c>
      <c r="X441" s="11">
        <f t="shared" si="128"/>
        <v>0.34752666666666659</v>
      </c>
      <c r="Y441" s="11">
        <f t="shared" si="141"/>
        <v>0.34752666666666659</v>
      </c>
      <c r="Z441" s="37">
        <v>1</v>
      </c>
      <c r="AA441" s="36">
        <f t="shared" si="129"/>
        <v>0</v>
      </c>
      <c r="AB441" s="36">
        <f t="shared" si="130"/>
        <v>0</v>
      </c>
      <c r="AC441" s="11">
        <f t="shared" si="131"/>
        <v>1.7111111111111112E-2</v>
      </c>
      <c r="AD441" s="36">
        <f t="shared" si="142"/>
        <v>0.34752666666666659</v>
      </c>
      <c r="AE441" s="36"/>
      <c r="AF441" s="36">
        <f>IFERROR(VLOOKUP(AE441,'Chemical Cost'!A:D,4,0),0)</f>
        <v>0</v>
      </c>
      <c r="AG441" s="114">
        <f t="shared" si="132"/>
        <v>0</v>
      </c>
      <c r="AH441" s="36">
        <f t="shared" si="136"/>
        <v>0</v>
      </c>
      <c r="AI441" s="36">
        <f t="shared" si="143"/>
        <v>0.34752666666666659</v>
      </c>
      <c r="AJ441" s="36">
        <f>IFERROR(VLOOKUP(A441,'All Products'!A:F,6,0),0)</f>
        <v>1.49</v>
      </c>
      <c r="AK441" s="36">
        <f>AJ441*Z441*J441</f>
        <v>1.49</v>
      </c>
      <c r="AL441" s="23">
        <v>1</v>
      </c>
      <c r="AM441" s="23"/>
      <c r="AN441" s="54" t="e">
        <v>#N/A</v>
      </c>
      <c r="AO441" s="47"/>
      <c r="AP441" s="4">
        <v>1.6</v>
      </c>
      <c r="AQ441" s="111">
        <f t="shared" si="133"/>
        <v>1.7111111111111112E-2</v>
      </c>
      <c r="AR441">
        <f>_xlfn.XLOOKUP(F441,'RM Cost'!A:A,'RM Cost'!S:S)</f>
        <v>0</v>
      </c>
      <c r="AS441" t="e">
        <f>_xlfn.XLOOKUP(A441,[3]Sheet1!$B:$B,[3]Sheet1!$B:$B)</f>
        <v>#N/A</v>
      </c>
    </row>
    <row r="442" spans="1:46" x14ac:dyDescent="0.25">
      <c r="A442" s="2" t="s">
        <v>677</v>
      </c>
      <c r="B442" s="2" t="s">
        <v>656</v>
      </c>
      <c r="C442" s="2" t="s">
        <v>678</v>
      </c>
      <c r="D442" s="2" t="s">
        <v>554</v>
      </c>
      <c r="E442" s="2">
        <v>1</v>
      </c>
      <c r="F442" s="1" t="str">
        <f>VLOOKUP(H442,'RM Used'!A:B,2,0)</f>
        <v>P0008</v>
      </c>
      <c r="G442" s="1" t="str">
        <f>IFERROR(VLOOKUP(F442,'RM Cost'!A:B,2,0),"")</f>
        <v>PALE BLUE BAG 470X750MM</v>
      </c>
      <c r="H442" s="2" t="s">
        <v>1323</v>
      </c>
      <c r="I442" s="1" t="str">
        <f>VLOOKUP(F442,'RM Used'!B:D,3,0)</f>
        <v>RM-PACKING</v>
      </c>
      <c r="J442" s="66">
        <v>1</v>
      </c>
      <c r="K442" s="35" t="str">
        <f t="shared" si="138"/>
        <v/>
      </c>
      <c r="L442" s="35">
        <f t="shared" si="125"/>
        <v>0</v>
      </c>
      <c r="M442" s="77" t="str" cm="1">
        <f t="array" ref="M442">_xlfn.IFS(BOM!I442="RM-PACKING","100%",B442="Reynolds",VLOOKUP(H442,'Yield &amp; Time'!A:V,22,0),BOM!B442="Dnata",VLOOKUP(BOM!H442,'Yield &amp; Time'!A:M,13,0),B442="NK",VLOOKUP(H442,'Yield &amp; Time'!A:X,24,0))</f>
        <v>100%</v>
      </c>
      <c r="N442" s="35">
        <f t="shared" si="137"/>
        <v>1</v>
      </c>
      <c r="O442" s="1" t="str">
        <f>VLOOKUP(H442,'RM Used'!A:E,5,0)</f>
        <v>Count</v>
      </c>
      <c r="P442" s="11">
        <f>VLOOKUP(H442,'RM Used'!A:F,6,0)</f>
        <v>0.14000000000000001</v>
      </c>
      <c r="Q442" s="11">
        <f t="shared" si="134"/>
        <v>0.14000000000000001</v>
      </c>
      <c r="R442" s="11">
        <f>IFERROR(IF(B442="Reynolds",VLOOKUP(H442,'Yield &amp; Time'!A:U,21,0),VLOOKUP(H442,'Yield &amp; Time'!A:L,12,0)),0)</f>
        <v>0</v>
      </c>
      <c r="S442" s="11">
        <f t="shared" si="126"/>
        <v>0</v>
      </c>
      <c r="T442" s="11">
        <f t="shared" si="127"/>
        <v>0</v>
      </c>
      <c r="U442" s="11">
        <f>IF(A441=A442,0,VLOOKUP(A442,'Packing Time'!A:F,6,0))</f>
        <v>0</v>
      </c>
      <c r="V442" s="11">
        <f t="shared" si="139"/>
        <v>0</v>
      </c>
      <c r="W442" s="11">
        <f t="shared" si="140"/>
        <v>0</v>
      </c>
      <c r="X442" s="11">
        <f t="shared" si="128"/>
        <v>0</v>
      </c>
      <c r="Y442" s="11">
        <f t="shared" si="141"/>
        <v>0</v>
      </c>
      <c r="Z442" s="37">
        <v>1</v>
      </c>
      <c r="AA442" s="36">
        <f t="shared" si="129"/>
        <v>1</v>
      </c>
      <c r="AB442" s="36">
        <f t="shared" si="130"/>
        <v>0.14000000000000001</v>
      </c>
      <c r="AC442" s="11">
        <f t="shared" si="131"/>
        <v>0</v>
      </c>
      <c r="AD442" s="36">
        <f t="shared" si="142"/>
        <v>0</v>
      </c>
      <c r="AE442" s="36"/>
      <c r="AF442" s="36">
        <f>IFERROR(VLOOKUP(AE442,'Chemical Cost'!A:D,4,0),0)</f>
        <v>0</v>
      </c>
      <c r="AG442" s="114">
        <f t="shared" si="132"/>
        <v>0</v>
      </c>
      <c r="AH442" s="36">
        <f t="shared" si="136"/>
        <v>0</v>
      </c>
      <c r="AI442" s="36">
        <f t="shared" si="143"/>
        <v>0.14000000000000001</v>
      </c>
      <c r="AJ442" s="36">
        <f>IFERROR(VLOOKUP(A442,'All Products'!A:F,6,0),0)</f>
        <v>1.49</v>
      </c>
      <c r="AK442" s="36"/>
      <c r="AL442" s="23">
        <v>1</v>
      </c>
      <c r="AM442" s="23"/>
      <c r="AN442" s="54" t="e">
        <v>#N/A</v>
      </c>
      <c r="AO442" s="47"/>
      <c r="AP442" s="4">
        <v>1.6</v>
      </c>
      <c r="AQ442" s="111">
        <f t="shared" si="133"/>
        <v>0</v>
      </c>
      <c r="AR442">
        <f>_xlfn.XLOOKUP(F442,'RM Cost'!A:A,'RM Cost'!S:S)</f>
        <v>0</v>
      </c>
      <c r="AS442" t="e">
        <f>_xlfn.XLOOKUP(A442,[3]Sheet1!$B:$B,[3]Sheet1!$B:$B)</f>
        <v>#N/A</v>
      </c>
    </row>
    <row r="443" spans="1:46" x14ac:dyDescent="0.25">
      <c r="A443" s="2" t="s">
        <v>679</v>
      </c>
      <c r="B443" s="2" t="s">
        <v>656</v>
      </c>
      <c r="C443" s="2" t="s">
        <v>680</v>
      </c>
      <c r="D443" s="2" t="s">
        <v>554</v>
      </c>
      <c r="E443" s="2">
        <v>2.5</v>
      </c>
      <c r="F443" s="1" t="str">
        <f>VLOOKUP(H443,'RM Used'!A:B,2,0)</f>
        <v>032ACS</v>
      </c>
      <c r="G443" s="1" t="str">
        <f>IFERROR(VLOOKUP(F443,'RM Cost'!A:B,2,0),"")</f>
        <v>RM - LRG PROCESSING CARROT X 1000KG</v>
      </c>
      <c r="H443" s="2" t="s">
        <v>1420</v>
      </c>
      <c r="I443" s="1" t="str">
        <f>VLOOKUP(F443,'RM Used'!B:D,3,0)</f>
        <v>RM-FOOD</v>
      </c>
      <c r="J443" s="66">
        <v>1</v>
      </c>
      <c r="K443" s="35">
        <f t="shared" si="138"/>
        <v>2.5</v>
      </c>
      <c r="L443" s="35">
        <f t="shared" si="125"/>
        <v>2.5</v>
      </c>
      <c r="M443" s="77" cm="1">
        <f t="array" ref="M443">_xlfn.IFS(BOM!I443="RM-PACKING","100%",B443="Reynolds",VLOOKUP(H443,'Yield &amp; Time'!A:V,22,0),BOM!B443="Dnata",VLOOKUP(BOM!H443,'Yield &amp; Time'!A:M,13,0),B443="NK",VLOOKUP(H443,'Yield &amp; Time'!A:X,24,0))</f>
        <v>0</v>
      </c>
      <c r="N443" s="35">
        <f t="shared" si="137"/>
        <v>0</v>
      </c>
      <c r="O443" s="1" t="str">
        <f>VLOOKUP(H443,'RM Used'!A:E,5,0)</f>
        <v>KG</v>
      </c>
      <c r="P443" s="11">
        <f>VLOOKUP(H443,'RM Used'!A:F,6,0)</f>
        <v>0.38</v>
      </c>
      <c r="Q443" s="11">
        <f t="shared" si="134"/>
        <v>0</v>
      </c>
      <c r="R443" s="11">
        <f>IFERROR(IF(B443="Reynolds",VLOOKUP(H443,'Yield &amp; Time'!A:U,21,0),VLOOKUP(H443,'Yield &amp; Time'!A:L,12,0)),0)</f>
        <v>0</v>
      </c>
      <c r="S443" s="11">
        <f t="shared" si="126"/>
        <v>0</v>
      </c>
      <c r="T443" s="11">
        <f t="shared" si="127"/>
        <v>0</v>
      </c>
      <c r="U443" s="11">
        <f>IF(A442=A443,0,VLOOKUP(A443,'Packing Time'!A:F,6,0))</f>
        <v>0.875</v>
      </c>
      <c r="V443" s="11">
        <f t="shared" si="139"/>
        <v>0.29618749999999999</v>
      </c>
      <c r="W443" s="11">
        <f t="shared" si="140"/>
        <v>1.4583333333333334E-2</v>
      </c>
      <c r="X443" s="11">
        <f t="shared" si="128"/>
        <v>0.47389999999999999</v>
      </c>
      <c r="Y443" s="11">
        <f t="shared" si="141"/>
        <v>0.47389999999999999</v>
      </c>
      <c r="Z443" s="37">
        <v>1</v>
      </c>
      <c r="AA443" s="36">
        <f t="shared" si="129"/>
        <v>0</v>
      </c>
      <c r="AB443" s="36">
        <f t="shared" si="130"/>
        <v>0</v>
      </c>
      <c r="AC443" s="11">
        <f t="shared" si="131"/>
        <v>2.3333333333333334E-2</v>
      </c>
      <c r="AD443" s="36">
        <f t="shared" si="142"/>
        <v>0.47389999999999999</v>
      </c>
      <c r="AE443" s="36"/>
      <c r="AF443" s="36">
        <f>IFERROR(VLOOKUP(AE443,'Chemical Cost'!A:D,4,0),0)</f>
        <v>0</v>
      </c>
      <c r="AG443" s="114">
        <f t="shared" si="132"/>
        <v>0</v>
      </c>
      <c r="AH443" s="36">
        <f t="shared" si="136"/>
        <v>0</v>
      </c>
      <c r="AI443" s="36">
        <f t="shared" si="143"/>
        <v>0.47389999999999999</v>
      </c>
      <c r="AJ443" s="36">
        <f>IFERROR(VLOOKUP(A443,'All Products'!A:F,6,0),0)</f>
        <v>5.81</v>
      </c>
      <c r="AK443" s="36">
        <f>AJ443*Z443*J443</f>
        <v>5.81</v>
      </c>
      <c r="AL443" s="23">
        <v>1</v>
      </c>
      <c r="AM443" s="23"/>
      <c r="AN443" s="54" t="e">
        <v>#N/A</v>
      </c>
      <c r="AO443" s="47"/>
      <c r="AP443" s="4">
        <v>1.6</v>
      </c>
      <c r="AQ443" s="111">
        <f t="shared" si="133"/>
        <v>2.3333333333333334E-2</v>
      </c>
      <c r="AR443">
        <f>_xlfn.XLOOKUP(F443,'RM Cost'!A:A,'RM Cost'!S:S)</f>
        <v>0</v>
      </c>
      <c r="AS443" t="e">
        <f>_xlfn.XLOOKUP(A443,[3]Sheet1!$B:$B,[3]Sheet1!$B:$B)</f>
        <v>#N/A</v>
      </c>
    </row>
    <row r="444" spans="1:46" x14ac:dyDescent="0.25">
      <c r="A444" s="2" t="s">
        <v>679</v>
      </c>
      <c r="B444" s="2" t="s">
        <v>656</v>
      </c>
      <c r="C444" s="2" t="s">
        <v>680</v>
      </c>
      <c r="D444" s="2" t="s">
        <v>554</v>
      </c>
      <c r="E444" s="2">
        <v>2.5</v>
      </c>
      <c r="F444" s="1" t="str">
        <f>VLOOKUP(H444,'RM Used'!A:B,2,0)</f>
        <v>P0008</v>
      </c>
      <c r="G444" s="1" t="str">
        <f>IFERROR(VLOOKUP(F444,'RM Cost'!A:B,2,0),"")</f>
        <v>PALE BLUE BAG 470X750MM</v>
      </c>
      <c r="H444" s="2" t="s">
        <v>1323</v>
      </c>
      <c r="I444" s="1" t="str">
        <f>VLOOKUP(F444,'RM Used'!B:D,3,0)</f>
        <v>RM-PACKING</v>
      </c>
      <c r="J444" s="66">
        <v>1</v>
      </c>
      <c r="K444" s="35" t="str">
        <f t="shared" si="138"/>
        <v/>
      </c>
      <c r="L444" s="35">
        <f t="shared" si="125"/>
        <v>0</v>
      </c>
      <c r="M444" s="77" t="str" cm="1">
        <f t="array" ref="M444">_xlfn.IFS(BOM!I444="RM-PACKING","100%",B444="Reynolds",VLOOKUP(H444,'Yield &amp; Time'!A:V,22,0),BOM!B444="Dnata",VLOOKUP(BOM!H444,'Yield &amp; Time'!A:M,13,0),B444="NK",VLOOKUP(H444,'Yield &amp; Time'!A:X,24,0))</f>
        <v>100%</v>
      </c>
      <c r="N444" s="35">
        <f t="shared" si="137"/>
        <v>1</v>
      </c>
      <c r="O444" s="1" t="str">
        <f>VLOOKUP(H444,'RM Used'!A:E,5,0)</f>
        <v>Count</v>
      </c>
      <c r="P444" s="11">
        <f>VLOOKUP(H444,'RM Used'!A:F,6,0)</f>
        <v>0.14000000000000001</v>
      </c>
      <c r="Q444" s="11">
        <f t="shared" si="134"/>
        <v>0.14000000000000001</v>
      </c>
      <c r="R444" s="11">
        <f>IFERROR(IF(B444="Reynolds",VLOOKUP(H444,'Yield &amp; Time'!A:U,21,0),VLOOKUP(H444,'Yield &amp; Time'!A:L,12,0)),0)</f>
        <v>0</v>
      </c>
      <c r="S444" s="11">
        <f t="shared" si="126"/>
        <v>0</v>
      </c>
      <c r="T444" s="11">
        <f t="shared" si="127"/>
        <v>0</v>
      </c>
      <c r="U444" s="11">
        <f>IF(A443=A444,0,VLOOKUP(A444,'Packing Time'!A:F,6,0))</f>
        <v>0</v>
      </c>
      <c r="V444" s="11">
        <f t="shared" si="139"/>
        <v>0</v>
      </c>
      <c r="W444" s="11">
        <f t="shared" si="140"/>
        <v>0</v>
      </c>
      <c r="X444" s="11">
        <f t="shared" si="128"/>
        <v>0</v>
      </c>
      <c r="Y444" s="11">
        <f t="shared" si="141"/>
        <v>0</v>
      </c>
      <c r="Z444" s="37">
        <v>1</v>
      </c>
      <c r="AA444" s="36">
        <f t="shared" si="129"/>
        <v>1</v>
      </c>
      <c r="AB444" s="36">
        <f t="shared" si="130"/>
        <v>0.14000000000000001</v>
      </c>
      <c r="AC444" s="11">
        <f t="shared" si="131"/>
        <v>0</v>
      </c>
      <c r="AD444" s="36">
        <f t="shared" si="142"/>
        <v>0</v>
      </c>
      <c r="AE444" s="36"/>
      <c r="AF444" s="36">
        <f>IFERROR(VLOOKUP(AE444,'Chemical Cost'!A:D,4,0),0)</f>
        <v>0</v>
      </c>
      <c r="AG444" s="114">
        <f t="shared" si="132"/>
        <v>0</v>
      </c>
      <c r="AH444" s="36">
        <f t="shared" si="136"/>
        <v>0</v>
      </c>
      <c r="AI444" s="36">
        <f t="shared" si="143"/>
        <v>0.14000000000000001</v>
      </c>
      <c r="AJ444" s="36">
        <f>IFERROR(VLOOKUP(A444,'All Products'!A:F,6,0),0)</f>
        <v>5.81</v>
      </c>
      <c r="AK444" s="36"/>
      <c r="AL444" s="23">
        <v>1</v>
      </c>
      <c r="AM444" s="23"/>
      <c r="AN444" s="54" t="e">
        <v>#N/A</v>
      </c>
      <c r="AO444" s="47"/>
      <c r="AP444" s="4">
        <v>1.6</v>
      </c>
      <c r="AQ444" s="111">
        <f t="shared" si="133"/>
        <v>0</v>
      </c>
      <c r="AR444">
        <f>_xlfn.XLOOKUP(F444,'RM Cost'!A:A,'RM Cost'!S:S)</f>
        <v>0</v>
      </c>
      <c r="AS444" t="e">
        <f>_xlfn.XLOOKUP(A444,[3]Sheet1!$B:$B,[3]Sheet1!$B:$B)</f>
        <v>#N/A</v>
      </c>
    </row>
    <row r="445" spans="1:46" x14ac:dyDescent="0.25">
      <c r="A445" s="2" t="s">
        <v>681</v>
      </c>
      <c r="B445" s="2" t="s">
        <v>656</v>
      </c>
      <c r="C445" s="2" t="s">
        <v>682</v>
      </c>
      <c r="D445" s="2" t="s">
        <v>554</v>
      </c>
      <c r="E445" s="2">
        <v>2.5</v>
      </c>
      <c r="F445" s="1" t="str">
        <f>VLOOKUP(H445,'RM Used'!A:B,2,0)</f>
        <v>032ACS</v>
      </c>
      <c r="G445" s="1" t="str">
        <f>IFERROR(VLOOKUP(F445,'RM Cost'!A:B,2,0),"")</f>
        <v>RM - LRG PROCESSING CARROT X 1000KG</v>
      </c>
      <c r="H445" s="2" t="s">
        <v>1476</v>
      </c>
      <c r="I445" s="1" t="str">
        <f>VLOOKUP(F445,'RM Used'!B:D,3,0)</f>
        <v>RM-FOOD</v>
      </c>
      <c r="J445" s="66">
        <v>1</v>
      </c>
      <c r="K445" s="35">
        <f t="shared" si="138"/>
        <v>2.5</v>
      </c>
      <c r="L445" s="35">
        <f t="shared" si="125"/>
        <v>2.5</v>
      </c>
      <c r="M445" s="77" cm="1">
        <f t="array" ref="M445">_xlfn.IFS(BOM!I445="RM-PACKING","100%",B445="Reynolds",VLOOKUP(H445,'Yield &amp; Time'!A:V,22,0),BOM!B445="Dnata",VLOOKUP(BOM!H445,'Yield &amp; Time'!A:M,13,0),B445="NK",VLOOKUP(H445,'Yield &amp; Time'!A:X,24,0))</f>
        <v>0.73317345127230837</v>
      </c>
      <c r="N445" s="35">
        <f t="shared" si="137"/>
        <v>3.40983432455395</v>
      </c>
      <c r="O445" s="1" t="str">
        <f>VLOOKUP(H445,'RM Used'!A:E,5,0)</f>
        <v>KG</v>
      </c>
      <c r="P445" s="11">
        <f>VLOOKUP(H445,'RM Used'!A:F,6,0)</f>
        <v>0.38</v>
      </c>
      <c r="Q445" s="11">
        <f t="shared" si="134"/>
        <v>1.2957370433305011</v>
      </c>
      <c r="R445" s="11">
        <f>IFERROR(IF(B445="Reynolds",VLOOKUP(H445,'Yield &amp; Time'!A:U,21,0),VLOOKUP(H445,'Yield &amp; Time'!A:L,12,0)),0)</f>
        <v>1.2480576795997356</v>
      </c>
      <c r="S445" s="11">
        <f t="shared" si="126"/>
        <v>1.0561688113612762</v>
      </c>
      <c r="T445" s="11">
        <f t="shared" si="127"/>
        <v>5.2002403316655649E-2</v>
      </c>
      <c r="U445" s="11">
        <f>IF(A444=A445,0,VLOOKUP(A445,'Packing Time'!A:F,6,0))</f>
        <v>0.875</v>
      </c>
      <c r="V445" s="11">
        <f t="shared" si="139"/>
        <v>0.29618749999999999</v>
      </c>
      <c r="W445" s="11">
        <f t="shared" si="140"/>
        <v>1.4583333333333334E-2</v>
      </c>
      <c r="X445" s="11">
        <f t="shared" si="128"/>
        <v>2.1637700981780421</v>
      </c>
      <c r="Y445" s="11">
        <f t="shared" si="141"/>
        <v>2.1637700981780421</v>
      </c>
      <c r="Z445" s="37">
        <v>1</v>
      </c>
      <c r="AA445" s="36">
        <f t="shared" si="129"/>
        <v>3.40983432455395</v>
      </c>
      <c r="AB445" s="36">
        <f t="shared" si="130"/>
        <v>1.2957370433305011</v>
      </c>
      <c r="AC445" s="11">
        <f t="shared" si="131"/>
        <v>0.10653717863998238</v>
      </c>
      <c r="AD445" s="36">
        <f t="shared" si="142"/>
        <v>2.1637700981780417</v>
      </c>
      <c r="AE445" s="36" t="str">
        <f>VLOOKUP(H445,'Yield &amp; Time'!A:I,9,0)</f>
        <v>CHLORINE</v>
      </c>
      <c r="AF445" s="36">
        <f>IFERROR(VLOOKUP(AE445,'Chemical Cost'!A:D,4,0),0)</f>
        <v>2.7756518066439469E-2</v>
      </c>
      <c r="AG445" s="114">
        <f t="shared" si="132"/>
        <v>3.1548376011015712E-2</v>
      </c>
      <c r="AH445" s="36">
        <f t="shared" si="136"/>
        <v>3.1548376011015712E-2</v>
      </c>
      <c r="AI445" s="36">
        <f t="shared" si="143"/>
        <v>3.4910555175195586</v>
      </c>
      <c r="AJ445" s="36">
        <f>IFERROR(VLOOKUP(A445,'All Products'!A:F,6,0),0)</f>
        <v>3.67</v>
      </c>
      <c r="AK445" s="36">
        <f>AJ445*Z445*J445</f>
        <v>3.67</v>
      </c>
      <c r="AL445" s="23">
        <v>0.8</v>
      </c>
      <c r="AM445" s="23">
        <v>0.2</v>
      </c>
      <c r="AN445" s="54" t="e">
        <v>#N/A</v>
      </c>
      <c r="AO445" s="47"/>
      <c r="AP445" s="4">
        <v>1.6</v>
      </c>
      <c r="AQ445" s="111">
        <f t="shared" si="133"/>
        <v>0.10653717863998238</v>
      </c>
      <c r="AR445">
        <f>_xlfn.XLOOKUP(F445,'RM Cost'!A:A,'RM Cost'!S:S)</f>
        <v>0</v>
      </c>
      <c r="AS445" t="e">
        <f>_xlfn.XLOOKUP(A445,[3]Sheet1!$B:$B,[3]Sheet1!$B:$B)</f>
        <v>#N/A</v>
      </c>
    </row>
    <row r="446" spans="1:46" x14ac:dyDescent="0.25">
      <c r="A446" s="2" t="s">
        <v>681</v>
      </c>
      <c r="B446" s="2" t="s">
        <v>656</v>
      </c>
      <c r="C446" s="2" t="s">
        <v>682</v>
      </c>
      <c r="D446" s="2" t="s">
        <v>554</v>
      </c>
      <c r="E446" s="2">
        <v>2.5</v>
      </c>
      <c r="F446" s="1" t="str">
        <f>VLOOKUP(H446,'RM Used'!A:B,2,0)</f>
        <v>P0008</v>
      </c>
      <c r="G446" s="1" t="str">
        <f>IFERROR(VLOOKUP(F446,'RM Cost'!A:B,2,0),"")</f>
        <v>PALE BLUE BAG 470X750MM</v>
      </c>
      <c r="H446" s="2" t="s">
        <v>1323</v>
      </c>
      <c r="I446" s="1" t="str">
        <f>VLOOKUP(F446,'RM Used'!B:D,3,0)</f>
        <v>RM-PACKING</v>
      </c>
      <c r="J446" s="66">
        <v>1</v>
      </c>
      <c r="K446" s="35" t="str">
        <f t="shared" si="138"/>
        <v/>
      </c>
      <c r="L446" s="35">
        <f t="shared" si="125"/>
        <v>0</v>
      </c>
      <c r="M446" s="77" t="str" cm="1">
        <f t="array" ref="M446">_xlfn.IFS(BOM!I446="RM-PACKING","100%",B446="Reynolds",VLOOKUP(H446,'Yield &amp; Time'!A:V,22,0),BOM!B446="Dnata",VLOOKUP(BOM!H446,'Yield &amp; Time'!A:M,13,0),B446="NK",VLOOKUP(H446,'Yield &amp; Time'!A:X,24,0))</f>
        <v>100%</v>
      </c>
      <c r="N446" s="35">
        <f t="shared" si="137"/>
        <v>1</v>
      </c>
      <c r="O446" s="1" t="str">
        <f>VLOOKUP(H446,'RM Used'!A:E,5,0)</f>
        <v>Count</v>
      </c>
      <c r="P446" s="11">
        <f>VLOOKUP(H446,'RM Used'!A:F,6,0)</f>
        <v>0.14000000000000001</v>
      </c>
      <c r="Q446" s="11">
        <f t="shared" si="134"/>
        <v>0.14000000000000001</v>
      </c>
      <c r="R446" s="11">
        <f>IFERROR(IF(B446="Reynolds",VLOOKUP(H446,'Yield &amp; Time'!A:U,21,0),VLOOKUP(H446,'Yield &amp; Time'!A:L,12,0)),0)</f>
        <v>0</v>
      </c>
      <c r="S446" s="11">
        <f t="shared" si="126"/>
        <v>0</v>
      </c>
      <c r="T446" s="11">
        <f t="shared" si="127"/>
        <v>0</v>
      </c>
      <c r="U446" s="11">
        <f>IF(A445=A446,0,VLOOKUP(A446,'Packing Time'!A:F,6,0))</f>
        <v>0</v>
      </c>
      <c r="V446" s="11">
        <f t="shared" si="139"/>
        <v>0</v>
      </c>
      <c r="W446" s="11">
        <f t="shared" si="140"/>
        <v>0</v>
      </c>
      <c r="X446" s="11">
        <f t="shared" si="128"/>
        <v>0</v>
      </c>
      <c r="Y446" s="11">
        <f t="shared" si="141"/>
        <v>0</v>
      </c>
      <c r="Z446" s="37">
        <v>1</v>
      </c>
      <c r="AA446" s="36">
        <f t="shared" si="129"/>
        <v>1</v>
      </c>
      <c r="AB446" s="36">
        <f t="shared" si="130"/>
        <v>0.14000000000000001</v>
      </c>
      <c r="AC446" s="11">
        <f t="shared" si="131"/>
        <v>0</v>
      </c>
      <c r="AD446" s="36">
        <f t="shared" si="142"/>
        <v>0</v>
      </c>
      <c r="AE446" s="36"/>
      <c r="AF446" s="36">
        <f>IFERROR(VLOOKUP(AE446,'Chemical Cost'!A:D,4,0),0)</f>
        <v>0</v>
      </c>
      <c r="AG446" s="114">
        <f t="shared" si="132"/>
        <v>0</v>
      </c>
      <c r="AH446" s="36">
        <f t="shared" si="136"/>
        <v>0</v>
      </c>
      <c r="AI446" s="36">
        <f t="shared" si="143"/>
        <v>0.14000000000000001</v>
      </c>
      <c r="AJ446" s="36">
        <f>IFERROR(VLOOKUP(A446,'All Products'!A:F,6,0),0)</f>
        <v>3.67</v>
      </c>
      <c r="AK446" s="36"/>
      <c r="AL446" s="23">
        <v>0.8</v>
      </c>
      <c r="AM446" s="23">
        <v>0.2</v>
      </c>
      <c r="AN446" s="54" t="e">
        <v>#N/A</v>
      </c>
      <c r="AO446" s="47"/>
      <c r="AP446" s="4">
        <v>1.6</v>
      </c>
      <c r="AQ446" s="111">
        <f t="shared" si="133"/>
        <v>0</v>
      </c>
      <c r="AR446">
        <f>_xlfn.XLOOKUP(F446,'RM Cost'!A:A,'RM Cost'!S:S)</f>
        <v>0</v>
      </c>
      <c r="AS446" t="e">
        <f>_xlfn.XLOOKUP(A446,[3]Sheet1!$B:$B,[3]Sheet1!$B:$B)</f>
        <v>#N/A</v>
      </c>
    </row>
    <row r="447" spans="1:46" x14ac:dyDescent="0.25">
      <c r="A447" s="2" t="s">
        <v>683</v>
      </c>
      <c r="B447" s="2" t="s">
        <v>656</v>
      </c>
      <c r="C447" s="2" t="s">
        <v>684</v>
      </c>
      <c r="D447" s="2" t="s">
        <v>554</v>
      </c>
      <c r="E447" s="2">
        <v>1</v>
      </c>
      <c r="F447" s="1" t="str">
        <f>VLOOKUP(H447,'RM Used'!A:B,2,0)</f>
        <v>2980CS</v>
      </c>
      <c r="G447" s="1" t="s">
        <v>1224</v>
      </c>
      <c r="H447" s="2" t="s">
        <v>1477</v>
      </c>
      <c r="I447" s="1" t="str">
        <f>VLOOKUP(F447,'RM Used'!B:D,3,0)</f>
        <v>RM-FOOD</v>
      </c>
      <c r="J447" s="66">
        <v>1</v>
      </c>
      <c r="K447" s="35">
        <f t="shared" si="138"/>
        <v>1</v>
      </c>
      <c r="L447" s="35">
        <f t="shared" si="125"/>
        <v>1</v>
      </c>
      <c r="M447" s="77" cm="1">
        <f t="array" ref="M447">_xlfn.IFS(BOM!I447="RM-PACKING","100%",B447="Reynolds",VLOOKUP(H447,'Yield &amp; Time'!A:V,22,0),BOM!B447="Dnata",VLOOKUP(BOM!H447,'Yield &amp; Time'!A:M,13,0),B447="NK",VLOOKUP(H447,'Yield &amp; Time'!A:X,24,0))</f>
        <v>0.3</v>
      </c>
      <c r="N447" s="35">
        <f t="shared" si="137"/>
        <v>3.3333333333333335</v>
      </c>
      <c r="O447" s="1" t="str">
        <f>VLOOKUP(H447,'RM Used'!A:E,5,0)</f>
        <v>KG</v>
      </c>
      <c r="P447" s="11">
        <f>VLOOKUP(H447,'RM Used'!A:F,6,0)</f>
        <v>6.78</v>
      </c>
      <c r="Q447" s="11">
        <f t="shared" si="134"/>
        <v>22.6</v>
      </c>
      <c r="R447" s="11">
        <f>IFERROR(IF(B447="Reynolds",VLOOKUP(H447,'Yield &amp; Time'!A:U,21,0),VLOOKUP(H447,'Yield &amp; Time'!A:L,12,0)),0)</f>
        <v>43</v>
      </c>
      <c r="S447" s="11">
        <f t="shared" si="126"/>
        <v>14.555499999999999</v>
      </c>
      <c r="T447" s="11">
        <f t="shared" si="127"/>
        <v>0.71666666666666667</v>
      </c>
      <c r="U447" s="11">
        <f>IF(A446=A447,0,VLOOKUP(A447,'Packing Time'!A:F,6,0))</f>
        <v>0.64166666666666661</v>
      </c>
      <c r="V447" s="11">
        <f t="shared" si="139"/>
        <v>0.21720416666666661</v>
      </c>
      <c r="W447" s="11">
        <f t="shared" si="140"/>
        <v>1.0694444444444444E-2</v>
      </c>
      <c r="X447" s="11">
        <f t="shared" si="128"/>
        <v>23.636326666666665</v>
      </c>
      <c r="Y447" s="11">
        <f t="shared" si="141"/>
        <v>23.636326666666665</v>
      </c>
      <c r="Z447" s="37">
        <v>1</v>
      </c>
      <c r="AA447" s="36">
        <f t="shared" si="129"/>
        <v>3.3333333333333335</v>
      </c>
      <c r="AB447" s="36">
        <f t="shared" si="130"/>
        <v>22.6</v>
      </c>
      <c r="AC447" s="11">
        <f t="shared" si="131"/>
        <v>1.1637777777777778</v>
      </c>
      <c r="AD447" s="36">
        <f t="shared" si="142"/>
        <v>23.636326666666665</v>
      </c>
      <c r="AE447" s="36"/>
      <c r="AF447" s="36">
        <f>IFERROR(VLOOKUP(AE447,'Chemical Cost'!A:D,4,0),0)</f>
        <v>0</v>
      </c>
      <c r="AG447" s="114">
        <f t="shared" si="132"/>
        <v>0</v>
      </c>
      <c r="AH447" s="36">
        <f t="shared" si="136"/>
        <v>0</v>
      </c>
      <c r="AI447" s="36">
        <f t="shared" si="143"/>
        <v>46.23632666666667</v>
      </c>
      <c r="AJ447" s="36">
        <f>IFERROR(VLOOKUP(A447,'All Products'!A:F,6,0),0)</f>
        <v>51.91</v>
      </c>
      <c r="AK447" s="36">
        <f>AJ447*Z447*J447</f>
        <v>51.91</v>
      </c>
      <c r="AL447" s="23">
        <v>1</v>
      </c>
      <c r="AM447" s="23"/>
      <c r="AN447" s="54" t="e">
        <v>#N/A</v>
      </c>
      <c r="AO447" s="47"/>
      <c r="AP447" s="4">
        <v>1.6</v>
      </c>
      <c r="AQ447" s="111">
        <f t="shared" si="133"/>
        <v>1.1637777777777778</v>
      </c>
      <c r="AR447">
        <f>_xlfn.XLOOKUP(F447,'RM Cost'!A:A,'RM Cost'!S:S)</f>
        <v>0</v>
      </c>
      <c r="AS447" t="e">
        <f>_xlfn.XLOOKUP(A447,[3]Sheet1!$B:$B,[3]Sheet1!$B:$B)</f>
        <v>#N/A</v>
      </c>
    </row>
    <row r="448" spans="1:46" x14ac:dyDescent="0.25">
      <c r="A448" s="2" t="s">
        <v>683</v>
      </c>
      <c r="B448" s="2" t="s">
        <v>656</v>
      </c>
      <c r="C448" s="2" t="s">
        <v>684</v>
      </c>
      <c r="D448" s="2" t="s">
        <v>554</v>
      </c>
      <c r="E448" s="2">
        <v>1</v>
      </c>
      <c r="F448" s="1" t="str">
        <f>VLOOKUP(H448,'RM Used'!A:B,2,0)</f>
        <v>P0008</v>
      </c>
      <c r="G448" s="1" t="str">
        <f>IFERROR(VLOOKUP(F448,'RM Cost'!A:B,2,0),"")</f>
        <v>PALE BLUE BAG 470X750MM</v>
      </c>
      <c r="H448" s="2" t="s">
        <v>1323</v>
      </c>
      <c r="I448" s="1" t="str">
        <f>VLOOKUP(F448,'RM Used'!B:D,3,0)</f>
        <v>RM-PACKING</v>
      </c>
      <c r="J448" s="66">
        <v>1</v>
      </c>
      <c r="K448" s="35" t="str">
        <f t="shared" si="138"/>
        <v/>
      </c>
      <c r="L448" s="35">
        <f t="shared" si="125"/>
        <v>0</v>
      </c>
      <c r="M448" s="77" t="str" cm="1">
        <f t="array" ref="M448">_xlfn.IFS(BOM!I448="RM-PACKING","100%",B448="Reynolds",VLOOKUP(H448,'Yield &amp; Time'!A:V,22,0),BOM!B448="Dnata",VLOOKUP(BOM!H448,'Yield &amp; Time'!A:M,13,0),B448="NK",VLOOKUP(H448,'Yield &amp; Time'!A:X,24,0))</f>
        <v>100%</v>
      </c>
      <c r="N448" s="35">
        <f t="shared" si="137"/>
        <v>1</v>
      </c>
      <c r="O448" s="1" t="str">
        <f>VLOOKUP(H448,'RM Used'!A:E,5,0)</f>
        <v>Count</v>
      </c>
      <c r="P448" s="11">
        <f>VLOOKUP(H448,'RM Used'!A:F,6,0)</f>
        <v>0.14000000000000001</v>
      </c>
      <c r="Q448" s="11">
        <f t="shared" si="134"/>
        <v>0.14000000000000001</v>
      </c>
      <c r="R448" s="11">
        <f>IFERROR(IF(B448="Reynolds",VLOOKUP(H448,'Yield &amp; Time'!A:U,21,0),VLOOKUP(H448,'Yield &amp; Time'!A:L,12,0)),0)</f>
        <v>0</v>
      </c>
      <c r="S448" s="11">
        <f t="shared" si="126"/>
        <v>0</v>
      </c>
      <c r="T448" s="11">
        <f t="shared" si="127"/>
        <v>0</v>
      </c>
      <c r="U448" s="11">
        <f>IF(A447=A448,0,VLOOKUP(A448,'Packing Time'!A:F,6,0))</f>
        <v>0</v>
      </c>
      <c r="V448" s="11">
        <f t="shared" si="139"/>
        <v>0</v>
      </c>
      <c r="W448" s="11">
        <f t="shared" si="140"/>
        <v>0</v>
      </c>
      <c r="X448" s="11">
        <f t="shared" si="128"/>
        <v>0</v>
      </c>
      <c r="Y448" s="11">
        <f t="shared" si="141"/>
        <v>0</v>
      </c>
      <c r="Z448" s="37">
        <v>1</v>
      </c>
      <c r="AA448" s="36">
        <f t="shared" si="129"/>
        <v>1</v>
      </c>
      <c r="AB448" s="36">
        <f t="shared" si="130"/>
        <v>0.14000000000000001</v>
      </c>
      <c r="AC448" s="11">
        <f t="shared" si="131"/>
        <v>0</v>
      </c>
      <c r="AD448" s="36">
        <f t="shared" si="142"/>
        <v>0</v>
      </c>
      <c r="AE448" s="36"/>
      <c r="AF448" s="36">
        <f>IFERROR(VLOOKUP(AE448,'Chemical Cost'!A:D,4,0),0)</f>
        <v>0</v>
      </c>
      <c r="AG448" s="114">
        <f t="shared" si="132"/>
        <v>0</v>
      </c>
      <c r="AH448" s="36">
        <f t="shared" si="136"/>
        <v>0</v>
      </c>
      <c r="AI448" s="36">
        <f t="shared" si="143"/>
        <v>0.14000000000000001</v>
      </c>
      <c r="AJ448" s="36">
        <f>IFERROR(VLOOKUP(A448,'All Products'!A:F,6,0),0)</f>
        <v>51.91</v>
      </c>
      <c r="AK448" s="36"/>
      <c r="AL448" s="23">
        <v>1</v>
      </c>
      <c r="AM448" s="23"/>
      <c r="AN448" s="54" t="e">
        <v>#N/A</v>
      </c>
      <c r="AO448" s="47"/>
      <c r="AP448" s="4">
        <v>1.6</v>
      </c>
      <c r="AQ448" s="111">
        <f t="shared" si="133"/>
        <v>0</v>
      </c>
      <c r="AR448">
        <f>_xlfn.XLOOKUP(F448,'RM Cost'!A:A,'RM Cost'!S:S)</f>
        <v>0</v>
      </c>
      <c r="AS448" t="e">
        <f>_xlfn.XLOOKUP(A448,[3]Sheet1!$B:$B,[3]Sheet1!$B:$B)</f>
        <v>#N/A</v>
      </c>
    </row>
    <row r="449" spans="1:45" x14ac:dyDescent="0.25">
      <c r="A449" s="2" t="s">
        <v>685</v>
      </c>
      <c r="B449" s="2" t="s">
        <v>656</v>
      </c>
      <c r="C449" s="2" t="s">
        <v>686</v>
      </c>
      <c r="D449" s="2" t="s">
        <v>554</v>
      </c>
      <c r="E449" s="2">
        <v>2.5</v>
      </c>
      <c r="F449" s="1" t="str">
        <f>VLOOKUP(H449,'RM Used'!A:B,2,0)</f>
        <v>2980CS</v>
      </c>
      <c r="G449" s="1" t="s">
        <v>1224</v>
      </c>
      <c r="H449" s="2" t="s">
        <v>1477</v>
      </c>
      <c r="I449" s="1" t="str">
        <f>VLOOKUP(F449,'RM Used'!B:D,3,0)</f>
        <v>RM-FOOD</v>
      </c>
      <c r="J449" s="66">
        <v>1</v>
      </c>
      <c r="K449" s="35">
        <f t="shared" si="138"/>
        <v>2.5</v>
      </c>
      <c r="L449" s="35">
        <f t="shared" si="125"/>
        <v>2.5</v>
      </c>
      <c r="M449" s="77" cm="1">
        <f t="array" ref="M449">_xlfn.IFS(BOM!I449="RM-PACKING","100%",B449="Reynolds",VLOOKUP(H449,'Yield &amp; Time'!A:V,22,0),BOM!B449="Dnata",VLOOKUP(BOM!H449,'Yield &amp; Time'!A:M,13,0),B449="NK",VLOOKUP(H449,'Yield &amp; Time'!A:X,24,0))</f>
        <v>0.3</v>
      </c>
      <c r="N449" s="35">
        <f t="shared" si="137"/>
        <v>8.3333333333333339</v>
      </c>
      <c r="O449" s="1" t="str">
        <f>VLOOKUP(H449,'RM Used'!A:E,5,0)</f>
        <v>KG</v>
      </c>
      <c r="P449" s="11">
        <f>VLOOKUP(H449,'RM Used'!A:F,6,0)</f>
        <v>6.78</v>
      </c>
      <c r="Q449" s="11">
        <f t="shared" si="134"/>
        <v>56.500000000000007</v>
      </c>
      <c r="R449" s="11">
        <f>IFERROR(IF(B449="Reynolds",VLOOKUP(H449,'Yield &amp; Time'!A:U,21,0),VLOOKUP(H449,'Yield &amp; Time'!A:L,12,0)),0)</f>
        <v>43</v>
      </c>
      <c r="S449" s="11">
        <f t="shared" si="126"/>
        <v>36.388749999999995</v>
      </c>
      <c r="T449" s="11">
        <f t="shared" si="127"/>
        <v>1.7916666666666667</v>
      </c>
      <c r="U449" s="11">
        <f>IF(A448=A449,0,VLOOKUP(A449,'Packing Time'!A:F,6,0))</f>
        <v>0.875</v>
      </c>
      <c r="V449" s="11">
        <f t="shared" si="139"/>
        <v>0.29618749999999999</v>
      </c>
      <c r="W449" s="11">
        <f t="shared" si="140"/>
        <v>1.4583333333333334E-2</v>
      </c>
      <c r="X449" s="11">
        <f t="shared" si="128"/>
        <v>58.695899999999995</v>
      </c>
      <c r="Y449" s="11">
        <f t="shared" si="141"/>
        <v>58.695899999999995</v>
      </c>
      <c r="Z449" s="37">
        <v>1</v>
      </c>
      <c r="AA449" s="36">
        <f t="shared" si="129"/>
        <v>8.3333333333333339</v>
      </c>
      <c r="AB449" s="36">
        <f t="shared" si="130"/>
        <v>56.500000000000007</v>
      </c>
      <c r="AC449" s="11">
        <f t="shared" si="131"/>
        <v>2.89</v>
      </c>
      <c r="AD449" s="36">
        <f t="shared" si="142"/>
        <v>58.695899999999995</v>
      </c>
      <c r="AE449" s="36"/>
      <c r="AF449" s="36">
        <f>IFERROR(VLOOKUP(AE449,'Chemical Cost'!A:D,4,0),0)</f>
        <v>0</v>
      </c>
      <c r="AG449" s="114">
        <f t="shared" si="132"/>
        <v>0</v>
      </c>
      <c r="AH449" s="36">
        <f t="shared" si="136"/>
        <v>0</v>
      </c>
      <c r="AI449" s="36">
        <f t="shared" si="143"/>
        <v>115.19589999999999</v>
      </c>
      <c r="AJ449" s="36">
        <f>IFERROR(VLOOKUP(A449,'All Products'!A:F,6,0),0)</f>
        <v>129.75</v>
      </c>
      <c r="AK449" s="36">
        <f>AJ449*Z449*J449</f>
        <v>129.75</v>
      </c>
      <c r="AL449" s="23">
        <v>1</v>
      </c>
      <c r="AM449" s="23"/>
      <c r="AN449" s="54" t="e">
        <v>#N/A</v>
      </c>
      <c r="AO449" s="47"/>
      <c r="AP449" s="4">
        <v>1.6</v>
      </c>
      <c r="AQ449" s="111">
        <f t="shared" si="133"/>
        <v>2.89</v>
      </c>
      <c r="AR449">
        <f>_xlfn.XLOOKUP(F449,'RM Cost'!A:A,'RM Cost'!S:S)</f>
        <v>0</v>
      </c>
      <c r="AS449" t="e">
        <f>_xlfn.XLOOKUP(A449,[3]Sheet1!$B:$B,[3]Sheet1!$B:$B)</f>
        <v>#N/A</v>
      </c>
    </row>
    <row r="450" spans="1:45" x14ac:dyDescent="0.25">
      <c r="A450" s="2" t="s">
        <v>685</v>
      </c>
      <c r="B450" s="2" t="s">
        <v>656</v>
      </c>
      <c r="C450" s="2" t="s">
        <v>686</v>
      </c>
      <c r="D450" s="2" t="s">
        <v>554</v>
      </c>
      <c r="E450" s="2">
        <v>2.5</v>
      </c>
      <c r="F450" s="1" t="str">
        <f>VLOOKUP(H450,'RM Used'!A:B,2,0)</f>
        <v>P0008</v>
      </c>
      <c r="G450" s="1" t="str">
        <f>IFERROR(VLOOKUP(F450,'RM Cost'!A:B,2,0),"")</f>
        <v>PALE BLUE BAG 470X750MM</v>
      </c>
      <c r="H450" s="2" t="s">
        <v>1323</v>
      </c>
      <c r="I450" s="1" t="str">
        <f>VLOOKUP(F450,'RM Used'!B:D,3,0)</f>
        <v>RM-PACKING</v>
      </c>
      <c r="J450" s="66">
        <v>1</v>
      </c>
      <c r="K450" s="35" t="str">
        <f t="shared" si="138"/>
        <v/>
      </c>
      <c r="L450" s="35">
        <f t="shared" ref="L450:L513" si="144">IFERROR(K450*Z450,0)</f>
        <v>0</v>
      </c>
      <c r="M450" s="77" t="str" cm="1">
        <f t="array" ref="M450">_xlfn.IFS(BOM!I450="RM-PACKING","100%",B450="Reynolds",VLOOKUP(H450,'Yield &amp; Time'!A:V,22,0),BOM!B450="Dnata",VLOOKUP(BOM!H450,'Yield &amp; Time'!A:M,13,0),B450="NK",VLOOKUP(H450,'Yield &amp; Time'!A:X,24,0))</f>
        <v>100%</v>
      </c>
      <c r="N450" s="35">
        <f t="shared" si="137"/>
        <v>1</v>
      </c>
      <c r="O450" s="1" t="str">
        <f>VLOOKUP(H450,'RM Used'!A:E,5,0)</f>
        <v>Count</v>
      </c>
      <c r="P450" s="11">
        <f>VLOOKUP(H450,'RM Used'!A:F,6,0)</f>
        <v>0.14000000000000001</v>
      </c>
      <c r="Q450" s="11">
        <f t="shared" si="134"/>
        <v>0.14000000000000001</v>
      </c>
      <c r="R450" s="11">
        <f>IFERROR(IF(B450="Reynolds",VLOOKUP(H450,'Yield &amp; Time'!A:U,21,0),VLOOKUP(H450,'Yield &amp; Time'!A:L,12,0)),0)</f>
        <v>0</v>
      </c>
      <c r="S450" s="11">
        <f t="shared" ref="S450:S513" si="145">R450*J450*E450*AO$1</f>
        <v>0</v>
      </c>
      <c r="T450" s="11">
        <f t="shared" ref="T450:T513" si="146">(R450*Z450*J450*E450)/60</f>
        <v>0</v>
      </c>
      <c r="U450" s="11">
        <f>IF(A449=A450,0,VLOOKUP(A450,'Packing Time'!A:F,6,0))</f>
        <v>0</v>
      </c>
      <c r="V450" s="11">
        <f t="shared" si="139"/>
        <v>0</v>
      </c>
      <c r="W450" s="11">
        <f t="shared" si="140"/>
        <v>0</v>
      </c>
      <c r="X450" s="11">
        <f t="shared" ref="X450:X513" si="147">((R450*J450*E450)+U450)*AO$1*AP450</f>
        <v>0</v>
      </c>
      <c r="Y450" s="11">
        <f t="shared" si="141"/>
        <v>0</v>
      </c>
      <c r="Z450" s="37">
        <v>1</v>
      </c>
      <c r="AA450" s="36">
        <f t="shared" ref="AA450:AA513" si="148">Z450*N450</f>
        <v>1</v>
      </c>
      <c r="AB450" s="36">
        <f t="shared" ref="AB450:AB513" si="149">AA450*P450</f>
        <v>0.14000000000000001</v>
      </c>
      <c r="AC450" s="11">
        <f t="shared" ref="AC450:AC513" si="150">(((R450*J450*E450)+U450)/60)*Z450*AP450</f>
        <v>0</v>
      </c>
      <c r="AD450" s="36">
        <f t="shared" si="142"/>
        <v>0</v>
      </c>
      <c r="AE450" s="36"/>
      <c r="AF450" s="36">
        <f>IFERROR(VLOOKUP(AE450,'Chemical Cost'!A:D,4,0),0)</f>
        <v>0</v>
      </c>
      <c r="AG450" s="114">
        <f t="shared" ref="AG450:AG513" si="151">AF450*N450/3</f>
        <v>0</v>
      </c>
      <c r="AH450" s="36">
        <f t="shared" si="136"/>
        <v>0</v>
      </c>
      <c r="AI450" s="36">
        <f t="shared" si="143"/>
        <v>0.14000000000000001</v>
      </c>
      <c r="AJ450" s="36">
        <f>IFERROR(VLOOKUP(A450,'All Products'!A:F,6,0),0)</f>
        <v>129.75</v>
      </c>
      <c r="AK450" s="36"/>
      <c r="AL450" s="23">
        <v>1</v>
      </c>
      <c r="AM450" s="23"/>
      <c r="AN450" s="54" t="e">
        <v>#N/A</v>
      </c>
      <c r="AO450" s="47"/>
      <c r="AP450" s="4">
        <v>1.6</v>
      </c>
      <c r="AQ450" s="111">
        <f t="shared" ref="AQ450:AQ513" si="152">(((R450*J450*E450)+U450)/60)*AP450</f>
        <v>0</v>
      </c>
      <c r="AR450">
        <f>_xlfn.XLOOKUP(F450,'RM Cost'!A:A,'RM Cost'!S:S)</f>
        <v>0</v>
      </c>
      <c r="AS450" t="e">
        <f>_xlfn.XLOOKUP(A450,[3]Sheet1!$B:$B,[3]Sheet1!$B:$B)</f>
        <v>#N/A</v>
      </c>
    </row>
    <row r="451" spans="1:45" x14ac:dyDescent="0.25">
      <c r="A451" s="2" t="s">
        <v>493</v>
      </c>
      <c r="B451" s="2" t="s">
        <v>656</v>
      </c>
      <c r="C451" s="2" t="s">
        <v>494</v>
      </c>
      <c r="D451" s="2" t="s">
        <v>554</v>
      </c>
      <c r="E451" s="2">
        <v>1</v>
      </c>
      <c r="F451" s="1" t="str">
        <f>VLOOKUP(H451,'RM Used'!A:B,2,0)</f>
        <v>3001CS</v>
      </c>
      <c r="G451" s="1" t="str">
        <f>IFERROR(VLOOKUP(F451,'RM Cost'!A:B,2,0),"")</f>
        <v>RM - AUBERGINE 5KG</v>
      </c>
      <c r="H451" s="2" t="s">
        <v>1478</v>
      </c>
      <c r="I451" s="1" t="str">
        <f>VLOOKUP(F451,'RM Used'!B:D,3,0)</f>
        <v>RM-FOOD</v>
      </c>
      <c r="J451" s="66">
        <v>1</v>
      </c>
      <c r="K451" s="35">
        <f t="shared" si="138"/>
        <v>1</v>
      </c>
      <c r="L451" s="35">
        <f t="shared" si="144"/>
        <v>1</v>
      </c>
      <c r="M451" s="77" cm="1">
        <f t="array" ref="M451">_xlfn.IFS(BOM!I451="RM-PACKING","100%",B451="Reynolds",VLOOKUP(H451,'Yield &amp; Time'!A:V,22,0),BOM!B451="Dnata",VLOOKUP(BOM!H451,'Yield &amp; Time'!A:M,13,0),B451="NK",VLOOKUP(H451,'Yield &amp; Time'!A:X,24,0))</f>
        <v>0.75</v>
      </c>
      <c r="N451" s="35">
        <f t="shared" si="137"/>
        <v>1.3333333333333333</v>
      </c>
      <c r="O451" s="1" t="str">
        <f>VLOOKUP(H451,'RM Used'!A:E,5,0)</f>
        <v>KG</v>
      </c>
      <c r="P451" s="11">
        <f>VLOOKUP(H451,'RM Used'!A:F,6,0)</f>
        <v>1.34</v>
      </c>
      <c r="Q451" s="11">
        <f t="shared" ref="Q451:Q514" si="153">P451*N451</f>
        <v>1.7866666666666666</v>
      </c>
      <c r="R451" s="11">
        <f>IFERROR(IF(B451="Reynolds",VLOOKUP(H451,'Yield &amp; Time'!A:U,21,0),VLOOKUP(H451,'Yield &amp; Time'!A:L,12,0)),0)</f>
        <v>1.7666666666666668</v>
      </c>
      <c r="S451" s="11">
        <f t="shared" si="145"/>
        <v>0.59801666666666664</v>
      </c>
      <c r="T451" s="11">
        <f t="shared" si="146"/>
        <v>2.9444444444444447E-2</v>
      </c>
      <c r="U451" s="11">
        <f>IF(A450=A451,0,VLOOKUP(A451,'Packing Time'!A:F,6,0))</f>
        <v>0.64166666666666661</v>
      </c>
      <c r="V451" s="11">
        <f t="shared" si="139"/>
        <v>0.21720416666666661</v>
      </c>
      <c r="W451" s="11">
        <f t="shared" si="140"/>
        <v>1.0694444444444444E-2</v>
      </c>
      <c r="X451" s="11">
        <f t="shared" si="147"/>
        <v>1.3043533333333333</v>
      </c>
      <c r="Y451" s="11">
        <f t="shared" si="141"/>
        <v>1.3043533333333333</v>
      </c>
      <c r="Z451" s="37">
        <v>1</v>
      </c>
      <c r="AA451" s="36">
        <f t="shared" si="148"/>
        <v>1.3333333333333333</v>
      </c>
      <c r="AB451" s="36">
        <f t="shared" si="149"/>
        <v>1.7866666666666666</v>
      </c>
      <c r="AC451" s="11">
        <f t="shared" si="150"/>
        <v>6.4222222222222222E-2</v>
      </c>
      <c r="AD451" s="36">
        <f t="shared" si="142"/>
        <v>1.3043533333333333</v>
      </c>
      <c r="AE451" s="36" t="str">
        <f>VLOOKUP(H451,'Yield &amp; Time'!A:I,9,0)</f>
        <v>SODIUM METABISULPHITE</v>
      </c>
      <c r="AF451" s="36">
        <f>IFERROR(VLOOKUP(AE451,'Chemical Cost'!A:D,4,0),0)</f>
        <v>9.7586225455882462E-3</v>
      </c>
      <c r="AG451" s="114">
        <f t="shared" si="151"/>
        <v>4.3371655758169978E-3</v>
      </c>
      <c r="AH451" s="36">
        <f t="shared" si="136"/>
        <v>4.3371655758169978E-3</v>
      </c>
      <c r="AI451" s="36">
        <f t="shared" si="143"/>
        <v>3.095357165575817</v>
      </c>
      <c r="AJ451" s="36">
        <f>IFERROR(VLOOKUP(A451,'All Products'!A:F,6,0),0)</f>
        <v>6.97</v>
      </c>
      <c r="AK451" s="36">
        <f>AJ451*Z451*J451</f>
        <v>6.97</v>
      </c>
      <c r="AL451" s="23">
        <v>1</v>
      </c>
      <c r="AM451" s="23"/>
      <c r="AN451" s="54" t="e">
        <v>#N/A</v>
      </c>
      <c r="AO451" s="47"/>
      <c r="AP451" s="4">
        <v>1.6</v>
      </c>
      <c r="AQ451" s="111">
        <f t="shared" si="152"/>
        <v>6.4222222222222222E-2</v>
      </c>
      <c r="AR451">
        <f>_xlfn.XLOOKUP(F451,'RM Cost'!A:A,'RM Cost'!S:S)</f>
        <v>0</v>
      </c>
      <c r="AS451" t="e">
        <f>_xlfn.XLOOKUP(A451,[3]Sheet1!$B:$B,[3]Sheet1!$B:$B)</f>
        <v>#N/A</v>
      </c>
    </row>
    <row r="452" spans="1:45" x14ac:dyDescent="0.25">
      <c r="A452" s="2" t="s">
        <v>493</v>
      </c>
      <c r="B452" s="2" t="s">
        <v>656</v>
      </c>
      <c r="C452" s="2" t="s">
        <v>494</v>
      </c>
      <c r="D452" s="2" t="s">
        <v>554</v>
      </c>
      <c r="E452" s="2">
        <v>1</v>
      </c>
      <c r="F452" s="1" t="str">
        <f>VLOOKUP(H452,'RM Used'!A:B,2,0)</f>
        <v>P0008</v>
      </c>
      <c r="G452" s="1" t="str">
        <f>IFERROR(VLOOKUP(F452,'RM Cost'!A:B,2,0),"")</f>
        <v>PALE BLUE BAG 470X750MM</v>
      </c>
      <c r="H452" s="2" t="s">
        <v>1323</v>
      </c>
      <c r="I452" s="1" t="str">
        <f>VLOOKUP(F452,'RM Used'!B:D,3,0)</f>
        <v>RM-PACKING</v>
      </c>
      <c r="J452" s="66">
        <v>1</v>
      </c>
      <c r="K452" s="35" t="str">
        <f t="shared" si="138"/>
        <v/>
      </c>
      <c r="L452" s="35">
        <f t="shared" si="144"/>
        <v>0</v>
      </c>
      <c r="M452" s="77" t="str" cm="1">
        <f t="array" ref="M452">_xlfn.IFS(BOM!I452="RM-PACKING","100%",B452="Reynolds",VLOOKUP(H452,'Yield &amp; Time'!A:V,22,0),BOM!B452="Dnata",VLOOKUP(BOM!H452,'Yield &amp; Time'!A:M,13,0),B452="NK",VLOOKUP(H452,'Yield &amp; Time'!A:X,24,0))</f>
        <v>100%</v>
      </c>
      <c r="N452" s="35">
        <f t="shared" si="137"/>
        <v>1</v>
      </c>
      <c r="O452" s="1" t="str">
        <f>VLOOKUP(H452,'RM Used'!A:E,5,0)</f>
        <v>Count</v>
      </c>
      <c r="P452" s="11">
        <f>VLOOKUP(H452,'RM Used'!A:F,6,0)</f>
        <v>0.14000000000000001</v>
      </c>
      <c r="Q452" s="11">
        <f t="shared" si="153"/>
        <v>0.14000000000000001</v>
      </c>
      <c r="R452" s="11">
        <f>IFERROR(IF(B452="Reynolds",VLOOKUP(H452,'Yield &amp; Time'!A:U,21,0),VLOOKUP(H452,'Yield &amp; Time'!A:L,12,0)),0)</f>
        <v>0</v>
      </c>
      <c r="S452" s="11">
        <f t="shared" si="145"/>
        <v>0</v>
      </c>
      <c r="T452" s="11">
        <f t="shared" si="146"/>
        <v>0</v>
      </c>
      <c r="U452" s="11">
        <f>IF(A451=A452,0,VLOOKUP(A452,'Packing Time'!A:F,6,0))</f>
        <v>0</v>
      </c>
      <c r="V452" s="11">
        <f t="shared" si="139"/>
        <v>0</v>
      </c>
      <c r="W452" s="11">
        <f t="shared" si="140"/>
        <v>0</v>
      </c>
      <c r="X452" s="11">
        <f t="shared" si="147"/>
        <v>0</v>
      </c>
      <c r="Y452" s="11">
        <f t="shared" si="141"/>
        <v>0</v>
      </c>
      <c r="Z452" s="37">
        <v>1</v>
      </c>
      <c r="AA452" s="36">
        <f t="shared" si="148"/>
        <v>1</v>
      </c>
      <c r="AB452" s="36">
        <f t="shared" si="149"/>
        <v>0.14000000000000001</v>
      </c>
      <c r="AC452" s="11">
        <f t="shared" si="150"/>
        <v>0</v>
      </c>
      <c r="AD452" s="36">
        <f t="shared" si="142"/>
        <v>0</v>
      </c>
      <c r="AE452" s="36"/>
      <c r="AF452" s="36">
        <f>IFERROR(VLOOKUP(AE452,'Chemical Cost'!A:D,4,0),0)</f>
        <v>0</v>
      </c>
      <c r="AG452" s="114">
        <f t="shared" si="151"/>
        <v>0</v>
      </c>
      <c r="AH452" s="36">
        <f t="shared" si="136"/>
        <v>0</v>
      </c>
      <c r="AI452" s="36">
        <f t="shared" si="143"/>
        <v>0.14000000000000001</v>
      </c>
      <c r="AJ452" s="36">
        <f>IFERROR(VLOOKUP(A452,'All Products'!A:F,6,0),0)</f>
        <v>6.97</v>
      </c>
      <c r="AK452" s="36"/>
      <c r="AL452" s="23">
        <v>1</v>
      </c>
      <c r="AM452" s="23"/>
      <c r="AN452" s="54" t="e">
        <v>#N/A</v>
      </c>
      <c r="AO452" s="47"/>
      <c r="AP452" s="4">
        <v>1.6</v>
      </c>
      <c r="AQ452" s="111">
        <f t="shared" si="152"/>
        <v>0</v>
      </c>
      <c r="AR452">
        <f>_xlfn.XLOOKUP(F452,'RM Cost'!A:A,'RM Cost'!S:S)</f>
        <v>0</v>
      </c>
      <c r="AS452" t="e">
        <f>_xlfn.XLOOKUP(A452,[3]Sheet1!$B:$B,[3]Sheet1!$B:$B)</f>
        <v>#N/A</v>
      </c>
    </row>
    <row r="453" spans="1:45" x14ac:dyDescent="0.25">
      <c r="A453" s="2" t="s">
        <v>687</v>
      </c>
      <c r="B453" s="2" t="s">
        <v>656</v>
      </c>
      <c r="C453" s="2" t="s">
        <v>688</v>
      </c>
      <c r="D453" s="2" t="s">
        <v>554</v>
      </c>
      <c r="E453" s="2">
        <v>2.5</v>
      </c>
      <c r="F453" s="1" t="str">
        <f>VLOOKUP(H453,'RM Used'!A:B,2,0)</f>
        <v>3001CS</v>
      </c>
      <c r="G453" s="1" t="str">
        <f>IFERROR(VLOOKUP(F453,'RM Cost'!A:B,2,0),"")</f>
        <v>RM - AUBERGINE 5KG</v>
      </c>
      <c r="H453" s="2" t="s">
        <v>1478</v>
      </c>
      <c r="I453" s="1" t="str">
        <f>VLOOKUP(F453,'RM Used'!B:D,3,0)</f>
        <v>RM-FOOD</v>
      </c>
      <c r="J453" s="66">
        <v>1</v>
      </c>
      <c r="K453" s="35">
        <f t="shared" si="138"/>
        <v>2.5</v>
      </c>
      <c r="L453" s="35">
        <f t="shared" si="144"/>
        <v>2.5</v>
      </c>
      <c r="M453" s="77" cm="1">
        <f t="array" ref="M453">_xlfn.IFS(BOM!I453="RM-PACKING","100%",B453="Reynolds",VLOOKUP(H453,'Yield &amp; Time'!A:V,22,0),BOM!B453="Dnata",VLOOKUP(BOM!H453,'Yield &amp; Time'!A:M,13,0),B453="NK",VLOOKUP(H453,'Yield &amp; Time'!A:X,24,0))</f>
        <v>0.75</v>
      </c>
      <c r="N453" s="35">
        <f t="shared" si="137"/>
        <v>3.3333333333333335</v>
      </c>
      <c r="O453" s="1" t="str">
        <f>VLOOKUP(H453,'RM Used'!A:E,5,0)</f>
        <v>KG</v>
      </c>
      <c r="P453" s="11">
        <f>VLOOKUP(H453,'RM Used'!A:F,6,0)</f>
        <v>1.34</v>
      </c>
      <c r="Q453" s="11">
        <f t="shared" si="153"/>
        <v>4.4666666666666668</v>
      </c>
      <c r="R453" s="11">
        <f>IFERROR(IF(B453="Reynolds",VLOOKUP(H453,'Yield &amp; Time'!A:U,21,0),VLOOKUP(H453,'Yield &amp; Time'!A:L,12,0)),0)</f>
        <v>1.7666666666666668</v>
      </c>
      <c r="S453" s="11">
        <f t="shared" si="145"/>
        <v>1.4950416666666666</v>
      </c>
      <c r="T453" s="11">
        <f t="shared" si="146"/>
        <v>7.3611111111111113E-2</v>
      </c>
      <c r="U453" s="11">
        <f>IF(A452=A453,0,VLOOKUP(A453,'Packing Time'!A:F,6,0))</f>
        <v>0.875</v>
      </c>
      <c r="V453" s="11">
        <f t="shared" si="139"/>
        <v>0.29618749999999999</v>
      </c>
      <c r="W453" s="11">
        <f t="shared" si="140"/>
        <v>1.4583333333333334E-2</v>
      </c>
      <c r="X453" s="11">
        <f t="shared" si="147"/>
        <v>2.865966666666667</v>
      </c>
      <c r="Y453" s="11">
        <f t="shared" si="141"/>
        <v>2.865966666666667</v>
      </c>
      <c r="Z453" s="37">
        <v>1</v>
      </c>
      <c r="AA453" s="36">
        <f t="shared" si="148"/>
        <v>3.3333333333333335</v>
      </c>
      <c r="AB453" s="36">
        <f t="shared" si="149"/>
        <v>4.4666666666666668</v>
      </c>
      <c r="AC453" s="11">
        <f t="shared" si="150"/>
        <v>0.14111111111111113</v>
      </c>
      <c r="AD453" s="36">
        <f t="shared" si="142"/>
        <v>2.865966666666667</v>
      </c>
      <c r="AE453" s="36" t="str">
        <f>VLOOKUP(H453,'Yield &amp; Time'!A:I,9,0)</f>
        <v>SODIUM METABISULPHITE</v>
      </c>
      <c r="AF453" s="36">
        <f>IFERROR(VLOOKUP(AE453,'Chemical Cost'!A:D,4,0),0)</f>
        <v>9.7586225455882462E-3</v>
      </c>
      <c r="AG453" s="114">
        <f t="shared" si="151"/>
        <v>1.0842913939542497E-2</v>
      </c>
      <c r="AH453" s="36">
        <f t="shared" si="136"/>
        <v>1.0842913939542497E-2</v>
      </c>
      <c r="AI453" s="36">
        <f t="shared" si="143"/>
        <v>7.3434762472728758</v>
      </c>
      <c r="AJ453" s="36">
        <f>IFERROR(VLOOKUP(A453,'All Products'!A:F,6,0),0)</f>
        <v>17.52</v>
      </c>
      <c r="AK453" s="36">
        <f>AJ453*Z453*J453</f>
        <v>17.52</v>
      </c>
      <c r="AL453" s="23">
        <v>1</v>
      </c>
      <c r="AM453" s="23"/>
      <c r="AN453" s="54" t="e">
        <v>#N/A</v>
      </c>
      <c r="AO453" s="47"/>
      <c r="AP453" s="4">
        <v>1.6</v>
      </c>
      <c r="AQ453" s="111">
        <f t="shared" si="152"/>
        <v>0.14111111111111113</v>
      </c>
      <c r="AR453">
        <f>_xlfn.XLOOKUP(F453,'RM Cost'!A:A,'RM Cost'!S:S)</f>
        <v>0</v>
      </c>
      <c r="AS453" t="e">
        <f>_xlfn.XLOOKUP(A453,[3]Sheet1!$B:$B,[3]Sheet1!$B:$B)</f>
        <v>#N/A</v>
      </c>
    </row>
    <row r="454" spans="1:45" x14ac:dyDescent="0.25">
      <c r="A454" s="2" t="s">
        <v>687</v>
      </c>
      <c r="B454" s="2" t="s">
        <v>656</v>
      </c>
      <c r="C454" s="2" t="s">
        <v>688</v>
      </c>
      <c r="D454" s="2" t="s">
        <v>554</v>
      </c>
      <c r="E454" s="2">
        <v>2.5</v>
      </c>
      <c r="F454" s="1" t="str">
        <f>VLOOKUP(H454,'RM Used'!A:B,2,0)</f>
        <v>P0008</v>
      </c>
      <c r="G454" s="1" t="str">
        <f>IFERROR(VLOOKUP(F454,'RM Cost'!A:B,2,0),"")</f>
        <v>PALE BLUE BAG 470X750MM</v>
      </c>
      <c r="H454" s="2" t="s">
        <v>1323</v>
      </c>
      <c r="I454" s="1" t="str">
        <f>VLOOKUP(F454,'RM Used'!B:D,3,0)</f>
        <v>RM-PACKING</v>
      </c>
      <c r="J454" s="66">
        <v>1</v>
      </c>
      <c r="K454" s="35" t="str">
        <f t="shared" si="138"/>
        <v/>
      </c>
      <c r="L454" s="35">
        <f t="shared" si="144"/>
        <v>0</v>
      </c>
      <c r="M454" s="77" t="str" cm="1">
        <f t="array" ref="M454">_xlfn.IFS(BOM!I454="RM-PACKING","100%",B454="Reynolds",VLOOKUP(H454,'Yield &amp; Time'!A:V,22,0),BOM!B454="Dnata",VLOOKUP(BOM!H454,'Yield &amp; Time'!A:M,13,0),B454="NK",VLOOKUP(H454,'Yield &amp; Time'!A:X,24,0))</f>
        <v>100%</v>
      </c>
      <c r="N454" s="35">
        <f t="shared" si="137"/>
        <v>1</v>
      </c>
      <c r="O454" s="1" t="str">
        <f>VLOOKUP(H454,'RM Used'!A:E,5,0)</f>
        <v>Count</v>
      </c>
      <c r="P454" s="11">
        <f>VLOOKUP(H454,'RM Used'!A:F,6,0)</f>
        <v>0.14000000000000001</v>
      </c>
      <c r="Q454" s="11">
        <f t="shared" si="153"/>
        <v>0.14000000000000001</v>
      </c>
      <c r="R454" s="11">
        <f>IFERROR(IF(B454="Reynolds",VLOOKUP(H454,'Yield &amp; Time'!A:U,21,0),VLOOKUP(H454,'Yield &amp; Time'!A:L,12,0)),0)</f>
        <v>0</v>
      </c>
      <c r="S454" s="11">
        <f t="shared" si="145"/>
        <v>0</v>
      </c>
      <c r="T454" s="11">
        <f t="shared" si="146"/>
        <v>0</v>
      </c>
      <c r="U454" s="11">
        <f>IF(A453=A454,0,VLOOKUP(A454,'Packing Time'!A:F,6,0))</f>
        <v>0</v>
      </c>
      <c r="V454" s="11">
        <f t="shared" si="139"/>
        <v>0</v>
      </c>
      <c r="W454" s="11">
        <f t="shared" si="140"/>
        <v>0</v>
      </c>
      <c r="X454" s="11">
        <f t="shared" si="147"/>
        <v>0</v>
      </c>
      <c r="Y454" s="11">
        <f t="shared" si="141"/>
        <v>0</v>
      </c>
      <c r="Z454" s="37">
        <v>1</v>
      </c>
      <c r="AA454" s="36">
        <f t="shared" si="148"/>
        <v>1</v>
      </c>
      <c r="AB454" s="36">
        <f t="shared" si="149"/>
        <v>0.14000000000000001</v>
      </c>
      <c r="AC454" s="11">
        <f t="shared" si="150"/>
        <v>0</v>
      </c>
      <c r="AD454" s="36">
        <f t="shared" si="142"/>
        <v>0</v>
      </c>
      <c r="AE454" s="36"/>
      <c r="AF454" s="36">
        <f>IFERROR(VLOOKUP(AE454,'Chemical Cost'!A:D,4,0),0)</f>
        <v>0</v>
      </c>
      <c r="AG454" s="114">
        <f t="shared" si="151"/>
        <v>0</v>
      </c>
      <c r="AH454" s="36">
        <f t="shared" si="136"/>
        <v>0</v>
      </c>
      <c r="AI454" s="36">
        <f t="shared" si="143"/>
        <v>0.14000000000000001</v>
      </c>
      <c r="AJ454" s="36">
        <f>IFERROR(VLOOKUP(A454,'All Products'!A:F,6,0),0)</f>
        <v>17.52</v>
      </c>
      <c r="AK454" s="36"/>
      <c r="AL454" s="23">
        <v>1</v>
      </c>
      <c r="AM454" s="23"/>
      <c r="AN454" s="54" t="e">
        <v>#N/A</v>
      </c>
      <c r="AO454" s="47"/>
      <c r="AP454" s="4">
        <v>1.6</v>
      </c>
      <c r="AQ454" s="111">
        <f t="shared" si="152"/>
        <v>0</v>
      </c>
      <c r="AR454">
        <f>_xlfn.XLOOKUP(F454,'RM Cost'!A:A,'RM Cost'!S:S)</f>
        <v>0</v>
      </c>
      <c r="AS454" t="e">
        <f>_xlfn.XLOOKUP(A454,[3]Sheet1!$B:$B,[3]Sheet1!$B:$B)</f>
        <v>#N/A</v>
      </c>
    </row>
    <row r="455" spans="1:45" x14ac:dyDescent="0.25">
      <c r="A455" s="2" t="s">
        <v>689</v>
      </c>
      <c r="B455" s="2" t="s">
        <v>656</v>
      </c>
      <c r="C455" s="2" t="s">
        <v>690</v>
      </c>
      <c r="D455" s="2" t="s">
        <v>554</v>
      </c>
      <c r="E455" s="2">
        <v>1</v>
      </c>
      <c r="F455" s="1" t="str">
        <f>VLOOKUP(H455,'RM Used'!A:B,2,0)</f>
        <v>3001CS</v>
      </c>
      <c r="G455" s="1" t="str">
        <f>IFERROR(VLOOKUP(F455,'RM Cost'!A:B,2,0),"")</f>
        <v>RM - AUBERGINE 5KG</v>
      </c>
      <c r="H455" s="2" t="s">
        <v>1425</v>
      </c>
      <c r="I455" s="1" t="str">
        <f>VLOOKUP(F455,'RM Used'!B:D,3,0)</f>
        <v>RM-FOOD</v>
      </c>
      <c r="J455" s="66">
        <v>1</v>
      </c>
      <c r="K455" s="35">
        <f t="shared" si="138"/>
        <v>1</v>
      </c>
      <c r="L455" s="35">
        <f t="shared" si="144"/>
        <v>1</v>
      </c>
      <c r="M455" s="77" cm="1">
        <f t="array" ref="M455">_xlfn.IFS(BOM!I455="RM-PACKING","100%",B455="Reynolds",VLOOKUP(H455,'Yield &amp; Time'!A:V,22,0),BOM!B455="Dnata",VLOOKUP(BOM!H455,'Yield &amp; Time'!A:M,13,0),B455="NK",VLOOKUP(H455,'Yield &amp; Time'!A:X,24,0))</f>
        <v>0.75</v>
      </c>
      <c r="N455" s="35">
        <f t="shared" si="137"/>
        <v>1.3333333333333333</v>
      </c>
      <c r="O455" s="1" t="str">
        <f>VLOOKUP(H455,'RM Used'!A:E,5,0)</f>
        <v>KG</v>
      </c>
      <c r="P455" s="11">
        <f>VLOOKUP(H455,'RM Used'!A:F,6,0)</f>
        <v>1.34</v>
      </c>
      <c r="Q455" s="11">
        <f t="shared" si="153"/>
        <v>1.7866666666666666</v>
      </c>
      <c r="R455" s="11">
        <f>IFERROR(IF(B455="Reynolds",VLOOKUP(H455,'Yield &amp; Time'!A:U,21,0),VLOOKUP(H455,'Yield &amp; Time'!A:L,12,0)),0)</f>
        <v>2.3222222222222224</v>
      </c>
      <c r="S455" s="11">
        <f t="shared" si="145"/>
        <v>0.78607222222222217</v>
      </c>
      <c r="T455" s="11">
        <f t="shared" si="146"/>
        <v>3.8703703703703705E-2</v>
      </c>
      <c r="U455" s="11">
        <f>IF(A454=A455,0,VLOOKUP(A455,'Packing Time'!A:F,6,0))</f>
        <v>0.64166666666666661</v>
      </c>
      <c r="V455" s="11">
        <f t="shared" si="139"/>
        <v>0.21720416666666661</v>
      </c>
      <c r="W455" s="11">
        <f t="shared" si="140"/>
        <v>1.0694444444444444E-2</v>
      </c>
      <c r="X455" s="11">
        <f t="shared" si="147"/>
        <v>1.6052422222222225</v>
      </c>
      <c r="Y455" s="11">
        <f t="shared" si="141"/>
        <v>1.6052422222222225</v>
      </c>
      <c r="Z455" s="37">
        <v>1</v>
      </c>
      <c r="AA455" s="36">
        <f t="shared" si="148"/>
        <v>1.3333333333333333</v>
      </c>
      <c r="AB455" s="36">
        <f t="shared" si="149"/>
        <v>1.7866666666666666</v>
      </c>
      <c r="AC455" s="11">
        <f t="shared" si="150"/>
        <v>7.9037037037037045E-2</v>
      </c>
      <c r="AD455" s="36">
        <f t="shared" si="142"/>
        <v>1.6052422222222222</v>
      </c>
      <c r="AE455" s="36" t="str">
        <f>VLOOKUP(H455,'Yield &amp; Time'!A:I,9,0)</f>
        <v>SODIUM METABISULPHITE</v>
      </c>
      <c r="AF455" s="36">
        <f>IFERROR(VLOOKUP(AE455,'Chemical Cost'!A:D,4,0),0)</f>
        <v>9.7586225455882462E-3</v>
      </c>
      <c r="AG455" s="114">
        <f t="shared" si="151"/>
        <v>4.3371655758169978E-3</v>
      </c>
      <c r="AH455" s="36">
        <f t="shared" si="136"/>
        <v>4.3371655758169978E-3</v>
      </c>
      <c r="AI455" s="36">
        <f t="shared" si="143"/>
        <v>3.3962460544647062</v>
      </c>
      <c r="AJ455" s="36">
        <f>IFERROR(VLOOKUP(A455,'All Products'!A:F,6,0),0)</f>
        <v>3.69</v>
      </c>
      <c r="AK455" s="36">
        <f>AJ455*Z455*J455</f>
        <v>3.69</v>
      </c>
      <c r="AL455" s="23">
        <v>1</v>
      </c>
      <c r="AM455" s="23"/>
      <c r="AN455" s="54" t="e">
        <v>#N/A</v>
      </c>
      <c r="AO455" s="47"/>
      <c r="AP455" s="4">
        <v>1.6</v>
      </c>
      <c r="AQ455" s="111">
        <f t="shared" si="152"/>
        <v>7.9037037037037045E-2</v>
      </c>
      <c r="AR455">
        <f>_xlfn.XLOOKUP(F455,'RM Cost'!A:A,'RM Cost'!S:S)</f>
        <v>0</v>
      </c>
      <c r="AS455" t="e">
        <f>_xlfn.XLOOKUP(A455,[3]Sheet1!$B:$B,[3]Sheet1!$B:$B)</f>
        <v>#N/A</v>
      </c>
    </row>
    <row r="456" spans="1:45" x14ac:dyDescent="0.25">
      <c r="A456" s="2" t="s">
        <v>689</v>
      </c>
      <c r="B456" s="2" t="s">
        <v>656</v>
      </c>
      <c r="C456" s="2" t="s">
        <v>690</v>
      </c>
      <c r="D456" s="2" t="s">
        <v>554</v>
      </c>
      <c r="E456" s="2">
        <v>1</v>
      </c>
      <c r="F456" s="1" t="str">
        <f>VLOOKUP(H456,'RM Used'!A:B,2,0)</f>
        <v>P0008</v>
      </c>
      <c r="G456" s="1" t="str">
        <f>IFERROR(VLOOKUP(F456,'RM Cost'!A:B,2,0),"")</f>
        <v>PALE BLUE BAG 470X750MM</v>
      </c>
      <c r="H456" s="2" t="s">
        <v>1323</v>
      </c>
      <c r="I456" s="1" t="str">
        <f>VLOOKUP(F456,'RM Used'!B:D,3,0)</f>
        <v>RM-PACKING</v>
      </c>
      <c r="J456" s="66">
        <v>1</v>
      </c>
      <c r="K456" s="35" t="str">
        <f t="shared" si="138"/>
        <v/>
      </c>
      <c r="L456" s="35">
        <f t="shared" si="144"/>
        <v>0</v>
      </c>
      <c r="M456" s="77" t="str" cm="1">
        <f t="array" ref="M456">_xlfn.IFS(BOM!I456="RM-PACKING","100%",B456="Reynolds",VLOOKUP(H456,'Yield &amp; Time'!A:V,22,0),BOM!B456="Dnata",VLOOKUP(BOM!H456,'Yield &amp; Time'!A:M,13,0),B456="NK",VLOOKUP(H456,'Yield &amp; Time'!A:X,24,0))</f>
        <v>100%</v>
      </c>
      <c r="N456" s="35">
        <f t="shared" si="137"/>
        <v>1</v>
      </c>
      <c r="O456" s="1" t="str">
        <f>VLOOKUP(H456,'RM Used'!A:E,5,0)</f>
        <v>Count</v>
      </c>
      <c r="P456" s="11">
        <f>VLOOKUP(H456,'RM Used'!A:F,6,0)</f>
        <v>0.14000000000000001</v>
      </c>
      <c r="Q456" s="11">
        <f t="shared" si="153"/>
        <v>0.14000000000000001</v>
      </c>
      <c r="R456" s="11">
        <f>IFERROR(IF(B456="Reynolds",VLOOKUP(H456,'Yield &amp; Time'!A:U,21,0),VLOOKUP(H456,'Yield &amp; Time'!A:L,12,0)),0)</f>
        <v>0</v>
      </c>
      <c r="S456" s="11">
        <f t="shared" si="145"/>
        <v>0</v>
      </c>
      <c r="T456" s="11">
        <f t="shared" si="146"/>
        <v>0</v>
      </c>
      <c r="U456" s="11">
        <f>IF(A455=A456,0,VLOOKUP(A456,'Packing Time'!A:F,6,0))</f>
        <v>0</v>
      </c>
      <c r="V456" s="11">
        <f t="shared" si="139"/>
        <v>0</v>
      </c>
      <c r="W456" s="11">
        <f t="shared" si="140"/>
        <v>0</v>
      </c>
      <c r="X456" s="11">
        <f t="shared" si="147"/>
        <v>0</v>
      </c>
      <c r="Y456" s="11">
        <f t="shared" si="141"/>
        <v>0</v>
      </c>
      <c r="Z456" s="37">
        <v>1</v>
      </c>
      <c r="AA456" s="36">
        <f t="shared" si="148"/>
        <v>1</v>
      </c>
      <c r="AB456" s="36">
        <f t="shared" si="149"/>
        <v>0.14000000000000001</v>
      </c>
      <c r="AC456" s="11">
        <f t="shared" si="150"/>
        <v>0</v>
      </c>
      <c r="AD456" s="36">
        <f t="shared" si="142"/>
        <v>0</v>
      </c>
      <c r="AE456" s="36"/>
      <c r="AF456" s="36">
        <f>IFERROR(VLOOKUP(AE456,'Chemical Cost'!A:D,4,0),0)</f>
        <v>0</v>
      </c>
      <c r="AG456" s="114">
        <f t="shared" si="151"/>
        <v>0</v>
      </c>
      <c r="AH456" s="36">
        <f t="shared" si="136"/>
        <v>0</v>
      </c>
      <c r="AI456" s="36">
        <f t="shared" si="143"/>
        <v>0.14000000000000001</v>
      </c>
      <c r="AJ456" s="36">
        <f>IFERROR(VLOOKUP(A456,'All Products'!A:F,6,0),0)</f>
        <v>3.69</v>
      </c>
      <c r="AK456" s="36"/>
      <c r="AL456" s="23">
        <v>1</v>
      </c>
      <c r="AM456" s="23"/>
      <c r="AN456" s="54" t="e">
        <v>#N/A</v>
      </c>
      <c r="AO456" s="47"/>
      <c r="AP456" s="4">
        <v>1.6</v>
      </c>
      <c r="AQ456" s="111">
        <f t="shared" si="152"/>
        <v>0</v>
      </c>
      <c r="AR456">
        <f>_xlfn.XLOOKUP(F456,'RM Cost'!A:A,'RM Cost'!S:S)</f>
        <v>0</v>
      </c>
      <c r="AS456" t="e">
        <f>_xlfn.XLOOKUP(A456,[3]Sheet1!$B:$B,[3]Sheet1!$B:$B)</f>
        <v>#N/A</v>
      </c>
    </row>
    <row r="457" spans="1:45" x14ac:dyDescent="0.25">
      <c r="A457" s="2" t="s">
        <v>381</v>
      </c>
      <c r="B457" s="2" t="s">
        <v>656</v>
      </c>
      <c r="C457" s="2" t="s">
        <v>382</v>
      </c>
      <c r="D457" s="2" t="s">
        <v>554</v>
      </c>
      <c r="E457" s="2">
        <v>2.5</v>
      </c>
      <c r="F457" s="1" t="str">
        <f>VLOOKUP(H457,'RM Used'!A:B,2,0)</f>
        <v>3001CS</v>
      </c>
      <c r="G457" s="1" t="str">
        <f>IFERROR(VLOOKUP(F457,'RM Cost'!A:B,2,0),"")</f>
        <v>RM - AUBERGINE 5KG</v>
      </c>
      <c r="H457" s="2" t="s">
        <v>1425</v>
      </c>
      <c r="I457" s="1" t="str">
        <f>VLOOKUP(F457,'RM Used'!B:D,3,0)</f>
        <v>RM-FOOD</v>
      </c>
      <c r="J457" s="66">
        <v>1</v>
      </c>
      <c r="K457" s="35">
        <f t="shared" si="138"/>
        <v>2.5</v>
      </c>
      <c r="L457" s="35">
        <f t="shared" si="144"/>
        <v>2.5</v>
      </c>
      <c r="M457" s="77" cm="1">
        <f t="array" ref="M457">_xlfn.IFS(BOM!I457="RM-PACKING","100%",B457="Reynolds",VLOOKUP(H457,'Yield &amp; Time'!A:V,22,0),BOM!B457="Dnata",VLOOKUP(BOM!H457,'Yield &amp; Time'!A:M,13,0),B457="NK",VLOOKUP(H457,'Yield &amp; Time'!A:X,24,0))</f>
        <v>0.75</v>
      </c>
      <c r="N457" s="35">
        <f t="shared" si="137"/>
        <v>3.3333333333333335</v>
      </c>
      <c r="O457" s="1" t="str">
        <f>VLOOKUP(H457,'RM Used'!A:E,5,0)</f>
        <v>KG</v>
      </c>
      <c r="P457" s="11">
        <f>VLOOKUP(H457,'RM Used'!A:F,6,0)</f>
        <v>1.34</v>
      </c>
      <c r="Q457" s="11">
        <f t="shared" si="153"/>
        <v>4.4666666666666668</v>
      </c>
      <c r="R457" s="11">
        <f>IFERROR(IF(B457="Reynolds",VLOOKUP(H457,'Yield &amp; Time'!A:U,21,0),VLOOKUP(H457,'Yield &amp; Time'!A:L,12,0)),0)</f>
        <v>2.3222222222222224</v>
      </c>
      <c r="S457" s="11">
        <f t="shared" si="145"/>
        <v>1.9651805555555557</v>
      </c>
      <c r="T457" s="11">
        <f t="shared" si="146"/>
        <v>9.6759259259259267E-2</v>
      </c>
      <c r="U457" s="11">
        <f>IF(A456=A457,0,VLOOKUP(A457,'Packing Time'!A:F,6,0))</f>
        <v>0.875</v>
      </c>
      <c r="V457" s="11">
        <f t="shared" si="139"/>
        <v>0.29618749999999999</v>
      </c>
      <c r="W457" s="11">
        <f t="shared" si="140"/>
        <v>1.4583333333333334E-2</v>
      </c>
      <c r="X457" s="11">
        <f t="shared" si="147"/>
        <v>2.8267100694444447</v>
      </c>
      <c r="Y457" s="11">
        <f t="shared" si="141"/>
        <v>2.8267100694444447</v>
      </c>
      <c r="Z457" s="37">
        <v>1</v>
      </c>
      <c r="AA457" s="36">
        <f t="shared" si="148"/>
        <v>3.3333333333333335</v>
      </c>
      <c r="AB457" s="36">
        <f t="shared" si="149"/>
        <v>4.4666666666666668</v>
      </c>
      <c r="AC457" s="11">
        <f t="shared" si="150"/>
        <v>0.13917824074074076</v>
      </c>
      <c r="AD457" s="36">
        <f t="shared" si="142"/>
        <v>2.8267100694444443</v>
      </c>
      <c r="AE457" s="36" t="str">
        <f>VLOOKUP(H457,'Yield &amp; Time'!A:I,9,0)</f>
        <v>SODIUM METABISULPHITE</v>
      </c>
      <c r="AF457" s="36">
        <f>IFERROR(VLOOKUP(AE457,'Chemical Cost'!A:D,4,0),0)</f>
        <v>9.7586225455882462E-3</v>
      </c>
      <c r="AG457" s="114">
        <f t="shared" si="151"/>
        <v>1.0842913939542497E-2</v>
      </c>
      <c r="AH457" s="36">
        <f t="shared" si="136"/>
        <v>1.0842913939542497E-2</v>
      </c>
      <c r="AI457" s="36">
        <f t="shared" si="143"/>
        <v>7.304219650050654</v>
      </c>
      <c r="AJ457" s="36">
        <f>IFERROR(VLOOKUP(A457,'All Products'!A:F,6,0),0)</f>
        <v>9.2100000000000009</v>
      </c>
      <c r="AK457" s="36">
        <f>AJ457*Z457*J457</f>
        <v>9.2100000000000009</v>
      </c>
      <c r="AL457" s="23">
        <v>1</v>
      </c>
      <c r="AM457" s="23"/>
      <c r="AN457" s="54" t="e">
        <v>#N/A</v>
      </c>
      <c r="AO457" s="47"/>
      <c r="AP457" s="4">
        <v>1.25</v>
      </c>
      <c r="AQ457" s="111">
        <f t="shared" si="152"/>
        <v>0.13917824074074076</v>
      </c>
      <c r="AR457">
        <f>_xlfn.XLOOKUP(F457,'RM Cost'!A:A,'RM Cost'!S:S)</f>
        <v>0</v>
      </c>
      <c r="AS457" t="e">
        <f>_xlfn.XLOOKUP(A457,[3]Sheet1!$B:$B,[3]Sheet1!$B:$B)</f>
        <v>#N/A</v>
      </c>
    </row>
    <row r="458" spans="1:45" x14ac:dyDescent="0.25">
      <c r="A458" s="2" t="s">
        <v>381</v>
      </c>
      <c r="B458" s="2" t="s">
        <v>656</v>
      </c>
      <c r="C458" s="2" t="s">
        <v>382</v>
      </c>
      <c r="D458" s="2" t="s">
        <v>554</v>
      </c>
      <c r="E458" s="2">
        <v>2.5</v>
      </c>
      <c r="F458" s="1" t="str">
        <f>VLOOKUP(H458,'RM Used'!A:B,2,0)</f>
        <v>P0008</v>
      </c>
      <c r="G458" s="1" t="str">
        <f>IFERROR(VLOOKUP(F458,'RM Cost'!A:B,2,0),"")</f>
        <v>PALE BLUE BAG 470X750MM</v>
      </c>
      <c r="H458" s="2" t="s">
        <v>1323</v>
      </c>
      <c r="I458" s="1" t="str">
        <f>VLOOKUP(F458,'RM Used'!B:D,3,0)</f>
        <v>RM-PACKING</v>
      </c>
      <c r="J458" s="66">
        <v>1</v>
      </c>
      <c r="K458" s="35" t="str">
        <f t="shared" si="138"/>
        <v/>
      </c>
      <c r="L458" s="35">
        <f t="shared" si="144"/>
        <v>0</v>
      </c>
      <c r="M458" s="77" t="str" cm="1">
        <f t="array" ref="M458">_xlfn.IFS(BOM!I458="RM-PACKING","100%",B458="Reynolds",VLOOKUP(H458,'Yield &amp; Time'!A:V,22,0),BOM!B458="Dnata",VLOOKUP(BOM!H458,'Yield &amp; Time'!A:M,13,0),B458="NK",VLOOKUP(H458,'Yield &amp; Time'!A:X,24,0))</f>
        <v>100%</v>
      </c>
      <c r="N458" s="35">
        <f t="shared" si="137"/>
        <v>1</v>
      </c>
      <c r="O458" s="1" t="str">
        <f>VLOOKUP(H458,'RM Used'!A:E,5,0)</f>
        <v>Count</v>
      </c>
      <c r="P458" s="11">
        <f>VLOOKUP(H458,'RM Used'!A:F,6,0)</f>
        <v>0.14000000000000001</v>
      </c>
      <c r="Q458" s="11">
        <f t="shared" si="153"/>
        <v>0.14000000000000001</v>
      </c>
      <c r="R458" s="11">
        <f>IFERROR(IF(B458="Reynolds",VLOOKUP(H458,'Yield &amp; Time'!A:U,21,0),VLOOKUP(H458,'Yield &amp; Time'!A:L,12,0)),0)</f>
        <v>0</v>
      </c>
      <c r="S458" s="11">
        <f t="shared" si="145"/>
        <v>0</v>
      </c>
      <c r="T458" s="11">
        <f t="shared" si="146"/>
        <v>0</v>
      </c>
      <c r="U458" s="11">
        <f>IF(A457=A458,0,VLOOKUP(A458,'Packing Time'!A:F,6,0))</f>
        <v>0</v>
      </c>
      <c r="V458" s="11">
        <f t="shared" si="139"/>
        <v>0</v>
      </c>
      <c r="W458" s="11">
        <f t="shared" si="140"/>
        <v>0</v>
      </c>
      <c r="X458" s="11">
        <f t="shared" si="147"/>
        <v>0</v>
      </c>
      <c r="Y458" s="11">
        <f t="shared" si="141"/>
        <v>0</v>
      </c>
      <c r="Z458" s="37">
        <v>1</v>
      </c>
      <c r="AA458" s="36">
        <f t="shared" si="148"/>
        <v>1</v>
      </c>
      <c r="AB458" s="36">
        <f t="shared" si="149"/>
        <v>0.14000000000000001</v>
      </c>
      <c r="AC458" s="11">
        <f t="shared" si="150"/>
        <v>0</v>
      </c>
      <c r="AD458" s="36">
        <f t="shared" si="142"/>
        <v>0</v>
      </c>
      <c r="AE458" s="36"/>
      <c r="AF458" s="36">
        <f>IFERROR(VLOOKUP(AE458,'Chemical Cost'!A:D,4,0),0)</f>
        <v>0</v>
      </c>
      <c r="AG458" s="114">
        <f t="shared" si="151"/>
        <v>0</v>
      </c>
      <c r="AH458" s="36">
        <f t="shared" si="136"/>
        <v>0</v>
      </c>
      <c r="AI458" s="36">
        <f t="shared" si="143"/>
        <v>0.14000000000000001</v>
      </c>
      <c r="AJ458" s="36">
        <f>IFERROR(VLOOKUP(A458,'All Products'!A:F,6,0),0)</f>
        <v>9.2100000000000009</v>
      </c>
      <c r="AK458" s="36"/>
      <c r="AL458" s="23">
        <v>1</v>
      </c>
      <c r="AM458" s="23"/>
      <c r="AN458" s="54" t="e">
        <v>#N/A</v>
      </c>
      <c r="AO458" s="47"/>
      <c r="AP458" s="4">
        <v>1.25</v>
      </c>
      <c r="AQ458" s="111">
        <f t="shared" si="152"/>
        <v>0</v>
      </c>
      <c r="AR458">
        <f>_xlfn.XLOOKUP(F458,'RM Cost'!A:A,'RM Cost'!S:S)</f>
        <v>0</v>
      </c>
      <c r="AS458" t="e">
        <f>_xlfn.XLOOKUP(A458,[3]Sheet1!$B:$B,[3]Sheet1!$B:$B)</f>
        <v>#N/A</v>
      </c>
    </row>
    <row r="459" spans="1:45" x14ac:dyDescent="0.25">
      <c r="A459" s="2" t="s">
        <v>691</v>
      </c>
      <c r="B459" s="2" t="s">
        <v>656</v>
      </c>
      <c r="C459" s="2" t="s">
        <v>692</v>
      </c>
      <c r="D459" s="2" t="s">
        <v>554</v>
      </c>
      <c r="E459" s="2">
        <v>1</v>
      </c>
      <c r="F459" s="1" t="str">
        <f>VLOOKUP(H459,'RM Used'!A:B,2,0)</f>
        <v>3001CS</v>
      </c>
      <c r="G459" s="1" t="str">
        <f>IFERROR(VLOOKUP(F459,'RM Cost'!A:B,2,0),"")</f>
        <v>RM - AUBERGINE 5KG</v>
      </c>
      <c r="H459" s="2" t="s">
        <v>1479</v>
      </c>
      <c r="I459" s="1" t="str">
        <f>VLOOKUP(F459,'RM Used'!B:D,3,0)</f>
        <v>RM-FOOD</v>
      </c>
      <c r="J459" s="66">
        <v>1</v>
      </c>
      <c r="K459" s="35">
        <f t="shared" si="138"/>
        <v>1</v>
      </c>
      <c r="L459" s="35">
        <f t="shared" si="144"/>
        <v>1</v>
      </c>
      <c r="M459" s="77" cm="1">
        <f t="array" ref="M459">_xlfn.IFS(BOM!I459="RM-PACKING","100%",B459="Reynolds",VLOOKUP(H459,'Yield &amp; Time'!A:V,22,0),BOM!B459="Dnata",VLOOKUP(BOM!H459,'Yield &amp; Time'!A:M,13,0),B459="NK",VLOOKUP(H459,'Yield &amp; Time'!A:X,24,0))</f>
        <v>0</v>
      </c>
      <c r="N459" s="35">
        <f t="shared" si="137"/>
        <v>0</v>
      </c>
      <c r="O459" s="1" t="str">
        <f>VLOOKUP(H459,'RM Used'!A:E,5,0)</f>
        <v>KG</v>
      </c>
      <c r="P459" s="11">
        <f>VLOOKUP(H459,'RM Used'!A:F,6,0)</f>
        <v>1.34</v>
      </c>
      <c r="Q459" s="11">
        <f t="shared" si="153"/>
        <v>0</v>
      </c>
      <c r="R459" s="11">
        <f>IFERROR(IF(B459="Reynolds",VLOOKUP(H459,'Yield &amp; Time'!A:U,21,0),VLOOKUP(H459,'Yield &amp; Time'!A:L,12,0)),0)</f>
        <v>0.1</v>
      </c>
      <c r="S459" s="11">
        <f t="shared" si="145"/>
        <v>3.3849999999999998E-2</v>
      </c>
      <c r="T459" s="11">
        <f t="shared" si="146"/>
        <v>1.6666666666666668E-3</v>
      </c>
      <c r="U459" s="11">
        <f>IF(A458=A459,0,VLOOKUP(A459,'Packing Time'!A:F,6,0))</f>
        <v>0.64166666666666661</v>
      </c>
      <c r="V459" s="11">
        <f t="shared" si="139"/>
        <v>0.21720416666666661</v>
      </c>
      <c r="W459" s="11">
        <f t="shared" si="140"/>
        <v>1.0694444444444444E-2</v>
      </c>
      <c r="X459" s="11">
        <f t="shared" si="147"/>
        <v>0.40168666666666664</v>
      </c>
      <c r="Y459" s="11">
        <f t="shared" si="141"/>
        <v>0.40168666666666664</v>
      </c>
      <c r="Z459" s="37">
        <v>1</v>
      </c>
      <c r="AA459" s="36">
        <f t="shared" si="148"/>
        <v>0</v>
      </c>
      <c r="AB459" s="36">
        <f t="shared" si="149"/>
        <v>0</v>
      </c>
      <c r="AC459" s="11">
        <f t="shared" si="150"/>
        <v>1.9777777777777776E-2</v>
      </c>
      <c r="AD459" s="36">
        <f t="shared" si="142"/>
        <v>0.40168666666666658</v>
      </c>
      <c r="AE459" s="36" t="str">
        <f>VLOOKUP(H459,'Yield &amp; Time'!A:I,9,0)</f>
        <v>SODIUM METABISULPHITE</v>
      </c>
      <c r="AF459" s="36">
        <f>IFERROR(VLOOKUP(AE459,'Chemical Cost'!A:D,4,0),0)</f>
        <v>9.7586225455882462E-3</v>
      </c>
      <c r="AG459" s="114">
        <f t="shared" si="151"/>
        <v>0</v>
      </c>
      <c r="AH459" s="36">
        <f t="shared" si="136"/>
        <v>0</v>
      </c>
      <c r="AI459" s="36">
        <f t="shared" si="143"/>
        <v>0.40168666666666664</v>
      </c>
      <c r="AJ459" s="36">
        <f>IFERROR(VLOOKUP(A459,'All Products'!A:F,6,0),0)</f>
        <v>6.19</v>
      </c>
      <c r="AK459" s="36">
        <f>AJ459*Z459*J459</f>
        <v>6.19</v>
      </c>
      <c r="AL459" s="23">
        <v>1</v>
      </c>
      <c r="AM459" s="23"/>
      <c r="AN459" s="54" t="e">
        <v>#N/A</v>
      </c>
      <c r="AO459" s="47"/>
      <c r="AP459" s="4">
        <v>1.6</v>
      </c>
      <c r="AQ459" s="111">
        <f t="shared" si="152"/>
        <v>1.9777777777777776E-2</v>
      </c>
      <c r="AR459">
        <f>_xlfn.XLOOKUP(F459,'RM Cost'!A:A,'RM Cost'!S:S)</f>
        <v>0</v>
      </c>
      <c r="AS459" t="e">
        <f>_xlfn.XLOOKUP(A459,[3]Sheet1!$B:$B,[3]Sheet1!$B:$B)</f>
        <v>#N/A</v>
      </c>
    </row>
    <row r="460" spans="1:45" x14ac:dyDescent="0.25">
      <c r="A460" s="2" t="s">
        <v>691</v>
      </c>
      <c r="B460" s="2" t="s">
        <v>656</v>
      </c>
      <c r="C460" s="2" t="s">
        <v>692</v>
      </c>
      <c r="D460" s="2" t="s">
        <v>554</v>
      </c>
      <c r="E460" s="2">
        <v>1</v>
      </c>
      <c r="F460" s="1" t="str">
        <f>VLOOKUP(H460,'RM Used'!A:B,2,0)</f>
        <v>P0008</v>
      </c>
      <c r="G460" s="1" t="str">
        <f>IFERROR(VLOOKUP(F460,'RM Cost'!A:B,2,0),"")</f>
        <v>PALE BLUE BAG 470X750MM</v>
      </c>
      <c r="H460" s="2" t="s">
        <v>1323</v>
      </c>
      <c r="I460" s="1" t="str">
        <f>VLOOKUP(F460,'RM Used'!B:D,3,0)</f>
        <v>RM-PACKING</v>
      </c>
      <c r="J460" s="66">
        <v>1</v>
      </c>
      <c r="K460" s="35" t="str">
        <f t="shared" si="138"/>
        <v/>
      </c>
      <c r="L460" s="35">
        <f t="shared" si="144"/>
        <v>0</v>
      </c>
      <c r="M460" s="77" t="str" cm="1">
        <f t="array" ref="M460">_xlfn.IFS(BOM!I460="RM-PACKING","100%",B460="Reynolds",VLOOKUP(H460,'Yield &amp; Time'!A:V,22,0),BOM!B460="Dnata",VLOOKUP(BOM!H460,'Yield &amp; Time'!A:M,13,0),B460="NK",VLOOKUP(H460,'Yield &amp; Time'!A:X,24,0))</f>
        <v>100%</v>
      </c>
      <c r="N460" s="35">
        <f t="shared" si="137"/>
        <v>1</v>
      </c>
      <c r="O460" s="1" t="str">
        <f>VLOOKUP(H460,'RM Used'!A:E,5,0)</f>
        <v>Count</v>
      </c>
      <c r="P460" s="11">
        <f>VLOOKUP(H460,'RM Used'!A:F,6,0)</f>
        <v>0.14000000000000001</v>
      </c>
      <c r="Q460" s="11">
        <f t="shared" si="153"/>
        <v>0.14000000000000001</v>
      </c>
      <c r="R460" s="11">
        <f>IFERROR(IF(B460="Reynolds",VLOOKUP(H460,'Yield &amp; Time'!A:U,21,0),VLOOKUP(H460,'Yield &amp; Time'!A:L,12,0)),0)</f>
        <v>0</v>
      </c>
      <c r="S460" s="11">
        <f t="shared" si="145"/>
        <v>0</v>
      </c>
      <c r="T460" s="11">
        <f t="shared" si="146"/>
        <v>0</v>
      </c>
      <c r="U460" s="11">
        <f>IF(A459=A460,0,VLOOKUP(A460,'Packing Time'!A:F,6,0))</f>
        <v>0</v>
      </c>
      <c r="V460" s="11">
        <f t="shared" si="139"/>
        <v>0</v>
      </c>
      <c r="W460" s="11">
        <f t="shared" si="140"/>
        <v>0</v>
      </c>
      <c r="X460" s="11">
        <f t="shared" si="147"/>
        <v>0</v>
      </c>
      <c r="Y460" s="11">
        <f t="shared" si="141"/>
        <v>0</v>
      </c>
      <c r="Z460" s="37">
        <v>1</v>
      </c>
      <c r="AA460" s="36">
        <f t="shared" si="148"/>
        <v>1</v>
      </c>
      <c r="AB460" s="36">
        <f t="shared" si="149"/>
        <v>0.14000000000000001</v>
      </c>
      <c r="AC460" s="11">
        <f t="shared" si="150"/>
        <v>0</v>
      </c>
      <c r="AD460" s="36">
        <f t="shared" si="142"/>
        <v>0</v>
      </c>
      <c r="AE460" s="36"/>
      <c r="AF460" s="36">
        <f>IFERROR(VLOOKUP(AE460,'Chemical Cost'!A:D,4,0),0)</f>
        <v>0</v>
      </c>
      <c r="AG460" s="114">
        <f t="shared" si="151"/>
        <v>0</v>
      </c>
      <c r="AH460" s="36">
        <f t="shared" si="136"/>
        <v>0</v>
      </c>
      <c r="AI460" s="36">
        <f t="shared" si="143"/>
        <v>0.14000000000000001</v>
      </c>
      <c r="AJ460" s="36">
        <f>IFERROR(VLOOKUP(A460,'All Products'!A:F,6,0),0)</f>
        <v>6.19</v>
      </c>
      <c r="AK460" s="36"/>
      <c r="AL460" s="23">
        <v>1</v>
      </c>
      <c r="AM460" s="23"/>
      <c r="AN460" s="54" t="e">
        <v>#N/A</v>
      </c>
      <c r="AO460" s="47"/>
      <c r="AP460" s="4">
        <v>1.6</v>
      </c>
      <c r="AQ460" s="111">
        <f t="shared" si="152"/>
        <v>0</v>
      </c>
      <c r="AR460">
        <f>_xlfn.XLOOKUP(F460,'RM Cost'!A:A,'RM Cost'!S:S)</f>
        <v>0</v>
      </c>
      <c r="AS460" t="e">
        <f>_xlfn.XLOOKUP(A460,[3]Sheet1!$B:$B,[3]Sheet1!$B:$B)</f>
        <v>#N/A</v>
      </c>
    </row>
    <row r="461" spans="1:45" x14ac:dyDescent="0.25">
      <c r="A461" s="2" t="s">
        <v>693</v>
      </c>
      <c r="B461" s="2" t="s">
        <v>656</v>
      </c>
      <c r="C461" s="2" t="s">
        <v>694</v>
      </c>
      <c r="D461" s="2" t="s">
        <v>554</v>
      </c>
      <c r="E461" s="2">
        <v>2.5</v>
      </c>
      <c r="F461" s="1" t="str">
        <f>VLOOKUP(H461,'RM Used'!A:B,2,0)</f>
        <v>3001CS</v>
      </c>
      <c r="G461" s="1" t="str">
        <f>IFERROR(VLOOKUP(F461,'RM Cost'!A:B,2,0),"")</f>
        <v>RM - AUBERGINE 5KG</v>
      </c>
      <c r="H461" s="2" t="s">
        <v>1479</v>
      </c>
      <c r="I461" s="1" t="str">
        <f>VLOOKUP(F461,'RM Used'!B:D,3,0)</f>
        <v>RM-FOOD</v>
      </c>
      <c r="J461" s="66">
        <v>1</v>
      </c>
      <c r="K461" s="35">
        <f t="shared" si="138"/>
        <v>2.5</v>
      </c>
      <c r="L461" s="35">
        <f t="shared" si="144"/>
        <v>2.5</v>
      </c>
      <c r="M461" s="77" cm="1">
        <f t="array" ref="M461">_xlfn.IFS(BOM!I461="RM-PACKING","100%",B461="Reynolds",VLOOKUP(H461,'Yield &amp; Time'!A:V,22,0),BOM!B461="Dnata",VLOOKUP(BOM!H461,'Yield &amp; Time'!A:M,13,0),B461="NK",VLOOKUP(H461,'Yield &amp; Time'!A:X,24,0))</f>
        <v>0</v>
      </c>
      <c r="N461" s="35">
        <f t="shared" si="137"/>
        <v>0</v>
      </c>
      <c r="O461" s="1" t="str">
        <f>VLOOKUP(H461,'RM Used'!A:E,5,0)</f>
        <v>KG</v>
      </c>
      <c r="P461" s="11">
        <f>VLOOKUP(H461,'RM Used'!A:F,6,0)</f>
        <v>1.34</v>
      </c>
      <c r="Q461" s="11">
        <f t="shared" si="153"/>
        <v>0</v>
      </c>
      <c r="R461" s="11">
        <f>IFERROR(IF(B461="Reynolds",VLOOKUP(H461,'Yield &amp; Time'!A:U,21,0),VLOOKUP(H461,'Yield &amp; Time'!A:L,12,0)),0)</f>
        <v>0.1</v>
      </c>
      <c r="S461" s="11">
        <f t="shared" si="145"/>
        <v>8.4624999999999992E-2</v>
      </c>
      <c r="T461" s="11">
        <f t="shared" si="146"/>
        <v>4.1666666666666666E-3</v>
      </c>
      <c r="U461" s="11">
        <f>IF(A460=A461,0,VLOOKUP(A461,'Packing Time'!A:F,6,0))</f>
        <v>0.875</v>
      </c>
      <c r="V461" s="11">
        <f t="shared" si="139"/>
        <v>0.29618749999999999</v>
      </c>
      <c r="W461" s="11">
        <f t="shared" si="140"/>
        <v>1.4583333333333334E-2</v>
      </c>
      <c r="X461" s="11">
        <f t="shared" si="147"/>
        <v>0.60929999999999995</v>
      </c>
      <c r="Y461" s="11">
        <f t="shared" si="141"/>
        <v>0.60929999999999995</v>
      </c>
      <c r="Z461" s="37">
        <v>1</v>
      </c>
      <c r="AA461" s="36">
        <f t="shared" si="148"/>
        <v>0</v>
      </c>
      <c r="AB461" s="36">
        <f t="shared" si="149"/>
        <v>0</v>
      </c>
      <c r="AC461" s="11">
        <f t="shared" si="150"/>
        <v>0.03</v>
      </c>
      <c r="AD461" s="36">
        <f t="shared" si="142"/>
        <v>0.60929999999999984</v>
      </c>
      <c r="AE461" s="36" t="str">
        <f>VLOOKUP(H461,'Yield &amp; Time'!A:I,9,0)</f>
        <v>SODIUM METABISULPHITE</v>
      </c>
      <c r="AF461" s="36">
        <f>IFERROR(VLOOKUP(AE461,'Chemical Cost'!A:D,4,0),0)</f>
        <v>9.7586225455882462E-3</v>
      </c>
      <c r="AG461" s="114">
        <f t="shared" si="151"/>
        <v>0</v>
      </c>
      <c r="AH461" s="36">
        <f t="shared" si="136"/>
        <v>0</v>
      </c>
      <c r="AI461" s="36">
        <f t="shared" si="143"/>
        <v>0.60929999999999995</v>
      </c>
      <c r="AJ461" s="36">
        <f>IFERROR(VLOOKUP(A461,'All Products'!A:F,6,0),0)</f>
        <v>15.48</v>
      </c>
      <c r="AK461" s="36">
        <f>AJ461*Z461*J461</f>
        <v>15.48</v>
      </c>
      <c r="AL461" s="23">
        <v>1</v>
      </c>
      <c r="AM461" s="23"/>
      <c r="AN461" s="54" t="e">
        <v>#N/A</v>
      </c>
      <c r="AO461" s="47"/>
      <c r="AP461" s="4">
        <v>1.6</v>
      </c>
      <c r="AQ461" s="111">
        <f t="shared" si="152"/>
        <v>0.03</v>
      </c>
      <c r="AR461">
        <f>_xlfn.XLOOKUP(F461,'RM Cost'!A:A,'RM Cost'!S:S)</f>
        <v>0</v>
      </c>
      <c r="AS461" t="e">
        <f>_xlfn.XLOOKUP(A461,[3]Sheet1!$B:$B,[3]Sheet1!$B:$B)</f>
        <v>#N/A</v>
      </c>
    </row>
    <row r="462" spans="1:45" x14ac:dyDescent="0.25">
      <c r="A462" s="2" t="s">
        <v>693</v>
      </c>
      <c r="B462" s="2" t="s">
        <v>656</v>
      </c>
      <c r="C462" s="2" t="s">
        <v>694</v>
      </c>
      <c r="D462" s="2" t="s">
        <v>554</v>
      </c>
      <c r="E462" s="2">
        <v>2.5</v>
      </c>
      <c r="F462" s="1" t="str">
        <f>VLOOKUP(H462,'RM Used'!A:B,2,0)</f>
        <v>P0008</v>
      </c>
      <c r="G462" s="1" t="str">
        <f>IFERROR(VLOOKUP(F462,'RM Cost'!A:B,2,0),"")</f>
        <v>PALE BLUE BAG 470X750MM</v>
      </c>
      <c r="H462" s="2" t="s">
        <v>1323</v>
      </c>
      <c r="I462" s="1" t="str">
        <f>VLOOKUP(F462,'RM Used'!B:D,3,0)</f>
        <v>RM-PACKING</v>
      </c>
      <c r="J462" s="66">
        <v>1</v>
      </c>
      <c r="K462" s="35" t="str">
        <f t="shared" si="138"/>
        <v/>
      </c>
      <c r="L462" s="35">
        <f t="shared" si="144"/>
        <v>0</v>
      </c>
      <c r="M462" s="77" t="str" cm="1">
        <f t="array" ref="M462">_xlfn.IFS(BOM!I462="RM-PACKING","100%",B462="Reynolds",VLOOKUP(H462,'Yield &amp; Time'!A:V,22,0),BOM!B462="Dnata",VLOOKUP(BOM!H462,'Yield &amp; Time'!A:M,13,0),B462="NK",VLOOKUP(H462,'Yield &amp; Time'!A:X,24,0))</f>
        <v>100%</v>
      </c>
      <c r="N462" s="35">
        <f t="shared" si="137"/>
        <v>1</v>
      </c>
      <c r="O462" s="1" t="str">
        <f>VLOOKUP(H462,'RM Used'!A:E,5,0)</f>
        <v>Count</v>
      </c>
      <c r="P462" s="11">
        <f>VLOOKUP(H462,'RM Used'!A:F,6,0)</f>
        <v>0.14000000000000001</v>
      </c>
      <c r="Q462" s="11">
        <f t="shared" si="153"/>
        <v>0.14000000000000001</v>
      </c>
      <c r="R462" s="11">
        <f>IFERROR(IF(B462="Reynolds",VLOOKUP(H462,'Yield &amp; Time'!A:U,21,0),VLOOKUP(H462,'Yield &amp; Time'!A:L,12,0)),0)</f>
        <v>0</v>
      </c>
      <c r="S462" s="11">
        <f t="shared" si="145"/>
        <v>0</v>
      </c>
      <c r="T462" s="11">
        <f t="shared" si="146"/>
        <v>0</v>
      </c>
      <c r="U462" s="11">
        <f>IF(A461=A462,0,VLOOKUP(A462,'Packing Time'!A:F,6,0))</f>
        <v>0</v>
      </c>
      <c r="V462" s="11">
        <f t="shared" si="139"/>
        <v>0</v>
      </c>
      <c r="W462" s="11">
        <f t="shared" si="140"/>
        <v>0</v>
      </c>
      <c r="X462" s="11">
        <f t="shared" si="147"/>
        <v>0</v>
      </c>
      <c r="Y462" s="11">
        <f t="shared" si="141"/>
        <v>0</v>
      </c>
      <c r="Z462" s="37">
        <v>1</v>
      </c>
      <c r="AA462" s="36">
        <f t="shared" si="148"/>
        <v>1</v>
      </c>
      <c r="AB462" s="36">
        <f t="shared" si="149"/>
        <v>0.14000000000000001</v>
      </c>
      <c r="AC462" s="11">
        <f t="shared" si="150"/>
        <v>0</v>
      </c>
      <c r="AD462" s="36">
        <f t="shared" si="142"/>
        <v>0</v>
      </c>
      <c r="AE462" s="36"/>
      <c r="AF462" s="36">
        <f>IFERROR(VLOOKUP(AE462,'Chemical Cost'!A:D,4,0),0)</f>
        <v>0</v>
      </c>
      <c r="AG462" s="114">
        <f t="shared" si="151"/>
        <v>0</v>
      </c>
      <c r="AH462" s="36">
        <f t="shared" si="136"/>
        <v>0</v>
      </c>
      <c r="AI462" s="36">
        <f t="shared" si="143"/>
        <v>0.14000000000000001</v>
      </c>
      <c r="AJ462" s="36">
        <f>IFERROR(VLOOKUP(A462,'All Products'!A:F,6,0),0)</f>
        <v>15.48</v>
      </c>
      <c r="AK462" s="36"/>
      <c r="AL462" s="23">
        <v>1</v>
      </c>
      <c r="AM462" s="23"/>
      <c r="AN462" s="54" t="e">
        <v>#N/A</v>
      </c>
      <c r="AO462" s="47"/>
      <c r="AP462" s="4">
        <v>1.6</v>
      </c>
      <c r="AQ462" s="111">
        <f t="shared" si="152"/>
        <v>0</v>
      </c>
      <c r="AR462">
        <f>_xlfn.XLOOKUP(F462,'RM Cost'!A:A,'RM Cost'!S:S)</f>
        <v>0</v>
      </c>
      <c r="AS462" t="e">
        <f>_xlfn.XLOOKUP(A462,[3]Sheet1!$B:$B,[3]Sheet1!$B:$B)</f>
        <v>#N/A</v>
      </c>
    </row>
    <row r="463" spans="1:45" x14ac:dyDescent="0.25">
      <c r="A463" s="2" t="s">
        <v>363</v>
      </c>
      <c r="B463" s="2" t="s">
        <v>656</v>
      </c>
      <c r="C463" s="2" t="s">
        <v>364</v>
      </c>
      <c r="D463" s="2" t="s">
        <v>554</v>
      </c>
      <c r="E463" s="2">
        <v>1</v>
      </c>
      <c r="F463" s="1" t="str">
        <f>VLOOKUP(H463,'RM Used'!A:B,2,0)</f>
        <v>3034CS</v>
      </c>
      <c r="G463" s="1" t="str">
        <f>IFERROR(VLOOKUP(F463,'RM Cost'!A:B,2,0),"")</f>
        <v>RM - BROCCOLI 6KG</v>
      </c>
      <c r="H463" s="2" t="s">
        <v>1480</v>
      </c>
      <c r="I463" s="1" t="str">
        <f>VLOOKUP(F463,'RM Used'!B:D,3,0)</f>
        <v>RM-FOOD</v>
      </c>
      <c r="J463" s="66">
        <v>1</v>
      </c>
      <c r="K463" s="35">
        <f t="shared" si="138"/>
        <v>1</v>
      </c>
      <c r="L463" s="35">
        <f t="shared" si="144"/>
        <v>1</v>
      </c>
      <c r="M463" s="77" cm="1">
        <f t="array" ref="M463">_xlfn.IFS(BOM!I463="RM-PACKING","100%",B463="Reynolds",VLOOKUP(H463,'Yield &amp; Time'!A:V,22,0),BOM!B463="Dnata",VLOOKUP(BOM!H463,'Yield &amp; Time'!A:M,13,0),B463="NK",VLOOKUP(H463,'Yield &amp; Time'!A:X,24,0))</f>
        <v>0.57999999999999996</v>
      </c>
      <c r="N463" s="35">
        <f t="shared" si="137"/>
        <v>1.7241379310344829</v>
      </c>
      <c r="O463" s="1" t="str">
        <f>VLOOKUP(H463,'RM Used'!A:E,5,0)</f>
        <v>KG</v>
      </c>
      <c r="P463" s="11">
        <f>VLOOKUP(H463,'RM Used'!A:F,6,0)</f>
        <v>1.02</v>
      </c>
      <c r="Q463" s="11">
        <f t="shared" si="153"/>
        <v>1.7586206896551726</v>
      </c>
      <c r="R463" s="11">
        <f>IFERROR(IF(B463="Reynolds",VLOOKUP(H463,'Yield &amp; Time'!A:U,21,0),VLOOKUP(H463,'Yield &amp; Time'!A:L,12,0)),0)</f>
        <v>2.7</v>
      </c>
      <c r="S463" s="11">
        <f t="shared" si="145"/>
        <v>0.91394999999999993</v>
      </c>
      <c r="T463" s="11">
        <f t="shared" si="146"/>
        <v>4.5000000000000005E-2</v>
      </c>
      <c r="U463" s="11">
        <f>IF(A462=A463,0,VLOOKUP(A463,'Packing Time'!A:F,6,0))</f>
        <v>0.64166666666666661</v>
      </c>
      <c r="V463" s="11">
        <f t="shared" si="139"/>
        <v>0.21720416666666661</v>
      </c>
      <c r="W463" s="11">
        <f t="shared" si="140"/>
        <v>1.0694444444444444E-2</v>
      </c>
      <c r="X463" s="11">
        <f t="shared" si="147"/>
        <v>1.5836158333333332</v>
      </c>
      <c r="Y463" s="11">
        <f t="shared" si="141"/>
        <v>1.5836158333333332</v>
      </c>
      <c r="Z463" s="37">
        <v>1</v>
      </c>
      <c r="AA463" s="36">
        <f t="shared" si="148"/>
        <v>1.7241379310344829</v>
      </c>
      <c r="AB463" s="36">
        <f t="shared" si="149"/>
        <v>1.7586206896551726</v>
      </c>
      <c r="AC463" s="11">
        <f t="shared" si="150"/>
        <v>7.7972222222222221E-2</v>
      </c>
      <c r="AD463" s="36">
        <f t="shared" si="142"/>
        <v>1.583615833333333</v>
      </c>
      <c r="AE463" s="36"/>
      <c r="AF463" s="36">
        <f>IFERROR(VLOOKUP(AE463,'Chemical Cost'!A:D,4,0),0)</f>
        <v>0</v>
      </c>
      <c r="AG463" s="114">
        <f t="shared" si="151"/>
        <v>0</v>
      </c>
      <c r="AH463" s="36">
        <f t="shared" si="136"/>
        <v>0</v>
      </c>
      <c r="AI463" s="36">
        <f t="shared" si="143"/>
        <v>3.3422365229885056</v>
      </c>
      <c r="AJ463" s="36">
        <f>IFERROR(VLOOKUP(A463,'All Products'!A:F,6,0),0)</f>
        <v>5.46</v>
      </c>
      <c r="AK463" s="36">
        <f>AJ463*Z463*J463</f>
        <v>5.46</v>
      </c>
      <c r="AL463" s="23">
        <v>1</v>
      </c>
      <c r="AM463" s="23"/>
      <c r="AN463" s="54" t="e">
        <v>#N/A</v>
      </c>
      <c r="AO463" s="47"/>
      <c r="AP463" s="4">
        <v>1.4</v>
      </c>
      <c r="AQ463" s="111">
        <f t="shared" si="152"/>
        <v>7.7972222222222221E-2</v>
      </c>
      <c r="AR463">
        <f>_xlfn.XLOOKUP(F463,'RM Cost'!A:A,'RM Cost'!S:S)</f>
        <v>0</v>
      </c>
      <c r="AS463" t="e">
        <f>_xlfn.XLOOKUP(A463,[3]Sheet1!$B:$B,[3]Sheet1!$B:$B)</f>
        <v>#N/A</v>
      </c>
    </row>
    <row r="464" spans="1:45" x14ac:dyDescent="0.25">
      <c r="A464" s="2" t="s">
        <v>363</v>
      </c>
      <c r="B464" s="2" t="s">
        <v>656</v>
      </c>
      <c r="C464" s="2" t="s">
        <v>364</v>
      </c>
      <c r="D464" s="2" t="s">
        <v>554</v>
      </c>
      <c r="E464" s="2">
        <v>1</v>
      </c>
      <c r="F464" s="1" t="str">
        <f>VLOOKUP(H464,'RM Used'!A:B,2,0)</f>
        <v>P0008</v>
      </c>
      <c r="G464" s="1" t="str">
        <f>IFERROR(VLOOKUP(F464,'RM Cost'!A:B,2,0),"")</f>
        <v>PALE BLUE BAG 470X750MM</v>
      </c>
      <c r="H464" s="2" t="s">
        <v>1323</v>
      </c>
      <c r="I464" s="1" t="str">
        <f>VLOOKUP(F464,'RM Used'!B:D,3,0)</f>
        <v>RM-PACKING</v>
      </c>
      <c r="J464" s="66">
        <v>1</v>
      </c>
      <c r="K464" s="35" t="str">
        <f t="shared" si="138"/>
        <v/>
      </c>
      <c r="L464" s="35">
        <f t="shared" si="144"/>
        <v>0</v>
      </c>
      <c r="M464" s="77" t="str" cm="1">
        <f t="array" ref="M464">_xlfn.IFS(BOM!I464="RM-PACKING","100%",B464="Reynolds",VLOOKUP(H464,'Yield &amp; Time'!A:V,22,0),BOM!B464="Dnata",VLOOKUP(BOM!H464,'Yield &amp; Time'!A:M,13,0),B464="NK",VLOOKUP(H464,'Yield &amp; Time'!A:X,24,0))</f>
        <v>100%</v>
      </c>
      <c r="N464" s="35">
        <f t="shared" si="137"/>
        <v>1</v>
      </c>
      <c r="O464" s="1" t="str">
        <f>VLOOKUP(H464,'RM Used'!A:E,5,0)</f>
        <v>Count</v>
      </c>
      <c r="P464" s="11">
        <f>VLOOKUP(H464,'RM Used'!A:F,6,0)</f>
        <v>0.14000000000000001</v>
      </c>
      <c r="Q464" s="11">
        <f t="shared" si="153"/>
        <v>0.14000000000000001</v>
      </c>
      <c r="R464" s="11">
        <f>IFERROR(IF(B464="Reynolds",VLOOKUP(H464,'Yield &amp; Time'!A:U,21,0),VLOOKUP(H464,'Yield &amp; Time'!A:L,12,0)),0)</f>
        <v>0</v>
      </c>
      <c r="S464" s="11">
        <f t="shared" si="145"/>
        <v>0</v>
      </c>
      <c r="T464" s="11">
        <f t="shared" si="146"/>
        <v>0</v>
      </c>
      <c r="U464" s="11">
        <f>IF(A463=A464,0,VLOOKUP(A464,'Packing Time'!A:F,6,0))</f>
        <v>0</v>
      </c>
      <c r="V464" s="11">
        <f t="shared" si="139"/>
        <v>0</v>
      </c>
      <c r="W464" s="11">
        <f t="shared" si="140"/>
        <v>0</v>
      </c>
      <c r="X464" s="11">
        <f t="shared" si="147"/>
        <v>0</v>
      </c>
      <c r="Y464" s="11">
        <f t="shared" si="141"/>
        <v>0</v>
      </c>
      <c r="Z464" s="37">
        <v>1</v>
      </c>
      <c r="AA464" s="36">
        <f t="shared" si="148"/>
        <v>1</v>
      </c>
      <c r="AB464" s="36">
        <f t="shared" si="149"/>
        <v>0.14000000000000001</v>
      </c>
      <c r="AC464" s="11">
        <f t="shared" si="150"/>
        <v>0</v>
      </c>
      <c r="AD464" s="36">
        <f t="shared" si="142"/>
        <v>0</v>
      </c>
      <c r="AE464" s="36"/>
      <c r="AF464" s="36">
        <f>IFERROR(VLOOKUP(AE464,'Chemical Cost'!A:D,4,0),0)</f>
        <v>0</v>
      </c>
      <c r="AG464" s="114">
        <f t="shared" si="151"/>
        <v>0</v>
      </c>
      <c r="AH464" s="36">
        <f t="shared" si="136"/>
        <v>0</v>
      </c>
      <c r="AI464" s="36">
        <f t="shared" si="143"/>
        <v>0.14000000000000001</v>
      </c>
      <c r="AJ464" s="36">
        <f>IFERROR(VLOOKUP(A464,'All Products'!A:F,6,0),0)</f>
        <v>5.46</v>
      </c>
      <c r="AK464" s="36"/>
      <c r="AL464" s="23">
        <v>1</v>
      </c>
      <c r="AM464" s="23"/>
      <c r="AN464" s="54" t="e">
        <v>#N/A</v>
      </c>
      <c r="AO464" s="47"/>
      <c r="AP464" s="4">
        <v>1.4</v>
      </c>
      <c r="AQ464" s="111">
        <f t="shared" si="152"/>
        <v>0</v>
      </c>
      <c r="AR464">
        <f>_xlfn.XLOOKUP(F464,'RM Cost'!A:A,'RM Cost'!S:S)</f>
        <v>0</v>
      </c>
      <c r="AS464" t="e">
        <f>_xlfn.XLOOKUP(A464,[3]Sheet1!$B:$B,[3]Sheet1!$B:$B)</f>
        <v>#N/A</v>
      </c>
    </row>
    <row r="465" spans="1:46" x14ac:dyDescent="0.25">
      <c r="A465" s="2" t="s">
        <v>361</v>
      </c>
      <c r="B465" s="2" t="s">
        <v>656</v>
      </c>
      <c r="C465" s="2" t="s">
        <v>362</v>
      </c>
      <c r="D465" s="2" t="s">
        <v>554</v>
      </c>
      <c r="E465" s="2">
        <v>2.5</v>
      </c>
      <c r="F465" s="1" t="str">
        <f>VLOOKUP(H465,'RM Used'!A:B,2,0)</f>
        <v>3034CS</v>
      </c>
      <c r="G465" s="1" t="str">
        <f>IFERROR(VLOOKUP(F465,'RM Cost'!A:B,2,0),"")</f>
        <v>RM - BROCCOLI 6KG</v>
      </c>
      <c r="H465" s="2" t="s">
        <v>1480</v>
      </c>
      <c r="I465" s="1" t="str">
        <f>VLOOKUP(F465,'RM Used'!B:D,3,0)</f>
        <v>RM-FOOD</v>
      </c>
      <c r="J465" s="66">
        <v>1</v>
      </c>
      <c r="K465" s="35">
        <f t="shared" si="138"/>
        <v>2.5</v>
      </c>
      <c r="L465" s="35">
        <f t="shared" si="144"/>
        <v>2.5</v>
      </c>
      <c r="M465" s="77" cm="1">
        <f t="array" ref="M465">_xlfn.IFS(BOM!I465="RM-PACKING","100%",B465="Reynolds",VLOOKUP(H465,'Yield &amp; Time'!A:V,22,0),BOM!B465="Dnata",VLOOKUP(BOM!H465,'Yield &amp; Time'!A:M,13,0),B465="NK",VLOOKUP(H465,'Yield &amp; Time'!A:X,24,0))</f>
        <v>0.57999999999999996</v>
      </c>
      <c r="N465" s="35">
        <f t="shared" si="137"/>
        <v>4.3103448275862073</v>
      </c>
      <c r="O465" s="1" t="str">
        <f>VLOOKUP(H465,'RM Used'!A:E,5,0)</f>
        <v>KG</v>
      </c>
      <c r="P465" s="11">
        <f>VLOOKUP(H465,'RM Used'!A:F,6,0)</f>
        <v>1.02</v>
      </c>
      <c r="Q465" s="11">
        <f t="shared" si="153"/>
        <v>4.3965517241379315</v>
      </c>
      <c r="R465" s="11">
        <f>IFERROR(IF(B465="Reynolds",VLOOKUP(H465,'Yield &amp; Time'!A:U,21,0),VLOOKUP(H465,'Yield &amp; Time'!A:L,12,0)),0)</f>
        <v>2.7</v>
      </c>
      <c r="S465" s="11">
        <f t="shared" si="145"/>
        <v>2.284875</v>
      </c>
      <c r="T465" s="11">
        <f t="shared" si="146"/>
        <v>0.1125</v>
      </c>
      <c r="U465" s="11">
        <f>IF(A464=A465,0,VLOOKUP(A465,'Packing Time'!A:F,6,0))</f>
        <v>0.875</v>
      </c>
      <c r="V465" s="11">
        <f t="shared" si="139"/>
        <v>0.29618749999999999</v>
      </c>
      <c r="W465" s="11">
        <f t="shared" si="140"/>
        <v>1.4583333333333334E-2</v>
      </c>
      <c r="X465" s="11">
        <f t="shared" si="147"/>
        <v>2.8391687500000002</v>
      </c>
      <c r="Y465" s="11">
        <f t="shared" si="141"/>
        <v>2.8391687500000002</v>
      </c>
      <c r="Z465" s="37">
        <v>1</v>
      </c>
      <c r="AA465" s="36">
        <f t="shared" si="148"/>
        <v>4.3103448275862073</v>
      </c>
      <c r="AB465" s="36">
        <f t="shared" si="149"/>
        <v>4.3965517241379315</v>
      </c>
      <c r="AC465" s="11">
        <f t="shared" si="150"/>
        <v>0.13979166666666668</v>
      </c>
      <c r="AD465" s="36">
        <f t="shared" si="142"/>
        <v>2.8391687500000002</v>
      </c>
      <c r="AE465" s="36"/>
      <c r="AF465" s="36">
        <f>IFERROR(VLOOKUP(AE465,'Chemical Cost'!A:D,4,0),0)</f>
        <v>0</v>
      </c>
      <c r="AG465" s="114">
        <f t="shared" si="151"/>
        <v>0</v>
      </c>
      <c r="AH465" s="36">
        <f t="shared" si="136"/>
        <v>0</v>
      </c>
      <c r="AI465" s="36">
        <f t="shared" si="143"/>
        <v>7.2357204741379313</v>
      </c>
      <c r="AJ465" s="36">
        <f>IFERROR(VLOOKUP(A465,'All Products'!A:F,6,0),0)</f>
        <v>13.65</v>
      </c>
      <c r="AK465" s="36">
        <f>AJ465*Z465*J465</f>
        <v>13.65</v>
      </c>
      <c r="AL465" s="23">
        <v>1</v>
      </c>
      <c r="AM465" s="23"/>
      <c r="AN465" s="54" t="s">
        <v>361</v>
      </c>
      <c r="AO465" s="47"/>
      <c r="AP465" s="4">
        <v>1.1000000000000001</v>
      </c>
      <c r="AQ465" s="111">
        <f t="shared" si="152"/>
        <v>0.13979166666666668</v>
      </c>
      <c r="AR465">
        <f>_xlfn.XLOOKUP(F465,'RM Cost'!A:A,'RM Cost'!S:S)</f>
        <v>0</v>
      </c>
      <c r="AS465" t="e">
        <f>_xlfn.XLOOKUP(A465,[3]Sheet1!$B:$B,[3]Sheet1!$B:$B)</f>
        <v>#N/A</v>
      </c>
    </row>
    <row r="466" spans="1:46" x14ac:dyDescent="0.25">
      <c r="A466" s="2" t="s">
        <v>361</v>
      </c>
      <c r="B466" s="2" t="s">
        <v>656</v>
      </c>
      <c r="C466" s="2" t="s">
        <v>362</v>
      </c>
      <c r="D466" s="2" t="s">
        <v>554</v>
      </c>
      <c r="E466" s="2">
        <v>2.5</v>
      </c>
      <c r="F466" s="1" t="str">
        <f>VLOOKUP(H466,'RM Used'!A:B,2,0)</f>
        <v>P0008</v>
      </c>
      <c r="G466" s="1" t="str">
        <f>IFERROR(VLOOKUP(F466,'RM Cost'!A:B,2,0),"")</f>
        <v>PALE BLUE BAG 470X750MM</v>
      </c>
      <c r="H466" s="2" t="s">
        <v>1323</v>
      </c>
      <c r="I466" s="1" t="str">
        <f>VLOOKUP(F466,'RM Used'!B:D,3,0)</f>
        <v>RM-PACKING</v>
      </c>
      <c r="J466" s="66">
        <v>1</v>
      </c>
      <c r="K466" s="35" t="str">
        <f t="shared" si="138"/>
        <v/>
      </c>
      <c r="L466" s="35">
        <f t="shared" si="144"/>
        <v>0</v>
      </c>
      <c r="M466" s="77" t="str" cm="1">
        <f t="array" ref="M466">_xlfn.IFS(BOM!I466="RM-PACKING","100%",B466="Reynolds",VLOOKUP(H466,'Yield &amp; Time'!A:V,22,0),BOM!B466="Dnata",VLOOKUP(BOM!H466,'Yield &amp; Time'!A:M,13,0),B466="NK",VLOOKUP(H466,'Yield &amp; Time'!A:X,24,0))</f>
        <v>100%</v>
      </c>
      <c r="N466" s="35">
        <f t="shared" si="137"/>
        <v>1</v>
      </c>
      <c r="O466" s="1" t="str">
        <f>VLOOKUP(H466,'RM Used'!A:E,5,0)</f>
        <v>Count</v>
      </c>
      <c r="P466" s="11">
        <f>VLOOKUP(H466,'RM Used'!A:F,6,0)</f>
        <v>0.14000000000000001</v>
      </c>
      <c r="Q466" s="11">
        <f t="shared" si="153"/>
        <v>0.14000000000000001</v>
      </c>
      <c r="R466" s="11">
        <f>IFERROR(IF(B466="Reynolds",VLOOKUP(H466,'Yield &amp; Time'!A:U,21,0),VLOOKUP(H466,'Yield &amp; Time'!A:L,12,0)),0)</f>
        <v>0</v>
      </c>
      <c r="S466" s="11">
        <f t="shared" si="145"/>
        <v>0</v>
      </c>
      <c r="T466" s="11">
        <f t="shared" si="146"/>
        <v>0</v>
      </c>
      <c r="U466" s="11">
        <f>IF(A465=A466,0,VLOOKUP(A466,'Packing Time'!A:F,6,0))</f>
        <v>0</v>
      </c>
      <c r="V466" s="11">
        <f t="shared" si="139"/>
        <v>0</v>
      </c>
      <c r="W466" s="11">
        <f t="shared" si="140"/>
        <v>0</v>
      </c>
      <c r="X466" s="11">
        <f t="shared" si="147"/>
        <v>0</v>
      </c>
      <c r="Y466" s="11">
        <f t="shared" si="141"/>
        <v>0</v>
      </c>
      <c r="Z466" s="37">
        <v>1</v>
      </c>
      <c r="AA466" s="36">
        <f t="shared" si="148"/>
        <v>1</v>
      </c>
      <c r="AB466" s="36">
        <f t="shared" si="149"/>
        <v>0.14000000000000001</v>
      </c>
      <c r="AC466" s="11">
        <f t="shared" si="150"/>
        <v>0</v>
      </c>
      <c r="AD466" s="36">
        <f t="shared" si="142"/>
        <v>0</v>
      </c>
      <c r="AE466" s="36"/>
      <c r="AF466" s="36">
        <f>IFERROR(VLOOKUP(AE466,'Chemical Cost'!A:D,4,0),0)</f>
        <v>0</v>
      </c>
      <c r="AG466" s="114">
        <f t="shared" si="151"/>
        <v>0</v>
      </c>
      <c r="AH466" s="36">
        <f t="shared" si="136"/>
        <v>0</v>
      </c>
      <c r="AI466" s="36">
        <f t="shared" si="143"/>
        <v>0.14000000000000001</v>
      </c>
      <c r="AJ466" s="36">
        <f>IFERROR(VLOOKUP(A466,'All Products'!A:F,6,0),0)</f>
        <v>13.65</v>
      </c>
      <c r="AK466" s="36"/>
      <c r="AL466" s="23">
        <v>1</v>
      </c>
      <c r="AM466" s="23"/>
      <c r="AN466" s="54" t="s">
        <v>361</v>
      </c>
      <c r="AO466" s="47"/>
      <c r="AP466" s="4">
        <v>1.1000000000000001</v>
      </c>
      <c r="AQ466" s="111">
        <f t="shared" si="152"/>
        <v>0</v>
      </c>
      <c r="AR466">
        <f>_xlfn.XLOOKUP(F466,'RM Cost'!A:A,'RM Cost'!S:S)</f>
        <v>0</v>
      </c>
      <c r="AS466" t="e">
        <f>_xlfn.XLOOKUP(A466,[3]Sheet1!$B:$B,[3]Sheet1!$B:$B)</f>
        <v>#N/A</v>
      </c>
    </row>
    <row r="467" spans="1:46" x14ac:dyDescent="0.25">
      <c r="A467" s="2" t="s">
        <v>695</v>
      </c>
      <c r="B467" s="2" t="s">
        <v>656</v>
      </c>
      <c r="C467" s="2" t="s">
        <v>696</v>
      </c>
      <c r="D467" s="2" t="s">
        <v>554</v>
      </c>
      <c r="E467" s="2">
        <v>1</v>
      </c>
      <c r="F467" s="1" t="str">
        <f>VLOOKUP(H467,'RM Used'!A:B,2,0)</f>
        <v>3042CS</v>
      </c>
      <c r="G467" s="1" t="str">
        <f>IFERROR(VLOOKUP(F467,'RM Cost'!A:B,2,0),"")</f>
        <v>RM - BRUSSEL SPROUTS P/P 10X1KG</v>
      </c>
      <c r="H467" s="2" t="s">
        <v>1481</v>
      </c>
      <c r="I467" s="1" t="str">
        <f>VLOOKUP(F467,'RM Used'!B:D,3,0)</f>
        <v>RM-FOOD</v>
      </c>
      <c r="J467" s="66">
        <v>1</v>
      </c>
      <c r="K467" s="35">
        <f t="shared" si="138"/>
        <v>1</v>
      </c>
      <c r="L467" s="35">
        <f t="shared" si="144"/>
        <v>1</v>
      </c>
      <c r="M467" s="77" cm="1">
        <f t="array" ref="M467">_xlfn.IFS(BOM!I467="RM-PACKING","100%",B467="Reynolds",VLOOKUP(H467,'Yield &amp; Time'!A:V,22,0),BOM!B467="Dnata",VLOOKUP(BOM!H467,'Yield &amp; Time'!A:M,13,0),B467="NK",VLOOKUP(H467,'Yield &amp; Time'!A:X,24,0))</f>
        <v>0.99</v>
      </c>
      <c r="N467" s="35">
        <f t="shared" si="137"/>
        <v>1.0101010101010102</v>
      </c>
      <c r="O467" s="1" t="str">
        <f>VLOOKUP(H467,'RM Used'!A:E,5,0)</f>
        <v>KG</v>
      </c>
      <c r="P467" s="11">
        <f>VLOOKUP(H467,'RM Used'!A:F,6,0)</f>
        <v>0</v>
      </c>
      <c r="Q467" s="11">
        <f t="shared" si="153"/>
        <v>0</v>
      </c>
      <c r="R467" s="11">
        <f>IFERROR(IF(B467="Reynolds",VLOOKUP(H467,'Yield &amp; Time'!A:U,21,0),VLOOKUP(H467,'Yield &amp; Time'!A:L,12,0)),0)</f>
        <v>0.43</v>
      </c>
      <c r="S467" s="11">
        <f t="shared" si="145"/>
        <v>0.14555499999999999</v>
      </c>
      <c r="T467" s="11">
        <f t="shared" si="146"/>
        <v>7.1666666666666667E-3</v>
      </c>
      <c r="U467" s="11">
        <f>IF(A466=A467,0,VLOOKUP(A467,'Packing Time'!A:F,6,0))</f>
        <v>0.64166666666666661</v>
      </c>
      <c r="V467" s="11">
        <f t="shared" si="139"/>
        <v>0.21720416666666661</v>
      </c>
      <c r="W467" s="11">
        <f t="shared" si="140"/>
        <v>1.0694444444444444E-2</v>
      </c>
      <c r="X467" s="11">
        <f t="shared" si="147"/>
        <v>0.58041466666666652</v>
      </c>
      <c r="Y467" s="11">
        <f t="shared" si="141"/>
        <v>0.58041466666666652</v>
      </c>
      <c r="Z467" s="37">
        <v>1</v>
      </c>
      <c r="AA467" s="36">
        <f t="shared" si="148"/>
        <v>1.0101010101010102</v>
      </c>
      <c r="AB467" s="36">
        <f t="shared" si="149"/>
        <v>0</v>
      </c>
      <c r="AC467" s="11">
        <f t="shared" si="150"/>
        <v>2.8577777777777775E-2</v>
      </c>
      <c r="AD467" s="36">
        <f t="shared" si="142"/>
        <v>0.58041466666666652</v>
      </c>
      <c r="AE467" s="36"/>
      <c r="AF467" s="36">
        <f>IFERROR(VLOOKUP(AE467,'Chemical Cost'!A:D,4,0),0)</f>
        <v>0</v>
      </c>
      <c r="AG467" s="114">
        <f t="shared" si="151"/>
        <v>0</v>
      </c>
      <c r="AH467" s="36">
        <f t="shared" si="136"/>
        <v>0</v>
      </c>
      <c r="AI467" s="36">
        <f t="shared" si="143"/>
        <v>0.58041466666666652</v>
      </c>
      <c r="AJ467" s="36">
        <f>IFERROR(VLOOKUP(A467,'All Products'!A:F,6,0),0)</f>
        <v>4.74</v>
      </c>
      <c r="AK467" s="36">
        <f>AJ467*Z467*J467</f>
        <v>4.74</v>
      </c>
      <c r="AL467" s="23">
        <v>1</v>
      </c>
      <c r="AM467" s="23"/>
      <c r="AN467" s="54" t="e">
        <v>#N/A</v>
      </c>
      <c r="AO467" s="47"/>
      <c r="AP467" s="4">
        <v>1.6</v>
      </c>
      <c r="AQ467" s="111">
        <f t="shared" si="152"/>
        <v>2.8577777777777775E-2</v>
      </c>
      <c r="AR467">
        <f>_xlfn.XLOOKUP(F467,'RM Cost'!A:A,'RM Cost'!S:S)</f>
        <v>0</v>
      </c>
      <c r="AS467" t="e">
        <f>_xlfn.XLOOKUP(A467,[3]Sheet1!$B:$B,[3]Sheet1!$B:$B)</f>
        <v>#N/A</v>
      </c>
    </row>
    <row r="468" spans="1:46" x14ac:dyDescent="0.25">
      <c r="A468" s="2" t="s">
        <v>695</v>
      </c>
      <c r="B468" s="2" t="s">
        <v>656</v>
      </c>
      <c r="C468" s="2" t="s">
        <v>696</v>
      </c>
      <c r="D468" s="2" t="s">
        <v>554</v>
      </c>
      <c r="E468" s="2">
        <v>1</v>
      </c>
      <c r="F468" s="1" t="str">
        <f>VLOOKUP(H468,'RM Used'!A:B,2,0)</f>
        <v>P0008</v>
      </c>
      <c r="G468" s="1" t="str">
        <f>IFERROR(VLOOKUP(F468,'RM Cost'!A:B,2,0),"")</f>
        <v>PALE BLUE BAG 470X750MM</v>
      </c>
      <c r="H468" s="2" t="s">
        <v>1323</v>
      </c>
      <c r="I468" s="1" t="str">
        <f>VLOOKUP(F468,'RM Used'!B:D,3,0)</f>
        <v>RM-PACKING</v>
      </c>
      <c r="J468" s="66">
        <v>1</v>
      </c>
      <c r="K468" s="35" t="str">
        <f t="shared" si="138"/>
        <v/>
      </c>
      <c r="L468" s="35">
        <f t="shared" si="144"/>
        <v>0</v>
      </c>
      <c r="M468" s="77" t="str" cm="1">
        <f t="array" ref="M468">_xlfn.IFS(BOM!I468="RM-PACKING","100%",B468="Reynolds",VLOOKUP(H468,'Yield &amp; Time'!A:V,22,0),BOM!B468="Dnata",VLOOKUP(BOM!H468,'Yield &amp; Time'!A:M,13,0),B468="NK",VLOOKUP(H468,'Yield &amp; Time'!A:X,24,0))</f>
        <v>100%</v>
      </c>
      <c r="N468" s="35">
        <f t="shared" si="137"/>
        <v>1</v>
      </c>
      <c r="O468" s="1" t="str">
        <f>VLOOKUP(H468,'RM Used'!A:E,5,0)</f>
        <v>Count</v>
      </c>
      <c r="P468" s="11">
        <f>VLOOKUP(H468,'RM Used'!A:F,6,0)</f>
        <v>0.14000000000000001</v>
      </c>
      <c r="Q468" s="11">
        <f t="shared" si="153"/>
        <v>0.14000000000000001</v>
      </c>
      <c r="R468" s="11">
        <f>IFERROR(IF(B468="Reynolds",VLOOKUP(H468,'Yield &amp; Time'!A:U,21,0),VLOOKUP(H468,'Yield &amp; Time'!A:L,12,0)),0)</f>
        <v>0</v>
      </c>
      <c r="S468" s="11">
        <f t="shared" si="145"/>
        <v>0</v>
      </c>
      <c r="T468" s="11">
        <f t="shared" si="146"/>
        <v>0</v>
      </c>
      <c r="U468" s="11">
        <f>IF(A467=A468,0,VLOOKUP(A468,'Packing Time'!A:F,6,0))</f>
        <v>0</v>
      </c>
      <c r="V468" s="11">
        <f t="shared" si="139"/>
        <v>0</v>
      </c>
      <c r="W468" s="11">
        <f t="shared" si="140"/>
        <v>0</v>
      </c>
      <c r="X468" s="11">
        <f t="shared" si="147"/>
        <v>0</v>
      </c>
      <c r="Y468" s="11">
        <f t="shared" si="141"/>
        <v>0</v>
      </c>
      <c r="Z468" s="37">
        <v>1</v>
      </c>
      <c r="AA468" s="36">
        <f t="shared" si="148"/>
        <v>1</v>
      </c>
      <c r="AB468" s="36">
        <f t="shared" si="149"/>
        <v>0.14000000000000001</v>
      </c>
      <c r="AC468" s="11">
        <f t="shared" si="150"/>
        <v>0</v>
      </c>
      <c r="AD468" s="36">
        <f t="shared" si="142"/>
        <v>0</v>
      </c>
      <c r="AE468" s="36"/>
      <c r="AF468" s="36">
        <f>IFERROR(VLOOKUP(AE468,'Chemical Cost'!A:D,4,0),0)</f>
        <v>0</v>
      </c>
      <c r="AG468" s="114">
        <f t="shared" si="151"/>
        <v>0</v>
      </c>
      <c r="AH468" s="36">
        <f t="shared" si="136"/>
        <v>0</v>
      </c>
      <c r="AI468" s="36">
        <f t="shared" si="143"/>
        <v>0.14000000000000001</v>
      </c>
      <c r="AJ468" s="36">
        <f>IFERROR(VLOOKUP(A468,'All Products'!A:F,6,0),0)</f>
        <v>4.74</v>
      </c>
      <c r="AK468" s="36"/>
      <c r="AL468" s="23">
        <v>1</v>
      </c>
      <c r="AM468" s="23"/>
      <c r="AN468" s="54" t="e">
        <v>#N/A</v>
      </c>
      <c r="AO468" s="47"/>
      <c r="AP468" s="4">
        <v>1.6</v>
      </c>
      <c r="AQ468" s="111">
        <f t="shared" si="152"/>
        <v>0</v>
      </c>
      <c r="AR468">
        <f>_xlfn.XLOOKUP(F468,'RM Cost'!A:A,'RM Cost'!S:S)</f>
        <v>0</v>
      </c>
      <c r="AS468" t="e">
        <f>_xlfn.XLOOKUP(A468,[3]Sheet1!$B:$B,[3]Sheet1!$B:$B)</f>
        <v>#N/A</v>
      </c>
    </row>
    <row r="469" spans="1:46" x14ac:dyDescent="0.25">
      <c r="A469" s="2" t="s">
        <v>697</v>
      </c>
      <c r="B469" s="2" t="s">
        <v>656</v>
      </c>
      <c r="C469" s="2" t="s">
        <v>698</v>
      </c>
      <c r="D469" s="2" t="s">
        <v>554</v>
      </c>
      <c r="E469" s="2">
        <v>2.5</v>
      </c>
      <c r="F469" s="1" t="str">
        <f>VLOOKUP(H469,'RM Used'!A:B,2,0)</f>
        <v>3042CS</v>
      </c>
      <c r="G469" s="1" t="str">
        <f>IFERROR(VLOOKUP(F469,'RM Cost'!A:B,2,0),"")</f>
        <v>RM - BRUSSEL SPROUTS P/P 10X1KG</v>
      </c>
      <c r="H469" s="2" t="s">
        <v>1481</v>
      </c>
      <c r="I469" s="1" t="str">
        <f>VLOOKUP(F469,'RM Used'!B:D,3,0)</f>
        <v>RM-FOOD</v>
      </c>
      <c r="J469" s="66">
        <v>1</v>
      </c>
      <c r="K469" s="35">
        <f t="shared" si="138"/>
        <v>2.5</v>
      </c>
      <c r="L469" s="35">
        <f t="shared" si="144"/>
        <v>2.5</v>
      </c>
      <c r="M469" s="77" cm="1">
        <f t="array" ref="M469">_xlfn.IFS(BOM!I469="RM-PACKING","100%",B469="Reynolds",VLOOKUP(H469,'Yield &amp; Time'!A:V,22,0),BOM!B469="Dnata",VLOOKUP(BOM!H469,'Yield &amp; Time'!A:M,13,0),B469="NK",VLOOKUP(H469,'Yield &amp; Time'!A:X,24,0))</f>
        <v>0.99</v>
      </c>
      <c r="N469" s="35">
        <f t="shared" si="137"/>
        <v>2.5252525252525251</v>
      </c>
      <c r="O469" s="1" t="str">
        <f>VLOOKUP(H469,'RM Used'!A:E,5,0)</f>
        <v>KG</v>
      </c>
      <c r="P469" s="11">
        <f>VLOOKUP(H469,'RM Used'!A:F,6,0)</f>
        <v>0</v>
      </c>
      <c r="Q469" s="11">
        <f t="shared" si="153"/>
        <v>0</v>
      </c>
      <c r="R469" s="11">
        <f>IFERROR(IF(B469="Reynolds",VLOOKUP(H469,'Yield &amp; Time'!A:U,21,0),VLOOKUP(H469,'Yield &amp; Time'!A:L,12,0)),0)</f>
        <v>0.43</v>
      </c>
      <c r="S469" s="11">
        <f t="shared" si="145"/>
        <v>0.36388749999999997</v>
      </c>
      <c r="T469" s="11">
        <f t="shared" si="146"/>
        <v>1.7916666666666668E-2</v>
      </c>
      <c r="U469" s="11">
        <f>IF(A468=A469,0,VLOOKUP(A469,'Packing Time'!A:F,6,0))</f>
        <v>0.875</v>
      </c>
      <c r="V469" s="11">
        <f t="shared" si="139"/>
        <v>0.29618749999999999</v>
      </c>
      <c r="W469" s="11">
        <f t="shared" si="140"/>
        <v>1.4583333333333334E-2</v>
      </c>
      <c r="X469" s="11">
        <f t="shared" si="147"/>
        <v>0.92410499999999984</v>
      </c>
      <c r="Y469" s="11">
        <f t="shared" si="141"/>
        <v>0.92410499999999984</v>
      </c>
      <c r="Z469" s="37">
        <v>1</v>
      </c>
      <c r="AA469" s="36">
        <f t="shared" si="148"/>
        <v>2.5252525252525251</v>
      </c>
      <c r="AB469" s="36">
        <f t="shared" si="149"/>
        <v>0</v>
      </c>
      <c r="AC469" s="11">
        <f t="shared" si="150"/>
        <v>4.5499999999999999E-2</v>
      </c>
      <c r="AD469" s="36">
        <f t="shared" si="142"/>
        <v>0.92410499999999995</v>
      </c>
      <c r="AE469" s="36"/>
      <c r="AF469" s="36">
        <f>IFERROR(VLOOKUP(AE469,'Chemical Cost'!A:D,4,0),0)</f>
        <v>0</v>
      </c>
      <c r="AG469" s="114">
        <f t="shared" si="151"/>
        <v>0</v>
      </c>
      <c r="AH469" s="36">
        <f t="shared" si="136"/>
        <v>0</v>
      </c>
      <c r="AI469" s="36">
        <f t="shared" si="143"/>
        <v>0.92410499999999984</v>
      </c>
      <c r="AJ469" s="36">
        <f>IFERROR(VLOOKUP(A469,'All Products'!A:F,6,0),0)</f>
        <v>11.83</v>
      </c>
      <c r="AK469" s="36">
        <f>AJ469*Z469*J469</f>
        <v>11.83</v>
      </c>
      <c r="AL469" s="23">
        <v>1</v>
      </c>
      <c r="AM469" s="23"/>
      <c r="AN469" s="54" t="e">
        <v>#N/A</v>
      </c>
      <c r="AO469" s="47"/>
      <c r="AP469" s="4">
        <v>1.4</v>
      </c>
      <c r="AQ469" s="111">
        <f t="shared" si="152"/>
        <v>4.5499999999999999E-2</v>
      </c>
      <c r="AR469">
        <f>_xlfn.XLOOKUP(F469,'RM Cost'!A:A,'RM Cost'!S:S)</f>
        <v>0</v>
      </c>
      <c r="AS469" t="e">
        <f>_xlfn.XLOOKUP(A469,[3]Sheet1!$B:$B,[3]Sheet1!$B:$B)</f>
        <v>#N/A</v>
      </c>
    </row>
    <row r="470" spans="1:46" x14ac:dyDescent="0.25">
      <c r="A470" s="2" t="s">
        <v>697</v>
      </c>
      <c r="B470" s="2" t="s">
        <v>656</v>
      </c>
      <c r="C470" s="2" t="s">
        <v>698</v>
      </c>
      <c r="D470" s="2" t="s">
        <v>554</v>
      </c>
      <c r="E470" s="2">
        <v>2.5</v>
      </c>
      <c r="F470" s="1" t="str">
        <f>VLOOKUP(H470,'RM Used'!A:B,2,0)</f>
        <v>P0008</v>
      </c>
      <c r="G470" s="1" t="str">
        <f>IFERROR(VLOOKUP(F470,'RM Cost'!A:B,2,0),"")</f>
        <v>PALE BLUE BAG 470X750MM</v>
      </c>
      <c r="H470" s="2" t="s">
        <v>1323</v>
      </c>
      <c r="I470" s="1" t="str">
        <f>VLOOKUP(F470,'RM Used'!B:D,3,0)</f>
        <v>RM-PACKING</v>
      </c>
      <c r="J470" s="66">
        <v>1</v>
      </c>
      <c r="K470" s="35" t="str">
        <f t="shared" si="138"/>
        <v/>
      </c>
      <c r="L470" s="35">
        <f t="shared" si="144"/>
        <v>0</v>
      </c>
      <c r="M470" s="77" t="str" cm="1">
        <f t="array" ref="M470">_xlfn.IFS(BOM!I470="RM-PACKING","100%",B470="Reynolds",VLOOKUP(H470,'Yield &amp; Time'!A:V,22,0),BOM!B470="Dnata",VLOOKUP(BOM!H470,'Yield &amp; Time'!A:M,13,0),B470="NK",VLOOKUP(H470,'Yield &amp; Time'!A:X,24,0))</f>
        <v>100%</v>
      </c>
      <c r="N470" s="35">
        <f t="shared" si="137"/>
        <v>1</v>
      </c>
      <c r="O470" s="1" t="str">
        <f>VLOOKUP(H470,'RM Used'!A:E,5,0)</f>
        <v>Count</v>
      </c>
      <c r="P470" s="11">
        <f>VLOOKUP(H470,'RM Used'!A:F,6,0)</f>
        <v>0.14000000000000001</v>
      </c>
      <c r="Q470" s="11">
        <f t="shared" si="153"/>
        <v>0.14000000000000001</v>
      </c>
      <c r="R470" s="11">
        <f>IFERROR(IF(B470="Reynolds",VLOOKUP(H470,'Yield &amp; Time'!A:U,21,0),VLOOKUP(H470,'Yield &amp; Time'!A:L,12,0)),0)</f>
        <v>0</v>
      </c>
      <c r="S470" s="11">
        <f t="shared" si="145"/>
        <v>0</v>
      </c>
      <c r="T470" s="11">
        <f t="shared" si="146"/>
        <v>0</v>
      </c>
      <c r="U470" s="11">
        <f>IF(A469=A470,0,VLOOKUP(A470,'Packing Time'!A:F,6,0))</f>
        <v>0</v>
      </c>
      <c r="V470" s="11">
        <f t="shared" si="139"/>
        <v>0</v>
      </c>
      <c r="W470" s="11">
        <f t="shared" si="140"/>
        <v>0</v>
      </c>
      <c r="X470" s="11">
        <f t="shared" si="147"/>
        <v>0</v>
      </c>
      <c r="Y470" s="11">
        <f t="shared" si="141"/>
        <v>0</v>
      </c>
      <c r="Z470" s="37">
        <v>1</v>
      </c>
      <c r="AA470" s="36">
        <f t="shared" si="148"/>
        <v>1</v>
      </c>
      <c r="AB470" s="36">
        <f t="shared" si="149"/>
        <v>0.14000000000000001</v>
      </c>
      <c r="AC470" s="11">
        <f t="shared" si="150"/>
        <v>0</v>
      </c>
      <c r="AD470" s="36">
        <f t="shared" si="142"/>
        <v>0</v>
      </c>
      <c r="AE470" s="36"/>
      <c r="AF470" s="36">
        <f>IFERROR(VLOOKUP(AE470,'Chemical Cost'!A:D,4,0),0)</f>
        <v>0</v>
      </c>
      <c r="AG470" s="114">
        <f t="shared" si="151"/>
        <v>0</v>
      </c>
      <c r="AH470" s="36">
        <f t="shared" ref="AH470:AH533" si="154">AF470*AA470/3</f>
        <v>0</v>
      </c>
      <c r="AI470" s="36">
        <f t="shared" si="143"/>
        <v>0.14000000000000001</v>
      </c>
      <c r="AJ470" s="36">
        <f>IFERROR(VLOOKUP(A470,'All Products'!A:F,6,0),0)</f>
        <v>11.83</v>
      </c>
      <c r="AK470" s="36"/>
      <c r="AL470" s="23">
        <v>1</v>
      </c>
      <c r="AM470" s="23"/>
      <c r="AN470" s="54" t="e">
        <v>#N/A</v>
      </c>
      <c r="AO470" s="47"/>
      <c r="AP470" s="4">
        <v>1.4</v>
      </c>
      <c r="AQ470" s="111">
        <f t="shared" si="152"/>
        <v>0</v>
      </c>
      <c r="AR470">
        <f>_xlfn.XLOOKUP(F470,'RM Cost'!A:A,'RM Cost'!S:S)</f>
        <v>0</v>
      </c>
      <c r="AS470" t="e">
        <f>_xlfn.XLOOKUP(A470,[3]Sheet1!$B:$B,[3]Sheet1!$B:$B)</f>
        <v>#N/A</v>
      </c>
    </row>
    <row r="471" spans="1:46" x14ac:dyDescent="0.25">
      <c r="A471" s="2" t="s">
        <v>359</v>
      </c>
      <c r="B471" s="2" t="s">
        <v>656</v>
      </c>
      <c r="C471" s="2" t="s">
        <v>360</v>
      </c>
      <c r="D471" s="2" t="s">
        <v>554</v>
      </c>
      <c r="E471" s="2">
        <v>1</v>
      </c>
      <c r="F471" s="1" t="str">
        <f>VLOOKUP(H471,'RM Used'!A:B,2,0)</f>
        <v>283ACS</v>
      </c>
      <c r="G471" s="1" t="str">
        <f>IFERROR(VLOOKUP(F471,'RM Cost'!A:B,2,0),"")</f>
        <v>RM - BUTTERNUT SQUASH BIN X 625KG</v>
      </c>
      <c r="H471" s="2" t="s">
        <v>1482</v>
      </c>
      <c r="I471" s="1" t="str">
        <f>VLOOKUP(F471,'RM Used'!B:D,3,0)</f>
        <v>RM-FOOD</v>
      </c>
      <c r="J471" s="66">
        <v>1</v>
      </c>
      <c r="K471" s="35">
        <f t="shared" si="138"/>
        <v>1</v>
      </c>
      <c r="L471" s="35">
        <f t="shared" si="144"/>
        <v>1</v>
      </c>
      <c r="M471" s="77" cm="1">
        <f t="array" ref="M471">_xlfn.IFS(BOM!I471="RM-PACKING","100%",B471="Reynolds",VLOOKUP(H471,'Yield &amp; Time'!A:V,22,0),BOM!B471="Dnata",VLOOKUP(BOM!H471,'Yield &amp; Time'!A:M,13,0),B471="NK",VLOOKUP(H471,'Yield &amp; Time'!A:X,24,0))</f>
        <v>0.62812500050122233</v>
      </c>
      <c r="N471" s="35">
        <f t="shared" si="137"/>
        <v>1.5920397997246314</v>
      </c>
      <c r="O471" s="1" t="str">
        <f>VLOOKUP(H471,'RM Used'!A:E,5,0)</f>
        <v>KG</v>
      </c>
      <c r="P471" s="11">
        <f>VLOOKUP(H471,'RM Used'!A:F,6,0)</f>
        <v>0.65</v>
      </c>
      <c r="Q471" s="11">
        <f t="shared" si="153"/>
        <v>1.0348258698210104</v>
      </c>
      <c r="R471" s="11">
        <f>IFERROR(IF(B471="Reynolds",VLOOKUP(H471,'Yield &amp; Time'!A:U,21,0),VLOOKUP(H471,'Yield &amp; Time'!A:L,12,0)),0)</f>
        <v>2.264035345756235</v>
      </c>
      <c r="S471" s="11">
        <f t="shared" si="145"/>
        <v>0.76637596453848544</v>
      </c>
      <c r="T471" s="11">
        <f t="shared" si="146"/>
        <v>3.773392242927058E-2</v>
      </c>
      <c r="U471" s="11">
        <f>IF(A470=A471,0,VLOOKUP(A471,'Packing Time'!A:F,6,0))</f>
        <v>0.64166666666666661</v>
      </c>
      <c r="V471" s="11">
        <f t="shared" si="139"/>
        <v>0.21720416666666661</v>
      </c>
      <c r="W471" s="11">
        <f t="shared" si="140"/>
        <v>1.0694444444444444E-2</v>
      </c>
      <c r="X471" s="11">
        <f t="shared" si="147"/>
        <v>1.3770121836872129</v>
      </c>
      <c r="Y471" s="11">
        <f t="shared" si="141"/>
        <v>1.3770121836872129</v>
      </c>
      <c r="Z471" s="37">
        <v>1</v>
      </c>
      <c r="AA471" s="36">
        <f t="shared" si="148"/>
        <v>1.5920397997246314</v>
      </c>
      <c r="AB471" s="36">
        <f t="shared" si="149"/>
        <v>1.0348258698210104</v>
      </c>
      <c r="AC471" s="11">
        <f t="shared" si="150"/>
        <v>6.779971362320103E-2</v>
      </c>
      <c r="AD471" s="36">
        <f t="shared" si="142"/>
        <v>1.3770121836872129</v>
      </c>
      <c r="AE471" s="36"/>
      <c r="AF471" s="36">
        <f>IFERROR(VLOOKUP(AE471,'Chemical Cost'!A:D,4,0),0)</f>
        <v>0</v>
      </c>
      <c r="AG471" s="114">
        <f t="shared" si="151"/>
        <v>0</v>
      </c>
      <c r="AH471" s="36">
        <f t="shared" si="154"/>
        <v>0</v>
      </c>
      <c r="AI471" s="36">
        <f t="shared" si="143"/>
        <v>2.4118380535082231</v>
      </c>
      <c r="AJ471" s="36">
        <f>IFERROR(VLOOKUP(A471,'All Products'!A:F,6,0),0)</f>
        <v>4.13</v>
      </c>
      <c r="AK471" s="36">
        <f>AJ471*Z471*J471</f>
        <v>4.13</v>
      </c>
      <c r="AL471" s="23">
        <v>1</v>
      </c>
      <c r="AM471" s="23"/>
      <c r="AN471" s="54" t="e">
        <v>#N/A</v>
      </c>
      <c r="AO471" s="47"/>
      <c r="AP471" s="4">
        <v>1.4</v>
      </c>
      <c r="AQ471" s="111">
        <f t="shared" si="152"/>
        <v>6.779971362320103E-2</v>
      </c>
      <c r="AR471">
        <f>_xlfn.XLOOKUP(F471,'RM Cost'!A:A,'RM Cost'!S:S)</f>
        <v>0</v>
      </c>
      <c r="AS471" t="str">
        <f>_xlfn.XLOOKUP(A471,[3]Sheet1!$B:$B,[3]Sheet1!$B:$B)</f>
        <v>Z089CS</v>
      </c>
      <c r="AT471">
        <f>_xlfn.XLOOKUP(H471,'Yield &amp; Time'!A:A,'Yield &amp; Time'!F:F)</f>
        <v>0</v>
      </c>
    </row>
    <row r="472" spans="1:46" x14ac:dyDescent="0.25">
      <c r="A472" s="2" t="s">
        <v>359</v>
      </c>
      <c r="B472" s="2" t="s">
        <v>656</v>
      </c>
      <c r="C472" s="2" t="s">
        <v>360</v>
      </c>
      <c r="D472" s="2" t="s">
        <v>554</v>
      </c>
      <c r="E472" s="2">
        <v>1</v>
      </c>
      <c r="F472" s="1" t="str">
        <f>VLOOKUP(H472,'RM Used'!A:B,2,0)</f>
        <v>P0008</v>
      </c>
      <c r="G472" s="1" t="str">
        <f>IFERROR(VLOOKUP(F472,'RM Cost'!A:B,2,0),"")</f>
        <v>PALE BLUE BAG 470X750MM</v>
      </c>
      <c r="H472" s="2" t="s">
        <v>1323</v>
      </c>
      <c r="I472" s="1" t="str">
        <f>VLOOKUP(F472,'RM Used'!B:D,3,0)</f>
        <v>RM-PACKING</v>
      </c>
      <c r="J472" s="66">
        <v>1</v>
      </c>
      <c r="K472" s="35" t="str">
        <f t="shared" si="138"/>
        <v/>
      </c>
      <c r="L472" s="35">
        <f t="shared" si="144"/>
        <v>0</v>
      </c>
      <c r="M472" s="77" t="str" cm="1">
        <f t="array" ref="M472">_xlfn.IFS(BOM!I472="RM-PACKING","100%",B472="Reynolds",VLOOKUP(H472,'Yield &amp; Time'!A:V,22,0),BOM!B472="Dnata",VLOOKUP(BOM!H472,'Yield &amp; Time'!A:M,13,0),B472="NK",VLOOKUP(H472,'Yield &amp; Time'!A:X,24,0))</f>
        <v>100%</v>
      </c>
      <c r="N472" s="35">
        <f t="shared" si="137"/>
        <v>1</v>
      </c>
      <c r="O472" s="1" t="str">
        <f>VLOOKUP(H472,'RM Used'!A:E,5,0)</f>
        <v>Count</v>
      </c>
      <c r="P472" s="11">
        <f>VLOOKUP(H472,'RM Used'!A:F,6,0)</f>
        <v>0.14000000000000001</v>
      </c>
      <c r="Q472" s="11">
        <f t="shared" si="153"/>
        <v>0.14000000000000001</v>
      </c>
      <c r="R472" s="11">
        <f>IFERROR(IF(B472="Reynolds",VLOOKUP(H472,'Yield &amp; Time'!A:U,21,0),VLOOKUP(H472,'Yield &amp; Time'!A:L,12,0)),0)</f>
        <v>0</v>
      </c>
      <c r="S472" s="11">
        <f t="shared" si="145"/>
        <v>0</v>
      </c>
      <c r="T472" s="11">
        <f t="shared" si="146"/>
        <v>0</v>
      </c>
      <c r="U472" s="11">
        <f>IF(A471=A472,0,VLOOKUP(A472,'Packing Time'!A:F,6,0))</f>
        <v>0</v>
      </c>
      <c r="V472" s="11">
        <f t="shared" si="139"/>
        <v>0</v>
      </c>
      <c r="W472" s="11">
        <f t="shared" si="140"/>
        <v>0</v>
      </c>
      <c r="X472" s="11">
        <f t="shared" si="147"/>
        <v>0</v>
      </c>
      <c r="Y472" s="11">
        <f t="shared" si="141"/>
        <v>0</v>
      </c>
      <c r="Z472" s="37">
        <v>1</v>
      </c>
      <c r="AA472" s="36">
        <f t="shared" si="148"/>
        <v>1</v>
      </c>
      <c r="AB472" s="36">
        <f t="shared" si="149"/>
        <v>0.14000000000000001</v>
      </c>
      <c r="AC472" s="11">
        <f t="shared" si="150"/>
        <v>0</v>
      </c>
      <c r="AD472" s="36">
        <f t="shared" si="142"/>
        <v>0</v>
      </c>
      <c r="AE472" s="36"/>
      <c r="AF472" s="36">
        <f>IFERROR(VLOOKUP(AE472,'Chemical Cost'!A:D,4,0),0)</f>
        <v>0</v>
      </c>
      <c r="AG472" s="114">
        <f t="shared" si="151"/>
        <v>0</v>
      </c>
      <c r="AH472" s="36">
        <f t="shared" si="154"/>
        <v>0</v>
      </c>
      <c r="AI472" s="36">
        <f t="shared" si="143"/>
        <v>0.14000000000000001</v>
      </c>
      <c r="AJ472" s="36">
        <f>IFERROR(VLOOKUP(A472,'All Products'!A:F,6,0),0)</f>
        <v>4.13</v>
      </c>
      <c r="AK472" s="36"/>
      <c r="AL472" s="23">
        <v>1</v>
      </c>
      <c r="AM472" s="23"/>
      <c r="AN472" s="54" t="e">
        <v>#N/A</v>
      </c>
      <c r="AO472" s="47"/>
      <c r="AP472" s="4">
        <v>1.4</v>
      </c>
      <c r="AQ472" s="111">
        <f t="shared" si="152"/>
        <v>0</v>
      </c>
      <c r="AR472">
        <f>_xlfn.XLOOKUP(F472,'RM Cost'!A:A,'RM Cost'!S:S)</f>
        <v>0</v>
      </c>
      <c r="AS472" t="str">
        <f>_xlfn.XLOOKUP(A472,[3]Sheet1!$B:$B,[3]Sheet1!$B:$B)</f>
        <v>Z089CS</v>
      </c>
      <c r="AT472" t="e">
        <f>_xlfn.XLOOKUP(H472,'Yield &amp; Time'!A:A,'Yield &amp; Time'!F:F)</f>
        <v>#N/A</v>
      </c>
    </row>
    <row r="473" spans="1:46" x14ac:dyDescent="0.25">
      <c r="A473" s="2" t="s">
        <v>357</v>
      </c>
      <c r="B473" s="2" t="s">
        <v>656</v>
      </c>
      <c r="C473" s="2" t="s">
        <v>358</v>
      </c>
      <c r="D473" s="2" t="s">
        <v>554</v>
      </c>
      <c r="E473" s="2">
        <v>2.5</v>
      </c>
      <c r="F473" s="1" t="str">
        <f>VLOOKUP(H473,'RM Used'!A:B,2,0)</f>
        <v>283ACS</v>
      </c>
      <c r="G473" s="1" t="str">
        <f>IFERROR(VLOOKUP(F473,'RM Cost'!A:B,2,0),"")</f>
        <v>RM - BUTTERNUT SQUASH BIN X 625KG</v>
      </c>
      <c r="H473" s="2" t="s">
        <v>1482</v>
      </c>
      <c r="I473" s="1" t="str">
        <f>VLOOKUP(F473,'RM Used'!B:D,3,0)</f>
        <v>RM-FOOD</v>
      </c>
      <c r="J473" s="66">
        <v>1</v>
      </c>
      <c r="K473" s="35">
        <f t="shared" si="138"/>
        <v>2.5</v>
      </c>
      <c r="L473" s="35">
        <f t="shared" si="144"/>
        <v>2.5</v>
      </c>
      <c r="M473" s="77" cm="1">
        <f t="array" ref="M473">_xlfn.IFS(BOM!I473="RM-PACKING","100%",B473="Reynolds",VLOOKUP(H473,'Yield &amp; Time'!A:V,22,0),BOM!B473="Dnata",VLOOKUP(BOM!H473,'Yield &amp; Time'!A:M,13,0),B473="NK",VLOOKUP(H473,'Yield &amp; Time'!A:X,24,0))</f>
        <v>0.62812500050122233</v>
      </c>
      <c r="N473" s="35">
        <f t="shared" si="137"/>
        <v>3.9800994993115784</v>
      </c>
      <c r="O473" s="1" t="str">
        <f>VLOOKUP(H473,'RM Used'!A:E,5,0)</f>
        <v>KG</v>
      </c>
      <c r="P473" s="11">
        <f>VLOOKUP(H473,'RM Used'!A:F,6,0)</f>
        <v>0.65</v>
      </c>
      <c r="Q473" s="11">
        <f t="shared" si="153"/>
        <v>2.5870646745525261</v>
      </c>
      <c r="R473" s="11">
        <f>IFERROR(IF(B473="Reynolds",VLOOKUP(H473,'Yield &amp; Time'!A:U,21,0),VLOOKUP(H473,'Yield &amp; Time'!A:L,12,0)),0)</f>
        <v>2.264035345756235</v>
      </c>
      <c r="S473" s="11">
        <f t="shared" si="145"/>
        <v>1.9159399113462134</v>
      </c>
      <c r="T473" s="11">
        <f t="shared" si="146"/>
        <v>9.4334806073176444E-2</v>
      </c>
      <c r="U473" s="11">
        <f>IF(A472=A473,0,VLOOKUP(A473,'Packing Time'!A:F,6,0))</f>
        <v>0.875</v>
      </c>
      <c r="V473" s="11">
        <f t="shared" si="139"/>
        <v>0.29618749999999999</v>
      </c>
      <c r="W473" s="11">
        <f t="shared" si="140"/>
        <v>1.4583333333333334E-2</v>
      </c>
      <c r="X473" s="11">
        <f t="shared" si="147"/>
        <v>2.4333401524808353</v>
      </c>
      <c r="Y473" s="11">
        <f t="shared" si="141"/>
        <v>2.4333401524808353</v>
      </c>
      <c r="Z473" s="37">
        <v>1</v>
      </c>
      <c r="AA473" s="36">
        <f t="shared" si="148"/>
        <v>3.9800994993115784</v>
      </c>
      <c r="AB473" s="36">
        <f t="shared" si="149"/>
        <v>2.5870646745525261</v>
      </c>
      <c r="AC473" s="11">
        <f t="shared" si="150"/>
        <v>0.11980995334716077</v>
      </c>
      <c r="AD473" s="36">
        <f t="shared" si="142"/>
        <v>2.4333401524808349</v>
      </c>
      <c r="AE473" s="36"/>
      <c r="AF473" s="36">
        <f>IFERROR(VLOOKUP(AE473,'Chemical Cost'!A:D,4,0),0)</f>
        <v>0</v>
      </c>
      <c r="AG473" s="114">
        <f t="shared" si="151"/>
        <v>0</v>
      </c>
      <c r="AH473" s="36">
        <f t="shared" si="154"/>
        <v>0</v>
      </c>
      <c r="AI473" s="36">
        <f t="shared" si="143"/>
        <v>5.0204048270333619</v>
      </c>
      <c r="AJ473" s="36">
        <f>IFERROR(VLOOKUP(A473,'All Products'!A:F,6,0),0)</f>
        <v>10.32</v>
      </c>
      <c r="AK473" s="36">
        <f>AJ473*Z473*J473</f>
        <v>10.32</v>
      </c>
      <c r="AL473" s="23">
        <v>1</v>
      </c>
      <c r="AM473" s="23"/>
      <c r="AN473" s="54" t="e">
        <v>#N/A</v>
      </c>
      <c r="AO473" s="47"/>
      <c r="AP473" s="4">
        <v>1.1000000000000001</v>
      </c>
      <c r="AQ473" s="111">
        <f t="shared" si="152"/>
        <v>0.11980995334716077</v>
      </c>
      <c r="AR473">
        <f>_xlfn.XLOOKUP(F473,'RM Cost'!A:A,'RM Cost'!S:S)</f>
        <v>0</v>
      </c>
      <c r="AS473" t="str">
        <f>_xlfn.XLOOKUP(A473,[3]Sheet1!$B:$B,[3]Sheet1!$B:$B)</f>
        <v>Z088CS</v>
      </c>
      <c r="AT473">
        <f>_xlfn.XLOOKUP(H473,'Yield &amp; Time'!A:A,'Yield &amp; Time'!F:F)</f>
        <v>0</v>
      </c>
    </row>
    <row r="474" spans="1:46" x14ac:dyDescent="0.25">
      <c r="A474" s="2" t="s">
        <v>357</v>
      </c>
      <c r="B474" s="2" t="s">
        <v>656</v>
      </c>
      <c r="C474" s="2" t="s">
        <v>358</v>
      </c>
      <c r="D474" s="2" t="s">
        <v>554</v>
      </c>
      <c r="E474" s="2">
        <v>2.5</v>
      </c>
      <c r="F474" s="1" t="str">
        <f>VLOOKUP(H474,'RM Used'!A:B,2,0)</f>
        <v>P0008</v>
      </c>
      <c r="G474" s="1" t="str">
        <f>IFERROR(VLOOKUP(F474,'RM Cost'!A:B,2,0),"")</f>
        <v>PALE BLUE BAG 470X750MM</v>
      </c>
      <c r="H474" s="2" t="s">
        <v>1323</v>
      </c>
      <c r="I474" s="1" t="str">
        <f>VLOOKUP(F474,'RM Used'!B:D,3,0)</f>
        <v>RM-PACKING</v>
      </c>
      <c r="J474" s="66">
        <v>1</v>
      </c>
      <c r="K474" s="35" t="str">
        <f t="shared" si="138"/>
        <v/>
      </c>
      <c r="L474" s="35">
        <f t="shared" si="144"/>
        <v>0</v>
      </c>
      <c r="M474" s="77" t="str" cm="1">
        <f t="array" ref="M474">_xlfn.IFS(BOM!I474="RM-PACKING","100%",B474="Reynolds",VLOOKUP(H474,'Yield &amp; Time'!A:V,22,0),BOM!B474="Dnata",VLOOKUP(BOM!H474,'Yield &amp; Time'!A:M,13,0),B474="NK",VLOOKUP(H474,'Yield &amp; Time'!A:X,24,0))</f>
        <v>100%</v>
      </c>
      <c r="N474" s="35">
        <f t="shared" si="137"/>
        <v>1</v>
      </c>
      <c r="O474" s="1" t="str">
        <f>VLOOKUP(H474,'RM Used'!A:E,5,0)</f>
        <v>Count</v>
      </c>
      <c r="P474" s="11">
        <f>VLOOKUP(H474,'RM Used'!A:F,6,0)</f>
        <v>0.14000000000000001</v>
      </c>
      <c r="Q474" s="11">
        <f t="shared" si="153"/>
        <v>0.14000000000000001</v>
      </c>
      <c r="R474" s="11">
        <f>IFERROR(IF(B474="Reynolds",VLOOKUP(H474,'Yield &amp; Time'!A:U,21,0),VLOOKUP(H474,'Yield &amp; Time'!A:L,12,0)),0)</f>
        <v>0</v>
      </c>
      <c r="S474" s="11">
        <f t="shared" si="145"/>
        <v>0</v>
      </c>
      <c r="T474" s="11">
        <f t="shared" si="146"/>
        <v>0</v>
      </c>
      <c r="U474" s="11">
        <f>IF(A473=A474,0,VLOOKUP(A474,'Packing Time'!A:F,6,0))</f>
        <v>0</v>
      </c>
      <c r="V474" s="11">
        <f t="shared" si="139"/>
        <v>0</v>
      </c>
      <c r="W474" s="11">
        <f t="shared" si="140"/>
        <v>0</v>
      </c>
      <c r="X474" s="11">
        <f t="shared" si="147"/>
        <v>0</v>
      </c>
      <c r="Y474" s="11">
        <f t="shared" si="141"/>
        <v>0</v>
      </c>
      <c r="Z474" s="37">
        <v>1</v>
      </c>
      <c r="AA474" s="36">
        <f t="shared" si="148"/>
        <v>1</v>
      </c>
      <c r="AB474" s="36">
        <f t="shared" si="149"/>
        <v>0.14000000000000001</v>
      </c>
      <c r="AC474" s="11">
        <f t="shared" si="150"/>
        <v>0</v>
      </c>
      <c r="AD474" s="36">
        <f t="shared" si="142"/>
        <v>0</v>
      </c>
      <c r="AE474" s="36"/>
      <c r="AF474" s="36">
        <f>IFERROR(VLOOKUP(AE474,'Chemical Cost'!A:D,4,0),0)</f>
        <v>0</v>
      </c>
      <c r="AG474" s="114">
        <f t="shared" si="151"/>
        <v>0</v>
      </c>
      <c r="AH474" s="36">
        <f t="shared" si="154"/>
        <v>0</v>
      </c>
      <c r="AI474" s="36">
        <f t="shared" si="143"/>
        <v>0.14000000000000001</v>
      </c>
      <c r="AJ474" s="36">
        <f>IFERROR(VLOOKUP(A474,'All Products'!A:F,6,0),0)</f>
        <v>10.32</v>
      </c>
      <c r="AK474" s="36"/>
      <c r="AL474" s="23">
        <v>1</v>
      </c>
      <c r="AM474" s="23"/>
      <c r="AN474" s="54" t="e">
        <v>#N/A</v>
      </c>
      <c r="AO474" s="47"/>
      <c r="AP474" s="4">
        <v>1.1000000000000001</v>
      </c>
      <c r="AQ474" s="111">
        <f t="shared" si="152"/>
        <v>0</v>
      </c>
      <c r="AR474">
        <f>_xlfn.XLOOKUP(F474,'RM Cost'!A:A,'RM Cost'!S:S)</f>
        <v>0</v>
      </c>
      <c r="AS474" t="str">
        <f>_xlfn.XLOOKUP(A474,[3]Sheet1!$B:$B,[3]Sheet1!$B:$B)</f>
        <v>Z088CS</v>
      </c>
      <c r="AT474" t="e">
        <f>_xlfn.XLOOKUP(H474,'Yield &amp; Time'!A:A,'Yield &amp; Time'!F:F)</f>
        <v>#N/A</v>
      </c>
    </row>
    <row r="475" spans="1:46" x14ac:dyDescent="0.25">
      <c r="A475" s="2" t="s">
        <v>699</v>
      </c>
      <c r="B475" s="2" t="s">
        <v>656</v>
      </c>
      <c r="C475" s="2" t="s">
        <v>700</v>
      </c>
      <c r="D475" s="2" t="s">
        <v>554</v>
      </c>
      <c r="E475" s="2">
        <v>1</v>
      </c>
      <c r="F475" s="1" t="str">
        <f>VLOOKUP(H475,'RM Used'!A:B,2,0)</f>
        <v>283ACS</v>
      </c>
      <c r="G475" s="1" t="str">
        <f>IFERROR(VLOOKUP(F475,'RM Cost'!A:B,2,0),"")</f>
        <v>RM - BUTTERNUT SQUASH BIN X 625KG</v>
      </c>
      <c r="H475" s="2" t="s">
        <v>1438</v>
      </c>
      <c r="I475" s="1" t="str">
        <f>VLOOKUP(F475,'RM Used'!B:D,3,0)</f>
        <v>RM-FOOD</v>
      </c>
      <c r="J475" s="66">
        <v>1</v>
      </c>
      <c r="K475" s="35">
        <f t="shared" si="138"/>
        <v>1</v>
      </c>
      <c r="L475" s="35">
        <f t="shared" si="144"/>
        <v>1</v>
      </c>
      <c r="M475" s="77" cm="1">
        <f t="array" ref="M475">_xlfn.IFS(BOM!I475="RM-PACKING","100%",B475="Reynolds",VLOOKUP(H475,'Yield &amp; Time'!A:V,22,0),BOM!B475="Dnata",VLOOKUP(BOM!H475,'Yield &amp; Time'!A:M,13,0),B475="NK",VLOOKUP(H475,'Yield &amp; Time'!A:X,24,0))</f>
        <v>0.72</v>
      </c>
      <c r="N475" s="35">
        <f t="shared" si="137"/>
        <v>1.3888888888888888</v>
      </c>
      <c r="O475" s="1" t="str">
        <f>VLOOKUP(H475,'RM Used'!A:E,5,0)</f>
        <v>KG</v>
      </c>
      <c r="P475" s="11">
        <f>VLOOKUP(H475,'RM Used'!A:F,6,0)</f>
        <v>0.65</v>
      </c>
      <c r="Q475" s="11">
        <f t="shared" si="153"/>
        <v>0.90277777777777779</v>
      </c>
      <c r="R475" s="11">
        <f>IFERROR(IF(B475="Reynolds",VLOOKUP(H475,'Yield &amp; Time'!A:U,21,0),VLOOKUP(H475,'Yield &amp; Time'!A:L,12,0)),0)</f>
        <v>2.92</v>
      </c>
      <c r="S475" s="11">
        <f t="shared" si="145"/>
        <v>0.98841999999999985</v>
      </c>
      <c r="T475" s="11">
        <f t="shared" si="146"/>
        <v>4.8666666666666664E-2</v>
      </c>
      <c r="U475" s="11">
        <f>IF(A474=A475,0,VLOOKUP(A475,'Packing Time'!A:F,6,0))</f>
        <v>0.64166666666666661</v>
      </c>
      <c r="V475" s="11">
        <f t="shared" si="139"/>
        <v>0.21720416666666661</v>
      </c>
      <c r="W475" s="11">
        <f t="shared" si="140"/>
        <v>1.0694444444444444E-2</v>
      </c>
      <c r="X475" s="11">
        <f t="shared" si="147"/>
        <v>1.9289986666666665</v>
      </c>
      <c r="Y475" s="11">
        <f t="shared" si="141"/>
        <v>1.9289986666666665</v>
      </c>
      <c r="Z475" s="37">
        <v>1</v>
      </c>
      <c r="AA475" s="36">
        <f t="shared" si="148"/>
        <v>1.3888888888888888</v>
      </c>
      <c r="AB475" s="36">
        <f t="shared" si="149"/>
        <v>0.90277777777777779</v>
      </c>
      <c r="AC475" s="11">
        <f t="shared" si="150"/>
        <v>9.4977777777777772E-2</v>
      </c>
      <c r="AD475" s="36">
        <f t="shared" si="142"/>
        <v>1.9289986666666663</v>
      </c>
      <c r="AE475" s="36"/>
      <c r="AF475" s="36">
        <f>IFERROR(VLOOKUP(AE475,'Chemical Cost'!A:D,4,0),0)</f>
        <v>0</v>
      </c>
      <c r="AG475" s="114">
        <f t="shared" si="151"/>
        <v>0</v>
      </c>
      <c r="AH475" s="36">
        <f t="shared" si="154"/>
        <v>0</v>
      </c>
      <c r="AI475" s="36">
        <f t="shared" si="143"/>
        <v>2.8317764444444444</v>
      </c>
      <c r="AJ475" s="36">
        <f>IFERROR(VLOOKUP(A475,'All Products'!A:F,6,0),0)</f>
        <v>4.6399999999999997</v>
      </c>
      <c r="AK475" s="36">
        <f>AJ475*Z475*J475</f>
        <v>4.6399999999999997</v>
      </c>
      <c r="AL475" s="23">
        <v>1</v>
      </c>
      <c r="AM475" s="23"/>
      <c r="AN475" s="54" t="e">
        <v>#N/A</v>
      </c>
      <c r="AO475" s="47"/>
      <c r="AP475" s="4">
        <v>1.6</v>
      </c>
      <c r="AQ475" s="111">
        <f t="shared" si="152"/>
        <v>9.4977777777777772E-2</v>
      </c>
      <c r="AR475">
        <f>_xlfn.XLOOKUP(F475,'RM Cost'!A:A,'RM Cost'!S:S)</f>
        <v>0</v>
      </c>
      <c r="AS475" t="e">
        <f>_xlfn.XLOOKUP(A475,[3]Sheet1!$B:$B,[3]Sheet1!$B:$B)</f>
        <v>#N/A</v>
      </c>
    </row>
    <row r="476" spans="1:46" x14ac:dyDescent="0.25">
      <c r="A476" s="2" t="s">
        <v>699</v>
      </c>
      <c r="B476" s="2" t="s">
        <v>656</v>
      </c>
      <c r="C476" s="2" t="s">
        <v>700</v>
      </c>
      <c r="D476" s="2" t="s">
        <v>554</v>
      </c>
      <c r="E476" s="2">
        <v>1</v>
      </c>
      <c r="F476" s="1" t="str">
        <f>VLOOKUP(H476,'RM Used'!A:B,2,0)</f>
        <v>P0008</v>
      </c>
      <c r="G476" s="1" t="str">
        <f>IFERROR(VLOOKUP(F476,'RM Cost'!A:B,2,0),"")</f>
        <v>PALE BLUE BAG 470X750MM</v>
      </c>
      <c r="H476" s="2" t="s">
        <v>1323</v>
      </c>
      <c r="I476" s="1" t="str">
        <f>VLOOKUP(F476,'RM Used'!B:D,3,0)</f>
        <v>RM-PACKING</v>
      </c>
      <c r="J476" s="66">
        <v>1</v>
      </c>
      <c r="K476" s="35" t="str">
        <f t="shared" si="138"/>
        <v/>
      </c>
      <c r="L476" s="35">
        <f t="shared" si="144"/>
        <v>0</v>
      </c>
      <c r="M476" s="77" t="str" cm="1">
        <f t="array" ref="M476">_xlfn.IFS(BOM!I476="RM-PACKING","100%",B476="Reynolds",VLOOKUP(H476,'Yield &amp; Time'!A:V,22,0),BOM!B476="Dnata",VLOOKUP(BOM!H476,'Yield &amp; Time'!A:M,13,0),B476="NK",VLOOKUP(H476,'Yield &amp; Time'!A:X,24,0))</f>
        <v>100%</v>
      </c>
      <c r="N476" s="35">
        <f t="shared" si="137"/>
        <v>1</v>
      </c>
      <c r="O476" s="1" t="str">
        <f>VLOOKUP(H476,'RM Used'!A:E,5,0)</f>
        <v>Count</v>
      </c>
      <c r="P476" s="11">
        <f>VLOOKUP(H476,'RM Used'!A:F,6,0)</f>
        <v>0.14000000000000001</v>
      </c>
      <c r="Q476" s="11">
        <f t="shared" si="153"/>
        <v>0.14000000000000001</v>
      </c>
      <c r="R476" s="11">
        <f>IFERROR(IF(B476="Reynolds",VLOOKUP(H476,'Yield &amp; Time'!A:U,21,0),VLOOKUP(H476,'Yield &amp; Time'!A:L,12,0)),0)</f>
        <v>0</v>
      </c>
      <c r="S476" s="11">
        <f t="shared" si="145"/>
        <v>0</v>
      </c>
      <c r="T476" s="11">
        <f t="shared" si="146"/>
        <v>0</v>
      </c>
      <c r="U476" s="11">
        <f>IF(A475=A476,0,VLOOKUP(A476,'Packing Time'!A:F,6,0))</f>
        <v>0</v>
      </c>
      <c r="V476" s="11">
        <f t="shared" si="139"/>
        <v>0</v>
      </c>
      <c r="W476" s="11">
        <f t="shared" si="140"/>
        <v>0</v>
      </c>
      <c r="X476" s="11">
        <f t="shared" si="147"/>
        <v>0</v>
      </c>
      <c r="Y476" s="11">
        <f t="shared" si="141"/>
        <v>0</v>
      </c>
      <c r="Z476" s="37">
        <v>1</v>
      </c>
      <c r="AA476" s="36">
        <f t="shared" si="148"/>
        <v>1</v>
      </c>
      <c r="AB476" s="36">
        <f t="shared" si="149"/>
        <v>0.14000000000000001</v>
      </c>
      <c r="AC476" s="11">
        <f t="shared" si="150"/>
        <v>0</v>
      </c>
      <c r="AD476" s="36">
        <f t="shared" si="142"/>
        <v>0</v>
      </c>
      <c r="AE476" s="36"/>
      <c r="AF476" s="36">
        <f>IFERROR(VLOOKUP(AE476,'Chemical Cost'!A:D,4,0),0)</f>
        <v>0</v>
      </c>
      <c r="AG476" s="114">
        <f t="shared" si="151"/>
        <v>0</v>
      </c>
      <c r="AH476" s="36">
        <f t="shared" si="154"/>
        <v>0</v>
      </c>
      <c r="AI476" s="36">
        <f t="shared" si="143"/>
        <v>0.14000000000000001</v>
      </c>
      <c r="AJ476" s="36">
        <f>IFERROR(VLOOKUP(A476,'All Products'!A:F,6,0),0)</f>
        <v>4.6399999999999997</v>
      </c>
      <c r="AK476" s="36"/>
      <c r="AL476" s="23">
        <v>1</v>
      </c>
      <c r="AM476" s="23"/>
      <c r="AN476" s="54" t="e">
        <v>#N/A</v>
      </c>
      <c r="AO476" s="47"/>
      <c r="AP476" s="4">
        <v>1.6</v>
      </c>
      <c r="AQ476" s="111">
        <f t="shared" si="152"/>
        <v>0</v>
      </c>
      <c r="AR476">
        <f>_xlfn.XLOOKUP(F476,'RM Cost'!A:A,'RM Cost'!S:S)</f>
        <v>0</v>
      </c>
      <c r="AS476" t="e">
        <f>_xlfn.XLOOKUP(A476,[3]Sheet1!$B:$B,[3]Sheet1!$B:$B)</f>
        <v>#N/A</v>
      </c>
    </row>
    <row r="477" spans="1:46" x14ac:dyDescent="0.25">
      <c r="A477" s="2" t="s">
        <v>355</v>
      </c>
      <c r="B477" s="2" t="s">
        <v>656</v>
      </c>
      <c r="C477" s="2" t="s">
        <v>356</v>
      </c>
      <c r="D477" s="2" t="s">
        <v>554</v>
      </c>
      <c r="E477" s="2">
        <v>2.5</v>
      </c>
      <c r="F477" s="1" t="str">
        <f>VLOOKUP(H477,'RM Used'!A:B,2,0)</f>
        <v>283ACS</v>
      </c>
      <c r="G477" s="1" t="str">
        <f>IFERROR(VLOOKUP(F477,'RM Cost'!A:B,2,0),"")</f>
        <v>RM - BUTTERNUT SQUASH BIN X 625KG</v>
      </c>
      <c r="H477" s="2" t="s">
        <v>1438</v>
      </c>
      <c r="I477" s="1" t="str">
        <f>VLOOKUP(F477,'RM Used'!B:D,3,0)</f>
        <v>RM-FOOD</v>
      </c>
      <c r="J477" s="66">
        <v>1</v>
      </c>
      <c r="K477" s="35">
        <f t="shared" si="138"/>
        <v>2.5</v>
      </c>
      <c r="L477" s="35">
        <f t="shared" si="144"/>
        <v>2.5</v>
      </c>
      <c r="M477" s="77" cm="1">
        <f t="array" ref="M477">_xlfn.IFS(BOM!I477="RM-PACKING","100%",B477="Reynolds",VLOOKUP(H477,'Yield &amp; Time'!A:V,22,0),BOM!B477="Dnata",VLOOKUP(BOM!H477,'Yield &amp; Time'!A:M,13,0),B477="NK",VLOOKUP(H477,'Yield &amp; Time'!A:X,24,0))</f>
        <v>0.72</v>
      </c>
      <c r="N477" s="35">
        <f t="shared" si="137"/>
        <v>3.4722222222222223</v>
      </c>
      <c r="O477" s="1" t="str">
        <f>VLOOKUP(H477,'RM Used'!A:E,5,0)</f>
        <v>KG</v>
      </c>
      <c r="P477" s="11">
        <f>VLOOKUP(H477,'RM Used'!A:F,6,0)</f>
        <v>0.65</v>
      </c>
      <c r="Q477" s="11">
        <f t="shared" si="153"/>
        <v>2.2569444444444446</v>
      </c>
      <c r="R477" s="11">
        <f>IFERROR(IF(B477="Reynolds",VLOOKUP(H477,'Yield &amp; Time'!A:U,21,0),VLOOKUP(H477,'Yield &amp; Time'!A:L,12,0)),0)</f>
        <v>2.92</v>
      </c>
      <c r="S477" s="11">
        <f t="shared" si="145"/>
        <v>2.4710499999999995</v>
      </c>
      <c r="T477" s="11">
        <f t="shared" si="146"/>
        <v>0.12166666666666666</v>
      </c>
      <c r="U477" s="11">
        <f>IF(A476=A477,0,VLOOKUP(A477,'Packing Time'!A:F,6,0))</f>
        <v>0.875</v>
      </c>
      <c r="V477" s="11">
        <f t="shared" si="139"/>
        <v>0.29618749999999999</v>
      </c>
      <c r="W477" s="11">
        <f t="shared" si="140"/>
        <v>1.4583333333333334E-2</v>
      </c>
      <c r="X477" s="11">
        <f t="shared" si="147"/>
        <v>3.4590468749999999</v>
      </c>
      <c r="Y477" s="11">
        <f t="shared" si="141"/>
        <v>3.4590468749999999</v>
      </c>
      <c r="Z477" s="37">
        <v>1</v>
      </c>
      <c r="AA477" s="36">
        <f t="shared" si="148"/>
        <v>3.4722222222222223</v>
      </c>
      <c r="AB477" s="36">
        <f t="shared" si="149"/>
        <v>2.2569444444444446</v>
      </c>
      <c r="AC477" s="11">
        <f t="shared" si="150"/>
        <v>0.17031250000000001</v>
      </c>
      <c r="AD477" s="36">
        <f t="shared" si="142"/>
        <v>3.4590468749999999</v>
      </c>
      <c r="AE477" s="36"/>
      <c r="AF477" s="36">
        <f>IFERROR(VLOOKUP(AE477,'Chemical Cost'!A:D,4,0),0)</f>
        <v>0</v>
      </c>
      <c r="AG477" s="114">
        <f t="shared" si="151"/>
        <v>0</v>
      </c>
      <c r="AH477" s="36">
        <f t="shared" si="154"/>
        <v>0</v>
      </c>
      <c r="AI477" s="36">
        <f t="shared" si="143"/>
        <v>5.7159913194444449</v>
      </c>
      <c r="AJ477" s="36">
        <f>IFERROR(VLOOKUP(A477,'All Products'!A:F,6,0),0)</f>
        <v>11.59</v>
      </c>
      <c r="AK477" s="36">
        <f>AJ477*Z477*J477</f>
        <v>11.59</v>
      </c>
      <c r="AL477" s="23">
        <v>1</v>
      </c>
      <c r="AM477" s="23"/>
      <c r="AN477" s="54" t="e">
        <v>#N/A</v>
      </c>
      <c r="AO477" s="47"/>
      <c r="AP477" s="4">
        <v>1.25</v>
      </c>
      <c r="AQ477" s="111">
        <f t="shared" si="152"/>
        <v>0.17031250000000001</v>
      </c>
      <c r="AR477">
        <f>_xlfn.XLOOKUP(F477,'RM Cost'!A:A,'RM Cost'!S:S)</f>
        <v>0</v>
      </c>
      <c r="AS477" t="e">
        <f>_xlfn.XLOOKUP(A477,[3]Sheet1!$B:$B,[3]Sheet1!$B:$B)</f>
        <v>#N/A</v>
      </c>
    </row>
    <row r="478" spans="1:46" x14ac:dyDescent="0.25">
      <c r="A478" s="2" t="s">
        <v>355</v>
      </c>
      <c r="B478" s="2" t="s">
        <v>656</v>
      </c>
      <c r="C478" s="2" t="s">
        <v>356</v>
      </c>
      <c r="D478" s="2" t="s">
        <v>554</v>
      </c>
      <c r="E478" s="2">
        <v>2.5</v>
      </c>
      <c r="F478" s="1" t="str">
        <f>VLOOKUP(H478,'RM Used'!A:B,2,0)</f>
        <v>P0008</v>
      </c>
      <c r="G478" s="1" t="str">
        <f>IFERROR(VLOOKUP(F478,'RM Cost'!A:B,2,0),"")</f>
        <v>PALE BLUE BAG 470X750MM</v>
      </c>
      <c r="H478" s="2" t="s">
        <v>1323</v>
      </c>
      <c r="I478" s="1" t="str">
        <f>VLOOKUP(F478,'RM Used'!B:D,3,0)</f>
        <v>RM-PACKING</v>
      </c>
      <c r="J478" s="66">
        <v>1</v>
      </c>
      <c r="K478" s="35" t="str">
        <f t="shared" si="138"/>
        <v/>
      </c>
      <c r="L478" s="35">
        <f t="shared" si="144"/>
        <v>0</v>
      </c>
      <c r="M478" s="77" t="str" cm="1">
        <f t="array" ref="M478">_xlfn.IFS(BOM!I478="RM-PACKING","100%",B478="Reynolds",VLOOKUP(H478,'Yield &amp; Time'!A:V,22,0),BOM!B478="Dnata",VLOOKUP(BOM!H478,'Yield &amp; Time'!A:M,13,0),B478="NK",VLOOKUP(H478,'Yield &amp; Time'!A:X,24,0))</f>
        <v>100%</v>
      </c>
      <c r="N478" s="35">
        <f t="shared" si="137"/>
        <v>1</v>
      </c>
      <c r="O478" s="1" t="str">
        <f>VLOOKUP(H478,'RM Used'!A:E,5,0)</f>
        <v>Count</v>
      </c>
      <c r="P478" s="11">
        <f>VLOOKUP(H478,'RM Used'!A:F,6,0)</f>
        <v>0.14000000000000001</v>
      </c>
      <c r="Q478" s="11">
        <f t="shared" si="153"/>
        <v>0.14000000000000001</v>
      </c>
      <c r="R478" s="11">
        <f>IFERROR(IF(B478="Reynolds",VLOOKUP(H478,'Yield &amp; Time'!A:U,21,0),VLOOKUP(H478,'Yield &amp; Time'!A:L,12,0)),0)</f>
        <v>0</v>
      </c>
      <c r="S478" s="11">
        <f t="shared" si="145"/>
        <v>0</v>
      </c>
      <c r="T478" s="11">
        <f t="shared" si="146"/>
        <v>0</v>
      </c>
      <c r="U478" s="11">
        <f>IF(A477=A478,0,VLOOKUP(A478,'Packing Time'!A:F,6,0))</f>
        <v>0</v>
      </c>
      <c r="V478" s="11">
        <f t="shared" si="139"/>
        <v>0</v>
      </c>
      <c r="W478" s="11">
        <f t="shared" si="140"/>
        <v>0</v>
      </c>
      <c r="X478" s="11">
        <f t="shared" si="147"/>
        <v>0</v>
      </c>
      <c r="Y478" s="11">
        <f t="shared" si="141"/>
        <v>0</v>
      </c>
      <c r="Z478" s="37">
        <v>1</v>
      </c>
      <c r="AA478" s="36">
        <f t="shared" si="148"/>
        <v>1</v>
      </c>
      <c r="AB478" s="36">
        <f t="shared" si="149"/>
        <v>0.14000000000000001</v>
      </c>
      <c r="AC478" s="11">
        <f t="shared" si="150"/>
        <v>0</v>
      </c>
      <c r="AD478" s="36">
        <f t="shared" si="142"/>
        <v>0</v>
      </c>
      <c r="AE478" s="36"/>
      <c r="AF478" s="36">
        <f>IFERROR(VLOOKUP(AE478,'Chemical Cost'!A:D,4,0),0)</f>
        <v>0</v>
      </c>
      <c r="AG478" s="114">
        <f t="shared" si="151"/>
        <v>0</v>
      </c>
      <c r="AH478" s="36">
        <f t="shared" si="154"/>
        <v>0</v>
      </c>
      <c r="AI478" s="36">
        <f t="shared" si="143"/>
        <v>0.14000000000000001</v>
      </c>
      <c r="AJ478" s="36">
        <f>IFERROR(VLOOKUP(A478,'All Products'!A:F,6,0),0)</f>
        <v>11.59</v>
      </c>
      <c r="AK478" s="36"/>
      <c r="AL478" s="23">
        <v>1</v>
      </c>
      <c r="AM478" s="23"/>
      <c r="AN478" s="54" t="e">
        <v>#N/A</v>
      </c>
      <c r="AO478" s="47"/>
      <c r="AP478" s="4">
        <v>1.25</v>
      </c>
      <c r="AQ478" s="111">
        <f t="shared" si="152"/>
        <v>0</v>
      </c>
      <c r="AR478">
        <f>_xlfn.XLOOKUP(F478,'RM Cost'!A:A,'RM Cost'!S:S)</f>
        <v>0</v>
      </c>
      <c r="AS478" t="e">
        <f>_xlfn.XLOOKUP(A478,[3]Sheet1!$B:$B,[3]Sheet1!$B:$B)</f>
        <v>#N/A</v>
      </c>
    </row>
    <row r="479" spans="1:46" x14ac:dyDescent="0.25">
      <c r="A479" s="2" t="s">
        <v>491</v>
      </c>
      <c r="B479" s="2" t="s">
        <v>656</v>
      </c>
      <c r="C479" s="2" t="s">
        <v>492</v>
      </c>
      <c r="D479" s="2" t="s">
        <v>554</v>
      </c>
      <c r="E479" s="2">
        <v>1</v>
      </c>
      <c r="F479" s="1" t="str">
        <f>VLOOKUP(H479,'RM Used'!A:B,2,0)</f>
        <v>283ACS</v>
      </c>
      <c r="G479" s="1" t="str">
        <f>IFERROR(VLOOKUP(F479,'RM Cost'!A:B,2,0),"")</f>
        <v>RM - BUTTERNUT SQUASH BIN X 625KG</v>
      </c>
      <c r="H479" s="2" t="s">
        <v>1483</v>
      </c>
      <c r="I479" s="1" t="str">
        <f>VLOOKUP(F479,'RM Used'!B:D,3,0)</f>
        <v>RM-FOOD</v>
      </c>
      <c r="J479" s="66">
        <v>1</v>
      </c>
      <c r="K479" s="35">
        <f t="shared" si="138"/>
        <v>1</v>
      </c>
      <c r="L479" s="35">
        <f t="shared" si="144"/>
        <v>1</v>
      </c>
      <c r="M479" s="77" cm="1">
        <f t="array" ref="M479">_xlfn.IFS(BOM!I479="RM-PACKING","100%",B479="Reynolds",VLOOKUP(H479,'Yield &amp; Time'!A:V,22,0),BOM!B479="Dnata",VLOOKUP(BOM!H479,'Yield &amp; Time'!A:M,13,0),B479="NK",VLOOKUP(H479,'Yield &amp; Time'!A:X,24,0))</f>
        <v>0.73089545241443976</v>
      </c>
      <c r="N479" s="35">
        <f t="shared" ref="N479:N542" si="155">IFERROR(IF(I479="RM-FOOD",(E479*J479)/M479,1),0)</f>
        <v>1.3681847338037203</v>
      </c>
      <c r="O479" s="1" t="str">
        <f>VLOOKUP(H479,'RM Used'!A:E,5,0)</f>
        <v>KG</v>
      </c>
      <c r="P479" s="11">
        <f>VLOOKUP(H479,'RM Used'!A:F,6,0)</f>
        <v>0.65</v>
      </c>
      <c r="Q479" s="11">
        <f t="shared" si="153"/>
        <v>0.88932007697241822</v>
      </c>
      <c r="R479" s="11">
        <f>IFERROR(IF(B479="Reynolds",VLOOKUP(H479,'Yield &amp; Time'!A:U,21,0),VLOOKUP(H479,'Yield &amp; Time'!A:L,12,0)),0)</f>
        <v>1.6570451143895659</v>
      </c>
      <c r="S479" s="11">
        <f t="shared" si="145"/>
        <v>0.56090977122086805</v>
      </c>
      <c r="T479" s="11">
        <f t="shared" si="146"/>
        <v>2.7617418573159431E-2</v>
      </c>
      <c r="U479" s="11">
        <f>IF(A478=A479,0,VLOOKUP(A479,'Packing Time'!A:F,6,0))</f>
        <v>0.64166666666666661</v>
      </c>
      <c r="V479" s="11">
        <f t="shared" si="139"/>
        <v>0.21720416666666661</v>
      </c>
      <c r="W479" s="11">
        <f t="shared" si="140"/>
        <v>1.0694444444444444E-2</v>
      </c>
      <c r="X479" s="11">
        <f t="shared" si="147"/>
        <v>1.2449823006200555</v>
      </c>
      <c r="Y479" s="11">
        <f t="shared" si="141"/>
        <v>1.2449823006200555</v>
      </c>
      <c r="Z479" s="37">
        <v>1</v>
      </c>
      <c r="AA479" s="36">
        <f t="shared" si="148"/>
        <v>1.3681847338037203</v>
      </c>
      <c r="AB479" s="36">
        <f t="shared" si="149"/>
        <v>0.88932007697241822</v>
      </c>
      <c r="AC479" s="11">
        <f t="shared" si="150"/>
        <v>6.1298980828166205E-2</v>
      </c>
      <c r="AD479" s="36">
        <f t="shared" si="142"/>
        <v>1.2449823006200555</v>
      </c>
      <c r="AE479" s="36"/>
      <c r="AF479" s="36">
        <f>IFERROR(VLOOKUP(AE479,'Chemical Cost'!A:D,4,0),0)</f>
        <v>0</v>
      </c>
      <c r="AG479" s="114">
        <f t="shared" si="151"/>
        <v>0</v>
      </c>
      <c r="AH479" s="36">
        <f t="shared" si="154"/>
        <v>0</v>
      </c>
      <c r="AI479" s="36">
        <f t="shared" si="143"/>
        <v>2.1343023775924737</v>
      </c>
      <c r="AJ479" s="36">
        <f>IFERROR(VLOOKUP(A479,'All Products'!A:F,6,0),0)</f>
        <v>3.04</v>
      </c>
      <c r="AK479" s="36">
        <f>AJ479*Z479*J479</f>
        <v>3.04</v>
      </c>
      <c r="AL479" s="23">
        <v>1</v>
      </c>
      <c r="AM479" s="23"/>
      <c r="AN479" s="54" t="e">
        <v>#N/A</v>
      </c>
      <c r="AO479" s="47"/>
      <c r="AP479" s="4">
        <v>1.6</v>
      </c>
      <c r="AQ479" s="111">
        <f t="shared" si="152"/>
        <v>6.1298980828166205E-2</v>
      </c>
      <c r="AR479">
        <f>_xlfn.XLOOKUP(F479,'RM Cost'!A:A,'RM Cost'!S:S)</f>
        <v>0</v>
      </c>
      <c r="AS479" t="e">
        <f>_xlfn.XLOOKUP(A479,[3]Sheet1!$B:$B,[3]Sheet1!$B:$B)</f>
        <v>#N/A</v>
      </c>
    </row>
    <row r="480" spans="1:46" x14ac:dyDescent="0.25">
      <c r="A480" s="2" t="s">
        <v>491</v>
      </c>
      <c r="B480" s="2" t="s">
        <v>656</v>
      </c>
      <c r="C480" s="2" t="s">
        <v>492</v>
      </c>
      <c r="D480" s="2" t="s">
        <v>554</v>
      </c>
      <c r="E480" s="2">
        <v>1</v>
      </c>
      <c r="F480" s="1" t="str">
        <f>VLOOKUP(H480,'RM Used'!A:B,2,0)</f>
        <v>P0008</v>
      </c>
      <c r="G480" s="1" t="str">
        <f>IFERROR(VLOOKUP(F480,'RM Cost'!A:B,2,0),"")</f>
        <v>PALE BLUE BAG 470X750MM</v>
      </c>
      <c r="H480" s="2" t="s">
        <v>1323</v>
      </c>
      <c r="I480" s="1" t="str">
        <f>VLOOKUP(F480,'RM Used'!B:D,3,0)</f>
        <v>RM-PACKING</v>
      </c>
      <c r="J480" s="66">
        <v>1</v>
      </c>
      <c r="K480" s="35" t="str">
        <f t="shared" si="138"/>
        <v/>
      </c>
      <c r="L480" s="35">
        <f t="shared" si="144"/>
        <v>0</v>
      </c>
      <c r="M480" s="77" t="str" cm="1">
        <f t="array" ref="M480">_xlfn.IFS(BOM!I480="RM-PACKING","100%",B480="Reynolds",VLOOKUP(H480,'Yield &amp; Time'!A:V,22,0),BOM!B480="Dnata",VLOOKUP(BOM!H480,'Yield &amp; Time'!A:M,13,0),B480="NK",VLOOKUP(H480,'Yield &amp; Time'!A:X,24,0))</f>
        <v>100%</v>
      </c>
      <c r="N480" s="35">
        <f t="shared" si="155"/>
        <v>1</v>
      </c>
      <c r="O480" s="1" t="str">
        <f>VLOOKUP(H480,'RM Used'!A:E,5,0)</f>
        <v>Count</v>
      </c>
      <c r="P480" s="11">
        <f>VLOOKUP(H480,'RM Used'!A:F,6,0)</f>
        <v>0.14000000000000001</v>
      </c>
      <c r="Q480" s="11">
        <f t="shared" si="153"/>
        <v>0.14000000000000001</v>
      </c>
      <c r="R480" s="11">
        <f>IFERROR(IF(B480="Reynolds",VLOOKUP(H480,'Yield &amp; Time'!A:U,21,0),VLOOKUP(H480,'Yield &amp; Time'!A:L,12,0)),0)</f>
        <v>0</v>
      </c>
      <c r="S480" s="11">
        <f t="shared" si="145"/>
        <v>0</v>
      </c>
      <c r="T480" s="11">
        <f t="shared" si="146"/>
        <v>0</v>
      </c>
      <c r="U480" s="11">
        <f>IF(A479=A480,0,VLOOKUP(A480,'Packing Time'!A:F,6,0))</f>
        <v>0</v>
      </c>
      <c r="V480" s="11">
        <f t="shared" si="139"/>
        <v>0</v>
      </c>
      <c r="W480" s="11">
        <f t="shared" si="140"/>
        <v>0</v>
      </c>
      <c r="X480" s="11">
        <f t="shared" si="147"/>
        <v>0</v>
      </c>
      <c r="Y480" s="11">
        <f t="shared" si="141"/>
        <v>0</v>
      </c>
      <c r="Z480" s="37">
        <v>1</v>
      </c>
      <c r="AA480" s="36">
        <f t="shared" si="148"/>
        <v>1</v>
      </c>
      <c r="AB480" s="36">
        <f t="shared" si="149"/>
        <v>0.14000000000000001</v>
      </c>
      <c r="AC480" s="11">
        <f t="shared" si="150"/>
        <v>0</v>
      </c>
      <c r="AD480" s="36">
        <f t="shared" si="142"/>
        <v>0</v>
      </c>
      <c r="AE480" s="36"/>
      <c r="AF480" s="36">
        <f>IFERROR(VLOOKUP(AE480,'Chemical Cost'!A:D,4,0),0)</f>
        <v>0</v>
      </c>
      <c r="AG480" s="114">
        <f t="shared" si="151"/>
        <v>0</v>
      </c>
      <c r="AH480" s="36">
        <f t="shared" si="154"/>
        <v>0</v>
      </c>
      <c r="AI480" s="36">
        <f t="shared" si="143"/>
        <v>0.14000000000000001</v>
      </c>
      <c r="AJ480" s="36">
        <f>IFERROR(VLOOKUP(A480,'All Products'!A:F,6,0),0)</f>
        <v>3.04</v>
      </c>
      <c r="AK480" s="36"/>
      <c r="AL480" s="23">
        <v>1</v>
      </c>
      <c r="AM480" s="23"/>
      <c r="AN480" s="54" t="e">
        <v>#N/A</v>
      </c>
      <c r="AO480" s="47"/>
      <c r="AP480" s="4">
        <v>1.6</v>
      </c>
      <c r="AQ480" s="111">
        <f t="shared" si="152"/>
        <v>0</v>
      </c>
      <c r="AR480">
        <f>_xlfn.XLOOKUP(F480,'RM Cost'!A:A,'RM Cost'!S:S)</f>
        <v>0</v>
      </c>
      <c r="AS480" t="e">
        <f>_xlfn.XLOOKUP(A480,[3]Sheet1!$B:$B,[3]Sheet1!$B:$B)</f>
        <v>#N/A</v>
      </c>
    </row>
    <row r="481" spans="1:46" x14ac:dyDescent="0.25">
      <c r="A481" s="2" t="s">
        <v>701</v>
      </c>
      <c r="B481" s="2" t="s">
        <v>656</v>
      </c>
      <c r="C481" s="2" t="s">
        <v>702</v>
      </c>
      <c r="D481" s="2" t="s">
        <v>554</v>
      </c>
      <c r="E481" s="2">
        <v>2.5</v>
      </c>
      <c r="F481" s="1" t="str">
        <f>VLOOKUP(H481,'RM Used'!A:B,2,0)</f>
        <v>283ACS</v>
      </c>
      <c r="G481" s="1" t="str">
        <f>IFERROR(VLOOKUP(F481,'RM Cost'!A:B,2,0),"")</f>
        <v>RM - BUTTERNUT SQUASH BIN X 625KG</v>
      </c>
      <c r="H481" s="2" t="s">
        <v>1483</v>
      </c>
      <c r="I481" s="1" t="str">
        <f>VLOOKUP(F481,'RM Used'!B:D,3,0)</f>
        <v>RM-FOOD</v>
      </c>
      <c r="J481" s="66">
        <v>1</v>
      </c>
      <c r="K481" s="35">
        <f t="shared" ref="K481:K544" si="156">IF(I481="RM-FOOD",J481*E481,"")</f>
        <v>2.5</v>
      </c>
      <c r="L481" s="35">
        <f t="shared" si="144"/>
        <v>2.5</v>
      </c>
      <c r="M481" s="77" cm="1">
        <f t="array" ref="M481">_xlfn.IFS(BOM!I481="RM-PACKING","100%",B481="Reynolds",VLOOKUP(H481,'Yield &amp; Time'!A:V,22,0),BOM!B481="Dnata",VLOOKUP(BOM!H481,'Yield &amp; Time'!A:M,13,0),B481="NK",VLOOKUP(H481,'Yield &amp; Time'!A:X,24,0))</f>
        <v>0.73089545241443976</v>
      </c>
      <c r="N481" s="35">
        <f t="shared" si="155"/>
        <v>3.4204618345093007</v>
      </c>
      <c r="O481" s="1" t="str">
        <f>VLOOKUP(H481,'RM Used'!A:E,5,0)</f>
        <v>KG</v>
      </c>
      <c r="P481" s="11">
        <f>VLOOKUP(H481,'RM Used'!A:F,6,0)</f>
        <v>0.65</v>
      </c>
      <c r="Q481" s="11">
        <f t="shared" si="153"/>
        <v>2.2233001924310454</v>
      </c>
      <c r="R481" s="11">
        <f>IFERROR(IF(B481="Reynolds",VLOOKUP(H481,'Yield &amp; Time'!A:U,21,0),VLOOKUP(H481,'Yield &amp; Time'!A:L,12,0)),0)</f>
        <v>1.6570451143895659</v>
      </c>
      <c r="S481" s="11">
        <f t="shared" si="145"/>
        <v>1.4022744280521702</v>
      </c>
      <c r="T481" s="11">
        <f t="shared" si="146"/>
        <v>6.9043546432898589E-2</v>
      </c>
      <c r="U481" s="11">
        <f>IF(A480=A481,0,VLOOKUP(A481,'Packing Time'!A:F,6,0))</f>
        <v>0.875</v>
      </c>
      <c r="V481" s="11">
        <f t="shared" si="139"/>
        <v>0.29618749999999999</v>
      </c>
      <c r="W481" s="11">
        <f t="shared" si="140"/>
        <v>1.4583333333333334E-2</v>
      </c>
      <c r="X481" s="11">
        <f t="shared" si="147"/>
        <v>2.7175390848834722</v>
      </c>
      <c r="Y481" s="11">
        <f t="shared" si="141"/>
        <v>2.7175390848834722</v>
      </c>
      <c r="Z481" s="37">
        <v>1</v>
      </c>
      <c r="AA481" s="36">
        <f t="shared" si="148"/>
        <v>3.4204618345093007</v>
      </c>
      <c r="AB481" s="36">
        <f t="shared" si="149"/>
        <v>2.2233001924310454</v>
      </c>
      <c r="AC481" s="11">
        <f t="shared" si="150"/>
        <v>0.13380300762597105</v>
      </c>
      <c r="AD481" s="36">
        <f t="shared" si="142"/>
        <v>2.7175390848834722</v>
      </c>
      <c r="AE481" s="36"/>
      <c r="AF481" s="36">
        <f>IFERROR(VLOOKUP(AE481,'Chemical Cost'!A:D,4,0),0)</f>
        <v>0</v>
      </c>
      <c r="AG481" s="114">
        <f t="shared" si="151"/>
        <v>0</v>
      </c>
      <c r="AH481" s="36">
        <f t="shared" si="154"/>
        <v>0</v>
      </c>
      <c r="AI481" s="36">
        <f t="shared" si="143"/>
        <v>4.9408392773145176</v>
      </c>
      <c r="AJ481" s="36">
        <f>IFERROR(VLOOKUP(A481,'All Products'!A:F,6,0),0)</f>
        <v>7.58</v>
      </c>
      <c r="AK481" s="36">
        <f>AJ481*Z481*J481</f>
        <v>7.58</v>
      </c>
      <c r="AL481" s="23">
        <v>1</v>
      </c>
      <c r="AM481" s="23"/>
      <c r="AN481" s="54" t="e">
        <v>#N/A</v>
      </c>
      <c r="AO481" s="47"/>
      <c r="AP481" s="4">
        <v>1.6</v>
      </c>
      <c r="AQ481" s="111">
        <f t="shared" si="152"/>
        <v>0.13380300762597105</v>
      </c>
      <c r="AR481">
        <f>_xlfn.XLOOKUP(F481,'RM Cost'!A:A,'RM Cost'!S:S)</f>
        <v>0</v>
      </c>
      <c r="AS481" t="e">
        <f>_xlfn.XLOOKUP(A481,[3]Sheet1!$B:$B,[3]Sheet1!$B:$B)</f>
        <v>#N/A</v>
      </c>
    </row>
    <row r="482" spans="1:46" x14ac:dyDescent="0.25">
      <c r="A482" s="2" t="s">
        <v>701</v>
      </c>
      <c r="B482" s="2" t="s">
        <v>656</v>
      </c>
      <c r="C482" s="2" t="s">
        <v>702</v>
      </c>
      <c r="D482" s="2" t="s">
        <v>554</v>
      </c>
      <c r="E482" s="2">
        <v>2.5</v>
      </c>
      <c r="F482" s="1" t="str">
        <f>VLOOKUP(H482,'RM Used'!A:B,2,0)</f>
        <v>P0008</v>
      </c>
      <c r="G482" s="1" t="str">
        <f>IFERROR(VLOOKUP(F482,'RM Cost'!A:B,2,0),"")</f>
        <v>PALE BLUE BAG 470X750MM</v>
      </c>
      <c r="H482" s="2" t="s">
        <v>1323</v>
      </c>
      <c r="I482" s="1" t="str">
        <f>VLOOKUP(F482,'RM Used'!B:D,3,0)</f>
        <v>RM-PACKING</v>
      </c>
      <c r="J482" s="66">
        <v>1</v>
      </c>
      <c r="K482" s="35" t="str">
        <f t="shared" si="156"/>
        <v/>
      </c>
      <c r="L482" s="35">
        <f t="shared" si="144"/>
        <v>0</v>
      </c>
      <c r="M482" s="77" t="str" cm="1">
        <f t="array" ref="M482">_xlfn.IFS(BOM!I482="RM-PACKING","100%",B482="Reynolds",VLOOKUP(H482,'Yield &amp; Time'!A:V,22,0),BOM!B482="Dnata",VLOOKUP(BOM!H482,'Yield &amp; Time'!A:M,13,0),B482="NK",VLOOKUP(H482,'Yield &amp; Time'!A:X,24,0))</f>
        <v>100%</v>
      </c>
      <c r="N482" s="35">
        <f t="shared" si="155"/>
        <v>1</v>
      </c>
      <c r="O482" s="1" t="str">
        <f>VLOOKUP(H482,'RM Used'!A:E,5,0)</f>
        <v>Count</v>
      </c>
      <c r="P482" s="11">
        <f>VLOOKUP(H482,'RM Used'!A:F,6,0)</f>
        <v>0.14000000000000001</v>
      </c>
      <c r="Q482" s="11">
        <f t="shared" si="153"/>
        <v>0.14000000000000001</v>
      </c>
      <c r="R482" s="11">
        <f>IFERROR(IF(B482="Reynolds",VLOOKUP(H482,'Yield &amp; Time'!A:U,21,0),VLOOKUP(H482,'Yield &amp; Time'!A:L,12,0)),0)</f>
        <v>0</v>
      </c>
      <c r="S482" s="11">
        <f t="shared" si="145"/>
        <v>0</v>
      </c>
      <c r="T482" s="11">
        <f t="shared" si="146"/>
        <v>0</v>
      </c>
      <c r="U482" s="11">
        <f>IF(A481=A482,0,VLOOKUP(A482,'Packing Time'!A:F,6,0))</f>
        <v>0</v>
      </c>
      <c r="V482" s="11">
        <f t="shared" ref="V482:V545" si="157">U482*AO$1</f>
        <v>0</v>
      </c>
      <c r="W482" s="11">
        <f t="shared" ref="W482:W545" si="158">(U482*Z482)/60</f>
        <v>0</v>
      </c>
      <c r="X482" s="11">
        <f t="shared" si="147"/>
        <v>0</v>
      </c>
      <c r="Y482" s="11">
        <f t="shared" ref="Y482:Y545" si="159">X482*Z482</f>
        <v>0</v>
      </c>
      <c r="Z482" s="37">
        <v>1</v>
      </c>
      <c r="AA482" s="36">
        <f t="shared" si="148"/>
        <v>1</v>
      </c>
      <c r="AB482" s="36">
        <f t="shared" si="149"/>
        <v>0.14000000000000001</v>
      </c>
      <c r="AC482" s="11">
        <f t="shared" si="150"/>
        <v>0</v>
      </c>
      <c r="AD482" s="36">
        <f t="shared" ref="AD482:AD545" si="160">AC482*60*AO$1</f>
        <v>0</v>
      </c>
      <c r="AE482" s="36"/>
      <c r="AF482" s="36">
        <f>IFERROR(VLOOKUP(AE482,'Chemical Cost'!A:D,4,0),0)</f>
        <v>0</v>
      </c>
      <c r="AG482" s="114">
        <f t="shared" si="151"/>
        <v>0</v>
      </c>
      <c r="AH482" s="36">
        <f t="shared" si="154"/>
        <v>0</v>
      </c>
      <c r="AI482" s="36">
        <f t="shared" ref="AI482:AI545" si="161">IFERROR((Q482*Z482)+(Z482*X482)+AH482,0)</f>
        <v>0.14000000000000001</v>
      </c>
      <c r="AJ482" s="36">
        <f>IFERROR(VLOOKUP(A482,'All Products'!A:F,6,0),0)</f>
        <v>7.58</v>
      </c>
      <c r="AK482" s="36"/>
      <c r="AL482" s="23">
        <v>1</v>
      </c>
      <c r="AM482" s="23"/>
      <c r="AN482" s="54" t="e">
        <v>#N/A</v>
      </c>
      <c r="AO482" s="47"/>
      <c r="AP482" s="4">
        <v>1.6</v>
      </c>
      <c r="AQ482" s="111">
        <f t="shared" si="152"/>
        <v>0</v>
      </c>
      <c r="AR482">
        <f>_xlfn.XLOOKUP(F482,'RM Cost'!A:A,'RM Cost'!S:S)</f>
        <v>0</v>
      </c>
      <c r="AS482" t="e">
        <f>_xlfn.XLOOKUP(A482,[3]Sheet1!$B:$B,[3]Sheet1!$B:$B)</f>
        <v>#N/A</v>
      </c>
    </row>
    <row r="483" spans="1:46" x14ac:dyDescent="0.25">
      <c r="A483" s="2" t="s">
        <v>427</v>
      </c>
      <c r="B483" s="2" t="s">
        <v>656</v>
      </c>
      <c r="C483" s="2" t="s">
        <v>428</v>
      </c>
      <c r="D483" s="2" t="s">
        <v>554</v>
      </c>
      <c r="E483" s="2">
        <v>1</v>
      </c>
      <c r="F483" s="1" t="str">
        <f>VLOOKUP(H483,'RM Used'!A:B,2,0)</f>
        <v>S3997CS</v>
      </c>
      <c r="G483" s="1" t="str">
        <f>IFERROR(VLOOKUP(F483,'RM Cost'!A:B,2,0),"")</f>
        <v>RM - DECORE WHITE CABBAGE 1/3 1200KG</v>
      </c>
      <c r="H483" s="2" t="s">
        <v>1484</v>
      </c>
      <c r="I483" s="1" t="str">
        <f>VLOOKUP(F483,'RM Used'!B:D,3,0)</f>
        <v>RM-FOOD</v>
      </c>
      <c r="J483" s="66">
        <v>1</v>
      </c>
      <c r="K483" s="35">
        <f t="shared" si="156"/>
        <v>1</v>
      </c>
      <c r="L483" s="35">
        <f t="shared" si="144"/>
        <v>1</v>
      </c>
      <c r="M483" s="77" cm="1">
        <f t="array" ref="M483">_xlfn.IFS(BOM!I483="RM-PACKING","100%",B483="Reynolds",VLOOKUP(H483,'Yield &amp; Time'!A:V,22,0),BOM!B483="Dnata",VLOOKUP(BOM!H483,'Yield &amp; Time'!A:M,13,0),B483="NK",VLOOKUP(H483,'Yield &amp; Time'!A:X,24,0))</f>
        <v>0.80459580307560874</v>
      </c>
      <c r="N483" s="35">
        <f t="shared" si="155"/>
        <v>1.2428600748070631</v>
      </c>
      <c r="O483" s="1" t="str">
        <f>VLOOKUP(H483,'RM Used'!A:E,5,0)</f>
        <v>KG</v>
      </c>
      <c r="P483" s="11">
        <f>VLOOKUP(H483,'RM Used'!A:F,6,0)</f>
        <v>0.34</v>
      </c>
      <c r="Q483" s="11">
        <f t="shared" si="153"/>
        <v>0.42257242543440149</v>
      </c>
      <c r="R483" s="11">
        <f>IFERROR(IF(B483="Reynolds",VLOOKUP(H483,'Yield &amp; Time'!A:U,21,0),VLOOKUP(H483,'Yield &amp; Time'!A:L,12,0)),0)</f>
        <v>0.59055241144076676</v>
      </c>
      <c r="S483" s="11">
        <f t="shared" si="145"/>
        <v>0.19990199127269953</v>
      </c>
      <c r="T483" s="11">
        <f t="shared" si="146"/>
        <v>9.8425401906794465E-3</v>
      </c>
      <c r="U483" s="11">
        <f>IF(A482=A483,0,VLOOKUP(A483,'Packing Time'!A:F,6,0))</f>
        <v>0.64166666666666661</v>
      </c>
      <c r="V483" s="11">
        <f t="shared" si="157"/>
        <v>0.21720416666666661</v>
      </c>
      <c r="W483" s="11">
        <f t="shared" si="158"/>
        <v>1.0694444444444444E-2</v>
      </c>
      <c r="X483" s="11">
        <f t="shared" si="147"/>
        <v>0.58394862111511259</v>
      </c>
      <c r="Y483" s="11">
        <f t="shared" si="159"/>
        <v>0.58394862111511259</v>
      </c>
      <c r="Z483" s="37">
        <v>1</v>
      </c>
      <c r="AA483" s="36">
        <f t="shared" si="148"/>
        <v>1.2428600748070631</v>
      </c>
      <c r="AB483" s="36">
        <f t="shared" si="149"/>
        <v>0.42257242543440149</v>
      </c>
      <c r="AC483" s="11">
        <f t="shared" si="150"/>
        <v>2.8751778489173443E-2</v>
      </c>
      <c r="AD483" s="36">
        <f t="shared" si="160"/>
        <v>0.58394862111511259</v>
      </c>
      <c r="AE483" s="36" t="str">
        <f>VLOOKUP(H483,'Yield &amp; Time'!A:I,9,0)</f>
        <v>CHLORINE</v>
      </c>
      <c r="AF483" s="36">
        <f>IFERROR(VLOOKUP(AE483,'Chemical Cost'!A:D,4,0),0)</f>
        <v>2.7756518066439469E-2</v>
      </c>
      <c r="AG483" s="114">
        <f t="shared" si="151"/>
        <v>1.1499156040146187E-2</v>
      </c>
      <c r="AH483" s="36">
        <f t="shared" si="154"/>
        <v>1.1499156040146187E-2</v>
      </c>
      <c r="AI483" s="36">
        <f t="shared" si="161"/>
        <v>1.0180202025896603</v>
      </c>
      <c r="AJ483" s="36">
        <f>IFERROR(VLOOKUP(A483,'All Products'!A:F,6,0),0)</f>
        <v>3.11</v>
      </c>
      <c r="AK483" s="36">
        <f>AJ483*Z483*J483</f>
        <v>3.11</v>
      </c>
      <c r="AL483" s="23">
        <v>0.8</v>
      </c>
      <c r="AM483" s="23">
        <v>0.2</v>
      </c>
      <c r="AN483" s="54" t="e">
        <v>#N/A</v>
      </c>
      <c r="AO483" s="47"/>
      <c r="AP483" s="4">
        <v>1.4</v>
      </c>
      <c r="AQ483" s="111">
        <f t="shared" si="152"/>
        <v>2.8751778489173443E-2</v>
      </c>
      <c r="AR483">
        <f>_xlfn.XLOOKUP(F483,'RM Cost'!A:A,'RM Cost'!S:S)</f>
        <v>0.29914853989077506</v>
      </c>
      <c r="AS483" t="str">
        <f>_xlfn.XLOOKUP(A483,[3]Sheet1!$B:$B,[3]Sheet1!$B:$B)</f>
        <v>Z238CS</v>
      </c>
      <c r="AT483">
        <f>_xlfn.XLOOKUP(H483,'Yield &amp; Time'!A:A,'Yield &amp; Time'!F:F)</f>
        <v>0</v>
      </c>
    </row>
    <row r="484" spans="1:46" x14ac:dyDescent="0.25">
      <c r="A484" s="2" t="s">
        <v>427</v>
      </c>
      <c r="B484" s="2" t="s">
        <v>656</v>
      </c>
      <c r="C484" s="2" t="s">
        <v>428</v>
      </c>
      <c r="D484" s="2" t="s">
        <v>554</v>
      </c>
      <c r="E484" s="2">
        <v>1</v>
      </c>
      <c r="F484" s="1" t="str">
        <f>VLOOKUP(H484,'RM Used'!A:B,2,0)</f>
        <v>P0008</v>
      </c>
      <c r="G484" s="1" t="str">
        <f>IFERROR(VLOOKUP(F484,'RM Cost'!A:B,2,0),"")</f>
        <v>PALE BLUE BAG 470X750MM</v>
      </c>
      <c r="H484" s="2" t="s">
        <v>1323</v>
      </c>
      <c r="I484" s="1" t="str">
        <f>VLOOKUP(F484,'RM Used'!B:D,3,0)</f>
        <v>RM-PACKING</v>
      </c>
      <c r="J484" s="66">
        <v>1</v>
      </c>
      <c r="K484" s="35" t="str">
        <f t="shared" si="156"/>
        <v/>
      </c>
      <c r="L484" s="35">
        <f t="shared" si="144"/>
        <v>0</v>
      </c>
      <c r="M484" s="77" t="str" cm="1">
        <f t="array" ref="M484">_xlfn.IFS(BOM!I484="RM-PACKING","100%",B484="Reynolds",VLOOKUP(H484,'Yield &amp; Time'!A:V,22,0),BOM!B484="Dnata",VLOOKUP(BOM!H484,'Yield &amp; Time'!A:M,13,0),B484="NK",VLOOKUP(H484,'Yield &amp; Time'!A:X,24,0))</f>
        <v>100%</v>
      </c>
      <c r="N484" s="35">
        <f t="shared" si="155"/>
        <v>1</v>
      </c>
      <c r="O484" s="1" t="str">
        <f>VLOOKUP(H484,'RM Used'!A:E,5,0)</f>
        <v>Count</v>
      </c>
      <c r="P484" s="11">
        <f>VLOOKUP(H484,'RM Used'!A:F,6,0)</f>
        <v>0.14000000000000001</v>
      </c>
      <c r="Q484" s="11">
        <f t="shared" si="153"/>
        <v>0.14000000000000001</v>
      </c>
      <c r="R484" s="11">
        <f>IFERROR(IF(B484="Reynolds",VLOOKUP(H484,'Yield &amp; Time'!A:U,21,0),VLOOKUP(H484,'Yield &amp; Time'!A:L,12,0)),0)</f>
        <v>0</v>
      </c>
      <c r="S484" s="11">
        <f t="shared" si="145"/>
        <v>0</v>
      </c>
      <c r="T484" s="11">
        <f t="shared" si="146"/>
        <v>0</v>
      </c>
      <c r="U484" s="11">
        <f>IF(A483=A484,0,VLOOKUP(A484,'Packing Time'!A:F,6,0))</f>
        <v>0</v>
      </c>
      <c r="V484" s="11">
        <f t="shared" si="157"/>
        <v>0</v>
      </c>
      <c r="W484" s="11">
        <f t="shared" si="158"/>
        <v>0</v>
      </c>
      <c r="X484" s="11">
        <f t="shared" si="147"/>
        <v>0</v>
      </c>
      <c r="Y484" s="11">
        <f t="shared" si="159"/>
        <v>0</v>
      </c>
      <c r="Z484" s="37">
        <v>1</v>
      </c>
      <c r="AA484" s="36">
        <f t="shared" si="148"/>
        <v>1</v>
      </c>
      <c r="AB484" s="36">
        <f t="shared" si="149"/>
        <v>0.14000000000000001</v>
      </c>
      <c r="AC484" s="11">
        <f t="shared" si="150"/>
        <v>0</v>
      </c>
      <c r="AD484" s="36">
        <f t="shared" si="160"/>
        <v>0</v>
      </c>
      <c r="AE484" s="36"/>
      <c r="AF484" s="36">
        <f>IFERROR(VLOOKUP(AE484,'Chemical Cost'!A:D,4,0),0)</f>
        <v>0</v>
      </c>
      <c r="AG484" s="114">
        <f t="shared" si="151"/>
        <v>0</v>
      </c>
      <c r="AH484" s="36">
        <f t="shared" si="154"/>
        <v>0</v>
      </c>
      <c r="AI484" s="36">
        <f t="shared" si="161"/>
        <v>0.14000000000000001</v>
      </c>
      <c r="AJ484" s="36">
        <f>IFERROR(VLOOKUP(A484,'All Products'!A:F,6,0),0)</f>
        <v>3.11</v>
      </c>
      <c r="AK484" s="36"/>
      <c r="AL484" s="23">
        <v>0.8</v>
      </c>
      <c r="AM484" s="23">
        <v>0.2</v>
      </c>
      <c r="AN484" s="54" t="e">
        <v>#N/A</v>
      </c>
      <c r="AO484" s="47"/>
      <c r="AP484" s="4">
        <v>1.4</v>
      </c>
      <c r="AQ484" s="111">
        <f t="shared" si="152"/>
        <v>0</v>
      </c>
      <c r="AR484">
        <f>_xlfn.XLOOKUP(F484,'RM Cost'!A:A,'RM Cost'!S:S)</f>
        <v>0</v>
      </c>
      <c r="AS484" t="str">
        <f>_xlfn.XLOOKUP(A484,[3]Sheet1!$B:$B,[3]Sheet1!$B:$B)</f>
        <v>Z238CS</v>
      </c>
      <c r="AT484" t="e">
        <f>_xlfn.XLOOKUP(H484,'Yield &amp; Time'!A:A,'Yield &amp; Time'!F:F)</f>
        <v>#N/A</v>
      </c>
    </row>
    <row r="485" spans="1:46" x14ac:dyDescent="0.25">
      <c r="A485" s="2" t="s">
        <v>351</v>
      </c>
      <c r="B485" s="2" t="s">
        <v>656</v>
      </c>
      <c r="C485" s="2" t="s">
        <v>352</v>
      </c>
      <c r="D485" s="2" t="s">
        <v>554</v>
      </c>
      <c r="E485" s="2">
        <v>2.5</v>
      </c>
      <c r="F485" s="1" t="str">
        <f>VLOOKUP(H485,'RM Used'!A:B,2,0)</f>
        <v>S3997CS</v>
      </c>
      <c r="G485" s="1" t="str">
        <f>IFERROR(VLOOKUP(F485,'RM Cost'!A:B,2,0),"")</f>
        <v>RM - DECORE WHITE CABBAGE 1/3 1200KG</v>
      </c>
      <c r="H485" s="2" t="s">
        <v>1484</v>
      </c>
      <c r="I485" s="1" t="str">
        <f>VLOOKUP(F485,'RM Used'!B:D,3,0)</f>
        <v>RM-FOOD</v>
      </c>
      <c r="J485" s="66">
        <v>1</v>
      </c>
      <c r="K485" s="35">
        <f t="shared" si="156"/>
        <v>2.5</v>
      </c>
      <c r="L485" s="35">
        <f t="shared" si="144"/>
        <v>2.5</v>
      </c>
      <c r="M485" s="77" cm="1">
        <f t="array" ref="M485">_xlfn.IFS(BOM!I485="RM-PACKING","100%",B485="Reynolds",VLOOKUP(H485,'Yield &amp; Time'!A:V,22,0),BOM!B485="Dnata",VLOOKUP(BOM!H485,'Yield &amp; Time'!A:M,13,0),B485="NK",VLOOKUP(H485,'Yield &amp; Time'!A:X,24,0))</f>
        <v>0.80459580307560874</v>
      </c>
      <c r="N485" s="35">
        <f t="shared" si="155"/>
        <v>3.1071501870176577</v>
      </c>
      <c r="O485" s="1" t="str">
        <f>VLOOKUP(H485,'RM Used'!A:E,5,0)</f>
        <v>KG</v>
      </c>
      <c r="P485" s="11">
        <f>VLOOKUP(H485,'RM Used'!A:F,6,0)</f>
        <v>0.34</v>
      </c>
      <c r="Q485" s="11">
        <f t="shared" si="153"/>
        <v>1.0564310635860037</v>
      </c>
      <c r="R485" s="11">
        <f>IFERROR(IF(B485="Reynolds",VLOOKUP(H485,'Yield &amp; Time'!A:U,21,0),VLOOKUP(H485,'Yield &amp; Time'!A:L,12,0)),0)</f>
        <v>0.59055241144076676</v>
      </c>
      <c r="S485" s="11">
        <f t="shared" si="145"/>
        <v>0.4997549781817488</v>
      </c>
      <c r="T485" s="11">
        <f t="shared" si="146"/>
        <v>2.4606350476698614E-2</v>
      </c>
      <c r="U485" s="11">
        <f>IF(A484=A485,0,VLOOKUP(A485,'Packing Time'!A:F,6,0))</f>
        <v>0.875</v>
      </c>
      <c r="V485" s="11">
        <f t="shared" si="157"/>
        <v>0.29618749999999999</v>
      </c>
      <c r="W485" s="11">
        <f t="shared" si="158"/>
        <v>1.4583333333333334E-2</v>
      </c>
      <c r="X485" s="11">
        <f t="shared" si="147"/>
        <v>0.87553672599992372</v>
      </c>
      <c r="Y485" s="11">
        <f t="shared" si="159"/>
        <v>0.87553672599992372</v>
      </c>
      <c r="Z485" s="37">
        <v>1</v>
      </c>
      <c r="AA485" s="36">
        <f t="shared" si="148"/>
        <v>3.1071501870176577</v>
      </c>
      <c r="AB485" s="36">
        <f t="shared" si="149"/>
        <v>1.0564310635860037</v>
      </c>
      <c r="AC485" s="11">
        <f t="shared" si="150"/>
        <v>4.3108652191035143E-2</v>
      </c>
      <c r="AD485" s="36">
        <f t="shared" si="160"/>
        <v>0.87553672599992372</v>
      </c>
      <c r="AE485" s="36" t="str">
        <f>VLOOKUP(H485,'Yield &amp; Time'!A:I,9,0)</f>
        <v>CHLORINE</v>
      </c>
      <c r="AF485" s="36">
        <f>IFERROR(VLOOKUP(AE485,'Chemical Cost'!A:D,4,0),0)</f>
        <v>2.7756518066439469E-2</v>
      </c>
      <c r="AG485" s="114">
        <f t="shared" si="151"/>
        <v>2.8747890100365464E-2</v>
      </c>
      <c r="AH485" s="36">
        <f t="shared" si="154"/>
        <v>2.8747890100365464E-2</v>
      </c>
      <c r="AI485" s="36">
        <f t="shared" si="161"/>
        <v>1.960715679686293</v>
      </c>
      <c r="AJ485" s="36">
        <f>IFERROR(VLOOKUP(A485,'All Products'!A:F,6,0),0)</f>
        <v>7.78</v>
      </c>
      <c r="AK485" s="36">
        <f>AJ485*Z485*J485</f>
        <v>7.78</v>
      </c>
      <c r="AL485" s="23">
        <v>0.8</v>
      </c>
      <c r="AM485" s="23">
        <v>0.2</v>
      </c>
      <c r="AN485" s="54" t="e">
        <v>#N/A</v>
      </c>
      <c r="AO485" s="47"/>
      <c r="AP485" s="4">
        <v>1.1000000000000001</v>
      </c>
      <c r="AQ485" s="111">
        <f t="shared" si="152"/>
        <v>4.3108652191035143E-2</v>
      </c>
      <c r="AR485">
        <f>_xlfn.XLOOKUP(F485,'RM Cost'!A:A,'RM Cost'!S:S)</f>
        <v>0.29914853989077506</v>
      </c>
      <c r="AS485" t="str">
        <f>_xlfn.XLOOKUP(A485,[3]Sheet1!$B:$B,[3]Sheet1!$B:$B)</f>
        <v>Z237CS</v>
      </c>
      <c r="AT485">
        <f>_xlfn.XLOOKUP(H485,'Yield &amp; Time'!A:A,'Yield &amp; Time'!F:F)</f>
        <v>0</v>
      </c>
    </row>
    <row r="486" spans="1:46" x14ac:dyDescent="0.25">
      <c r="A486" s="2" t="s">
        <v>351</v>
      </c>
      <c r="B486" s="2" t="s">
        <v>656</v>
      </c>
      <c r="C486" s="2" t="s">
        <v>352</v>
      </c>
      <c r="D486" s="2" t="s">
        <v>554</v>
      </c>
      <c r="E486" s="2">
        <v>2.5</v>
      </c>
      <c r="F486" s="1" t="str">
        <f>VLOOKUP(H486,'RM Used'!A:B,2,0)</f>
        <v>P0008</v>
      </c>
      <c r="G486" s="1" t="str">
        <f>IFERROR(VLOOKUP(F486,'RM Cost'!A:B,2,0),"")</f>
        <v>PALE BLUE BAG 470X750MM</v>
      </c>
      <c r="H486" s="2" t="s">
        <v>1323</v>
      </c>
      <c r="I486" s="1" t="str">
        <f>VLOOKUP(F486,'RM Used'!B:D,3,0)</f>
        <v>RM-PACKING</v>
      </c>
      <c r="J486" s="66">
        <v>1</v>
      </c>
      <c r="K486" s="35" t="str">
        <f t="shared" si="156"/>
        <v/>
      </c>
      <c r="L486" s="35">
        <f t="shared" si="144"/>
        <v>0</v>
      </c>
      <c r="M486" s="77" t="str" cm="1">
        <f t="array" ref="M486">_xlfn.IFS(BOM!I486="RM-PACKING","100%",B486="Reynolds",VLOOKUP(H486,'Yield &amp; Time'!A:V,22,0),BOM!B486="Dnata",VLOOKUP(BOM!H486,'Yield &amp; Time'!A:M,13,0),B486="NK",VLOOKUP(H486,'Yield &amp; Time'!A:X,24,0))</f>
        <v>100%</v>
      </c>
      <c r="N486" s="35">
        <f t="shared" si="155"/>
        <v>1</v>
      </c>
      <c r="O486" s="1" t="str">
        <f>VLOOKUP(H486,'RM Used'!A:E,5,0)</f>
        <v>Count</v>
      </c>
      <c r="P486" s="11">
        <f>VLOOKUP(H486,'RM Used'!A:F,6,0)</f>
        <v>0.14000000000000001</v>
      </c>
      <c r="Q486" s="11">
        <f t="shared" si="153"/>
        <v>0.14000000000000001</v>
      </c>
      <c r="R486" s="11">
        <f>IFERROR(IF(B486="Reynolds",VLOOKUP(H486,'Yield &amp; Time'!A:U,21,0),VLOOKUP(H486,'Yield &amp; Time'!A:L,12,0)),0)</f>
        <v>0</v>
      </c>
      <c r="S486" s="11">
        <f t="shared" si="145"/>
        <v>0</v>
      </c>
      <c r="T486" s="11">
        <f t="shared" si="146"/>
        <v>0</v>
      </c>
      <c r="U486" s="11">
        <f>IF(A485=A486,0,VLOOKUP(A486,'Packing Time'!A:F,6,0))</f>
        <v>0</v>
      </c>
      <c r="V486" s="11">
        <f t="shared" si="157"/>
        <v>0</v>
      </c>
      <c r="W486" s="11">
        <f t="shared" si="158"/>
        <v>0</v>
      </c>
      <c r="X486" s="11">
        <f t="shared" si="147"/>
        <v>0</v>
      </c>
      <c r="Y486" s="11">
        <f t="shared" si="159"/>
        <v>0</v>
      </c>
      <c r="Z486" s="37">
        <v>1</v>
      </c>
      <c r="AA486" s="36">
        <f t="shared" si="148"/>
        <v>1</v>
      </c>
      <c r="AB486" s="36">
        <f t="shared" si="149"/>
        <v>0.14000000000000001</v>
      </c>
      <c r="AC486" s="11">
        <f t="shared" si="150"/>
        <v>0</v>
      </c>
      <c r="AD486" s="36">
        <f t="shared" si="160"/>
        <v>0</v>
      </c>
      <c r="AE486" s="36"/>
      <c r="AF486" s="36">
        <f>IFERROR(VLOOKUP(AE486,'Chemical Cost'!A:D,4,0),0)</f>
        <v>0</v>
      </c>
      <c r="AG486" s="114">
        <f t="shared" si="151"/>
        <v>0</v>
      </c>
      <c r="AH486" s="36">
        <f t="shared" si="154"/>
        <v>0</v>
      </c>
      <c r="AI486" s="36">
        <f t="shared" si="161"/>
        <v>0.14000000000000001</v>
      </c>
      <c r="AJ486" s="36">
        <f>IFERROR(VLOOKUP(A486,'All Products'!A:F,6,0),0)</f>
        <v>7.78</v>
      </c>
      <c r="AK486" s="36"/>
      <c r="AL486" s="23">
        <v>0.8</v>
      </c>
      <c r="AM486" s="23">
        <v>0.2</v>
      </c>
      <c r="AN486" s="54" t="e">
        <v>#N/A</v>
      </c>
      <c r="AO486" s="47"/>
      <c r="AP486" s="4">
        <v>1.1000000000000001</v>
      </c>
      <c r="AQ486" s="111">
        <f t="shared" si="152"/>
        <v>0</v>
      </c>
      <c r="AR486">
        <f>_xlfn.XLOOKUP(F486,'RM Cost'!A:A,'RM Cost'!S:S)</f>
        <v>0</v>
      </c>
      <c r="AS486" t="str">
        <f>_xlfn.XLOOKUP(A486,[3]Sheet1!$B:$B,[3]Sheet1!$B:$B)</f>
        <v>Z237CS</v>
      </c>
      <c r="AT486" t="e">
        <f>_xlfn.XLOOKUP(H486,'Yield &amp; Time'!A:A,'Yield &amp; Time'!F:F)</f>
        <v>#N/A</v>
      </c>
    </row>
    <row r="487" spans="1:46" x14ac:dyDescent="0.25">
      <c r="A487" s="2" t="s">
        <v>703</v>
      </c>
      <c r="B487" s="2" t="s">
        <v>656</v>
      </c>
      <c r="C487" s="2" t="s">
        <v>704</v>
      </c>
      <c r="D487" s="2" t="s">
        <v>554</v>
      </c>
      <c r="E487" s="2">
        <v>1</v>
      </c>
      <c r="F487" s="1" t="str">
        <f>VLOOKUP(H487,'RM Used'!A:B,2,0)</f>
        <v>3516CS</v>
      </c>
      <c r="G487" s="1" t="str">
        <f>IFERROR(VLOOKUP(F487,'RM Cost'!A:B,2,0),"")</f>
        <v>LETTUCE CHINESE LEAF X 8 EA</v>
      </c>
      <c r="H487" s="2" t="s">
        <v>1485</v>
      </c>
      <c r="I487" s="1" t="str">
        <f>VLOOKUP(F487,'RM Used'!B:D,3,0)</f>
        <v>RM-FOOD</v>
      </c>
      <c r="J487" s="66">
        <v>1</v>
      </c>
      <c r="K487" s="35">
        <f t="shared" si="156"/>
        <v>1</v>
      </c>
      <c r="L487" s="35">
        <f t="shared" si="144"/>
        <v>1</v>
      </c>
      <c r="M487" s="77" cm="1">
        <f t="array" ref="M487">_xlfn.IFS(BOM!I487="RM-PACKING","100%",B487="Reynolds",VLOOKUP(H487,'Yield &amp; Time'!A:V,22,0),BOM!B487="Dnata",VLOOKUP(BOM!H487,'Yield &amp; Time'!A:M,13,0),B487="NK",VLOOKUP(H487,'Yield &amp; Time'!A:X,24,0))</f>
        <v>0.77272727272727271</v>
      </c>
      <c r="N487" s="35">
        <f t="shared" si="155"/>
        <v>1.2941176470588236</v>
      </c>
      <c r="O487" s="1" t="str">
        <f>VLOOKUP(H487,'RM Used'!A:E,5,0)</f>
        <v>KG</v>
      </c>
      <c r="P487" s="11">
        <f>VLOOKUP(H487,'RM Used'!A:F,6,0)</f>
        <v>1.1599999999999999</v>
      </c>
      <c r="Q487" s="11">
        <f t="shared" si="153"/>
        <v>1.5011764705882353</v>
      </c>
      <c r="R487" s="11">
        <f>IFERROR(IF(B487="Reynolds",VLOOKUP(H487,'Yield &amp; Time'!A:U,21,0),VLOOKUP(H487,'Yield &amp; Time'!A:L,12,0)),0)</f>
        <v>1.6106442577030813</v>
      </c>
      <c r="S487" s="11">
        <f t="shared" si="145"/>
        <v>0.54520308123249295</v>
      </c>
      <c r="T487" s="11">
        <f t="shared" si="146"/>
        <v>2.6844070961718022E-2</v>
      </c>
      <c r="U487" s="11">
        <f>IF(A486=A487,0,VLOOKUP(A487,'Packing Time'!A:F,6,0))</f>
        <v>0.64166666666666661</v>
      </c>
      <c r="V487" s="11">
        <f t="shared" si="157"/>
        <v>0.21720416666666661</v>
      </c>
      <c r="W487" s="11">
        <f t="shared" si="158"/>
        <v>1.0694444444444444E-2</v>
      </c>
      <c r="X487" s="11">
        <f t="shared" si="147"/>
        <v>1.2198515966386554</v>
      </c>
      <c r="Y487" s="11">
        <f t="shared" si="159"/>
        <v>1.2198515966386554</v>
      </c>
      <c r="Z487" s="37">
        <v>1</v>
      </c>
      <c r="AA487" s="36">
        <f t="shared" si="148"/>
        <v>1.2941176470588236</v>
      </c>
      <c r="AB487" s="36">
        <f t="shared" si="149"/>
        <v>1.5011764705882353</v>
      </c>
      <c r="AC487" s="11">
        <f t="shared" si="150"/>
        <v>6.0061624649859952E-2</v>
      </c>
      <c r="AD487" s="36">
        <f t="shared" si="160"/>
        <v>1.2198515966386554</v>
      </c>
      <c r="AE487" s="36"/>
      <c r="AF487" s="36">
        <f>IFERROR(VLOOKUP(AE487,'Chemical Cost'!A:D,4,0),0)</f>
        <v>0</v>
      </c>
      <c r="AG487" s="114">
        <f t="shared" si="151"/>
        <v>0</v>
      </c>
      <c r="AH487" s="36">
        <f t="shared" si="154"/>
        <v>0</v>
      </c>
      <c r="AI487" s="36">
        <f t="shared" si="161"/>
        <v>2.7210280672268907</v>
      </c>
      <c r="AJ487" s="36">
        <f>IFERROR(VLOOKUP(A487,'All Products'!A:F,6,0),0)</f>
        <v>4.6100000000000003</v>
      </c>
      <c r="AK487" s="36">
        <f>AJ487*Z487*J487</f>
        <v>4.6100000000000003</v>
      </c>
      <c r="AL487" s="23">
        <v>1</v>
      </c>
      <c r="AM487" s="23"/>
      <c r="AN487" s="54" t="e">
        <v>#N/A</v>
      </c>
      <c r="AO487" s="47"/>
      <c r="AP487" s="4">
        <v>1.6</v>
      </c>
      <c r="AQ487" s="111">
        <f t="shared" si="152"/>
        <v>6.0061624649859952E-2</v>
      </c>
      <c r="AR487">
        <f>_xlfn.XLOOKUP(F487,'RM Cost'!A:A,'RM Cost'!S:S)</f>
        <v>0</v>
      </c>
      <c r="AS487" t="e">
        <f>_xlfn.XLOOKUP(A487,[3]Sheet1!$B:$B,[3]Sheet1!$B:$B)</f>
        <v>#N/A</v>
      </c>
    </row>
    <row r="488" spans="1:46" x14ac:dyDescent="0.25">
      <c r="A488" s="2" t="s">
        <v>703</v>
      </c>
      <c r="B488" s="2" t="s">
        <v>656</v>
      </c>
      <c r="C488" s="2" t="s">
        <v>704</v>
      </c>
      <c r="D488" s="2" t="s">
        <v>554</v>
      </c>
      <c r="E488" s="2">
        <v>1</v>
      </c>
      <c r="F488" s="1" t="str">
        <f>VLOOKUP(H488,'RM Used'!A:B,2,0)</f>
        <v>P0008</v>
      </c>
      <c r="G488" s="1" t="str">
        <f>IFERROR(VLOOKUP(F488,'RM Cost'!A:B,2,0),"")</f>
        <v>PALE BLUE BAG 470X750MM</v>
      </c>
      <c r="H488" s="2" t="s">
        <v>1323</v>
      </c>
      <c r="I488" s="1" t="str">
        <f>VLOOKUP(F488,'RM Used'!B:D,3,0)</f>
        <v>RM-PACKING</v>
      </c>
      <c r="J488" s="66">
        <v>1</v>
      </c>
      <c r="K488" s="35" t="str">
        <f t="shared" si="156"/>
        <v/>
      </c>
      <c r="L488" s="35">
        <f t="shared" si="144"/>
        <v>0</v>
      </c>
      <c r="M488" s="77" t="str" cm="1">
        <f t="array" ref="M488">_xlfn.IFS(BOM!I488="RM-PACKING","100%",B488="Reynolds",VLOOKUP(H488,'Yield &amp; Time'!A:V,22,0),BOM!B488="Dnata",VLOOKUP(BOM!H488,'Yield &amp; Time'!A:M,13,0),B488="NK",VLOOKUP(H488,'Yield &amp; Time'!A:X,24,0))</f>
        <v>100%</v>
      </c>
      <c r="N488" s="35">
        <f t="shared" si="155"/>
        <v>1</v>
      </c>
      <c r="O488" s="1" t="str">
        <f>VLOOKUP(H488,'RM Used'!A:E,5,0)</f>
        <v>Count</v>
      </c>
      <c r="P488" s="11">
        <f>VLOOKUP(H488,'RM Used'!A:F,6,0)</f>
        <v>0.14000000000000001</v>
      </c>
      <c r="Q488" s="11">
        <f t="shared" si="153"/>
        <v>0.14000000000000001</v>
      </c>
      <c r="R488" s="11">
        <f>IFERROR(IF(B488="Reynolds",VLOOKUP(H488,'Yield &amp; Time'!A:U,21,0),VLOOKUP(H488,'Yield &amp; Time'!A:L,12,0)),0)</f>
        <v>0</v>
      </c>
      <c r="S488" s="11">
        <f t="shared" si="145"/>
        <v>0</v>
      </c>
      <c r="T488" s="11">
        <f t="shared" si="146"/>
        <v>0</v>
      </c>
      <c r="U488" s="11">
        <f>IF(A487=A488,0,VLOOKUP(A488,'Packing Time'!A:F,6,0))</f>
        <v>0</v>
      </c>
      <c r="V488" s="11">
        <f t="shared" si="157"/>
        <v>0</v>
      </c>
      <c r="W488" s="11">
        <f t="shared" si="158"/>
        <v>0</v>
      </c>
      <c r="X488" s="11">
        <f t="shared" si="147"/>
        <v>0</v>
      </c>
      <c r="Y488" s="11">
        <f t="shared" si="159"/>
        <v>0</v>
      </c>
      <c r="Z488" s="37">
        <v>1</v>
      </c>
      <c r="AA488" s="36">
        <f t="shared" si="148"/>
        <v>1</v>
      </c>
      <c r="AB488" s="36">
        <f t="shared" si="149"/>
        <v>0.14000000000000001</v>
      </c>
      <c r="AC488" s="11">
        <f t="shared" si="150"/>
        <v>0</v>
      </c>
      <c r="AD488" s="36">
        <f t="shared" si="160"/>
        <v>0</v>
      </c>
      <c r="AE488" s="36"/>
      <c r="AF488" s="36">
        <f>IFERROR(VLOOKUP(AE488,'Chemical Cost'!A:D,4,0),0)</f>
        <v>0</v>
      </c>
      <c r="AG488" s="114">
        <f t="shared" si="151"/>
        <v>0</v>
      </c>
      <c r="AH488" s="36">
        <f t="shared" si="154"/>
        <v>0</v>
      </c>
      <c r="AI488" s="36">
        <f t="shared" si="161"/>
        <v>0.14000000000000001</v>
      </c>
      <c r="AJ488" s="36">
        <f>IFERROR(VLOOKUP(A488,'All Products'!A:F,6,0),0)</f>
        <v>4.6100000000000003</v>
      </c>
      <c r="AK488" s="36"/>
      <c r="AL488" s="23">
        <v>1</v>
      </c>
      <c r="AM488" s="23"/>
      <c r="AN488" s="54" t="e">
        <v>#N/A</v>
      </c>
      <c r="AO488" s="47"/>
      <c r="AP488" s="4">
        <v>1.6</v>
      </c>
      <c r="AQ488" s="111">
        <f t="shared" si="152"/>
        <v>0</v>
      </c>
      <c r="AR488">
        <f>_xlfn.XLOOKUP(F488,'RM Cost'!A:A,'RM Cost'!S:S)</f>
        <v>0</v>
      </c>
      <c r="AS488" t="e">
        <f>_xlfn.XLOOKUP(A488,[3]Sheet1!$B:$B,[3]Sheet1!$B:$B)</f>
        <v>#N/A</v>
      </c>
    </row>
    <row r="489" spans="1:46" x14ac:dyDescent="0.25">
      <c r="A489" s="2" t="s">
        <v>705</v>
      </c>
      <c r="B489" s="2" t="s">
        <v>656</v>
      </c>
      <c r="C489" s="2" t="s">
        <v>706</v>
      </c>
      <c r="D489" s="2" t="s">
        <v>554</v>
      </c>
      <c r="E489" s="2">
        <v>2.5</v>
      </c>
      <c r="F489" s="1" t="str">
        <f>VLOOKUP(H489,'RM Used'!A:B,2,0)</f>
        <v>3516CS</v>
      </c>
      <c r="G489" s="1" t="str">
        <f>IFERROR(VLOOKUP(F489,'RM Cost'!A:B,2,0),"")</f>
        <v>LETTUCE CHINESE LEAF X 8 EA</v>
      </c>
      <c r="H489" s="2" t="s">
        <v>1485</v>
      </c>
      <c r="I489" s="1" t="str">
        <f>VLOOKUP(F489,'RM Used'!B:D,3,0)</f>
        <v>RM-FOOD</v>
      </c>
      <c r="J489" s="66">
        <v>1</v>
      </c>
      <c r="K489" s="35">
        <f t="shared" si="156"/>
        <v>2.5</v>
      </c>
      <c r="L489" s="35">
        <f t="shared" si="144"/>
        <v>2.5</v>
      </c>
      <c r="M489" s="77" cm="1">
        <f t="array" ref="M489">_xlfn.IFS(BOM!I489="RM-PACKING","100%",B489="Reynolds",VLOOKUP(H489,'Yield &amp; Time'!A:V,22,0),BOM!B489="Dnata",VLOOKUP(BOM!H489,'Yield &amp; Time'!A:M,13,0),B489="NK",VLOOKUP(H489,'Yield &amp; Time'!A:X,24,0))</f>
        <v>0.77272727272727271</v>
      </c>
      <c r="N489" s="35">
        <f t="shared" si="155"/>
        <v>3.2352941176470589</v>
      </c>
      <c r="O489" s="1" t="str">
        <f>VLOOKUP(H489,'RM Used'!A:E,5,0)</f>
        <v>KG</v>
      </c>
      <c r="P489" s="11">
        <f>VLOOKUP(H489,'RM Used'!A:F,6,0)</f>
        <v>1.1599999999999999</v>
      </c>
      <c r="Q489" s="11">
        <f t="shared" si="153"/>
        <v>3.7529411764705882</v>
      </c>
      <c r="R489" s="11">
        <f>IFERROR(IF(B489="Reynolds",VLOOKUP(H489,'Yield &amp; Time'!A:U,21,0),VLOOKUP(H489,'Yield &amp; Time'!A:L,12,0)),0)</f>
        <v>1.6106442577030813</v>
      </c>
      <c r="S489" s="11">
        <f t="shared" si="145"/>
        <v>1.3630077030812324</v>
      </c>
      <c r="T489" s="11">
        <f t="shared" si="146"/>
        <v>6.7110177404295049E-2</v>
      </c>
      <c r="U489" s="11">
        <f>IF(A488=A489,0,VLOOKUP(A489,'Packing Time'!A:F,6,0))</f>
        <v>0.875</v>
      </c>
      <c r="V489" s="11">
        <f t="shared" si="157"/>
        <v>0.29618749999999999</v>
      </c>
      <c r="W489" s="11">
        <f t="shared" si="158"/>
        <v>1.4583333333333334E-2</v>
      </c>
      <c r="X489" s="11">
        <f t="shared" si="147"/>
        <v>2.6547123249299718</v>
      </c>
      <c r="Y489" s="11">
        <f t="shared" si="159"/>
        <v>2.6547123249299718</v>
      </c>
      <c r="Z489" s="37">
        <v>1</v>
      </c>
      <c r="AA489" s="36">
        <f t="shared" si="148"/>
        <v>3.2352941176470589</v>
      </c>
      <c r="AB489" s="36">
        <f t="shared" si="149"/>
        <v>3.7529411764705882</v>
      </c>
      <c r="AC489" s="11">
        <f t="shared" si="150"/>
        <v>0.13070961718020543</v>
      </c>
      <c r="AD489" s="36">
        <f t="shared" si="160"/>
        <v>2.6547123249299722</v>
      </c>
      <c r="AE489" s="36"/>
      <c r="AF489" s="36">
        <f>IFERROR(VLOOKUP(AE489,'Chemical Cost'!A:D,4,0),0)</f>
        <v>0</v>
      </c>
      <c r="AG489" s="114">
        <f t="shared" si="151"/>
        <v>0</v>
      </c>
      <c r="AH489" s="36">
        <f t="shared" si="154"/>
        <v>0</v>
      </c>
      <c r="AI489" s="36">
        <f t="shared" si="161"/>
        <v>6.40765350140056</v>
      </c>
      <c r="AJ489" s="36">
        <f>IFERROR(VLOOKUP(A489,'All Products'!A:F,6,0),0)</f>
        <v>11.28</v>
      </c>
      <c r="AK489" s="36">
        <f>AJ489*Z489*J489</f>
        <v>11.28</v>
      </c>
      <c r="AL489" s="23">
        <v>1</v>
      </c>
      <c r="AM489" s="23"/>
      <c r="AN489" s="54" t="e">
        <v>#N/A</v>
      </c>
      <c r="AO489" s="47"/>
      <c r="AP489" s="4">
        <v>1.6</v>
      </c>
      <c r="AQ489" s="111">
        <f t="shared" si="152"/>
        <v>0.13070961718020543</v>
      </c>
      <c r="AR489">
        <f>_xlfn.XLOOKUP(F489,'RM Cost'!A:A,'RM Cost'!S:S)</f>
        <v>0</v>
      </c>
      <c r="AS489" t="e">
        <f>_xlfn.XLOOKUP(A489,[3]Sheet1!$B:$B,[3]Sheet1!$B:$B)</f>
        <v>#N/A</v>
      </c>
    </row>
    <row r="490" spans="1:46" x14ac:dyDescent="0.25">
      <c r="A490" s="2" t="s">
        <v>705</v>
      </c>
      <c r="B490" s="2" t="s">
        <v>656</v>
      </c>
      <c r="C490" s="2" t="s">
        <v>706</v>
      </c>
      <c r="D490" s="2" t="s">
        <v>554</v>
      </c>
      <c r="E490" s="2">
        <v>2.5</v>
      </c>
      <c r="F490" s="1" t="str">
        <f>VLOOKUP(H490,'RM Used'!A:B,2,0)</f>
        <v>P0008</v>
      </c>
      <c r="G490" s="1" t="str">
        <f>IFERROR(VLOOKUP(F490,'RM Cost'!A:B,2,0),"")</f>
        <v>PALE BLUE BAG 470X750MM</v>
      </c>
      <c r="H490" s="2" t="s">
        <v>1323</v>
      </c>
      <c r="I490" s="1" t="str">
        <f>VLOOKUP(F490,'RM Used'!B:D,3,0)</f>
        <v>RM-PACKING</v>
      </c>
      <c r="J490" s="66">
        <v>1</v>
      </c>
      <c r="K490" s="35" t="str">
        <f t="shared" si="156"/>
        <v/>
      </c>
      <c r="L490" s="35">
        <f t="shared" si="144"/>
        <v>0</v>
      </c>
      <c r="M490" s="77" t="str" cm="1">
        <f t="array" ref="M490">_xlfn.IFS(BOM!I490="RM-PACKING","100%",B490="Reynolds",VLOOKUP(H490,'Yield &amp; Time'!A:V,22,0),BOM!B490="Dnata",VLOOKUP(BOM!H490,'Yield &amp; Time'!A:M,13,0),B490="NK",VLOOKUP(H490,'Yield &amp; Time'!A:X,24,0))</f>
        <v>100%</v>
      </c>
      <c r="N490" s="35">
        <f t="shared" si="155"/>
        <v>1</v>
      </c>
      <c r="O490" s="1" t="str">
        <f>VLOOKUP(H490,'RM Used'!A:E,5,0)</f>
        <v>Count</v>
      </c>
      <c r="P490" s="11">
        <f>VLOOKUP(H490,'RM Used'!A:F,6,0)</f>
        <v>0.14000000000000001</v>
      </c>
      <c r="Q490" s="11">
        <f t="shared" si="153"/>
        <v>0.14000000000000001</v>
      </c>
      <c r="R490" s="11">
        <f>IFERROR(IF(B490="Reynolds",VLOOKUP(H490,'Yield &amp; Time'!A:U,21,0),VLOOKUP(H490,'Yield &amp; Time'!A:L,12,0)),0)</f>
        <v>0</v>
      </c>
      <c r="S490" s="11">
        <f t="shared" si="145"/>
        <v>0</v>
      </c>
      <c r="T490" s="11">
        <f t="shared" si="146"/>
        <v>0</v>
      </c>
      <c r="U490" s="11">
        <f>IF(A489=A490,0,VLOOKUP(A490,'Packing Time'!A:F,6,0))</f>
        <v>0</v>
      </c>
      <c r="V490" s="11">
        <f t="shared" si="157"/>
        <v>0</v>
      </c>
      <c r="W490" s="11">
        <f t="shared" si="158"/>
        <v>0</v>
      </c>
      <c r="X490" s="11">
        <f t="shared" si="147"/>
        <v>0</v>
      </c>
      <c r="Y490" s="11">
        <f t="shared" si="159"/>
        <v>0</v>
      </c>
      <c r="Z490" s="37">
        <v>1</v>
      </c>
      <c r="AA490" s="36">
        <f t="shared" si="148"/>
        <v>1</v>
      </c>
      <c r="AB490" s="36">
        <f t="shared" si="149"/>
        <v>0.14000000000000001</v>
      </c>
      <c r="AC490" s="11">
        <f t="shared" si="150"/>
        <v>0</v>
      </c>
      <c r="AD490" s="36">
        <f t="shared" si="160"/>
        <v>0</v>
      </c>
      <c r="AE490" s="36"/>
      <c r="AF490" s="36">
        <f>IFERROR(VLOOKUP(AE490,'Chemical Cost'!A:D,4,0),0)</f>
        <v>0</v>
      </c>
      <c r="AG490" s="114">
        <f t="shared" si="151"/>
        <v>0</v>
      </c>
      <c r="AH490" s="36">
        <f t="shared" si="154"/>
        <v>0</v>
      </c>
      <c r="AI490" s="36">
        <f t="shared" si="161"/>
        <v>0.14000000000000001</v>
      </c>
      <c r="AJ490" s="36">
        <f>IFERROR(VLOOKUP(A490,'All Products'!A:F,6,0),0)</f>
        <v>11.28</v>
      </c>
      <c r="AK490" s="36"/>
      <c r="AL490" s="23">
        <v>1</v>
      </c>
      <c r="AM490" s="23"/>
      <c r="AN490" s="54" t="e">
        <v>#N/A</v>
      </c>
      <c r="AO490" s="47"/>
      <c r="AP490" s="4">
        <v>1.6</v>
      </c>
      <c r="AQ490" s="111">
        <f t="shared" si="152"/>
        <v>0</v>
      </c>
      <c r="AR490">
        <f>_xlfn.XLOOKUP(F490,'RM Cost'!A:A,'RM Cost'!S:S)</f>
        <v>0</v>
      </c>
      <c r="AS490" t="e">
        <f>_xlfn.XLOOKUP(A490,[3]Sheet1!$B:$B,[3]Sheet1!$B:$B)</f>
        <v>#N/A</v>
      </c>
    </row>
    <row r="491" spans="1:46" x14ac:dyDescent="0.25">
      <c r="A491" s="2" t="s">
        <v>707</v>
      </c>
      <c r="B491" s="2" t="s">
        <v>656</v>
      </c>
      <c r="C491" s="2" t="s">
        <v>708</v>
      </c>
      <c r="D491" s="2" t="s">
        <v>554</v>
      </c>
      <c r="E491" s="2">
        <v>1</v>
      </c>
      <c r="F491" s="1" t="str">
        <f>VLOOKUP(H491,'RM Used'!A:B,2,0)</f>
        <v>S3998CS</v>
      </c>
      <c r="G491" s="1" t="str">
        <f>IFERROR(VLOOKUP(F491,'RM Cost'!A:B,2,0),"")</f>
        <v>RM - DECORED RED CABBAGE 1/3 1200KG</v>
      </c>
      <c r="H491" s="2" t="s">
        <v>1349</v>
      </c>
      <c r="I491" s="1" t="str">
        <f>VLOOKUP(F491,'RM Used'!B:D,3,0)</f>
        <v>RM-FOOD</v>
      </c>
      <c r="J491" s="66">
        <v>1</v>
      </c>
      <c r="K491" s="35">
        <f t="shared" si="156"/>
        <v>1</v>
      </c>
      <c r="L491" s="35">
        <f t="shared" si="144"/>
        <v>1</v>
      </c>
      <c r="M491" s="77" cm="1">
        <f t="array" ref="M491">_xlfn.IFS(BOM!I491="RM-PACKING","100%",B491="Reynolds",VLOOKUP(H491,'Yield &amp; Time'!A:V,22,0),BOM!B491="Dnata",VLOOKUP(BOM!H491,'Yield &amp; Time'!A:M,13,0),B491="NK",VLOOKUP(H491,'Yield &amp; Time'!A:X,24,0))</f>
        <v>0.75138040345821322</v>
      </c>
      <c r="N491" s="35">
        <f t="shared" si="155"/>
        <v>1.3308837912161671</v>
      </c>
      <c r="O491" s="1" t="str">
        <f>VLOOKUP(H491,'RM Used'!A:E,5,0)</f>
        <v>KG</v>
      </c>
      <c r="P491" s="11">
        <f>VLOOKUP(H491,'RM Used'!A:F,6,0)</f>
        <v>0.38</v>
      </c>
      <c r="Q491" s="11">
        <f t="shared" si="153"/>
        <v>0.5057358406621435</v>
      </c>
      <c r="R491" s="11">
        <f>IFERROR(IF(B491="Reynolds",VLOOKUP(H491,'Yield &amp; Time'!A:U,21,0),VLOOKUP(H491,'Yield &amp; Time'!A:L,12,0)),0)</f>
        <v>0.76261570798735501</v>
      </c>
      <c r="S491" s="11">
        <f t="shared" si="145"/>
        <v>0.25814541715371964</v>
      </c>
      <c r="T491" s="11">
        <f t="shared" si="146"/>
        <v>1.2710261799789251E-2</v>
      </c>
      <c r="U491" s="11">
        <f>IF(A490=A491,0,VLOOKUP(A491,'Packing Time'!A:F,6,0))</f>
        <v>0.64166666666666661</v>
      </c>
      <c r="V491" s="11">
        <f t="shared" si="157"/>
        <v>0.21720416666666661</v>
      </c>
      <c r="W491" s="11">
        <f t="shared" si="158"/>
        <v>1.0694444444444444E-2</v>
      </c>
      <c r="X491" s="11">
        <f t="shared" si="147"/>
        <v>0.76055933411261811</v>
      </c>
      <c r="Y491" s="11">
        <f t="shared" si="159"/>
        <v>0.76055933411261811</v>
      </c>
      <c r="Z491" s="37">
        <v>1</v>
      </c>
      <c r="AA491" s="36">
        <f t="shared" si="148"/>
        <v>1.3308837912161671</v>
      </c>
      <c r="AB491" s="36">
        <f t="shared" si="149"/>
        <v>0.5057358406621435</v>
      </c>
      <c r="AC491" s="11">
        <f t="shared" si="150"/>
        <v>3.7447529990773908E-2</v>
      </c>
      <c r="AD491" s="36">
        <f t="shared" si="160"/>
        <v>0.76055933411261789</v>
      </c>
      <c r="AE491" s="36" t="str">
        <f>VLOOKUP(H491,'Yield &amp; Time'!A:I,9,0)</f>
        <v>CHLORINE</v>
      </c>
      <c r="AF491" s="36">
        <f>IFERROR(VLOOKUP(AE491,'Chemical Cost'!A:D,4,0),0)</f>
        <v>2.7756518066439469E-2</v>
      </c>
      <c r="AG491" s="114">
        <f t="shared" si="151"/>
        <v>1.2313566665074332E-2</v>
      </c>
      <c r="AH491" s="36">
        <f t="shared" si="154"/>
        <v>1.2313566665074332E-2</v>
      </c>
      <c r="AI491" s="36">
        <f t="shared" si="161"/>
        <v>1.2786087414398362</v>
      </c>
      <c r="AJ491" s="36">
        <f>IFERROR(VLOOKUP(A491,'All Products'!A:F,6,0),0)</f>
        <v>3.31</v>
      </c>
      <c r="AK491" s="36">
        <f>AJ491*Z491*J491</f>
        <v>3.31</v>
      </c>
      <c r="AL491" s="23">
        <v>0.8</v>
      </c>
      <c r="AM491" s="23">
        <v>0.2</v>
      </c>
      <c r="AN491" s="54" t="e">
        <v>#N/A</v>
      </c>
      <c r="AO491" s="47"/>
      <c r="AP491" s="4">
        <v>1.6</v>
      </c>
      <c r="AQ491" s="111">
        <f t="shared" si="152"/>
        <v>3.7447529990773908E-2</v>
      </c>
      <c r="AR491">
        <f>_xlfn.XLOOKUP(F491,'RM Cost'!A:A,'RM Cost'!S:S)</f>
        <v>0.29914853989077506</v>
      </c>
      <c r="AS491" t="str">
        <f>_xlfn.XLOOKUP(A491,[3]Sheet1!$B:$B,[3]Sheet1!$B:$B)</f>
        <v>Z234CS</v>
      </c>
      <c r="AT491" t="str">
        <f>_xlfn.XLOOKUP(H491,'Yield &amp; Time'!A:A,'Yield &amp; Time'!F:F)</f>
        <v>Yes</v>
      </c>
    </row>
    <row r="492" spans="1:46" x14ac:dyDescent="0.25">
      <c r="A492" s="2" t="s">
        <v>707</v>
      </c>
      <c r="B492" s="2" t="s">
        <v>656</v>
      </c>
      <c r="C492" s="2" t="s">
        <v>708</v>
      </c>
      <c r="D492" s="2" t="s">
        <v>554</v>
      </c>
      <c r="E492" s="2">
        <v>1</v>
      </c>
      <c r="F492" s="1" t="str">
        <f>VLOOKUP(H492,'RM Used'!A:B,2,0)</f>
        <v>P0008</v>
      </c>
      <c r="G492" s="1" t="str">
        <f>IFERROR(VLOOKUP(F492,'RM Cost'!A:B,2,0),"")</f>
        <v>PALE BLUE BAG 470X750MM</v>
      </c>
      <c r="H492" s="2" t="s">
        <v>1323</v>
      </c>
      <c r="I492" s="1" t="str">
        <f>VLOOKUP(F492,'RM Used'!B:D,3,0)</f>
        <v>RM-PACKING</v>
      </c>
      <c r="J492" s="66">
        <v>1</v>
      </c>
      <c r="K492" s="35" t="str">
        <f t="shared" si="156"/>
        <v/>
      </c>
      <c r="L492" s="35">
        <f t="shared" si="144"/>
        <v>0</v>
      </c>
      <c r="M492" s="77" t="str" cm="1">
        <f t="array" ref="M492">_xlfn.IFS(BOM!I492="RM-PACKING","100%",B492="Reynolds",VLOOKUP(H492,'Yield &amp; Time'!A:V,22,0),BOM!B492="Dnata",VLOOKUP(BOM!H492,'Yield &amp; Time'!A:M,13,0),B492="NK",VLOOKUP(H492,'Yield &amp; Time'!A:X,24,0))</f>
        <v>100%</v>
      </c>
      <c r="N492" s="35">
        <f t="shared" si="155"/>
        <v>1</v>
      </c>
      <c r="O492" s="1" t="str">
        <f>VLOOKUP(H492,'RM Used'!A:E,5,0)</f>
        <v>Count</v>
      </c>
      <c r="P492" s="11">
        <f>VLOOKUP(H492,'RM Used'!A:F,6,0)</f>
        <v>0.14000000000000001</v>
      </c>
      <c r="Q492" s="11">
        <f t="shared" si="153"/>
        <v>0.14000000000000001</v>
      </c>
      <c r="R492" s="11">
        <f>IFERROR(IF(B492="Reynolds",VLOOKUP(H492,'Yield &amp; Time'!A:U,21,0),VLOOKUP(H492,'Yield &amp; Time'!A:L,12,0)),0)</f>
        <v>0</v>
      </c>
      <c r="S492" s="11">
        <f t="shared" si="145"/>
        <v>0</v>
      </c>
      <c r="T492" s="11">
        <f t="shared" si="146"/>
        <v>0</v>
      </c>
      <c r="U492" s="11">
        <f>IF(A491=A492,0,VLOOKUP(A492,'Packing Time'!A:F,6,0))</f>
        <v>0</v>
      </c>
      <c r="V492" s="11">
        <f t="shared" si="157"/>
        <v>0</v>
      </c>
      <c r="W492" s="11">
        <f t="shared" si="158"/>
        <v>0</v>
      </c>
      <c r="X492" s="11">
        <f t="shared" si="147"/>
        <v>0</v>
      </c>
      <c r="Y492" s="11">
        <f t="shared" si="159"/>
        <v>0</v>
      </c>
      <c r="Z492" s="37">
        <v>1</v>
      </c>
      <c r="AA492" s="36">
        <f t="shared" si="148"/>
        <v>1</v>
      </c>
      <c r="AB492" s="36">
        <f t="shared" si="149"/>
        <v>0.14000000000000001</v>
      </c>
      <c r="AC492" s="11">
        <f t="shared" si="150"/>
        <v>0</v>
      </c>
      <c r="AD492" s="36">
        <f t="shared" si="160"/>
        <v>0</v>
      </c>
      <c r="AE492" s="36"/>
      <c r="AF492" s="36">
        <f>IFERROR(VLOOKUP(AE492,'Chemical Cost'!A:D,4,0),0)</f>
        <v>0</v>
      </c>
      <c r="AG492" s="114">
        <f t="shared" si="151"/>
        <v>0</v>
      </c>
      <c r="AH492" s="36">
        <f t="shared" si="154"/>
        <v>0</v>
      </c>
      <c r="AI492" s="36">
        <f t="shared" si="161"/>
        <v>0.14000000000000001</v>
      </c>
      <c r="AJ492" s="36">
        <f>IFERROR(VLOOKUP(A492,'All Products'!A:F,6,0),0)</f>
        <v>3.31</v>
      </c>
      <c r="AK492" s="36"/>
      <c r="AL492" s="23">
        <v>0.8</v>
      </c>
      <c r="AM492" s="23">
        <v>0.2</v>
      </c>
      <c r="AN492" s="54" t="e">
        <v>#N/A</v>
      </c>
      <c r="AO492" s="47"/>
      <c r="AP492" s="4">
        <v>1.6</v>
      </c>
      <c r="AQ492" s="111">
        <f t="shared" si="152"/>
        <v>0</v>
      </c>
      <c r="AR492">
        <f>_xlfn.XLOOKUP(F492,'RM Cost'!A:A,'RM Cost'!S:S)</f>
        <v>0</v>
      </c>
      <c r="AS492" t="str">
        <f>_xlfn.XLOOKUP(A492,[3]Sheet1!$B:$B,[3]Sheet1!$B:$B)</f>
        <v>Z234CS</v>
      </c>
      <c r="AT492" t="e">
        <f>_xlfn.XLOOKUP(H492,'Yield &amp; Time'!A:A,'Yield &amp; Time'!F:F)</f>
        <v>#N/A</v>
      </c>
    </row>
    <row r="493" spans="1:46" x14ac:dyDescent="0.25">
      <c r="A493" s="2" t="s">
        <v>349</v>
      </c>
      <c r="B493" s="2" t="s">
        <v>656</v>
      </c>
      <c r="C493" s="2" t="s">
        <v>350</v>
      </c>
      <c r="D493" s="2" t="s">
        <v>554</v>
      </c>
      <c r="E493" s="2">
        <v>2.5</v>
      </c>
      <c r="F493" s="1" t="str">
        <f>VLOOKUP(H493,'RM Used'!A:B,2,0)</f>
        <v>S3998CS</v>
      </c>
      <c r="G493" s="1" t="str">
        <f>IFERROR(VLOOKUP(F493,'RM Cost'!A:B,2,0),"")</f>
        <v>RM - DECORED RED CABBAGE 1/3 1200KG</v>
      </c>
      <c r="H493" s="2" t="s">
        <v>1349</v>
      </c>
      <c r="I493" s="1" t="str">
        <f>VLOOKUP(F493,'RM Used'!B:D,3,0)</f>
        <v>RM-FOOD</v>
      </c>
      <c r="J493" s="66">
        <v>1</v>
      </c>
      <c r="K493" s="35">
        <f t="shared" si="156"/>
        <v>2.5</v>
      </c>
      <c r="L493" s="35">
        <f t="shared" si="144"/>
        <v>2.5</v>
      </c>
      <c r="M493" s="77" cm="1">
        <f t="array" ref="M493">_xlfn.IFS(BOM!I493="RM-PACKING","100%",B493="Reynolds",VLOOKUP(H493,'Yield &amp; Time'!A:V,22,0),BOM!B493="Dnata",VLOOKUP(BOM!H493,'Yield &amp; Time'!A:M,13,0),B493="NK",VLOOKUP(H493,'Yield &amp; Time'!A:X,24,0))</f>
        <v>0.75138040345821322</v>
      </c>
      <c r="N493" s="35">
        <f t="shared" si="155"/>
        <v>3.3272094780404178</v>
      </c>
      <c r="O493" s="1" t="str">
        <f>VLOOKUP(H493,'RM Used'!A:E,5,0)</f>
        <v>KG</v>
      </c>
      <c r="P493" s="11">
        <f>VLOOKUP(H493,'RM Used'!A:F,6,0)</f>
        <v>0.38</v>
      </c>
      <c r="Q493" s="11">
        <f t="shared" si="153"/>
        <v>1.2643396016553587</v>
      </c>
      <c r="R493" s="11">
        <f>IFERROR(IF(B493="Reynolds",VLOOKUP(H493,'Yield &amp; Time'!A:U,21,0),VLOOKUP(H493,'Yield &amp; Time'!A:L,12,0)),0)</f>
        <v>0.76261570798735501</v>
      </c>
      <c r="S493" s="11">
        <f t="shared" si="145"/>
        <v>0.6453635428842992</v>
      </c>
      <c r="T493" s="11">
        <f t="shared" si="146"/>
        <v>3.177565449947313E-2</v>
      </c>
      <c r="U493" s="11">
        <f>IF(A492=A493,0,VLOOKUP(A493,'Packing Time'!A:F,6,0))</f>
        <v>0.875</v>
      </c>
      <c r="V493" s="11">
        <f t="shared" si="157"/>
        <v>0.29618749999999999</v>
      </c>
      <c r="W493" s="11">
        <f t="shared" si="158"/>
        <v>1.4583333333333334E-2</v>
      </c>
      <c r="X493" s="11">
        <f t="shared" si="147"/>
        <v>1.0357061471727291</v>
      </c>
      <c r="Y493" s="11">
        <f t="shared" si="159"/>
        <v>1.0357061471727291</v>
      </c>
      <c r="Z493" s="37">
        <v>1</v>
      </c>
      <c r="AA493" s="36">
        <f t="shared" si="148"/>
        <v>3.3272094780404178</v>
      </c>
      <c r="AB493" s="36">
        <f t="shared" si="149"/>
        <v>1.2643396016553587</v>
      </c>
      <c r="AC493" s="11">
        <f t="shared" si="150"/>
        <v>5.0994886616087108E-2</v>
      </c>
      <c r="AD493" s="36">
        <f t="shared" si="160"/>
        <v>1.0357061471727291</v>
      </c>
      <c r="AE493" s="36" t="str">
        <f>VLOOKUP(H493,'Yield &amp; Time'!A:I,9,0)</f>
        <v>CHLORINE</v>
      </c>
      <c r="AF493" s="36">
        <f>IFERROR(VLOOKUP(AE493,'Chemical Cost'!A:D,4,0),0)</f>
        <v>2.7756518066439469E-2</v>
      </c>
      <c r="AG493" s="114">
        <f t="shared" si="151"/>
        <v>3.0783916662685831E-2</v>
      </c>
      <c r="AH493" s="36">
        <f t="shared" si="154"/>
        <v>3.0783916662685831E-2</v>
      </c>
      <c r="AI493" s="36">
        <f t="shared" si="161"/>
        <v>2.3308296654907736</v>
      </c>
      <c r="AJ493" s="36">
        <f>IFERROR(VLOOKUP(A493,'All Products'!A:F,6,0),0)</f>
        <v>8.26</v>
      </c>
      <c r="AK493" s="36">
        <f>AJ493*Z493*J493</f>
        <v>8.26</v>
      </c>
      <c r="AL493" s="23">
        <v>0.8</v>
      </c>
      <c r="AM493" s="23">
        <v>0.2</v>
      </c>
      <c r="AN493" s="54" t="e">
        <v>#N/A</v>
      </c>
      <c r="AO493" s="47"/>
      <c r="AP493" s="4">
        <v>1.1000000000000001</v>
      </c>
      <c r="AQ493" s="111">
        <f t="shared" si="152"/>
        <v>5.0994886616087108E-2</v>
      </c>
      <c r="AR493">
        <f>_xlfn.XLOOKUP(F493,'RM Cost'!A:A,'RM Cost'!S:S)</f>
        <v>0.29914853989077506</v>
      </c>
      <c r="AS493" t="str">
        <f>_xlfn.XLOOKUP(A493,[3]Sheet1!$B:$B,[3]Sheet1!$B:$B)</f>
        <v>Z233CS</v>
      </c>
      <c r="AT493" t="str">
        <f>_xlfn.XLOOKUP(H493,'Yield &amp; Time'!A:A,'Yield &amp; Time'!F:F)</f>
        <v>Yes</v>
      </c>
    </row>
    <row r="494" spans="1:46" x14ac:dyDescent="0.25">
      <c r="A494" s="2" t="s">
        <v>349</v>
      </c>
      <c r="B494" s="2" t="s">
        <v>656</v>
      </c>
      <c r="C494" s="2" t="s">
        <v>350</v>
      </c>
      <c r="D494" s="2" t="s">
        <v>554</v>
      </c>
      <c r="E494" s="2">
        <v>2.5</v>
      </c>
      <c r="F494" s="1" t="str">
        <f>VLOOKUP(H494,'RM Used'!A:B,2,0)</f>
        <v>P0008</v>
      </c>
      <c r="G494" s="1" t="str">
        <f>IFERROR(VLOOKUP(F494,'RM Cost'!A:B,2,0),"")</f>
        <v>PALE BLUE BAG 470X750MM</v>
      </c>
      <c r="H494" s="2" t="s">
        <v>1323</v>
      </c>
      <c r="I494" s="1" t="str">
        <f>VLOOKUP(F494,'RM Used'!B:D,3,0)</f>
        <v>RM-PACKING</v>
      </c>
      <c r="J494" s="66">
        <v>1</v>
      </c>
      <c r="K494" s="35" t="str">
        <f t="shared" si="156"/>
        <v/>
      </c>
      <c r="L494" s="35">
        <f t="shared" si="144"/>
        <v>0</v>
      </c>
      <c r="M494" s="77" t="str" cm="1">
        <f t="array" ref="M494">_xlfn.IFS(BOM!I494="RM-PACKING","100%",B494="Reynolds",VLOOKUP(H494,'Yield &amp; Time'!A:V,22,0),BOM!B494="Dnata",VLOOKUP(BOM!H494,'Yield &amp; Time'!A:M,13,0),B494="NK",VLOOKUP(H494,'Yield &amp; Time'!A:X,24,0))</f>
        <v>100%</v>
      </c>
      <c r="N494" s="35">
        <f t="shared" si="155"/>
        <v>1</v>
      </c>
      <c r="O494" s="1" t="str">
        <f>VLOOKUP(H494,'RM Used'!A:E,5,0)</f>
        <v>Count</v>
      </c>
      <c r="P494" s="11">
        <f>VLOOKUP(H494,'RM Used'!A:F,6,0)</f>
        <v>0.14000000000000001</v>
      </c>
      <c r="Q494" s="11">
        <f t="shared" si="153"/>
        <v>0.14000000000000001</v>
      </c>
      <c r="R494" s="11">
        <f>IFERROR(IF(B494="Reynolds",VLOOKUP(H494,'Yield &amp; Time'!A:U,21,0),VLOOKUP(H494,'Yield &amp; Time'!A:L,12,0)),0)</f>
        <v>0</v>
      </c>
      <c r="S494" s="11">
        <f t="shared" si="145"/>
        <v>0</v>
      </c>
      <c r="T494" s="11">
        <f t="shared" si="146"/>
        <v>0</v>
      </c>
      <c r="U494" s="11">
        <f>IF(A493=A494,0,VLOOKUP(A494,'Packing Time'!A:F,6,0))</f>
        <v>0</v>
      </c>
      <c r="V494" s="11">
        <f t="shared" si="157"/>
        <v>0</v>
      </c>
      <c r="W494" s="11">
        <f t="shared" si="158"/>
        <v>0</v>
      </c>
      <c r="X494" s="11">
        <f t="shared" si="147"/>
        <v>0</v>
      </c>
      <c r="Y494" s="11">
        <f t="shared" si="159"/>
        <v>0</v>
      </c>
      <c r="Z494" s="37">
        <v>1</v>
      </c>
      <c r="AA494" s="36">
        <f t="shared" si="148"/>
        <v>1</v>
      </c>
      <c r="AB494" s="36">
        <f t="shared" si="149"/>
        <v>0.14000000000000001</v>
      </c>
      <c r="AC494" s="11">
        <f t="shared" si="150"/>
        <v>0</v>
      </c>
      <c r="AD494" s="36">
        <f t="shared" si="160"/>
        <v>0</v>
      </c>
      <c r="AE494" s="36"/>
      <c r="AF494" s="36">
        <f>IFERROR(VLOOKUP(AE494,'Chemical Cost'!A:D,4,0),0)</f>
        <v>0</v>
      </c>
      <c r="AG494" s="114">
        <f t="shared" si="151"/>
        <v>0</v>
      </c>
      <c r="AH494" s="36">
        <f t="shared" si="154"/>
        <v>0</v>
      </c>
      <c r="AI494" s="36">
        <f t="shared" si="161"/>
        <v>0.14000000000000001</v>
      </c>
      <c r="AJ494" s="36">
        <f>IFERROR(VLOOKUP(A494,'All Products'!A:F,6,0),0)</f>
        <v>8.26</v>
      </c>
      <c r="AK494" s="36"/>
      <c r="AL494" s="23">
        <v>0.8</v>
      </c>
      <c r="AM494" s="23">
        <v>0.2</v>
      </c>
      <c r="AN494" s="54" t="e">
        <v>#N/A</v>
      </c>
      <c r="AO494" s="47"/>
      <c r="AP494" s="4">
        <v>1.1000000000000001</v>
      </c>
      <c r="AQ494" s="111">
        <f t="shared" si="152"/>
        <v>0</v>
      </c>
      <c r="AR494">
        <f>_xlfn.XLOOKUP(F494,'RM Cost'!A:A,'RM Cost'!S:S)</f>
        <v>0</v>
      </c>
      <c r="AS494" t="str">
        <f>_xlfn.XLOOKUP(A494,[3]Sheet1!$B:$B,[3]Sheet1!$B:$B)</f>
        <v>Z233CS</v>
      </c>
      <c r="AT494" t="e">
        <f>_xlfn.XLOOKUP(H494,'Yield &amp; Time'!A:A,'Yield &amp; Time'!F:F)</f>
        <v>#N/A</v>
      </c>
    </row>
    <row r="495" spans="1:46" x14ac:dyDescent="0.25">
      <c r="A495" s="2" t="s">
        <v>425</v>
      </c>
      <c r="B495" s="2" t="s">
        <v>656</v>
      </c>
      <c r="C495" s="2" t="s">
        <v>426</v>
      </c>
      <c r="D495" s="2" t="s">
        <v>554</v>
      </c>
      <c r="E495" s="2">
        <v>1</v>
      </c>
      <c r="F495" s="1" t="str">
        <f>VLOOKUP(H495,'RM Used'!A:B,2,0)</f>
        <v>032ACS</v>
      </c>
      <c r="G495" s="1" t="str">
        <f>IFERROR(VLOOKUP(F495,'RM Cost'!A:B,2,0),"")</f>
        <v>RM - LRG PROCESSING CARROT X 1000KG</v>
      </c>
      <c r="H495" s="2" t="s">
        <v>1486</v>
      </c>
      <c r="I495" s="1" t="str">
        <f>VLOOKUP(F495,'RM Used'!B:D,3,0)</f>
        <v>RM-FOOD</v>
      </c>
      <c r="J495" s="66">
        <v>1</v>
      </c>
      <c r="K495" s="35">
        <f t="shared" si="156"/>
        <v>1</v>
      </c>
      <c r="L495" s="35">
        <f t="shared" si="144"/>
        <v>1</v>
      </c>
      <c r="M495" s="77" cm="1">
        <f t="array" ref="M495">_xlfn.IFS(BOM!I495="RM-PACKING","100%",B495="Reynolds",VLOOKUP(H495,'Yield &amp; Time'!A:V,22,0),BOM!B495="Dnata",VLOOKUP(BOM!H495,'Yield &amp; Time'!A:M,13,0),B495="NK",VLOOKUP(H495,'Yield &amp; Time'!A:X,24,0))</f>
        <v>0.51729460173101749</v>
      </c>
      <c r="N495" s="35">
        <f t="shared" si="155"/>
        <v>1.9331344202195626</v>
      </c>
      <c r="O495" s="1" t="str">
        <f>VLOOKUP(H495,'RM Used'!A:E,5,0)</f>
        <v>KG</v>
      </c>
      <c r="P495" s="11">
        <f>VLOOKUP(H495,'RM Used'!A:F,6,0)</f>
        <v>0.38</v>
      </c>
      <c r="Q495" s="11">
        <f t="shared" si="153"/>
        <v>0.73459107968343385</v>
      </c>
      <c r="R495" s="11">
        <f>IFERROR(IF(B495="Reynolds",VLOOKUP(H495,'Yield &amp; Time'!A:U,21,0),VLOOKUP(H495,'Yield &amp; Time'!A:L,12,0)),0)</f>
        <v>5.3503502164183594</v>
      </c>
      <c r="S495" s="11">
        <f t="shared" si="145"/>
        <v>1.8110935482576145</v>
      </c>
      <c r="T495" s="11">
        <f t="shared" si="146"/>
        <v>8.9172503606972653E-2</v>
      </c>
      <c r="U495" s="11">
        <f>IF(A494=A495,0,VLOOKUP(A495,'Packing Time'!A:F,6,0))</f>
        <v>0.64166666666666661</v>
      </c>
      <c r="V495" s="11">
        <f t="shared" si="157"/>
        <v>0.21720416666666661</v>
      </c>
      <c r="W495" s="11">
        <f t="shared" si="158"/>
        <v>1.0694444444444444E-2</v>
      </c>
      <c r="X495" s="11">
        <f t="shared" si="147"/>
        <v>3.2452763438788494</v>
      </c>
      <c r="Y495" s="11">
        <f t="shared" si="159"/>
        <v>3.2452763438788494</v>
      </c>
      <c r="Z495" s="37">
        <v>1</v>
      </c>
      <c r="AA495" s="36">
        <f t="shared" si="148"/>
        <v>1.9331344202195626</v>
      </c>
      <c r="AB495" s="36">
        <f t="shared" si="149"/>
        <v>0.73459107968343385</v>
      </c>
      <c r="AC495" s="11">
        <f t="shared" si="150"/>
        <v>0.15978711688226738</v>
      </c>
      <c r="AD495" s="36">
        <f t="shared" si="160"/>
        <v>3.2452763438788499</v>
      </c>
      <c r="AE495" s="36"/>
      <c r="AF495" s="36">
        <f>IFERROR(VLOOKUP(AE495,'Chemical Cost'!A:D,4,0),0)</f>
        <v>0</v>
      </c>
      <c r="AG495" s="114">
        <f t="shared" si="151"/>
        <v>0</v>
      </c>
      <c r="AH495" s="36">
        <f t="shared" si="154"/>
        <v>0</v>
      </c>
      <c r="AI495" s="36">
        <f t="shared" si="161"/>
        <v>3.9798674235622835</v>
      </c>
      <c r="AJ495" s="36">
        <f>IFERROR(VLOOKUP(A495,'All Products'!A:F,6,0),0)</f>
        <v>2.82</v>
      </c>
      <c r="AK495" s="36">
        <f>AJ495*Z495*J495</f>
        <v>2.82</v>
      </c>
      <c r="AL495" s="23">
        <v>1</v>
      </c>
      <c r="AM495" s="23"/>
      <c r="AN495" s="54" t="e">
        <v>#N/A</v>
      </c>
      <c r="AO495" s="47"/>
      <c r="AP495" s="4">
        <v>1.6</v>
      </c>
      <c r="AQ495" s="111">
        <f t="shared" si="152"/>
        <v>0.15978711688226738</v>
      </c>
      <c r="AR495">
        <f>_xlfn.XLOOKUP(F495,'RM Cost'!A:A,'RM Cost'!S:S)</f>
        <v>0</v>
      </c>
      <c r="AS495" t="str">
        <f>_xlfn.XLOOKUP(A495,[3]Sheet1!$B:$B,[3]Sheet1!$B:$B)</f>
        <v>Z260CS</v>
      </c>
      <c r="AT495">
        <f>_xlfn.XLOOKUP(H495,'Yield &amp; Time'!A:A,'Yield &amp; Time'!F:F)</f>
        <v>0</v>
      </c>
    </row>
    <row r="496" spans="1:46" x14ac:dyDescent="0.25">
      <c r="A496" s="2" t="s">
        <v>425</v>
      </c>
      <c r="B496" s="2" t="s">
        <v>656</v>
      </c>
      <c r="C496" s="2" t="s">
        <v>426</v>
      </c>
      <c r="D496" s="2" t="s">
        <v>554</v>
      </c>
      <c r="E496" s="2">
        <v>1</v>
      </c>
      <c r="F496" s="1" t="str">
        <f>VLOOKUP(H496,'RM Used'!A:B,2,0)</f>
        <v>P0008</v>
      </c>
      <c r="G496" s="1" t="str">
        <f>IFERROR(VLOOKUP(F496,'RM Cost'!A:B,2,0),"")</f>
        <v>PALE BLUE BAG 470X750MM</v>
      </c>
      <c r="H496" s="2" t="s">
        <v>1323</v>
      </c>
      <c r="I496" s="1" t="str">
        <f>VLOOKUP(F496,'RM Used'!B:D,3,0)</f>
        <v>RM-PACKING</v>
      </c>
      <c r="J496" s="66">
        <v>1</v>
      </c>
      <c r="K496" s="35" t="str">
        <f t="shared" si="156"/>
        <v/>
      </c>
      <c r="L496" s="35">
        <f t="shared" si="144"/>
        <v>0</v>
      </c>
      <c r="M496" s="77" t="str" cm="1">
        <f t="array" ref="M496">_xlfn.IFS(BOM!I496="RM-PACKING","100%",B496="Reynolds",VLOOKUP(H496,'Yield &amp; Time'!A:V,22,0),BOM!B496="Dnata",VLOOKUP(BOM!H496,'Yield &amp; Time'!A:M,13,0),B496="NK",VLOOKUP(H496,'Yield &amp; Time'!A:X,24,0))</f>
        <v>100%</v>
      </c>
      <c r="N496" s="35">
        <f t="shared" si="155"/>
        <v>1</v>
      </c>
      <c r="O496" s="1" t="str">
        <f>VLOOKUP(H496,'RM Used'!A:E,5,0)</f>
        <v>Count</v>
      </c>
      <c r="P496" s="11">
        <f>VLOOKUP(H496,'RM Used'!A:F,6,0)</f>
        <v>0.14000000000000001</v>
      </c>
      <c r="Q496" s="11">
        <f t="shared" si="153"/>
        <v>0.14000000000000001</v>
      </c>
      <c r="R496" s="11">
        <f>IFERROR(IF(B496="Reynolds",VLOOKUP(H496,'Yield &amp; Time'!A:U,21,0),VLOOKUP(H496,'Yield &amp; Time'!A:L,12,0)),0)</f>
        <v>0</v>
      </c>
      <c r="S496" s="11">
        <f t="shared" si="145"/>
        <v>0</v>
      </c>
      <c r="T496" s="11">
        <f t="shared" si="146"/>
        <v>0</v>
      </c>
      <c r="U496" s="11">
        <f>IF(A495=A496,0,VLOOKUP(A496,'Packing Time'!A:F,6,0))</f>
        <v>0</v>
      </c>
      <c r="V496" s="11">
        <f t="shared" si="157"/>
        <v>0</v>
      </c>
      <c r="W496" s="11">
        <f t="shared" si="158"/>
        <v>0</v>
      </c>
      <c r="X496" s="11">
        <f t="shared" si="147"/>
        <v>0</v>
      </c>
      <c r="Y496" s="11">
        <f t="shared" si="159"/>
        <v>0</v>
      </c>
      <c r="Z496" s="37">
        <v>1</v>
      </c>
      <c r="AA496" s="36">
        <f t="shared" si="148"/>
        <v>1</v>
      </c>
      <c r="AB496" s="36">
        <f t="shared" si="149"/>
        <v>0.14000000000000001</v>
      </c>
      <c r="AC496" s="11">
        <f t="shared" si="150"/>
        <v>0</v>
      </c>
      <c r="AD496" s="36">
        <f t="shared" si="160"/>
        <v>0</v>
      </c>
      <c r="AE496" s="36"/>
      <c r="AF496" s="36">
        <f>IFERROR(VLOOKUP(AE496,'Chemical Cost'!A:D,4,0),0)</f>
        <v>0</v>
      </c>
      <c r="AG496" s="114">
        <f t="shared" si="151"/>
        <v>0</v>
      </c>
      <c r="AH496" s="36">
        <f t="shared" si="154"/>
        <v>0</v>
      </c>
      <c r="AI496" s="36">
        <f t="shared" si="161"/>
        <v>0.14000000000000001</v>
      </c>
      <c r="AJ496" s="36">
        <f>IFERROR(VLOOKUP(A496,'All Products'!A:F,6,0),0)</f>
        <v>2.82</v>
      </c>
      <c r="AK496" s="36"/>
      <c r="AL496" s="23">
        <v>1</v>
      </c>
      <c r="AM496" s="23"/>
      <c r="AN496" s="54" t="e">
        <v>#N/A</v>
      </c>
      <c r="AO496" s="47"/>
      <c r="AP496" s="4">
        <v>1.6</v>
      </c>
      <c r="AQ496" s="111">
        <f t="shared" si="152"/>
        <v>0</v>
      </c>
      <c r="AR496">
        <f>_xlfn.XLOOKUP(F496,'RM Cost'!A:A,'RM Cost'!S:S)</f>
        <v>0</v>
      </c>
      <c r="AS496" t="str">
        <f>_xlfn.XLOOKUP(A496,[3]Sheet1!$B:$B,[3]Sheet1!$B:$B)</f>
        <v>Z260CS</v>
      </c>
      <c r="AT496" t="e">
        <f>_xlfn.XLOOKUP(H496,'Yield &amp; Time'!A:A,'Yield &amp; Time'!F:F)</f>
        <v>#N/A</v>
      </c>
    </row>
    <row r="497" spans="1:46" x14ac:dyDescent="0.25">
      <c r="A497" s="2" t="s">
        <v>345</v>
      </c>
      <c r="B497" s="2" t="s">
        <v>656</v>
      </c>
      <c r="C497" s="2" t="s">
        <v>346</v>
      </c>
      <c r="D497" s="2" t="s">
        <v>554</v>
      </c>
      <c r="E497" s="2">
        <v>2.5</v>
      </c>
      <c r="F497" s="1" t="str">
        <f>VLOOKUP(H497,'RM Used'!A:B,2,0)</f>
        <v>032ACS</v>
      </c>
      <c r="G497" s="1" t="str">
        <f>IFERROR(VLOOKUP(F497,'RM Cost'!A:B,2,0),"")</f>
        <v>RM - LRG PROCESSING CARROT X 1000KG</v>
      </c>
      <c r="H497" s="2" t="s">
        <v>1486</v>
      </c>
      <c r="I497" s="1" t="str">
        <f>VLOOKUP(F497,'RM Used'!B:D,3,0)</f>
        <v>RM-FOOD</v>
      </c>
      <c r="J497" s="66">
        <v>1</v>
      </c>
      <c r="K497" s="35">
        <f t="shared" si="156"/>
        <v>2.5</v>
      </c>
      <c r="L497" s="35">
        <f t="shared" si="144"/>
        <v>2.5</v>
      </c>
      <c r="M497" s="77" cm="1">
        <f t="array" ref="M497">_xlfn.IFS(BOM!I497="RM-PACKING","100%",B497="Reynolds",VLOOKUP(H497,'Yield &amp; Time'!A:V,22,0),BOM!B497="Dnata",VLOOKUP(BOM!H497,'Yield &amp; Time'!A:M,13,0),B497="NK",VLOOKUP(H497,'Yield &amp; Time'!A:X,24,0))</f>
        <v>0.51729460173101749</v>
      </c>
      <c r="N497" s="35">
        <f t="shared" si="155"/>
        <v>4.8328360505489067</v>
      </c>
      <c r="O497" s="1" t="str">
        <f>VLOOKUP(H497,'RM Used'!A:E,5,0)</f>
        <v>KG</v>
      </c>
      <c r="P497" s="11">
        <f>VLOOKUP(H497,'RM Used'!A:F,6,0)</f>
        <v>0.38</v>
      </c>
      <c r="Q497" s="11">
        <f t="shared" si="153"/>
        <v>1.8364776992085845</v>
      </c>
      <c r="R497" s="11">
        <f>IFERROR(IF(B497="Reynolds",VLOOKUP(H497,'Yield &amp; Time'!A:U,21,0),VLOOKUP(H497,'Yield &amp; Time'!A:L,12,0)),0)</f>
        <v>5.3503502164183594</v>
      </c>
      <c r="S497" s="11">
        <f t="shared" si="145"/>
        <v>4.5277338706440364</v>
      </c>
      <c r="T497" s="11">
        <f t="shared" si="146"/>
        <v>0.22293125901743163</v>
      </c>
      <c r="U497" s="11">
        <f>IF(A496=A497,0,VLOOKUP(A497,'Packing Time'!A:F,6,0))</f>
        <v>0.875</v>
      </c>
      <c r="V497" s="11">
        <f t="shared" si="157"/>
        <v>0.29618749999999999</v>
      </c>
      <c r="W497" s="11">
        <f t="shared" si="158"/>
        <v>1.4583333333333334E-2</v>
      </c>
      <c r="X497" s="11">
        <f t="shared" si="147"/>
        <v>6.029901713305045</v>
      </c>
      <c r="Y497" s="11">
        <f t="shared" si="159"/>
        <v>6.029901713305045</v>
      </c>
      <c r="Z497" s="37">
        <v>1</v>
      </c>
      <c r="AA497" s="36">
        <f t="shared" si="148"/>
        <v>4.8328360505489067</v>
      </c>
      <c r="AB497" s="36">
        <f t="shared" si="149"/>
        <v>1.8364776992085845</v>
      </c>
      <c r="AC497" s="11">
        <f t="shared" si="150"/>
        <v>0.29689324043845622</v>
      </c>
      <c r="AD497" s="36">
        <f t="shared" si="160"/>
        <v>6.029901713305045</v>
      </c>
      <c r="AE497" s="36"/>
      <c r="AF497" s="36">
        <f>IFERROR(VLOOKUP(AE497,'Chemical Cost'!A:D,4,0),0)</f>
        <v>0</v>
      </c>
      <c r="AG497" s="114">
        <f t="shared" si="151"/>
        <v>0</v>
      </c>
      <c r="AH497" s="36">
        <f t="shared" si="154"/>
        <v>0</v>
      </c>
      <c r="AI497" s="36">
        <f t="shared" si="161"/>
        <v>7.8663794125136297</v>
      </c>
      <c r="AJ497" s="36">
        <f>IFERROR(VLOOKUP(A497,'All Products'!A:F,6,0),0)</f>
        <v>6.74</v>
      </c>
      <c r="AK497" s="36">
        <f>AJ497*Z497*J497</f>
        <v>6.74</v>
      </c>
      <c r="AL497" s="23">
        <v>1</v>
      </c>
      <c r="AM497" s="23"/>
      <c r="AN497" s="54" t="e">
        <v>#N/A</v>
      </c>
      <c r="AO497" s="47"/>
      <c r="AP497" s="4">
        <v>1.25</v>
      </c>
      <c r="AQ497" s="111">
        <f t="shared" si="152"/>
        <v>0.29689324043845622</v>
      </c>
      <c r="AR497">
        <f>_xlfn.XLOOKUP(F497,'RM Cost'!A:A,'RM Cost'!S:S)</f>
        <v>0</v>
      </c>
      <c r="AS497" t="str">
        <f>_xlfn.XLOOKUP(A497,[3]Sheet1!$B:$B,[3]Sheet1!$B:$B)</f>
        <v>Z259CS</v>
      </c>
      <c r="AT497">
        <f>_xlfn.XLOOKUP(H497,'Yield &amp; Time'!A:A,'Yield &amp; Time'!F:F)</f>
        <v>0</v>
      </c>
    </row>
    <row r="498" spans="1:46" x14ac:dyDescent="0.25">
      <c r="A498" s="2" t="s">
        <v>345</v>
      </c>
      <c r="B498" s="2" t="s">
        <v>656</v>
      </c>
      <c r="C498" s="2" t="s">
        <v>346</v>
      </c>
      <c r="D498" s="2" t="s">
        <v>554</v>
      </c>
      <c r="E498" s="2">
        <v>2.5</v>
      </c>
      <c r="F498" s="1" t="str">
        <f>VLOOKUP(H498,'RM Used'!A:B,2,0)</f>
        <v>P0008</v>
      </c>
      <c r="G498" s="1" t="str">
        <f>IFERROR(VLOOKUP(F498,'RM Cost'!A:B,2,0),"")</f>
        <v>PALE BLUE BAG 470X750MM</v>
      </c>
      <c r="H498" s="2" t="s">
        <v>1323</v>
      </c>
      <c r="I498" s="1" t="str">
        <f>VLOOKUP(F498,'RM Used'!B:D,3,0)</f>
        <v>RM-PACKING</v>
      </c>
      <c r="J498" s="66">
        <v>1</v>
      </c>
      <c r="K498" s="35" t="str">
        <f t="shared" si="156"/>
        <v/>
      </c>
      <c r="L498" s="35">
        <f t="shared" si="144"/>
        <v>0</v>
      </c>
      <c r="M498" s="77" t="str" cm="1">
        <f t="array" ref="M498">_xlfn.IFS(BOM!I498="RM-PACKING","100%",B498="Reynolds",VLOOKUP(H498,'Yield &amp; Time'!A:V,22,0),BOM!B498="Dnata",VLOOKUP(BOM!H498,'Yield &amp; Time'!A:M,13,0),B498="NK",VLOOKUP(H498,'Yield &amp; Time'!A:X,24,0))</f>
        <v>100%</v>
      </c>
      <c r="N498" s="35">
        <f t="shared" si="155"/>
        <v>1</v>
      </c>
      <c r="O498" s="1" t="str">
        <f>VLOOKUP(H498,'RM Used'!A:E,5,0)</f>
        <v>Count</v>
      </c>
      <c r="P498" s="11">
        <f>VLOOKUP(H498,'RM Used'!A:F,6,0)</f>
        <v>0.14000000000000001</v>
      </c>
      <c r="Q498" s="11">
        <f t="shared" si="153"/>
        <v>0.14000000000000001</v>
      </c>
      <c r="R498" s="11">
        <f>IFERROR(IF(B498="Reynolds",VLOOKUP(H498,'Yield &amp; Time'!A:U,21,0),VLOOKUP(H498,'Yield &amp; Time'!A:L,12,0)),0)</f>
        <v>0</v>
      </c>
      <c r="S498" s="11">
        <f t="shared" si="145"/>
        <v>0</v>
      </c>
      <c r="T498" s="11">
        <f t="shared" si="146"/>
        <v>0</v>
      </c>
      <c r="U498" s="11">
        <f>IF(A497=A498,0,VLOOKUP(A498,'Packing Time'!A:F,6,0))</f>
        <v>0</v>
      </c>
      <c r="V498" s="11">
        <f t="shared" si="157"/>
        <v>0</v>
      </c>
      <c r="W498" s="11">
        <f t="shared" si="158"/>
        <v>0</v>
      </c>
      <c r="X498" s="11">
        <f t="shared" si="147"/>
        <v>0</v>
      </c>
      <c r="Y498" s="11">
        <f t="shared" si="159"/>
        <v>0</v>
      </c>
      <c r="Z498" s="37">
        <v>1</v>
      </c>
      <c r="AA498" s="36">
        <f t="shared" si="148"/>
        <v>1</v>
      </c>
      <c r="AB498" s="36">
        <f t="shared" si="149"/>
        <v>0.14000000000000001</v>
      </c>
      <c r="AC498" s="11">
        <f t="shared" si="150"/>
        <v>0</v>
      </c>
      <c r="AD498" s="36">
        <f t="shared" si="160"/>
        <v>0</v>
      </c>
      <c r="AE498" s="36"/>
      <c r="AF498" s="36">
        <f>IFERROR(VLOOKUP(AE498,'Chemical Cost'!A:D,4,0),0)</f>
        <v>0</v>
      </c>
      <c r="AG498" s="114">
        <f t="shared" si="151"/>
        <v>0</v>
      </c>
      <c r="AH498" s="36">
        <f t="shared" si="154"/>
        <v>0</v>
      </c>
      <c r="AI498" s="36">
        <f t="shared" si="161"/>
        <v>0.14000000000000001</v>
      </c>
      <c r="AJ498" s="36">
        <f>IFERROR(VLOOKUP(A498,'All Products'!A:F,6,0),0)</f>
        <v>6.74</v>
      </c>
      <c r="AK498" s="36"/>
      <c r="AL498" s="23">
        <v>1</v>
      </c>
      <c r="AM498" s="23"/>
      <c r="AN498" s="54" t="e">
        <v>#N/A</v>
      </c>
      <c r="AO498" s="47"/>
      <c r="AP498" s="4">
        <v>1.25</v>
      </c>
      <c r="AQ498" s="111">
        <f t="shared" si="152"/>
        <v>0</v>
      </c>
      <c r="AR498">
        <f>_xlfn.XLOOKUP(F498,'RM Cost'!A:A,'RM Cost'!S:S)</f>
        <v>0</v>
      </c>
      <c r="AS498" t="str">
        <f>_xlfn.XLOOKUP(A498,[3]Sheet1!$B:$B,[3]Sheet1!$B:$B)</f>
        <v>Z259CS</v>
      </c>
      <c r="AT498" t="e">
        <f>_xlfn.XLOOKUP(H498,'Yield &amp; Time'!A:A,'Yield &amp; Time'!F:F)</f>
        <v>#N/A</v>
      </c>
    </row>
    <row r="499" spans="1:46" x14ac:dyDescent="0.25">
      <c r="A499" s="2" t="s">
        <v>423</v>
      </c>
      <c r="B499" s="2" t="s">
        <v>656</v>
      </c>
      <c r="C499" s="2" t="s">
        <v>424</v>
      </c>
      <c r="D499" s="2" t="s">
        <v>554</v>
      </c>
      <c r="E499" s="2">
        <v>1</v>
      </c>
      <c r="F499" s="1" t="str">
        <f>VLOOKUP(H499,'RM Used'!A:B,2,0)</f>
        <v>032ACS</v>
      </c>
      <c r="G499" s="1" t="str">
        <f>IFERROR(VLOOKUP(F499,'RM Cost'!A:B,2,0),"")</f>
        <v>RM - LRG PROCESSING CARROT X 1000KG</v>
      </c>
      <c r="H499" s="2" t="s">
        <v>1487</v>
      </c>
      <c r="I499" s="1" t="str">
        <f>VLOOKUP(F499,'RM Used'!B:D,3,0)</f>
        <v>RM-FOOD</v>
      </c>
      <c r="J499" s="66">
        <v>1</v>
      </c>
      <c r="K499" s="35">
        <f t="shared" si="156"/>
        <v>1</v>
      </c>
      <c r="L499" s="35">
        <f t="shared" si="144"/>
        <v>1</v>
      </c>
      <c r="M499" s="77" cm="1">
        <f t="array" ref="M499">_xlfn.IFS(BOM!I499="RM-PACKING","100%",B499="Reynolds",VLOOKUP(H499,'Yield &amp; Time'!A:V,22,0),BOM!B499="Dnata",VLOOKUP(BOM!H499,'Yield &amp; Time'!A:M,13,0),B499="NK",VLOOKUP(H499,'Yield &amp; Time'!A:X,24,0))</f>
        <v>0.59308538964496971</v>
      </c>
      <c r="N499" s="35">
        <f t="shared" si="155"/>
        <v>1.6860978494152685</v>
      </c>
      <c r="O499" s="1" t="str">
        <f>VLOOKUP(H499,'RM Used'!A:E,5,0)</f>
        <v>KG</v>
      </c>
      <c r="P499" s="11">
        <f>VLOOKUP(H499,'RM Used'!A:F,6,0)</f>
        <v>0.38</v>
      </c>
      <c r="Q499" s="11">
        <f t="shared" si="153"/>
        <v>0.6407171827778021</v>
      </c>
      <c r="R499" s="11">
        <f>IFERROR(IF(B499="Reynolds",VLOOKUP(H499,'Yield &amp; Time'!A:U,21,0),VLOOKUP(H499,'Yield &amp; Time'!A:L,12,0)),0)</f>
        <v>1</v>
      </c>
      <c r="S499" s="11">
        <f t="shared" si="145"/>
        <v>0.33849999999999997</v>
      </c>
      <c r="T499" s="11">
        <f t="shared" si="146"/>
        <v>1.6666666666666666E-2</v>
      </c>
      <c r="U499" s="11">
        <f>IF(A498=A499,0,VLOOKUP(A499,'Packing Time'!A:F,6,0))</f>
        <v>0.64166666666666661</v>
      </c>
      <c r="V499" s="11">
        <f t="shared" si="157"/>
        <v>0.21720416666666661</v>
      </c>
      <c r="W499" s="11">
        <f t="shared" si="158"/>
        <v>1.0694444444444444E-2</v>
      </c>
      <c r="X499" s="11">
        <f t="shared" si="147"/>
        <v>0.88912666666666651</v>
      </c>
      <c r="Y499" s="11">
        <f t="shared" si="159"/>
        <v>0.88912666666666651</v>
      </c>
      <c r="Z499" s="37">
        <v>1</v>
      </c>
      <c r="AA499" s="36">
        <f t="shared" si="148"/>
        <v>1.6860978494152685</v>
      </c>
      <c r="AB499" s="36">
        <f t="shared" si="149"/>
        <v>0.6407171827778021</v>
      </c>
      <c r="AC499" s="11">
        <f t="shared" si="150"/>
        <v>4.3777777777777777E-2</v>
      </c>
      <c r="AD499" s="36">
        <f t="shared" si="160"/>
        <v>0.88912666666666651</v>
      </c>
      <c r="AE499" s="36" t="str">
        <f>VLOOKUP(H499,'Yield &amp; Time'!A:I,9,0)</f>
        <v>CHLORINE</v>
      </c>
      <c r="AF499" s="36">
        <f>IFERROR(VLOOKUP(AE499,'Chemical Cost'!A:D,4,0),0)</f>
        <v>2.7756518066439469E-2</v>
      </c>
      <c r="AG499" s="114">
        <f t="shared" si="151"/>
        <v>1.5600068473026545E-2</v>
      </c>
      <c r="AH499" s="36">
        <f t="shared" si="154"/>
        <v>1.5600068473026545E-2</v>
      </c>
      <c r="AI499" s="36">
        <f t="shared" si="161"/>
        <v>1.5454439179174952</v>
      </c>
      <c r="AJ499" s="36">
        <f>IFERROR(VLOOKUP(A499,'All Products'!A:F,6,0),0)</f>
        <v>2.85</v>
      </c>
      <c r="AK499" s="36">
        <f>AJ499*Z499*J499</f>
        <v>2.85</v>
      </c>
      <c r="AL499" s="23">
        <v>0.8</v>
      </c>
      <c r="AM499" s="23">
        <v>0.2</v>
      </c>
      <c r="AN499" s="54" t="e">
        <v>#N/A</v>
      </c>
      <c r="AO499" s="47"/>
      <c r="AP499" s="4">
        <v>1.6</v>
      </c>
      <c r="AQ499" s="111">
        <f t="shared" si="152"/>
        <v>4.3777777777777777E-2</v>
      </c>
      <c r="AR499">
        <f>_xlfn.XLOOKUP(F499,'RM Cost'!A:A,'RM Cost'!S:S)</f>
        <v>0</v>
      </c>
      <c r="AS499" t="str">
        <f>_xlfn.XLOOKUP(A499,[3]Sheet1!$B:$B,[3]Sheet1!$B:$B)</f>
        <v>Z252CS</v>
      </c>
      <c r="AT499">
        <f>_xlfn.XLOOKUP(H499,'Yield &amp; Time'!A:A,'Yield &amp; Time'!F:F)</f>
        <v>0</v>
      </c>
    </row>
    <row r="500" spans="1:46" x14ac:dyDescent="0.25">
      <c r="A500" s="2" t="s">
        <v>423</v>
      </c>
      <c r="B500" s="2" t="s">
        <v>656</v>
      </c>
      <c r="C500" s="2" t="s">
        <v>424</v>
      </c>
      <c r="D500" s="2" t="s">
        <v>554</v>
      </c>
      <c r="E500" s="2">
        <v>1</v>
      </c>
      <c r="F500" s="1" t="str">
        <f>VLOOKUP(H500,'RM Used'!A:B,2,0)</f>
        <v>P0008</v>
      </c>
      <c r="G500" s="1" t="str">
        <f>IFERROR(VLOOKUP(F500,'RM Cost'!A:B,2,0),"")</f>
        <v>PALE BLUE BAG 470X750MM</v>
      </c>
      <c r="H500" s="2" t="s">
        <v>1323</v>
      </c>
      <c r="I500" s="1" t="str">
        <f>VLOOKUP(F500,'RM Used'!B:D,3,0)</f>
        <v>RM-PACKING</v>
      </c>
      <c r="J500" s="66">
        <v>1</v>
      </c>
      <c r="K500" s="35" t="str">
        <f t="shared" si="156"/>
        <v/>
      </c>
      <c r="L500" s="35">
        <f t="shared" si="144"/>
        <v>0</v>
      </c>
      <c r="M500" s="77" t="str" cm="1">
        <f t="array" ref="M500">_xlfn.IFS(BOM!I500="RM-PACKING","100%",B500="Reynolds",VLOOKUP(H500,'Yield &amp; Time'!A:V,22,0),BOM!B500="Dnata",VLOOKUP(BOM!H500,'Yield &amp; Time'!A:M,13,0),B500="NK",VLOOKUP(H500,'Yield &amp; Time'!A:X,24,0))</f>
        <v>100%</v>
      </c>
      <c r="N500" s="35">
        <f t="shared" si="155"/>
        <v>1</v>
      </c>
      <c r="O500" s="1" t="str">
        <f>VLOOKUP(H500,'RM Used'!A:E,5,0)</f>
        <v>Count</v>
      </c>
      <c r="P500" s="11">
        <f>VLOOKUP(H500,'RM Used'!A:F,6,0)</f>
        <v>0.14000000000000001</v>
      </c>
      <c r="Q500" s="11">
        <f t="shared" si="153"/>
        <v>0.14000000000000001</v>
      </c>
      <c r="R500" s="11">
        <f>IFERROR(IF(B500="Reynolds",VLOOKUP(H500,'Yield &amp; Time'!A:U,21,0),VLOOKUP(H500,'Yield &amp; Time'!A:L,12,0)),0)</f>
        <v>0</v>
      </c>
      <c r="S500" s="11">
        <f t="shared" si="145"/>
        <v>0</v>
      </c>
      <c r="T500" s="11">
        <f t="shared" si="146"/>
        <v>0</v>
      </c>
      <c r="U500" s="11">
        <f>IF(A499=A500,0,VLOOKUP(A500,'Packing Time'!A:F,6,0))</f>
        <v>0</v>
      </c>
      <c r="V500" s="11">
        <f t="shared" si="157"/>
        <v>0</v>
      </c>
      <c r="W500" s="11">
        <f t="shared" si="158"/>
        <v>0</v>
      </c>
      <c r="X500" s="11">
        <f t="shared" si="147"/>
        <v>0</v>
      </c>
      <c r="Y500" s="11">
        <f t="shared" si="159"/>
        <v>0</v>
      </c>
      <c r="Z500" s="37">
        <v>1</v>
      </c>
      <c r="AA500" s="36">
        <f t="shared" si="148"/>
        <v>1</v>
      </c>
      <c r="AB500" s="36">
        <f t="shared" si="149"/>
        <v>0.14000000000000001</v>
      </c>
      <c r="AC500" s="11">
        <f t="shared" si="150"/>
        <v>0</v>
      </c>
      <c r="AD500" s="36">
        <f t="shared" si="160"/>
        <v>0</v>
      </c>
      <c r="AE500" s="36"/>
      <c r="AF500" s="36">
        <f>IFERROR(VLOOKUP(AE500,'Chemical Cost'!A:D,4,0),0)</f>
        <v>0</v>
      </c>
      <c r="AG500" s="114">
        <f t="shared" si="151"/>
        <v>0</v>
      </c>
      <c r="AH500" s="36">
        <f t="shared" si="154"/>
        <v>0</v>
      </c>
      <c r="AI500" s="36">
        <f t="shared" si="161"/>
        <v>0.14000000000000001</v>
      </c>
      <c r="AJ500" s="36">
        <f>IFERROR(VLOOKUP(A500,'All Products'!A:F,6,0),0)</f>
        <v>2.85</v>
      </c>
      <c r="AK500" s="36"/>
      <c r="AL500" s="23">
        <v>0.8</v>
      </c>
      <c r="AM500" s="23">
        <v>0.2</v>
      </c>
      <c r="AN500" s="54" t="e">
        <v>#N/A</v>
      </c>
      <c r="AO500" s="47"/>
      <c r="AP500" s="4">
        <v>1.6</v>
      </c>
      <c r="AQ500" s="111">
        <f t="shared" si="152"/>
        <v>0</v>
      </c>
      <c r="AR500">
        <f>_xlfn.XLOOKUP(F500,'RM Cost'!A:A,'RM Cost'!S:S)</f>
        <v>0</v>
      </c>
      <c r="AS500" t="str">
        <f>_xlfn.XLOOKUP(A500,[3]Sheet1!$B:$B,[3]Sheet1!$B:$B)</f>
        <v>Z252CS</v>
      </c>
      <c r="AT500" t="e">
        <f>_xlfn.XLOOKUP(H500,'Yield &amp; Time'!A:A,'Yield &amp; Time'!F:F)</f>
        <v>#N/A</v>
      </c>
    </row>
    <row r="501" spans="1:46" x14ac:dyDescent="0.25">
      <c r="A501" s="2" t="s">
        <v>343</v>
      </c>
      <c r="B501" s="2" t="s">
        <v>656</v>
      </c>
      <c r="C501" s="2" t="s">
        <v>344</v>
      </c>
      <c r="D501" s="2" t="s">
        <v>554</v>
      </c>
      <c r="E501" s="2">
        <v>2.5</v>
      </c>
      <c r="F501" s="1" t="str">
        <f>VLOOKUP(H501,'RM Used'!A:B,2,0)</f>
        <v>032ACS</v>
      </c>
      <c r="G501" s="1" t="str">
        <f>IFERROR(VLOOKUP(F501,'RM Cost'!A:B,2,0),"")</f>
        <v>RM - LRG PROCESSING CARROT X 1000KG</v>
      </c>
      <c r="H501" s="2" t="s">
        <v>1487</v>
      </c>
      <c r="I501" s="1" t="str">
        <f>VLOOKUP(F501,'RM Used'!B:D,3,0)</f>
        <v>RM-FOOD</v>
      </c>
      <c r="J501" s="66">
        <v>1</v>
      </c>
      <c r="K501" s="35">
        <f t="shared" si="156"/>
        <v>2.5</v>
      </c>
      <c r="L501" s="35">
        <f t="shared" si="144"/>
        <v>2.5</v>
      </c>
      <c r="M501" s="77" cm="1">
        <f t="array" ref="M501">_xlfn.IFS(BOM!I501="RM-PACKING","100%",B501="Reynolds",VLOOKUP(H501,'Yield &amp; Time'!A:V,22,0),BOM!B501="Dnata",VLOOKUP(BOM!H501,'Yield &amp; Time'!A:M,13,0),B501="NK",VLOOKUP(H501,'Yield &amp; Time'!A:X,24,0))</f>
        <v>0.59308538964496971</v>
      </c>
      <c r="N501" s="35">
        <f t="shared" si="155"/>
        <v>4.2152446235381715</v>
      </c>
      <c r="O501" s="1" t="str">
        <f>VLOOKUP(H501,'RM Used'!A:E,5,0)</f>
        <v>KG</v>
      </c>
      <c r="P501" s="11">
        <f>VLOOKUP(H501,'RM Used'!A:F,6,0)</f>
        <v>0.38</v>
      </c>
      <c r="Q501" s="11">
        <f t="shared" si="153"/>
        <v>1.6017929569445053</v>
      </c>
      <c r="R501" s="11">
        <f>IFERROR(IF(B501="Reynolds",VLOOKUP(H501,'Yield &amp; Time'!A:U,21,0),VLOOKUP(H501,'Yield &amp; Time'!A:L,12,0)),0)</f>
        <v>1</v>
      </c>
      <c r="S501" s="11">
        <f t="shared" si="145"/>
        <v>0.84624999999999995</v>
      </c>
      <c r="T501" s="11">
        <f t="shared" si="146"/>
        <v>4.1666666666666664E-2</v>
      </c>
      <c r="U501" s="11">
        <f>IF(A500=A501,0,VLOOKUP(A501,'Packing Time'!A:F,6,0))</f>
        <v>0.875</v>
      </c>
      <c r="V501" s="11">
        <f t="shared" si="157"/>
        <v>0.29618749999999999</v>
      </c>
      <c r="W501" s="11">
        <f t="shared" si="158"/>
        <v>1.4583333333333334E-2</v>
      </c>
      <c r="X501" s="11">
        <f t="shared" si="147"/>
        <v>1.2566812500000002</v>
      </c>
      <c r="Y501" s="11">
        <f t="shared" si="159"/>
        <v>1.2566812500000002</v>
      </c>
      <c r="Z501" s="37">
        <v>1</v>
      </c>
      <c r="AA501" s="36">
        <f t="shared" si="148"/>
        <v>4.2152446235381715</v>
      </c>
      <c r="AB501" s="36">
        <f t="shared" si="149"/>
        <v>1.6017929569445053</v>
      </c>
      <c r="AC501" s="11">
        <f t="shared" si="150"/>
        <v>6.1875000000000006E-2</v>
      </c>
      <c r="AD501" s="36">
        <f t="shared" si="160"/>
        <v>1.25668125</v>
      </c>
      <c r="AE501" s="36" t="str">
        <f>VLOOKUP(H501,'Yield &amp; Time'!A:I,9,0)</f>
        <v>CHLORINE</v>
      </c>
      <c r="AF501" s="36">
        <f>IFERROR(VLOOKUP(AE501,'Chemical Cost'!A:D,4,0),0)</f>
        <v>2.7756518066439469E-2</v>
      </c>
      <c r="AG501" s="114">
        <f t="shared" si="151"/>
        <v>3.9000171182566365E-2</v>
      </c>
      <c r="AH501" s="36">
        <f t="shared" si="154"/>
        <v>3.9000171182566365E-2</v>
      </c>
      <c r="AI501" s="36">
        <f t="shared" si="161"/>
        <v>2.8974743781270718</v>
      </c>
      <c r="AJ501" s="36">
        <f>IFERROR(VLOOKUP(A501,'All Products'!A:F,6,0),0)</f>
        <v>7.11</v>
      </c>
      <c r="AK501" s="36">
        <f>AJ501*Z501*J501</f>
        <v>7.11</v>
      </c>
      <c r="AL501" s="23">
        <v>0.8</v>
      </c>
      <c r="AM501" s="23">
        <v>0.2</v>
      </c>
      <c r="AN501" s="54" t="e">
        <v>#N/A</v>
      </c>
      <c r="AO501" s="47"/>
      <c r="AP501" s="4">
        <v>1.1000000000000001</v>
      </c>
      <c r="AQ501" s="111">
        <f t="shared" si="152"/>
        <v>6.1875000000000006E-2</v>
      </c>
      <c r="AR501">
        <f>_xlfn.XLOOKUP(F501,'RM Cost'!A:A,'RM Cost'!S:S)</f>
        <v>0</v>
      </c>
      <c r="AS501" t="str">
        <f>_xlfn.XLOOKUP(A501,[3]Sheet1!$B:$B,[3]Sheet1!$B:$B)</f>
        <v>Z251CS</v>
      </c>
      <c r="AT501">
        <f>_xlfn.XLOOKUP(H501,'Yield &amp; Time'!A:A,'Yield &amp; Time'!F:F)</f>
        <v>0</v>
      </c>
    </row>
    <row r="502" spans="1:46" x14ac:dyDescent="0.25">
      <c r="A502" s="2" t="s">
        <v>343</v>
      </c>
      <c r="B502" s="2" t="s">
        <v>656</v>
      </c>
      <c r="C502" s="2" t="s">
        <v>344</v>
      </c>
      <c r="D502" s="2" t="s">
        <v>554</v>
      </c>
      <c r="E502" s="2">
        <v>2.5</v>
      </c>
      <c r="F502" s="1" t="str">
        <f>VLOOKUP(H502,'RM Used'!A:B,2,0)</f>
        <v>P0008</v>
      </c>
      <c r="G502" s="1" t="str">
        <f>IFERROR(VLOOKUP(F502,'RM Cost'!A:B,2,0),"")</f>
        <v>PALE BLUE BAG 470X750MM</v>
      </c>
      <c r="H502" s="2" t="s">
        <v>1323</v>
      </c>
      <c r="I502" s="1" t="str">
        <f>VLOOKUP(F502,'RM Used'!B:D,3,0)</f>
        <v>RM-PACKING</v>
      </c>
      <c r="J502" s="66">
        <v>1</v>
      </c>
      <c r="K502" s="35" t="str">
        <f t="shared" si="156"/>
        <v/>
      </c>
      <c r="L502" s="35">
        <f t="shared" si="144"/>
        <v>0</v>
      </c>
      <c r="M502" s="77" t="str" cm="1">
        <f t="array" ref="M502">_xlfn.IFS(BOM!I502="RM-PACKING","100%",B502="Reynolds",VLOOKUP(H502,'Yield &amp; Time'!A:V,22,0),BOM!B502="Dnata",VLOOKUP(BOM!H502,'Yield &amp; Time'!A:M,13,0),B502="NK",VLOOKUP(H502,'Yield &amp; Time'!A:X,24,0))</f>
        <v>100%</v>
      </c>
      <c r="N502" s="35">
        <f t="shared" si="155"/>
        <v>1</v>
      </c>
      <c r="O502" s="1" t="str">
        <f>VLOOKUP(H502,'RM Used'!A:E,5,0)</f>
        <v>Count</v>
      </c>
      <c r="P502" s="11">
        <f>VLOOKUP(H502,'RM Used'!A:F,6,0)</f>
        <v>0.14000000000000001</v>
      </c>
      <c r="Q502" s="11">
        <f t="shared" si="153"/>
        <v>0.14000000000000001</v>
      </c>
      <c r="R502" s="11">
        <f>IFERROR(IF(B502="Reynolds",VLOOKUP(H502,'Yield &amp; Time'!A:U,21,0),VLOOKUP(H502,'Yield &amp; Time'!A:L,12,0)),0)</f>
        <v>0</v>
      </c>
      <c r="S502" s="11">
        <f t="shared" si="145"/>
        <v>0</v>
      </c>
      <c r="T502" s="11">
        <f t="shared" si="146"/>
        <v>0</v>
      </c>
      <c r="U502" s="11">
        <f>IF(A501=A502,0,VLOOKUP(A502,'Packing Time'!A:F,6,0))</f>
        <v>0</v>
      </c>
      <c r="V502" s="11">
        <f t="shared" si="157"/>
        <v>0</v>
      </c>
      <c r="W502" s="11">
        <f t="shared" si="158"/>
        <v>0</v>
      </c>
      <c r="X502" s="11">
        <f t="shared" si="147"/>
        <v>0</v>
      </c>
      <c r="Y502" s="11">
        <f t="shared" si="159"/>
        <v>0</v>
      </c>
      <c r="Z502" s="37">
        <v>1</v>
      </c>
      <c r="AA502" s="36">
        <f t="shared" si="148"/>
        <v>1</v>
      </c>
      <c r="AB502" s="36">
        <f t="shared" si="149"/>
        <v>0.14000000000000001</v>
      </c>
      <c r="AC502" s="11">
        <f t="shared" si="150"/>
        <v>0</v>
      </c>
      <c r="AD502" s="36">
        <f t="shared" si="160"/>
        <v>0</v>
      </c>
      <c r="AE502" s="36"/>
      <c r="AF502" s="36">
        <f>IFERROR(VLOOKUP(AE502,'Chemical Cost'!A:D,4,0),0)</f>
        <v>0</v>
      </c>
      <c r="AG502" s="114">
        <f t="shared" si="151"/>
        <v>0</v>
      </c>
      <c r="AH502" s="36">
        <f t="shared" si="154"/>
        <v>0</v>
      </c>
      <c r="AI502" s="36">
        <f t="shared" si="161"/>
        <v>0.14000000000000001</v>
      </c>
      <c r="AJ502" s="36">
        <f>IFERROR(VLOOKUP(A502,'All Products'!A:F,6,0),0)</f>
        <v>7.11</v>
      </c>
      <c r="AK502" s="36"/>
      <c r="AL502" s="23">
        <v>0.8</v>
      </c>
      <c r="AM502" s="23">
        <v>0.2</v>
      </c>
      <c r="AN502" s="54" t="e">
        <v>#N/A</v>
      </c>
      <c r="AO502" s="47"/>
      <c r="AP502" s="4">
        <v>1.1000000000000001</v>
      </c>
      <c r="AQ502" s="111">
        <f t="shared" si="152"/>
        <v>0</v>
      </c>
      <c r="AR502">
        <f>_xlfn.XLOOKUP(F502,'RM Cost'!A:A,'RM Cost'!S:S)</f>
        <v>0</v>
      </c>
      <c r="AS502" t="str">
        <f>_xlfn.XLOOKUP(A502,[3]Sheet1!$B:$B,[3]Sheet1!$B:$B)</f>
        <v>Z251CS</v>
      </c>
      <c r="AT502" t="e">
        <f>_xlfn.XLOOKUP(H502,'Yield &amp; Time'!A:A,'Yield &amp; Time'!F:F)</f>
        <v>#N/A</v>
      </c>
    </row>
    <row r="503" spans="1:46" x14ac:dyDescent="0.25">
      <c r="A503" s="2" t="s">
        <v>709</v>
      </c>
      <c r="B503" s="2" t="s">
        <v>656</v>
      </c>
      <c r="C503" s="2" t="s">
        <v>710</v>
      </c>
      <c r="D503" s="2" t="s">
        <v>554</v>
      </c>
      <c r="E503" s="2">
        <v>1</v>
      </c>
      <c r="F503" s="1" t="str">
        <f>VLOOKUP(H503,'RM Used'!A:B,2,0)</f>
        <v>032ACS</v>
      </c>
      <c r="G503" s="1" t="str">
        <f>IFERROR(VLOOKUP(F503,'RM Cost'!A:B,2,0),"")</f>
        <v>RM - LRG PROCESSING CARROT X 1000KG</v>
      </c>
      <c r="H503" s="2" t="s">
        <v>1488</v>
      </c>
      <c r="I503" s="1" t="str">
        <f>VLOOKUP(F503,'RM Used'!B:D,3,0)</f>
        <v>RM-FOOD</v>
      </c>
      <c r="J503" s="66">
        <v>1</v>
      </c>
      <c r="K503" s="35">
        <f t="shared" si="156"/>
        <v>1</v>
      </c>
      <c r="L503" s="35">
        <f t="shared" si="144"/>
        <v>1</v>
      </c>
      <c r="M503" s="77" cm="1">
        <f t="array" ref="M503">_xlfn.IFS(BOM!I503="RM-PACKING","100%",B503="Reynolds",VLOOKUP(H503,'Yield &amp; Time'!A:V,22,0),BOM!B503="Dnata",VLOOKUP(BOM!H503,'Yield &amp; Time'!A:M,13,0),B503="NK",VLOOKUP(H503,'Yield &amp; Time'!A:X,24,0))</f>
        <v>0.62730002870590995</v>
      </c>
      <c r="N503" s="35">
        <f t="shared" si="155"/>
        <v>1.5941335154454757</v>
      </c>
      <c r="O503" s="1" t="str">
        <f>VLOOKUP(H503,'RM Used'!A:E,5,0)</f>
        <v>KG</v>
      </c>
      <c r="P503" s="11">
        <f>VLOOKUP(H503,'RM Used'!A:F,6,0)</f>
        <v>0.38</v>
      </c>
      <c r="Q503" s="11">
        <f t="shared" si="153"/>
        <v>0.60577073586928076</v>
      </c>
      <c r="R503" s="11">
        <f>IFERROR(IF(B503="Reynolds",VLOOKUP(H503,'Yield &amp; Time'!A:U,21,0),VLOOKUP(H503,'Yield &amp; Time'!A:L,12,0)),0)</f>
        <v>4.1497732460852061</v>
      </c>
      <c r="S503" s="11">
        <f t="shared" si="145"/>
        <v>1.4046982437998421</v>
      </c>
      <c r="T503" s="11">
        <f t="shared" si="146"/>
        <v>6.9162887434753434E-2</v>
      </c>
      <c r="U503" s="11">
        <f>IF(A502=A503,0,VLOOKUP(A503,'Packing Time'!A:F,6,0))</f>
        <v>0.64166666666666661</v>
      </c>
      <c r="V503" s="11">
        <f t="shared" si="157"/>
        <v>0.21720416666666661</v>
      </c>
      <c r="W503" s="11">
        <f t="shared" si="158"/>
        <v>1.0694444444444444E-2</v>
      </c>
      <c r="X503" s="11">
        <f t="shared" si="147"/>
        <v>2.5950438567464142</v>
      </c>
      <c r="Y503" s="11">
        <f t="shared" si="159"/>
        <v>2.5950438567464142</v>
      </c>
      <c r="Z503" s="37">
        <v>1</v>
      </c>
      <c r="AA503" s="36">
        <f t="shared" si="148"/>
        <v>1.5941335154454757</v>
      </c>
      <c r="AB503" s="36">
        <f t="shared" si="149"/>
        <v>0.60577073586928076</v>
      </c>
      <c r="AC503" s="11">
        <f t="shared" si="150"/>
        <v>0.12777173100671663</v>
      </c>
      <c r="AD503" s="36">
        <f t="shared" si="160"/>
        <v>2.5950438567464147</v>
      </c>
      <c r="AE503" s="36"/>
      <c r="AF503" s="36">
        <f>IFERROR(VLOOKUP(AE503,'Chemical Cost'!A:D,4,0),0)</f>
        <v>0</v>
      </c>
      <c r="AG503" s="114">
        <f t="shared" si="151"/>
        <v>0</v>
      </c>
      <c r="AH503" s="36">
        <f t="shared" si="154"/>
        <v>0</v>
      </c>
      <c r="AI503" s="36">
        <f t="shared" si="161"/>
        <v>3.200814592615695</v>
      </c>
      <c r="AJ503" s="36">
        <f>IFERROR(VLOOKUP(A503,'All Products'!A:F,6,0),0)</f>
        <v>2.4500000000000002</v>
      </c>
      <c r="AK503" s="36">
        <f>AJ503*Z503*J503</f>
        <v>2.4500000000000002</v>
      </c>
      <c r="AL503" s="23">
        <v>1</v>
      </c>
      <c r="AM503" s="23"/>
      <c r="AN503" s="54" t="e">
        <v>#N/A</v>
      </c>
      <c r="AO503" s="47"/>
      <c r="AP503" s="4">
        <v>1.6</v>
      </c>
      <c r="AQ503" s="111">
        <f t="shared" si="152"/>
        <v>0.12777173100671663</v>
      </c>
      <c r="AR503">
        <f>_xlfn.XLOOKUP(F503,'RM Cost'!A:A,'RM Cost'!S:S)</f>
        <v>0</v>
      </c>
      <c r="AS503" t="e">
        <f>_xlfn.XLOOKUP(A503,[3]Sheet1!$B:$B,[3]Sheet1!$B:$B)</f>
        <v>#N/A</v>
      </c>
    </row>
    <row r="504" spans="1:46" x14ac:dyDescent="0.25">
      <c r="A504" s="2" t="s">
        <v>709</v>
      </c>
      <c r="B504" s="2" t="s">
        <v>656</v>
      </c>
      <c r="C504" s="2" t="s">
        <v>710</v>
      </c>
      <c r="D504" s="2" t="s">
        <v>554</v>
      </c>
      <c r="E504" s="2">
        <v>1</v>
      </c>
      <c r="F504" s="1" t="str">
        <f>VLOOKUP(H504,'RM Used'!A:B,2,0)</f>
        <v>P0008</v>
      </c>
      <c r="G504" s="1" t="str">
        <f>IFERROR(VLOOKUP(F504,'RM Cost'!A:B,2,0),"")</f>
        <v>PALE BLUE BAG 470X750MM</v>
      </c>
      <c r="H504" s="2" t="s">
        <v>1323</v>
      </c>
      <c r="I504" s="1" t="str">
        <f>VLOOKUP(F504,'RM Used'!B:D,3,0)</f>
        <v>RM-PACKING</v>
      </c>
      <c r="J504" s="66">
        <v>1</v>
      </c>
      <c r="K504" s="35" t="str">
        <f t="shared" si="156"/>
        <v/>
      </c>
      <c r="L504" s="35">
        <f t="shared" si="144"/>
        <v>0</v>
      </c>
      <c r="M504" s="77" t="str" cm="1">
        <f t="array" ref="M504">_xlfn.IFS(BOM!I504="RM-PACKING","100%",B504="Reynolds",VLOOKUP(H504,'Yield &amp; Time'!A:V,22,0),BOM!B504="Dnata",VLOOKUP(BOM!H504,'Yield &amp; Time'!A:M,13,0),B504="NK",VLOOKUP(H504,'Yield &amp; Time'!A:X,24,0))</f>
        <v>100%</v>
      </c>
      <c r="N504" s="35">
        <f t="shared" si="155"/>
        <v>1</v>
      </c>
      <c r="O504" s="1" t="str">
        <f>VLOOKUP(H504,'RM Used'!A:E,5,0)</f>
        <v>Count</v>
      </c>
      <c r="P504" s="11">
        <f>VLOOKUP(H504,'RM Used'!A:F,6,0)</f>
        <v>0.14000000000000001</v>
      </c>
      <c r="Q504" s="11">
        <f t="shared" si="153"/>
        <v>0.14000000000000001</v>
      </c>
      <c r="R504" s="11">
        <f>IFERROR(IF(B504="Reynolds",VLOOKUP(H504,'Yield &amp; Time'!A:U,21,0),VLOOKUP(H504,'Yield &amp; Time'!A:L,12,0)),0)</f>
        <v>0</v>
      </c>
      <c r="S504" s="11">
        <f t="shared" si="145"/>
        <v>0</v>
      </c>
      <c r="T504" s="11">
        <f t="shared" si="146"/>
        <v>0</v>
      </c>
      <c r="U504" s="11">
        <f>IF(A503=A504,0,VLOOKUP(A504,'Packing Time'!A:F,6,0))</f>
        <v>0</v>
      </c>
      <c r="V504" s="11">
        <f t="shared" si="157"/>
        <v>0</v>
      </c>
      <c r="W504" s="11">
        <f t="shared" si="158"/>
        <v>0</v>
      </c>
      <c r="X504" s="11">
        <f t="shared" si="147"/>
        <v>0</v>
      </c>
      <c r="Y504" s="11">
        <f t="shared" si="159"/>
        <v>0</v>
      </c>
      <c r="Z504" s="37">
        <v>1</v>
      </c>
      <c r="AA504" s="36">
        <f t="shared" si="148"/>
        <v>1</v>
      </c>
      <c r="AB504" s="36">
        <f t="shared" si="149"/>
        <v>0.14000000000000001</v>
      </c>
      <c r="AC504" s="11">
        <f t="shared" si="150"/>
        <v>0</v>
      </c>
      <c r="AD504" s="36">
        <f t="shared" si="160"/>
        <v>0</v>
      </c>
      <c r="AE504" s="36"/>
      <c r="AF504" s="36">
        <f>IFERROR(VLOOKUP(AE504,'Chemical Cost'!A:D,4,0),0)</f>
        <v>0</v>
      </c>
      <c r="AG504" s="114">
        <f t="shared" si="151"/>
        <v>0</v>
      </c>
      <c r="AH504" s="36">
        <f t="shared" si="154"/>
        <v>0</v>
      </c>
      <c r="AI504" s="36">
        <f t="shared" si="161"/>
        <v>0.14000000000000001</v>
      </c>
      <c r="AJ504" s="36">
        <f>IFERROR(VLOOKUP(A504,'All Products'!A:F,6,0),0)</f>
        <v>2.4500000000000002</v>
      </c>
      <c r="AK504" s="36"/>
      <c r="AL504" s="23">
        <v>1</v>
      </c>
      <c r="AM504" s="23"/>
      <c r="AN504" s="54" t="e">
        <v>#N/A</v>
      </c>
      <c r="AO504" s="47"/>
      <c r="AP504" s="4">
        <v>1.6</v>
      </c>
      <c r="AQ504" s="111">
        <f t="shared" si="152"/>
        <v>0</v>
      </c>
      <c r="AR504">
        <f>_xlfn.XLOOKUP(F504,'RM Cost'!A:A,'RM Cost'!S:S)</f>
        <v>0</v>
      </c>
      <c r="AS504" t="e">
        <f>_xlfn.XLOOKUP(A504,[3]Sheet1!$B:$B,[3]Sheet1!$B:$B)</f>
        <v>#N/A</v>
      </c>
    </row>
    <row r="505" spans="1:46" x14ac:dyDescent="0.25">
      <c r="A505" s="2" t="s">
        <v>711</v>
      </c>
      <c r="B505" s="2" t="s">
        <v>656</v>
      </c>
      <c r="C505" s="2" t="s">
        <v>712</v>
      </c>
      <c r="D505" s="2" t="s">
        <v>554</v>
      </c>
      <c r="E505" s="2">
        <v>2.5</v>
      </c>
      <c r="F505" s="1" t="str">
        <f>VLOOKUP(H505,'RM Used'!A:B,2,0)</f>
        <v>032ACS</v>
      </c>
      <c r="G505" s="1" t="str">
        <f>IFERROR(VLOOKUP(F505,'RM Cost'!A:B,2,0),"")</f>
        <v>RM - LRG PROCESSING CARROT X 1000KG</v>
      </c>
      <c r="H505" s="2" t="s">
        <v>1488</v>
      </c>
      <c r="I505" s="1" t="str">
        <f>VLOOKUP(F505,'RM Used'!B:D,3,0)</f>
        <v>RM-FOOD</v>
      </c>
      <c r="J505" s="66">
        <v>1</v>
      </c>
      <c r="K505" s="35">
        <f t="shared" si="156"/>
        <v>2.5</v>
      </c>
      <c r="L505" s="35">
        <f t="shared" si="144"/>
        <v>2.5</v>
      </c>
      <c r="M505" s="77" cm="1">
        <f t="array" ref="M505">_xlfn.IFS(BOM!I505="RM-PACKING","100%",B505="Reynolds",VLOOKUP(H505,'Yield &amp; Time'!A:V,22,0),BOM!B505="Dnata",VLOOKUP(BOM!H505,'Yield &amp; Time'!A:M,13,0),B505="NK",VLOOKUP(H505,'Yield &amp; Time'!A:X,24,0))</f>
        <v>0.62730002870590995</v>
      </c>
      <c r="N505" s="35">
        <f t="shared" si="155"/>
        <v>3.9853337886136893</v>
      </c>
      <c r="O505" s="1" t="str">
        <f>VLOOKUP(H505,'RM Used'!A:E,5,0)</f>
        <v>KG</v>
      </c>
      <c r="P505" s="11">
        <f>VLOOKUP(H505,'RM Used'!A:F,6,0)</f>
        <v>0.38</v>
      </c>
      <c r="Q505" s="11">
        <f t="shared" si="153"/>
        <v>1.5144268396732019</v>
      </c>
      <c r="R505" s="11">
        <f>IFERROR(IF(B505="Reynolds",VLOOKUP(H505,'Yield &amp; Time'!A:U,21,0),VLOOKUP(H505,'Yield &amp; Time'!A:L,12,0)),0)</f>
        <v>4.1497732460852061</v>
      </c>
      <c r="S505" s="11">
        <f t="shared" si="145"/>
        <v>3.5117456094996053</v>
      </c>
      <c r="T505" s="11">
        <f t="shared" si="146"/>
        <v>0.1729072185868836</v>
      </c>
      <c r="U505" s="11">
        <f>IF(A504=A505,0,VLOOKUP(A505,'Packing Time'!A:F,6,0))</f>
        <v>0.875</v>
      </c>
      <c r="V505" s="11">
        <f t="shared" si="157"/>
        <v>0.29618749999999999</v>
      </c>
      <c r="W505" s="11">
        <f t="shared" si="158"/>
        <v>1.4583333333333334E-2</v>
      </c>
      <c r="X505" s="11">
        <f t="shared" si="147"/>
        <v>4.7599163868745071</v>
      </c>
      <c r="Y505" s="11">
        <f t="shared" si="159"/>
        <v>4.7599163868745071</v>
      </c>
      <c r="Z505" s="37">
        <v>1</v>
      </c>
      <c r="AA505" s="36">
        <f t="shared" si="148"/>
        <v>3.9853337886136893</v>
      </c>
      <c r="AB505" s="36">
        <f t="shared" si="149"/>
        <v>1.5144268396732019</v>
      </c>
      <c r="AC505" s="11">
        <f t="shared" si="150"/>
        <v>0.23436318990027116</v>
      </c>
      <c r="AD505" s="36">
        <f t="shared" si="160"/>
        <v>4.7599163868745071</v>
      </c>
      <c r="AE505" s="36"/>
      <c r="AF505" s="36">
        <f>IFERROR(VLOOKUP(AE505,'Chemical Cost'!A:D,4,0),0)</f>
        <v>0</v>
      </c>
      <c r="AG505" s="114">
        <f t="shared" si="151"/>
        <v>0</v>
      </c>
      <c r="AH505" s="36">
        <f t="shared" si="154"/>
        <v>0</v>
      </c>
      <c r="AI505" s="36">
        <f t="shared" si="161"/>
        <v>6.2743432265477086</v>
      </c>
      <c r="AJ505" s="36">
        <f>IFERROR(VLOOKUP(A505,'All Products'!A:F,6,0),0)</f>
        <v>6.12</v>
      </c>
      <c r="AK505" s="36">
        <f>AJ505*Z505*J505</f>
        <v>6.12</v>
      </c>
      <c r="AL505" s="23">
        <v>1</v>
      </c>
      <c r="AM505" s="23"/>
      <c r="AN505" s="54" t="e">
        <v>#N/A</v>
      </c>
      <c r="AO505" s="47"/>
      <c r="AP505" s="4">
        <v>1.25</v>
      </c>
      <c r="AQ505" s="111">
        <f t="shared" si="152"/>
        <v>0.23436318990027116</v>
      </c>
      <c r="AR505">
        <f>_xlfn.XLOOKUP(F505,'RM Cost'!A:A,'RM Cost'!S:S)</f>
        <v>0</v>
      </c>
      <c r="AS505" t="e">
        <f>_xlfn.XLOOKUP(A505,[3]Sheet1!$B:$B,[3]Sheet1!$B:$B)</f>
        <v>#N/A</v>
      </c>
    </row>
    <row r="506" spans="1:46" x14ac:dyDescent="0.25">
      <c r="A506" s="2" t="s">
        <v>711</v>
      </c>
      <c r="B506" s="2" t="s">
        <v>656</v>
      </c>
      <c r="C506" s="2" t="s">
        <v>712</v>
      </c>
      <c r="D506" s="2" t="s">
        <v>554</v>
      </c>
      <c r="E506" s="2">
        <v>2.5</v>
      </c>
      <c r="F506" s="1" t="str">
        <f>VLOOKUP(H506,'RM Used'!A:B,2,0)</f>
        <v>P0008</v>
      </c>
      <c r="G506" s="1" t="str">
        <f>IFERROR(VLOOKUP(F506,'RM Cost'!A:B,2,0),"")</f>
        <v>PALE BLUE BAG 470X750MM</v>
      </c>
      <c r="H506" s="2" t="s">
        <v>1323</v>
      </c>
      <c r="I506" s="1" t="str">
        <f>VLOOKUP(F506,'RM Used'!B:D,3,0)</f>
        <v>RM-PACKING</v>
      </c>
      <c r="J506" s="66">
        <v>1</v>
      </c>
      <c r="K506" s="35" t="str">
        <f t="shared" si="156"/>
        <v/>
      </c>
      <c r="L506" s="35">
        <f t="shared" si="144"/>
        <v>0</v>
      </c>
      <c r="M506" s="77" t="str" cm="1">
        <f t="array" ref="M506">_xlfn.IFS(BOM!I506="RM-PACKING","100%",B506="Reynolds",VLOOKUP(H506,'Yield &amp; Time'!A:V,22,0),BOM!B506="Dnata",VLOOKUP(BOM!H506,'Yield &amp; Time'!A:M,13,0),B506="NK",VLOOKUP(H506,'Yield &amp; Time'!A:X,24,0))</f>
        <v>100%</v>
      </c>
      <c r="N506" s="35">
        <f t="shared" si="155"/>
        <v>1</v>
      </c>
      <c r="O506" s="1" t="str">
        <f>VLOOKUP(H506,'RM Used'!A:E,5,0)</f>
        <v>Count</v>
      </c>
      <c r="P506" s="11">
        <f>VLOOKUP(H506,'RM Used'!A:F,6,0)</f>
        <v>0.14000000000000001</v>
      </c>
      <c r="Q506" s="11">
        <f t="shared" si="153"/>
        <v>0.14000000000000001</v>
      </c>
      <c r="R506" s="11">
        <f>IFERROR(IF(B506="Reynolds",VLOOKUP(H506,'Yield &amp; Time'!A:U,21,0),VLOOKUP(H506,'Yield &amp; Time'!A:L,12,0)),0)</f>
        <v>0</v>
      </c>
      <c r="S506" s="11">
        <f t="shared" si="145"/>
        <v>0</v>
      </c>
      <c r="T506" s="11">
        <f t="shared" si="146"/>
        <v>0</v>
      </c>
      <c r="U506" s="11">
        <f>IF(A505=A506,0,VLOOKUP(A506,'Packing Time'!A:F,6,0))</f>
        <v>0</v>
      </c>
      <c r="V506" s="11">
        <f t="shared" si="157"/>
        <v>0</v>
      </c>
      <c r="W506" s="11">
        <f t="shared" si="158"/>
        <v>0</v>
      </c>
      <c r="X506" s="11">
        <f t="shared" si="147"/>
        <v>0</v>
      </c>
      <c r="Y506" s="11">
        <f t="shared" si="159"/>
        <v>0</v>
      </c>
      <c r="Z506" s="37">
        <v>1</v>
      </c>
      <c r="AA506" s="36">
        <f t="shared" si="148"/>
        <v>1</v>
      </c>
      <c r="AB506" s="36">
        <f t="shared" si="149"/>
        <v>0.14000000000000001</v>
      </c>
      <c r="AC506" s="11">
        <f t="shared" si="150"/>
        <v>0</v>
      </c>
      <c r="AD506" s="36">
        <f t="shared" si="160"/>
        <v>0</v>
      </c>
      <c r="AE506" s="36"/>
      <c r="AF506" s="36">
        <f>IFERROR(VLOOKUP(AE506,'Chemical Cost'!A:D,4,0),0)</f>
        <v>0</v>
      </c>
      <c r="AG506" s="114">
        <f t="shared" si="151"/>
        <v>0</v>
      </c>
      <c r="AH506" s="36">
        <f t="shared" si="154"/>
        <v>0</v>
      </c>
      <c r="AI506" s="36">
        <f t="shared" si="161"/>
        <v>0.14000000000000001</v>
      </c>
      <c r="AJ506" s="36">
        <f>IFERROR(VLOOKUP(A506,'All Products'!A:F,6,0),0)</f>
        <v>6.12</v>
      </c>
      <c r="AK506" s="36"/>
      <c r="AL506" s="23">
        <v>1</v>
      </c>
      <c r="AM506" s="23"/>
      <c r="AN506" s="54" t="e">
        <v>#N/A</v>
      </c>
      <c r="AO506" s="47"/>
      <c r="AP506" s="4">
        <v>1.25</v>
      </c>
      <c r="AQ506" s="111">
        <f t="shared" si="152"/>
        <v>0</v>
      </c>
      <c r="AR506">
        <f>_xlfn.XLOOKUP(F506,'RM Cost'!A:A,'RM Cost'!S:S)</f>
        <v>0</v>
      </c>
      <c r="AS506" t="e">
        <f>_xlfn.XLOOKUP(A506,[3]Sheet1!$B:$B,[3]Sheet1!$B:$B)</f>
        <v>#N/A</v>
      </c>
    </row>
    <row r="507" spans="1:46" x14ac:dyDescent="0.25">
      <c r="A507" s="2" t="s">
        <v>713</v>
      </c>
      <c r="B507" s="2" t="s">
        <v>656</v>
      </c>
      <c r="C507" s="2" t="s">
        <v>714</v>
      </c>
      <c r="D507" s="2" t="s">
        <v>554</v>
      </c>
      <c r="E507" s="2">
        <v>1</v>
      </c>
      <c r="F507" s="1" t="str">
        <f>VLOOKUP(H507,'RM Used'!A:B,2,0)</f>
        <v>032ACS</v>
      </c>
      <c r="G507" s="1" t="str">
        <f>IFERROR(VLOOKUP(F507,'RM Cost'!A:B,2,0),"")</f>
        <v>RM - LRG PROCESSING CARROT X 1000KG</v>
      </c>
      <c r="H507" s="2" t="s">
        <v>1489</v>
      </c>
      <c r="I507" s="1" t="str">
        <f>VLOOKUP(F507,'RM Used'!B:D,3,0)</f>
        <v>RM-FOOD</v>
      </c>
      <c r="J507" s="66">
        <v>1</v>
      </c>
      <c r="K507" s="35">
        <f t="shared" si="156"/>
        <v>1</v>
      </c>
      <c r="L507" s="35">
        <f t="shared" si="144"/>
        <v>1</v>
      </c>
      <c r="M507" s="77" cm="1">
        <f t="array" ref="M507">_xlfn.IFS(BOM!I507="RM-PACKING","100%",B507="Reynolds",VLOOKUP(H507,'Yield &amp; Time'!A:V,22,0),BOM!B507="Dnata",VLOOKUP(BOM!H507,'Yield &amp; Time'!A:M,13,0),B507="NK",VLOOKUP(H507,'Yield &amp; Time'!A:X,24,0))</f>
        <v>0.74520000000000008</v>
      </c>
      <c r="N507" s="35">
        <f t="shared" si="155"/>
        <v>1.341921631776704</v>
      </c>
      <c r="O507" s="1" t="str">
        <f>VLOOKUP(H507,'RM Used'!A:E,5,0)</f>
        <v>KG</v>
      </c>
      <c r="P507" s="11">
        <f>VLOOKUP(H507,'RM Used'!A:F,6,0)</f>
        <v>0.38</v>
      </c>
      <c r="Q507" s="11">
        <f t="shared" si="153"/>
        <v>0.50993022007514754</v>
      </c>
      <c r="R507" s="11">
        <f>IFERROR(IF(B507="Reynolds",VLOOKUP(H507,'Yield &amp; Time'!A:U,21,0),VLOOKUP(H507,'Yield &amp; Time'!A:L,12,0)),0)</f>
        <v>0.90531914893617027</v>
      </c>
      <c r="S507" s="11">
        <f t="shared" si="145"/>
        <v>0.30645053191489363</v>
      </c>
      <c r="T507" s="11">
        <f t="shared" si="146"/>
        <v>1.5088652482269505E-2</v>
      </c>
      <c r="U507" s="11">
        <f>IF(A506=A507,0,VLOOKUP(A507,'Packing Time'!A:F,6,0))</f>
        <v>0.64166666666666661</v>
      </c>
      <c r="V507" s="11">
        <f t="shared" si="157"/>
        <v>0.21720416666666661</v>
      </c>
      <c r="W507" s="11">
        <f t="shared" si="158"/>
        <v>1.0694444444444444E-2</v>
      </c>
      <c r="X507" s="11">
        <f t="shared" si="147"/>
        <v>0.83784751773049637</v>
      </c>
      <c r="Y507" s="11">
        <f t="shared" si="159"/>
        <v>0.83784751773049637</v>
      </c>
      <c r="Z507" s="37">
        <v>1</v>
      </c>
      <c r="AA507" s="36">
        <f t="shared" si="148"/>
        <v>1.341921631776704</v>
      </c>
      <c r="AB507" s="36">
        <f t="shared" si="149"/>
        <v>0.50993022007514754</v>
      </c>
      <c r="AC507" s="11">
        <f t="shared" si="150"/>
        <v>4.1252955082742321E-2</v>
      </c>
      <c r="AD507" s="36">
        <f t="shared" si="160"/>
        <v>0.83784751773049648</v>
      </c>
      <c r="AE507" s="36" t="str">
        <f>VLOOKUP(H507,'Yield &amp; Time'!A:I,9,0)</f>
        <v>CHLORINE</v>
      </c>
      <c r="AF507" s="36">
        <f>IFERROR(VLOOKUP(AE507,'Chemical Cost'!A:D,4,0),0)</f>
        <v>2.7756518066439469E-2</v>
      </c>
      <c r="AG507" s="114">
        <f t="shared" si="151"/>
        <v>1.2415690672052006E-2</v>
      </c>
      <c r="AH507" s="36">
        <f t="shared" si="154"/>
        <v>1.2415690672052006E-2</v>
      </c>
      <c r="AI507" s="36">
        <f t="shared" si="161"/>
        <v>1.360193428477696</v>
      </c>
      <c r="AJ507" s="36">
        <f>IFERROR(VLOOKUP(A507,'All Products'!A:F,6,0),0)</f>
        <v>1.72</v>
      </c>
      <c r="AK507" s="36">
        <f>AJ507*Z507*J507</f>
        <v>1.72</v>
      </c>
      <c r="AL507" s="23">
        <v>0.8</v>
      </c>
      <c r="AM507" s="23">
        <v>0.2</v>
      </c>
      <c r="AN507" s="54" t="e">
        <v>#N/A</v>
      </c>
      <c r="AO507" s="47"/>
      <c r="AP507" s="4">
        <v>1.6</v>
      </c>
      <c r="AQ507" s="111">
        <f t="shared" si="152"/>
        <v>4.1252955082742321E-2</v>
      </c>
      <c r="AR507">
        <f>_xlfn.XLOOKUP(F507,'RM Cost'!A:A,'RM Cost'!S:S)</f>
        <v>0</v>
      </c>
      <c r="AS507" t="str">
        <f>_xlfn.XLOOKUP(A507,[3]Sheet1!$B:$B,[3]Sheet1!$B:$B)</f>
        <v>Z254CS</v>
      </c>
      <c r="AT507" t="str">
        <f>_xlfn.XLOOKUP(H507,'Yield &amp; Time'!A:A,'Yield &amp; Time'!F:F)</f>
        <v>Yes</v>
      </c>
    </row>
    <row r="508" spans="1:46" x14ac:dyDescent="0.25">
      <c r="A508" s="2" t="s">
        <v>713</v>
      </c>
      <c r="B508" s="2" t="s">
        <v>656</v>
      </c>
      <c r="C508" s="2" t="s">
        <v>714</v>
      </c>
      <c r="D508" s="2" t="s">
        <v>554</v>
      </c>
      <c r="E508" s="2">
        <v>1</v>
      </c>
      <c r="F508" s="1" t="str">
        <f>VLOOKUP(H508,'RM Used'!A:B,2,0)</f>
        <v>P0008</v>
      </c>
      <c r="G508" s="1" t="str">
        <f>IFERROR(VLOOKUP(F508,'RM Cost'!A:B,2,0),"")</f>
        <v>PALE BLUE BAG 470X750MM</v>
      </c>
      <c r="H508" s="2" t="s">
        <v>1323</v>
      </c>
      <c r="I508" s="1" t="str">
        <f>VLOOKUP(F508,'RM Used'!B:D,3,0)</f>
        <v>RM-PACKING</v>
      </c>
      <c r="J508" s="66">
        <v>1</v>
      </c>
      <c r="K508" s="35" t="str">
        <f t="shared" si="156"/>
        <v/>
      </c>
      <c r="L508" s="35">
        <f t="shared" si="144"/>
        <v>0</v>
      </c>
      <c r="M508" s="77" t="str" cm="1">
        <f t="array" ref="M508">_xlfn.IFS(BOM!I508="RM-PACKING","100%",B508="Reynolds",VLOOKUP(H508,'Yield &amp; Time'!A:V,22,0),BOM!B508="Dnata",VLOOKUP(BOM!H508,'Yield &amp; Time'!A:M,13,0),B508="NK",VLOOKUP(H508,'Yield &amp; Time'!A:X,24,0))</f>
        <v>100%</v>
      </c>
      <c r="N508" s="35">
        <f t="shared" si="155"/>
        <v>1</v>
      </c>
      <c r="O508" s="1" t="str">
        <f>VLOOKUP(H508,'RM Used'!A:E,5,0)</f>
        <v>Count</v>
      </c>
      <c r="P508" s="11">
        <f>VLOOKUP(H508,'RM Used'!A:F,6,0)</f>
        <v>0.14000000000000001</v>
      </c>
      <c r="Q508" s="11">
        <f t="shared" si="153"/>
        <v>0.14000000000000001</v>
      </c>
      <c r="R508" s="11">
        <f>IFERROR(IF(B508="Reynolds",VLOOKUP(H508,'Yield &amp; Time'!A:U,21,0),VLOOKUP(H508,'Yield &amp; Time'!A:L,12,0)),0)</f>
        <v>0</v>
      </c>
      <c r="S508" s="11">
        <f t="shared" si="145"/>
        <v>0</v>
      </c>
      <c r="T508" s="11">
        <f t="shared" si="146"/>
        <v>0</v>
      </c>
      <c r="U508" s="11">
        <f>IF(A507=A508,0,VLOOKUP(A508,'Packing Time'!A:F,6,0))</f>
        <v>0</v>
      </c>
      <c r="V508" s="11">
        <f t="shared" si="157"/>
        <v>0</v>
      </c>
      <c r="W508" s="11">
        <f t="shared" si="158"/>
        <v>0</v>
      </c>
      <c r="X508" s="11">
        <f t="shared" si="147"/>
        <v>0</v>
      </c>
      <c r="Y508" s="11">
        <f t="shared" si="159"/>
        <v>0</v>
      </c>
      <c r="Z508" s="37">
        <v>1</v>
      </c>
      <c r="AA508" s="36">
        <f t="shared" si="148"/>
        <v>1</v>
      </c>
      <c r="AB508" s="36">
        <f t="shared" si="149"/>
        <v>0.14000000000000001</v>
      </c>
      <c r="AC508" s="11">
        <f t="shared" si="150"/>
        <v>0</v>
      </c>
      <c r="AD508" s="36">
        <f t="shared" si="160"/>
        <v>0</v>
      </c>
      <c r="AE508" s="36"/>
      <c r="AF508" s="36">
        <f>IFERROR(VLOOKUP(AE508,'Chemical Cost'!A:D,4,0),0)</f>
        <v>0</v>
      </c>
      <c r="AG508" s="114">
        <f t="shared" si="151"/>
        <v>0</v>
      </c>
      <c r="AH508" s="36">
        <f t="shared" si="154"/>
        <v>0</v>
      </c>
      <c r="AI508" s="36">
        <f t="shared" si="161"/>
        <v>0.14000000000000001</v>
      </c>
      <c r="AJ508" s="36">
        <f>IFERROR(VLOOKUP(A508,'All Products'!A:F,6,0),0)</f>
        <v>1.72</v>
      </c>
      <c r="AK508" s="36"/>
      <c r="AL508" s="23">
        <v>0.8</v>
      </c>
      <c r="AM508" s="23">
        <v>0.2</v>
      </c>
      <c r="AN508" s="54" t="e">
        <v>#N/A</v>
      </c>
      <c r="AO508" s="47"/>
      <c r="AP508" s="4">
        <v>1.6</v>
      </c>
      <c r="AQ508" s="111">
        <f t="shared" si="152"/>
        <v>0</v>
      </c>
      <c r="AR508">
        <f>_xlfn.XLOOKUP(F508,'RM Cost'!A:A,'RM Cost'!S:S)</f>
        <v>0</v>
      </c>
      <c r="AS508" t="str">
        <f>_xlfn.XLOOKUP(A508,[3]Sheet1!$B:$B,[3]Sheet1!$B:$B)</f>
        <v>Z254CS</v>
      </c>
      <c r="AT508" t="e">
        <f>_xlfn.XLOOKUP(H508,'Yield &amp; Time'!A:A,'Yield &amp; Time'!F:F)</f>
        <v>#N/A</v>
      </c>
    </row>
    <row r="509" spans="1:46" x14ac:dyDescent="0.25">
      <c r="A509" s="2" t="s">
        <v>341</v>
      </c>
      <c r="B509" s="2" t="s">
        <v>656</v>
      </c>
      <c r="C509" s="2" t="s">
        <v>342</v>
      </c>
      <c r="D509" s="2" t="s">
        <v>554</v>
      </c>
      <c r="E509" s="2">
        <v>2.5</v>
      </c>
      <c r="F509" s="1" t="str">
        <f>VLOOKUP(H509,'RM Used'!A:B,2,0)</f>
        <v>032ACS</v>
      </c>
      <c r="G509" s="1" t="str">
        <f>IFERROR(VLOOKUP(F509,'RM Cost'!A:B,2,0),"")</f>
        <v>RM - LRG PROCESSING CARROT X 1000KG</v>
      </c>
      <c r="H509" s="2" t="s">
        <v>1489</v>
      </c>
      <c r="I509" s="1" t="str">
        <f>VLOOKUP(F509,'RM Used'!B:D,3,0)</f>
        <v>RM-FOOD</v>
      </c>
      <c r="J509" s="66">
        <v>1</v>
      </c>
      <c r="K509" s="35">
        <f t="shared" si="156"/>
        <v>2.5</v>
      </c>
      <c r="L509" s="35">
        <f t="shared" si="144"/>
        <v>2.5</v>
      </c>
      <c r="M509" s="77" cm="1">
        <f t="array" ref="M509">_xlfn.IFS(BOM!I509="RM-PACKING","100%",B509="Reynolds",VLOOKUP(H509,'Yield &amp; Time'!A:V,22,0),BOM!B509="Dnata",VLOOKUP(BOM!H509,'Yield &amp; Time'!A:M,13,0),B509="NK",VLOOKUP(H509,'Yield &amp; Time'!A:X,24,0))</f>
        <v>0.74520000000000008</v>
      </c>
      <c r="N509" s="35">
        <f t="shared" si="155"/>
        <v>3.3548040794417604</v>
      </c>
      <c r="O509" s="1" t="str">
        <f>VLOOKUP(H509,'RM Used'!A:E,5,0)</f>
        <v>KG</v>
      </c>
      <c r="P509" s="11">
        <f>VLOOKUP(H509,'RM Used'!A:F,6,0)</f>
        <v>0.38</v>
      </c>
      <c r="Q509" s="11">
        <f t="shared" si="153"/>
        <v>1.2748255501878689</v>
      </c>
      <c r="R509" s="11">
        <f>IFERROR(IF(B509="Reynolds",VLOOKUP(H509,'Yield &amp; Time'!A:U,21,0),VLOOKUP(H509,'Yield &amp; Time'!A:L,12,0)),0)</f>
        <v>0.90531914893617027</v>
      </c>
      <c r="S509" s="11">
        <f t="shared" si="145"/>
        <v>0.76612632978723405</v>
      </c>
      <c r="T509" s="11">
        <f t="shared" si="146"/>
        <v>3.7721631205673761E-2</v>
      </c>
      <c r="U509" s="11">
        <f>IF(A508=A509,0,VLOOKUP(A509,'Packing Time'!A:F,6,0))</f>
        <v>0.875</v>
      </c>
      <c r="V509" s="11">
        <f t="shared" si="157"/>
        <v>0.29618749999999999</v>
      </c>
      <c r="W509" s="11">
        <f t="shared" si="158"/>
        <v>1.4583333333333334E-2</v>
      </c>
      <c r="X509" s="11">
        <f t="shared" si="147"/>
        <v>1.1685452127659577</v>
      </c>
      <c r="Y509" s="11">
        <f t="shared" si="159"/>
        <v>1.1685452127659577</v>
      </c>
      <c r="Z509" s="37">
        <v>1</v>
      </c>
      <c r="AA509" s="36">
        <f t="shared" si="148"/>
        <v>3.3548040794417604</v>
      </c>
      <c r="AB509" s="36">
        <f t="shared" si="149"/>
        <v>1.2748255501878689</v>
      </c>
      <c r="AC509" s="11">
        <f t="shared" si="150"/>
        <v>5.7535460992907815E-2</v>
      </c>
      <c r="AD509" s="36">
        <f t="shared" si="160"/>
        <v>1.1685452127659575</v>
      </c>
      <c r="AE509" s="36" t="str">
        <f>VLOOKUP(H509,'Yield &amp; Time'!A:I,9,0)</f>
        <v>CHLORINE</v>
      </c>
      <c r="AF509" s="36">
        <f>IFERROR(VLOOKUP(AE509,'Chemical Cost'!A:D,4,0),0)</f>
        <v>2.7756518066439469E-2</v>
      </c>
      <c r="AG509" s="114">
        <f t="shared" si="151"/>
        <v>3.1039226680130021E-2</v>
      </c>
      <c r="AH509" s="36">
        <f t="shared" si="154"/>
        <v>3.1039226680130021E-2</v>
      </c>
      <c r="AI509" s="36">
        <f t="shared" si="161"/>
        <v>2.4744099896339566</v>
      </c>
      <c r="AJ509" s="36">
        <f>IFERROR(VLOOKUP(A509,'All Products'!A:F,6,0),0)</f>
        <v>4</v>
      </c>
      <c r="AK509" s="36">
        <f>AJ509*Z509*J509</f>
        <v>4</v>
      </c>
      <c r="AL509" s="23">
        <v>0.8</v>
      </c>
      <c r="AM509" s="23">
        <v>0.2</v>
      </c>
      <c r="AN509" s="54" t="e">
        <v>#N/A</v>
      </c>
      <c r="AO509" s="47"/>
      <c r="AP509" s="4">
        <v>1.1000000000000001</v>
      </c>
      <c r="AQ509" s="111">
        <f t="shared" si="152"/>
        <v>5.7535460992907815E-2</v>
      </c>
      <c r="AR509">
        <f>_xlfn.XLOOKUP(F509,'RM Cost'!A:A,'RM Cost'!S:S)</f>
        <v>0</v>
      </c>
      <c r="AS509" t="str">
        <f>_xlfn.XLOOKUP(A509,[3]Sheet1!$B:$B,[3]Sheet1!$B:$B)</f>
        <v>Z253CS</v>
      </c>
      <c r="AT509" t="str">
        <f>_xlfn.XLOOKUP(H509,'Yield &amp; Time'!A:A,'Yield &amp; Time'!F:F)</f>
        <v>Yes</v>
      </c>
    </row>
    <row r="510" spans="1:46" x14ac:dyDescent="0.25">
      <c r="A510" s="2" t="s">
        <v>341</v>
      </c>
      <c r="B510" s="2" t="s">
        <v>656</v>
      </c>
      <c r="C510" s="2" t="s">
        <v>342</v>
      </c>
      <c r="D510" s="2" t="s">
        <v>554</v>
      </c>
      <c r="E510" s="2">
        <v>2.5</v>
      </c>
      <c r="F510" s="1" t="str">
        <f>VLOOKUP(H510,'RM Used'!A:B,2,0)</f>
        <v>P0008</v>
      </c>
      <c r="G510" s="1" t="str">
        <f>IFERROR(VLOOKUP(F510,'RM Cost'!A:B,2,0),"")</f>
        <v>PALE BLUE BAG 470X750MM</v>
      </c>
      <c r="H510" s="2" t="s">
        <v>1323</v>
      </c>
      <c r="I510" s="1" t="str">
        <f>VLOOKUP(F510,'RM Used'!B:D,3,0)</f>
        <v>RM-PACKING</v>
      </c>
      <c r="J510" s="66">
        <v>1</v>
      </c>
      <c r="K510" s="35" t="str">
        <f t="shared" si="156"/>
        <v/>
      </c>
      <c r="L510" s="35">
        <f t="shared" si="144"/>
        <v>0</v>
      </c>
      <c r="M510" s="77" t="str" cm="1">
        <f t="array" ref="M510">_xlfn.IFS(BOM!I510="RM-PACKING","100%",B510="Reynolds",VLOOKUP(H510,'Yield &amp; Time'!A:V,22,0),BOM!B510="Dnata",VLOOKUP(BOM!H510,'Yield &amp; Time'!A:M,13,0),B510="NK",VLOOKUP(H510,'Yield &amp; Time'!A:X,24,0))</f>
        <v>100%</v>
      </c>
      <c r="N510" s="35">
        <f t="shared" si="155"/>
        <v>1</v>
      </c>
      <c r="O510" s="1" t="str">
        <f>VLOOKUP(H510,'RM Used'!A:E,5,0)</f>
        <v>Count</v>
      </c>
      <c r="P510" s="11">
        <f>VLOOKUP(H510,'RM Used'!A:F,6,0)</f>
        <v>0.14000000000000001</v>
      </c>
      <c r="Q510" s="11">
        <f t="shared" si="153"/>
        <v>0.14000000000000001</v>
      </c>
      <c r="R510" s="11">
        <f>IFERROR(IF(B510="Reynolds",VLOOKUP(H510,'Yield &amp; Time'!A:U,21,0),VLOOKUP(H510,'Yield &amp; Time'!A:L,12,0)),0)</f>
        <v>0</v>
      </c>
      <c r="S510" s="11">
        <f t="shared" si="145"/>
        <v>0</v>
      </c>
      <c r="T510" s="11">
        <f t="shared" si="146"/>
        <v>0</v>
      </c>
      <c r="U510" s="11">
        <f>IF(A509=A510,0,VLOOKUP(A510,'Packing Time'!A:F,6,0))</f>
        <v>0</v>
      </c>
      <c r="V510" s="11">
        <f t="shared" si="157"/>
        <v>0</v>
      </c>
      <c r="W510" s="11">
        <f t="shared" si="158"/>
        <v>0</v>
      </c>
      <c r="X510" s="11">
        <f t="shared" si="147"/>
        <v>0</v>
      </c>
      <c r="Y510" s="11">
        <f t="shared" si="159"/>
        <v>0</v>
      </c>
      <c r="Z510" s="37">
        <v>1</v>
      </c>
      <c r="AA510" s="36">
        <f t="shared" si="148"/>
        <v>1</v>
      </c>
      <c r="AB510" s="36">
        <f t="shared" si="149"/>
        <v>0.14000000000000001</v>
      </c>
      <c r="AC510" s="11">
        <f t="shared" si="150"/>
        <v>0</v>
      </c>
      <c r="AD510" s="36">
        <f t="shared" si="160"/>
        <v>0</v>
      </c>
      <c r="AE510" s="36"/>
      <c r="AF510" s="36">
        <f>IFERROR(VLOOKUP(AE510,'Chemical Cost'!A:D,4,0),0)</f>
        <v>0</v>
      </c>
      <c r="AG510" s="114">
        <f t="shared" si="151"/>
        <v>0</v>
      </c>
      <c r="AH510" s="36">
        <f t="shared" si="154"/>
        <v>0</v>
      </c>
      <c r="AI510" s="36">
        <f t="shared" si="161"/>
        <v>0.14000000000000001</v>
      </c>
      <c r="AJ510" s="36">
        <f>IFERROR(VLOOKUP(A510,'All Products'!A:F,6,0),0)</f>
        <v>4</v>
      </c>
      <c r="AK510" s="36"/>
      <c r="AL510" s="23">
        <v>0.8</v>
      </c>
      <c r="AM510" s="23">
        <v>0.2</v>
      </c>
      <c r="AN510" s="54" t="e">
        <v>#N/A</v>
      </c>
      <c r="AO510" s="47"/>
      <c r="AP510" s="4">
        <v>1.1000000000000001</v>
      </c>
      <c r="AQ510" s="111">
        <f t="shared" si="152"/>
        <v>0</v>
      </c>
      <c r="AR510">
        <f>_xlfn.XLOOKUP(F510,'RM Cost'!A:A,'RM Cost'!S:S)</f>
        <v>0</v>
      </c>
      <c r="AS510" t="str">
        <f>_xlfn.XLOOKUP(A510,[3]Sheet1!$B:$B,[3]Sheet1!$B:$B)</f>
        <v>Z253CS</v>
      </c>
      <c r="AT510" t="e">
        <f>_xlfn.XLOOKUP(H510,'Yield &amp; Time'!A:A,'Yield &amp; Time'!F:F)</f>
        <v>#N/A</v>
      </c>
    </row>
    <row r="511" spans="1:46" x14ac:dyDescent="0.25">
      <c r="A511" s="2" t="s">
        <v>715</v>
      </c>
      <c r="B511" s="2" t="s">
        <v>656</v>
      </c>
      <c r="C511" s="2" t="s">
        <v>716</v>
      </c>
      <c r="D511" s="2" t="s">
        <v>554</v>
      </c>
      <c r="E511" s="2">
        <v>1</v>
      </c>
      <c r="F511" s="1" t="str">
        <f>VLOOKUP(H511,'RM Used'!A:B,2,0)</f>
        <v>032ACS</v>
      </c>
      <c r="G511" s="1" t="str">
        <f>IFERROR(VLOOKUP(F511,'RM Cost'!A:B,2,0),"")</f>
        <v>RM - LRG PROCESSING CARROT X 1000KG</v>
      </c>
      <c r="H511" s="2" t="s">
        <v>1490</v>
      </c>
      <c r="I511" s="1" t="str">
        <f>VLOOKUP(F511,'RM Used'!B:D,3,0)</f>
        <v>RM-FOOD</v>
      </c>
      <c r="J511" s="66">
        <v>1</v>
      </c>
      <c r="K511" s="35">
        <f t="shared" si="156"/>
        <v>1</v>
      </c>
      <c r="L511" s="35">
        <f t="shared" si="144"/>
        <v>1</v>
      </c>
      <c r="M511" s="77" cm="1">
        <f t="array" ref="M511">_xlfn.IFS(BOM!I511="RM-PACKING","100%",B511="Reynolds",VLOOKUP(H511,'Yield &amp; Time'!A:V,22,0),BOM!B511="Dnata",VLOOKUP(BOM!H511,'Yield &amp; Time'!A:M,13,0),B511="NK",VLOOKUP(H511,'Yield &amp; Time'!A:X,24,0))</f>
        <v>0.2524835726235764</v>
      </c>
      <c r="N511" s="35">
        <f t="shared" si="155"/>
        <v>3.960653715443434</v>
      </c>
      <c r="O511" s="1" t="str">
        <f>VLOOKUP(H511,'RM Used'!A:E,5,0)</f>
        <v>KG</v>
      </c>
      <c r="P511" s="11">
        <f>VLOOKUP(H511,'RM Used'!A:F,6,0)</f>
        <v>0.38</v>
      </c>
      <c r="Q511" s="11">
        <f t="shared" si="153"/>
        <v>1.505048411868505</v>
      </c>
      <c r="R511" s="11">
        <f>IFERROR(IF(B511="Reynolds",VLOOKUP(H511,'Yield &amp; Time'!A:U,21,0),VLOOKUP(H511,'Yield &amp; Time'!A:L,12,0)),0)</f>
        <v>9.7822627333725443</v>
      </c>
      <c r="S511" s="11">
        <f t="shared" si="145"/>
        <v>3.3112959352466058</v>
      </c>
      <c r="T511" s="11">
        <f t="shared" si="146"/>
        <v>0.16303771222287575</v>
      </c>
      <c r="U511" s="11">
        <f>IF(A510=A511,0,VLOOKUP(A511,'Packing Time'!A:F,6,0))</f>
        <v>0.64166666666666661</v>
      </c>
      <c r="V511" s="11">
        <f t="shared" si="157"/>
        <v>0.21720416666666661</v>
      </c>
      <c r="W511" s="11">
        <f t="shared" si="158"/>
        <v>1.0694444444444444E-2</v>
      </c>
      <c r="X511" s="11">
        <f t="shared" si="147"/>
        <v>5.6456001630612356</v>
      </c>
      <c r="Y511" s="11">
        <f t="shared" si="159"/>
        <v>5.6456001630612356</v>
      </c>
      <c r="Z511" s="37">
        <v>1</v>
      </c>
      <c r="AA511" s="36">
        <f t="shared" si="148"/>
        <v>3.960653715443434</v>
      </c>
      <c r="AB511" s="36">
        <f t="shared" si="149"/>
        <v>1.505048411868505</v>
      </c>
      <c r="AC511" s="11">
        <f t="shared" si="150"/>
        <v>0.27797145066771228</v>
      </c>
      <c r="AD511" s="36">
        <f t="shared" si="160"/>
        <v>5.6456001630612365</v>
      </c>
      <c r="AE511" s="36" t="str">
        <f>VLOOKUP(H511,'Yield &amp; Time'!A:I,9,0)</f>
        <v>CHLORINE</v>
      </c>
      <c r="AF511" s="36">
        <f>IFERROR(VLOOKUP(AE511,'Chemical Cost'!A:D,4,0),0)</f>
        <v>2.7756518066439469E-2</v>
      </c>
      <c r="AG511" s="114">
        <f t="shared" si="151"/>
        <v>3.6644652135872098E-2</v>
      </c>
      <c r="AH511" s="36">
        <f t="shared" si="154"/>
        <v>3.6644652135872098E-2</v>
      </c>
      <c r="AI511" s="36">
        <f t="shared" si="161"/>
        <v>7.1872932270656129</v>
      </c>
      <c r="AJ511" s="36">
        <f>IFERROR(VLOOKUP(A511,'All Products'!A:F,6,0),0)</f>
        <v>5.2</v>
      </c>
      <c r="AK511" s="36">
        <f>AJ511*Z511*J511</f>
        <v>5.2</v>
      </c>
      <c r="AL511" s="23">
        <v>0.8</v>
      </c>
      <c r="AM511" s="23">
        <v>0.2</v>
      </c>
      <c r="AN511" s="54" t="e">
        <v>#N/A</v>
      </c>
      <c r="AO511" s="47"/>
      <c r="AP511" s="4">
        <v>1.6</v>
      </c>
      <c r="AQ511" s="111">
        <f t="shared" si="152"/>
        <v>0.27797145066771228</v>
      </c>
      <c r="AR511">
        <f>_xlfn.XLOOKUP(F511,'RM Cost'!A:A,'RM Cost'!S:S)</f>
        <v>0</v>
      </c>
      <c r="AS511" t="str">
        <f>_xlfn.XLOOKUP(A511,[3]Sheet1!$B:$B,[3]Sheet1!$B:$B)</f>
        <v>Z256CS</v>
      </c>
      <c r="AT511">
        <f>_xlfn.XLOOKUP(H511,'Yield &amp; Time'!A:A,'Yield &amp; Time'!F:F)</f>
        <v>0</v>
      </c>
    </row>
    <row r="512" spans="1:46" x14ac:dyDescent="0.25">
      <c r="A512" s="2" t="s">
        <v>715</v>
      </c>
      <c r="B512" s="2" t="s">
        <v>656</v>
      </c>
      <c r="C512" s="2" t="s">
        <v>716</v>
      </c>
      <c r="D512" s="2" t="s">
        <v>554</v>
      </c>
      <c r="E512" s="2">
        <v>1</v>
      </c>
      <c r="F512" s="1" t="str">
        <f>VLOOKUP(H512,'RM Used'!A:B,2,0)</f>
        <v>P0008</v>
      </c>
      <c r="G512" s="1" t="str">
        <f>IFERROR(VLOOKUP(F512,'RM Cost'!A:B,2,0),"")</f>
        <v>PALE BLUE BAG 470X750MM</v>
      </c>
      <c r="H512" s="2" t="s">
        <v>1323</v>
      </c>
      <c r="I512" s="1" t="str">
        <f>VLOOKUP(F512,'RM Used'!B:D,3,0)</f>
        <v>RM-PACKING</v>
      </c>
      <c r="J512" s="66">
        <v>1</v>
      </c>
      <c r="K512" s="35" t="str">
        <f t="shared" si="156"/>
        <v/>
      </c>
      <c r="L512" s="35">
        <f t="shared" si="144"/>
        <v>0</v>
      </c>
      <c r="M512" s="77" t="str" cm="1">
        <f t="array" ref="M512">_xlfn.IFS(BOM!I512="RM-PACKING","100%",B512="Reynolds",VLOOKUP(H512,'Yield &amp; Time'!A:V,22,0),BOM!B512="Dnata",VLOOKUP(BOM!H512,'Yield &amp; Time'!A:M,13,0),B512="NK",VLOOKUP(H512,'Yield &amp; Time'!A:X,24,0))</f>
        <v>100%</v>
      </c>
      <c r="N512" s="35">
        <f t="shared" si="155"/>
        <v>1</v>
      </c>
      <c r="O512" s="1" t="str">
        <f>VLOOKUP(H512,'RM Used'!A:E,5,0)</f>
        <v>Count</v>
      </c>
      <c r="P512" s="11">
        <f>VLOOKUP(H512,'RM Used'!A:F,6,0)</f>
        <v>0.14000000000000001</v>
      </c>
      <c r="Q512" s="11">
        <f t="shared" si="153"/>
        <v>0.14000000000000001</v>
      </c>
      <c r="R512" s="11">
        <f>IFERROR(IF(B512="Reynolds",VLOOKUP(H512,'Yield &amp; Time'!A:U,21,0),VLOOKUP(H512,'Yield &amp; Time'!A:L,12,0)),0)</f>
        <v>0</v>
      </c>
      <c r="S512" s="11">
        <f t="shared" si="145"/>
        <v>0</v>
      </c>
      <c r="T512" s="11">
        <f t="shared" si="146"/>
        <v>0</v>
      </c>
      <c r="U512" s="11">
        <f>IF(A511=A512,0,VLOOKUP(A512,'Packing Time'!A:F,6,0))</f>
        <v>0</v>
      </c>
      <c r="V512" s="11">
        <f t="shared" si="157"/>
        <v>0</v>
      </c>
      <c r="W512" s="11">
        <f t="shared" si="158"/>
        <v>0</v>
      </c>
      <c r="X512" s="11">
        <f t="shared" si="147"/>
        <v>0</v>
      </c>
      <c r="Y512" s="11">
        <f t="shared" si="159"/>
        <v>0</v>
      </c>
      <c r="Z512" s="37">
        <v>1</v>
      </c>
      <c r="AA512" s="36">
        <f t="shared" si="148"/>
        <v>1</v>
      </c>
      <c r="AB512" s="36">
        <f t="shared" si="149"/>
        <v>0.14000000000000001</v>
      </c>
      <c r="AC512" s="11">
        <f t="shared" si="150"/>
        <v>0</v>
      </c>
      <c r="AD512" s="36">
        <f t="shared" si="160"/>
        <v>0</v>
      </c>
      <c r="AE512" s="36"/>
      <c r="AF512" s="36">
        <f>IFERROR(VLOOKUP(AE512,'Chemical Cost'!A:D,4,0),0)</f>
        <v>0</v>
      </c>
      <c r="AG512" s="114">
        <f t="shared" si="151"/>
        <v>0</v>
      </c>
      <c r="AH512" s="36">
        <f t="shared" si="154"/>
        <v>0</v>
      </c>
      <c r="AI512" s="36">
        <f t="shared" si="161"/>
        <v>0.14000000000000001</v>
      </c>
      <c r="AJ512" s="36">
        <f>IFERROR(VLOOKUP(A512,'All Products'!A:F,6,0),0)</f>
        <v>5.2</v>
      </c>
      <c r="AK512" s="36"/>
      <c r="AL512" s="23">
        <v>0.8</v>
      </c>
      <c r="AM512" s="23">
        <v>0.2</v>
      </c>
      <c r="AN512" s="54" t="e">
        <v>#N/A</v>
      </c>
      <c r="AO512" s="47"/>
      <c r="AP512" s="4">
        <v>1.6</v>
      </c>
      <c r="AQ512" s="111">
        <f t="shared" si="152"/>
        <v>0</v>
      </c>
      <c r="AR512">
        <f>_xlfn.XLOOKUP(F512,'RM Cost'!A:A,'RM Cost'!S:S)</f>
        <v>0</v>
      </c>
      <c r="AS512" t="str">
        <f>_xlfn.XLOOKUP(A512,[3]Sheet1!$B:$B,[3]Sheet1!$B:$B)</f>
        <v>Z256CS</v>
      </c>
      <c r="AT512" t="e">
        <f>_xlfn.XLOOKUP(H512,'Yield &amp; Time'!A:A,'Yield &amp; Time'!F:F)</f>
        <v>#N/A</v>
      </c>
    </row>
    <row r="513" spans="1:46" x14ac:dyDescent="0.25">
      <c r="A513" s="2" t="s">
        <v>717</v>
      </c>
      <c r="B513" s="2" t="s">
        <v>656</v>
      </c>
      <c r="C513" s="2" t="s">
        <v>718</v>
      </c>
      <c r="D513" s="2" t="s">
        <v>554</v>
      </c>
      <c r="E513" s="2">
        <v>2.5</v>
      </c>
      <c r="F513" s="1" t="str">
        <f>VLOOKUP(H513,'RM Used'!A:B,2,0)</f>
        <v>032ACS</v>
      </c>
      <c r="G513" s="1" t="str">
        <f>IFERROR(VLOOKUP(F513,'RM Cost'!A:B,2,0),"")</f>
        <v>RM - LRG PROCESSING CARROT X 1000KG</v>
      </c>
      <c r="H513" s="2" t="s">
        <v>1490</v>
      </c>
      <c r="I513" s="1" t="str">
        <f>VLOOKUP(F513,'RM Used'!B:D,3,0)</f>
        <v>RM-FOOD</v>
      </c>
      <c r="J513" s="66">
        <v>1</v>
      </c>
      <c r="K513" s="35">
        <f t="shared" si="156"/>
        <v>2.5</v>
      </c>
      <c r="L513" s="35">
        <f t="shared" si="144"/>
        <v>2.5</v>
      </c>
      <c r="M513" s="77" cm="1">
        <f t="array" ref="M513">_xlfn.IFS(BOM!I513="RM-PACKING","100%",B513="Reynolds",VLOOKUP(H513,'Yield &amp; Time'!A:V,22,0),BOM!B513="Dnata",VLOOKUP(BOM!H513,'Yield &amp; Time'!A:M,13,0),B513="NK",VLOOKUP(H513,'Yield &amp; Time'!A:X,24,0))</f>
        <v>0.2524835726235764</v>
      </c>
      <c r="N513" s="35">
        <f t="shared" si="155"/>
        <v>9.9016342886085855</v>
      </c>
      <c r="O513" s="1" t="str">
        <f>VLOOKUP(H513,'RM Used'!A:E,5,0)</f>
        <v>KG</v>
      </c>
      <c r="P513" s="11">
        <f>VLOOKUP(H513,'RM Used'!A:F,6,0)</f>
        <v>0.38</v>
      </c>
      <c r="Q513" s="11">
        <f t="shared" si="153"/>
        <v>3.7626210296712626</v>
      </c>
      <c r="R513" s="11">
        <f>IFERROR(IF(B513="Reynolds",VLOOKUP(H513,'Yield &amp; Time'!A:U,21,0),VLOOKUP(H513,'Yield &amp; Time'!A:L,12,0)),0)</f>
        <v>9.7822627333725443</v>
      </c>
      <c r="S513" s="11">
        <f t="shared" si="145"/>
        <v>8.2782398381165159</v>
      </c>
      <c r="T513" s="11">
        <f t="shared" si="146"/>
        <v>0.40759428055718938</v>
      </c>
      <c r="U513" s="11">
        <f>IF(A512=A513,0,VLOOKUP(A513,'Packing Time'!A:F,6,0))</f>
        <v>0.875</v>
      </c>
      <c r="V513" s="11">
        <f t="shared" si="157"/>
        <v>0.29618749999999999</v>
      </c>
      <c r="W513" s="11">
        <f t="shared" si="158"/>
        <v>1.4583333333333334E-2</v>
      </c>
      <c r="X513" s="11">
        <f t="shared" si="147"/>
        <v>13.719083740986427</v>
      </c>
      <c r="Y513" s="11">
        <f t="shared" si="159"/>
        <v>13.719083740986427</v>
      </c>
      <c r="Z513" s="37">
        <v>1</v>
      </c>
      <c r="AA513" s="36">
        <f t="shared" si="148"/>
        <v>9.9016342886085855</v>
      </c>
      <c r="AB513" s="36">
        <f t="shared" si="149"/>
        <v>3.7626210296712626</v>
      </c>
      <c r="AC513" s="11">
        <f t="shared" si="150"/>
        <v>0.67548418222483642</v>
      </c>
      <c r="AD513" s="36">
        <f t="shared" si="160"/>
        <v>13.719083740986425</v>
      </c>
      <c r="AE513" s="36" t="str">
        <f>VLOOKUP(H513,'Yield &amp; Time'!A:I,9,0)</f>
        <v>CHLORINE</v>
      </c>
      <c r="AF513" s="36">
        <f>IFERROR(VLOOKUP(AE513,'Chemical Cost'!A:D,4,0),0)</f>
        <v>2.7756518066439469E-2</v>
      </c>
      <c r="AG513" s="114">
        <f t="shared" si="151"/>
        <v>9.1611630339680242E-2</v>
      </c>
      <c r="AH513" s="36">
        <f t="shared" si="154"/>
        <v>9.1611630339680242E-2</v>
      </c>
      <c r="AI513" s="36">
        <f t="shared" si="161"/>
        <v>17.573316400997371</v>
      </c>
      <c r="AJ513" s="36">
        <f>IFERROR(VLOOKUP(A513,'All Products'!A:F,6,0),0)</f>
        <v>12.18</v>
      </c>
      <c r="AK513" s="36">
        <f>AJ513*Z513*J513</f>
        <v>12.18</v>
      </c>
      <c r="AL513" s="23">
        <v>0.8</v>
      </c>
      <c r="AM513" s="23">
        <v>0.2</v>
      </c>
      <c r="AN513" s="54" t="e">
        <v>#N/A</v>
      </c>
      <c r="AO513" s="47"/>
      <c r="AP513" s="4">
        <v>1.6</v>
      </c>
      <c r="AQ513" s="111">
        <f t="shared" si="152"/>
        <v>0.67548418222483642</v>
      </c>
      <c r="AR513">
        <f>_xlfn.XLOOKUP(F513,'RM Cost'!A:A,'RM Cost'!S:S)</f>
        <v>0</v>
      </c>
      <c r="AS513" t="e">
        <f>_xlfn.XLOOKUP(A513,[3]Sheet1!$B:$B,[3]Sheet1!$B:$B)</f>
        <v>#N/A</v>
      </c>
    </row>
    <row r="514" spans="1:46" x14ac:dyDescent="0.25">
      <c r="A514" s="2" t="s">
        <v>717</v>
      </c>
      <c r="B514" s="2" t="s">
        <v>656</v>
      </c>
      <c r="C514" s="2" t="s">
        <v>718</v>
      </c>
      <c r="D514" s="2" t="s">
        <v>554</v>
      </c>
      <c r="E514" s="2">
        <v>2.5</v>
      </c>
      <c r="F514" s="1" t="str">
        <f>VLOOKUP(H514,'RM Used'!A:B,2,0)</f>
        <v>P0008</v>
      </c>
      <c r="G514" s="1" t="str">
        <f>IFERROR(VLOOKUP(F514,'RM Cost'!A:B,2,0),"")</f>
        <v>PALE BLUE BAG 470X750MM</v>
      </c>
      <c r="H514" s="2" t="s">
        <v>1323</v>
      </c>
      <c r="I514" s="1" t="str">
        <f>VLOOKUP(F514,'RM Used'!B:D,3,0)</f>
        <v>RM-PACKING</v>
      </c>
      <c r="J514" s="66">
        <v>1</v>
      </c>
      <c r="K514" s="35" t="str">
        <f t="shared" si="156"/>
        <v/>
      </c>
      <c r="L514" s="35">
        <f t="shared" ref="L514:L577" si="162">IFERROR(K514*Z514,0)</f>
        <v>0</v>
      </c>
      <c r="M514" s="77" t="str" cm="1">
        <f t="array" ref="M514">_xlfn.IFS(BOM!I514="RM-PACKING","100%",B514="Reynolds",VLOOKUP(H514,'Yield &amp; Time'!A:V,22,0),BOM!B514="Dnata",VLOOKUP(BOM!H514,'Yield &amp; Time'!A:M,13,0),B514="NK",VLOOKUP(H514,'Yield &amp; Time'!A:X,24,0))</f>
        <v>100%</v>
      </c>
      <c r="N514" s="35">
        <f t="shared" si="155"/>
        <v>1</v>
      </c>
      <c r="O514" s="1" t="str">
        <f>VLOOKUP(H514,'RM Used'!A:E,5,0)</f>
        <v>Count</v>
      </c>
      <c r="P514" s="11">
        <f>VLOOKUP(H514,'RM Used'!A:F,6,0)</f>
        <v>0.14000000000000001</v>
      </c>
      <c r="Q514" s="11">
        <f t="shared" si="153"/>
        <v>0.14000000000000001</v>
      </c>
      <c r="R514" s="11">
        <f>IFERROR(IF(B514="Reynolds",VLOOKUP(H514,'Yield &amp; Time'!A:U,21,0),VLOOKUP(H514,'Yield &amp; Time'!A:L,12,0)),0)</f>
        <v>0</v>
      </c>
      <c r="S514" s="11">
        <f t="shared" ref="S514:S577" si="163">R514*J514*E514*AO$1</f>
        <v>0</v>
      </c>
      <c r="T514" s="11">
        <f t="shared" ref="T514:T577" si="164">(R514*Z514*J514*E514)/60</f>
        <v>0</v>
      </c>
      <c r="U514" s="11">
        <f>IF(A513=A514,0,VLOOKUP(A514,'Packing Time'!A:F,6,0))</f>
        <v>0</v>
      </c>
      <c r="V514" s="11">
        <f t="shared" si="157"/>
        <v>0</v>
      </c>
      <c r="W514" s="11">
        <f t="shared" si="158"/>
        <v>0</v>
      </c>
      <c r="X514" s="11">
        <f t="shared" ref="X514:X577" si="165">((R514*J514*E514)+U514)*AO$1*AP514</f>
        <v>0</v>
      </c>
      <c r="Y514" s="11">
        <f t="shared" si="159"/>
        <v>0</v>
      </c>
      <c r="Z514" s="37">
        <v>1</v>
      </c>
      <c r="AA514" s="36">
        <f t="shared" ref="AA514:AA577" si="166">Z514*N514</f>
        <v>1</v>
      </c>
      <c r="AB514" s="36">
        <f t="shared" ref="AB514:AB577" si="167">AA514*P514</f>
        <v>0.14000000000000001</v>
      </c>
      <c r="AC514" s="11">
        <f t="shared" ref="AC514:AC577" si="168">(((R514*J514*E514)+U514)/60)*Z514*AP514</f>
        <v>0</v>
      </c>
      <c r="AD514" s="36">
        <f t="shared" si="160"/>
        <v>0</v>
      </c>
      <c r="AE514" s="36"/>
      <c r="AF514" s="36">
        <f>IFERROR(VLOOKUP(AE514,'Chemical Cost'!A:D,4,0),0)</f>
        <v>0</v>
      </c>
      <c r="AG514" s="114">
        <f t="shared" ref="AG514:AG577" si="169">AF514*N514/3</f>
        <v>0</v>
      </c>
      <c r="AH514" s="36">
        <f t="shared" si="154"/>
        <v>0</v>
      </c>
      <c r="AI514" s="36">
        <f t="shared" si="161"/>
        <v>0.14000000000000001</v>
      </c>
      <c r="AJ514" s="36">
        <f>IFERROR(VLOOKUP(A514,'All Products'!A:F,6,0),0)</f>
        <v>12.18</v>
      </c>
      <c r="AK514" s="36"/>
      <c r="AL514" s="23">
        <v>0.8</v>
      </c>
      <c r="AM514" s="23">
        <v>0.2</v>
      </c>
      <c r="AN514" s="54" t="e">
        <v>#N/A</v>
      </c>
      <c r="AO514" s="47"/>
      <c r="AP514" s="4">
        <v>1.6</v>
      </c>
      <c r="AQ514" s="111">
        <f t="shared" ref="AQ514:AQ577" si="170">(((R514*J514*E514)+U514)/60)*AP514</f>
        <v>0</v>
      </c>
      <c r="AR514">
        <f>_xlfn.XLOOKUP(F514,'RM Cost'!A:A,'RM Cost'!S:S)</f>
        <v>0</v>
      </c>
      <c r="AS514" t="e">
        <f>_xlfn.XLOOKUP(A514,[3]Sheet1!$B:$B,[3]Sheet1!$B:$B)</f>
        <v>#N/A</v>
      </c>
    </row>
    <row r="515" spans="1:46" x14ac:dyDescent="0.25">
      <c r="A515" s="2" t="s">
        <v>719</v>
      </c>
      <c r="B515" s="2" t="s">
        <v>656</v>
      </c>
      <c r="C515" s="2" t="s">
        <v>720</v>
      </c>
      <c r="D515" s="2" t="s">
        <v>554</v>
      </c>
      <c r="E515" s="2">
        <v>1</v>
      </c>
      <c r="F515" s="1" t="str">
        <f>VLOOKUP(H515,'RM Used'!A:B,2,0)</f>
        <v>032ACS</v>
      </c>
      <c r="G515" s="1" t="str">
        <f>IFERROR(VLOOKUP(F515,'RM Cost'!A:B,2,0),"")</f>
        <v>RM - LRG PROCESSING CARROT X 1000KG</v>
      </c>
      <c r="H515" s="2" t="s">
        <v>1491</v>
      </c>
      <c r="I515" s="1" t="str">
        <f>VLOOKUP(F515,'RM Used'!B:D,3,0)</f>
        <v>RM-FOOD</v>
      </c>
      <c r="J515" s="66">
        <v>1</v>
      </c>
      <c r="K515" s="35">
        <f t="shared" si="156"/>
        <v>1</v>
      </c>
      <c r="L515" s="35">
        <f t="shared" si="162"/>
        <v>1</v>
      </c>
      <c r="M515" s="77" cm="1">
        <f t="array" ref="M515">_xlfn.IFS(BOM!I515="RM-PACKING","100%",B515="Reynolds",VLOOKUP(H515,'Yield &amp; Time'!A:V,22,0),BOM!B515="Dnata",VLOOKUP(BOM!H515,'Yield &amp; Time'!A:M,13,0),B515="NK",VLOOKUP(H515,'Yield &amp; Time'!A:X,24,0))</f>
        <v>0.73317345127230837</v>
      </c>
      <c r="N515" s="35">
        <f t="shared" si="155"/>
        <v>1.3639337298215799</v>
      </c>
      <c r="O515" s="1" t="str">
        <f>VLOOKUP(H515,'RM Used'!A:E,5,0)</f>
        <v>KG</v>
      </c>
      <c r="P515" s="11">
        <f>VLOOKUP(H515,'RM Used'!A:F,6,0)</f>
        <v>0.38</v>
      </c>
      <c r="Q515" s="11">
        <f t="shared" ref="Q515:Q578" si="171">P515*N515</f>
        <v>0.5182948173322004</v>
      </c>
      <c r="R515" s="11">
        <f>IFERROR(IF(B515="Reynolds",VLOOKUP(H515,'Yield &amp; Time'!A:U,21,0),VLOOKUP(H515,'Yield &amp; Time'!A:L,12,0)),0)</f>
        <v>1.1480576795997355</v>
      </c>
      <c r="S515" s="11">
        <f t="shared" si="163"/>
        <v>0.38861752454451043</v>
      </c>
      <c r="T515" s="11">
        <f t="shared" si="164"/>
        <v>1.9134294659995593E-2</v>
      </c>
      <c r="U515" s="11">
        <f>IF(A514=A515,0,VLOOKUP(A515,'Packing Time'!A:F,6,0))</f>
        <v>0.64166666666666661</v>
      </c>
      <c r="V515" s="11">
        <f t="shared" si="157"/>
        <v>0.21720416666666661</v>
      </c>
      <c r="W515" s="11">
        <f t="shared" si="158"/>
        <v>1.0694444444444444E-2</v>
      </c>
      <c r="X515" s="11">
        <f t="shared" si="165"/>
        <v>0.96931470593788327</v>
      </c>
      <c r="Y515" s="11">
        <f t="shared" si="159"/>
        <v>0.96931470593788327</v>
      </c>
      <c r="Z515" s="37">
        <v>1</v>
      </c>
      <c r="AA515" s="36">
        <f t="shared" si="166"/>
        <v>1.3639337298215799</v>
      </c>
      <c r="AB515" s="36">
        <f t="shared" si="167"/>
        <v>0.5182948173322004</v>
      </c>
      <c r="AC515" s="11">
        <f t="shared" si="168"/>
        <v>4.7725982567104058E-2</v>
      </c>
      <c r="AD515" s="36">
        <f t="shared" si="160"/>
        <v>0.96931470593788338</v>
      </c>
      <c r="AE515" s="36"/>
      <c r="AF515" s="36">
        <f>IFERROR(VLOOKUP(AE515,'Chemical Cost'!A:D,4,0),0)</f>
        <v>0</v>
      </c>
      <c r="AG515" s="114">
        <f t="shared" si="169"/>
        <v>0</v>
      </c>
      <c r="AH515" s="36">
        <f t="shared" si="154"/>
        <v>0</v>
      </c>
      <c r="AI515" s="36">
        <f t="shared" si="161"/>
        <v>1.4876095232700837</v>
      </c>
      <c r="AJ515" s="36">
        <f>IFERROR(VLOOKUP(A515,'All Products'!A:F,6,0),0)</f>
        <v>3.33</v>
      </c>
      <c r="AK515" s="36">
        <f>AJ515*Z515*J515</f>
        <v>3.33</v>
      </c>
      <c r="AL515" s="23">
        <v>1</v>
      </c>
      <c r="AM515" s="23"/>
      <c r="AN515" s="54" t="e">
        <v>#N/A</v>
      </c>
      <c r="AO515" s="47"/>
      <c r="AP515" s="4">
        <v>1.6</v>
      </c>
      <c r="AQ515" s="111">
        <f t="shared" si="170"/>
        <v>4.7725982567104058E-2</v>
      </c>
      <c r="AR515">
        <f>_xlfn.XLOOKUP(F515,'RM Cost'!A:A,'RM Cost'!S:S)</f>
        <v>0</v>
      </c>
      <c r="AS515" t="e">
        <f>_xlfn.XLOOKUP(A515,[3]Sheet1!$B:$B,[3]Sheet1!$B:$B)</f>
        <v>#N/A</v>
      </c>
    </row>
    <row r="516" spans="1:46" x14ac:dyDescent="0.25">
      <c r="A516" s="2" t="s">
        <v>719</v>
      </c>
      <c r="B516" s="2" t="s">
        <v>656</v>
      </c>
      <c r="C516" s="2" t="s">
        <v>720</v>
      </c>
      <c r="D516" s="2" t="s">
        <v>554</v>
      </c>
      <c r="E516" s="2">
        <v>1</v>
      </c>
      <c r="F516" s="1" t="str">
        <f>VLOOKUP(H516,'RM Used'!A:B,2,0)</f>
        <v>P0008</v>
      </c>
      <c r="G516" s="1" t="str">
        <f>IFERROR(VLOOKUP(F516,'RM Cost'!A:B,2,0),"")</f>
        <v>PALE BLUE BAG 470X750MM</v>
      </c>
      <c r="H516" s="2" t="s">
        <v>1323</v>
      </c>
      <c r="I516" s="1" t="str">
        <f>VLOOKUP(F516,'RM Used'!B:D,3,0)</f>
        <v>RM-PACKING</v>
      </c>
      <c r="J516" s="66">
        <v>1</v>
      </c>
      <c r="K516" s="35" t="str">
        <f t="shared" si="156"/>
        <v/>
      </c>
      <c r="L516" s="35">
        <f t="shared" si="162"/>
        <v>0</v>
      </c>
      <c r="M516" s="77" t="str" cm="1">
        <f t="array" ref="M516">_xlfn.IFS(BOM!I516="RM-PACKING","100%",B516="Reynolds",VLOOKUP(H516,'Yield &amp; Time'!A:V,22,0),BOM!B516="Dnata",VLOOKUP(BOM!H516,'Yield &amp; Time'!A:M,13,0),B516="NK",VLOOKUP(H516,'Yield &amp; Time'!A:X,24,0))</f>
        <v>100%</v>
      </c>
      <c r="N516" s="35">
        <f t="shared" si="155"/>
        <v>1</v>
      </c>
      <c r="O516" s="1" t="str">
        <f>VLOOKUP(H516,'RM Used'!A:E,5,0)</f>
        <v>Count</v>
      </c>
      <c r="P516" s="11">
        <f>VLOOKUP(H516,'RM Used'!A:F,6,0)</f>
        <v>0.14000000000000001</v>
      </c>
      <c r="Q516" s="11">
        <f t="shared" si="171"/>
        <v>0.14000000000000001</v>
      </c>
      <c r="R516" s="11">
        <f>IFERROR(IF(B516="Reynolds",VLOOKUP(H516,'Yield &amp; Time'!A:U,21,0),VLOOKUP(H516,'Yield &amp; Time'!A:L,12,0)),0)</f>
        <v>0</v>
      </c>
      <c r="S516" s="11">
        <f t="shared" si="163"/>
        <v>0</v>
      </c>
      <c r="T516" s="11">
        <f t="shared" si="164"/>
        <v>0</v>
      </c>
      <c r="U516" s="11">
        <f>IF(A515=A516,0,VLOOKUP(A516,'Packing Time'!A:F,6,0))</f>
        <v>0</v>
      </c>
      <c r="V516" s="11">
        <f t="shared" si="157"/>
        <v>0</v>
      </c>
      <c r="W516" s="11">
        <f t="shared" si="158"/>
        <v>0</v>
      </c>
      <c r="X516" s="11">
        <f t="shared" si="165"/>
        <v>0</v>
      </c>
      <c r="Y516" s="11">
        <f t="shared" si="159"/>
        <v>0</v>
      </c>
      <c r="Z516" s="37">
        <v>1</v>
      </c>
      <c r="AA516" s="36">
        <f t="shared" si="166"/>
        <v>1</v>
      </c>
      <c r="AB516" s="36">
        <f t="shared" si="167"/>
        <v>0.14000000000000001</v>
      </c>
      <c r="AC516" s="11">
        <f t="shared" si="168"/>
        <v>0</v>
      </c>
      <c r="AD516" s="36">
        <f t="shared" si="160"/>
        <v>0</v>
      </c>
      <c r="AE516" s="36"/>
      <c r="AF516" s="36">
        <f>IFERROR(VLOOKUP(AE516,'Chemical Cost'!A:D,4,0),0)</f>
        <v>0</v>
      </c>
      <c r="AG516" s="114">
        <f t="shared" si="169"/>
        <v>0</v>
      </c>
      <c r="AH516" s="36">
        <f t="shared" si="154"/>
        <v>0</v>
      </c>
      <c r="AI516" s="36">
        <f t="shared" si="161"/>
        <v>0.14000000000000001</v>
      </c>
      <c r="AJ516" s="36">
        <f>IFERROR(VLOOKUP(A516,'All Products'!A:F,6,0),0)</f>
        <v>3.33</v>
      </c>
      <c r="AK516" s="36"/>
      <c r="AL516" s="23">
        <v>1</v>
      </c>
      <c r="AM516" s="23"/>
      <c r="AN516" s="54" t="e">
        <v>#N/A</v>
      </c>
      <c r="AO516" s="47"/>
      <c r="AP516" s="4">
        <v>1.6</v>
      </c>
      <c r="AQ516" s="111">
        <f t="shared" si="170"/>
        <v>0</v>
      </c>
      <c r="AR516">
        <f>_xlfn.XLOOKUP(F516,'RM Cost'!A:A,'RM Cost'!S:S)</f>
        <v>0</v>
      </c>
      <c r="AS516" t="e">
        <f>_xlfn.XLOOKUP(A516,[3]Sheet1!$B:$B,[3]Sheet1!$B:$B)</f>
        <v>#N/A</v>
      </c>
    </row>
    <row r="517" spans="1:46" x14ac:dyDescent="0.25">
      <c r="A517" s="2" t="s">
        <v>721</v>
      </c>
      <c r="B517" s="2" t="s">
        <v>656</v>
      </c>
      <c r="C517" s="2" t="s">
        <v>722</v>
      </c>
      <c r="D517" s="2" t="s">
        <v>554</v>
      </c>
      <c r="E517" s="2">
        <v>2.5</v>
      </c>
      <c r="F517" s="1" t="str">
        <f>VLOOKUP(H517,'RM Used'!A:B,2,0)</f>
        <v>032ACS</v>
      </c>
      <c r="G517" s="1" t="str">
        <f>IFERROR(VLOOKUP(F517,'RM Cost'!A:B,2,0),"")</f>
        <v>RM - LRG PROCESSING CARROT X 1000KG</v>
      </c>
      <c r="H517" s="2" t="s">
        <v>1491</v>
      </c>
      <c r="I517" s="1" t="str">
        <f>VLOOKUP(F517,'RM Used'!B:D,3,0)</f>
        <v>RM-FOOD</v>
      </c>
      <c r="J517" s="66">
        <v>1</v>
      </c>
      <c r="K517" s="35">
        <f t="shared" si="156"/>
        <v>2.5</v>
      </c>
      <c r="L517" s="35">
        <f t="shared" si="162"/>
        <v>2.5</v>
      </c>
      <c r="M517" s="77" cm="1">
        <f t="array" ref="M517">_xlfn.IFS(BOM!I517="RM-PACKING","100%",B517="Reynolds",VLOOKUP(H517,'Yield &amp; Time'!A:V,22,0),BOM!B517="Dnata",VLOOKUP(BOM!H517,'Yield &amp; Time'!A:M,13,0),B517="NK",VLOOKUP(H517,'Yield &amp; Time'!A:X,24,0))</f>
        <v>0.73317345127230837</v>
      </c>
      <c r="N517" s="35">
        <f t="shared" si="155"/>
        <v>3.40983432455395</v>
      </c>
      <c r="O517" s="1" t="str">
        <f>VLOOKUP(H517,'RM Used'!A:E,5,0)</f>
        <v>KG</v>
      </c>
      <c r="P517" s="11">
        <f>VLOOKUP(H517,'RM Used'!A:F,6,0)</f>
        <v>0.38</v>
      </c>
      <c r="Q517" s="11">
        <f t="shared" si="171"/>
        <v>1.2957370433305011</v>
      </c>
      <c r="R517" s="11">
        <f>IFERROR(IF(B517="Reynolds",VLOOKUP(H517,'Yield &amp; Time'!A:U,21,0),VLOOKUP(H517,'Yield &amp; Time'!A:L,12,0)),0)</f>
        <v>1.1480576795997355</v>
      </c>
      <c r="S517" s="11">
        <f t="shared" si="163"/>
        <v>0.97154381136127599</v>
      </c>
      <c r="T517" s="11">
        <f t="shared" si="164"/>
        <v>4.7835736649988976E-2</v>
      </c>
      <c r="U517" s="11">
        <f>IF(A516=A517,0,VLOOKUP(A517,'Packing Time'!A:F,6,0))</f>
        <v>0.875</v>
      </c>
      <c r="V517" s="11">
        <f t="shared" si="157"/>
        <v>0.29618749999999999</v>
      </c>
      <c r="W517" s="11">
        <f t="shared" si="158"/>
        <v>1.4583333333333334E-2</v>
      </c>
      <c r="X517" s="11">
        <f t="shared" si="165"/>
        <v>2.0283700981780419</v>
      </c>
      <c r="Y517" s="11">
        <f t="shared" si="159"/>
        <v>2.0283700981780419</v>
      </c>
      <c r="Z517" s="37">
        <v>1</v>
      </c>
      <c r="AA517" s="36">
        <f t="shared" si="166"/>
        <v>3.40983432455395</v>
      </c>
      <c r="AB517" s="36">
        <f t="shared" si="167"/>
        <v>1.2957370433305011</v>
      </c>
      <c r="AC517" s="11">
        <f t="shared" si="168"/>
        <v>9.9870511973315701E-2</v>
      </c>
      <c r="AD517" s="36">
        <f t="shared" si="160"/>
        <v>2.0283700981780419</v>
      </c>
      <c r="AE517" s="36"/>
      <c r="AF517" s="36">
        <f>IFERROR(VLOOKUP(AE517,'Chemical Cost'!A:D,4,0),0)</f>
        <v>0</v>
      </c>
      <c r="AG517" s="114">
        <f t="shared" si="169"/>
        <v>0</v>
      </c>
      <c r="AH517" s="36">
        <f t="shared" si="154"/>
        <v>0</v>
      </c>
      <c r="AI517" s="36">
        <f t="shared" si="161"/>
        <v>3.3241071415085433</v>
      </c>
      <c r="AJ517" s="36">
        <f>IFERROR(VLOOKUP(A517,'All Products'!A:F,6,0),0)</f>
        <v>8.32</v>
      </c>
      <c r="AK517" s="36">
        <f>AJ517*Z517*J517</f>
        <v>8.32</v>
      </c>
      <c r="AL517" s="23">
        <v>1</v>
      </c>
      <c r="AM517" s="23"/>
      <c r="AN517" s="54" t="e">
        <v>#N/A</v>
      </c>
      <c r="AO517" s="47"/>
      <c r="AP517" s="4">
        <v>1.6</v>
      </c>
      <c r="AQ517" s="111">
        <f t="shared" si="170"/>
        <v>9.9870511973315701E-2</v>
      </c>
      <c r="AR517">
        <f>_xlfn.XLOOKUP(F517,'RM Cost'!A:A,'RM Cost'!S:S)</f>
        <v>0</v>
      </c>
      <c r="AS517" t="e">
        <f>_xlfn.XLOOKUP(A517,[3]Sheet1!$B:$B,[3]Sheet1!$B:$B)</f>
        <v>#N/A</v>
      </c>
    </row>
    <row r="518" spans="1:46" x14ac:dyDescent="0.25">
      <c r="A518" s="2" t="s">
        <v>721</v>
      </c>
      <c r="B518" s="2" t="s">
        <v>656</v>
      </c>
      <c r="C518" s="2" t="s">
        <v>722</v>
      </c>
      <c r="D518" s="2" t="s">
        <v>554</v>
      </c>
      <c r="E518" s="2">
        <v>2.5</v>
      </c>
      <c r="F518" s="1" t="str">
        <f>VLOOKUP(H518,'RM Used'!A:B,2,0)</f>
        <v>P0008</v>
      </c>
      <c r="G518" s="1" t="str">
        <f>IFERROR(VLOOKUP(F518,'RM Cost'!A:B,2,0),"")</f>
        <v>PALE BLUE BAG 470X750MM</v>
      </c>
      <c r="H518" s="2" t="s">
        <v>1323</v>
      </c>
      <c r="I518" s="1" t="str">
        <f>VLOOKUP(F518,'RM Used'!B:D,3,0)</f>
        <v>RM-PACKING</v>
      </c>
      <c r="J518" s="66">
        <v>1</v>
      </c>
      <c r="K518" s="35" t="str">
        <f t="shared" si="156"/>
        <v/>
      </c>
      <c r="L518" s="35">
        <f t="shared" si="162"/>
        <v>0</v>
      </c>
      <c r="M518" s="77" t="str" cm="1">
        <f t="array" ref="M518">_xlfn.IFS(BOM!I518="RM-PACKING","100%",B518="Reynolds",VLOOKUP(H518,'Yield &amp; Time'!A:V,22,0),BOM!B518="Dnata",VLOOKUP(BOM!H518,'Yield &amp; Time'!A:M,13,0),B518="NK",VLOOKUP(H518,'Yield &amp; Time'!A:X,24,0))</f>
        <v>100%</v>
      </c>
      <c r="N518" s="35">
        <f t="shared" si="155"/>
        <v>1</v>
      </c>
      <c r="O518" s="1" t="str">
        <f>VLOOKUP(H518,'RM Used'!A:E,5,0)</f>
        <v>Count</v>
      </c>
      <c r="P518" s="11">
        <f>VLOOKUP(H518,'RM Used'!A:F,6,0)</f>
        <v>0.14000000000000001</v>
      </c>
      <c r="Q518" s="11">
        <f t="shared" si="171"/>
        <v>0.14000000000000001</v>
      </c>
      <c r="R518" s="11">
        <f>IFERROR(IF(B518="Reynolds",VLOOKUP(H518,'Yield &amp; Time'!A:U,21,0),VLOOKUP(H518,'Yield &amp; Time'!A:L,12,0)),0)</f>
        <v>0</v>
      </c>
      <c r="S518" s="11">
        <f t="shared" si="163"/>
        <v>0</v>
      </c>
      <c r="T518" s="11">
        <f t="shared" si="164"/>
        <v>0</v>
      </c>
      <c r="U518" s="11">
        <f>IF(A517=A518,0,VLOOKUP(A518,'Packing Time'!A:F,6,0))</f>
        <v>0</v>
      </c>
      <c r="V518" s="11">
        <f t="shared" si="157"/>
        <v>0</v>
      </c>
      <c r="W518" s="11">
        <f t="shared" si="158"/>
        <v>0</v>
      </c>
      <c r="X518" s="11">
        <f t="shared" si="165"/>
        <v>0</v>
      </c>
      <c r="Y518" s="11">
        <f t="shared" si="159"/>
        <v>0</v>
      </c>
      <c r="Z518" s="37">
        <v>1</v>
      </c>
      <c r="AA518" s="36">
        <f t="shared" si="166"/>
        <v>1</v>
      </c>
      <c r="AB518" s="36">
        <f t="shared" si="167"/>
        <v>0.14000000000000001</v>
      </c>
      <c r="AC518" s="11">
        <f t="shared" si="168"/>
        <v>0</v>
      </c>
      <c r="AD518" s="36">
        <f t="shared" si="160"/>
        <v>0</v>
      </c>
      <c r="AE518" s="36"/>
      <c r="AF518" s="36">
        <f>IFERROR(VLOOKUP(AE518,'Chemical Cost'!A:D,4,0),0)</f>
        <v>0</v>
      </c>
      <c r="AG518" s="114">
        <f t="shared" si="169"/>
        <v>0</v>
      </c>
      <c r="AH518" s="36">
        <f t="shared" si="154"/>
        <v>0</v>
      </c>
      <c r="AI518" s="36">
        <f t="shared" si="161"/>
        <v>0.14000000000000001</v>
      </c>
      <c r="AJ518" s="36">
        <f>IFERROR(VLOOKUP(A518,'All Products'!A:F,6,0),0)</f>
        <v>8.32</v>
      </c>
      <c r="AK518" s="36"/>
      <c r="AL518" s="23">
        <v>1</v>
      </c>
      <c r="AM518" s="23"/>
      <c r="AN518" s="54" t="e">
        <v>#N/A</v>
      </c>
      <c r="AO518" s="47"/>
      <c r="AP518" s="4">
        <v>1.6</v>
      </c>
      <c r="AQ518" s="111">
        <f t="shared" si="170"/>
        <v>0</v>
      </c>
      <c r="AR518">
        <f>_xlfn.XLOOKUP(F518,'RM Cost'!A:A,'RM Cost'!S:S)</f>
        <v>0</v>
      </c>
      <c r="AS518" t="e">
        <f>_xlfn.XLOOKUP(A518,[3]Sheet1!$B:$B,[3]Sheet1!$B:$B)</f>
        <v>#N/A</v>
      </c>
    </row>
    <row r="519" spans="1:46" x14ac:dyDescent="0.25">
      <c r="A519" s="2" t="s">
        <v>337</v>
      </c>
      <c r="B519" s="2" t="s">
        <v>656</v>
      </c>
      <c r="C519" s="2" t="s">
        <v>338</v>
      </c>
      <c r="D519" s="2" t="s">
        <v>554</v>
      </c>
      <c r="E519" s="2">
        <v>1</v>
      </c>
      <c r="F519" s="1" t="str">
        <f>VLOOKUP(H519,'RM Used'!A:B,2,0)</f>
        <v>032ACS</v>
      </c>
      <c r="G519" s="1" t="str">
        <f>IFERROR(VLOOKUP(F519,'RM Cost'!A:B,2,0),"")</f>
        <v>RM - LRG PROCESSING CARROT X 1000KG</v>
      </c>
      <c r="H519" s="2" t="s">
        <v>1492</v>
      </c>
      <c r="I519" s="1" t="str">
        <f>VLOOKUP(F519,'RM Used'!B:D,3,0)</f>
        <v>RM-FOOD</v>
      </c>
      <c r="J519" s="66">
        <v>1</v>
      </c>
      <c r="K519" s="35">
        <f t="shared" si="156"/>
        <v>1</v>
      </c>
      <c r="L519" s="35">
        <f t="shared" si="162"/>
        <v>1</v>
      </c>
      <c r="M519" s="77" cm="1">
        <f t="array" ref="M519">_xlfn.IFS(BOM!I519="RM-PACKING","100%",B519="Reynolds",VLOOKUP(H519,'Yield &amp; Time'!A:V,22,0),BOM!B519="Dnata",VLOOKUP(BOM!H519,'Yield &amp; Time'!A:M,13,0),B519="NK",VLOOKUP(H519,'Yield &amp; Time'!A:X,24,0))</f>
        <v>0.55302226038825542</v>
      </c>
      <c r="N519" s="35">
        <f t="shared" si="155"/>
        <v>1.8082454751422463</v>
      </c>
      <c r="O519" s="1" t="str">
        <f>VLOOKUP(H519,'RM Used'!A:E,5,0)</f>
        <v>KG</v>
      </c>
      <c r="P519" s="11">
        <f>VLOOKUP(H519,'RM Used'!A:F,6,0)</f>
        <v>0.38</v>
      </c>
      <c r="Q519" s="11">
        <f t="shared" si="171"/>
        <v>0.68713328055405365</v>
      </c>
      <c r="R519" s="11">
        <f>IFERROR(IF(B519="Reynolds",VLOOKUP(H519,'Yield &amp; Time'!A:U,21,0),VLOOKUP(H519,'Yield &amp; Time'!A:L,12,0)),0)</f>
        <v>1.8452723210582169</v>
      </c>
      <c r="S519" s="11">
        <f t="shared" si="163"/>
        <v>0.62462468067820642</v>
      </c>
      <c r="T519" s="11">
        <f t="shared" si="164"/>
        <v>3.0754538684303615E-2</v>
      </c>
      <c r="U519" s="11">
        <f>IF(A518=A519,0,VLOOKUP(A519,'Packing Time'!A:F,6,0))</f>
        <v>0.64166666666666661</v>
      </c>
      <c r="V519" s="11">
        <f t="shared" si="157"/>
        <v>0.21720416666666661</v>
      </c>
      <c r="W519" s="11">
        <f t="shared" si="158"/>
        <v>1.0694444444444444E-2</v>
      </c>
      <c r="X519" s="11">
        <f t="shared" si="165"/>
        <v>1.3469261557517969</v>
      </c>
      <c r="Y519" s="11">
        <f t="shared" si="159"/>
        <v>1.3469261557517969</v>
      </c>
      <c r="Z519" s="37">
        <v>1</v>
      </c>
      <c r="AA519" s="36">
        <f t="shared" si="166"/>
        <v>1.8082454751422463</v>
      </c>
      <c r="AB519" s="36">
        <f t="shared" si="167"/>
        <v>0.68713328055405365</v>
      </c>
      <c r="AC519" s="11">
        <f t="shared" si="168"/>
        <v>6.6318373005996897E-2</v>
      </c>
      <c r="AD519" s="36">
        <f t="shared" si="160"/>
        <v>1.3469261557517969</v>
      </c>
      <c r="AE519" s="36"/>
      <c r="AF519" s="36">
        <f>IFERROR(VLOOKUP(AE519,'Chemical Cost'!A:D,4,0),0)</f>
        <v>0</v>
      </c>
      <c r="AG519" s="114">
        <f t="shared" si="169"/>
        <v>0</v>
      </c>
      <c r="AH519" s="36">
        <f t="shared" si="154"/>
        <v>0</v>
      </c>
      <c r="AI519" s="36">
        <f t="shared" si="161"/>
        <v>2.0340594363058506</v>
      </c>
      <c r="AJ519" s="36">
        <f>IFERROR(VLOOKUP(A519,'All Products'!A:F,6,0),0)</f>
        <v>1.67</v>
      </c>
      <c r="AK519" s="36">
        <f>AJ519*Z519*J519</f>
        <v>1.67</v>
      </c>
      <c r="AL519" s="23">
        <v>1</v>
      </c>
      <c r="AM519" s="23"/>
      <c r="AN519" s="54" t="e">
        <v>#N/A</v>
      </c>
      <c r="AO519" s="47"/>
      <c r="AP519" s="4">
        <v>1.6</v>
      </c>
      <c r="AQ519" s="111">
        <f t="shared" si="170"/>
        <v>6.6318373005996897E-2</v>
      </c>
      <c r="AR519">
        <f>_xlfn.XLOOKUP(F519,'RM Cost'!A:A,'RM Cost'!S:S)</f>
        <v>0</v>
      </c>
      <c r="AS519" t="e">
        <f>_xlfn.XLOOKUP(A519,[3]Sheet1!$B:$B,[3]Sheet1!$B:$B)</f>
        <v>#N/A</v>
      </c>
    </row>
    <row r="520" spans="1:46" x14ac:dyDescent="0.25">
      <c r="A520" s="2" t="s">
        <v>337</v>
      </c>
      <c r="B520" s="2" t="s">
        <v>656</v>
      </c>
      <c r="C520" s="2" t="s">
        <v>338</v>
      </c>
      <c r="D520" s="2" t="s">
        <v>554</v>
      </c>
      <c r="E520" s="2">
        <v>1</v>
      </c>
      <c r="F520" s="1" t="str">
        <f>VLOOKUP(H520,'RM Used'!A:B,2,0)</f>
        <v>P0008</v>
      </c>
      <c r="G520" s="1" t="str">
        <f>IFERROR(VLOOKUP(F520,'RM Cost'!A:B,2,0),"")</f>
        <v>PALE BLUE BAG 470X750MM</v>
      </c>
      <c r="H520" s="2" t="s">
        <v>1323</v>
      </c>
      <c r="I520" s="1" t="str">
        <f>VLOOKUP(F520,'RM Used'!B:D,3,0)</f>
        <v>RM-PACKING</v>
      </c>
      <c r="J520" s="66">
        <v>1</v>
      </c>
      <c r="K520" s="35" t="str">
        <f t="shared" si="156"/>
        <v/>
      </c>
      <c r="L520" s="35">
        <f t="shared" si="162"/>
        <v>0</v>
      </c>
      <c r="M520" s="77" t="str" cm="1">
        <f t="array" ref="M520">_xlfn.IFS(BOM!I520="RM-PACKING","100%",B520="Reynolds",VLOOKUP(H520,'Yield &amp; Time'!A:V,22,0),BOM!B520="Dnata",VLOOKUP(BOM!H520,'Yield &amp; Time'!A:M,13,0),B520="NK",VLOOKUP(H520,'Yield &amp; Time'!A:X,24,0))</f>
        <v>100%</v>
      </c>
      <c r="N520" s="35">
        <f t="shared" si="155"/>
        <v>1</v>
      </c>
      <c r="O520" s="1" t="str">
        <f>VLOOKUP(H520,'RM Used'!A:E,5,0)</f>
        <v>Count</v>
      </c>
      <c r="P520" s="11">
        <f>VLOOKUP(H520,'RM Used'!A:F,6,0)</f>
        <v>0.14000000000000001</v>
      </c>
      <c r="Q520" s="11">
        <f t="shared" si="171"/>
        <v>0.14000000000000001</v>
      </c>
      <c r="R520" s="11">
        <f>IFERROR(IF(B520="Reynolds",VLOOKUP(H520,'Yield &amp; Time'!A:U,21,0),VLOOKUP(H520,'Yield &amp; Time'!A:L,12,0)),0)</f>
        <v>0</v>
      </c>
      <c r="S520" s="11">
        <f t="shared" si="163"/>
        <v>0</v>
      </c>
      <c r="T520" s="11">
        <f t="shared" si="164"/>
        <v>0</v>
      </c>
      <c r="U520" s="11">
        <f>IF(A519=A520,0,VLOOKUP(A520,'Packing Time'!A:F,6,0))</f>
        <v>0</v>
      </c>
      <c r="V520" s="11">
        <f t="shared" si="157"/>
        <v>0</v>
      </c>
      <c r="W520" s="11">
        <f t="shared" si="158"/>
        <v>0</v>
      </c>
      <c r="X520" s="11">
        <f t="shared" si="165"/>
        <v>0</v>
      </c>
      <c r="Y520" s="11">
        <f t="shared" si="159"/>
        <v>0</v>
      </c>
      <c r="Z520" s="37">
        <v>1</v>
      </c>
      <c r="AA520" s="36">
        <f t="shared" si="166"/>
        <v>1</v>
      </c>
      <c r="AB520" s="36">
        <f t="shared" si="167"/>
        <v>0.14000000000000001</v>
      </c>
      <c r="AC520" s="11">
        <f t="shared" si="168"/>
        <v>0</v>
      </c>
      <c r="AD520" s="36">
        <f t="shared" si="160"/>
        <v>0</v>
      </c>
      <c r="AE520" s="36"/>
      <c r="AF520" s="36">
        <f>IFERROR(VLOOKUP(AE520,'Chemical Cost'!A:D,4,0),0)</f>
        <v>0</v>
      </c>
      <c r="AG520" s="114">
        <f t="shared" si="169"/>
        <v>0</v>
      </c>
      <c r="AH520" s="36">
        <f t="shared" si="154"/>
        <v>0</v>
      </c>
      <c r="AI520" s="36">
        <f t="shared" si="161"/>
        <v>0.14000000000000001</v>
      </c>
      <c r="AJ520" s="36">
        <f>IFERROR(VLOOKUP(A520,'All Products'!A:F,6,0),0)</f>
        <v>1.67</v>
      </c>
      <c r="AK520" s="36"/>
      <c r="AL520" s="23">
        <v>1</v>
      </c>
      <c r="AM520" s="23"/>
      <c r="AN520" s="54" t="e">
        <v>#N/A</v>
      </c>
      <c r="AO520" s="47"/>
      <c r="AP520" s="4">
        <v>1.6</v>
      </c>
      <c r="AQ520" s="111">
        <f t="shared" si="170"/>
        <v>0</v>
      </c>
      <c r="AR520">
        <f>_xlfn.XLOOKUP(F520,'RM Cost'!A:A,'RM Cost'!S:S)</f>
        <v>0</v>
      </c>
      <c r="AS520" t="e">
        <f>_xlfn.XLOOKUP(A520,[3]Sheet1!$B:$B,[3]Sheet1!$B:$B)</f>
        <v>#N/A</v>
      </c>
    </row>
    <row r="521" spans="1:46" x14ac:dyDescent="0.25">
      <c r="A521" s="2" t="s">
        <v>335</v>
      </c>
      <c r="B521" s="2" t="s">
        <v>656</v>
      </c>
      <c r="C521" s="2" t="s">
        <v>336</v>
      </c>
      <c r="D521" s="2" t="s">
        <v>554</v>
      </c>
      <c r="E521" s="2">
        <v>2.5</v>
      </c>
      <c r="F521" s="1" t="str">
        <f>VLOOKUP(H521,'RM Used'!A:B,2,0)</f>
        <v>032ACS</v>
      </c>
      <c r="G521" s="1" t="str">
        <f>IFERROR(VLOOKUP(F521,'RM Cost'!A:B,2,0),"")</f>
        <v>RM - LRG PROCESSING CARROT X 1000KG</v>
      </c>
      <c r="H521" s="2" t="s">
        <v>1492</v>
      </c>
      <c r="I521" s="1" t="str">
        <f>VLOOKUP(F521,'RM Used'!B:D,3,0)</f>
        <v>RM-FOOD</v>
      </c>
      <c r="J521" s="66">
        <v>1</v>
      </c>
      <c r="K521" s="35">
        <f t="shared" si="156"/>
        <v>2.5</v>
      </c>
      <c r="L521" s="35">
        <f t="shared" si="162"/>
        <v>2.5</v>
      </c>
      <c r="M521" s="77" cm="1">
        <f t="array" ref="M521">_xlfn.IFS(BOM!I521="RM-PACKING","100%",B521="Reynolds",VLOOKUP(H521,'Yield &amp; Time'!A:V,22,0),BOM!B521="Dnata",VLOOKUP(BOM!H521,'Yield &amp; Time'!A:M,13,0),B521="NK",VLOOKUP(H521,'Yield &amp; Time'!A:X,24,0))</f>
        <v>0.55302226038825542</v>
      </c>
      <c r="N521" s="35">
        <f t="shared" si="155"/>
        <v>4.520613687855616</v>
      </c>
      <c r="O521" s="1" t="str">
        <f>VLOOKUP(H521,'RM Used'!A:E,5,0)</f>
        <v>KG</v>
      </c>
      <c r="P521" s="11">
        <f>VLOOKUP(H521,'RM Used'!A:F,6,0)</f>
        <v>0.38</v>
      </c>
      <c r="Q521" s="11">
        <f t="shared" si="171"/>
        <v>1.7178332013851341</v>
      </c>
      <c r="R521" s="11">
        <f>IFERROR(IF(B521="Reynolds",VLOOKUP(H521,'Yield &amp; Time'!A:U,21,0),VLOOKUP(H521,'Yield &amp; Time'!A:L,12,0)),0)</f>
        <v>1.8452723210582169</v>
      </c>
      <c r="S521" s="11">
        <f t="shared" si="163"/>
        <v>1.5615617016955161</v>
      </c>
      <c r="T521" s="11">
        <f t="shared" si="164"/>
        <v>7.6886346710759043E-2</v>
      </c>
      <c r="U521" s="11">
        <f>IF(A520=A521,0,VLOOKUP(A521,'Packing Time'!A:F,6,0))</f>
        <v>0.875</v>
      </c>
      <c r="V521" s="11">
        <f t="shared" si="157"/>
        <v>0.29618749999999999</v>
      </c>
      <c r="W521" s="11">
        <f t="shared" si="158"/>
        <v>1.4583333333333334E-2</v>
      </c>
      <c r="X521" s="11">
        <f t="shared" si="165"/>
        <v>2.3221865021193948</v>
      </c>
      <c r="Y521" s="11">
        <f t="shared" si="159"/>
        <v>2.3221865021193948</v>
      </c>
      <c r="Z521" s="37">
        <v>1</v>
      </c>
      <c r="AA521" s="36">
        <f t="shared" si="166"/>
        <v>4.520613687855616</v>
      </c>
      <c r="AB521" s="36">
        <f t="shared" si="167"/>
        <v>1.7178332013851341</v>
      </c>
      <c r="AC521" s="11">
        <f t="shared" si="168"/>
        <v>0.11433710005511548</v>
      </c>
      <c r="AD521" s="36">
        <f t="shared" si="160"/>
        <v>2.3221865021193953</v>
      </c>
      <c r="AE521" s="36"/>
      <c r="AF521" s="36">
        <f>IFERROR(VLOOKUP(AE521,'Chemical Cost'!A:D,4,0),0)</f>
        <v>0</v>
      </c>
      <c r="AG521" s="114">
        <f t="shared" si="169"/>
        <v>0</v>
      </c>
      <c r="AH521" s="36">
        <f t="shared" si="154"/>
        <v>0</v>
      </c>
      <c r="AI521" s="36">
        <f t="shared" si="161"/>
        <v>4.0400197035045284</v>
      </c>
      <c r="AJ521" s="36">
        <f>IFERROR(VLOOKUP(A521,'All Products'!A:F,6,0),0)</f>
        <v>4.1900000000000004</v>
      </c>
      <c r="AK521" s="36">
        <f>AJ521*Z521*J521</f>
        <v>4.1900000000000004</v>
      </c>
      <c r="AL521" s="23">
        <v>1</v>
      </c>
      <c r="AM521" s="23"/>
      <c r="AN521" s="54" t="e">
        <v>#N/A</v>
      </c>
      <c r="AO521" s="47"/>
      <c r="AP521" s="4">
        <v>1.25</v>
      </c>
      <c r="AQ521" s="111">
        <f t="shared" si="170"/>
        <v>0.11433710005511548</v>
      </c>
      <c r="AR521">
        <f>_xlfn.XLOOKUP(F521,'RM Cost'!A:A,'RM Cost'!S:S)</f>
        <v>0</v>
      </c>
      <c r="AS521" t="str">
        <f>_xlfn.XLOOKUP(A521,[3]Sheet1!$B:$B,[3]Sheet1!$B:$B)</f>
        <v>Z245CS</v>
      </c>
      <c r="AT521">
        <f>_xlfn.XLOOKUP(H521,'Yield &amp; Time'!A:A,'Yield &amp; Time'!F:F)</f>
        <v>0</v>
      </c>
    </row>
    <row r="522" spans="1:46" x14ac:dyDescent="0.25">
      <c r="A522" s="2" t="s">
        <v>335</v>
      </c>
      <c r="B522" s="2" t="s">
        <v>656</v>
      </c>
      <c r="C522" s="2" t="s">
        <v>336</v>
      </c>
      <c r="D522" s="2" t="s">
        <v>554</v>
      </c>
      <c r="E522" s="2">
        <v>2.5</v>
      </c>
      <c r="F522" s="1" t="str">
        <f>VLOOKUP(H522,'RM Used'!A:B,2,0)</f>
        <v>P0008</v>
      </c>
      <c r="G522" s="1" t="str">
        <f>IFERROR(VLOOKUP(F522,'RM Cost'!A:B,2,0),"")</f>
        <v>PALE BLUE BAG 470X750MM</v>
      </c>
      <c r="H522" s="2" t="s">
        <v>1323</v>
      </c>
      <c r="I522" s="1" t="str">
        <f>VLOOKUP(F522,'RM Used'!B:D,3,0)</f>
        <v>RM-PACKING</v>
      </c>
      <c r="J522" s="66">
        <v>1</v>
      </c>
      <c r="K522" s="35" t="str">
        <f t="shared" si="156"/>
        <v/>
      </c>
      <c r="L522" s="35">
        <f t="shared" si="162"/>
        <v>0</v>
      </c>
      <c r="M522" s="77" t="str" cm="1">
        <f t="array" ref="M522">_xlfn.IFS(BOM!I522="RM-PACKING","100%",B522="Reynolds",VLOOKUP(H522,'Yield &amp; Time'!A:V,22,0),BOM!B522="Dnata",VLOOKUP(BOM!H522,'Yield &amp; Time'!A:M,13,0),B522="NK",VLOOKUP(H522,'Yield &amp; Time'!A:X,24,0))</f>
        <v>100%</v>
      </c>
      <c r="N522" s="35">
        <f t="shared" si="155"/>
        <v>1</v>
      </c>
      <c r="O522" s="1" t="str">
        <f>VLOOKUP(H522,'RM Used'!A:E,5,0)</f>
        <v>Count</v>
      </c>
      <c r="P522" s="11">
        <f>VLOOKUP(H522,'RM Used'!A:F,6,0)</f>
        <v>0.14000000000000001</v>
      </c>
      <c r="Q522" s="11">
        <f t="shared" si="171"/>
        <v>0.14000000000000001</v>
      </c>
      <c r="R522" s="11">
        <f>IFERROR(IF(B522="Reynolds",VLOOKUP(H522,'Yield &amp; Time'!A:U,21,0),VLOOKUP(H522,'Yield &amp; Time'!A:L,12,0)),0)</f>
        <v>0</v>
      </c>
      <c r="S522" s="11">
        <f t="shared" si="163"/>
        <v>0</v>
      </c>
      <c r="T522" s="11">
        <f t="shared" si="164"/>
        <v>0</v>
      </c>
      <c r="U522" s="11">
        <f>IF(A521=A522,0,VLOOKUP(A522,'Packing Time'!A:F,6,0))</f>
        <v>0</v>
      </c>
      <c r="V522" s="11">
        <f t="shared" si="157"/>
        <v>0</v>
      </c>
      <c r="W522" s="11">
        <f t="shared" si="158"/>
        <v>0</v>
      </c>
      <c r="X522" s="11">
        <f t="shared" si="165"/>
        <v>0</v>
      </c>
      <c r="Y522" s="11">
        <f t="shared" si="159"/>
        <v>0</v>
      </c>
      <c r="Z522" s="37">
        <v>1</v>
      </c>
      <c r="AA522" s="36">
        <f t="shared" si="166"/>
        <v>1</v>
      </c>
      <c r="AB522" s="36">
        <f t="shared" si="167"/>
        <v>0.14000000000000001</v>
      </c>
      <c r="AC522" s="11">
        <f t="shared" si="168"/>
        <v>0</v>
      </c>
      <c r="AD522" s="36">
        <f t="shared" si="160"/>
        <v>0</v>
      </c>
      <c r="AE522" s="36"/>
      <c r="AF522" s="36">
        <f>IFERROR(VLOOKUP(AE522,'Chemical Cost'!A:D,4,0),0)</f>
        <v>0</v>
      </c>
      <c r="AG522" s="114">
        <f t="shared" si="169"/>
        <v>0</v>
      </c>
      <c r="AH522" s="36">
        <f t="shared" si="154"/>
        <v>0</v>
      </c>
      <c r="AI522" s="36">
        <f t="shared" si="161"/>
        <v>0.14000000000000001</v>
      </c>
      <c r="AJ522" s="36">
        <f>IFERROR(VLOOKUP(A522,'All Products'!A:F,6,0),0)</f>
        <v>4.1900000000000004</v>
      </c>
      <c r="AK522" s="36"/>
      <c r="AL522" s="23">
        <v>1</v>
      </c>
      <c r="AM522" s="23"/>
      <c r="AN522" s="54" t="e">
        <v>#N/A</v>
      </c>
      <c r="AO522" s="47"/>
      <c r="AP522" s="4">
        <v>1.25</v>
      </c>
      <c r="AQ522" s="111">
        <f t="shared" si="170"/>
        <v>0</v>
      </c>
      <c r="AR522">
        <f>_xlfn.XLOOKUP(F522,'RM Cost'!A:A,'RM Cost'!S:S)</f>
        <v>0</v>
      </c>
      <c r="AS522" t="str">
        <f>_xlfn.XLOOKUP(A522,[3]Sheet1!$B:$B,[3]Sheet1!$B:$B)</f>
        <v>Z245CS</v>
      </c>
      <c r="AT522" t="e">
        <f>_xlfn.XLOOKUP(H522,'Yield &amp; Time'!A:A,'Yield &amp; Time'!F:F)</f>
        <v>#N/A</v>
      </c>
    </row>
    <row r="523" spans="1:46" x14ac:dyDescent="0.25">
      <c r="A523" s="2" t="s">
        <v>334</v>
      </c>
      <c r="B523" s="2" t="s">
        <v>656</v>
      </c>
      <c r="C523" s="2" t="s">
        <v>723</v>
      </c>
      <c r="D523" s="2" t="s">
        <v>554</v>
      </c>
      <c r="E523" s="2">
        <v>1</v>
      </c>
      <c r="F523" s="1" t="str">
        <f>VLOOKUP(H523,'RM Used'!A:B,2,0)</f>
        <v>032ACS</v>
      </c>
      <c r="G523" s="1" t="str">
        <f>IFERROR(VLOOKUP(F523,'RM Cost'!A:B,2,0),"")</f>
        <v>RM - LRG PROCESSING CARROT X 1000KG</v>
      </c>
      <c r="H523" s="2" t="s">
        <v>1493</v>
      </c>
      <c r="I523" s="1" t="str">
        <f>VLOOKUP(F523,'RM Used'!B:D,3,0)</f>
        <v>RM-FOOD</v>
      </c>
      <c r="J523" s="66">
        <v>1</v>
      </c>
      <c r="K523" s="35">
        <f t="shared" si="156"/>
        <v>1</v>
      </c>
      <c r="L523" s="35">
        <f t="shared" si="162"/>
        <v>1</v>
      </c>
      <c r="M523" s="77" cm="1">
        <f t="array" ref="M523">_xlfn.IFS(BOM!I523="RM-PACKING","100%",B523="Reynolds",VLOOKUP(H523,'Yield &amp; Time'!A:V,22,0),BOM!B523="Dnata",VLOOKUP(BOM!H523,'Yield &amp; Time'!A:M,13,0),B523="NK",VLOOKUP(H523,'Yield &amp; Time'!A:X,24,0))</f>
        <v>0.53370277950915401</v>
      </c>
      <c r="N523" s="35">
        <f t="shared" si="155"/>
        <v>1.8737020648828158</v>
      </c>
      <c r="O523" s="1" t="str">
        <f>VLOOKUP(H523,'RM Used'!A:E,5,0)</f>
        <v>KG</v>
      </c>
      <c r="P523" s="11">
        <f>VLOOKUP(H523,'RM Used'!A:F,6,0)</f>
        <v>0.38</v>
      </c>
      <c r="Q523" s="11">
        <f t="shared" si="171"/>
        <v>0.71200678465546996</v>
      </c>
      <c r="R523" s="11">
        <f>IFERROR(IF(B523="Reynolds",VLOOKUP(H523,'Yield &amp; Time'!A:U,21,0),VLOOKUP(H523,'Yield &amp; Time'!A:L,12,0)),0)</f>
        <v>1.8318755501749584</v>
      </c>
      <c r="S523" s="11">
        <f t="shared" si="163"/>
        <v>0.62008987373422331</v>
      </c>
      <c r="T523" s="11">
        <f t="shared" si="164"/>
        <v>3.0531259169582641E-2</v>
      </c>
      <c r="U523" s="11">
        <f>IF(A522=A523,0,VLOOKUP(A523,'Packing Time'!A:F,6,0))</f>
        <v>0.64166666666666661</v>
      </c>
      <c r="V523" s="11">
        <f t="shared" si="157"/>
        <v>0.21720416666666661</v>
      </c>
      <c r="W523" s="11">
        <f t="shared" si="158"/>
        <v>1.0694444444444444E-2</v>
      </c>
      <c r="X523" s="11">
        <f t="shared" si="165"/>
        <v>1.3396704646414239</v>
      </c>
      <c r="Y523" s="11">
        <f t="shared" si="159"/>
        <v>1.3396704646414239</v>
      </c>
      <c r="Z523" s="37">
        <v>1</v>
      </c>
      <c r="AA523" s="36">
        <f t="shared" si="166"/>
        <v>1.8737020648828158</v>
      </c>
      <c r="AB523" s="36">
        <f t="shared" si="167"/>
        <v>0.71200678465546996</v>
      </c>
      <c r="AC523" s="11">
        <f t="shared" si="168"/>
        <v>6.5961125782443328E-2</v>
      </c>
      <c r="AD523" s="36">
        <f t="shared" si="160"/>
        <v>1.3396704646414239</v>
      </c>
      <c r="AE523" s="36"/>
      <c r="AF523" s="36">
        <f>IFERROR(VLOOKUP(AE523,'Chemical Cost'!A:D,4,0),0)</f>
        <v>0</v>
      </c>
      <c r="AG523" s="114">
        <f t="shared" si="169"/>
        <v>0</v>
      </c>
      <c r="AH523" s="36">
        <f t="shared" si="154"/>
        <v>0</v>
      </c>
      <c r="AI523" s="36">
        <f t="shared" si="161"/>
        <v>2.051677249296894</v>
      </c>
      <c r="AJ523" s="36">
        <f>IFERROR(VLOOKUP(A523,'All Products'!A:F,6,0),0)</f>
        <v>3.06</v>
      </c>
      <c r="AK523" s="36">
        <f>AJ523*Z523*J523</f>
        <v>3.06</v>
      </c>
      <c r="AL523" s="23">
        <v>1</v>
      </c>
      <c r="AM523" s="23"/>
      <c r="AN523" s="54" t="e">
        <v>#N/A</v>
      </c>
      <c r="AO523" s="47"/>
      <c r="AP523" s="4">
        <v>1.6</v>
      </c>
      <c r="AQ523" s="111">
        <f t="shared" si="170"/>
        <v>6.5961125782443328E-2</v>
      </c>
      <c r="AR523">
        <f>_xlfn.XLOOKUP(F523,'RM Cost'!A:A,'RM Cost'!S:S)</f>
        <v>0</v>
      </c>
      <c r="AS523" t="str">
        <f>_xlfn.XLOOKUP(A523,[3]Sheet1!$B:$B,[3]Sheet1!$B:$B)</f>
        <v>Z248CS</v>
      </c>
      <c r="AT523">
        <f>_xlfn.XLOOKUP(H523,'Yield &amp; Time'!A:A,'Yield &amp; Time'!F:F)</f>
        <v>0</v>
      </c>
    </row>
    <row r="524" spans="1:46" x14ac:dyDescent="0.25">
      <c r="A524" s="2" t="s">
        <v>334</v>
      </c>
      <c r="B524" s="2" t="s">
        <v>656</v>
      </c>
      <c r="C524" s="2" t="s">
        <v>723</v>
      </c>
      <c r="D524" s="2" t="s">
        <v>554</v>
      </c>
      <c r="E524" s="2">
        <v>1</v>
      </c>
      <c r="F524" s="1" t="str">
        <f>VLOOKUP(H524,'RM Used'!A:B,2,0)</f>
        <v>P0008</v>
      </c>
      <c r="G524" s="1" t="str">
        <f>IFERROR(VLOOKUP(F524,'RM Cost'!A:B,2,0),"")</f>
        <v>PALE BLUE BAG 470X750MM</v>
      </c>
      <c r="H524" s="2" t="s">
        <v>1323</v>
      </c>
      <c r="I524" s="1" t="str">
        <f>VLOOKUP(F524,'RM Used'!B:D,3,0)</f>
        <v>RM-PACKING</v>
      </c>
      <c r="J524" s="66">
        <v>1</v>
      </c>
      <c r="K524" s="35" t="str">
        <f t="shared" si="156"/>
        <v/>
      </c>
      <c r="L524" s="35">
        <f t="shared" si="162"/>
        <v>0</v>
      </c>
      <c r="M524" s="77" t="str" cm="1">
        <f t="array" ref="M524">_xlfn.IFS(BOM!I524="RM-PACKING","100%",B524="Reynolds",VLOOKUP(H524,'Yield &amp; Time'!A:V,22,0),BOM!B524="Dnata",VLOOKUP(BOM!H524,'Yield &amp; Time'!A:M,13,0),B524="NK",VLOOKUP(H524,'Yield &amp; Time'!A:X,24,0))</f>
        <v>100%</v>
      </c>
      <c r="N524" s="35">
        <f t="shared" si="155"/>
        <v>1</v>
      </c>
      <c r="O524" s="1" t="str">
        <f>VLOOKUP(H524,'RM Used'!A:E,5,0)</f>
        <v>Count</v>
      </c>
      <c r="P524" s="11">
        <f>VLOOKUP(H524,'RM Used'!A:F,6,0)</f>
        <v>0.14000000000000001</v>
      </c>
      <c r="Q524" s="11">
        <f t="shared" si="171"/>
        <v>0.14000000000000001</v>
      </c>
      <c r="R524" s="11">
        <f>IFERROR(IF(B524="Reynolds",VLOOKUP(H524,'Yield &amp; Time'!A:U,21,0),VLOOKUP(H524,'Yield &amp; Time'!A:L,12,0)),0)</f>
        <v>0</v>
      </c>
      <c r="S524" s="11">
        <f t="shared" si="163"/>
        <v>0</v>
      </c>
      <c r="T524" s="11">
        <f t="shared" si="164"/>
        <v>0</v>
      </c>
      <c r="U524" s="11">
        <f>IF(A523=A524,0,VLOOKUP(A524,'Packing Time'!A:F,6,0))</f>
        <v>0</v>
      </c>
      <c r="V524" s="11">
        <f t="shared" si="157"/>
        <v>0</v>
      </c>
      <c r="W524" s="11">
        <f t="shared" si="158"/>
        <v>0</v>
      </c>
      <c r="X524" s="11">
        <f t="shared" si="165"/>
        <v>0</v>
      </c>
      <c r="Y524" s="11">
        <f t="shared" si="159"/>
        <v>0</v>
      </c>
      <c r="Z524" s="37">
        <v>1</v>
      </c>
      <c r="AA524" s="36">
        <f t="shared" si="166"/>
        <v>1</v>
      </c>
      <c r="AB524" s="36">
        <f t="shared" si="167"/>
        <v>0.14000000000000001</v>
      </c>
      <c r="AC524" s="11">
        <f t="shared" si="168"/>
        <v>0</v>
      </c>
      <c r="AD524" s="36">
        <f t="shared" si="160"/>
        <v>0</v>
      </c>
      <c r="AE524" s="36"/>
      <c r="AF524" s="36">
        <f>IFERROR(VLOOKUP(AE524,'Chemical Cost'!A:D,4,0),0)</f>
        <v>0</v>
      </c>
      <c r="AG524" s="114">
        <f t="shared" si="169"/>
        <v>0</v>
      </c>
      <c r="AH524" s="36">
        <f t="shared" si="154"/>
        <v>0</v>
      </c>
      <c r="AI524" s="36">
        <f t="shared" si="161"/>
        <v>0.14000000000000001</v>
      </c>
      <c r="AJ524" s="36">
        <f>IFERROR(VLOOKUP(A524,'All Products'!A:F,6,0),0)</f>
        <v>3.06</v>
      </c>
      <c r="AK524" s="36"/>
      <c r="AL524" s="23">
        <v>1</v>
      </c>
      <c r="AM524" s="23"/>
      <c r="AN524" s="54" t="e">
        <v>#N/A</v>
      </c>
      <c r="AO524" s="47"/>
      <c r="AP524" s="4">
        <v>1.6</v>
      </c>
      <c r="AQ524" s="111">
        <f t="shared" si="170"/>
        <v>0</v>
      </c>
      <c r="AR524">
        <f>_xlfn.XLOOKUP(F524,'RM Cost'!A:A,'RM Cost'!S:S)</f>
        <v>0</v>
      </c>
      <c r="AS524" t="str">
        <f>_xlfn.XLOOKUP(A524,[3]Sheet1!$B:$B,[3]Sheet1!$B:$B)</f>
        <v>Z248CS</v>
      </c>
      <c r="AT524" t="e">
        <f>_xlfn.XLOOKUP(H524,'Yield &amp; Time'!A:A,'Yield &amp; Time'!F:F)</f>
        <v>#N/A</v>
      </c>
    </row>
    <row r="525" spans="1:46" x14ac:dyDescent="0.25">
      <c r="A525" s="2" t="s">
        <v>333</v>
      </c>
      <c r="B525" s="2" t="s">
        <v>656</v>
      </c>
      <c r="C525" s="2" t="s">
        <v>724</v>
      </c>
      <c r="D525" s="2" t="s">
        <v>554</v>
      </c>
      <c r="E525" s="2">
        <v>2.5</v>
      </c>
      <c r="F525" s="1" t="str">
        <f>VLOOKUP(H525,'RM Used'!A:B,2,0)</f>
        <v>032ACS</v>
      </c>
      <c r="G525" s="1" t="str">
        <f>IFERROR(VLOOKUP(F525,'RM Cost'!A:B,2,0),"")</f>
        <v>RM - LRG PROCESSING CARROT X 1000KG</v>
      </c>
      <c r="H525" s="2" t="s">
        <v>1493</v>
      </c>
      <c r="I525" s="1" t="str">
        <f>VLOOKUP(F525,'RM Used'!B:D,3,0)</f>
        <v>RM-FOOD</v>
      </c>
      <c r="J525" s="66">
        <v>1</v>
      </c>
      <c r="K525" s="35">
        <f t="shared" si="156"/>
        <v>2.5</v>
      </c>
      <c r="L525" s="35">
        <f t="shared" si="162"/>
        <v>2.5</v>
      </c>
      <c r="M525" s="77" cm="1">
        <f t="array" ref="M525">_xlfn.IFS(BOM!I525="RM-PACKING","100%",B525="Reynolds",VLOOKUP(H525,'Yield &amp; Time'!A:V,22,0),BOM!B525="Dnata",VLOOKUP(BOM!H525,'Yield &amp; Time'!A:M,13,0),B525="NK",VLOOKUP(H525,'Yield &amp; Time'!A:X,24,0))</f>
        <v>0.53370277950915401</v>
      </c>
      <c r="N525" s="35">
        <f t="shared" si="155"/>
        <v>4.6842551622070392</v>
      </c>
      <c r="O525" s="1" t="str">
        <f>VLOOKUP(H525,'RM Used'!A:E,5,0)</f>
        <v>KG</v>
      </c>
      <c r="P525" s="11">
        <f>VLOOKUP(H525,'RM Used'!A:F,6,0)</f>
        <v>0.38</v>
      </c>
      <c r="Q525" s="11">
        <f t="shared" si="171"/>
        <v>1.780016961638675</v>
      </c>
      <c r="R525" s="11">
        <f>IFERROR(IF(B525="Reynolds",VLOOKUP(H525,'Yield &amp; Time'!A:U,21,0),VLOOKUP(H525,'Yield &amp; Time'!A:L,12,0)),0)</f>
        <v>1.8318755501749584</v>
      </c>
      <c r="S525" s="11">
        <f t="shared" si="163"/>
        <v>1.5502246843355585</v>
      </c>
      <c r="T525" s="11">
        <f t="shared" si="164"/>
        <v>7.6328147923956605E-2</v>
      </c>
      <c r="U525" s="11">
        <f>IF(A524=A525,0,VLOOKUP(A525,'Packing Time'!A:F,6,0))</f>
        <v>0.875</v>
      </c>
      <c r="V525" s="11">
        <f t="shared" si="157"/>
        <v>0.29618749999999999</v>
      </c>
      <c r="W525" s="11">
        <f t="shared" si="158"/>
        <v>1.4583333333333334E-2</v>
      </c>
      <c r="X525" s="11">
        <f t="shared" si="165"/>
        <v>2.0310534027691145</v>
      </c>
      <c r="Y525" s="11">
        <f t="shared" si="159"/>
        <v>2.0310534027691145</v>
      </c>
      <c r="Z525" s="37">
        <v>1</v>
      </c>
      <c r="AA525" s="36">
        <f t="shared" si="166"/>
        <v>4.6842551622070392</v>
      </c>
      <c r="AB525" s="36">
        <f t="shared" si="167"/>
        <v>1.780016961638675</v>
      </c>
      <c r="AC525" s="11">
        <f t="shared" si="168"/>
        <v>0.10000262938301895</v>
      </c>
      <c r="AD525" s="36">
        <f t="shared" si="160"/>
        <v>2.0310534027691145</v>
      </c>
      <c r="AE525" s="36"/>
      <c r="AF525" s="36">
        <f>IFERROR(VLOOKUP(AE525,'Chemical Cost'!A:D,4,0),0)</f>
        <v>0</v>
      </c>
      <c r="AG525" s="114">
        <f t="shared" si="169"/>
        <v>0</v>
      </c>
      <c r="AH525" s="36">
        <f t="shared" si="154"/>
        <v>0</v>
      </c>
      <c r="AI525" s="36">
        <f t="shared" si="161"/>
        <v>3.8110703644077892</v>
      </c>
      <c r="AJ525" s="36">
        <f>IFERROR(VLOOKUP(A525,'All Products'!A:F,6,0),0)</f>
        <v>7.65</v>
      </c>
      <c r="AK525" s="36">
        <f>AJ525*Z525*J525</f>
        <v>7.65</v>
      </c>
      <c r="AL525" s="23">
        <v>1</v>
      </c>
      <c r="AM525" s="23"/>
      <c r="AN525" s="54" t="e">
        <v>#N/A</v>
      </c>
      <c r="AO525" s="47"/>
      <c r="AP525" s="4">
        <v>1.1000000000000001</v>
      </c>
      <c r="AQ525" s="111">
        <f t="shared" si="170"/>
        <v>0.10000262938301895</v>
      </c>
      <c r="AR525">
        <f>_xlfn.XLOOKUP(F525,'RM Cost'!A:A,'RM Cost'!S:S)</f>
        <v>0</v>
      </c>
      <c r="AS525" t="str">
        <f>_xlfn.XLOOKUP(A525,[3]Sheet1!$B:$B,[3]Sheet1!$B:$B)</f>
        <v>Z247CS</v>
      </c>
      <c r="AT525">
        <f>_xlfn.XLOOKUP(H525,'Yield &amp; Time'!A:A,'Yield &amp; Time'!F:F)</f>
        <v>0</v>
      </c>
    </row>
    <row r="526" spans="1:46" x14ac:dyDescent="0.25">
      <c r="A526" s="2" t="s">
        <v>333</v>
      </c>
      <c r="B526" s="2" t="s">
        <v>656</v>
      </c>
      <c r="C526" s="2" t="s">
        <v>724</v>
      </c>
      <c r="D526" s="2" t="s">
        <v>554</v>
      </c>
      <c r="E526" s="2">
        <v>2.5</v>
      </c>
      <c r="F526" s="1" t="str">
        <f>VLOOKUP(H526,'RM Used'!A:B,2,0)</f>
        <v>P0008</v>
      </c>
      <c r="G526" s="1" t="str">
        <f>IFERROR(VLOOKUP(F526,'RM Cost'!A:B,2,0),"")</f>
        <v>PALE BLUE BAG 470X750MM</v>
      </c>
      <c r="H526" s="2" t="s">
        <v>1323</v>
      </c>
      <c r="I526" s="1" t="str">
        <f>VLOOKUP(F526,'RM Used'!B:D,3,0)</f>
        <v>RM-PACKING</v>
      </c>
      <c r="J526" s="66">
        <v>1</v>
      </c>
      <c r="K526" s="35" t="str">
        <f t="shared" si="156"/>
        <v/>
      </c>
      <c r="L526" s="35">
        <f t="shared" si="162"/>
        <v>0</v>
      </c>
      <c r="M526" s="77" t="str" cm="1">
        <f t="array" ref="M526">_xlfn.IFS(BOM!I526="RM-PACKING","100%",B526="Reynolds",VLOOKUP(H526,'Yield &amp; Time'!A:V,22,0),BOM!B526="Dnata",VLOOKUP(BOM!H526,'Yield &amp; Time'!A:M,13,0),B526="NK",VLOOKUP(H526,'Yield &amp; Time'!A:X,24,0))</f>
        <v>100%</v>
      </c>
      <c r="N526" s="35">
        <f t="shared" si="155"/>
        <v>1</v>
      </c>
      <c r="O526" s="1" t="str">
        <f>VLOOKUP(H526,'RM Used'!A:E,5,0)</f>
        <v>Count</v>
      </c>
      <c r="P526" s="11">
        <f>VLOOKUP(H526,'RM Used'!A:F,6,0)</f>
        <v>0.14000000000000001</v>
      </c>
      <c r="Q526" s="11">
        <f t="shared" si="171"/>
        <v>0.14000000000000001</v>
      </c>
      <c r="R526" s="11">
        <f>IFERROR(IF(B526="Reynolds",VLOOKUP(H526,'Yield &amp; Time'!A:U,21,0),VLOOKUP(H526,'Yield &amp; Time'!A:L,12,0)),0)</f>
        <v>0</v>
      </c>
      <c r="S526" s="11">
        <f t="shared" si="163"/>
        <v>0</v>
      </c>
      <c r="T526" s="11">
        <f t="shared" si="164"/>
        <v>0</v>
      </c>
      <c r="U526" s="11">
        <f>IF(A525=A526,0,VLOOKUP(A526,'Packing Time'!A:F,6,0))</f>
        <v>0</v>
      </c>
      <c r="V526" s="11">
        <f t="shared" si="157"/>
        <v>0</v>
      </c>
      <c r="W526" s="11">
        <f t="shared" si="158"/>
        <v>0</v>
      </c>
      <c r="X526" s="11">
        <f t="shared" si="165"/>
        <v>0</v>
      </c>
      <c r="Y526" s="11">
        <f t="shared" si="159"/>
        <v>0</v>
      </c>
      <c r="Z526" s="37">
        <v>1</v>
      </c>
      <c r="AA526" s="36">
        <f t="shared" si="166"/>
        <v>1</v>
      </c>
      <c r="AB526" s="36">
        <f t="shared" si="167"/>
        <v>0.14000000000000001</v>
      </c>
      <c r="AC526" s="11">
        <f t="shared" si="168"/>
        <v>0</v>
      </c>
      <c r="AD526" s="36">
        <f t="shared" si="160"/>
        <v>0</v>
      </c>
      <c r="AE526" s="36"/>
      <c r="AF526" s="36">
        <f>IFERROR(VLOOKUP(AE526,'Chemical Cost'!A:D,4,0),0)</f>
        <v>0</v>
      </c>
      <c r="AG526" s="114">
        <f t="shared" si="169"/>
        <v>0</v>
      </c>
      <c r="AH526" s="36">
        <f t="shared" si="154"/>
        <v>0</v>
      </c>
      <c r="AI526" s="36">
        <f t="shared" si="161"/>
        <v>0.14000000000000001</v>
      </c>
      <c r="AJ526" s="36">
        <f>IFERROR(VLOOKUP(A526,'All Products'!A:F,6,0),0)</f>
        <v>7.65</v>
      </c>
      <c r="AK526" s="36"/>
      <c r="AL526" s="23">
        <v>1</v>
      </c>
      <c r="AM526" s="23"/>
      <c r="AN526" s="54" t="e">
        <v>#N/A</v>
      </c>
      <c r="AO526" s="47"/>
      <c r="AP526" s="4">
        <v>1.1000000000000001</v>
      </c>
      <c r="AQ526" s="111">
        <f t="shared" si="170"/>
        <v>0</v>
      </c>
      <c r="AR526">
        <f>_xlfn.XLOOKUP(F526,'RM Cost'!A:A,'RM Cost'!S:S)</f>
        <v>0</v>
      </c>
      <c r="AS526" t="str">
        <f>_xlfn.XLOOKUP(A526,[3]Sheet1!$B:$B,[3]Sheet1!$B:$B)</f>
        <v>Z247CS</v>
      </c>
      <c r="AT526" t="e">
        <f>_xlfn.XLOOKUP(H526,'Yield &amp; Time'!A:A,'Yield &amp; Time'!F:F)</f>
        <v>#N/A</v>
      </c>
    </row>
    <row r="527" spans="1:46" x14ac:dyDescent="0.25">
      <c r="A527" s="2" t="s">
        <v>725</v>
      </c>
      <c r="B527" s="2" t="s">
        <v>656</v>
      </c>
      <c r="C527" s="2" t="s">
        <v>726</v>
      </c>
      <c r="D527" s="2" t="s">
        <v>554</v>
      </c>
      <c r="E527" s="2">
        <v>1</v>
      </c>
      <c r="F527" s="1" t="str">
        <f>VLOOKUP(H527,'RM Used'!A:B,2,0)</f>
        <v>032ACS</v>
      </c>
      <c r="G527" s="1" t="str">
        <f>IFERROR(VLOOKUP(F527,'RM Cost'!A:B,2,0),"")</f>
        <v>RM - LRG PROCESSING CARROT X 1000KG</v>
      </c>
      <c r="H527" s="2" t="s">
        <v>1494</v>
      </c>
      <c r="I527" s="1" t="str">
        <f>VLOOKUP(F527,'RM Used'!B:D,3,0)</f>
        <v>RM-FOOD</v>
      </c>
      <c r="J527" s="66">
        <v>1</v>
      </c>
      <c r="K527" s="35">
        <f t="shared" si="156"/>
        <v>1</v>
      </c>
      <c r="L527" s="35">
        <f t="shared" si="162"/>
        <v>1</v>
      </c>
      <c r="M527" s="77" cm="1">
        <f t="array" ref="M527">_xlfn.IFS(BOM!I527="RM-PACKING","100%",B527="Reynolds",VLOOKUP(H527,'Yield &amp; Time'!A:V,22,0),BOM!B527="Dnata",VLOOKUP(BOM!H527,'Yield &amp; Time'!A:M,13,0),B527="NK",VLOOKUP(H527,'Yield &amp; Time'!A:X,24,0))</f>
        <v>0.73317345127230837</v>
      </c>
      <c r="N527" s="35">
        <f t="shared" si="155"/>
        <v>1.3639337298215799</v>
      </c>
      <c r="O527" s="1" t="str">
        <f>VLOOKUP(H527,'RM Used'!A:E,5,0)</f>
        <v>KG</v>
      </c>
      <c r="P527" s="11">
        <f>VLOOKUP(H527,'RM Used'!A:F,6,0)</f>
        <v>0.38</v>
      </c>
      <c r="Q527" s="11">
        <f t="shared" si="171"/>
        <v>0.5182948173322004</v>
      </c>
      <c r="R527" s="11">
        <f>IFERROR(IF(B527="Reynolds",VLOOKUP(H527,'Yield &amp; Time'!A:U,21,0),VLOOKUP(H527,'Yield &amp; Time'!A:L,12,0)),0)</f>
        <v>1.2480576795997356</v>
      </c>
      <c r="S527" s="11">
        <f t="shared" si="163"/>
        <v>0.42246752454451048</v>
      </c>
      <c r="T527" s="11">
        <f t="shared" si="164"/>
        <v>2.0800961326662259E-2</v>
      </c>
      <c r="U527" s="11">
        <f>IF(A526=A527,0,VLOOKUP(A527,'Packing Time'!A:F,6,0))</f>
        <v>0.64166666666666661</v>
      </c>
      <c r="V527" s="11">
        <f t="shared" si="157"/>
        <v>0.21720416666666661</v>
      </c>
      <c r="W527" s="11">
        <f t="shared" si="158"/>
        <v>1.0694444444444444E-2</v>
      </c>
      <c r="X527" s="11">
        <f t="shared" si="165"/>
        <v>1.0234747059378833</v>
      </c>
      <c r="Y527" s="11">
        <f t="shared" si="159"/>
        <v>1.0234747059378833</v>
      </c>
      <c r="Z527" s="37">
        <v>1</v>
      </c>
      <c r="AA527" s="36">
        <f t="shared" si="166"/>
        <v>1.3639337298215799</v>
      </c>
      <c r="AB527" s="36">
        <f t="shared" si="167"/>
        <v>0.5182948173322004</v>
      </c>
      <c r="AC527" s="11">
        <f t="shared" si="168"/>
        <v>5.039264923377073E-2</v>
      </c>
      <c r="AD527" s="36">
        <f t="shared" si="160"/>
        <v>1.0234747059378835</v>
      </c>
      <c r="AE527" s="36" t="str">
        <f>VLOOKUP(H527,'Yield &amp; Time'!A:I,9,0)</f>
        <v>CHLORINE</v>
      </c>
      <c r="AF527" s="36">
        <f>IFERROR(VLOOKUP(AE527,'Chemical Cost'!A:D,4,0),0)</f>
        <v>2.7756518066439469E-2</v>
      </c>
      <c r="AG527" s="114">
        <f t="shared" si="169"/>
        <v>1.2619350404406286E-2</v>
      </c>
      <c r="AH527" s="36">
        <f t="shared" si="154"/>
        <v>1.2619350404406286E-2</v>
      </c>
      <c r="AI527" s="36">
        <f t="shared" si="161"/>
        <v>1.55438887367449</v>
      </c>
      <c r="AJ527" s="36">
        <f>IFERROR(VLOOKUP(A527,'All Products'!A:F,6,0),0)</f>
        <v>1.72</v>
      </c>
      <c r="AK527" s="36">
        <f>AJ527*Z527*J527</f>
        <v>1.72</v>
      </c>
      <c r="AL527" s="23">
        <v>1</v>
      </c>
      <c r="AM527" s="23"/>
      <c r="AN527" s="54" t="e">
        <v>#N/A</v>
      </c>
      <c r="AO527" s="47"/>
      <c r="AP527" s="4">
        <v>1.6</v>
      </c>
      <c r="AQ527" s="111">
        <f t="shared" si="170"/>
        <v>5.039264923377073E-2</v>
      </c>
      <c r="AR527">
        <f>_xlfn.XLOOKUP(F527,'RM Cost'!A:A,'RM Cost'!S:S)</f>
        <v>0</v>
      </c>
      <c r="AS527" t="e">
        <f>_xlfn.XLOOKUP(A527,[3]Sheet1!$B:$B,[3]Sheet1!$B:$B)</f>
        <v>#N/A</v>
      </c>
    </row>
    <row r="528" spans="1:46" x14ac:dyDescent="0.25">
      <c r="A528" s="2" t="s">
        <v>725</v>
      </c>
      <c r="B528" s="2" t="s">
        <v>656</v>
      </c>
      <c r="C528" s="2" t="s">
        <v>726</v>
      </c>
      <c r="D528" s="2" t="s">
        <v>554</v>
      </c>
      <c r="E528" s="2">
        <v>1</v>
      </c>
      <c r="F528" s="1" t="str">
        <f>VLOOKUP(H528,'RM Used'!A:B,2,0)</f>
        <v>P0008</v>
      </c>
      <c r="G528" s="1" t="str">
        <f>IFERROR(VLOOKUP(F528,'RM Cost'!A:B,2,0),"")</f>
        <v>PALE BLUE BAG 470X750MM</v>
      </c>
      <c r="H528" s="2" t="s">
        <v>1323</v>
      </c>
      <c r="I528" s="1" t="str">
        <f>VLOOKUP(F528,'RM Used'!B:D,3,0)</f>
        <v>RM-PACKING</v>
      </c>
      <c r="J528" s="66">
        <v>1</v>
      </c>
      <c r="K528" s="35" t="str">
        <f t="shared" si="156"/>
        <v/>
      </c>
      <c r="L528" s="35">
        <f t="shared" si="162"/>
        <v>0</v>
      </c>
      <c r="M528" s="77" t="str" cm="1">
        <f t="array" ref="M528">_xlfn.IFS(BOM!I528="RM-PACKING","100%",B528="Reynolds",VLOOKUP(H528,'Yield &amp; Time'!A:V,22,0),BOM!B528="Dnata",VLOOKUP(BOM!H528,'Yield &amp; Time'!A:M,13,0),B528="NK",VLOOKUP(H528,'Yield &amp; Time'!A:X,24,0))</f>
        <v>100%</v>
      </c>
      <c r="N528" s="35">
        <f t="shared" si="155"/>
        <v>1</v>
      </c>
      <c r="O528" s="1" t="str">
        <f>VLOOKUP(H528,'RM Used'!A:E,5,0)</f>
        <v>Count</v>
      </c>
      <c r="P528" s="11">
        <f>VLOOKUP(H528,'RM Used'!A:F,6,0)</f>
        <v>0.14000000000000001</v>
      </c>
      <c r="Q528" s="11">
        <f t="shared" si="171"/>
        <v>0.14000000000000001</v>
      </c>
      <c r="R528" s="11">
        <f>IFERROR(IF(B528="Reynolds",VLOOKUP(H528,'Yield &amp; Time'!A:U,21,0),VLOOKUP(H528,'Yield &amp; Time'!A:L,12,0)),0)</f>
        <v>0</v>
      </c>
      <c r="S528" s="11">
        <f t="shared" si="163"/>
        <v>0</v>
      </c>
      <c r="T528" s="11">
        <f t="shared" si="164"/>
        <v>0</v>
      </c>
      <c r="U528" s="11">
        <f>IF(A527=A528,0,VLOOKUP(A528,'Packing Time'!A:F,6,0))</f>
        <v>0</v>
      </c>
      <c r="V528" s="11">
        <f t="shared" si="157"/>
        <v>0</v>
      </c>
      <c r="W528" s="11">
        <f t="shared" si="158"/>
        <v>0</v>
      </c>
      <c r="X528" s="11">
        <f t="shared" si="165"/>
        <v>0</v>
      </c>
      <c r="Y528" s="11">
        <f t="shared" si="159"/>
        <v>0</v>
      </c>
      <c r="Z528" s="37">
        <v>1</v>
      </c>
      <c r="AA528" s="36">
        <f t="shared" si="166"/>
        <v>1</v>
      </c>
      <c r="AB528" s="36">
        <f t="shared" si="167"/>
        <v>0.14000000000000001</v>
      </c>
      <c r="AC528" s="11">
        <f t="shared" si="168"/>
        <v>0</v>
      </c>
      <c r="AD528" s="36">
        <f t="shared" si="160"/>
        <v>0</v>
      </c>
      <c r="AE528" s="36"/>
      <c r="AF528" s="36">
        <f>IFERROR(VLOOKUP(AE528,'Chemical Cost'!A:D,4,0),0)</f>
        <v>0</v>
      </c>
      <c r="AG528" s="114">
        <f t="shared" si="169"/>
        <v>0</v>
      </c>
      <c r="AH528" s="36">
        <f t="shared" si="154"/>
        <v>0</v>
      </c>
      <c r="AI528" s="36">
        <f t="shared" si="161"/>
        <v>0.14000000000000001</v>
      </c>
      <c r="AJ528" s="36">
        <f>IFERROR(VLOOKUP(A528,'All Products'!A:F,6,0),0)</f>
        <v>1.72</v>
      </c>
      <c r="AK528" s="36"/>
      <c r="AL528" s="23">
        <v>1</v>
      </c>
      <c r="AM528" s="23"/>
      <c r="AN528" s="54" t="e">
        <v>#N/A</v>
      </c>
      <c r="AO528" s="47"/>
      <c r="AP528" s="4">
        <v>1.6</v>
      </c>
      <c r="AQ528" s="111">
        <f t="shared" si="170"/>
        <v>0</v>
      </c>
      <c r="AR528">
        <f>_xlfn.XLOOKUP(F528,'RM Cost'!A:A,'RM Cost'!S:S)</f>
        <v>0</v>
      </c>
      <c r="AS528" t="e">
        <f>_xlfn.XLOOKUP(A528,[3]Sheet1!$B:$B,[3]Sheet1!$B:$B)</f>
        <v>#N/A</v>
      </c>
    </row>
    <row r="529" spans="1:46" x14ac:dyDescent="0.25">
      <c r="A529" s="2" t="s">
        <v>727</v>
      </c>
      <c r="B529" s="2" t="s">
        <v>656</v>
      </c>
      <c r="C529" s="2" t="s">
        <v>728</v>
      </c>
      <c r="D529" s="2" t="s">
        <v>554</v>
      </c>
      <c r="E529" s="2">
        <v>2.5</v>
      </c>
      <c r="F529" s="1" t="str">
        <f>VLOOKUP(H529,'RM Used'!A:B,2,0)</f>
        <v>032ACS</v>
      </c>
      <c r="G529" s="1" t="str">
        <f>IFERROR(VLOOKUP(F529,'RM Cost'!A:B,2,0),"")</f>
        <v>RM - LRG PROCESSING CARROT X 1000KG</v>
      </c>
      <c r="H529" s="2" t="s">
        <v>1494</v>
      </c>
      <c r="I529" s="1" t="str">
        <f>VLOOKUP(F529,'RM Used'!B:D,3,0)</f>
        <v>RM-FOOD</v>
      </c>
      <c r="J529" s="66">
        <v>1</v>
      </c>
      <c r="K529" s="35">
        <f t="shared" si="156"/>
        <v>2.5</v>
      </c>
      <c r="L529" s="35">
        <f t="shared" si="162"/>
        <v>2.5</v>
      </c>
      <c r="M529" s="77" cm="1">
        <f t="array" ref="M529">_xlfn.IFS(BOM!I529="RM-PACKING","100%",B529="Reynolds",VLOOKUP(H529,'Yield &amp; Time'!A:V,22,0),BOM!B529="Dnata",VLOOKUP(BOM!H529,'Yield &amp; Time'!A:M,13,0),B529="NK",VLOOKUP(H529,'Yield &amp; Time'!A:X,24,0))</f>
        <v>0.73317345127230837</v>
      </c>
      <c r="N529" s="35">
        <f t="shared" si="155"/>
        <v>3.40983432455395</v>
      </c>
      <c r="O529" s="1" t="str">
        <f>VLOOKUP(H529,'RM Used'!A:E,5,0)</f>
        <v>KG</v>
      </c>
      <c r="P529" s="11">
        <f>VLOOKUP(H529,'RM Used'!A:F,6,0)</f>
        <v>0.38</v>
      </c>
      <c r="Q529" s="11">
        <f t="shared" si="171"/>
        <v>1.2957370433305011</v>
      </c>
      <c r="R529" s="11">
        <f>IFERROR(IF(B529="Reynolds",VLOOKUP(H529,'Yield &amp; Time'!A:U,21,0),VLOOKUP(H529,'Yield &amp; Time'!A:L,12,0)),0)</f>
        <v>1.2480576795997356</v>
      </c>
      <c r="S529" s="11">
        <f t="shared" si="163"/>
        <v>1.0561688113612762</v>
      </c>
      <c r="T529" s="11">
        <f t="shared" si="164"/>
        <v>5.2002403316655649E-2</v>
      </c>
      <c r="U529" s="11">
        <f>IF(A528=A529,0,VLOOKUP(A529,'Packing Time'!A:F,6,0))</f>
        <v>0.875</v>
      </c>
      <c r="V529" s="11">
        <f t="shared" si="157"/>
        <v>0.29618749999999999</v>
      </c>
      <c r="W529" s="11">
        <f t="shared" si="158"/>
        <v>1.4583333333333334E-2</v>
      </c>
      <c r="X529" s="11">
        <f t="shared" si="165"/>
        <v>2.1637700981780421</v>
      </c>
      <c r="Y529" s="11">
        <f t="shared" si="159"/>
        <v>2.1637700981780421</v>
      </c>
      <c r="Z529" s="37">
        <v>1</v>
      </c>
      <c r="AA529" s="36">
        <f t="shared" si="166"/>
        <v>3.40983432455395</v>
      </c>
      <c r="AB529" s="36">
        <f t="shared" si="167"/>
        <v>1.2957370433305011</v>
      </c>
      <c r="AC529" s="11">
        <f t="shared" si="168"/>
        <v>0.10653717863998238</v>
      </c>
      <c r="AD529" s="36">
        <f t="shared" si="160"/>
        <v>2.1637700981780417</v>
      </c>
      <c r="AE529" s="36" t="str">
        <f>VLOOKUP(H529,'Yield &amp; Time'!A:I,9,0)</f>
        <v>CHLORINE</v>
      </c>
      <c r="AF529" s="36">
        <f>IFERROR(VLOOKUP(AE529,'Chemical Cost'!A:D,4,0),0)</f>
        <v>2.7756518066439469E-2</v>
      </c>
      <c r="AG529" s="114">
        <f t="shared" si="169"/>
        <v>3.1548376011015712E-2</v>
      </c>
      <c r="AH529" s="36">
        <f t="shared" si="154"/>
        <v>3.1548376011015712E-2</v>
      </c>
      <c r="AI529" s="36">
        <f t="shared" si="161"/>
        <v>3.4910555175195586</v>
      </c>
      <c r="AJ529" s="36">
        <f>IFERROR(VLOOKUP(A529,'All Products'!A:F,6,0),0)</f>
        <v>4.28</v>
      </c>
      <c r="AK529" s="36">
        <f>AJ529*Z529*J529</f>
        <v>4.28</v>
      </c>
      <c r="AL529" s="23">
        <v>1</v>
      </c>
      <c r="AM529" s="23"/>
      <c r="AN529" s="54" t="e">
        <v>#N/A</v>
      </c>
      <c r="AO529" s="47"/>
      <c r="AP529" s="4">
        <v>1.6</v>
      </c>
      <c r="AQ529" s="111">
        <f t="shared" si="170"/>
        <v>0.10653717863998238</v>
      </c>
      <c r="AR529">
        <f>_xlfn.XLOOKUP(F529,'RM Cost'!A:A,'RM Cost'!S:S)</f>
        <v>0</v>
      </c>
      <c r="AS529" t="e">
        <f>_xlfn.XLOOKUP(A529,[3]Sheet1!$B:$B,[3]Sheet1!$B:$B)</f>
        <v>#N/A</v>
      </c>
    </row>
    <row r="530" spans="1:46" x14ac:dyDescent="0.25">
      <c r="A530" s="2" t="s">
        <v>727</v>
      </c>
      <c r="B530" s="2" t="s">
        <v>656</v>
      </c>
      <c r="C530" s="2" t="s">
        <v>728</v>
      </c>
      <c r="D530" s="2" t="s">
        <v>554</v>
      </c>
      <c r="E530" s="2">
        <v>2.5</v>
      </c>
      <c r="F530" s="1" t="str">
        <f>VLOOKUP(H530,'RM Used'!A:B,2,0)</f>
        <v>P0008</v>
      </c>
      <c r="G530" s="1" t="str">
        <f>IFERROR(VLOOKUP(F530,'RM Cost'!A:B,2,0),"")</f>
        <v>PALE BLUE BAG 470X750MM</v>
      </c>
      <c r="H530" s="2" t="s">
        <v>1323</v>
      </c>
      <c r="I530" s="1" t="str">
        <f>VLOOKUP(F530,'RM Used'!B:D,3,0)</f>
        <v>RM-PACKING</v>
      </c>
      <c r="J530" s="66">
        <v>1</v>
      </c>
      <c r="K530" s="35" t="str">
        <f t="shared" si="156"/>
        <v/>
      </c>
      <c r="L530" s="35">
        <f t="shared" si="162"/>
        <v>0</v>
      </c>
      <c r="M530" s="77" t="str" cm="1">
        <f t="array" ref="M530">_xlfn.IFS(BOM!I530="RM-PACKING","100%",B530="Reynolds",VLOOKUP(H530,'Yield &amp; Time'!A:V,22,0),BOM!B530="Dnata",VLOOKUP(BOM!H530,'Yield &amp; Time'!A:M,13,0),B530="NK",VLOOKUP(H530,'Yield &amp; Time'!A:X,24,0))</f>
        <v>100%</v>
      </c>
      <c r="N530" s="35">
        <f t="shared" si="155"/>
        <v>1</v>
      </c>
      <c r="O530" s="1" t="str">
        <f>VLOOKUP(H530,'RM Used'!A:E,5,0)</f>
        <v>Count</v>
      </c>
      <c r="P530" s="11">
        <f>VLOOKUP(H530,'RM Used'!A:F,6,0)</f>
        <v>0.14000000000000001</v>
      </c>
      <c r="Q530" s="11">
        <f t="shared" si="171"/>
        <v>0.14000000000000001</v>
      </c>
      <c r="R530" s="11">
        <f>IFERROR(IF(B530="Reynolds",VLOOKUP(H530,'Yield &amp; Time'!A:U,21,0),VLOOKUP(H530,'Yield &amp; Time'!A:L,12,0)),0)</f>
        <v>0</v>
      </c>
      <c r="S530" s="11">
        <f t="shared" si="163"/>
        <v>0</v>
      </c>
      <c r="T530" s="11">
        <f t="shared" si="164"/>
        <v>0</v>
      </c>
      <c r="U530" s="11">
        <f>IF(A529=A530,0,VLOOKUP(A530,'Packing Time'!A:F,6,0))</f>
        <v>0</v>
      </c>
      <c r="V530" s="11">
        <f t="shared" si="157"/>
        <v>0</v>
      </c>
      <c r="W530" s="11">
        <f t="shared" si="158"/>
        <v>0</v>
      </c>
      <c r="X530" s="11">
        <f t="shared" si="165"/>
        <v>0</v>
      </c>
      <c r="Y530" s="11">
        <f t="shared" si="159"/>
        <v>0</v>
      </c>
      <c r="Z530" s="37">
        <v>1</v>
      </c>
      <c r="AA530" s="36">
        <f t="shared" si="166"/>
        <v>1</v>
      </c>
      <c r="AB530" s="36">
        <f t="shared" si="167"/>
        <v>0.14000000000000001</v>
      </c>
      <c r="AC530" s="11">
        <f t="shared" si="168"/>
        <v>0</v>
      </c>
      <c r="AD530" s="36">
        <f t="shared" si="160"/>
        <v>0</v>
      </c>
      <c r="AE530" s="36"/>
      <c r="AF530" s="36">
        <f>IFERROR(VLOOKUP(AE530,'Chemical Cost'!A:D,4,0),0)</f>
        <v>0</v>
      </c>
      <c r="AG530" s="114">
        <f t="shared" si="169"/>
        <v>0</v>
      </c>
      <c r="AH530" s="36">
        <f t="shared" si="154"/>
        <v>0</v>
      </c>
      <c r="AI530" s="36">
        <f t="shared" si="161"/>
        <v>0.14000000000000001</v>
      </c>
      <c r="AJ530" s="36">
        <f>IFERROR(VLOOKUP(A530,'All Products'!A:F,6,0),0)</f>
        <v>4.28</v>
      </c>
      <c r="AK530" s="36"/>
      <c r="AL530" s="23">
        <v>1</v>
      </c>
      <c r="AM530" s="23"/>
      <c r="AN530" s="54" t="e">
        <v>#N/A</v>
      </c>
      <c r="AO530" s="47"/>
      <c r="AP530" s="4">
        <v>1.6</v>
      </c>
      <c r="AQ530" s="111">
        <f t="shared" si="170"/>
        <v>0</v>
      </c>
      <c r="AR530">
        <f>_xlfn.XLOOKUP(F530,'RM Cost'!A:A,'RM Cost'!S:S)</f>
        <v>0</v>
      </c>
      <c r="AS530" t="e">
        <f>_xlfn.XLOOKUP(A530,[3]Sheet1!$B:$B,[3]Sheet1!$B:$B)</f>
        <v>#N/A</v>
      </c>
    </row>
    <row r="531" spans="1:46" x14ac:dyDescent="0.25">
      <c r="A531" s="2" t="s">
        <v>327</v>
      </c>
      <c r="B531" s="2" t="s">
        <v>656</v>
      </c>
      <c r="C531" s="2" t="s">
        <v>328</v>
      </c>
      <c r="D531" s="2" t="s">
        <v>554</v>
      </c>
      <c r="E531" s="2">
        <v>1</v>
      </c>
      <c r="F531" s="1" t="str">
        <f>VLOOKUP(H531,'RM Used'!A:B,2,0)</f>
        <v>032ACS</v>
      </c>
      <c r="G531" s="1" t="str">
        <f>IFERROR(VLOOKUP(F531,'RM Cost'!A:B,2,0),"")</f>
        <v>RM - LRG PROCESSING CARROT X 1000KG</v>
      </c>
      <c r="H531" s="2" t="s">
        <v>1494</v>
      </c>
      <c r="I531" s="1" t="str">
        <f>VLOOKUP(F531,'RM Used'!B:D,3,0)</f>
        <v>RM-FOOD</v>
      </c>
      <c r="J531" s="66">
        <v>1</v>
      </c>
      <c r="K531" s="35">
        <f t="shared" si="156"/>
        <v>1</v>
      </c>
      <c r="L531" s="35">
        <f t="shared" si="162"/>
        <v>1</v>
      </c>
      <c r="M531" s="77" cm="1">
        <f t="array" ref="M531">_xlfn.IFS(BOM!I531="RM-PACKING","100%",B531="Reynolds",VLOOKUP(H531,'Yield &amp; Time'!A:V,22,0),BOM!B531="Dnata",VLOOKUP(BOM!H531,'Yield &amp; Time'!A:M,13,0),B531="NK",VLOOKUP(H531,'Yield &amp; Time'!A:X,24,0))</f>
        <v>0.73317345127230837</v>
      </c>
      <c r="N531" s="35">
        <f t="shared" si="155"/>
        <v>1.3639337298215799</v>
      </c>
      <c r="O531" s="1" t="str">
        <f>VLOOKUP(H531,'RM Used'!A:E,5,0)</f>
        <v>KG</v>
      </c>
      <c r="P531" s="11">
        <f>VLOOKUP(H531,'RM Used'!A:F,6,0)</f>
        <v>0.38</v>
      </c>
      <c r="Q531" s="11">
        <f t="shared" si="171"/>
        <v>0.5182948173322004</v>
      </c>
      <c r="R531" s="11">
        <f>IFERROR(IF(B531="Reynolds",VLOOKUP(H531,'Yield &amp; Time'!A:U,21,0),VLOOKUP(H531,'Yield &amp; Time'!A:L,12,0)),0)</f>
        <v>1.2480576795997356</v>
      </c>
      <c r="S531" s="11">
        <f t="shared" si="163"/>
        <v>0.42246752454451048</v>
      </c>
      <c r="T531" s="11">
        <f t="shared" si="164"/>
        <v>2.0800961326662259E-2</v>
      </c>
      <c r="U531" s="11">
        <f>IF(A530=A531,0,VLOOKUP(A531,'Packing Time'!A:F,6,0))</f>
        <v>0.64166666666666661</v>
      </c>
      <c r="V531" s="11">
        <f t="shared" si="157"/>
        <v>0.21720416666666661</v>
      </c>
      <c r="W531" s="11">
        <f t="shared" si="158"/>
        <v>1.0694444444444444E-2</v>
      </c>
      <c r="X531" s="11">
        <f t="shared" si="165"/>
        <v>0.89554036769564782</v>
      </c>
      <c r="Y531" s="11">
        <f t="shared" si="159"/>
        <v>0.89554036769564782</v>
      </c>
      <c r="Z531" s="37">
        <v>1</v>
      </c>
      <c r="AA531" s="36">
        <f t="shared" si="166"/>
        <v>1.3639337298215799</v>
      </c>
      <c r="AB531" s="36">
        <f t="shared" si="167"/>
        <v>0.5182948173322004</v>
      </c>
      <c r="AC531" s="11">
        <f t="shared" si="168"/>
        <v>4.4093568079549381E-2</v>
      </c>
      <c r="AD531" s="36">
        <f t="shared" si="160"/>
        <v>0.89554036769564793</v>
      </c>
      <c r="AE531" s="36" t="str">
        <f>VLOOKUP(H531,'Yield &amp; Time'!A:I,9,0)</f>
        <v>CHLORINE</v>
      </c>
      <c r="AF531" s="36">
        <f>IFERROR(VLOOKUP(AE531,'Chemical Cost'!A:D,4,0),0)</f>
        <v>2.7756518066439469E-2</v>
      </c>
      <c r="AG531" s="114">
        <f t="shared" si="169"/>
        <v>1.2619350404406286E-2</v>
      </c>
      <c r="AH531" s="36">
        <f t="shared" si="154"/>
        <v>1.2619350404406286E-2</v>
      </c>
      <c r="AI531" s="36">
        <f t="shared" si="161"/>
        <v>1.4264545354322546</v>
      </c>
      <c r="AJ531" s="36">
        <f>IFERROR(VLOOKUP(A531,'All Products'!A:F,6,0),0)</f>
        <v>1.47</v>
      </c>
      <c r="AK531" s="36">
        <f>AJ531*Z531*J531</f>
        <v>1.47</v>
      </c>
      <c r="AL531" s="23">
        <v>1</v>
      </c>
      <c r="AM531" s="23"/>
      <c r="AN531" s="54" t="e">
        <v>#N/A</v>
      </c>
      <c r="AO531" s="47"/>
      <c r="AP531" s="4">
        <v>1.4</v>
      </c>
      <c r="AQ531" s="111">
        <f t="shared" si="170"/>
        <v>4.4093568079549381E-2</v>
      </c>
      <c r="AR531">
        <f>_xlfn.XLOOKUP(F531,'RM Cost'!A:A,'RM Cost'!S:S)</f>
        <v>0</v>
      </c>
      <c r="AS531" t="str">
        <f>_xlfn.XLOOKUP(A531,[3]Sheet1!$B:$B,[3]Sheet1!$B:$B)</f>
        <v>Z240CS</v>
      </c>
      <c r="AT531">
        <f>_xlfn.XLOOKUP(H531,'Yield &amp; Time'!A:A,'Yield &amp; Time'!F:F)</f>
        <v>0</v>
      </c>
    </row>
    <row r="532" spans="1:46" x14ac:dyDescent="0.25">
      <c r="A532" s="2" t="s">
        <v>327</v>
      </c>
      <c r="B532" s="2" t="s">
        <v>656</v>
      </c>
      <c r="C532" s="2" t="s">
        <v>328</v>
      </c>
      <c r="D532" s="2" t="s">
        <v>554</v>
      </c>
      <c r="E532" s="2">
        <v>1</v>
      </c>
      <c r="F532" s="1" t="str">
        <f>VLOOKUP(H532,'RM Used'!A:B,2,0)</f>
        <v>P0008</v>
      </c>
      <c r="G532" s="1" t="str">
        <f>IFERROR(VLOOKUP(F532,'RM Cost'!A:B,2,0),"")</f>
        <v>PALE BLUE BAG 470X750MM</v>
      </c>
      <c r="H532" s="2" t="s">
        <v>1323</v>
      </c>
      <c r="I532" s="1" t="str">
        <f>VLOOKUP(F532,'RM Used'!B:D,3,0)</f>
        <v>RM-PACKING</v>
      </c>
      <c r="J532" s="66">
        <v>1</v>
      </c>
      <c r="K532" s="35" t="str">
        <f t="shared" si="156"/>
        <v/>
      </c>
      <c r="L532" s="35">
        <f t="shared" si="162"/>
        <v>0</v>
      </c>
      <c r="M532" s="77" t="str" cm="1">
        <f t="array" ref="M532">_xlfn.IFS(BOM!I532="RM-PACKING","100%",B532="Reynolds",VLOOKUP(H532,'Yield &amp; Time'!A:V,22,0),BOM!B532="Dnata",VLOOKUP(BOM!H532,'Yield &amp; Time'!A:M,13,0),B532="NK",VLOOKUP(H532,'Yield &amp; Time'!A:X,24,0))</f>
        <v>100%</v>
      </c>
      <c r="N532" s="35">
        <f t="shared" si="155"/>
        <v>1</v>
      </c>
      <c r="O532" s="1" t="str">
        <f>VLOOKUP(H532,'RM Used'!A:E,5,0)</f>
        <v>Count</v>
      </c>
      <c r="P532" s="11">
        <f>VLOOKUP(H532,'RM Used'!A:F,6,0)</f>
        <v>0.14000000000000001</v>
      </c>
      <c r="Q532" s="11">
        <f t="shared" si="171"/>
        <v>0.14000000000000001</v>
      </c>
      <c r="R532" s="11">
        <f>IFERROR(IF(B532="Reynolds",VLOOKUP(H532,'Yield &amp; Time'!A:U,21,0),VLOOKUP(H532,'Yield &amp; Time'!A:L,12,0)),0)</f>
        <v>0</v>
      </c>
      <c r="S532" s="11">
        <f t="shared" si="163"/>
        <v>0</v>
      </c>
      <c r="T532" s="11">
        <f t="shared" si="164"/>
        <v>0</v>
      </c>
      <c r="U532" s="11">
        <f>IF(A531=A532,0,VLOOKUP(A532,'Packing Time'!A:F,6,0))</f>
        <v>0</v>
      </c>
      <c r="V532" s="11">
        <f t="shared" si="157"/>
        <v>0</v>
      </c>
      <c r="W532" s="11">
        <f t="shared" si="158"/>
        <v>0</v>
      </c>
      <c r="X532" s="11">
        <f t="shared" si="165"/>
        <v>0</v>
      </c>
      <c r="Y532" s="11">
        <f t="shared" si="159"/>
        <v>0</v>
      </c>
      <c r="Z532" s="37">
        <v>1</v>
      </c>
      <c r="AA532" s="36">
        <f t="shared" si="166"/>
        <v>1</v>
      </c>
      <c r="AB532" s="36">
        <f t="shared" si="167"/>
        <v>0.14000000000000001</v>
      </c>
      <c r="AC532" s="11">
        <f t="shared" si="168"/>
        <v>0</v>
      </c>
      <c r="AD532" s="36">
        <f t="shared" si="160"/>
        <v>0</v>
      </c>
      <c r="AE532" s="36"/>
      <c r="AF532" s="36">
        <f>IFERROR(VLOOKUP(AE532,'Chemical Cost'!A:D,4,0),0)</f>
        <v>0</v>
      </c>
      <c r="AG532" s="114">
        <f t="shared" si="169"/>
        <v>0</v>
      </c>
      <c r="AH532" s="36">
        <f t="shared" si="154"/>
        <v>0</v>
      </c>
      <c r="AI532" s="36">
        <f t="shared" si="161"/>
        <v>0.14000000000000001</v>
      </c>
      <c r="AJ532" s="36">
        <f>IFERROR(VLOOKUP(A532,'All Products'!A:F,6,0),0)</f>
        <v>1.47</v>
      </c>
      <c r="AK532" s="36"/>
      <c r="AL532" s="23">
        <v>1</v>
      </c>
      <c r="AM532" s="23"/>
      <c r="AN532" s="54" t="e">
        <v>#N/A</v>
      </c>
      <c r="AO532" s="47"/>
      <c r="AP532" s="4">
        <v>1.4</v>
      </c>
      <c r="AQ532" s="111">
        <f t="shared" si="170"/>
        <v>0</v>
      </c>
      <c r="AR532">
        <f>_xlfn.XLOOKUP(F532,'RM Cost'!A:A,'RM Cost'!S:S)</f>
        <v>0</v>
      </c>
      <c r="AS532" t="str">
        <f>_xlfn.XLOOKUP(A532,[3]Sheet1!$B:$B,[3]Sheet1!$B:$B)</f>
        <v>Z240CS</v>
      </c>
      <c r="AT532" t="e">
        <f>_xlfn.XLOOKUP(H532,'Yield &amp; Time'!A:A,'Yield &amp; Time'!F:F)</f>
        <v>#N/A</v>
      </c>
    </row>
    <row r="533" spans="1:46" x14ac:dyDescent="0.25">
      <c r="A533" s="2" t="s">
        <v>325</v>
      </c>
      <c r="B533" s="2" t="s">
        <v>656</v>
      </c>
      <c r="C533" s="2" t="s">
        <v>326</v>
      </c>
      <c r="D533" s="2" t="s">
        <v>554</v>
      </c>
      <c r="E533" s="2">
        <v>2.5</v>
      </c>
      <c r="F533" s="1" t="str">
        <f>VLOOKUP(H533,'RM Used'!A:B,2,0)</f>
        <v>032ACS</v>
      </c>
      <c r="G533" s="1" t="str">
        <f>IFERROR(VLOOKUP(F533,'RM Cost'!A:B,2,0),"")</f>
        <v>RM - LRG PROCESSING CARROT X 1000KG</v>
      </c>
      <c r="H533" s="2" t="s">
        <v>1494</v>
      </c>
      <c r="I533" s="1" t="str">
        <f>VLOOKUP(F533,'RM Used'!B:D,3,0)</f>
        <v>RM-FOOD</v>
      </c>
      <c r="J533" s="66">
        <v>1</v>
      </c>
      <c r="K533" s="35">
        <f t="shared" si="156"/>
        <v>2.5</v>
      </c>
      <c r="L533" s="35">
        <f t="shared" si="162"/>
        <v>2.5</v>
      </c>
      <c r="M533" s="77" cm="1">
        <f t="array" ref="M533">_xlfn.IFS(BOM!I533="RM-PACKING","100%",B533="Reynolds",VLOOKUP(H533,'Yield &amp; Time'!A:V,22,0),BOM!B533="Dnata",VLOOKUP(BOM!H533,'Yield &amp; Time'!A:M,13,0),B533="NK",VLOOKUP(H533,'Yield &amp; Time'!A:X,24,0))</f>
        <v>0.73317345127230837</v>
      </c>
      <c r="N533" s="35">
        <f t="shared" si="155"/>
        <v>3.40983432455395</v>
      </c>
      <c r="O533" s="1" t="str">
        <f>VLOOKUP(H533,'RM Used'!A:E,5,0)</f>
        <v>KG</v>
      </c>
      <c r="P533" s="11">
        <f>VLOOKUP(H533,'RM Used'!A:F,6,0)</f>
        <v>0.38</v>
      </c>
      <c r="Q533" s="11">
        <f t="shared" si="171"/>
        <v>1.2957370433305011</v>
      </c>
      <c r="R533" s="11">
        <f>IFERROR(IF(B533="Reynolds",VLOOKUP(H533,'Yield &amp; Time'!A:U,21,0),VLOOKUP(H533,'Yield &amp; Time'!A:L,12,0)),0)</f>
        <v>1.2480576795997356</v>
      </c>
      <c r="S533" s="11">
        <f t="shared" si="163"/>
        <v>1.0561688113612762</v>
      </c>
      <c r="T533" s="11">
        <f t="shared" si="164"/>
        <v>5.2002403316655649E-2</v>
      </c>
      <c r="U533" s="11">
        <f>IF(A532=A533,0,VLOOKUP(A533,'Packing Time'!A:F,6,0))</f>
        <v>0.875</v>
      </c>
      <c r="V533" s="11">
        <f t="shared" si="157"/>
        <v>0.29618749999999999</v>
      </c>
      <c r="W533" s="11">
        <f t="shared" si="158"/>
        <v>1.4583333333333334E-2</v>
      </c>
      <c r="X533" s="11">
        <f t="shared" si="165"/>
        <v>1.487591942497404</v>
      </c>
      <c r="Y533" s="11">
        <f t="shared" si="159"/>
        <v>1.487591942497404</v>
      </c>
      <c r="Z533" s="37">
        <v>1</v>
      </c>
      <c r="AA533" s="36">
        <f t="shared" si="166"/>
        <v>3.40983432455395</v>
      </c>
      <c r="AB533" s="36">
        <f t="shared" si="167"/>
        <v>1.2957370433305011</v>
      </c>
      <c r="AC533" s="11">
        <f t="shared" si="168"/>
        <v>7.324431031498789E-2</v>
      </c>
      <c r="AD533" s="36">
        <f t="shared" si="160"/>
        <v>1.487591942497404</v>
      </c>
      <c r="AE533" s="36" t="str">
        <f>VLOOKUP(H533,'Yield &amp; Time'!A:I,9,0)</f>
        <v>CHLORINE</v>
      </c>
      <c r="AF533" s="36">
        <f>IFERROR(VLOOKUP(AE533,'Chemical Cost'!A:D,4,0),0)</f>
        <v>2.7756518066439469E-2</v>
      </c>
      <c r="AG533" s="114">
        <f t="shared" si="169"/>
        <v>3.1548376011015712E-2</v>
      </c>
      <c r="AH533" s="36">
        <f t="shared" si="154"/>
        <v>3.1548376011015712E-2</v>
      </c>
      <c r="AI533" s="36">
        <f t="shared" si="161"/>
        <v>2.8148773618389207</v>
      </c>
      <c r="AJ533" s="36">
        <f>IFERROR(VLOOKUP(A533,'All Products'!A:F,6,0),0)</f>
        <v>3.68</v>
      </c>
      <c r="AK533" s="36">
        <f>AJ533*Z533*J533</f>
        <v>3.68</v>
      </c>
      <c r="AL533" s="23">
        <v>1</v>
      </c>
      <c r="AM533" s="23"/>
      <c r="AN533" s="54" t="s">
        <v>325</v>
      </c>
      <c r="AO533" s="47"/>
      <c r="AP533" s="4">
        <v>1.1000000000000001</v>
      </c>
      <c r="AQ533" s="111">
        <f t="shared" si="170"/>
        <v>7.324431031498789E-2</v>
      </c>
      <c r="AR533">
        <f>_xlfn.XLOOKUP(F533,'RM Cost'!A:A,'RM Cost'!S:S)</f>
        <v>0</v>
      </c>
      <c r="AS533" t="str">
        <f>_xlfn.XLOOKUP(A533,[3]Sheet1!$B:$B,[3]Sheet1!$B:$B)</f>
        <v>Z239CS</v>
      </c>
      <c r="AT533">
        <f>_xlfn.XLOOKUP(H533,'Yield &amp; Time'!A:A,'Yield &amp; Time'!F:F)</f>
        <v>0</v>
      </c>
    </row>
    <row r="534" spans="1:46" x14ac:dyDescent="0.25">
      <c r="A534" s="2" t="s">
        <v>325</v>
      </c>
      <c r="B534" s="2" t="s">
        <v>656</v>
      </c>
      <c r="C534" s="2" t="s">
        <v>326</v>
      </c>
      <c r="D534" s="2" t="s">
        <v>554</v>
      </c>
      <c r="E534" s="2">
        <v>2.5</v>
      </c>
      <c r="F534" s="1" t="str">
        <f>VLOOKUP(H534,'RM Used'!A:B,2,0)</f>
        <v>P0008</v>
      </c>
      <c r="G534" s="1" t="str">
        <f>IFERROR(VLOOKUP(F534,'RM Cost'!A:B,2,0),"")</f>
        <v>PALE BLUE BAG 470X750MM</v>
      </c>
      <c r="H534" s="2" t="s">
        <v>1323</v>
      </c>
      <c r="I534" s="1" t="str">
        <f>VLOOKUP(F534,'RM Used'!B:D,3,0)</f>
        <v>RM-PACKING</v>
      </c>
      <c r="J534" s="66">
        <v>1</v>
      </c>
      <c r="K534" s="35" t="str">
        <f t="shared" si="156"/>
        <v/>
      </c>
      <c r="L534" s="35">
        <f t="shared" si="162"/>
        <v>0</v>
      </c>
      <c r="M534" s="77" t="str" cm="1">
        <f t="array" ref="M534">_xlfn.IFS(BOM!I534="RM-PACKING","100%",B534="Reynolds",VLOOKUP(H534,'Yield &amp; Time'!A:V,22,0),BOM!B534="Dnata",VLOOKUP(BOM!H534,'Yield &amp; Time'!A:M,13,0),B534="NK",VLOOKUP(H534,'Yield &amp; Time'!A:X,24,0))</f>
        <v>100%</v>
      </c>
      <c r="N534" s="35">
        <f t="shared" si="155"/>
        <v>1</v>
      </c>
      <c r="O534" s="1" t="str">
        <f>VLOOKUP(H534,'RM Used'!A:E,5,0)</f>
        <v>Count</v>
      </c>
      <c r="P534" s="11">
        <f>VLOOKUP(H534,'RM Used'!A:F,6,0)</f>
        <v>0.14000000000000001</v>
      </c>
      <c r="Q534" s="11">
        <f t="shared" si="171"/>
        <v>0.14000000000000001</v>
      </c>
      <c r="R534" s="11">
        <f>IFERROR(IF(B534="Reynolds",VLOOKUP(H534,'Yield &amp; Time'!A:U,21,0),VLOOKUP(H534,'Yield &amp; Time'!A:L,12,0)),0)</f>
        <v>0</v>
      </c>
      <c r="S534" s="11">
        <f t="shared" si="163"/>
        <v>0</v>
      </c>
      <c r="T534" s="11">
        <f t="shared" si="164"/>
        <v>0</v>
      </c>
      <c r="U534" s="11">
        <f>IF(A533=A534,0,VLOOKUP(A534,'Packing Time'!A:F,6,0))</f>
        <v>0</v>
      </c>
      <c r="V534" s="11">
        <f t="shared" si="157"/>
        <v>0</v>
      </c>
      <c r="W534" s="11">
        <f t="shared" si="158"/>
        <v>0</v>
      </c>
      <c r="X534" s="11">
        <f t="shared" si="165"/>
        <v>0</v>
      </c>
      <c r="Y534" s="11">
        <f t="shared" si="159"/>
        <v>0</v>
      </c>
      <c r="Z534" s="37">
        <v>1</v>
      </c>
      <c r="AA534" s="36">
        <f t="shared" si="166"/>
        <v>1</v>
      </c>
      <c r="AB534" s="36">
        <f t="shared" si="167"/>
        <v>0.14000000000000001</v>
      </c>
      <c r="AC534" s="11">
        <f t="shared" si="168"/>
        <v>0</v>
      </c>
      <c r="AD534" s="36">
        <f t="shared" si="160"/>
        <v>0</v>
      </c>
      <c r="AE534" s="36"/>
      <c r="AF534" s="36">
        <f>IFERROR(VLOOKUP(AE534,'Chemical Cost'!A:D,4,0),0)</f>
        <v>0</v>
      </c>
      <c r="AG534" s="114">
        <f t="shared" si="169"/>
        <v>0</v>
      </c>
      <c r="AH534" s="36">
        <f t="shared" ref="AH534:AH597" si="172">AF534*AA534/3</f>
        <v>0</v>
      </c>
      <c r="AI534" s="36">
        <f t="shared" si="161"/>
        <v>0.14000000000000001</v>
      </c>
      <c r="AJ534" s="36">
        <f>IFERROR(VLOOKUP(A534,'All Products'!A:F,6,0),0)</f>
        <v>3.68</v>
      </c>
      <c r="AK534" s="36"/>
      <c r="AL534" s="23">
        <v>1</v>
      </c>
      <c r="AM534" s="23"/>
      <c r="AN534" s="54" t="s">
        <v>325</v>
      </c>
      <c r="AO534" s="47"/>
      <c r="AP534" s="4">
        <v>1.1000000000000001</v>
      </c>
      <c r="AQ534" s="111">
        <f t="shared" si="170"/>
        <v>0</v>
      </c>
      <c r="AR534">
        <f>_xlfn.XLOOKUP(F534,'RM Cost'!A:A,'RM Cost'!S:S)</f>
        <v>0</v>
      </c>
      <c r="AS534" t="str">
        <f>_xlfn.XLOOKUP(A534,[3]Sheet1!$B:$B,[3]Sheet1!$B:$B)</f>
        <v>Z239CS</v>
      </c>
      <c r="AT534" t="e">
        <f>_xlfn.XLOOKUP(H534,'Yield &amp; Time'!A:A,'Yield &amp; Time'!F:F)</f>
        <v>#N/A</v>
      </c>
    </row>
    <row r="535" spans="1:46" x14ac:dyDescent="0.25">
      <c r="A535" s="2" t="s">
        <v>729</v>
      </c>
      <c r="B535" s="2" t="s">
        <v>656</v>
      </c>
      <c r="C535" s="2" t="s">
        <v>730</v>
      </c>
      <c r="D535" s="2" t="s">
        <v>554</v>
      </c>
      <c r="E535" s="2">
        <v>1</v>
      </c>
      <c r="F535" s="1" t="str">
        <f>VLOOKUP(H535,'RM Used'!A:B,2,0)</f>
        <v>032ACS</v>
      </c>
      <c r="G535" s="1" t="str">
        <f>IFERROR(VLOOKUP(F535,'RM Cost'!A:B,2,0),"")</f>
        <v>RM - LRG PROCESSING CARROT X 1000KG</v>
      </c>
      <c r="H535" s="2" t="s">
        <v>1495</v>
      </c>
      <c r="I535" s="1" t="str">
        <f>VLOOKUP(F535,'RM Used'!B:D,3,0)</f>
        <v>RM-FOOD</v>
      </c>
      <c r="J535" s="66">
        <v>1</v>
      </c>
      <c r="K535" s="35">
        <f t="shared" si="156"/>
        <v>1</v>
      </c>
      <c r="L535" s="35">
        <f t="shared" si="162"/>
        <v>1</v>
      </c>
      <c r="M535" s="77" cm="1">
        <f t="array" ref="M535">_xlfn.IFS(BOM!I535="RM-PACKING","100%",B535="Reynolds",VLOOKUP(H535,'Yield &amp; Time'!A:V,22,0),BOM!B535="Dnata",VLOOKUP(BOM!H535,'Yield &amp; Time'!A:M,13,0),B535="NK",VLOOKUP(H535,'Yield &amp; Time'!A:X,24,0))</f>
        <v>0.55180949227336884</v>
      </c>
      <c r="N535" s="35">
        <f t="shared" si="155"/>
        <v>1.81221964102168</v>
      </c>
      <c r="O535" s="1" t="str">
        <f>VLOOKUP(H535,'RM Used'!A:E,5,0)</f>
        <v>KG</v>
      </c>
      <c r="P535" s="11">
        <f>VLOOKUP(H535,'RM Used'!A:F,6,0)</f>
        <v>0.38</v>
      </c>
      <c r="Q535" s="11">
        <f t="shared" si="171"/>
        <v>0.68864346358823836</v>
      </c>
      <c r="R535" s="11">
        <f>IFERROR(IF(B535="Reynolds",VLOOKUP(H535,'Yield &amp; Time'!A:U,21,0),VLOOKUP(H535,'Yield &amp; Time'!A:L,12,0)),0)</f>
        <v>5.5312544766665406</v>
      </c>
      <c r="S535" s="11">
        <f t="shared" si="163"/>
        <v>1.8723296403516239</v>
      </c>
      <c r="T535" s="11">
        <f t="shared" si="164"/>
        <v>9.2187574611109005E-2</v>
      </c>
      <c r="U535" s="11">
        <f>IF(A534=A535,0,VLOOKUP(A535,'Packing Time'!A:F,6,0))</f>
        <v>0.64166666666666661</v>
      </c>
      <c r="V535" s="11">
        <f t="shared" si="157"/>
        <v>0.21720416666666661</v>
      </c>
      <c r="W535" s="11">
        <f t="shared" si="158"/>
        <v>1.0694444444444444E-2</v>
      </c>
      <c r="X535" s="11">
        <f t="shared" si="165"/>
        <v>3.3432540912292645</v>
      </c>
      <c r="Y535" s="11">
        <f t="shared" si="159"/>
        <v>3.3432540912292645</v>
      </c>
      <c r="Z535" s="37">
        <v>1</v>
      </c>
      <c r="AA535" s="36">
        <f t="shared" si="166"/>
        <v>1.81221964102168</v>
      </c>
      <c r="AB535" s="36">
        <f t="shared" si="167"/>
        <v>0.68864346358823836</v>
      </c>
      <c r="AC535" s="11">
        <f t="shared" si="168"/>
        <v>0.16461123048888554</v>
      </c>
      <c r="AD535" s="36">
        <f t="shared" si="160"/>
        <v>3.343254091229265</v>
      </c>
      <c r="AE535" s="36"/>
      <c r="AF535" s="36">
        <f>IFERROR(VLOOKUP(AE535,'Chemical Cost'!A:D,4,0),0)</f>
        <v>0</v>
      </c>
      <c r="AG535" s="114">
        <f t="shared" si="169"/>
        <v>0</v>
      </c>
      <c r="AH535" s="36">
        <f t="shared" si="172"/>
        <v>0</v>
      </c>
      <c r="AI535" s="36">
        <f t="shared" si="161"/>
        <v>4.0318975548175029</v>
      </c>
      <c r="AJ535" s="36">
        <f>IFERROR(VLOOKUP(A535,'All Products'!A:F,6,0),0)</f>
        <v>2.7</v>
      </c>
      <c r="AK535" s="36">
        <f>AJ535*Z535*J535</f>
        <v>2.7</v>
      </c>
      <c r="AL535" s="23">
        <v>1</v>
      </c>
      <c r="AM535" s="23"/>
      <c r="AN535" s="54" t="e">
        <v>#N/A</v>
      </c>
      <c r="AO535" s="47"/>
      <c r="AP535" s="4">
        <v>1.6</v>
      </c>
      <c r="AQ535" s="111">
        <f t="shared" si="170"/>
        <v>0.16461123048888554</v>
      </c>
      <c r="AR535">
        <f>_xlfn.XLOOKUP(F535,'RM Cost'!A:A,'RM Cost'!S:S)</f>
        <v>0</v>
      </c>
      <c r="AS535" t="e">
        <f>_xlfn.XLOOKUP(A535,[3]Sheet1!$B:$B,[3]Sheet1!$B:$B)</f>
        <v>#N/A</v>
      </c>
    </row>
    <row r="536" spans="1:46" x14ac:dyDescent="0.25">
      <c r="A536" s="2" t="s">
        <v>729</v>
      </c>
      <c r="B536" s="2" t="s">
        <v>656</v>
      </c>
      <c r="C536" s="2" t="s">
        <v>730</v>
      </c>
      <c r="D536" s="2" t="s">
        <v>554</v>
      </c>
      <c r="E536" s="2">
        <v>1</v>
      </c>
      <c r="F536" s="1" t="str">
        <f>VLOOKUP(H536,'RM Used'!A:B,2,0)</f>
        <v>P0008</v>
      </c>
      <c r="G536" s="1" t="str">
        <f>IFERROR(VLOOKUP(F536,'RM Cost'!A:B,2,0),"")</f>
        <v>PALE BLUE BAG 470X750MM</v>
      </c>
      <c r="H536" s="2" t="s">
        <v>1323</v>
      </c>
      <c r="I536" s="1" t="str">
        <f>VLOOKUP(F536,'RM Used'!B:D,3,0)</f>
        <v>RM-PACKING</v>
      </c>
      <c r="J536" s="66">
        <v>1</v>
      </c>
      <c r="K536" s="35" t="str">
        <f t="shared" si="156"/>
        <v/>
      </c>
      <c r="L536" s="35">
        <f t="shared" si="162"/>
        <v>0</v>
      </c>
      <c r="M536" s="77" t="str" cm="1">
        <f t="array" ref="M536">_xlfn.IFS(BOM!I536="RM-PACKING","100%",B536="Reynolds",VLOOKUP(H536,'Yield &amp; Time'!A:V,22,0),BOM!B536="Dnata",VLOOKUP(BOM!H536,'Yield &amp; Time'!A:M,13,0),B536="NK",VLOOKUP(H536,'Yield &amp; Time'!A:X,24,0))</f>
        <v>100%</v>
      </c>
      <c r="N536" s="35">
        <f t="shared" si="155"/>
        <v>1</v>
      </c>
      <c r="O536" s="1" t="str">
        <f>VLOOKUP(H536,'RM Used'!A:E,5,0)</f>
        <v>Count</v>
      </c>
      <c r="P536" s="11">
        <f>VLOOKUP(H536,'RM Used'!A:F,6,0)</f>
        <v>0.14000000000000001</v>
      </c>
      <c r="Q536" s="11">
        <f t="shared" si="171"/>
        <v>0.14000000000000001</v>
      </c>
      <c r="R536" s="11">
        <f>IFERROR(IF(B536="Reynolds",VLOOKUP(H536,'Yield &amp; Time'!A:U,21,0),VLOOKUP(H536,'Yield &amp; Time'!A:L,12,0)),0)</f>
        <v>0</v>
      </c>
      <c r="S536" s="11">
        <f t="shared" si="163"/>
        <v>0</v>
      </c>
      <c r="T536" s="11">
        <f t="shared" si="164"/>
        <v>0</v>
      </c>
      <c r="U536" s="11">
        <f>IF(A535=A536,0,VLOOKUP(A536,'Packing Time'!A:F,6,0))</f>
        <v>0</v>
      </c>
      <c r="V536" s="11">
        <f t="shared" si="157"/>
        <v>0</v>
      </c>
      <c r="W536" s="11">
        <f t="shared" si="158"/>
        <v>0</v>
      </c>
      <c r="X536" s="11">
        <f t="shared" si="165"/>
        <v>0</v>
      </c>
      <c r="Y536" s="11">
        <f t="shared" si="159"/>
        <v>0</v>
      </c>
      <c r="Z536" s="37">
        <v>1</v>
      </c>
      <c r="AA536" s="36">
        <f t="shared" si="166"/>
        <v>1</v>
      </c>
      <c r="AB536" s="36">
        <f t="shared" si="167"/>
        <v>0.14000000000000001</v>
      </c>
      <c r="AC536" s="11">
        <f t="shared" si="168"/>
        <v>0</v>
      </c>
      <c r="AD536" s="36">
        <f t="shared" si="160"/>
        <v>0</v>
      </c>
      <c r="AE536" s="36"/>
      <c r="AF536" s="36">
        <f>IFERROR(VLOOKUP(AE536,'Chemical Cost'!A:D,4,0),0)</f>
        <v>0</v>
      </c>
      <c r="AG536" s="114">
        <f t="shared" si="169"/>
        <v>0</v>
      </c>
      <c r="AH536" s="36">
        <f t="shared" si="172"/>
        <v>0</v>
      </c>
      <c r="AI536" s="36">
        <f t="shared" si="161"/>
        <v>0.14000000000000001</v>
      </c>
      <c r="AJ536" s="36">
        <f>IFERROR(VLOOKUP(A536,'All Products'!A:F,6,0),0)</f>
        <v>2.7</v>
      </c>
      <c r="AK536" s="36"/>
      <c r="AL536" s="23">
        <v>1</v>
      </c>
      <c r="AM536" s="23"/>
      <c r="AN536" s="54" t="e">
        <v>#N/A</v>
      </c>
      <c r="AO536" s="47"/>
      <c r="AP536" s="4">
        <v>1.6</v>
      </c>
      <c r="AQ536" s="111">
        <f t="shared" si="170"/>
        <v>0</v>
      </c>
      <c r="AR536">
        <f>_xlfn.XLOOKUP(F536,'RM Cost'!A:A,'RM Cost'!S:S)</f>
        <v>0</v>
      </c>
      <c r="AS536" t="e">
        <f>_xlfn.XLOOKUP(A536,[3]Sheet1!$B:$B,[3]Sheet1!$B:$B)</f>
        <v>#N/A</v>
      </c>
    </row>
    <row r="537" spans="1:46" x14ac:dyDescent="0.25">
      <c r="A537" s="2" t="s">
        <v>321</v>
      </c>
      <c r="B537" s="2" t="s">
        <v>656</v>
      </c>
      <c r="C537" s="2" t="s">
        <v>322</v>
      </c>
      <c r="D537" s="2" t="s">
        <v>554</v>
      </c>
      <c r="E537" s="2">
        <v>2.5</v>
      </c>
      <c r="F537" s="1" t="str">
        <f>VLOOKUP(H537,'RM Used'!A:B,2,0)</f>
        <v>032ACS</v>
      </c>
      <c r="G537" s="1" t="str">
        <f>IFERROR(VLOOKUP(F537,'RM Cost'!A:B,2,0),"")</f>
        <v>RM - LRG PROCESSING CARROT X 1000KG</v>
      </c>
      <c r="H537" s="2" t="s">
        <v>1495</v>
      </c>
      <c r="I537" s="1" t="str">
        <f>VLOOKUP(F537,'RM Used'!B:D,3,0)</f>
        <v>RM-FOOD</v>
      </c>
      <c r="J537" s="66">
        <v>1</v>
      </c>
      <c r="K537" s="35">
        <f t="shared" si="156"/>
        <v>2.5</v>
      </c>
      <c r="L537" s="35">
        <f t="shared" si="162"/>
        <v>2.5</v>
      </c>
      <c r="M537" s="77" cm="1">
        <f t="array" ref="M537">_xlfn.IFS(BOM!I537="RM-PACKING","100%",B537="Reynolds",VLOOKUP(H537,'Yield &amp; Time'!A:V,22,0),BOM!B537="Dnata",VLOOKUP(BOM!H537,'Yield &amp; Time'!A:M,13,0),B537="NK",VLOOKUP(H537,'Yield &amp; Time'!A:X,24,0))</f>
        <v>0.55180949227336884</v>
      </c>
      <c r="N537" s="35">
        <f t="shared" si="155"/>
        <v>4.5305491025542004</v>
      </c>
      <c r="O537" s="1" t="str">
        <f>VLOOKUP(H537,'RM Used'!A:E,5,0)</f>
        <v>KG</v>
      </c>
      <c r="P537" s="11">
        <f>VLOOKUP(H537,'RM Used'!A:F,6,0)</f>
        <v>0.38</v>
      </c>
      <c r="Q537" s="11">
        <f t="shared" si="171"/>
        <v>1.7216086589705961</v>
      </c>
      <c r="R537" s="11">
        <f>IFERROR(IF(B537="Reynolds",VLOOKUP(H537,'Yield &amp; Time'!A:U,21,0),VLOOKUP(H537,'Yield &amp; Time'!A:L,12,0)),0)</f>
        <v>5.5312544766665406</v>
      </c>
      <c r="S537" s="11">
        <f t="shared" si="163"/>
        <v>4.6808241008790592</v>
      </c>
      <c r="T537" s="11">
        <f t="shared" si="164"/>
        <v>0.23046893652777251</v>
      </c>
      <c r="U537" s="11">
        <f>IF(A536=A537,0,VLOOKUP(A537,'Packing Time'!A:F,6,0))</f>
        <v>0.875</v>
      </c>
      <c r="V537" s="11">
        <f t="shared" si="157"/>
        <v>0.29618749999999999</v>
      </c>
      <c r="W537" s="11">
        <f t="shared" si="158"/>
        <v>1.4583333333333334E-2</v>
      </c>
      <c r="X537" s="11">
        <f t="shared" si="165"/>
        <v>6.9678162412306826</v>
      </c>
      <c r="Y537" s="11">
        <f t="shared" si="159"/>
        <v>6.9678162412306826</v>
      </c>
      <c r="Z537" s="37">
        <v>1</v>
      </c>
      <c r="AA537" s="36">
        <f t="shared" si="166"/>
        <v>4.5305491025542004</v>
      </c>
      <c r="AB537" s="36">
        <f t="shared" si="167"/>
        <v>1.7216086589705961</v>
      </c>
      <c r="AC537" s="11">
        <f t="shared" si="168"/>
        <v>0.34307317780554814</v>
      </c>
      <c r="AD537" s="36">
        <f t="shared" si="160"/>
        <v>6.9678162412306817</v>
      </c>
      <c r="AE537" s="36"/>
      <c r="AF537" s="36">
        <f>IFERROR(VLOOKUP(AE537,'Chemical Cost'!A:D,4,0),0)</f>
        <v>0</v>
      </c>
      <c r="AG537" s="114">
        <f t="shared" si="169"/>
        <v>0</v>
      </c>
      <c r="AH537" s="36">
        <f t="shared" si="172"/>
        <v>0</v>
      </c>
      <c r="AI537" s="36">
        <f t="shared" si="161"/>
        <v>8.6894249002012778</v>
      </c>
      <c r="AJ537" s="36">
        <f>IFERROR(VLOOKUP(A537,'All Products'!A:F,6,0),0)</f>
        <v>6.45</v>
      </c>
      <c r="AK537" s="36">
        <f>AJ537*Z537*J537</f>
        <v>6.45</v>
      </c>
      <c r="AL537" s="23">
        <v>1</v>
      </c>
      <c r="AM537" s="23"/>
      <c r="AN537" s="54" t="e">
        <v>#N/A</v>
      </c>
      <c r="AO537" s="47"/>
      <c r="AP537" s="4">
        <v>1.4</v>
      </c>
      <c r="AQ537" s="111">
        <f t="shared" si="170"/>
        <v>0.34307317780554814</v>
      </c>
      <c r="AR537">
        <f>_xlfn.XLOOKUP(F537,'RM Cost'!A:A,'RM Cost'!S:S)</f>
        <v>0</v>
      </c>
      <c r="AS537" t="e">
        <f>_xlfn.XLOOKUP(A537,[3]Sheet1!$B:$B,[3]Sheet1!$B:$B)</f>
        <v>#N/A</v>
      </c>
    </row>
    <row r="538" spans="1:46" x14ac:dyDescent="0.25">
      <c r="A538" s="2" t="s">
        <v>321</v>
      </c>
      <c r="B538" s="2" t="s">
        <v>656</v>
      </c>
      <c r="C538" s="2" t="s">
        <v>322</v>
      </c>
      <c r="D538" s="2" t="s">
        <v>554</v>
      </c>
      <c r="E538" s="2">
        <v>2.5</v>
      </c>
      <c r="F538" s="1" t="str">
        <f>VLOOKUP(H538,'RM Used'!A:B,2,0)</f>
        <v>P0008</v>
      </c>
      <c r="G538" s="1" t="str">
        <f>IFERROR(VLOOKUP(F538,'RM Cost'!A:B,2,0),"")</f>
        <v>PALE BLUE BAG 470X750MM</v>
      </c>
      <c r="H538" s="2" t="s">
        <v>1323</v>
      </c>
      <c r="I538" s="1" t="str">
        <f>VLOOKUP(F538,'RM Used'!B:D,3,0)</f>
        <v>RM-PACKING</v>
      </c>
      <c r="J538" s="66">
        <v>1</v>
      </c>
      <c r="K538" s="35" t="str">
        <f t="shared" si="156"/>
        <v/>
      </c>
      <c r="L538" s="35">
        <f t="shared" si="162"/>
        <v>0</v>
      </c>
      <c r="M538" s="77" t="str" cm="1">
        <f t="array" ref="M538">_xlfn.IFS(BOM!I538="RM-PACKING","100%",B538="Reynolds",VLOOKUP(H538,'Yield &amp; Time'!A:V,22,0),BOM!B538="Dnata",VLOOKUP(BOM!H538,'Yield &amp; Time'!A:M,13,0),B538="NK",VLOOKUP(H538,'Yield &amp; Time'!A:X,24,0))</f>
        <v>100%</v>
      </c>
      <c r="N538" s="35">
        <f t="shared" si="155"/>
        <v>1</v>
      </c>
      <c r="O538" s="1" t="str">
        <f>VLOOKUP(H538,'RM Used'!A:E,5,0)</f>
        <v>Count</v>
      </c>
      <c r="P538" s="11">
        <f>VLOOKUP(H538,'RM Used'!A:F,6,0)</f>
        <v>0.14000000000000001</v>
      </c>
      <c r="Q538" s="11">
        <f t="shared" si="171"/>
        <v>0.14000000000000001</v>
      </c>
      <c r="R538" s="11">
        <f>IFERROR(IF(B538="Reynolds",VLOOKUP(H538,'Yield &amp; Time'!A:U,21,0),VLOOKUP(H538,'Yield &amp; Time'!A:L,12,0)),0)</f>
        <v>0</v>
      </c>
      <c r="S538" s="11">
        <f t="shared" si="163"/>
        <v>0</v>
      </c>
      <c r="T538" s="11">
        <f t="shared" si="164"/>
        <v>0</v>
      </c>
      <c r="U538" s="11">
        <f>IF(A537=A538,0,VLOOKUP(A538,'Packing Time'!A:F,6,0))</f>
        <v>0</v>
      </c>
      <c r="V538" s="11">
        <f t="shared" si="157"/>
        <v>0</v>
      </c>
      <c r="W538" s="11">
        <f t="shared" si="158"/>
        <v>0</v>
      </c>
      <c r="X538" s="11">
        <f t="shared" si="165"/>
        <v>0</v>
      </c>
      <c r="Y538" s="11">
        <f t="shared" si="159"/>
        <v>0</v>
      </c>
      <c r="Z538" s="37">
        <v>1</v>
      </c>
      <c r="AA538" s="36">
        <f t="shared" si="166"/>
        <v>1</v>
      </c>
      <c r="AB538" s="36">
        <f t="shared" si="167"/>
        <v>0.14000000000000001</v>
      </c>
      <c r="AC538" s="11">
        <f t="shared" si="168"/>
        <v>0</v>
      </c>
      <c r="AD538" s="36">
        <f t="shared" si="160"/>
        <v>0</v>
      </c>
      <c r="AE538" s="36"/>
      <c r="AF538" s="36">
        <f>IFERROR(VLOOKUP(AE538,'Chemical Cost'!A:D,4,0),0)</f>
        <v>0</v>
      </c>
      <c r="AG538" s="114">
        <f t="shared" si="169"/>
        <v>0</v>
      </c>
      <c r="AH538" s="36">
        <f t="shared" si="172"/>
        <v>0</v>
      </c>
      <c r="AI538" s="36">
        <f t="shared" si="161"/>
        <v>0.14000000000000001</v>
      </c>
      <c r="AJ538" s="36">
        <f>IFERROR(VLOOKUP(A538,'All Products'!A:F,6,0),0)</f>
        <v>6.45</v>
      </c>
      <c r="AK538" s="36"/>
      <c r="AL538" s="23">
        <v>1</v>
      </c>
      <c r="AM538" s="23"/>
      <c r="AN538" s="54" t="e">
        <v>#N/A</v>
      </c>
      <c r="AO538" s="47"/>
      <c r="AP538" s="4">
        <v>1.4</v>
      </c>
      <c r="AQ538" s="111">
        <f t="shared" si="170"/>
        <v>0</v>
      </c>
      <c r="AR538">
        <f>_xlfn.XLOOKUP(F538,'RM Cost'!A:A,'RM Cost'!S:S)</f>
        <v>0</v>
      </c>
      <c r="AS538" t="e">
        <f>_xlfn.XLOOKUP(A538,[3]Sheet1!$B:$B,[3]Sheet1!$B:$B)</f>
        <v>#N/A</v>
      </c>
    </row>
    <row r="539" spans="1:46" x14ac:dyDescent="0.25">
      <c r="A539" s="2" t="s">
        <v>490</v>
      </c>
      <c r="B539" s="2" t="s">
        <v>656</v>
      </c>
      <c r="C539" s="2" t="s">
        <v>731</v>
      </c>
      <c r="D539" s="2" t="s">
        <v>554</v>
      </c>
      <c r="E539" s="2">
        <v>1</v>
      </c>
      <c r="F539" s="1" t="str">
        <f>VLOOKUP(H539,'RM Used'!A:B,2,0)</f>
        <v>032ACS</v>
      </c>
      <c r="G539" s="1" t="str">
        <f>IFERROR(VLOOKUP(F539,'RM Cost'!A:B,2,0),"")</f>
        <v>RM - LRG PROCESSING CARROT X 1000KG</v>
      </c>
      <c r="H539" s="2" t="s">
        <v>1492</v>
      </c>
      <c r="I539" s="1" t="str">
        <f>VLOOKUP(F539,'RM Used'!B:D,3,0)</f>
        <v>RM-FOOD</v>
      </c>
      <c r="J539" s="66">
        <v>1</v>
      </c>
      <c r="K539" s="35">
        <f t="shared" si="156"/>
        <v>1</v>
      </c>
      <c r="L539" s="35">
        <f t="shared" si="162"/>
        <v>1</v>
      </c>
      <c r="M539" s="77" cm="1">
        <f t="array" ref="M539">_xlfn.IFS(BOM!I539="RM-PACKING","100%",B539="Reynolds",VLOOKUP(H539,'Yield &amp; Time'!A:V,22,0),BOM!B539="Dnata",VLOOKUP(BOM!H539,'Yield &amp; Time'!A:M,13,0),B539="NK",VLOOKUP(H539,'Yield &amp; Time'!A:X,24,0))</f>
        <v>0.55302226038825542</v>
      </c>
      <c r="N539" s="35">
        <f t="shared" si="155"/>
        <v>1.8082454751422463</v>
      </c>
      <c r="O539" s="1" t="str">
        <f>VLOOKUP(H539,'RM Used'!A:E,5,0)</f>
        <v>KG</v>
      </c>
      <c r="P539" s="11">
        <f>VLOOKUP(H539,'RM Used'!A:F,6,0)</f>
        <v>0.38</v>
      </c>
      <c r="Q539" s="11">
        <f t="shared" si="171"/>
        <v>0.68713328055405365</v>
      </c>
      <c r="R539" s="11">
        <f>IFERROR(IF(B539="Reynolds",VLOOKUP(H539,'Yield &amp; Time'!A:U,21,0),VLOOKUP(H539,'Yield &amp; Time'!A:L,12,0)),0)</f>
        <v>1.8452723210582169</v>
      </c>
      <c r="S539" s="11">
        <f t="shared" si="163"/>
        <v>0.62462468067820642</v>
      </c>
      <c r="T539" s="11">
        <f t="shared" si="164"/>
        <v>3.0754538684303615E-2</v>
      </c>
      <c r="U539" s="11">
        <f>IF(A538=A539,0,VLOOKUP(A539,'Packing Time'!A:F,6,0))</f>
        <v>0.64166666666666661</v>
      </c>
      <c r="V539" s="11">
        <f t="shared" si="157"/>
        <v>0.21720416666666661</v>
      </c>
      <c r="W539" s="11">
        <f t="shared" si="158"/>
        <v>1.0694444444444444E-2</v>
      </c>
      <c r="X539" s="11">
        <f t="shared" si="165"/>
        <v>1.3469261557517969</v>
      </c>
      <c r="Y539" s="11">
        <f t="shared" si="159"/>
        <v>1.3469261557517969</v>
      </c>
      <c r="Z539" s="37">
        <v>1</v>
      </c>
      <c r="AA539" s="36">
        <f t="shared" si="166"/>
        <v>1.8082454751422463</v>
      </c>
      <c r="AB539" s="36">
        <f t="shared" si="167"/>
        <v>0.68713328055405365</v>
      </c>
      <c r="AC539" s="11">
        <f t="shared" si="168"/>
        <v>6.6318373005996897E-2</v>
      </c>
      <c r="AD539" s="36">
        <f t="shared" si="160"/>
        <v>1.3469261557517969</v>
      </c>
      <c r="AE539" s="36"/>
      <c r="AF539" s="36">
        <f>IFERROR(VLOOKUP(AE539,'Chemical Cost'!A:D,4,0),0)</f>
        <v>0</v>
      </c>
      <c r="AG539" s="114">
        <f t="shared" si="169"/>
        <v>0</v>
      </c>
      <c r="AH539" s="36">
        <f t="shared" si="172"/>
        <v>0</v>
      </c>
      <c r="AI539" s="36">
        <f t="shared" si="161"/>
        <v>2.0340594363058506</v>
      </c>
      <c r="AJ539" s="36">
        <f>IFERROR(VLOOKUP(A539,'All Products'!A:F,6,0),0)</f>
        <v>1.67</v>
      </c>
      <c r="AK539" s="36">
        <f>AJ539*Z539*J539</f>
        <v>1.67</v>
      </c>
      <c r="AL539" s="23">
        <v>1</v>
      </c>
      <c r="AM539" s="23"/>
      <c r="AN539" s="54" t="e">
        <v>#N/A</v>
      </c>
      <c r="AO539" s="47"/>
      <c r="AP539" s="4">
        <v>1.6</v>
      </c>
      <c r="AQ539" s="111">
        <f t="shared" si="170"/>
        <v>6.6318373005996897E-2</v>
      </c>
      <c r="AR539">
        <f>_xlfn.XLOOKUP(F539,'RM Cost'!A:A,'RM Cost'!S:S)</f>
        <v>0</v>
      </c>
      <c r="AS539" t="str">
        <f>_xlfn.XLOOKUP(A539,[3]Sheet1!$B:$B,[3]Sheet1!$B:$B)</f>
        <v>Z341CS</v>
      </c>
      <c r="AT539">
        <f>_xlfn.XLOOKUP(H539,'Yield &amp; Time'!A:A,'Yield &amp; Time'!F:F)</f>
        <v>0</v>
      </c>
    </row>
    <row r="540" spans="1:46" x14ac:dyDescent="0.25">
      <c r="A540" s="2" t="s">
        <v>490</v>
      </c>
      <c r="B540" s="2" t="s">
        <v>656</v>
      </c>
      <c r="C540" s="2" t="s">
        <v>731</v>
      </c>
      <c r="D540" s="2" t="s">
        <v>554</v>
      </c>
      <c r="E540" s="2">
        <v>1</v>
      </c>
      <c r="F540" s="1" t="str">
        <f>VLOOKUP(H540,'RM Used'!A:B,2,0)</f>
        <v>P0008</v>
      </c>
      <c r="G540" s="1" t="str">
        <f>IFERROR(VLOOKUP(F540,'RM Cost'!A:B,2,0),"")</f>
        <v>PALE BLUE BAG 470X750MM</v>
      </c>
      <c r="H540" s="2" t="s">
        <v>1323</v>
      </c>
      <c r="I540" s="1" t="str">
        <f>VLOOKUP(F540,'RM Used'!B:D,3,0)</f>
        <v>RM-PACKING</v>
      </c>
      <c r="J540" s="66">
        <v>1</v>
      </c>
      <c r="K540" s="35" t="str">
        <f t="shared" si="156"/>
        <v/>
      </c>
      <c r="L540" s="35">
        <f t="shared" si="162"/>
        <v>0</v>
      </c>
      <c r="M540" s="77" t="str" cm="1">
        <f t="array" ref="M540">_xlfn.IFS(BOM!I540="RM-PACKING","100%",B540="Reynolds",VLOOKUP(H540,'Yield &amp; Time'!A:V,22,0),BOM!B540="Dnata",VLOOKUP(BOM!H540,'Yield &amp; Time'!A:M,13,0),B540="NK",VLOOKUP(H540,'Yield &amp; Time'!A:X,24,0))</f>
        <v>100%</v>
      </c>
      <c r="N540" s="35">
        <f t="shared" si="155"/>
        <v>1</v>
      </c>
      <c r="O540" s="1" t="str">
        <f>VLOOKUP(H540,'RM Used'!A:E,5,0)</f>
        <v>Count</v>
      </c>
      <c r="P540" s="11">
        <f>VLOOKUP(H540,'RM Used'!A:F,6,0)</f>
        <v>0.14000000000000001</v>
      </c>
      <c r="Q540" s="11">
        <f t="shared" si="171"/>
        <v>0.14000000000000001</v>
      </c>
      <c r="R540" s="11">
        <f>IFERROR(IF(B540="Reynolds",VLOOKUP(H540,'Yield &amp; Time'!A:U,21,0),VLOOKUP(H540,'Yield &amp; Time'!A:L,12,0)),0)</f>
        <v>0</v>
      </c>
      <c r="S540" s="11">
        <f t="shared" si="163"/>
        <v>0</v>
      </c>
      <c r="T540" s="11">
        <f t="shared" si="164"/>
        <v>0</v>
      </c>
      <c r="U540" s="11">
        <f>IF(A539=A540,0,VLOOKUP(A540,'Packing Time'!A:F,6,0))</f>
        <v>0</v>
      </c>
      <c r="V540" s="11">
        <f t="shared" si="157"/>
        <v>0</v>
      </c>
      <c r="W540" s="11">
        <f t="shared" si="158"/>
        <v>0</v>
      </c>
      <c r="X540" s="11">
        <f t="shared" si="165"/>
        <v>0</v>
      </c>
      <c r="Y540" s="11">
        <f t="shared" si="159"/>
        <v>0</v>
      </c>
      <c r="Z540" s="37">
        <v>1</v>
      </c>
      <c r="AA540" s="36">
        <f t="shared" si="166"/>
        <v>1</v>
      </c>
      <c r="AB540" s="36">
        <f t="shared" si="167"/>
        <v>0.14000000000000001</v>
      </c>
      <c r="AC540" s="11">
        <f t="shared" si="168"/>
        <v>0</v>
      </c>
      <c r="AD540" s="36">
        <f t="shared" si="160"/>
        <v>0</v>
      </c>
      <c r="AE540" s="36"/>
      <c r="AF540" s="36">
        <f>IFERROR(VLOOKUP(AE540,'Chemical Cost'!A:D,4,0),0)</f>
        <v>0</v>
      </c>
      <c r="AG540" s="114">
        <f t="shared" si="169"/>
        <v>0</v>
      </c>
      <c r="AH540" s="36">
        <f t="shared" si="172"/>
        <v>0</v>
      </c>
      <c r="AI540" s="36">
        <f t="shared" si="161"/>
        <v>0.14000000000000001</v>
      </c>
      <c r="AJ540" s="36">
        <f>IFERROR(VLOOKUP(A540,'All Products'!A:F,6,0),0)</f>
        <v>1.67</v>
      </c>
      <c r="AK540" s="36"/>
      <c r="AL540" s="23">
        <v>1</v>
      </c>
      <c r="AM540" s="23"/>
      <c r="AN540" s="54" t="e">
        <v>#N/A</v>
      </c>
      <c r="AO540" s="47"/>
      <c r="AP540" s="4">
        <v>1.6</v>
      </c>
      <c r="AQ540" s="111">
        <f t="shared" si="170"/>
        <v>0</v>
      </c>
      <c r="AR540">
        <f>_xlfn.XLOOKUP(F540,'RM Cost'!A:A,'RM Cost'!S:S)</f>
        <v>0</v>
      </c>
      <c r="AS540" t="str">
        <f>_xlfn.XLOOKUP(A540,[3]Sheet1!$B:$B,[3]Sheet1!$B:$B)</f>
        <v>Z341CS</v>
      </c>
      <c r="AT540" t="e">
        <f>_xlfn.XLOOKUP(H540,'Yield &amp; Time'!A:A,'Yield &amp; Time'!F:F)</f>
        <v>#N/A</v>
      </c>
    </row>
    <row r="541" spans="1:46" x14ac:dyDescent="0.25">
      <c r="A541" s="2" t="s">
        <v>489</v>
      </c>
      <c r="B541" s="2" t="s">
        <v>656</v>
      </c>
      <c r="C541" s="2" t="s">
        <v>732</v>
      </c>
      <c r="D541" s="2" t="s">
        <v>554</v>
      </c>
      <c r="E541" s="2">
        <v>2.5</v>
      </c>
      <c r="F541" s="1" t="str">
        <f>VLOOKUP(H541,'RM Used'!A:B,2,0)</f>
        <v>032ACS</v>
      </c>
      <c r="G541" s="1" t="str">
        <f>IFERROR(VLOOKUP(F541,'RM Cost'!A:B,2,0),"")</f>
        <v>RM - LRG PROCESSING CARROT X 1000KG</v>
      </c>
      <c r="H541" s="2" t="s">
        <v>1492</v>
      </c>
      <c r="I541" s="1" t="str">
        <f>VLOOKUP(F541,'RM Used'!B:D,3,0)</f>
        <v>RM-FOOD</v>
      </c>
      <c r="J541" s="66">
        <v>1</v>
      </c>
      <c r="K541" s="35">
        <f t="shared" si="156"/>
        <v>2.5</v>
      </c>
      <c r="L541" s="35">
        <f t="shared" si="162"/>
        <v>2.5</v>
      </c>
      <c r="M541" s="77" cm="1">
        <f t="array" ref="M541">_xlfn.IFS(BOM!I541="RM-PACKING","100%",B541="Reynolds",VLOOKUP(H541,'Yield &amp; Time'!A:V,22,0),BOM!B541="Dnata",VLOOKUP(BOM!H541,'Yield &amp; Time'!A:M,13,0),B541="NK",VLOOKUP(H541,'Yield &amp; Time'!A:X,24,0))</f>
        <v>0.55302226038825542</v>
      </c>
      <c r="N541" s="35">
        <f t="shared" si="155"/>
        <v>4.520613687855616</v>
      </c>
      <c r="O541" s="1" t="str">
        <f>VLOOKUP(H541,'RM Used'!A:E,5,0)</f>
        <v>KG</v>
      </c>
      <c r="P541" s="11">
        <f>VLOOKUP(H541,'RM Used'!A:F,6,0)</f>
        <v>0.38</v>
      </c>
      <c r="Q541" s="11">
        <f t="shared" si="171"/>
        <v>1.7178332013851341</v>
      </c>
      <c r="R541" s="11">
        <f>IFERROR(IF(B541="Reynolds",VLOOKUP(H541,'Yield &amp; Time'!A:U,21,0),VLOOKUP(H541,'Yield &amp; Time'!A:L,12,0)),0)</f>
        <v>1.8452723210582169</v>
      </c>
      <c r="S541" s="11">
        <f t="shared" si="163"/>
        <v>1.5615617016955161</v>
      </c>
      <c r="T541" s="11">
        <f t="shared" si="164"/>
        <v>7.6886346710759043E-2</v>
      </c>
      <c r="U541" s="11">
        <f>IF(A540=A541,0,VLOOKUP(A541,'Packing Time'!A:F,6,0))</f>
        <v>0.875</v>
      </c>
      <c r="V541" s="11">
        <f t="shared" si="157"/>
        <v>0.29618749999999999</v>
      </c>
      <c r="W541" s="11">
        <f t="shared" si="158"/>
        <v>1.4583333333333334E-2</v>
      </c>
      <c r="X541" s="11">
        <f t="shared" si="165"/>
        <v>2.0435241218650675</v>
      </c>
      <c r="Y541" s="11">
        <f t="shared" si="159"/>
        <v>2.0435241218650675</v>
      </c>
      <c r="Z541" s="37">
        <v>1</v>
      </c>
      <c r="AA541" s="36">
        <f t="shared" si="166"/>
        <v>4.520613687855616</v>
      </c>
      <c r="AB541" s="36">
        <f t="shared" si="167"/>
        <v>1.7178332013851341</v>
      </c>
      <c r="AC541" s="11">
        <f t="shared" si="168"/>
        <v>0.10061664804850162</v>
      </c>
      <c r="AD541" s="36">
        <f t="shared" si="160"/>
        <v>2.0435241218650679</v>
      </c>
      <c r="AE541" s="36"/>
      <c r="AF541" s="36">
        <f>IFERROR(VLOOKUP(AE541,'Chemical Cost'!A:D,4,0),0)</f>
        <v>0</v>
      </c>
      <c r="AG541" s="114">
        <f t="shared" si="169"/>
        <v>0</v>
      </c>
      <c r="AH541" s="36">
        <f t="shared" si="172"/>
        <v>0</v>
      </c>
      <c r="AI541" s="36">
        <f t="shared" si="161"/>
        <v>3.7613573232502016</v>
      </c>
      <c r="AJ541" s="36">
        <f>IFERROR(VLOOKUP(A541,'All Products'!A:F,6,0),0)</f>
        <v>4.1900000000000004</v>
      </c>
      <c r="AK541" s="36">
        <f>AJ541*Z541*J541</f>
        <v>4.1900000000000004</v>
      </c>
      <c r="AL541" s="23">
        <v>1</v>
      </c>
      <c r="AM541" s="23"/>
      <c r="AN541" s="54" t="e">
        <v>#N/A</v>
      </c>
      <c r="AO541" s="47"/>
      <c r="AP541" s="4">
        <v>1.1000000000000001</v>
      </c>
      <c r="AQ541" s="111">
        <f t="shared" si="170"/>
        <v>0.10061664804850162</v>
      </c>
      <c r="AR541">
        <f>_xlfn.XLOOKUP(F541,'RM Cost'!A:A,'RM Cost'!S:S)</f>
        <v>0</v>
      </c>
      <c r="AS541" t="str">
        <f>_xlfn.XLOOKUP(A541,[3]Sheet1!$B:$B,[3]Sheet1!$B:$B)</f>
        <v>Z340CS</v>
      </c>
      <c r="AT541">
        <f>_xlfn.XLOOKUP(H541,'Yield &amp; Time'!A:A,'Yield &amp; Time'!F:F)</f>
        <v>0</v>
      </c>
    </row>
    <row r="542" spans="1:46" x14ac:dyDescent="0.25">
      <c r="A542" s="2" t="s">
        <v>489</v>
      </c>
      <c r="B542" s="2" t="s">
        <v>656</v>
      </c>
      <c r="C542" s="2" t="s">
        <v>732</v>
      </c>
      <c r="D542" s="2" t="s">
        <v>554</v>
      </c>
      <c r="E542" s="2">
        <v>2.5</v>
      </c>
      <c r="F542" s="1" t="str">
        <f>VLOOKUP(H542,'RM Used'!A:B,2,0)</f>
        <v>P0008</v>
      </c>
      <c r="G542" s="1" t="str">
        <f>IFERROR(VLOOKUP(F542,'RM Cost'!A:B,2,0),"")</f>
        <v>PALE BLUE BAG 470X750MM</v>
      </c>
      <c r="H542" s="2" t="s">
        <v>1323</v>
      </c>
      <c r="I542" s="1" t="str">
        <f>VLOOKUP(F542,'RM Used'!B:D,3,0)</f>
        <v>RM-PACKING</v>
      </c>
      <c r="J542" s="66">
        <v>1</v>
      </c>
      <c r="K542" s="35" t="str">
        <f t="shared" si="156"/>
        <v/>
      </c>
      <c r="L542" s="35">
        <f t="shared" si="162"/>
        <v>0</v>
      </c>
      <c r="M542" s="77" t="str" cm="1">
        <f t="array" ref="M542">_xlfn.IFS(BOM!I542="RM-PACKING","100%",B542="Reynolds",VLOOKUP(H542,'Yield &amp; Time'!A:V,22,0),BOM!B542="Dnata",VLOOKUP(BOM!H542,'Yield &amp; Time'!A:M,13,0),B542="NK",VLOOKUP(H542,'Yield &amp; Time'!A:X,24,0))</f>
        <v>100%</v>
      </c>
      <c r="N542" s="35">
        <f t="shared" si="155"/>
        <v>1</v>
      </c>
      <c r="O542" s="1" t="str">
        <f>VLOOKUP(H542,'RM Used'!A:E,5,0)</f>
        <v>Count</v>
      </c>
      <c r="P542" s="11">
        <f>VLOOKUP(H542,'RM Used'!A:F,6,0)</f>
        <v>0.14000000000000001</v>
      </c>
      <c r="Q542" s="11">
        <f t="shared" si="171"/>
        <v>0.14000000000000001</v>
      </c>
      <c r="R542" s="11">
        <f>IFERROR(IF(B542="Reynolds",VLOOKUP(H542,'Yield &amp; Time'!A:U,21,0),VLOOKUP(H542,'Yield &amp; Time'!A:L,12,0)),0)</f>
        <v>0</v>
      </c>
      <c r="S542" s="11">
        <f t="shared" si="163"/>
        <v>0</v>
      </c>
      <c r="T542" s="11">
        <f t="shared" si="164"/>
        <v>0</v>
      </c>
      <c r="U542" s="11">
        <f>IF(A541=A542,0,VLOOKUP(A542,'Packing Time'!A:F,6,0))</f>
        <v>0</v>
      </c>
      <c r="V542" s="11">
        <f t="shared" si="157"/>
        <v>0</v>
      </c>
      <c r="W542" s="11">
        <f t="shared" si="158"/>
        <v>0</v>
      </c>
      <c r="X542" s="11">
        <f t="shared" si="165"/>
        <v>0</v>
      </c>
      <c r="Y542" s="11">
        <f t="shared" si="159"/>
        <v>0</v>
      </c>
      <c r="Z542" s="37">
        <v>1</v>
      </c>
      <c r="AA542" s="36">
        <f t="shared" si="166"/>
        <v>1</v>
      </c>
      <c r="AB542" s="36">
        <f t="shared" si="167"/>
        <v>0.14000000000000001</v>
      </c>
      <c r="AC542" s="11">
        <f t="shared" si="168"/>
        <v>0</v>
      </c>
      <c r="AD542" s="36">
        <f t="shared" si="160"/>
        <v>0</v>
      </c>
      <c r="AE542" s="36"/>
      <c r="AF542" s="36">
        <f>IFERROR(VLOOKUP(AE542,'Chemical Cost'!A:D,4,0),0)</f>
        <v>0</v>
      </c>
      <c r="AG542" s="114">
        <f t="shared" si="169"/>
        <v>0</v>
      </c>
      <c r="AH542" s="36">
        <f t="shared" si="172"/>
        <v>0</v>
      </c>
      <c r="AI542" s="36">
        <f t="shared" si="161"/>
        <v>0.14000000000000001</v>
      </c>
      <c r="AJ542" s="36">
        <f>IFERROR(VLOOKUP(A542,'All Products'!A:F,6,0),0)</f>
        <v>4.1900000000000004</v>
      </c>
      <c r="AK542" s="36"/>
      <c r="AL542" s="23">
        <v>1</v>
      </c>
      <c r="AM542" s="23"/>
      <c r="AN542" s="54" t="e">
        <v>#N/A</v>
      </c>
      <c r="AO542" s="47"/>
      <c r="AP542" s="4">
        <v>1.1000000000000001</v>
      </c>
      <c r="AQ542" s="111">
        <f t="shared" si="170"/>
        <v>0</v>
      </c>
      <c r="AR542">
        <f>_xlfn.XLOOKUP(F542,'RM Cost'!A:A,'RM Cost'!S:S)</f>
        <v>0</v>
      </c>
      <c r="AS542" t="str">
        <f>_xlfn.XLOOKUP(A542,[3]Sheet1!$B:$B,[3]Sheet1!$B:$B)</f>
        <v>Z340CS</v>
      </c>
      <c r="AT542" t="e">
        <f>_xlfn.XLOOKUP(H542,'Yield &amp; Time'!A:A,'Yield &amp; Time'!F:F)</f>
        <v>#N/A</v>
      </c>
    </row>
    <row r="543" spans="1:46" x14ac:dyDescent="0.25">
      <c r="A543" s="2" t="s">
        <v>733</v>
      </c>
      <c r="B543" s="2" t="s">
        <v>656</v>
      </c>
      <c r="C543" s="2" t="s">
        <v>734</v>
      </c>
      <c r="D543" s="2" t="s">
        <v>554</v>
      </c>
      <c r="E543" s="2">
        <v>2.5</v>
      </c>
      <c r="F543" s="1" t="str">
        <f>VLOOKUP(H543,'RM Used'!A:B,2,0)</f>
        <v>032ACS</v>
      </c>
      <c r="G543" s="1" t="str">
        <f>IFERROR(VLOOKUP(F543,'RM Cost'!A:B,2,0),"")</f>
        <v>RM - LRG PROCESSING CARROT X 1000KG</v>
      </c>
      <c r="H543" s="2" t="s">
        <v>1496</v>
      </c>
      <c r="I543" s="1" t="str">
        <f>VLOOKUP(F543,'RM Used'!B:D,3,0)</f>
        <v>RM-FOOD</v>
      </c>
      <c r="J543" s="66">
        <v>1</v>
      </c>
      <c r="K543" s="35">
        <f t="shared" si="156"/>
        <v>2.5</v>
      </c>
      <c r="L543" s="35">
        <f t="shared" si="162"/>
        <v>2.5</v>
      </c>
      <c r="M543" s="77" cm="1">
        <f t="array" ref="M543">_xlfn.IFS(BOM!I543="RM-PACKING","100%",B543="Reynolds",VLOOKUP(H543,'Yield &amp; Time'!A:V,22,0),BOM!B543="Dnata",VLOOKUP(BOM!H543,'Yield &amp; Time'!A:M,13,0),B543="NK",VLOOKUP(H543,'Yield &amp; Time'!A:X,24,0))</f>
        <v>0.73317345127230837</v>
      </c>
      <c r="N543" s="35">
        <f t="shared" ref="N543:N606" si="173">IFERROR(IF(I543="RM-FOOD",(E543*J543)/M543,1),0)</f>
        <v>3.40983432455395</v>
      </c>
      <c r="O543" s="1" t="str">
        <f>VLOOKUP(H543,'RM Used'!A:E,5,0)</f>
        <v>KG</v>
      </c>
      <c r="P543" s="11">
        <f>VLOOKUP(H543,'RM Used'!A:F,6,0)</f>
        <v>0.38</v>
      </c>
      <c r="Q543" s="11">
        <f t="shared" si="171"/>
        <v>1.2957370433305011</v>
      </c>
      <c r="R543" s="11">
        <f>IFERROR(IF(B543="Reynolds",VLOOKUP(H543,'Yield &amp; Time'!A:U,21,0),VLOOKUP(H543,'Yield &amp; Time'!A:L,12,0)),0)</f>
        <v>1.2480576795997356</v>
      </c>
      <c r="S543" s="11">
        <f t="shared" si="163"/>
        <v>1.0561688113612762</v>
      </c>
      <c r="T543" s="11">
        <f t="shared" si="164"/>
        <v>5.2002403316655649E-2</v>
      </c>
      <c r="U543" s="11">
        <f>IF(A542=A543,0,VLOOKUP(A543,'Packing Time'!A:F,6,0))</f>
        <v>0.875</v>
      </c>
      <c r="V543" s="11">
        <f t="shared" si="157"/>
        <v>0.29618749999999999</v>
      </c>
      <c r="W543" s="11">
        <f t="shared" si="158"/>
        <v>1.4583333333333334E-2</v>
      </c>
      <c r="X543" s="11">
        <f t="shared" si="165"/>
        <v>2.1637700981780421</v>
      </c>
      <c r="Y543" s="11">
        <f t="shared" si="159"/>
        <v>2.1637700981780421</v>
      </c>
      <c r="Z543" s="37">
        <v>1</v>
      </c>
      <c r="AA543" s="36">
        <f t="shared" si="166"/>
        <v>3.40983432455395</v>
      </c>
      <c r="AB543" s="36">
        <f t="shared" si="167"/>
        <v>1.2957370433305011</v>
      </c>
      <c r="AC543" s="11">
        <f t="shared" si="168"/>
        <v>0.10653717863998238</v>
      </c>
      <c r="AD543" s="36">
        <f t="shared" si="160"/>
        <v>2.1637700981780417</v>
      </c>
      <c r="AE543" s="36" t="str">
        <f>VLOOKUP(H543,'Yield &amp; Time'!A:I,9,0)</f>
        <v>CHLORINE</v>
      </c>
      <c r="AF543" s="36">
        <f>IFERROR(VLOOKUP(AE543,'Chemical Cost'!A:D,4,0),0)</f>
        <v>2.7756518066439469E-2</v>
      </c>
      <c r="AG543" s="114">
        <f t="shared" si="169"/>
        <v>3.1548376011015712E-2</v>
      </c>
      <c r="AH543" s="36">
        <f t="shared" si="172"/>
        <v>3.1548376011015712E-2</v>
      </c>
      <c r="AI543" s="36">
        <f t="shared" si="161"/>
        <v>3.4910555175195586</v>
      </c>
      <c r="AJ543" s="36">
        <f>IFERROR(VLOOKUP(A543,'All Products'!A:F,6,0),0)</f>
        <v>3.67</v>
      </c>
      <c r="AK543" s="36">
        <f>AJ543*Z543*J543</f>
        <v>3.67</v>
      </c>
      <c r="AL543" s="23">
        <v>1</v>
      </c>
      <c r="AM543" s="23"/>
      <c r="AN543" s="54" t="e">
        <v>#N/A</v>
      </c>
      <c r="AO543" s="47"/>
      <c r="AP543" s="4">
        <v>1.6</v>
      </c>
      <c r="AQ543" s="111">
        <f t="shared" si="170"/>
        <v>0.10653717863998238</v>
      </c>
      <c r="AR543">
        <f>_xlfn.XLOOKUP(F543,'RM Cost'!A:A,'RM Cost'!S:S)</f>
        <v>0</v>
      </c>
      <c r="AS543" t="e">
        <f>_xlfn.XLOOKUP(A543,[3]Sheet1!$B:$B,[3]Sheet1!$B:$B)</f>
        <v>#N/A</v>
      </c>
    </row>
    <row r="544" spans="1:46" x14ac:dyDescent="0.25">
      <c r="A544" s="2" t="s">
        <v>733</v>
      </c>
      <c r="B544" s="2" t="s">
        <v>656</v>
      </c>
      <c r="C544" s="2" t="s">
        <v>734</v>
      </c>
      <c r="D544" s="2" t="s">
        <v>554</v>
      </c>
      <c r="E544" s="2">
        <v>2.5</v>
      </c>
      <c r="F544" s="1" t="str">
        <f>VLOOKUP(H544,'RM Used'!A:B,2,0)</f>
        <v>P0008</v>
      </c>
      <c r="G544" s="1" t="str">
        <f>IFERROR(VLOOKUP(F544,'RM Cost'!A:B,2,0),"")</f>
        <v>PALE BLUE BAG 470X750MM</v>
      </c>
      <c r="H544" s="2" t="s">
        <v>1323</v>
      </c>
      <c r="I544" s="1" t="str">
        <f>VLOOKUP(F544,'RM Used'!B:D,3,0)</f>
        <v>RM-PACKING</v>
      </c>
      <c r="J544" s="66">
        <v>1</v>
      </c>
      <c r="K544" s="35" t="str">
        <f t="shared" si="156"/>
        <v/>
      </c>
      <c r="L544" s="35">
        <f t="shared" si="162"/>
        <v>0</v>
      </c>
      <c r="M544" s="77" t="str" cm="1">
        <f t="array" ref="M544">_xlfn.IFS(BOM!I544="RM-PACKING","100%",B544="Reynolds",VLOOKUP(H544,'Yield &amp; Time'!A:V,22,0),BOM!B544="Dnata",VLOOKUP(BOM!H544,'Yield &amp; Time'!A:M,13,0),B544="NK",VLOOKUP(H544,'Yield &amp; Time'!A:X,24,0))</f>
        <v>100%</v>
      </c>
      <c r="N544" s="35">
        <f t="shared" si="173"/>
        <v>1</v>
      </c>
      <c r="O544" s="1" t="str">
        <f>VLOOKUP(H544,'RM Used'!A:E,5,0)</f>
        <v>Count</v>
      </c>
      <c r="P544" s="11">
        <f>VLOOKUP(H544,'RM Used'!A:F,6,0)</f>
        <v>0.14000000000000001</v>
      </c>
      <c r="Q544" s="11">
        <f t="shared" si="171"/>
        <v>0.14000000000000001</v>
      </c>
      <c r="R544" s="11">
        <f>IFERROR(IF(B544="Reynolds",VLOOKUP(H544,'Yield &amp; Time'!A:U,21,0),VLOOKUP(H544,'Yield &amp; Time'!A:L,12,0)),0)</f>
        <v>0</v>
      </c>
      <c r="S544" s="11">
        <f t="shared" si="163"/>
        <v>0</v>
      </c>
      <c r="T544" s="11">
        <f t="shared" si="164"/>
        <v>0</v>
      </c>
      <c r="U544" s="11">
        <f>IF(A543=A544,0,VLOOKUP(A544,'Packing Time'!A:F,6,0))</f>
        <v>0</v>
      </c>
      <c r="V544" s="11">
        <f t="shared" si="157"/>
        <v>0</v>
      </c>
      <c r="W544" s="11">
        <f t="shared" si="158"/>
        <v>0</v>
      </c>
      <c r="X544" s="11">
        <f t="shared" si="165"/>
        <v>0</v>
      </c>
      <c r="Y544" s="11">
        <f t="shared" si="159"/>
        <v>0</v>
      </c>
      <c r="Z544" s="37">
        <v>1</v>
      </c>
      <c r="AA544" s="36">
        <f t="shared" si="166"/>
        <v>1</v>
      </c>
      <c r="AB544" s="36">
        <f t="shared" si="167"/>
        <v>0.14000000000000001</v>
      </c>
      <c r="AC544" s="11">
        <f t="shared" si="168"/>
        <v>0</v>
      </c>
      <c r="AD544" s="36">
        <f t="shared" si="160"/>
        <v>0</v>
      </c>
      <c r="AE544" s="36"/>
      <c r="AF544" s="36">
        <f>IFERROR(VLOOKUP(AE544,'Chemical Cost'!A:D,4,0),0)</f>
        <v>0</v>
      </c>
      <c r="AG544" s="114">
        <f t="shared" si="169"/>
        <v>0</v>
      </c>
      <c r="AH544" s="36">
        <f t="shared" si="172"/>
        <v>0</v>
      </c>
      <c r="AI544" s="36">
        <f t="shared" si="161"/>
        <v>0.14000000000000001</v>
      </c>
      <c r="AJ544" s="36">
        <f>IFERROR(VLOOKUP(A544,'All Products'!A:F,6,0),0)</f>
        <v>3.67</v>
      </c>
      <c r="AK544" s="36"/>
      <c r="AL544" s="23">
        <v>1</v>
      </c>
      <c r="AM544" s="23"/>
      <c r="AN544" s="54" t="e">
        <v>#N/A</v>
      </c>
      <c r="AO544" s="47"/>
      <c r="AP544" s="4">
        <v>1.6</v>
      </c>
      <c r="AQ544" s="111">
        <f t="shared" si="170"/>
        <v>0</v>
      </c>
      <c r="AR544">
        <f>_xlfn.XLOOKUP(F544,'RM Cost'!A:A,'RM Cost'!S:S)</f>
        <v>0</v>
      </c>
      <c r="AS544" t="e">
        <f>_xlfn.XLOOKUP(A544,[3]Sheet1!$B:$B,[3]Sheet1!$B:$B)</f>
        <v>#N/A</v>
      </c>
    </row>
    <row r="545" spans="1:46" x14ac:dyDescent="0.25">
      <c r="A545" s="2" t="s">
        <v>487</v>
      </c>
      <c r="B545" s="2" t="s">
        <v>656</v>
      </c>
      <c r="C545" s="2" t="s">
        <v>488</v>
      </c>
      <c r="D545" s="2" t="s">
        <v>554</v>
      </c>
      <c r="E545" s="2">
        <v>1</v>
      </c>
      <c r="F545" s="1" t="str">
        <f>VLOOKUP(H545,'RM Used'!A:B,2,0)</f>
        <v>5267CS</v>
      </c>
      <c r="G545" s="1" t="str">
        <f>IFERROR(VLOOKUP(F545,'RM Cost'!A:B,2,0),"")</f>
        <v>RM - CAULIFLOWER X 9KG</v>
      </c>
      <c r="H545" s="2" t="s">
        <v>1497</v>
      </c>
      <c r="I545" s="1" t="str">
        <f>VLOOKUP(F545,'RM Used'!B:D,3,0)</f>
        <v>RM-FOOD</v>
      </c>
      <c r="J545" s="66">
        <v>1</v>
      </c>
      <c r="K545" s="35">
        <f t="shared" ref="K545:K608" si="174">IF(I545="RM-FOOD",J545*E545,"")</f>
        <v>1</v>
      </c>
      <c r="L545" s="35">
        <f t="shared" si="162"/>
        <v>1</v>
      </c>
      <c r="M545" s="77" cm="1">
        <f t="array" ref="M545">_xlfn.IFS(BOM!I545="RM-PACKING","100%",B545="Reynolds",VLOOKUP(H545,'Yield &amp; Time'!A:V,22,0),BOM!B545="Dnata",VLOOKUP(BOM!H545,'Yield &amp; Time'!A:M,13,0),B545="NK",VLOOKUP(H545,'Yield &amp; Time'!A:X,24,0))</f>
        <v>0.49780219780219787</v>
      </c>
      <c r="N545" s="35">
        <f t="shared" si="173"/>
        <v>2.0088300220750548</v>
      </c>
      <c r="O545" s="1" t="str">
        <f>VLOOKUP(H545,'RM Used'!A:E,5,0)</f>
        <v>KG</v>
      </c>
      <c r="P545" s="11">
        <f>VLOOKUP(H545,'RM Used'!A:F,6,0)</f>
        <v>0.6</v>
      </c>
      <c r="Q545" s="11">
        <f t="shared" si="171"/>
        <v>1.2052980132450328</v>
      </c>
      <c r="R545" s="11">
        <f>IFERROR(IF(B545="Reynolds",VLOOKUP(H545,'Yield &amp; Time'!A:U,21,0),VLOOKUP(H545,'Yield &amp; Time'!A:L,12,0)),0)</f>
        <v>2.9323031640912434</v>
      </c>
      <c r="S545" s="11">
        <f t="shared" si="163"/>
        <v>0.99258462104488576</v>
      </c>
      <c r="T545" s="11">
        <f t="shared" si="164"/>
        <v>4.887171940152072E-2</v>
      </c>
      <c r="U545" s="11">
        <f>IF(A544=A545,0,VLOOKUP(A545,'Packing Time'!A:F,6,0))</f>
        <v>0.64166666666666661</v>
      </c>
      <c r="V545" s="11">
        <f t="shared" si="157"/>
        <v>0.21720416666666661</v>
      </c>
      <c r="W545" s="11">
        <f t="shared" si="158"/>
        <v>1.0694444444444444E-2</v>
      </c>
      <c r="X545" s="11">
        <f t="shared" si="165"/>
        <v>1.9356620603384842</v>
      </c>
      <c r="Y545" s="11">
        <f t="shared" si="159"/>
        <v>1.9356620603384842</v>
      </c>
      <c r="Z545" s="37">
        <v>1</v>
      </c>
      <c r="AA545" s="36">
        <f t="shared" si="166"/>
        <v>2.0088300220750548</v>
      </c>
      <c r="AB545" s="36">
        <f t="shared" si="167"/>
        <v>1.2052980132450328</v>
      </c>
      <c r="AC545" s="11">
        <f t="shared" si="168"/>
        <v>9.5305862153544266E-2</v>
      </c>
      <c r="AD545" s="36">
        <f t="shared" si="160"/>
        <v>1.9356620603384838</v>
      </c>
      <c r="AE545" s="36"/>
      <c r="AF545" s="36">
        <f>IFERROR(VLOOKUP(AE545,'Chemical Cost'!A:D,4,0),0)</f>
        <v>0</v>
      </c>
      <c r="AG545" s="114">
        <f t="shared" si="169"/>
        <v>0</v>
      </c>
      <c r="AH545" s="36">
        <f t="shared" si="172"/>
        <v>0</v>
      </c>
      <c r="AI545" s="36">
        <f t="shared" si="161"/>
        <v>3.1409600735835168</v>
      </c>
      <c r="AJ545" s="36">
        <f>IFERROR(VLOOKUP(A545,'All Products'!A:F,6,0),0)</f>
        <v>6.21</v>
      </c>
      <c r="AK545" s="36">
        <f>AJ545*Z545*J545</f>
        <v>6.21</v>
      </c>
      <c r="AL545" s="23">
        <v>1</v>
      </c>
      <c r="AM545" s="23"/>
      <c r="AN545" s="54" t="e">
        <v>#N/A</v>
      </c>
      <c r="AO545" s="47"/>
      <c r="AP545" s="4">
        <v>1.6</v>
      </c>
      <c r="AQ545" s="111">
        <f t="shared" si="170"/>
        <v>9.5305862153544266E-2</v>
      </c>
      <c r="AR545">
        <f>_xlfn.XLOOKUP(F545,'RM Cost'!A:A,'RM Cost'!S:S)</f>
        <v>0</v>
      </c>
      <c r="AS545" t="e">
        <f>_xlfn.XLOOKUP(A545,[3]Sheet1!$B:$B,[3]Sheet1!$B:$B)</f>
        <v>#N/A</v>
      </c>
    </row>
    <row r="546" spans="1:46" x14ac:dyDescent="0.25">
      <c r="A546" s="2" t="s">
        <v>487</v>
      </c>
      <c r="B546" s="2" t="s">
        <v>656</v>
      </c>
      <c r="C546" s="2" t="s">
        <v>488</v>
      </c>
      <c r="D546" s="2" t="s">
        <v>554</v>
      </c>
      <c r="E546" s="2">
        <v>1</v>
      </c>
      <c r="F546" s="1" t="str">
        <f>VLOOKUP(H546,'RM Used'!A:B,2,0)</f>
        <v>P0008</v>
      </c>
      <c r="G546" s="1" t="str">
        <f>IFERROR(VLOOKUP(F546,'RM Cost'!A:B,2,0),"")</f>
        <v>PALE BLUE BAG 470X750MM</v>
      </c>
      <c r="H546" s="2" t="s">
        <v>1323</v>
      </c>
      <c r="I546" s="1" t="str">
        <f>VLOOKUP(F546,'RM Used'!B:D,3,0)</f>
        <v>RM-PACKING</v>
      </c>
      <c r="J546" s="66">
        <v>1</v>
      </c>
      <c r="K546" s="35" t="str">
        <f t="shared" si="174"/>
        <v/>
      </c>
      <c r="L546" s="35">
        <f t="shared" si="162"/>
        <v>0</v>
      </c>
      <c r="M546" s="77" t="str" cm="1">
        <f t="array" ref="M546">_xlfn.IFS(BOM!I546="RM-PACKING","100%",B546="Reynolds",VLOOKUP(H546,'Yield &amp; Time'!A:V,22,0),BOM!B546="Dnata",VLOOKUP(BOM!H546,'Yield &amp; Time'!A:M,13,0),B546="NK",VLOOKUP(H546,'Yield &amp; Time'!A:X,24,0))</f>
        <v>100%</v>
      </c>
      <c r="N546" s="35">
        <f t="shared" si="173"/>
        <v>1</v>
      </c>
      <c r="O546" s="1" t="str">
        <f>VLOOKUP(H546,'RM Used'!A:E,5,0)</f>
        <v>Count</v>
      </c>
      <c r="P546" s="11">
        <f>VLOOKUP(H546,'RM Used'!A:F,6,0)</f>
        <v>0.14000000000000001</v>
      </c>
      <c r="Q546" s="11">
        <f t="shared" si="171"/>
        <v>0.14000000000000001</v>
      </c>
      <c r="R546" s="11">
        <f>IFERROR(IF(B546="Reynolds",VLOOKUP(H546,'Yield &amp; Time'!A:U,21,0),VLOOKUP(H546,'Yield &amp; Time'!A:L,12,0)),0)</f>
        <v>0</v>
      </c>
      <c r="S546" s="11">
        <f t="shared" si="163"/>
        <v>0</v>
      </c>
      <c r="T546" s="11">
        <f t="shared" si="164"/>
        <v>0</v>
      </c>
      <c r="U546" s="11">
        <f>IF(A545=A546,0,VLOOKUP(A546,'Packing Time'!A:F,6,0))</f>
        <v>0</v>
      </c>
      <c r="V546" s="11">
        <f t="shared" ref="V546:V609" si="175">U546*AO$1</f>
        <v>0</v>
      </c>
      <c r="W546" s="11">
        <f t="shared" ref="W546:W609" si="176">(U546*Z546)/60</f>
        <v>0</v>
      </c>
      <c r="X546" s="11">
        <f t="shared" si="165"/>
        <v>0</v>
      </c>
      <c r="Y546" s="11">
        <f t="shared" ref="Y546:Y609" si="177">X546*Z546</f>
        <v>0</v>
      </c>
      <c r="Z546" s="37">
        <v>1</v>
      </c>
      <c r="AA546" s="36">
        <f t="shared" si="166"/>
        <v>1</v>
      </c>
      <c r="AB546" s="36">
        <f t="shared" si="167"/>
        <v>0.14000000000000001</v>
      </c>
      <c r="AC546" s="11">
        <f t="shared" si="168"/>
        <v>0</v>
      </c>
      <c r="AD546" s="36">
        <f t="shared" ref="AD546:AD609" si="178">AC546*60*AO$1</f>
        <v>0</v>
      </c>
      <c r="AE546" s="36"/>
      <c r="AF546" s="36">
        <f>IFERROR(VLOOKUP(AE546,'Chemical Cost'!A:D,4,0),0)</f>
        <v>0</v>
      </c>
      <c r="AG546" s="114">
        <f t="shared" si="169"/>
        <v>0</v>
      </c>
      <c r="AH546" s="36">
        <f t="shared" si="172"/>
        <v>0</v>
      </c>
      <c r="AI546" s="36">
        <f t="shared" ref="AI546:AI609" si="179">IFERROR((Q546*Z546)+(Z546*X546)+AH546,0)</f>
        <v>0.14000000000000001</v>
      </c>
      <c r="AJ546" s="36">
        <f>IFERROR(VLOOKUP(A546,'All Products'!A:F,6,0),0)</f>
        <v>6.21</v>
      </c>
      <c r="AK546" s="36"/>
      <c r="AL546" s="23">
        <v>1</v>
      </c>
      <c r="AM546" s="23"/>
      <c r="AN546" s="54" t="e">
        <v>#N/A</v>
      </c>
      <c r="AO546" s="47"/>
      <c r="AP546" s="4">
        <v>1.6</v>
      </c>
      <c r="AQ546" s="111">
        <f t="shared" si="170"/>
        <v>0</v>
      </c>
      <c r="AR546">
        <f>_xlfn.XLOOKUP(F546,'RM Cost'!A:A,'RM Cost'!S:S)</f>
        <v>0</v>
      </c>
      <c r="AS546" t="e">
        <f>_xlfn.XLOOKUP(A546,[3]Sheet1!$B:$B,[3]Sheet1!$B:$B)</f>
        <v>#N/A</v>
      </c>
    </row>
    <row r="547" spans="1:46" x14ac:dyDescent="0.25">
      <c r="A547" s="2" t="s">
        <v>317</v>
      </c>
      <c r="B547" s="2" t="s">
        <v>656</v>
      </c>
      <c r="C547" s="2" t="s">
        <v>318</v>
      </c>
      <c r="D547" s="2" t="s">
        <v>554</v>
      </c>
      <c r="E547" s="2">
        <v>2.5</v>
      </c>
      <c r="F547" s="1" t="str">
        <f>VLOOKUP(H547,'RM Used'!A:B,2,0)</f>
        <v>5267CS</v>
      </c>
      <c r="G547" s="1" t="str">
        <f>IFERROR(VLOOKUP(F547,'RM Cost'!A:B,2,0),"")</f>
        <v>RM - CAULIFLOWER X 9KG</v>
      </c>
      <c r="H547" s="2" t="s">
        <v>1497</v>
      </c>
      <c r="I547" s="1" t="str">
        <f>VLOOKUP(F547,'RM Used'!B:D,3,0)</f>
        <v>RM-FOOD</v>
      </c>
      <c r="J547" s="66">
        <v>1</v>
      </c>
      <c r="K547" s="35">
        <f t="shared" si="174"/>
        <v>2.5</v>
      </c>
      <c r="L547" s="35">
        <f t="shared" si="162"/>
        <v>2.5</v>
      </c>
      <c r="M547" s="77" cm="1">
        <f t="array" ref="M547">_xlfn.IFS(BOM!I547="RM-PACKING","100%",B547="Reynolds",VLOOKUP(H547,'Yield &amp; Time'!A:V,22,0),BOM!B547="Dnata",VLOOKUP(BOM!H547,'Yield &amp; Time'!A:M,13,0),B547="NK",VLOOKUP(H547,'Yield &amp; Time'!A:X,24,0))</f>
        <v>0.49780219780219787</v>
      </c>
      <c r="N547" s="35">
        <f t="shared" si="173"/>
        <v>5.0220750551876376</v>
      </c>
      <c r="O547" s="1" t="str">
        <f>VLOOKUP(H547,'RM Used'!A:E,5,0)</f>
        <v>KG</v>
      </c>
      <c r="P547" s="11">
        <f>VLOOKUP(H547,'RM Used'!A:F,6,0)</f>
        <v>0.6</v>
      </c>
      <c r="Q547" s="11">
        <f t="shared" si="171"/>
        <v>3.0132450331125824</v>
      </c>
      <c r="R547" s="11">
        <f>IFERROR(IF(B547="Reynolds",VLOOKUP(H547,'Yield &amp; Time'!A:U,21,0),VLOOKUP(H547,'Yield &amp; Time'!A:L,12,0)),0)</f>
        <v>2.9323031640912434</v>
      </c>
      <c r="S547" s="11">
        <f t="shared" si="163"/>
        <v>2.4814615526122146</v>
      </c>
      <c r="T547" s="11">
        <f t="shared" si="164"/>
        <v>0.1221792985038018</v>
      </c>
      <c r="U547" s="11">
        <f>IF(A546=A547,0,VLOOKUP(A547,'Packing Time'!A:F,6,0))</f>
        <v>0.875</v>
      </c>
      <c r="V547" s="11">
        <f t="shared" si="175"/>
        <v>0.29618749999999999</v>
      </c>
      <c r="W547" s="11">
        <f t="shared" si="176"/>
        <v>1.4583333333333334E-2</v>
      </c>
      <c r="X547" s="11">
        <f t="shared" si="165"/>
        <v>3.8887086736570997</v>
      </c>
      <c r="Y547" s="11">
        <f t="shared" si="177"/>
        <v>3.8887086736570997</v>
      </c>
      <c r="Z547" s="37">
        <v>1</v>
      </c>
      <c r="AA547" s="36">
        <f t="shared" si="166"/>
        <v>5.0220750551876376</v>
      </c>
      <c r="AB547" s="36">
        <f t="shared" si="167"/>
        <v>3.0132450331125824</v>
      </c>
      <c r="AC547" s="11">
        <f t="shared" si="168"/>
        <v>0.19146768457198918</v>
      </c>
      <c r="AD547" s="36">
        <f t="shared" si="178"/>
        <v>3.8887086736570997</v>
      </c>
      <c r="AE547" s="36"/>
      <c r="AF547" s="36">
        <f>IFERROR(VLOOKUP(AE547,'Chemical Cost'!A:D,4,0),0)</f>
        <v>0</v>
      </c>
      <c r="AG547" s="114">
        <f t="shared" si="169"/>
        <v>0</v>
      </c>
      <c r="AH547" s="36">
        <f t="shared" si="172"/>
        <v>0</v>
      </c>
      <c r="AI547" s="36">
        <f t="shared" si="179"/>
        <v>6.9019537067696817</v>
      </c>
      <c r="AJ547" s="36">
        <f>IFERROR(VLOOKUP(A547,'All Products'!A:F,6,0),0)</f>
        <v>15.51</v>
      </c>
      <c r="AK547" s="36">
        <f>AJ547*Z547*J547</f>
        <v>15.51</v>
      </c>
      <c r="AL547" s="23">
        <v>1</v>
      </c>
      <c r="AM547" s="23"/>
      <c r="AN547" s="54" t="e">
        <v>#N/A</v>
      </c>
      <c r="AO547" s="47"/>
      <c r="AP547" s="4">
        <v>1.4</v>
      </c>
      <c r="AQ547" s="111">
        <f t="shared" si="170"/>
        <v>0.19146768457198918</v>
      </c>
      <c r="AR547">
        <f>_xlfn.XLOOKUP(F547,'RM Cost'!A:A,'RM Cost'!S:S)</f>
        <v>0</v>
      </c>
      <c r="AS547" t="e">
        <f>_xlfn.XLOOKUP(A547,[3]Sheet1!$B:$B,[3]Sheet1!$B:$B)</f>
        <v>#N/A</v>
      </c>
    </row>
    <row r="548" spans="1:46" x14ac:dyDescent="0.25">
      <c r="A548" s="2" t="s">
        <v>317</v>
      </c>
      <c r="B548" s="2" t="s">
        <v>656</v>
      </c>
      <c r="C548" s="2" t="s">
        <v>318</v>
      </c>
      <c r="D548" s="2" t="s">
        <v>554</v>
      </c>
      <c r="E548" s="2">
        <v>2.5</v>
      </c>
      <c r="F548" s="1" t="str">
        <f>VLOOKUP(H548,'RM Used'!A:B,2,0)</f>
        <v>P0008</v>
      </c>
      <c r="G548" s="1" t="str">
        <f>IFERROR(VLOOKUP(F548,'RM Cost'!A:B,2,0),"")</f>
        <v>PALE BLUE BAG 470X750MM</v>
      </c>
      <c r="H548" s="2" t="s">
        <v>1323</v>
      </c>
      <c r="I548" s="1" t="str">
        <f>VLOOKUP(F548,'RM Used'!B:D,3,0)</f>
        <v>RM-PACKING</v>
      </c>
      <c r="J548" s="66">
        <v>1</v>
      </c>
      <c r="K548" s="35" t="str">
        <f t="shared" si="174"/>
        <v/>
      </c>
      <c r="L548" s="35">
        <f t="shared" si="162"/>
        <v>0</v>
      </c>
      <c r="M548" s="77" t="str" cm="1">
        <f t="array" ref="M548">_xlfn.IFS(BOM!I548="RM-PACKING","100%",B548="Reynolds",VLOOKUP(H548,'Yield &amp; Time'!A:V,22,0),BOM!B548="Dnata",VLOOKUP(BOM!H548,'Yield &amp; Time'!A:M,13,0),B548="NK",VLOOKUP(H548,'Yield &amp; Time'!A:X,24,0))</f>
        <v>100%</v>
      </c>
      <c r="N548" s="35">
        <f t="shared" si="173"/>
        <v>1</v>
      </c>
      <c r="O548" s="1" t="str">
        <f>VLOOKUP(H548,'RM Used'!A:E,5,0)</f>
        <v>Count</v>
      </c>
      <c r="P548" s="11">
        <f>VLOOKUP(H548,'RM Used'!A:F,6,0)</f>
        <v>0.14000000000000001</v>
      </c>
      <c r="Q548" s="11">
        <f t="shared" si="171"/>
        <v>0.14000000000000001</v>
      </c>
      <c r="R548" s="11">
        <f>IFERROR(IF(B548="Reynolds",VLOOKUP(H548,'Yield &amp; Time'!A:U,21,0),VLOOKUP(H548,'Yield &amp; Time'!A:L,12,0)),0)</f>
        <v>0</v>
      </c>
      <c r="S548" s="11">
        <f t="shared" si="163"/>
        <v>0</v>
      </c>
      <c r="T548" s="11">
        <f t="shared" si="164"/>
        <v>0</v>
      </c>
      <c r="U548" s="11">
        <f>IF(A547=A548,0,VLOOKUP(A548,'Packing Time'!A:F,6,0))</f>
        <v>0</v>
      </c>
      <c r="V548" s="11">
        <f t="shared" si="175"/>
        <v>0</v>
      </c>
      <c r="W548" s="11">
        <f t="shared" si="176"/>
        <v>0</v>
      </c>
      <c r="X548" s="11">
        <f t="shared" si="165"/>
        <v>0</v>
      </c>
      <c r="Y548" s="11">
        <f t="shared" si="177"/>
        <v>0</v>
      </c>
      <c r="Z548" s="37">
        <v>1</v>
      </c>
      <c r="AA548" s="36">
        <f t="shared" si="166"/>
        <v>1</v>
      </c>
      <c r="AB548" s="36">
        <f t="shared" si="167"/>
        <v>0.14000000000000001</v>
      </c>
      <c r="AC548" s="11">
        <f t="shared" si="168"/>
        <v>0</v>
      </c>
      <c r="AD548" s="36">
        <f t="shared" si="178"/>
        <v>0</v>
      </c>
      <c r="AE548" s="36"/>
      <c r="AF548" s="36">
        <f>IFERROR(VLOOKUP(AE548,'Chemical Cost'!A:D,4,0),0)</f>
        <v>0</v>
      </c>
      <c r="AG548" s="114">
        <f t="shared" si="169"/>
        <v>0</v>
      </c>
      <c r="AH548" s="36">
        <f t="shared" si="172"/>
        <v>0</v>
      </c>
      <c r="AI548" s="36">
        <f t="shared" si="179"/>
        <v>0.14000000000000001</v>
      </c>
      <c r="AJ548" s="36">
        <f>IFERROR(VLOOKUP(A548,'All Products'!A:F,6,0),0)</f>
        <v>15.51</v>
      </c>
      <c r="AK548" s="36"/>
      <c r="AL548" s="23">
        <v>1</v>
      </c>
      <c r="AM548" s="23"/>
      <c r="AN548" s="54" t="e">
        <v>#N/A</v>
      </c>
      <c r="AO548" s="47"/>
      <c r="AP548" s="4">
        <v>1.4</v>
      </c>
      <c r="AQ548" s="111">
        <f t="shared" si="170"/>
        <v>0</v>
      </c>
      <c r="AR548">
        <f>_xlfn.XLOOKUP(F548,'RM Cost'!A:A,'RM Cost'!S:S)</f>
        <v>0</v>
      </c>
      <c r="AS548" t="e">
        <f>_xlfn.XLOOKUP(A548,[3]Sheet1!$B:$B,[3]Sheet1!$B:$B)</f>
        <v>#N/A</v>
      </c>
    </row>
    <row r="549" spans="1:46" x14ac:dyDescent="0.25">
      <c r="A549" s="2" t="s">
        <v>315</v>
      </c>
      <c r="B549" s="2" t="s">
        <v>656</v>
      </c>
      <c r="C549" s="2" t="s">
        <v>316</v>
      </c>
      <c r="D549" s="2" t="s">
        <v>554</v>
      </c>
      <c r="E549" s="2">
        <v>1</v>
      </c>
      <c r="F549" s="1" t="str">
        <f>VLOOKUP(H549,'RM Used'!A:B,2,0)</f>
        <v>5267CS</v>
      </c>
      <c r="G549" s="1" t="str">
        <f>IFERROR(VLOOKUP(F549,'RM Cost'!A:B,2,0),"")</f>
        <v>RM - CAULIFLOWER X 9KG</v>
      </c>
      <c r="H549" s="2" t="s">
        <v>1498</v>
      </c>
      <c r="I549" s="1" t="str">
        <f>VLOOKUP(F549,'RM Used'!B:D,3,0)</f>
        <v>RM-FOOD</v>
      </c>
      <c r="J549" s="66">
        <v>1</v>
      </c>
      <c r="K549" s="35">
        <f t="shared" si="174"/>
        <v>1</v>
      </c>
      <c r="L549" s="35">
        <f t="shared" si="162"/>
        <v>1</v>
      </c>
      <c r="M549" s="77" cm="1">
        <f t="array" ref="M549">_xlfn.IFS(BOM!I549="RM-PACKING","100%",B549="Reynolds",VLOOKUP(H549,'Yield &amp; Time'!A:V,22,0),BOM!B549="Dnata",VLOOKUP(BOM!H549,'Yield &amp; Time'!A:M,13,0),B549="NK",VLOOKUP(H549,'Yield &amp; Time'!A:X,24,0))</f>
        <v>0.3530120481927711</v>
      </c>
      <c r="N549" s="35">
        <f t="shared" si="173"/>
        <v>2.8327645051194539</v>
      </c>
      <c r="O549" s="1" t="str">
        <f>VLOOKUP(H549,'RM Used'!A:E,5,0)</f>
        <v>KG</v>
      </c>
      <c r="P549" s="11">
        <f>VLOOKUP(H549,'RM Used'!A:F,6,0)</f>
        <v>0.6</v>
      </c>
      <c r="Q549" s="11">
        <f t="shared" si="171"/>
        <v>1.6996587030716723</v>
      </c>
      <c r="R549" s="11">
        <f>IFERROR(IF(B549="Reynolds",VLOOKUP(H549,'Yield &amp; Time'!A:U,21,0),VLOOKUP(H549,'Yield &amp; Time'!A:L,12,0)),0)</f>
        <v>4.8350398179749714</v>
      </c>
      <c r="S549" s="11">
        <f t="shared" si="163"/>
        <v>1.6366609783845276</v>
      </c>
      <c r="T549" s="11">
        <f t="shared" si="164"/>
        <v>8.058399696624953E-2</v>
      </c>
      <c r="U549" s="11">
        <f>IF(A548=A549,0,VLOOKUP(A549,'Packing Time'!A:F,6,0))</f>
        <v>0.64166666666666661</v>
      </c>
      <c r="V549" s="11">
        <f t="shared" si="175"/>
        <v>0.21720416666666661</v>
      </c>
      <c r="W549" s="11">
        <f t="shared" si="176"/>
        <v>1.0694444444444444E-2</v>
      </c>
      <c r="X549" s="11">
        <f t="shared" si="165"/>
        <v>2.9661842320819112</v>
      </c>
      <c r="Y549" s="11">
        <f t="shared" si="177"/>
        <v>2.9661842320819112</v>
      </c>
      <c r="Z549" s="37">
        <v>1</v>
      </c>
      <c r="AA549" s="36">
        <f t="shared" si="166"/>
        <v>2.8327645051194539</v>
      </c>
      <c r="AB549" s="36">
        <f t="shared" si="167"/>
        <v>1.6996587030716723</v>
      </c>
      <c r="AC549" s="11">
        <f t="shared" si="168"/>
        <v>0.14604550625711035</v>
      </c>
      <c r="AD549" s="36">
        <f t="shared" si="178"/>
        <v>2.9661842320819107</v>
      </c>
      <c r="AE549" s="36"/>
      <c r="AF549" s="36">
        <f>IFERROR(VLOOKUP(AE549,'Chemical Cost'!A:D,4,0),0)</f>
        <v>0</v>
      </c>
      <c r="AG549" s="114">
        <f t="shared" si="169"/>
        <v>0</v>
      </c>
      <c r="AH549" s="36">
        <f t="shared" si="172"/>
        <v>0</v>
      </c>
      <c r="AI549" s="36">
        <f t="shared" si="179"/>
        <v>4.6658429351535835</v>
      </c>
      <c r="AJ549" s="36">
        <f>IFERROR(VLOOKUP(A549,'All Products'!A:F,6,0),0)</f>
        <v>5.85</v>
      </c>
      <c r="AK549" s="36">
        <f>AJ549*Z549*J549</f>
        <v>5.85</v>
      </c>
      <c r="AL549" s="23">
        <v>1</v>
      </c>
      <c r="AM549" s="23"/>
      <c r="AN549" s="54" t="e">
        <v>#N/A</v>
      </c>
      <c r="AO549" s="47"/>
      <c r="AP549" s="4">
        <v>1.6</v>
      </c>
      <c r="AQ549" s="111">
        <f t="shared" si="170"/>
        <v>0.14604550625711035</v>
      </c>
      <c r="AR549">
        <f>_xlfn.XLOOKUP(F549,'RM Cost'!A:A,'RM Cost'!S:S)</f>
        <v>0</v>
      </c>
      <c r="AS549" t="e">
        <f>_xlfn.XLOOKUP(A549,[3]Sheet1!$B:$B,[3]Sheet1!$B:$B)</f>
        <v>#N/A</v>
      </c>
    </row>
    <row r="550" spans="1:46" x14ac:dyDescent="0.25">
      <c r="A550" s="2" t="s">
        <v>315</v>
      </c>
      <c r="B550" s="2" t="s">
        <v>656</v>
      </c>
      <c r="C550" s="2" t="s">
        <v>316</v>
      </c>
      <c r="D550" s="2" t="s">
        <v>554</v>
      </c>
      <c r="E550" s="2">
        <v>1</v>
      </c>
      <c r="F550" s="1" t="str">
        <f>VLOOKUP(H550,'RM Used'!A:B,2,0)</f>
        <v>P0008</v>
      </c>
      <c r="G550" s="1" t="str">
        <f>IFERROR(VLOOKUP(F550,'RM Cost'!A:B,2,0),"")</f>
        <v>PALE BLUE BAG 470X750MM</v>
      </c>
      <c r="H550" s="2" t="s">
        <v>1323</v>
      </c>
      <c r="I550" s="1" t="str">
        <f>VLOOKUP(F550,'RM Used'!B:D,3,0)</f>
        <v>RM-PACKING</v>
      </c>
      <c r="J550" s="66">
        <v>1</v>
      </c>
      <c r="K550" s="35" t="str">
        <f t="shared" si="174"/>
        <v/>
      </c>
      <c r="L550" s="35">
        <f t="shared" si="162"/>
        <v>0</v>
      </c>
      <c r="M550" s="77" t="str" cm="1">
        <f t="array" ref="M550">_xlfn.IFS(BOM!I550="RM-PACKING","100%",B550="Reynolds",VLOOKUP(H550,'Yield &amp; Time'!A:V,22,0),BOM!B550="Dnata",VLOOKUP(BOM!H550,'Yield &amp; Time'!A:M,13,0),B550="NK",VLOOKUP(H550,'Yield &amp; Time'!A:X,24,0))</f>
        <v>100%</v>
      </c>
      <c r="N550" s="35">
        <f t="shared" si="173"/>
        <v>1</v>
      </c>
      <c r="O550" s="1" t="str">
        <f>VLOOKUP(H550,'RM Used'!A:E,5,0)</f>
        <v>Count</v>
      </c>
      <c r="P550" s="11">
        <f>VLOOKUP(H550,'RM Used'!A:F,6,0)</f>
        <v>0.14000000000000001</v>
      </c>
      <c r="Q550" s="11">
        <f t="shared" si="171"/>
        <v>0.14000000000000001</v>
      </c>
      <c r="R550" s="11">
        <f>IFERROR(IF(B550="Reynolds",VLOOKUP(H550,'Yield &amp; Time'!A:U,21,0),VLOOKUP(H550,'Yield &amp; Time'!A:L,12,0)),0)</f>
        <v>0</v>
      </c>
      <c r="S550" s="11">
        <f t="shared" si="163"/>
        <v>0</v>
      </c>
      <c r="T550" s="11">
        <f t="shared" si="164"/>
        <v>0</v>
      </c>
      <c r="U550" s="11">
        <f>IF(A549=A550,0,VLOOKUP(A550,'Packing Time'!A:F,6,0))</f>
        <v>0</v>
      </c>
      <c r="V550" s="11">
        <f t="shared" si="175"/>
        <v>0</v>
      </c>
      <c r="W550" s="11">
        <f t="shared" si="176"/>
        <v>0</v>
      </c>
      <c r="X550" s="11">
        <f t="shared" si="165"/>
        <v>0</v>
      </c>
      <c r="Y550" s="11">
        <f t="shared" si="177"/>
        <v>0</v>
      </c>
      <c r="Z550" s="37">
        <v>1</v>
      </c>
      <c r="AA550" s="36">
        <f t="shared" si="166"/>
        <v>1</v>
      </c>
      <c r="AB550" s="36">
        <f t="shared" si="167"/>
        <v>0.14000000000000001</v>
      </c>
      <c r="AC550" s="11">
        <f t="shared" si="168"/>
        <v>0</v>
      </c>
      <c r="AD550" s="36">
        <f t="shared" si="178"/>
        <v>0</v>
      </c>
      <c r="AE550" s="36"/>
      <c r="AF550" s="36">
        <f>IFERROR(VLOOKUP(AE550,'Chemical Cost'!A:D,4,0),0)</f>
        <v>0</v>
      </c>
      <c r="AG550" s="114">
        <f t="shared" si="169"/>
        <v>0</v>
      </c>
      <c r="AH550" s="36">
        <f t="shared" si="172"/>
        <v>0</v>
      </c>
      <c r="AI550" s="36">
        <f t="shared" si="179"/>
        <v>0.14000000000000001</v>
      </c>
      <c r="AJ550" s="36">
        <f>IFERROR(VLOOKUP(A550,'All Products'!A:F,6,0),0)</f>
        <v>5.85</v>
      </c>
      <c r="AK550" s="36"/>
      <c r="AL550" s="23">
        <v>1</v>
      </c>
      <c r="AM550" s="23"/>
      <c r="AN550" s="54" t="e">
        <v>#N/A</v>
      </c>
      <c r="AO550" s="47"/>
      <c r="AP550" s="4">
        <v>1.6</v>
      </c>
      <c r="AQ550" s="111">
        <f t="shared" si="170"/>
        <v>0</v>
      </c>
      <c r="AR550">
        <f>_xlfn.XLOOKUP(F550,'RM Cost'!A:A,'RM Cost'!S:S)</f>
        <v>0</v>
      </c>
      <c r="AS550" t="e">
        <f>_xlfn.XLOOKUP(A550,[3]Sheet1!$B:$B,[3]Sheet1!$B:$B)</f>
        <v>#N/A</v>
      </c>
    </row>
    <row r="551" spans="1:46" x14ac:dyDescent="0.25">
      <c r="A551" s="2" t="s">
        <v>313</v>
      </c>
      <c r="B551" s="2" t="s">
        <v>656</v>
      </c>
      <c r="C551" s="2" t="s">
        <v>314</v>
      </c>
      <c r="D551" s="2" t="s">
        <v>554</v>
      </c>
      <c r="E551" s="2">
        <v>2.5</v>
      </c>
      <c r="F551" s="1" t="str">
        <f>VLOOKUP(H551,'RM Used'!A:B,2,0)</f>
        <v>5267CS</v>
      </c>
      <c r="G551" s="1" t="str">
        <f>IFERROR(VLOOKUP(F551,'RM Cost'!A:B,2,0),"")</f>
        <v>RM - CAULIFLOWER X 9KG</v>
      </c>
      <c r="H551" s="2" t="s">
        <v>1498</v>
      </c>
      <c r="I551" s="1" t="str">
        <f>VLOOKUP(F551,'RM Used'!B:D,3,0)</f>
        <v>RM-FOOD</v>
      </c>
      <c r="J551" s="66">
        <v>1</v>
      </c>
      <c r="K551" s="35">
        <f t="shared" si="174"/>
        <v>2.5</v>
      </c>
      <c r="L551" s="35">
        <f t="shared" si="162"/>
        <v>2.5</v>
      </c>
      <c r="M551" s="77" cm="1">
        <f t="array" ref="M551">_xlfn.IFS(BOM!I551="RM-PACKING","100%",B551="Reynolds",VLOOKUP(H551,'Yield &amp; Time'!A:V,22,0),BOM!B551="Dnata",VLOOKUP(BOM!H551,'Yield &amp; Time'!A:M,13,0),B551="NK",VLOOKUP(H551,'Yield &amp; Time'!A:X,24,0))</f>
        <v>0.3530120481927711</v>
      </c>
      <c r="N551" s="35">
        <f t="shared" si="173"/>
        <v>7.0819112627986343</v>
      </c>
      <c r="O551" s="1" t="str">
        <f>VLOOKUP(H551,'RM Used'!A:E,5,0)</f>
        <v>KG</v>
      </c>
      <c r="P551" s="11">
        <f>VLOOKUP(H551,'RM Used'!A:F,6,0)</f>
        <v>0.6</v>
      </c>
      <c r="Q551" s="11">
        <f t="shared" si="171"/>
        <v>4.2491467576791804</v>
      </c>
      <c r="R551" s="11">
        <f>IFERROR(IF(B551="Reynolds",VLOOKUP(H551,'Yield &amp; Time'!A:U,21,0),VLOOKUP(H551,'Yield &amp; Time'!A:L,12,0)),0)</f>
        <v>4.8350398179749714</v>
      </c>
      <c r="S551" s="11">
        <f t="shared" si="163"/>
        <v>4.0916524459613193</v>
      </c>
      <c r="T551" s="11">
        <f t="shared" si="164"/>
        <v>0.20145999241562382</v>
      </c>
      <c r="U551" s="11">
        <f>IF(A550=A551,0,VLOOKUP(A551,'Packing Time'!A:F,6,0))</f>
        <v>0.875</v>
      </c>
      <c r="V551" s="11">
        <f t="shared" si="175"/>
        <v>0.29618749999999999</v>
      </c>
      <c r="W551" s="11">
        <f t="shared" si="176"/>
        <v>1.4583333333333334E-2</v>
      </c>
      <c r="X551" s="11">
        <f t="shared" si="165"/>
        <v>5.484799932451649</v>
      </c>
      <c r="Y551" s="11">
        <f t="shared" si="177"/>
        <v>5.484799932451649</v>
      </c>
      <c r="Z551" s="37">
        <v>1</v>
      </c>
      <c r="AA551" s="36">
        <f t="shared" si="166"/>
        <v>7.0819112627986343</v>
      </c>
      <c r="AB551" s="36">
        <f t="shared" si="167"/>
        <v>4.2491467576791804</v>
      </c>
      <c r="AC551" s="11">
        <f t="shared" si="168"/>
        <v>0.27005415718619646</v>
      </c>
      <c r="AD551" s="36">
        <f t="shared" si="178"/>
        <v>5.4847999324516499</v>
      </c>
      <c r="AE551" s="36"/>
      <c r="AF551" s="36">
        <f>IFERROR(VLOOKUP(AE551,'Chemical Cost'!A:D,4,0),0)</f>
        <v>0</v>
      </c>
      <c r="AG551" s="114">
        <f t="shared" si="169"/>
        <v>0</v>
      </c>
      <c r="AH551" s="36">
        <f t="shared" si="172"/>
        <v>0</v>
      </c>
      <c r="AI551" s="36">
        <f t="shared" si="179"/>
        <v>9.7339466901308285</v>
      </c>
      <c r="AJ551" s="36">
        <f>IFERROR(VLOOKUP(A551,'All Products'!A:F,6,0),0)</f>
        <v>14.3</v>
      </c>
      <c r="AK551" s="36">
        <f>AJ551*Z551*J551</f>
        <v>14.3</v>
      </c>
      <c r="AL551" s="23">
        <v>1</v>
      </c>
      <c r="AM551" s="23"/>
      <c r="AN551" s="54" t="e">
        <v>#N/A</v>
      </c>
      <c r="AO551" s="47"/>
      <c r="AP551" s="4">
        <v>1.25</v>
      </c>
      <c r="AQ551" s="111">
        <f t="shared" si="170"/>
        <v>0.27005415718619646</v>
      </c>
      <c r="AR551">
        <f>_xlfn.XLOOKUP(F551,'RM Cost'!A:A,'RM Cost'!S:S)</f>
        <v>0</v>
      </c>
      <c r="AS551" t="e">
        <f>_xlfn.XLOOKUP(A551,[3]Sheet1!$B:$B,[3]Sheet1!$B:$B)</f>
        <v>#N/A</v>
      </c>
    </row>
    <row r="552" spans="1:46" x14ac:dyDescent="0.25">
      <c r="A552" s="2" t="s">
        <v>313</v>
      </c>
      <c r="B552" s="2" t="s">
        <v>656</v>
      </c>
      <c r="C552" s="2" t="s">
        <v>314</v>
      </c>
      <c r="D552" s="2" t="s">
        <v>554</v>
      </c>
      <c r="E552" s="2">
        <v>2.5</v>
      </c>
      <c r="F552" s="1" t="str">
        <f>VLOOKUP(H552,'RM Used'!A:B,2,0)</f>
        <v>P0008</v>
      </c>
      <c r="G552" s="1" t="str">
        <f>IFERROR(VLOOKUP(F552,'RM Cost'!A:B,2,0),"")</f>
        <v>PALE BLUE BAG 470X750MM</v>
      </c>
      <c r="H552" s="2" t="s">
        <v>1323</v>
      </c>
      <c r="I552" s="1" t="str">
        <f>VLOOKUP(F552,'RM Used'!B:D,3,0)</f>
        <v>RM-PACKING</v>
      </c>
      <c r="J552" s="66">
        <v>1</v>
      </c>
      <c r="K552" s="35" t="str">
        <f t="shared" si="174"/>
        <v/>
      </c>
      <c r="L552" s="35">
        <f t="shared" si="162"/>
        <v>0</v>
      </c>
      <c r="M552" s="77" t="str" cm="1">
        <f t="array" ref="M552">_xlfn.IFS(BOM!I552="RM-PACKING","100%",B552="Reynolds",VLOOKUP(H552,'Yield &amp; Time'!A:V,22,0),BOM!B552="Dnata",VLOOKUP(BOM!H552,'Yield &amp; Time'!A:M,13,0),B552="NK",VLOOKUP(H552,'Yield &amp; Time'!A:X,24,0))</f>
        <v>100%</v>
      </c>
      <c r="N552" s="35">
        <f t="shared" si="173"/>
        <v>1</v>
      </c>
      <c r="O552" s="1" t="str">
        <f>VLOOKUP(H552,'RM Used'!A:E,5,0)</f>
        <v>Count</v>
      </c>
      <c r="P552" s="11">
        <f>VLOOKUP(H552,'RM Used'!A:F,6,0)</f>
        <v>0.14000000000000001</v>
      </c>
      <c r="Q552" s="11">
        <f t="shared" si="171"/>
        <v>0.14000000000000001</v>
      </c>
      <c r="R552" s="11">
        <f>IFERROR(IF(B552="Reynolds",VLOOKUP(H552,'Yield &amp; Time'!A:U,21,0),VLOOKUP(H552,'Yield &amp; Time'!A:L,12,0)),0)</f>
        <v>0</v>
      </c>
      <c r="S552" s="11">
        <f t="shared" si="163"/>
        <v>0</v>
      </c>
      <c r="T552" s="11">
        <f t="shared" si="164"/>
        <v>0</v>
      </c>
      <c r="U552" s="11">
        <f>IF(A551=A552,0,VLOOKUP(A552,'Packing Time'!A:F,6,0))</f>
        <v>0</v>
      </c>
      <c r="V552" s="11">
        <f t="shared" si="175"/>
        <v>0</v>
      </c>
      <c r="W552" s="11">
        <f t="shared" si="176"/>
        <v>0</v>
      </c>
      <c r="X552" s="11">
        <f t="shared" si="165"/>
        <v>0</v>
      </c>
      <c r="Y552" s="11">
        <f t="shared" si="177"/>
        <v>0</v>
      </c>
      <c r="Z552" s="37">
        <v>1</v>
      </c>
      <c r="AA552" s="36">
        <f t="shared" si="166"/>
        <v>1</v>
      </c>
      <c r="AB552" s="36">
        <f t="shared" si="167"/>
        <v>0.14000000000000001</v>
      </c>
      <c r="AC552" s="11">
        <f t="shared" si="168"/>
        <v>0</v>
      </c>
      <c r="AD552" s="36">
        <f t="shared" si="178"/>
        <v>0</v>
      </c>
      <c r="AE552" s="36"/>
      <c r="AF552" s="36">
        <f>IFERROR(VLOOKUP(AE552,'Chemical Cost'!A:D,4,0),0)</f>
        <v>0</v>
      </c>
      <c r="AG552" s="114">
        <f t="shared" si="169"/>
        <v>0</v>
      </c>
      <c r="AH552" s="36">
        <f t="shared" si="172"/>
        <v>0</v>
      </c>
      <c r="AI552" s="36">
        <f t="shared" si="179"/>
        <v>0.14000000000000001</v>
      </c>
      <c r="AJ552" s="36">
        <f>IFERROR(VLOOKUP(A552,'All Products'!A:F,6,0),0)</f>
        <v>14.3</v>
      </c>
      <c r="AK552" s="36"/>
      <c r="AL552" s="23">
        <v>1</v>
      </c>
      <c r="AM552" s="23"/>
      <c r="AN552" s="54" t="e">
        <v>#N/A</v>
      </c>
      <c r="AO552" s="47"/>
      <c r="AP552" s="4">
        <v>1.25</v>
      </c>
      <c r="AQ552" s="111">
        <f t="shared" si="170"/>
        <v>0</v>
      </c>
      <c r="AR552">
        <f>_xlfn.XLOOKUP(F552,'RM Cost'!A:A,'RM Cost'!S:S)</f>
        <v>0</v>
      </c>
      <c r="AS552" t="e">
        <f>_xlfn.XLOOKUP(A552,[3]Sheet1!$B:$B,[3]Sheet1!$B:$B)</f>
        <v>#N/A</v>
      </c>
    </row>
    <row r="553" spans="1:46" x14ac:dyDescent="0.25">
      <c r="A553" s="2" t="s">
        <v>419</v>
      </c>
      <c r="B553" s="2" t="s">
        <v>656</v>
      </c>
      <c r="C553" s="2" t="s">
        <v>420</v>
      </c>
      <c r="D553" s="2" t="s">
        <v>554</v>
      </c>
      <c r="E553" s="2">
        <v>1</v>
      </c>
      <c r="F553" s="1" t="str">
        <f>VLOOKUP(H553,'RM Used'!A:B,2,0)</f>
        <v>5267CS</v>
      </c>
      <c r="G553" s="1" t="str">
        <f>IFERROR(VLOOKUP(F553,'RM Cost'!A:B,2,0),"")</f>
        <v>RM - CAULIFLOWER X 9KG</v>
      </c>
      <c r="H553" s="2" t="s">
        <v>1499</v>
      </c>
      <c r="I553" s="1" t="str">
        <f>VLOOKUP(F553,'RM Used'!B:D,3,0)</f>
        <v>RM-FOOD</v>
      </c>
      <c r="J553" s="66">
        <v>1</v>
      </c>
      <c r="K553" s="35">
        <f t="shared" si="174"/>
        <v>1</v>
      </c>
      <c r="L553" s="35">
        <f t="shared" si="162"/>
        <v>1</v>
      </c>
      <c r="M553" s="77" cm="1">
        <f t="array" ref="M553">_xlfn.IFS(BOM!I553="RM-PACKING","100%",B553="Reynolds",VLOOKUP(H553,'Yield &amp; Time'!A:V,22,0),BOM!B553="Dnata",VLOOKUP(BOM!H553,'Yield &amp; Time'!A:M,13,0),B553="NK",VLOOKUP(H553,'Yield &amp; Time'!A:X,24,0))</f>
        <v>0.49780219780219787</v>
      </c>
      <c r="N553" s="35">
        <f t="shared" si="173"/>
        <v>2.0088300220750548</v>
      </c>
      <c r="O553" s="1" t="str">
        <f>VLOOKUP(H553,'RM Used'!A:E,5,0)</f>
        <v>KG</v>
      </c>
      <c r="P553" s="11">
        <f>VLOOKUP(H553,'RM Used'!A:F,6,0)</f>
        <v>0.6</v>
      </c>
      <c r="Q553" s="11">
        <f t="shared" si="171"/>
        <v>1.2052980132450328</v>
      </c>
      <c r="R553" s="11">
        <f>IFERROR(IF(B553="Reynolds",VLOOKUP(H553,'Yield &amp; Time'!A:U,21,0),VLOOKUP(H553,'Yield &amp; Time'!A:L,12,0)),0)</f>
        <v>2.9323031640912434</v>
      </c>
      <c r="S553" s="11">
        <f t="shared" si="163"/>
        <v>0.99258462104488576</v>
      </c>
      <c r="T553" s="11">
        <f t="shared" si="164"/>
        <v>4.887171940152072E-2</v>
      </c>
      <c r="U553" s="11">
        <f>IF(A552=A553,0,VLOOKUP(A553,'Packing Time'!A:F,6,0))</f>
        <v>0.64166666666666661</v>
      </c>
      <c r="V553" s="11">
        <f t="shared" si="175"/>
        <v>0.21720416666666661</v>
      </c>
      <c r="W553" s="11">
        <f t="shared" si="176"/>
        <v>1.0694444444444444E-2</v>
      </c>
      <c r="X553" s="11">
        <f t="shared" si="165"/>
        <v>1.9356620603384842</v>
      </c>
      <c r="Y553" s="11">
        <f t="shared" si="177"/>
        <v>1.9356620603384842</v>
      </c>
      <c r="Z553" s="37">
        <v>1</v>
      </c>
      <c r="AA553" s="36">
        <f t="shared" si="166"/>
        <v>2.0088300220750548</v>
      </c>
      <c r="AB553" s="36">
        <f t="shared" si="167"/>
        <v>1.2052980132450328</v>
      </c>
      <c r="AC553" s="11">
        <f t="shared" si="168"/>
        <v>9.5305862153544266E-2</v>
      </c>
      <c r="AD553" s="36">
        <f t="shared" si="178"/>
        <v>1.9356620603384838</v>
      </c>
      <c r="AE553" s="36"/>
      <c r="AF553" s="36">
        <f>IFERROR(VLOOKUP(AE553,'Chemical Cost'!A:D,4,0),0)</f>
        <v>0</v>
      </c>
      <c r="AG553" s="114">
        <f t="shared" si="169"/>
        <v>0</v>
      </c>
      <c r="AH553" s="36">
        <f t="shared" si="172"/>
        <v>0</v>
      </c>
      <c r="AI553" s="36">
        <f t="shared" si="179"/>
        <v>3.1409600735835168</v>
      </c>
      <c r="AJ553" s="36">
        <f>IFERROR(VLOOKUP(A553,'All Products'!A:F,6,0),0)</f>
        <v>5.56</v>
      </c>
      <c r="AK553" s="36">
        <f>AJ553*Z553*J553</f>
        <v>5.56</v>
      </c>
      <c r="AL553" s="23">
        <v>1</v>
      </c>
      <c r="AM553" s="23"/>
      <c r="AN553" s="54" t="e">
        <v>#N/A</v>
      </c>
      <c r="AO553" s="47"/>
      <c r="AP553" s="4">
        <v>1.6</v>
      </c>
      <c r="AQ553" s="111">
        <f t="shared" si="170"/>
        <v>9.5305862153544266E-2</v>
      </c>
      <c r="AR553">
        <f>_xlfn.XLOOKUP(F553,'RM Cost'!A:A,'RM Cost'!S:S)</f>
        <v>0</v>
      </c>
      <c r="AS553" t="e">
        <f>_xlfn.XLOOKUP(A553,[3]Sheet1!$B:$B,[3]Sheet1!$B:$B)</f>
        <v>#N/A</v>
      </c>
    </row>
    <row r="554" spans="1:46" x14ac:dyDescent="0.25">
      <c r="A554" s="2" t="s">
        <v>419</v>
      </c>
      <c r="B554" s="2" t="s">
        <v>656</v>
      </c>
      <c r="C554" s="2" t="s">
        <v>420</v>
      </c>
      <c r="D554" s="2" t="s">
        <v>554</v>
      </c>
      <c r="E554" s="2">
        <v>1</v>
      </c>
      <c r="F554" s="1" t="str">
        <f>VLOOKUP(H554,'RM Used'!A:B,2,0)</f>
        <v>P0008</v>
      </c>
      <c r="G554" s="1" t="str">
        <f>IFERROR(VLOOKUP(F554,'RM Cost'!A:B,2,0),"")</f>
        <v>PALE BLUE BAG 470X750MM</v>
      </c>
      <c r="H554" s="2" t="s">
        <v>1323</v>
      </c>
      <c r="I554" s="1" t="str">
        <f>VLOOKUP(F554,'RM Used'!B:D,3,0)</f>
        <v>RM-PACKING</v>
      </c>
      <c r="J554" s="66">
        <v>1</v>
      </c>
      <c r="K554" s="35" t="str">
        <f t="shared" si="174"/>
        <v/>
      </c>
      <c r="L554" s="35">
        <f t="shared" si="162"/>
        <v>0</v>
      </c>
      <c r="M554" s="77" t="str" cm="1">
        <f t="array" ref="M554">_xlfn.IFS(BOM!I554="RM-PACKING","100%",B554="Reynolds",VLOOKUP(H554,'Yield &amp; Time'!A:V,22,0),BOM!B554="Dnata",VLOOKUP(BOM!H554,'Yield &amp; Time'!A:M,13,0),B554="NK",VLOOKUP(H554,'Yield &amp; Time'!A:X,24,0))</f>
        <v>100%</v>
      </c>
      <c r="N554" s="35">
        <f t="shared" si="173"/>
        <v>1</v>
      </c>
      <c r="O554" s="1" t="str">
        <f>VLOOKUP(H554,'RM Used'!A:E,5,0)</f>
        <v>Count</v>
      </c>
      <c r="P554" s="11">
        <f>VLOOKUP(H554,'RM Used'!A:F,6,0)</f>
        <v>0.14000000000000001</v>
      </c>
      <c r="Q554" s="11">
        <f t="shared" si="171"/>
        <v>0.14000000000000001</v>
      </c>
      <c r="R554" s="11">
        <f>IFERROR(IF(B554="Reynolds",VLOOKUP(H554,'Yield &amp; Time'!A:U,21,0),VLOOKUP(H554,'Yield &amp; Time'!A:L,12,0)),0)</f>
        <v>0</v>
      </c>
      <c r="S554" s="11">
        <f t="shared" si="163"/>
        <v>0</v>
      </c>
      <c r="T554" s="11">
        <f t="shared" si="164"/>
        <v>0</v>
      </c>
      <c r="U554" s="11">
        <f>IF(A553=A554,0,VLOOKUP(A554,'Packing Time'!A:F,6,0))</f>
        <v>0</v>
      </c>
      <c r="V554" s="11">
        <f t="shared" si="175"/>
        <v>0</v>
      </c>
      <c r="W554" s="11">
        <f t="shared" si="176"/>
        <v>0</v>
      </c>
      <c r="X554" s="11">
        <f t="shared" si="165"/>
        <v>0</v>
      </c>
      <c r="Y554" s="11">
        <f t="shared" si="177"/>
        <v>0</v>
      </c>
      <c r="Z554" s="37">
        <v>1</v>
      </c>
      <c r="AA554" s="36">
        <f t="shared" si="166"/>
        <v>1</v>
      </c>
      <c r="AB554" s="36">
        <f t="shared" si="167"/>
        <v>0.14000000000000001</v>
      </c>
      <c r="AC554" s="11">
        <f t="shared" si="168"/>
        <v>0</v>
      </c>
      <c r="AD554" s="36">
        <f t="shared" si="178"/>
        <v>0</v>
      </c>
      <c r="AE554" s="36"/>
      <c r="AF554" s="36">
        <f>IFERROR(VLOOKUP(AE554,'Chemical Cost'!A:D,4,0),0)</f>
        <v>0</v>
      </c>
      <c r="AG554" s="114">
        <f t="shared" si="169"/>
        <v>0</v>
      </c>
      <c r="AH554" s="36">
        <f t="shared" si="172"/>
        <v>0</v>
      </c>
      <c r="AI554" s="36">
        <f t="shared" si="179"/>
        <v>0.14000000000000001</v>
      </c>
      <c r="AJ554" s="36">
        <f>IFERROR(VLOOKUP(A554,'All Products'!A:F,6,0),0)</f>
        <v>5.56</v>
      </c>
      <c r="AK554" s="36"/>
      <c r="AL554" s="23">
        <v>1</v>
      </c>
      <c r="AM554" s="23"/>
      <c r="AN554" s="54" t="e">
        <v>#N/A</v>
      </c>
      <c r="AO554" s="47"/>
      <c r="AP554" s="4">
        <v>1.6</v>
      </c>
      <c r="AQ554" s="111">
        <f t="shared" si="170"/>
        <v>0</v>
      </c>
      <c r="AR554">
        <f>_xlfn.XLOOKUP(F554,'RM Cost'!A:A,'RM Cost'!S:S)</f>
        <v>0</v>
      </c>
      <c r="AS554" t="e">
        <f>_xlfn.XLOOKUP(A554,[3]Sheet1!$B:$B,[3]Sheet1!$B:$B)</f>
        <v>#N/A</v>
      </c>
    </row>
    <row r="555" spans="1:46" x14ac:dyDescent="0.25">
      <c r="A555" s="2" t="s">
        <v>418</v>
      </c>
      <c r="B555" s="2" t="s">
        <v>656</v>
      </c>
      <c r="C555" s="2" t="s">
        <v>735</v>
      </c>
      <c r="D555" s="2" t="s">
        <v>554</v>
      </c>
      <c r="E555" s="2">
        <v>2.5</v>
      </c>
      <c r="F555" s="1" t="str">
        <f>VLOOKUP(H555,'RM Used'!A:B,2,0)</f>
        <v>5267CS</v>
      </c>
      <c r="G555" s="1" t="str">
        <f>IFERROR(VLOOKUP(F555,'RM Cost'!A:B,2,0),"")</f>
        <v>RM - CAULIFLOWER X 9KG</v>
      </c>
      <c r="H555" s="2" t="s">
        <v>1499</v>
      </c>
      <c r="I555" s="1" t="str">
        <f>VLOOKUP(F555,'RM Used'!B:D,3,0)</f>
        <v>RM-FOOD</v>
      </c>
      <c r="J555" s="66">
        <v>1</v>
      </c>
      <c r="K555" s="35">
        <f t="shared" si="174"/>
        <v>2.5</v>
      </c>
      <c r="L555" s="35">
        <f t="shared" si="162"/>
        <v>2.5</v>
      </c>
      <c r="M555" s="77" cm="1">
        <f t="array" ref="M555">_xlfn.IFS(BOM!I555="RM-PACKING","100%",B555="Reynolds",VLOOKUP(H555,'Yield &amp; Time'!A:V,22,0),BOM!B555="Dnata",VLOOKUP(BOM!H555,'Yield &amp; Time'!A:M,13,0),B555="NK",VLOOKUP(H555,'Yield &amp; Time'!A:X,24,0))</f>
        <v>0.49780219780219787</v>
      </c>
      <c r="N555" s="35">
        <f t="shared" si="173"/>
        <v>5.0220750551876376</v>
      </c>
      <c r="O555" s="1" t="str">
        <f>VLOOKUP(H555,'RM Used'!A:E,5,0)</f>
        <v>KG</v>
      </c>
      <c r="P555" s="11">
        <f>VLOOKUP(H555,'RM Used'!A:F,6,0)</f>
        <v>0.6</v>
      </c>
      <c r="Q555" s="11">
        <f t="shared" si="171"/>
        <v>3.0132450331125824</v>
      </c>
      <c r="R555" s="11">
        <f>IFERROR(IF(B555="Reynolds",VLOOKUP(H555,'Yield &amp; Time'!A:U,21,0),VLOOKUP(H555,'Yield &amp; Time'!A:L,12,0)),0)</f>
        <v>2.9323031640912434</v>
      </c>
      <c r="S555" s="11">
        <f t="shared" si="163"/>
        <v>2.4814615526122146</v>
      </c>
      <c r="T555" s="11">
        <f t="shared" si="164"/>
        <v>0.1221792985038018</v>
      </c>
      <c r="U555" s="11">
        <f>IF(A554=A555,0,VLOOKUP(A555,'Packing Time'!A:F,6,0))</f>
        <v>0.875</v>
      </c>
      <c r="V555" s="11">
        <f t="shared" si="175"/>
        <v>0.29618749999999999</v>
      </c>
      <c r="W555" s="11">
        <f t="shared" si="176"/>
        <v>1.4583333333333334E-2</v>
      </c>
      <c r="X555" s="11">
        <f t="shared" si="165"/>
        <v>4.444238484179543</v>
      </c>
      <c r="Y555" s="11">
        <f t="shared" si="177"/>
        <v>4.444238484179543</v>
      </c>
      <c r="Z555" s="37">
        <v>1</v>
      </c>
      <c r="AA555" s="36">
        <f t="shared" si="166"/>
        <v>5.0220750551876376</v>
      </c>
      <c r="AB555" s="36">
        <f t="shared" si="167"/>
        <v>3.0132450331125824</v>
      </c>
      <c r="AC555" s="11">
        <f t="shared" si="168"/>
        <v>0.21882021093941623</v>
      </c>
      <c r="AD555" s="36">
        <f t="shared" si="178"/>
        <v>4.444238484179543</v>
      </c>
      <c r="AE555" s="36"/>
      <c r="AF555" s="36">
        <f>IFERROR(VLOOKUP(AE555,'Chemical Cost'!A:D,4,0),0)</f>
        <v>0</v>
      </c>
      <c r="AG555" s="114">
        <f t="shared" si="169"/>
        <v>0</v>
      </c>
      <c r="AH555" s="36">
        <f t="shared" si="172"/>
        <v>0</v>
      </c>
      <c r="AI555" s="36">
        <f t="shared" si="179"/>
        <v>7.4574835172921254</v>
      </c>
      <c r="AJ555" s="36">
        <f>IFERROR(VLOOKUP(A555,'All Products'!A:F,6,0),0)</f>
        <v>13.88</v>
      </c>
      <c r="AK555" s="36">
        <f>AJ555*Z555*J555</f>
        <v>13.88</v>
      </c>
      <c r="AL555" s="23">
        <v>1</v>
      </c>
      <c r="AM555" s="23"/>
      <c r="AN555" s="54" t="e">
        <v>#N/A</v>
      </c>
      <c r="AO555" s="47"/>
      <c r="AP555" s="4">
        <v>1.6</v>
      </c>
      <c r="AQ555" s="111">
        <f t="shared" si="170"/>
        <v>0.21882021093941623</v>
      </c>
      <c r="AR555">
        <f>_xlfn.XLOOKUP(F555,'RM Cost'!A:A,'RM Cost'!S:S)</f>
        <v>0</v>
      </c>
      <c r="AS555" t="e">
        <f>_xlfn.XLOOKUP(A555,[3]Sheet1!$B:$B,[3]Sheet1!$B:$B)</f>
        <v>#N/A</v>
      </c>
    </row>
    <row r="556" spans="1:46" x14ac:dyDescent="0.25">
      <c r="A556" s="2" t="s">
        <v>418</v>
      </c>
      <c r="B556" s="2" t="s">
        <v>656</v>
      </c>
      <c r="C556" s="2" t="s">
        <v>735</v>
      </c>
      <c r="D556" s="2" t="s">
        <v>554</v>
      </c>
      <c r="E556" s="2">
        <v>2.5</v>
      </c>
      <c r="F556" s="1" t="str">
        <f>VLOOKUP(H556,'RM Used'!A:B,2,0)</f>
        <v>P0008</v>
      </c>
      <c r="G556" s="1" t="str">
        <f>IFERROR(VLOOKUP(F556,'RM Cost'!A:B,2,0),"")</f>
        <v>PALE BLUE BAG 470X750MM</v>
      </c>
      <c r="H556" s="2" t="s">
        <v>1323</v>
      </c>
      <c r="I556" s="1" t="str">
        <f>VLOOKUP(F556,'RM Used'!B:D,3,0)</f>
        <v>RM-PACKING</v>
      </c>
      <c r="J556" s="66">
        <v>1</v>
      </c>
      <c r="K556" s="35" t="str">
        <f t="shared" si="174"/>
        <v/>
      </c>
      <c r="L556" s="35">
        <f t="shared" si="162"/>
        <v>0</v>
      </c>
      <c r="M556" s="77" t="str" cm="1">
        <f t="array" ref="M556">_xlfn.IFS(BOM!I556="RM-PACKING","100%",B556="Reynolds",VLOOKUP(H556,'Yield &amp; Time'!A:V,22,0),BOM!B556="Dnata",VLOOKUP(BOM!H556,'Yield &amp; Time'!A:M,13,0),B556="NK",VLOOKUP(H556,'Yield &amp; Time'!A:X,24,0))</f>
        <v>100%</v>
      </c>
      <c r="N556" s="35">
        <f t="shared" si="173"/>
        <v>1</v>
      </c>
      <c r="O556" s="1" t="str">
        <f>VLOOKUP(H556,'RM Used'!A:E,5,0)</f>
        <v>Count</v>
      </c>
      <c r="P556" s="11">
        <f>VLOOKUP(H556,'RM Used'!A:F,6,0)</f>
        <v>0.14000000000000001</v>
      </c>
      <c r="Q556" s="11">
        <f t="shared" si="171"/>
        <v>0.14000000000000001</v>
      </c>
      <c r="R556" s="11">
        <f>IFERROR(IF(B556="Reynolds",VLOOKUP(H556,'Yield &amp; Time'!A:U,21,0),VLOOKUP(H556,'Yield &amp; Time'!A:L,12,0)),0)</f>
        <v>0</v>
      </c>
      <c r="S556" s="11">
        <f t="shared" si="163"/>
        <v>0</v>
      </c>
      <c r="T556" s="11">
        <f t="shared" si="164"/>
        <v>0</v>
      </c>
      <c r="U556" s="11">
        <f>IF(A555=A556,0,VLOOKUP(A556,'Packing Time'!A:F,6,0))</f>
        <v>0</v>
      </c>
      <c r="V556" s="11">
        <f t="shared" si="175"/>
        <v>0</v>
      </c>
      <c r="W556" s="11">
        <f t="shared" si="176"/>
        <v>0</v>
      </c>
      <c r="X556" s="11">
        <f t="shared" si="165"/>
        <v>0</v>
      </c>
      <c r="Y556" s="11">
        <f t="shared" si="177"/>
        <v>0</v>
      </c>
      <c r="Z556" s="37">
        <v>1</v>
      </c>
      <c r="AA556" s="36">
        <f t="shared" si="166"/>
        <v>1</v>
      </c>
      <c r="AB556" s="36">
        <f t="shared" si="167"/>
        <v>0.14000000000000001</v>
      </c>
      <c r="AC556" s="11">
        <f t="shared" si="168"/>
        <v>0</v>
      </c>
      <c r="AD556" s="36">
        <f t="shared" si="178"/>
        <v>0</v>
      </c>
      <c r="AE556" s="36"/>
      <c r="AF556" s="36">
        <f>IFERROR(VLOOKUP(AE556,'Chemical Cost'!A:D,4,0),0)</f>
        <v>0</v>
      </c>
      <c r="AG556" s="114">
        <f t="shared" si="169"/>
        <v>0</v>
      </c>
      <c r="AH556" s="36">
        <f t="shared" si="172"/>
        <v>0</v>
      </c>
      <c r="AI556" s="36">
        <f t="shared" si="179"/>
        <v>0.14000000000000001</v>
      </c>
      <c r="AJ556" s="36">
        <f>IFERROR(VLOOKUP(A556,'All Products'!A:F,6,0),0)</f>
        <v>13.88</v>
      </c>
      <c r="AK556" s="36"/>
      <c r="AL556" s="23">
        <v>1</v>
      </c>
      <c r="AM556" s="23"/>
      <c r="AN556" s="54" t="e">
        <v>#N/A</v>
      </c>
      <c r="AO556" s="47"/>
      <c r="AP556" s="4">
        <v>1.6</v>
      </c>
      <c r="AQ556" s="111">
        <f t="shared" si="170"/>
        <v>0</v>
      </c>
      <c r="AR556">
        <f>_xlfn.XLOOKUP(F556,'RM Cost'!A:A,'RM Cost'!S:S)</f>
        <v>0</v>
      </c>
      <c r="AS556" t="e">
        <f>_xlfn.XLOOKUP(A556,[3]Sheet1!$B:$B,[3]Sheet1!$B:$B)</f>
        <v>#N/A</v>
      </c>
    </row>
    <row r="557" spans="1:46" x14ac:dyDescent="0.25">
      <c r="A557" s="2" t="s">
        <v>311</v>
      </c>
      <c r="B557" s="2" t="s">
        <v>656</v>
      </c>
      <c r="C557" s="2" t="s">
        <v>312</v>
      </c>
      <c r="D557" s="2" t="s">
        <v>554</v>
      </c>
      <c r="E557" s="2">
        <v>1</v>
      </c>
      <c r="F557" s="1" t="str">
        <f>VLOOKUP(H557,'RM Used'!A:B,2,0)</f>
        <v>3020CS</v>
      </c>
      <c r="G557" s="1" t="str">
        <f>IFERROR(VLOOKUP(F557,'RM Cost'!A:B,2,0),"")</f>
        <v>RM - CELERIAC 10KG</v>
      </c>
      <c r="H557" s="2" t="s">
        <v>1500</v>
      </c>
      <c r="I557" s="1" t="str">
        <f>VLOOKUP(F557,'RM Used'!B:D,3,0)</f>
        <v>RM-FOOD</v>
      </c>
      <c r="J557" s="66">
        <v>1</v>
      </c>
      <c r="K557" s="35">
        <f t="shared" si="174"/>
        <v>1</v>
      </c>
      <c r="L557" s="35">
        <f t="shared" si="162"/>
        <v>1</v>
      </c>
      <c r="M557" s="77" cm="1">
        <f t="array" ref="M557">_xlfn.IFS(BOM!I557="RM-PACKING","100%",B557="Reynolds",VLOOKUP(H557,'Yield &amp; Time'!A:V,22,0),BOM!B557="Dnata",VLOOKUP(BOM!H557,'Yield &amp; Time'!A:M,13,0),B557="NK",VLOOKUP(H557,'Yield &amp; Time'!A:X,24,0))</f>
        <v>0.46391660461653011</v>
      </c>
      <c r="N557" s="35">
        <f t="shared" si="173"/>
        <v>2.1555598356445818</v>
      </c>
      <c r="O557" s="1" t="str">
        <f>VLOOKUP(H557,'RM Used'!A:E,5,0)</f>
        <v>KG</v>
      </c>
      <c r="P557" s="11">
        <f>VLOOKUP(H557,'RM Used'!A:F,6,0)</f>
        <v>0.55000000000000004</v>
      </c>
      <c r="Q557" s="11">
        <f t="shared" si="171"/>
        <v>1.1855579096045201</v>
      </c>
      <c r="R557" s="11">
        <f>IFERROR(IF(B557="Reynolds",VLOOKUP(H557,'Yield &amp; Time'!A:U,21,0),VLOOKUP(H557,'Yield &amp; Time'!A:L,12,0)),0)</f>
        <v>2.47384437596302</v>
      </c>
      <c r="S557" s="11">
        <f t="shared" si="163"/>
        <v>0.83739632126348218</v>
      </c>
      <c r="T557" s="11">
        <f t="shared" si="164"/>
        <v>4.1230739599383663E-2</v>
      </c>
      <c r="U557" s="11">
        <f>IF(A556=A557,0,VLOOKUP(A557,'Packing Time'!A:F,6,0))</f>
        <v>0.64166666666666661</v>
      </c>
      <c r="V557" s="11">
        <f t="shared" si="175"/>
        <v>0.21720416666666661</v>
      </c>
      <c r="W557" s="11">
        <f t="shared" si="176"/>
        <v>1.0694444444444444E-2</v>
      </c>
      <c r="X557" s="11">
        <f t="shared" si="165"/>
        <v>1.687360780688238</v>
      </c>
      <c r="Y557" s="11">
        <f t="shared" si="177"/>
        <v>1.687360780688238</v>
      </c>
      <c r="Z557" s="37">
        <v>1</v>
      </c>
      <c r="AA557" s="36">
        <f t="shared" si="166"/>
        <v>2.1555598356445818</v>
      </c>
      <c r="AB557" s="36">
        <f t="shared" si="167"/>
        <v>1.1855579096045201</v>
      </c>
      <c r="AC557" s="11">
        <f t="shared" si="168"/>
        <v>8.308029447012498E-2</v>
      </c>
      <c r="AD557" s="36">
        <f t="shared" si="178"/>
        <v>1.6873607806882382</v>
      </c>
      <c r="AE557" s="36" t="str">
        <f>VLOOKUP(H557,'Yield &amp; Time'!A:I,9,0)</f>
        <v>SODIUM METABISULPHITE</v>
      </c>
      <c r="AF557" s="36">
        <f>IFERROR(VLOOKUP(AE557,'Chemical Cost'!A:D,4,0),0)</f>
        <v>9.7586225455882462E-3</v>
      </c>
      <c r="AG557" s="114">
        <f t="shared" si="169"/>
        <v>7.0117649368285698E-3</v>
      </c>
      <c r="AH557" s="36">
        <f t="shared" si="172"/>
        <v>7.0117649368285698E-3</v>
      </c>
      <c r="AI557" s="36">
        <f t="shared" si="179"/>
        <v>2.8799304552295868</v>
      </c>
      <c r="AJ557" s="36">
        <f>IFERROR(VLOOKUP(A557,'All Products'!A:F,6,0),0)</f>
        <v>3.67</v>
      </c>
      <c r="AK557" s="36">
        <f>AJ557*Z557*J557</f>
        <v>3.67</v>
      </c>
      <c r="AL557" s="23">
        <v>1</v>
      </c>
      <c r="AM557" s="23"/>
      <c r="AN557" s="54" t="e">
        <v>#N/A</v>
      </c>
      <c r="AO557" s="47"/>
      <c r="AP557" s="4">
        <v>1.6</v>
      </c>
      <c r="AQ557" s="111">
        <f t="shared" si="170"/>
        <v>8.308029447012498E-2</v>
      </c>
      <c r="AR557">
        <f>_xlfn.XLOOKUP(F557,'RM Cost'!A:A,'RM Cost'!S:S)</f>
        <v>0</v>
      </c>
      <c r="AS557" t="str">
        <f>_xlfn.XLOOKUP(A557,[3]Sheet1!$B:$B,[3]Sheet1!$B:$B)</f>
        <v>Z093CS</v>
      </c>
      <c r="AT557">
        <f>_xlfn.XLOOKUP(H557,'Yield &amp; Time'!A:A,'Yield &amp; Time'!F:F)</f>
        <v>0</v>
      </c>
    </row>
    <row r="558" spans="1:46" x14ac:dyDescent="0.25">
      <c r="A558" s="2" t="s">
        <v>311</v>
      </c>
      <c r="B558" s="2" t="s">
        <v>656</v>
      </c>
      <c r="C558" s="2" t="s">
        <v>312</v>
      </c>
      <c r="D558" s="2" t="s">
        <v>554</v>
      </c>
      <c r="E558" s="2">
        <v>1</v>
      </c>
      <c r="F558" s="1" t="str">
        <f>VLOOKUP(H558,'RM Used'!A:B,2,0)</f>
        <v>P0008</v>
      </c>
      <c r="G558" s="1" t="str">
        <f>IFERROR(VLOOKUP(F558,'RM Cost'!A:B,2,0),"")</f>
        <v>PALE BLUE BAG 470X750MM</v>
      </c>
      <c r="H558" s="2" t="s">
        <v>1323</v>
      </c>
      <c r="I558" s="1" t="str">
        <f>VLOOKUP(F558,'RM Used'!B:D,3,0)</f>
        <v>RM-PACKING</v>
      </c>
      <c r="J558" s="66">
        <v>1</v>
      </c>
      <c r="K558" s="35" t="str">
        <f t="shared" si="174"/>
        <v/>
      </c>
      <c r="L558" s="35">
        <f t="shared" si="162"/>
        <v>0</v>
      </c>
      <c r="M558" s="77" t="str" cm="1">
        <f t="array" ref="M558">_xlfn.IFS(BOM!I558="RM-PACKING","100%",B558="Reynolds",VLOOKUP(H558,'Yield &amp; Time'!A:V,22,0),BOM!B558="Dnata",VLOOKUP(BOM!H558,'Yield &amp; Time'!A:M,13,0),B558="NK",VLOOKUP(H558,'Yield &amp; Time'!A:X,24,0))</f>
        <v>100%</v>
      </c>
      <c r="N558" s="35">
        <f t="shared" si="173"/>
        <v>1</v>
      </c>
      <c r="O558" s="1" t="str">
        <f>VLOOKUP(H558,'RM Used'!A:E,5,0)</f>
        <v>Count</v>
      </c>
      <c r="P558" s="11">
        <f>VLOOKUP(H558,'RM Used'!A:F,6,0)</f>
        <v>0.14000000000000001</v>
      </c>
      <c r="Q558" s="11">
        <f t="shared" si="171"/>
        <v>0.14000000000000001</v>
      </c>
      <c r="R558" s="11">
        <f>IFERROR(IF(B558="Reynolds",VLOOKUP(H558,'Yield &amp; Time'!A:U,21,0),VLOOKUP(H558,'Yield &amp; Time'!A:L,12,0)),0)</f>
        <v>0</v>
      </c>
      <c r="S558" s="11">
        <f t="shared" si="163"/>
        <v>0</v>
      </c>
      <c r="T558" s="11">
        <f t="shared" si="164"/>
        <v>0</v>
      </c>
      <c r="U558" s="11">
        <f>IF(A557=A558,0,VLOOKUP(A558,'Packing Time'!A:F,6,0))</f>
        <v>0</v>
      </c>
      <c r="V558" s="11">
        <f t="shared" si="175"/>
        <v>0</v>
      </c>
      <c r="W558" s="11">
        <f t="shared" si="176"/>
        <v>0</v>
      </c>
      <c r="X558" s="11">
        <f t="shared" si="165"/>
        <v>0</v>
      </c>
      <c r="Y558" s="11">
        <f t="shared" si="177"/>
        <v>0</v>
      </c>
      <c r="Z558" s="37">
        <v>1</v>
      </c>
      <c r="AA558" s="36">
        <f t="shared" si="166"/>
        <v>1</v>
      </c>
      <c r="AB558" s="36">
        <f t="shared" si="167"/>
        <v>0.14000000000000001</v>
      </c>
      <c r="AC558" s="11">
        <f t="shared" si="168"/>
        <v>0</v>
      </c>
      <c r="AD558" s="36">
        <f t="shared" si="178"/>
        <v>0</v>
      </c>
      <c r="AE558" s="36"/>
      <c r="AF558" s="36">
        <f>IFERROR(VLOOKUP(AE558,'Chemical Cost'!A:D,4,0),0)</f>
        <v>0</v>
      </c>
      <c r="AG558" s="114">
        <f t="shared" si="169"/>
        <v>0</v>
      </c>
      <c r="AH558" s="36">
        <f t="shared" si="172"/>
        <v>0</v>
      </c>
      <c r="AI558" s="36">
        <f t="shared" si="179"/>
        <v>0.14000000000000001</v>
      </c>
      <c r="AJ558" s="36">
        <f>IFERROR(VLOOKUP(A558,'All Products'!A:F,6,0),0)</f>
        <v>3.67</v>
      </c>
      <c r="AK558" s="36"/>
      <c r="AL558" s="23">
        <v>1</v>
      </c>
      <c r="AM558" s="23"/>
      <c r="AN558" s="54" t="e">
        <v>#N/A</v>
      </c>
      <c r="AO558" s="47"/>
      <c r="AP558" s="4">
        <v>1.6</v>
      </c>
      <c r="AQ558" s="111">
        <f t="shared" si="170"/>
        <v>0</v>
      </c>
      <c r="AR558">
        <f>_xlfn.XLOOKUP(F558,'RM Cost'!A:A,'RM Cost'!S:S)</f>
        <v>0</v>
      </c>
      <c r="AS558" t="str">
        <f>_xlfn.XLOOKUP(A558,[3]Sheet1!$B:$B,[3]Sheet1!$B:$B)</f>
        <v>Z093CS</v>
      </c>
      <c r="AT558" t="e">
        <f>_xlfn.XLOOKUP(H558,'Yield &amp; Time'!A:A,'Yield &amp; Time'!F:F)</f>
        <v>#N/A</v>
      </c>
    </row>
    <row r="559" spans="1:46" x14ac:dyDescent="0.25">
      <c r="A559" s="2" t="s">
        <v>309</v>
      </c>
      <c r="B559" s="2" t="s">
        <v>656</v>
      </c>
      <c r="C559" s="2" t="s">
        <v>310</v>
      </c>
      <c r="D559" s="2" t="s">
        <v>554</v>
      </c>
      <c r="E559" s="2">
        <v>2.5</v>
      </c>
      <c r="F559" s="1" t="str">
        <f>VLOOKUP(H559,'RM Used'!A:B,2,0)</f>
        <v>3020CS</v>
      </c>
      <c r="G559" s="1" t="str">
        <f>IFERROR(VLOOKUP(F559,'RM Cost'!A:B,2,0),"")</f>
        <v>RM - CELERIAC 10KG</v>
      </c>
      <c r="H559" s="2" t="s">
        <v>1500</v>
      </c>
      <c r="I559" s="1" t="str">
        <f>VLOOKUP(F559,'RM Used'!B:D,3,0)</f>
        <v>RM-FOOD</v>
      </c>
      <c r="J559" s="66">
        <v>1</v>
      </c>
      <c r="K559" s="35">
        <f t="shared" si="174"/>
        <v>2.5</v>
      </c>
      <c r="L559" s="35">
        <f t="shared" si="162"/>
        <v>2.5</v>
      </c>
      <c r="M559" s="77" cm="1">
        <f t="array" ref="M559">_xlfn.IFS(BOM!I559="RM-PACKING","100%",B559="Reynolds",VLOOKUP(H559,'Yield &amp; Time'!A:V,22,0),BOM!B559="Dnata",VLOOKUP(BOM!H559,'Yield &amp; Time'!A:M,13,0),B559="NK",VLOOKUP(H559,'Yield &amp; Time'!A:X,24,0))</f>
        <v>0.46391660461653011</v>
      </c>
      <c r="N559" s="35">
        <f t="shared" si="173"/>
        <v>5.3888995891114542</v>
      </c>
      <c r="O559" s="1" t="str">
        <f>VLOOKUP(H559,'RM Used'!A:E,5,0)</f>
        <v>KG</v>
      </c>
      <c r="P559" s="11">
        <f>VLOOKUP(H559,'RM Used'!A:F,6,0)</f>
        <v>0.55000000000000004</v>
      </c>
      <c r="Q559" s="11">
        <f t="shared" si="171"/>
        <v>2.9638947740113002</v>
      </c>
      <c r="R559" s="11">
        <f>IFERROR(IF(B559="Reynolds",VLOOKUP(H559,'Yield &amp; Time'!A:U,21,0),VLOOKUP(H559,'Yield &amp; Time'!A:L,12,0)),0)</f>
        <v>2.47384437596302</v>
      </c>
      <c r="S559" s="11">
        <f t="shared" si="163"/>
        <v>2.0934908031587054</v>
      </c>
      <c r="T559" s="11">
        <f t="shared" si="164"/>
        <v>0.10307684899845918</v>
      </c>
      <c r="U559" s="11">
        <f>IF(A558=A559,0,VLOOKUP(A559,'Packing Time'!A:F,6,0))</f>
        <v>0.875</v>
      </c>
      <c r="V559" s="11">
        <f t="shared" si="175"/>
        <v>0.29618749999999999</v>
      </c>
      <c r="W559" s="11">
        <f t="shared" si="176"/>
        <v>1.4583333333333334E-2</v>
      </c>
      <c r="X559" s="11">
        <f t="shared" si="165"/>
        <v>3.8234852850539292</v>
      </c>
      <c r="Y559" s="11">
        <f t="shared" si="177"/>
        <v>3.8234852850539292</v>
      </c>
      <c r="Z559" s="37">
        <v>1</v>
      </c>
      <c r="AA559" s="36">
        <f t="shared" si="166"/>
        <v>5.3888995891114542</v>
      </c>
      <c r="AB559" s="36">
        <f t="shared" si="167"/>
        <v>2.9638947740113002</v>
      </c>
      <c r="AC559" s="11">
        <f t="shared" si="168"/>
        <v>0.188256291730868</v>
      </c>
      <c r="AD559" s="36">
        <f t="shared" si="178"/>
        <v>3.8234852850539287</v>
      </c>
      <c r="AE559" s="36" t="str">
        <f>VLOOKUP(H559,'Yield &amp; Time'!A:I,9,0)</f>
        <v>SODIUM METABISULPHITE</v>
      </c>
      <c r="AF559" s="36">
        <f>IFERROR(VLOOKUP(AE559,'Chemical Cost'!A:D,4,0),0)</f>
        <v>9.7586225455882462E-3</v>
      </c>
      <c r="AG559" s="114">
        <f t="shared" si="169"/>
        <v>1.7529412342071424E-2</v>
      </c>
      <c r="AH559" s="36">
        <f t="shared" si="172"/>
        <v>1.7529412342071424E-2</v>
      </c>
      <c r="AI559" s="36">
        <f t="shared" si="179"/>
        <v>6.8049094714073011</v>
      </c>
      <c r="AJ559" s="36">
        <f>IFERROR(VLOOKUP(A559,'All Products'!A:F,6,0),0)</f>
        <v>9.17</v>
      </c>
      <c r="AK559" s="36">
        <f>AJ559*Z559*J559</f>
        <v>9.17</v>
      </c>
      <c r="AL559" s="23">
        <v>1</v>
      </c>
      <c r="AM559" s="23"/>
      <c r="AN559" s="54" t="e">
        <v>#N/A</v>
      </c>
      <c r="AO559" s="47"/>
      <c r="AP559" s="4">
        <v>1.6</v>
      </c>
      <c r="AQ559" s="111">
        <f t="shared" si="170"/>
        <v>0.188256291730868</v>
      </c>
      <c r="AR559">
        <f>_xlfn.XLOOKUP(F559,'RM Cost'!A:A,'RM Cost'!S:S)</f>
        <v>0</v>
      </c>
      <c r="AS559" t="str">
        <f>_xlfn.XLOOKUP(A559,[3]Sheet1!$B:$B,[3]Sheet1!$B:$B)</f>
        <v>Z092CS</v>
      </c>
      <c r="AT559">
        <f>_xlfn.XLOOKUP(H559,'Yield &amp; Time'!A:A,'Yield &amp; Time'!F:F)</f>
        <v>0</v>
      </c>
    </row>
    <row r="560" spans="1:46" x14ac:dyDescent="0.25">
      <c r="A560" s="2" t="s">
        <v>309</v>
      </c>
      <c r="B560" s="2" t="s">
        <v>656</v>
      </c>
      <c r="C560" s="2" t="s">
        <v>310</v>
      </c>
      <c r="D560" s="2" t="s">
        <v>554</v>
      </c>
      <c r="E560" s="2">
        <v>2.5</v>
      </c>
      <c r="F560" s="1" t="str">
        <f>VLOOKUP(H560,'RM Used'!A:B,2,0)</f>
        <v>P0008</v>
      </c>
      <c r="G560" s="1" t="str">
        <f>IFERROR(VLOOKUP(F560,'RM Cost'!A:B,2,0),"")</f>
        <v>PALE BLUE BAG 470X750MM</v>
      </c>
      <c r="H560" s="2" t="s">
        <v>1323</v>
      </c>
      <c r="I560" s="1" t="str">
        <f>VLOOKUP(F560,'RM Used'!B:D,3,0)</f>
        <v>RM-PACKING</v>
      </c>
      <c r="J560" s="66">
        <v>1</v>
      </c>
      <c r="K560" s="35" t="str">
        <f t="shared" si="174"/>
        <v/>
      </c>
      <c r="L560" s="35">
        <f t="shared" si="162"/>
        <v>0</v>
      </c>
      <c r="M560" s="77" t="str" cm="1">
        <f t="array" ref="M560">_xlfn.IFS(BOM!I560="RM-PACKING","100%",B560="Reynolds",VLOOKUP(H560,'Yield &amp; Time'!A:V,22,0),BOM!B560="Dnata",VLOOKUP(BOM!H560,'Yield &amp; Time'!A:M,13,0),B560="NK",VLOOKUP(H560,'Yield &amp; Time'!A:X,24,0))</f>
        <v>100%</v>
      </c>
      <c r="N560" s="35">
        <f t="shared" si="173"/>
        <v>1</v>
      </c>
      <c r="O560" s="1" t="str">
        <f>VLOOKUP(H560,'RM Used'!A:E,5,0)</f>
        <v>Count</v>
      </c>
      <c r="P560" s="11">
        <f>VLOOKUP(H560,'RM Used'!A:F,6,0)</f>
        <v>0.14000000000000001</v>
      </c>
      <c r="Q560" s="11">
        <f t="shared" si="171"/>
        <v>0.14000000000000001</v>
      </c>
      <c r="R560" s="11">
        <f>IFERROR(IF(B560="Reynolds",VLOOKUP(H560,'Yield &amp; Time'!A:U,21,0),VLOOKUP(H560,'Yield &amp; Time'!A:L,12,0)),0)</f>
        <v>0</v>
      </c>
      <c r="S560" s="11">
        <f t="shared" si="163"/>
        <v>0</v>
      </c>
      <c r="T560" s="11">
        <f t="shared" si="164"/>
        <v>0</v>
      </c>
      <c r="U560" s="11">
        <f>IF(A559=A560,0,VLOOKUP(A560,'Packing Time'!A:F,6,0))</f>
        <v>0</v>
      </c>
      <c r="V560" s="11">
        <f t="shared" si="175"/>
        <v>0</v>
      </c>
      <c r="W560" s="11">
        <f t="shared" si="176"/>
        <v>0</v>
      </c>
      <c r="X560" s="11">
        <f t="shared" si="165"/>
        <v>0</v>
      </c>
      <c r="Y560" s="11">
        <f t="shared" si="177"/>
        <v>0</v>
      </c>
      <c r="Z560" s="37">
        <v>1</v>
      </c>
      <c r="AA560" s="36">
        <f t="shared" si="166"/>
        <v>1</v>
      </c>
      <c r="AB560" s="36">
        <f t="shared" si="167"/>
        <v>0.14000000000000001</v>
      </c>
      <c r="AC560" s="11">
        <f t="shared" si="168"/>
        <v>0</v>
      </c>
      <c r="AD560" s="36">
        <f t="shared" si="178"/>
        <v>0</v>
      </c>
      <c r="AE560" s="36"/>
      <c r="AF560" s="36">
        <f>IFERROR(VLOOKUP(AE560,'Chemical Cost'!A:D,4,0),0)</f>
        <v>0</v>
      </c>
      <c r="AG560" s="114">
        <f t="shared" si="169"/>
        <v>0</v>
      </c>
      <c r="AH560" s="36">
        <f t="shared" si="172"/>
        <v>0</v>
      </c>
      <c r="AI560" s="36">
        <f t="shared" si="179"/>
        <v>0.14000000000000001</v>
      </c>
      <c r="AJ560" s="36">
        <f>IFERROR(VLOOKUP(A560,'All Products'!A:F,6,0),0)</f>
        <v>9.17</v>
      </c>
      <c r="AK560" s="36"/>
      <c r="AL560" s="23">
        <v>1</v>
      </c>
      <c r="AM560" s="23"/>
      <c r="AN560" s="54" t="e">
        <v>#N/A</v>
      </c>
      <c r="AO560" s="47"/>
      <c r="AP560" s="4">
        <v>1.6</v>
      </c>
      <c r="AQ560" s="111">
        <f t="shared" si="170"/>
        <v>0</v>
      </c>
      <c r="AR560">
        <f>_xlfn.XLOOKUP(F560,'RM Cost'!A:A,'RM Cost'!S:S)</f>
        <v>0</v>
      </c>
      <c r="AS560" t="str">
        <f>_xlfn.XLOOKUP(A560,[3]Sheet1!$B:$B,[3]Sheet1!$B:$B)</f>
        <v>Z092CS</v>
      </c>
      <c r="AT560" t="e">
        <f>_xlfn.XLOOKUP(H560,'Yield &amp; Time'!A:A,'Yield &amp; Time'!F:F)</f>
        <v>#N/A</v>
      </c>
    </row>
    <row r="561" spans="1:46" x14ac:dyDescent="0.25">
      <c r="A561" s="2" t="s">
        <v>305</v>
      </c>
      <c r="B561" s="2" t="s">
        <v>656</v>
      </c>
      <c r="C561" s="2" t="s">
        <v>306</v>
      </c>
      <c r="D561" s="2" t="s">
        <v>554</v>
      </c>
      <c r="E561" s="2">
        <v>1</v>
      </c>
      <c r="F561" s="1" t="str">
        <f>VLOOKUP(H561,'RM Used'!A:B,2,0)</f>
        <v>3020CS</v>
      </c>
      <c r="G561" s="1" t="str">
        <f>IFERROR(VLOOKUP(F561,'RM Cost'!A:B,2,0),"")</f>
        <v>RM - CELERIAC 10KG</v>
      </c>
      <c r="H561" s="2" t="s">
        <v>1501</v>
      </c>
      <c r="I561" s="1" t="str">
        <f>VLOOKUP(F561,'RM Used'!B:D,3,0)</f>
        <v>RM-FOOD</v>
      </c>
      <c r="J561" s="66">
        <v>1</v>
      </c>
      <c r="K561" s="35">
        <f t="shared" si="174"/>
        <v>1</v>
      </c>
      <c r="L561" s="35">
        <f t="shared" si="162"/>
        <v>1</v>
      </c>
      <c r="M561" s="77" cm="1">
        <f t="array" ref="M561">_xlfn.IFS(BOM!I561="RM-PACKING","100%",B561="Reynolds",VLOOKUP(H561,'Yield &amp; Time'!A:V,22,0),BOM!B561="Dnata",VLOOKUP(BOM!H561,'Yield &amp; Time'!A:M,13,0),B561="NK",VLOOKUP(H561,'Yield &amp; Time'!A:X,24,0))</f>
        <v>0.51557890855457233</v>
      </c>
      <c r="N561" s="35">
        <f t="shared" si="173"/>
        <v>1.9395673162882172</v>
      </c>
      <c r="O561" s="1" t="str">
        <f>VLOOKUP(H561,'RM Used'!A:E,5,0)</f>
        <v>KG</v>
      </c>
      <c r="P561" s="11">
        <f>VLOOKUP(H561,'RM Used'!A:F,6,0)</f>
        <v>0.55000000000000004</v>
      </c>
      <c r="Q561" s="11">
        <f t="shared" si="171"/>
        <v>1.0667620239585196</v>
      </c>
      <c r="R561" s="11">
        <f>IFERROR(IF(B561="Reynolds",VLOOKUP(H561,'Yield &amp; Time'!A:U,21,0),VLOOKUP(H561,'Yield &amp; Time'!A:L,12,0)),0)</f>
        <v>1.8072829131652661</v>
      </c>
      <c r="S561" s="11">
        <f t="shared" si="163"/>
        <v>0.61176526610644255</v>
      </c>
      <c r="T561" s="11">
        <f t="shared" si="164"/>
        <v>3.0121381886087768E-2</v>
      </c>
      <c r="U561" s="11">
        <f>IF(A560=A561,0,VLOOKUP(A561,'Packing Time'!A:F,6,0))</f>
        <v>0.64166666666666661</v>
      </c>
      <c r="V561" s="11">
        <f t="shared" si="175"/>
        <v>0.21720416666666661</v>
      </c>
      <c r="W561" s="11">
        <f t="shared" si="176"/>
        <v>1.0694444444444444E-2</v>
      </c>
      <c r="X561" s="11">
        <f t="shared" si="165"/>
        <v>1.3263510924369746</v>
      </c>
      <c r="Y561" s="11">
        <f t="shared" si="177"/>
        <v>1.3263510924369746</v>
      </c>
      <c r="Z561" s="37">
        <v>1</v>
      </c>
      <c r="AA561" s="36">
        <f t="shared" si="166"/>
        <v>1.9395673162882172</v>
      </c>
      <c r="AB561" s="36">
        <f t="shared" si="167"/>
        <v>1.0667620239585196</v>
      </c>
      <c r="AC561" s="11">
        <f t="shared" si="168"/>
        <v>6.5305322128851526E-2</v>
      </c>
      <c r="AD561" s="36">
        <f t="shared" si="178"/>
        <v>1.3263510924369744</v>
      </c>
      <c r="AE561" s="36" t="str">
        <f>VLOOKUP(H561,'Yield &amp; Time'!A:I,9,0)</f>
        <v>PS10 &amp; CHLORINE</v>
      </c>
      <c r="AF561" s="36">
        <f>IFERROR(VLOOKUP(AE561,'Chemical Cost'!A:D,4,0),0)</f>
        <v>0.51079223287545206</v>
      </c>
      <c r="AG561" s="114">
        <f t="shared" si="169"/>
        <v>0.33023864009970222</v>
      </c>
      <c r="AH561" s="36">
        <f t="shared" si="172"/>
        <v>0.33023864009970222</v>
      </c>
      <c r="AI561" s="36">
        <f t="shared" si="179"/>
        <v>2.7233517564951963</v>
      </c>
      <c r="AJ561" s="36">
        <f>IFERROR(VLOOKUP(A561,'All Products'!A:F,6,0),0)</f>
        <v>4.87</v>
      </c>
      <c r="AK561" s="36">
        <f>AJ561*Z561*J561</f>
        <v>4.87</v>
      </c>
      <c r="AL561" s="23">
        <v>0.8</v>
      </c>
      <c r="AM561" s="23">
        <v>0.2</v>
      </c>
      <c r="AN561" s="54" t="e">
        <v>#N/A</v>
      </c>
      <c r="AO561" s="47"/>
      <c r="AP561" s="4">
        <v>1.6</v>
      </c>
      <c r="AQ561" s="111">
        <f t="shared" si="170"/>
        <v>6.5305322128851526E-2</v>
      </c>
      <c r="AR561">
        <f>_xlfn.XLOOKUP(F561,'RM Cost'!A:A,'RM Cost'!S:S)</f>
        <v>0</v>
      </c>
      <c r="AS561" t="str">
        <f>_xlfn.XLOOKUP(A561,[3]Sheet1!$B:$B,[3]Sheet1!$B:$B)</f>
        <v>Z095CS</v>
      </c>
      <c r="AT561">
        <f>_xlfn.XLOOKUP(H561,'Yield &amp; Time'!A:A,'Yield &amp; Time'!F:F)</f>
        <v>0</v>
      </c>
    </row>
    <row r="562" spans="1:46" x14ac:dyDescent="0.25">
      <c r="A562" s="2" t="s">
        <v>305</v>
      </c>
      <c r="B562" s="2" t="s">
        <v>656</v>
      </c>
      <c r="C562" s="2" t="s">
        <v>306</v>
      </c>
      <c r="D562" s="2" t="s">
        <v>554</v>
      </c>
      <c r="E562" s="2">
        <v>1</v>
      </c>
      <c r="F562" s="1" t="str">
        <f>VLOOKUP(H562,'RM Used'!A:B,2,0)</f>
        <v>P0008</v>
      </c>
      <c r="G562" s="1" t="str">
        <f>IFERROR(VLOOKUP(F562,'RM Cost'!A:B,2,0),"")</f>
        <v>PALE BLUE BAG 470X750MM</v>
      </c>
      <c r="H562" s="2" t="s">
        <v>1323</v>
      </c>
      <c r="I562" s="1" t="str">
        <f>VLOOKUP(F562,'RM Used'!B:D,3,0)</f>
        <v>RM-PACKING</v>
      </c>
      <c r="J562" s="66">
        <v>1</v>
      </c>
      <c r="K562" s="35" t="str">
        <f t="shared" si="174"/>
        <v/>
      </c>
      <c r="L562" s="35">
        <f t="shared" si="162"/>
        <v>0</v>
      </c>
      <c r="M562" s="77" t="str" cm="1">
        <f t="array" ref="M562">_xlfn.IFS(BOM!I562="RM-PACKING","100%",B562="Reynolds",VLOOKUP(H562,'Yield &amp; Time'!A:V,22,0),BOM!B562="Dnata",VLOOKUP(BOM!H562,'Yield &amp; Time'!A:M,13,0),B562="NK",VLOOKUP(H562,'Yield &amp; Time'!A:X,24,0))</f>
        <v>100%</v>
      </c>
      <c r="N562" s="35">
        <f t="shared" si="173"/>
        <v>1</v>
      </c>
      <c r="O562" s="1" t="str">
        <f>VLOOKUP(H562,'RM Used'!A:E,5,0)</f>
        <v>Count</v>
      </c>
      <c r="P562" s="11">
        <f>VLOOKUP(H562,'RM Used'!A:F,6,0)</f>
        <v>0.14000000000000001</v>
      </c>
      <c r="Q562" s="11">
        <f t="shared" si="171"/>
        <v>0.14000000000000001</v>
      </c>
      <c r="R562" s="11">
        <f>IFERROR(IF(B562="Reynolds",VLOOKUP(H562,'Yield &amp; Time'!A:U,21,0),VLOOKUP(H562,'Yield &amp; Time'!A:L,12,0)),0)</f>
        <v>0</v>
      </c>
      <c r="S562" s="11">
        <f t="shared" si="163"/>
        <v>0</v>
      </c>
      <c r="T562" s="11">
        <f t="shared" si="164"/>
        <v>0</v>
      </c>
      <c r="U562" s="11">
        <f>IF(A561=A562,0,VLOOKUP(A562,'Packing Time'!A:F,6,0))</f>
        <v>0</v>
      </c>
      <c r="V562" s="11">
        <f t="shared" si="175"/>
        <v>0</v>
      </c>
      <c r="W562" s="11">
        <f t="shared" si="176"/>
        <v>0</v>
      </c>
      <c r="X562" s="11">
        <f t="shared" si="165"/>
        <v>0</v>
      </c>
      <c r="Y562" s="11">
        <f t="shared" si="177"/>
        <v>0</v>
      </c>
      <c r="Z562" s="37">
        <v>1</v>
      </c>
      <c r="AA562" s="36">
        <f t="shared" si="166"/>
        <v>1</v>
      </c>
      <c r="AB562" s="36">
        <f t="shared" si="167"/>
        <v>0.14000000000000001</v>
      </c>
      <c r="AC562" s="11">
        <f t="shared" si="168"/>
        <v>0</v>
      </c>
      <c r="AD562" s="36">
        <f t="shared" si="178"/>
        <v>0</v>
      </c>
      <c r="AE562" s="36"/>
      <c r="AF562" s="36">
        <f>IFERROR(VLOOKUP(AE562,'Chemical Cost'!A:D,4,0),0)</f>
        <v>0</v>
      </c>
      <c r="AG562" s="114">
        <f t="shared" si="169"/>
        <v>0</v>
      </c>
      <c r="AH562" s="36">
        <f t="shared" si="172"/>
        <v>0</v>
      </c>
      <c r="AI562" s="36">
        <f t="shared" si="179"/>
        <v>0.14000000000000001</v>
      </c>
      <c r="AJ562" s="36">
        <f>IFERROR(VLOOKUP(A562,'All Products'!A:F,6,0),0)</f>
        <v>4.87</v>
      </c>
      <c r="AK562" s="36"/>
      <c r="AL562" s="23">
        <v>0.8</v>
      </c>
      <c r="AM562" s="23">
        <v>0.2</v>
      </c>
      <c r="AN562" s="54" t="e">
        <v>#N/A</v>
      </c>
      <c r="AO562" s="47"/>
      <c r="AP562" s="4">
        <v>1.6</v>
      </c>
      <c r="AQ562" s="111">
        <f t="shared" si="170"/>
        <v>0</v>
      </c>
      <c r="AR562">
        <f>_xlfn.XLOOKUP(F562,'RM Cost'!A:A,'RM Cost'!S:S)</f>
        <v>0</v>
      </c>
      <c r="AS562" t="str">
        <f>_xlfn.XLOOKUP(A562,[3]Sheet1!$B:$B,[3]Sheet1!$B:$B)</f>
        <v>Z095CS</v>
      </c>
      <c r="AT562" t="e">
        <f>_xlfn.XLOOKUP(H562,'Yield &amp; Time'!A:A,'Yield &amp; Time'!F:F)</f>
        <v>#N/A</v>
      </c>
    </row>
    <row r="563" spans="1:46" x14ac:dyDescent="0.25">
      <c r="A563" s="2" t="s">
        <v>736</v>
      </c>
      <c r="B563" s="2" t="s">
        <v>656</v>
      </c>
      <c r="C563" s="2" t="s">
        <v>737</v>
      </c>
      <c r="D563" s="2" t="s">
        <v>554</v>
      </c>
      <c r="E563" s="2">
        <v>2.5</v>
      </c>
      <c r="F563" s="1" t="str">
        <f>VLOOKUP(H563,'RM Used'!A:B,2,0)</f>
        <v>3020CS</v>
      </c>
      <c r="G563" s="1" t="str">
        <f>IFERROR(VLOOKUP(F563,'RM Cost'!A:B,2,0),"")</f>
        <v>RM - CELERIAC 10KG</v>
      </c>
      <c r="H563" s="2" t="s">
        <v>1501</v>
      </c>
      <c r="I563" s="1" t="str">
        <f>VLOOKUP(F563,'RM Used'!B:D,3,0)</f>
        <v>RM-FOOD</v>
      </c>
      <c r="J563" s="66">
        <v>1</v>
      </c>
      <c r="K563" s="35">
        <f t="shared" si="174"/>
        <v>2.5</v>
      </c>
      <c r="L563" s="35">
        <f t="shared" si="162"/>
        <v>2.5</v>
      </c>
      <c r="M563" s="77" cm="1">
        <f t="array" ref="M563">_xlfn.IFS(BOM!I563="RM-PACKING","100%",B563="Reynolds",VLOOKUP(H563,'Yield &amp; Time'!A:V,22,0),BOM!B563="Dnata",VLOOKUP(BOM!H563,'Yield &amp; Time'!A:M,13,0),B563="NK",VLOOKUP(H563,'Yield &amp; Time'!A:X,24,0))</f>
        <v>0.51557890855457233</v>
      </c>
      <c r="N563" s="35">
        <f t="shared" si="173"/>
        <v>4.848918290720543</v>
      </c>
      <c r="O563" s="1" t="str">
        <f>VLOOKUP(H563,'RM Used'!A:E,5,0)</f>
        <v>KG</v>
      </c>
      <c r="P563" s="11">
        <f>VLOOKUP(H563,'RM Used'!A:F,6,0)</f>
        <v>0.55000000000000004</v>
      </c>
      <c r="Q563" s="11">
        <f t="shared" si="171"/>
        <v>2.6669050598962989</v>
      </c>
      <c r="R563" s="11">
        <f>IFERROR(IF(B563="Reynolds",VLOOKUP(H563,'Yield &amp; Time'!A:U,21,0),VLOOKUP(H563,'Yield &amp; Time'!A:L,12,0)),0)</f>
        <v>1.8072829131652661</v>
      </c>
      <c r="S563" s="11">
        <f t="shared" si="163"/>
        <v>1.5294131652661063</v>
      </c>
      <c r="T563" s="11">
        <f t="shared" si="164"/>
        <v>7.5303454715219417E-2</v>
      </c>
      <c r="U563" s="11">
        <f>IF(A562=A563,0,VLOOKUP(A563,'Packing Time'!A:F,6,0))</f>
        <v>0.875</v>
      </c>
      <c r="V563" s="11">
        <f t="shared" si="175"/>
        <v>0.29618749999999999</v>
      </c>
      <c r="W563" s="11">
        <f t="shared" si="176"/>
        <v>1.4583333333333334E-2</v>
      </c>
      <c r="X563" s="11">
        <f t="shared" si="165"/>
        <v>2.5558409313725488</v>
      </c>
      <c r="Y563" s="11">
        <f t="shared" si="177"/>
        <v>2.5558409313725488</v>
      </c>
      <c r="Z563" s="37">
        <v>1</v>
      </c>
      <c r="AA563" s="36">
        <f t="shared" si="166"/>
        <v>4.848918290720543</v>
      </c>
      <c r="AB563" s="36">
        <f t="shared" si="167"/>
        <v>2.6669050598962989</v>
      </c>
      <c r="AC563" s="11">
        <f t="shared" si="168"/>
        <v>0.12584150326797386</v>
      </c>
      <c r="AD563" s="36">
        <f t="shared" si="178"/>
        <v>2.5558409313725488</v>
      </c>
      <c r="AE563" s="36" t="str">
        <f>VLOOKUP(H563,'Yield &amp; Time'!A:I,9,0)</f>
        <v>PS10 &amp; CHLORINE</v>
      </c>
      <c r="AF563" s="36">
        <f>IFERROR(VLOOKUP(AE563,'Chemical Cost'!A:D,4,0),0)</f>
        <v>0.51079223287545206</v>
      </c>
      <c r="AG563" s="114">
        <f t="shared" si="169"/>
        <v>0.82559660024925552</v>
      </c>
      <c r="AH563" s="36">
        <f t="shared" si="172"/>
        <v>0.82559660024925552</v>
      </c>
      <c r="AI563" s="36">
        <f t="shared" si="179"/>
        <v>6.0483425915181037</v>
      </c>
      <c r="AJ563" s="36">
        <f>IFERROR(VLOOKUP(A563,'All Products'!A:F,6,0),0)</f>
        <v>11.85</v>
      </c>
      <c r="AK563" s="36">
        <f>AJ563*Z563*J563</f>
        <v>11.85</v>
      </c>
      <c r="AL563" s="23">
        <v>0.8</v>
      </c>
      <c r="AM563" s="23">
        <v>0.2</v>
      </c>
      <c r="AN563" s="54" t="e">
        <v>#N/A</v>
      </c>
      <c r="AO563" s="47"/>
      <c r="AP563" s="4">
        <v>1.4</v>
      </c>
      <c r="AQ563" s="111">
        <f t="shared" si="170"/>
        <v>0.12584150326797386</v>
      </c>
      <c r="AR563">
        <f>_xlfn.XLOOKUP(F563,'RM Cost'!A:A,'RM Cost'!S:S)</f>
        <v>0</v>
      </c>
      <c r="AS563" t="str">
        <f>_xlfn.XLOOKUP(A563,[3]Sheet1!$B:$B,[3]Sheet1!$B:$B)</f>
        <v>Z094CS</v>
      </c>
      <c r="AT563">
        <f>_xlfn.XLOOKUP(H563,'Yield &amp; Time'!A:A,'Yield &amp; Time'!F:F)</f>
        <v>0</v>
      </c>
    </row>
    <row r="564" spans="1:46" x14ac:dyDescent="0.25">
      <c r="A564" s="2" t="s">
        <v>736</v>
      </c>
      <c r="B564" s="2" t="s">
        <v>656</v>
      </c>
      <c r="C564" s="2" t="s">
        <v>737</v>
      </c>
      <c r="D564" s="2" t="s">
        <v>554</v>
      </c>
      <c r="E564" s="2">
        <v>2.5</v>
      </c>
      <c r="F564" s="1" t="str">
        <f>VLOOKUP(H564,'RM Used'!A:B,2,0)</f>
        <v>P0008</v>
      </c>
      <c r="G564" s="1" t="str">
        <f>IFERROR(VLOOKUP(F564,'RM Cost'!A:B,2,0),"")</f>
        <v>PALE BLUE BAG 470X750MM</v>
      </c>
      <c r="H564" s="2" t="s">
        <v>1323</v>
      </c>
      <c r="I564" s="1" t="str">
        <f>VLOOKUP(F564,'RM Used'!B:D,3,0)</f>
        <v>RM-PACKING</v>
      </c>
      <c r="J564" s="66">
        <v>1</v>
      </c>
      <c r="K564" s="35" t="str">
        <f t="shared" si="174"/>
        <v/>
      </c>
      <c r="L564" s="35">
        <f t="shared" si="162"/>
        <v>0</v>
      </c>
      <c r="M564" s="77" t="str" cm="1">
        <f t="array" ref="M564">_xlfn.IFS(BOM!I564="RM-PACKING","100%",B564="Reynolds",VLOOKUP(H564,'Yield &amp; Time'!A:V,22,0),BOM!B564="Dnata",VLOOKUP(BOM!H564,'Yield &amp; Time'!A:M,13,0),B564="NK",VLOOKUP(H564,'Yield &amp; Time'!A:X,24,0))</f>
        <v>100%</v>
      </c>
      <c r="N564" s="35">
        <f t="shared" si="173"/>
        <v>1</v>
      </c>
      <c r="O564" s="1" t="str">
        <f>VLOOKUP(H564,'RM Used'!A:E,5,0)</f>
        <v>Count</v>
      </c>
      <c r="P564" s="11">
        <f>VLOOKUP(H564,'RM Used'!A:F,6,0)</f>
        <v>0.14000000000000001</v>
      </c>
      <c r="Q564" s="11">
        <f t="shared" si="171"/>
        <v>0.14000000000000001</v>
      </c>
      <c r="R564" s="11">
        <f>IFERROR(IF(B564="Reynolds",VLOOKUP(H564,'Yield &amp; Time'!A:U,21,0),VLOOKUP(H564,'Yield &amp; Time'!A:L,12,0)),0)</f>
        <v>0</v>
      </c>
      <c r="S564" s="11">
        <f t="shared" si="163"/>
        <v>0</v>
      </c>
      <c r="T564" s="11">
        <f t="shared" si="164"/>
        <v>0</v>
      </c>
      <c r="U564" s="11">
        <f>IF(A563=A564,0,VLOOKUP(A564,'Packing Time'!A:F,6,0))</f>
        <v>0</v>
      </c>
      <c r="V564" s="11">
        <f t="shared" si="175"/>
        <v>0</v>
      </c>
      <c r="W564" s="11">
        <f t="shared" si="176"/>
        <v>0</v>
      </c>
      <c r="X564" s="11">
        <f t="shared" si="165"/>
        <v>0</v>
      </c>
      <c r="Y564" s="11">
        <f t="shared" si="177"/>
        <v>0</v>
      </c>
      <c r="Z564" s="37">
        <v>1</v>
      </c>
      <c r="AA564" s="36">
        <f t="shared" si="166"/>
        <v>1</v>
      </c>
      <c r="AB564" s="36">
        <f t="shared" si="167"/>
        <v>0.14000000000000001</v>
      </c>
      <c r="AC564" s="11">
        <f t="shared" si="168"/>
        <v>0</v>
      </c>
      <c r="AD564" s="36">
        <f t="shared" si="178"/>
        <v>0</v>
      </c>
      <c r="AE564" s="36"/>
      <c r="AF564" s="36">
        <f>IFERROR(VLOOKUP(AE564,'Chemical Cost'!A:D,4,0),0)</f>
        <v>0</v>
      </c>
      <c r="AG564" s="114">
        <f t="shared" si="169"/>
        <v>0</v>
      </c>
      <c r="AH564" s="36">
        <f t="shared" si="172"/>
        <v>0</v>
      </c>
      <c r="AI564" s="36">
        <f t="shared" si="179"/>
        <v>0.14000000000000001</v>
      </c>
      <c r="AJ564" s="36">
        <f>IFERROR(VLOOKUP(A564,'All Products'!A:F,6,0),0)</f>
        <v>11.85</v>
      </c>
      <c r="AK564" s="36"/>
      <c r="AL564" s="23">
        <v>0.8</v>
      </c>
      <c r="AM564" s="23">
        <v>0.2</v>
      </c>
      <c r="AN564" s="54" t="e">
        <v>#N/A</v>
      </c>
      <c r="AO564" s="47"/>
      <c r="AP564" s="4">
        <v>1.4</v>
      </c>
      <c r="AQ564" s="111">
        <f t="shared" si="170"/>
        <v>0</v>
      </c>
      <c r="AR564">
        <f>_xlfn.XLOOKUP(F564,'RM Cost'!A:A,'RM Cost'!S:S)</f>
        <v>0</v>
      </c>
      <c r="AS564" t="str">
        <f>_xlfn.XLOOKUP(A564,[3]Sheet1!$B:$B,[3]Sheet1!$B:$B)</f>
        <v>Z094CS</v>
      </c>
      <c r="AT564" t="e">
        <f>_xlfn.XLOOKUP(H564,'Yield &amp; Time'!A:A,'Yield &amp; Time'!F:F)</f>
        <v>#N/A</v>
      </c>
    </row>
    <row r="565" spans="1:46" x14ac:dyDescent="0.25">
      <c r="A565" s="2" t="s">
        <v>738</v>
      </c>
      <c r="B565" s="2" t="s">
        <v>656</v>
      </c>
      <c r="C565" s="2" t="s">
        <v>739</v>
      </c>
      <c r="D565" s="2" t="s">
        <v>554</v>
      </c>
      <c r="E565" s="2">
        <v>1</v>
      </c>
      <c r="F565" s="1" t="str">
        <f>VLOOKUP(H565,'RM Used'!A:B,2,0)</f>
        <v>3409CS</v>
      </c>
      <c r="G565" s="1" t="str">
        <f>IFERROR(VLOOKUP(F565,'RM Cost'!A:B,2,0),"")</f>
        <v>RM - CELERY 1 X 12</v>
      </c>
      <c r="H565" s="2" t="s">
        <v>1502</v>
      </c>
      <c r="I565" s="1" t="str">
        <f>VLOOKUP(F565,'RM Used'!B:D,3,0)</f>
        <v>RM-FOOD</v>
      </c>
      <c r="J565" s="66">
        <v>1</v>
      </c>
      <c r="K565" s="35">
        <f t="shared" si="174"/>
        <v>1</v>
      </c>
      <c r="L565" s="35">
        <f t="shared" si="162"/>
        <v>1</v>
      </c>
      <c r="M565" s="77" cm="1">
        <f t="array" ref="M565">_xlfn.IFS(BOM!I565="RM-PACKING","100%",B565="Reynolds",VLOOKUP(H565,'Yield &amp; Time'!A:V,22,0),BOM!B565="Dnata",VLOOKUP(BOM!H565,'Yield &amp; Time'!A:M,13,0),B565="NK",VLOOKUP(H565,'Yield &amp; Time'!A:X,24,0))</f>
        <v>0</v>
      </c>
      <c r="N565" s="35">
        <f t="shared" si="173"/>
        <v>0</v>
      </c>
      <c r="O565" s="1" t="str">
        <f>VLOOKUP(H565,'RM Used'!A:E,5,0)</f>
        <v>KG</v>
      </c>
      <c r="P565" s="11">
        <f>VLOOKUP(H565,'RM Used'!A:F,6,0)</f>
        <v>0.91</v>
      </c>
      <c r="Q565" s="11">
        <f t="shared" si="171"/>
        <v>0</v>
      </c>
      <c r="R565" s="11">
        <f>IFERROR(IF(B565="Reynolds",VLOOKUP(H565,'Yield &amp; Time'!A:U,21,0),VLOOKUP(H565,'Yield &amp; Time'!A:L,12,0)),0)</f>
        <v>0</v>
      </c>
      <c r="S565" s="11">
        <f t="shared" si="163"/>
        <v>0</v>
      </c>
      <c r="T565" s="11">
        <f t="shared" si="164"/>
        <v>0</v>
      </c>
      <c r="U565" s="11">
        <f>IF(A564=A565,0,VLOOKUP(A565,'Packing Time'!A:F,6,0))</f>
        <v>0.64166666666666661</v>
      </c>
      <c r="V565" s="11">
        <f t="shared" si="175"/>
        <v>0.21720416666666661</v>
      </c>
      <c r="W565" s="11">
        <f t="shared" si="176"/>
        <v>1.0694444444444444E-2</v>
      </c>
      <c r="X565" s="11">
        <f t="shared" si="165"/>
        <v>0.34752666666666659</v>
      </c>
      <c r="Y565" s="11">
        <f t="shared" si="177"/>
        <v>0.34752666666666659</v>
      </c>
      <c r="Z565" s="37">
        <v>1</v>
      </c>
      <c r="AA565" s="36">
        <f t="shared" si="166"/>
        <v>0</v>
      </c>
      <c r="AB565" s="36">
        <f t="shared" si="167"/>
        <v>0</v>
      </c>
      <c r="AC565" s="11">
        <f t="shared" si="168"/>
        <v>1.7111111111111112E-2</v>
      </c>
      <c r="AD565" s="36">
        <f t="shared" si="178"/>
        <v>0.34752666666666659</v>
      </c>
      <c r="AE565" s="36"/>
      <c r="AF565" s="36">
        <f>IFERROR(VLOOKUP(AE565,'Chemical Cost'!A:D,4,0),0)</f>
        <v>0</v>
      </c>
      <c r="AG565" s="114">
        <f t="shared" si="169"/>
        <v>0</v>
      </c>
      <c r="AH565" s="36">
        <f t="shared" si="172"/>
        <v>0</v>
      </c>
      <c r="AI565" s="36">
        <f t="shared" si="179"/>
        <v>0.34752666666666659</v>
      </c>
      <c r="AJ565" s="36">
        <f>IFERROR(VLOOKUP(A565,'All Products'!A:F,6,0),0)</f>
        <v>5.93</v>
      </c>
      <c r="AK565" s="36">
        <f>AJ565*Z565*J565</f>
        <v>5.93</v>
      </c>
      <c r="AL565" s="23">
        <v>1</v>
      </c>
      <c r="AM565" s="23"/>
      <c r="AN565" s="54" t="e">
        <v>#N/A</v>
      </c>
      <c r="AO565" s="47"/>
      <c r="AP565" s="4">
        <v>1.6</v>
      </c>
      <c r="AQ565" s="111">
        <f t="shared" si="170"/>
        <v>1.7111111111111112E-2</v>
      </c>
      <c r="AR565">
        <f>_xlfn.XLOOKUP(F565,'RM Cost'!A:A,'RM Cost'!S:S)</f>
        <v>0</v>
      </c>
      <c r="AS565" t="e">
        <f>_xlfn.XLOOKUP(A565,[3]Sheet1!$B:$B,[3]Sheet1!$B:$B)</f>
        <v>#N/A</v>
      </c>
    </row>
    <row r="566" spans="1:46" x14ac:dyDescent="0.25">
      <c r="A566" s="2" t="s">
        <v>738</v>
      </c>
      <c r="B566" s="2" t="s">
        <v>656</v>
      </c>
      <c r="C566" s="2" t="s">
        <v>739</v>
      </c>
      <c r="D566" s="2" t="s">
        <v>554</v>
      </c>
      <c r="E566" s="2">
        <v>1</v>
      </c>
      <c r="F566" s="1" t="str">
        <f>VLOOKUP(H566,'RM Used'!A:B,2,0)</f>
        <v>P0008</v>
      </c>
      <c r="G566" s="1" t="str">
        <f>IFERROR(VLOOKUP(F566,'RM Cost'!A:B,2,0),"")</f>
        <v>PALE BLUE BAG 470X750MM</v>
      </c>
      <c r="H566" s="2" t="s">
        <v>1323</v>
      </c>
      <c r="I566" s="1" t="str">
        <f>VLOOKUP(F566,'RM Used'!B:D,3,0)</f>
        <v>RM-PACKING</v>
      </c>
      <c r="J566" s="66">
        <v>1</v>
      </c>
      <c r="K566" s="35" t="str">
        <f t="shared" si="174"/>
        <v/>
      </c>
      <c r="L566" s="35">
        <f t="shared" si="162"/>
        <v>0</v>
      </c>
      <c r="M566" s="77" t="str" cm="1">
        <f t="array" ref="M566">_xlfn.IFS(BOM!I566="RM-PACKING","100%",B566="Reynolds",VLOOKUP(H566,'Yield &amp; Time'!A:V,22,0),BOM!B566="Dnata",VLOOKUP(BOM!H566,'Yield &amp; Time'!A:M,13,0),B566="NK",VLOOKUP(H566,'Yield &amp; Time'!A:X,24,0))</f>
        <v>100%</v>
      </c>
      <c r="N566" s="35">
        <f t="shared" si="173"/>
        <v>1</v>
      </c>
      <c r="O566" s="1" t="str">
        <f>VLOOKUP(H566,'RM Used'!A:E,5,0)</f>
        <v>Count</v>
      </c>
      <c r="P566" s="11">
        <f>VLOOKUP(H566,'RM Used'!A:F,6,0)</f>
        <v>0.14000000000000001</v>
      </c>
      <c r="Q566" s="11">
        <f t="shared" si="171"/>
        <v>0.14000000000000001</v>
      </c>
      <c r="R566" s="11">
        <f>IFERROR(IF(B566="Reynolds",VLOOKUP(H566,'Yield &amp; Time'!A:U,21,0),VLOOKUP(H566,'Yield &amp; Time'!A:L,12,0)),0)</f>
        <v>0</v>
      </c>
      <c r="S566" s="11">
        <f t="shared" si="163"/>
        <v>0</v>
      </c>
      <c r="T566" s="11">
        <f t="shared" si="164"/>
        <v>0</v>
      </c>
      <c r="U566" s="11">
        <f>IF(A565=A566,0,VLOOKUP(A566,'Packing Time'!A:F,6,0))</f>
        <v>0</v>
      </c>
      <c r="V566" s="11">
        <f t="shared" si="175"/>
        <v>0</v>
      </c>
      <c r="W566" s="11">
        <f t="shared" si="176"/>
        <v>0</v>
      </c>
      <c r="X566" s="11">
        <f t="shared" si="165"/>
        <v>0</v>
      </c>
      <c r="Y566" s="11">
        <f t="shared" si="177"/>
        <v>0</v>
      </c>
      <c r="Z566" s="37">
        <v>1</v>
      </c>
      <c r="AA566" s="36">
        <f t="shared" si="166"/>
        <v>1</v>
      </c>
      <c r="AB566" s="36">
        <f t="shared" si="167"/>
        <v>0.14000000000000001</v>
      </c>
      <c r="AC566" s="11">
        <f t="shared" si="168"/>
        <v>0</v>
      </c>
      <c r="AD566" s="36">
        <f t="shared" si="178"/>
        <v>0</v>
      </c>
      <c r="AE566" s="36"/>
      <c r="AF566" s="36">
        <f>IFERROR(VLOOKUP(AE566,'Chemical Cost'!A:D,4,0),0)</f>
        <v>0</v>
      </c>
      <c r="AG566" s="114">
        <f t="shared" si="169"/>
        <v>0</v>
      </c>
      <c r="AH566" s="36">
        <f t="shared" si="172"/>
        <v>0</v>
      </c>
      <c r="AI566" s="36">
        <f t="shared" si="179"/>
        <v>0.14000000000000001</v>
      </c>
      <c r="AJ566" s="36">
        <f>IFERROR(VLOOKUP(A566,'All Products'!A:F,6,0),0)</f>
        <v>5.93</v>
      </c>
      <c r="AK566" s="36"/>
      <c r="AL566" s="23">
        <v>1</v>
      </c>
      <c r="AM566" s="23"/>
      <c r="AN566" s="54" t="e">
        <v>#N/A</v>
      </c>
      <c r="AO566" s="47"/>
      <c r="AP566" s="4">
        <v>1.6</v>
      </c>
      <c r="AQ566" s="111">
        <f t="shared" si="170"/>
        <v>0</v>
      </c>
      <c r="AR566">
        <f>_xlfn.XLOOKUP(F566,'RM Cost'!A:A,'RM Cost'!S:S)</f>
        <v>0</v>
      </c>
      <c r="AS566" t="e">
        <f>_xlfn.XLOOKUP(A566,[3]Sheet1!$B:$B,[3]Sheet1!$B:$B)</f>
        <v>#N/A</v>
      </c>
    </row>
    <row r="567" spans="1:46" x14ac:dyDescent="0.25">
      <c r="A567" s="2" t="s">
        <v>740</v>
      </c>
      <c r="B567" s="2" t="s">
        <v>656</v>
      </c>
      <c r="C567" s="2" t="s">
        <v>741</v>
      </c>
      <c r="D567" s="2" t="s">
        <v>554</v>
      </c>
      <c r="E567" s="2">
        <v>2.5</v>
      </c>
      <c r="F567" s="1" t="str">
        <f>VLOOKUP(H567,'RM Used'!A:B,2,0)</f>
        <v>3409CS</v>
      </c>
      <c r="G567" s="1" t="str">
        <f>IFERROR(VLOOKUP(F567,'RM Cost'!A:B,2,0),"")</f>
        <v>RM - CELERY 1 X 12</v>
      </c>
      <c r="H567" s="2" t="s">
        <v>1502</v>
      </c>
      <c r="I567" s="1" t="str">
        <f>VLOOKUP(F567,'RM Used'!B:D,3,0)</f>
        <v>RM-FOOD</v>
      </c>
      <c r="J567" s="66">
        <v>1</v>
      </c>
      <c r="K567" s="35">
        <f t="shared" si="174"/>
        <v>2.5</v>
      </c>
      <c r="L567" s="35">
        <f t="shared" si="162"/>
        <v>2.5</v>
      </c>
      <c r="M567" s="77" cm="1">
        <f t="array" ref="M567">_xlfn.IFS(BOM!I567="RM-PACKING","100%",B567="Reynolds",VLOOKUP(H567,'Yield &amp; Time'!A:V,22,0),BOM!B567="Dnata",VLOOKUP(BOM!H567,'Yield &amp; Time'!A:M,13,0),B567="NK",VLOOKUP(H567,'Yield &amp; Time'!A:X,24,0))</f>
        <v>0</v>
      </c>
      <c r="N567" s="35">
        <f t="shared" si="173"/>
        <v>0</v>
      </c>
      <c r="O567" s="1" t="str">
        <f>VLOOKUP(H567,'RM Used'!A:E,5,0)</f>
        <v>KG</v>
      </c>
      <c r="P567" s="11">
        <f>VLOOKUP(H567,'RM Used'!A:F,6,0)</f>
        <v>0.91</v>
      </c>
      <c r="Q567" s="11">
        <f t="shared" si="171"/>
        <v>0</v>
      </c>
      <c r="R567" s="11">
        <f>IFERROR(IF(B567="Reynolds",VLOOKUP(H567,'Yield &amp; Time'!A:U,21,0),VLOOKUP(H567,'Yield &amp; Time'!A:L,12,0)),0)</f>
        <v>0</v>
      </c>
      <c r="S567" s="11">
        <f t="shared" si="163"/>
        <v>0</v>
      </c>
      <c r="T567" s="11">
        <f t="shared" si="164"/>
        <v>0</v>
      </c>
      <c r="U567" s="11">
        <f>IF(A566=A567,0,VLOOKUP(A567,'Packing Time'!A:F,6,0))</f>
        <v>0.875</v>
      </c>
      <c r="V567" s="11">
        <f t="shared" si="175"/>
        <v>0.29618749999999999</v>
      </c>
      <c r="W567" s="11">
        <f t="shared" si="176"/>
        <v>1.4583333333333334E-2</v>
      </c>
      <c r="X567" s="11">
        <f t="shared" si="165"/>
        <v>0.47389999999999999</v>
      </c>
      <c r="Y567" s="11">
        <f t="shared" si="177"/>
        <v>0.47389999999999999</v>
      </c>
      <c r="Z567" s="37">
        <v>1</v>
      </c>
      <c r="AA567" s="36">
        <f t="shared" si="166"/>
        <v>0</v>
      </c>
      <c r="AB567" s="36">
        <f t="shared" si="167"/>
        <v>0</v>
      </c>
      <c r="AC567" s="11">
        <f t="shared" si="168"/>
        <v>2.3333333333333334E-2</v>
      </c>
      <c r="AD567" s="36">
        <f t="shared" si="178"/>
        <v>0.47389999999999999</v>
      </c>
      <c r="AE567" s="36"/>
      <c r="AF567" s="36">
        <f>IFERROR(VLOOKUP(AE567,'Chemical Cost'!A:D,4,0),0)</f>
        <v>0</v>
      </c>
      <c r="AG567" s="114">
        <f t="shared" si="169"/>
        <v>0</v>
      </c>
      <c r="AH567" s="36">
        <f t="shared" si="172"/>
        <v>0</v>
      </c>
      <c r="AI567" s="36">
        <f t="shared" si="179"/>
        <v>0.47389999999999999</v>
      </c>
      <c r="AJ567" s="36">
        <f>IFERROR(VLOOKUP(A567,'All Products'!A:F,6,0),0)</f>
        <v>14.8</v>
      </c>
      <c r="AK567" s="36">
        <f>AJ567*Z567*J567</f>
        <v>14.8</v>
      </c>
      <c r="AL567" s="23">
        <v>1</v>
      </c>
      <c r="AM567" s="23"/>
      <c r="AN567" s="54" t="e">
        <v>#N/A</v>
      </c>
      <c r="AO567" s="47"/>
      <c r="AP567" s="4">
        <v>1.6</v>
      </c>
      <c r="AQ567" s="111">
        <f t="shared" si="170"/>
        <v>2.3333333333333334E-2</v>
      </c>
      <c r="AR567">
        <f>_xlfn.XLOOKUP(F567,'RM Cost'!A:A,'RM Cost'!S:S)</f>
        <v>0</v>
      </c>
      <c r="AS567" t="e">
        <f>_xlfn.XLOOKUP(A567,[3]Sheet1!$B:$B,[3]Sheet1!$B:$B)</f>
        <v>#N/A</v>
      </c>
    </row>
    <row r="568" spans="1:46" x14ac:dyDescent="0.25">
      <c r="A568" s="2" t="s">
        <v>740</v>
      </c>
      <c r="B568" s="2" t="s">
        <v>656</v>
      </c>
      <c r="C568" s="2" t="s">
        <v>741</v>
      </c>
      <c r="D568" s="2" t="s">
        <v>554</v>
      </c>
      <c r="E568" s="2">
        <v>2.5</v>
      </c>
      <c r="F568" s="1" t="str">
        <f>VLOOKUP(H568,'RM Used'!A:B,2,0)</f>
        <v>P0008</v>
      </c>
      <c r="G568" s="1" t="str">
        <f>IFERROR(VLOOKUP(F568,'RM Cost'!A:B,2,0),"")</f>
        <v>PALE BLUE BAG 470X750MM</v>
      </c>
      <c r="H568" s="2" t="s">
        <v>1323</v>
      </c>
      <c r="I568" s="1" t="str">
        <f>VLOOKUP(F568,'RM Used'!B:D,3,0)</f>
        <v>RM-PACKING</v>
      </c>
      <c r="J568" s="66">
        <v>1</v>
      </c>
      <c r="K568" s="35" t="str">
        <f t="shared" si="174"/>
        <v/>
      </c>
      <c r="L568" s="35">
        <f t="shared" si="162"/>
        <v>0</v>
      </c>
      <c r="M568" s="77" t="str" cm="1">
        <f t="array" ref="M568">_xlfn.IFS(BOM!I568="RM-PACKING","100%",B568="Reynolds",VLOOKUP(H568,'Yield &amp; Time'!A:V,22,0),BOM!B568="Dnata",VLOOKUP(BOM!H568,'Yield &amp; Time'!A:M,13,0),B568="NK",VLOOKUP(H568,'Yield &amp; Time'!A:X,24,0))</f>
        <v>100%</v>
      </c>
      <c r="N568" s="35">
        <f t="shared" si="173"/>
        <v>1</v>
      </c>
      <c r="O568" s="1" t="str">
        <f>VLOOKUP(H568,'RM Used'!A:E,5,0)</f>
        <v>Count</v>
      </c>
      <c r="P568" s="11">
        <f>VLOOKUP(H568,'RM Used'!A:F,6,0)</f>
        <v>0.14000000000000001</v>
      </c>
      <c r="Q568" s="11">
        <f t="shared" si="171"/>
        <v>0.14000000000000001</v>
      </c>
      <c r="R568" s="11">
        <f>IFERROR(IF(B568="Reynolds",VLOOKUP(H568,'Yield &amp; Time'!A:U,21,0),VLOOKUP(H568,'Yield &amp; Time'!A:L,12,0)),0)</f>
        <v>0</v>
      </c>
      <c r="S568" s="11">
        <f t="shared" si="163"/>
        <v>0</v>
      </c>
      <c r="T568" s="11">
        <f t="shared" si="164"/>
        <v>0</v>
      </c>
      <c r="U568" s="11">
        <f>IF(A567=A568,0,VLOOKUP(A568,'Packing Time'!A:F,6,0))</f>
        <v>0</v>
      </c>
      <c r="V568" s="11">
        <f t="shared" si="175"/>
        <v>0</v>
      </c>
      <c r="W568" s="11">
        <f t="shared" si="176"/>
        <v>0</v>
      </c>
      <c r="X568" s="11">
        <f t="shared" si="165"/>
        <v>0</v>
      </c>
      <c r="Y568" s="11">
        <f t="shared" si="177"/>
        <v>0</v>
      </c>
      <c r="Z568" s="37">
        <v>1</v>
      </c>
      <c r="AA568" s="36">
        <f t="shared" si="166"/>
        <v>1</v>
      </c>
      <c r="AB568" s="36">
        <f t="shared" si="167"/>
        <v>0.14000000000000001</v>
      </c>
      <c r="AC568" s="11">
        <f t="shared" si="168"/>
        <v>0</v>
      </c>
      <c r="AD568" s="36">
        <f t="shared" si="178"/>
        <v>0</v>
      </c>
      <c r="AE568" s="36"/>
      <c r="AF568" s="36">
        <f>IFERROR(VLOOKUP(AE568,'Chemical Cost'!A:D,4,0),0)</f>
        <v>0</v>
      </c>
      <c r="AG568" s="114">
        <f t="shared" si="169"/>
        <v>0</v>
      </c>
      <c r="AH568" s="36">
        <f t="shared" si="172"/>
        <v>0</v>
      </c>
      <c r="AI568" s="36">
        <f t="shared" si="179"/>
        <v>0.14000000000000001</v>
      </c>
      <c r="AJ568" s="36">
        <f>IFERROR(VLOOKUP(A568,'All Products'!A:F,6,0),0)</f>
        <v>14.8</v>
      </c>
      <c r="AK568" s="36"/>
      <c r="AL568" s="23">
        <v>1</v>
      </c>
      <c r="AM568" s="23"/>
      <c r="AN568" s="54" t="e">
        <v>#N/A</v>
      </c>
      <c r="AO568" s="47"/>
      <c r="AP568" s="4">
        <v>1.6</v>
      </c>
      <c r="AQ568" s="111">
        <f t="shared" si="170"/>
        <v>0</v>
      </c>
      <c r="AR568">
        <f>_xlfn.XLOOKUP(F568,'RM Cost'!A:A,'RM Cost'!S:S)</f>
        <v>0</v>
      </c>
      <c r="AS568" t="e">
        <f>_xlfn.XLOOKUP(A568,[3]Sheet1!$B:$B,[3]Sheet1!$B:$B)</f>
        <v>#N/A</v>
      </c>
    </row>
    <row r="569" spans="1:46" x14ac:dyDescent="0.25">
      <c r="A569" s="2" t="s">
        <v>742</v>
      </c>
      <c r="B569" s="2" t="s">
        <v>656</v>
      </c>
      <c r="C569" s="2" t="s">
        <v>743</v>
      </c>
      <c r="D569" s="2" t="s">
        <v>554</v>
      </c>
      <c r="E569" s="2">
        <v>1</v>
      </c>
      <c r="F569" s="1" t="str">
        <f>VLOOKUP(H569,'RM Used'!A:B,2,0)</f>
        <v>3409CS</v>
      </c>
      <c r="G569" s="1" t="str">
        <f>IFERROR(VLOOKUP(F569,'RM Cost'!A:B,2,0),"")</f>
        <v>RM - CELERY 1 X 12</v>
      </c>
      <c r="H569" s="2" t="s">
        <v>1502</v>
      </c>
      <c r="I569" s="1" t="str">
        <f>VLOOKUP(F569,'RM Used'!B:D,3,0)</f>
        <v>RM-FOOD</v>
      </c>
      <c r="J569" s="66">
        <v>1</v>
      </c>
      <c r="K569" s="35">
        <f t="shared" si="174"/>
        <v>1</v>
      </c>
      <c r="L569" s="35">
        <f t="shared" si="162"/>
        <v>1</v>
      </c>
      <c r="M569" s="77" cm="1">
        <f t="array" ref="M569">_xlfn.IFS(BOM!I569="RM-PACKING","100%",B569="Reynolds",VLOOKUP(H569,'Yield &amp; Time'!A:V,22,0),BOM!B569="Dnata",VLOOKUP(BOM!H569,'Yield &amp; Time'!A:M,13,0),B569="NK",VLOOKUP(H569,'Yield &amp; Time'!A:X,24,0))</f>
        <v>0</v>
      </c>
      <c r="N569" s="35">
        <f t="shared" si="173"/>
        <v>0</v>
      </c>
      <c r="O569" s="1" t="str">
        <f>VLOOKUP(H569,'RM Used'!A:E,5,0)</f>
        <v>KG</v>
      </c>
      <c r="P569" s="11">
        <f>VLOOKUP(H569,'RM Used'!A:F,6,0)</f>
        <v>0.91</v>
      </c>
      <c r="Q569" s="11">
        <f t="shared" si="171"/>
        <v>0</v>
      </c>
      <c r="R569" s="11">
        <f>IFERROR(IF(B569="Reynolds",VLOOKUP(H569,'Yield &amp; Time'!A:U,21,0),VLOOKUP(H569,'Yield &amp; Time'!A:L,12,0)),0)</f>
        <v>0</v>
      </c>
      <c r="S569" s="11">
        <f t="shared" si="163"/>
        <v>0</v>
      </c>
      <c r="T569" s="11">
        <f t="shared" si="164"/>
        <v>0</v>
      </c>
      <c r="U569" s="11">
        <f>IF(A568=A569,0,VLOOKUP(A569,'Packing Time'!A:F,6,0))</f>
        <v>0.64166666666666661</v>
      </c>
      <c r="V569" s="11">
        <f t="shared" si="175"/>
        <v>0.21720416666666661</v>
      </c>
      <c r="W569" s="11">
        <f t="shared" si="176"/>
        <v>1.0694444444444444E-2</v>
      </c>
      <c r="X569" s="11">
        <f t="shared" si="165"/>
        <v>0.34752666666666659</v>
      </c>
      <c r="Y569" s="11">
        <f t="shared" si="177"/>
        <v>0.34752666666666659</v>
      </c>
      <c r="Z569" s="37">
        <v>1</v>
      </c>
      <c r="AA569" s="36">
        <f t="shared" si="166"/>
        <v>0</v>
      </c>
      <c r="AB569" s="36">
        <f t="shared" si="167"/>
        <v>0</v>
      </c>
      <c r="AC569" s="11">
        <f t="shared" si="168"/>
        <v>1.7111111111111112E-2</v>
      </c>
      <c r="AD569" s="36">
        <f t="shared" si="178"/>
        <v>0.34752666666666659</v>
      </c>
      <c r="AE569" s="36"/>
      <c r="AF569" s="36">
        <f>IFERROR(VLOOKUP(AE569,'Chemical Cost'!A:D,4,0),0)</f>
        <v>0</v>
      </c>
      <c r="AG569" s="114">
        <f t="shared" si="169"/>
        <v>0</v>
      </c>
      <c r="AH569" s="36">
        <f t="shared" si="172"/>
        <v>0</v>
      </c>
      <c r="AI569" s="36">
        <f t="shared" si="179"/>
        <v>0.34752666666666659</v>
      </c>
      <c r="AJ569" s="36">
        <f>IFERROR(VLOOKUP(A569,'All Products'!A:F,6,0),0)</f>
        <v>5.81</v>
      </c>
      <c r="AK569" s="36">
        <f>AJ569*Z569*J569</f>
        <v>5.81</v>
      </c>
      <c r="AL569" s="23">
        <v>1</v>
      </c>
      <c r="AM569" s="23"/>
      <c r="AN569" s="54" t="e">
        <v>#N/A</v>
      </c>
      <c r="AO569" s="47"/>
      <c r="AP569" s="4">
        <v>1.6</v>
      </c>
      <c r="AQ569" s="111">
        <f t="shared" si="170"/>
        <v>1.7111111111111112E-2</v>
      </c>
      <c r="AR569">
        <f>_xlfn.XLOOKUP(F569,'RM Cost'!A:A,'RM Cost'!S:S)</f>
        <v>0</v>
      </c>
      <c r="AS569" t="e">
        <f>_xlfn.XLOOKUP(A569,[3]Sheet1!$B:$B,[3]Sheet1!$B:$B)</f>
        <v>#N/A</v>
      </c>
    </row>
    <row r="570" spans="1:46" x14ac:dyDescent="0.25">
      <c r="A570" s="2" t="s">
        <v>742</v>
      </c>
      <c r="B570" s="2" t="s">
        <v>656</v>
      </c>
      <c r="C570" s="2" t="s">
        <v>743</v>
      </c>
      <c r="D570" s="2" t="s">
        <v>554</v>
      </c>
      <c r="E570" s="2">
        <v>1</v>
      </c>
      <c r="F570" s="1" t="str">
        <f>VLOOKUP(H570,'RM Used'!A:B,2,0)</f>
        <v>P0008</v>
      </c>
      <c r="G570" s="1" t="str">
        <f>IFERROR(VLOOKUP(F570,'RM Cost'!A:B,2,0),"")</f>
        <v>PALE BLUE BAG 470X750MM</v>
      </c>
      <c r="H570" s="2" t="s">
        <v>1323</v>
      </c>
      <c r="I570" s="1" t="str">
        <f>VLOOKUP(F570,'RM Used'!B:D,3,0)</f>
        <v>RM-PACKING</v>
      </c>
      <c r="J570" s="66">
        <v>1</v>
      </c>
      <c r="K570" s="35" t="str">
        <f t="shared" si="174"/>
        <v/>
      </c>
      <c r="L570" s="35">
        <f t="shared" si="162"/>
        <v>0</v>
      </c>
      <c r="M570" s="77" t="str" cm="1">
        <f t="array" ref="M570">_xlfn.IFS(BOM!I570="RM-PACKING","100%",B570="Reynolds",VLOOKUP(H570,'Yield &amp; Time'!A:V,22,0),BOM!B570="Dnata",VLOOKUP(BOM!H570,'Yield &amp; Time'!A:M,13,0),B570="NK",VLOOKUP(H570,'Yield &amp; Time'!A:X,24,0))</f>
        <v>100%</v>
      </c>
      <c r="N570" s="35">
        <f t="shared" si="173"/>
        <v>1</v>
      </c>
      <c r="O570" s="1" t="str">
        <f>VLOOKUP(H570,'RM Used'!A:E,5,0)</f>
        <v>Count</v>
      </c>
      <c r="P570" s="11">
        <f>VLOOKUP(H570,'RM Used'!A:F,6,0)</f>
        <v>0.14000000000000001</v>
      </c>
      <c r="Q570" s="11">
        <f t="shared" si="171"/>
        <v>0.14000000000000001</v>
      </c>
      <c r="R570" s="11">
        <f>IFERROR(IF(B570="Reynolds",VLOOKUP(H570,'Yield &amp; Time'!A:U,21,0),VLOOKUP(H570,'Yield &amp; Time'!A:L,12,0)),0)</f>
        <v>0</v>
      </c>
      <c r="S570" s="11">
        <f t="shared" si="163"/>
        <v>0</v>
      </c>
      <c r="T570" s="11">
        <f t="shared" si="164"/>
        <v>0</v>
      </c>
      <c r="U570" s="11">
        <f>IF(A569=A570,0,VLOOKUP(A570,'Packing Time'!A:F,6,0))</f>
        <v>0</v>
      </c>
      <c r="V570" s="11">
        <f t="shared" si="175"/>
        <v>0</v>
      </c>
      <c r="W570" s="11">
        <f t="shared" si="176"/>
        <v>0</v>
      </c>
      <c r="X570" s="11">
        <f t="shared" si="165"/>
        <v>0</v>
      </c>
      <c r="Y570" s="11">
        <f t="shared" si="177"/>
        <v>0</v>
      </c>
      <c r="Z570" s="37">
        <v>1</v>
      </c>
      <c r="AA570" s="36">
        <f t="shared" si="166"/>
        <v>1</v>
      </c>
      <c r="AB570" s="36">
        <f t="shared" si="167"/>
        <v>0.14000000000000001</v>
      </c>
      <c r="AC570" s="11">
        <f t="shared" si="168"/>
        <v>0</v>
      </c>
      <c r="AD570" s="36">
        <f t="shared" si="178"/>
        <v>0</v>
      </c>
      <c r="AE570" s="36"/>
      <c r="AF570" s="36">
        <f>IFERROR(VLOOKUP(AE570,'Chemical Cost'!A:D,4,0),0)</f>
        <v>0</v>
      </c>
      <c r="AG570" s="114">
        <f t="shared" si="169"/>
        <v>0</v>
      </c>
      <c r="AH570" s="36">
        <f t="shared" si="172"/>
        <v>0</v>
      </c>
      <c r="AI570" s="36">
        <f t="shared" si="179"/>
        <v>0.14000000000000001</v>
      </c>
      <c r="AJ570" s="36">
        <f>IFERROR(VLOOKUP(A570,'All Products'!A:F,6,0),0)</f>
        <v>5.81</v>
      </c>
      <c r="AK570" s="36"/>
      <c r="AL570" s="23">
        <v>1</v>
      </c>
      <c r="AM570" s="23"/>
      <c r="AN570" s="54" t="e">
        <v>#N/A</v>
      </c>
      <c r="AO570" s="47"/>
      <c r="AP570" s="4">
        <v>1.6</v>
      </c>
      <c r="AQ570" s="111">
        <f t="shared" si="170"/>
        <v>0</v>
      </c>
      <c r="AR570">
        <f>_xlfn.XLOOKUP(F570,'RM Cost'!A:A,'RM Cost'!S:S)</f>
        <v>0</v>
      </c>
      <c r="AS570" t="e">
        <f>_xlfn.XLOOKUP(A570,[3]Sheet1!$B:$B,[3]Sheet1!$B:$B)</f>
        <v>#N/A</v>
      </c>
    </row>
    <row r="571" spans="1:46" x14ac:dyDescent="0.25">
      <c r="A571" s="2" t="s">
        <v>744</v>
      </c>
      <c r="B571" s="2" t="s">
        <v>656</v>
      </c>
      <c r="C571" s="2" t="s">
        <v>745</v>
      </c>
      <c r="D571" s="2" t="s">
        <v>554</v>
      </c>
      <c r="E571" s="2">
        <v>2.5</v>
      </c>
      <c r="F571" s="1" t="str">
        <f>VLOOKUP(H571,'RM Used'!A:B,2,0)</f>
        <v>3409CS</v>
      </c>
      <c r="G571" s="1" t="str">
        <f>IFERROR(VLOOKUP(F571,'RM Cost'!A:B,2,0),"")</f>
        <v>RM - CELERY 1 X 12</v>
      </c>
      <c r="H571" s="2" t="s">
        <v>1502</v>
      </c>
      <c r="I571" s="1" t="str">
        <f>VLOOKUP(F571,'RM Used'!B:D,3,0)</f>
        <v>RM-FOOD</v>
      </c>
      <c r="J571" s="66">
        <v>1</v>
      </c>
      <c r="K571" s="35">
        <f t="shared" si="174"/>
        <v>2.5</v>
      </c>
      <c r="L571" s="35">
        <f t="shared" si="162"/>
        <v>2.5</v>
      </c>
      <c r="M571" s="77" cm="1">
        <f t="array" ref="M571">_xlfn.IFS(BOM!I571="RM-PACKING","100%",B571="Reynolds",VLOOKUP(H571,'Yield &amp; Time'!A:V,22,0),BOM!B571="Dnata",VLOOKUP(BOM!H571,'Yield &amp; Time'!A:M,13,0),B571="NK",VLOOKUP(H571,'Yield &amp; Time'!A:X,24,0))</f>
        <v>0</v>
      </c>
      <c r="N571" s="35">
        <f t="shared" si="173"/>
        <v>0</v>
      </c>
      <c r="O571" s="1" t="str">
        <f>VLOOKUP(H571,'RM Used'!A:E,5,0)</f>
        <v>KG</v>
      </c>
      <c r="P571" s="11">
        <f>VLOOKUP(H571,'RM Used'!A:F,6,0)</f>
        <v>0.91</v>
      </c>
      <c r="Q571" s="11">
        <f t="shared" si="171"/>
        <v>0</v>
      </c>
      <c r="R571" s="11">
        <f>IFERROR(IF(B571="Reynolds",VLOOKUP(H571,'Yield &amp; Time'!A:U,21,0),VLOOKUP(H571,'Yield &amp; Time'!A:L,12,0)),0)</f>
        <v>0</v>
      </c>
      <c r="S571" s="11">
        <f t="shared" si="163"/>
        <v>0</v>
      </c>
      <c r="T571" s="11">
        <f t="shared" si="164"/>
        <v>0</v>
      </c>
      <c r="U571" s="11">
        <f>IF(A570=A571,0,VLOOKUP(A571,'Packing Time'!A:F,6,0))</f>
        <v>0.875</v>
      </c>
      <c r="V571" s="11">
        <f t="shared" si="175"/>
        <v>0.29618749999999999</v>
      </c>
      <c r="W571" s="11">
        <f t="shared" si="176"/>
        <v>1.4583333333333334E-2</v>
      </c>
      <c r="X571" s="11">
        <f t="shared" si="165"/>
        <v>0.47389999999999999</v>
      </c>
      <c r="Y571" s="11">
        <f t="shared" si="177"/>
        <v>0.47389999999999999</v>
      </c>
      <c r="Z571" s="37">
        <v>1</v>
      </c>
      <c r="AA571" s="36">
        <f t="shared" si="166"/>
        <v>0</v>
      </c>
      <c r="AB571" s="36">
        <f t="shared" si="167"/>
        <v>0</v>
      </c>
      <c r="AC571" s="11">
        <f t="shared" si="168"/>
        <v>2.3333333333333334E-2</v>
      </c>
      <c r="AD571" s="36">
        <f t="shared" si="178"/>
        <v>0.47389999999999999</v>
      </c>
      <c r="AE571" s="36"/>
      <c r="AF571" s="36">
        <f>IFERROR(VLOOKUP(AE571,'Chemical Cost'!A:D,4,0),0)</f>
        <v>0</v>
      </c>
      <c r="AG571" s="114">
        <f t="shared" si="169"/>
        <v>0</v>
      </c>
      <c r="AH571" s="36">
        <f t="shared" si="172"/>
        <v>0</v>
      </c>
      <c r="AI571" s="36">
        <f t="shared" si="179"/>
        <v>0.47389999999999999</v>
      </c>
      <c r="AJ571" s="36">
        <f>IFERROR(VLOOKUP(A571,'All Products'!A:F,6,0),0)</f>
        <v>14.51</v>
      </c>
      <c r="AK571" s="36">
        <f>AJ571*Z571*J571</f>
        <v>14.51</v>
      </c>
      <c r="AL571" s="23">
        <v>1</v>
      </c>
      <c r="AM571" s="23"/>
      <c r="AN571" s="54" t="e">
        <v>#N/A</v>
      </c>
      <c r="AO571" s="47"/>
      <c r="AP571" s="4">
        <v>1.6</v>
      </c>
      <c r="AQ571" s="111">
        <f t="shared" si="170"/>
        <v>2.3333333333333334E-2</v>
      </c>
      <c r="AR571">
        <f>_xlfn.XLOOKUP(F571,'RM Cost'!A:A,'RM Cost'!S:S)</f>
        <v>0</v>
      </c>
      <c r="AS571" t="e">
        <f>_xlfn.XLOOKUP(A571,[3]Sheet1!$B:$B,[3]Sheet1!$B:$B)</f>
        <v>#N/A</v>
      </c>
    </row>
    <row r="572" spans="1:46" x14ac:dyDescent="0.25">
      <c r="A572" s="2" t="s">
        <v>744</v>
      </c>
      <c r="B572" s="2" t="s">
        <v>656</v>
      </c>
      <c r="C572" s="2" t="s">
        <v>745</v>
      </c>
      <c r="D572" s="2" t="s">
        <v>554</v>
      </c>
      <c r="E572" s="2">
        <v>2.5</v>
      </c>
      <c r="F572" s="1" t="str">
        <f>VLOOKUP(H572,'RM Used'!A:B,2,0)</f>
        <v>P0008</v>
      </c>
      <c r="G572" s="1" t="str">
        <f>IFERROR(VLOOKUP(F572,'RM Cost'!A:B,2,0),"")</f>
        <v>PALE BLUE BAG 470X750MM</v>
      </c>
      <c r="H572" s="2" t="s">
        <v>1323</v>
      </c>
      <c r="I572" s="1" t="str">
        <f>VLOOKUP(F572,'RM Used'!B:D,3,0)</f>
        <v>RM-PACKING</v>
      </c>
      <c r="J572" s="66">
        <v>1</v>
      </c>
      <c r="K572" s="35" t="str">
        <f t="shared" si="174"/>
        <v/>
      </c>
      <c r="L572" s="35">
        <f t="shared" si="162"/>
        <v>0</v>
      </c>
      <c r="M572" s="77" t="str" cm="1">
        <f t="array" ref="M572">_xlfn.IFS(BOM!I572="RM-PACKING","100%",B572="Reynolds",VLOOKUP(H572,'Yield &amp; Time'!A:V,22,0),BOM!B572="Dnata",VLOOKUP(BOM!H572,'Yield &amp; Time'!A:M,13,0),B572="NK",VLOOKUP(H572,'Yield &amp; Time'!A:X,24,0))</f>
        <v>100%</v>
      </c>
      <c r="N572" s="35">
        <f t="shared" si="173"/>
        <v>1</v>
      </c>
      <c r="O572" s="1" t="str">
        <f>VLOOKUP(H572,'RM Used'!A:E,5,0)</f>
        <v>Count</v>
      </c>
      <c r="P572" s="11">
        <f>VLOOKUP(H572,'RM Used'!A:F,6,0)</f>
        <v>0.14000000000000001</v>
      </c>
      <c r="Q572" s="11">
        <f t="shared" si="171"/>
        <v>0.14000000000000001</v>
      </c>
      <c r="R572" s="11">
        <f>IFERROR(IF(B572="Reynolds",VLOOKUP(H572,'Yield &amp; Time'!A:U,21,0),VLOOKUP(H572,'Yield &amp; Time'!A:L,12,0)),0)</f>
        <v>0</v>
      </c>
      <c r="S572" s="11">
        <f t="shared" si="163"/>
        <v>0</v>
      </c>
      <c r="T572" s="11">
        <f t="shared" si="164"/>
        <v>0</v>
      </c>
      <c r="U572" s="11">
        <f>IF(A571=A572,0,VLOOKUP(A572,'Packing Time'!A:F,6,0))</f>
        <v>0</v>
      </c>
      <c r="V572" s="11">
        <f t="shared" si="175"/>
        <v>0</v>
      </c>
      <c r="W572" s="11">
        <f t="shared" si="176"/>
        <v>0</v>
      </c>
      <c r="X572" s="11">
        <f t="shared" si="165"/>
        <v>0</v>
      </c>
      <c r="Y572" s="11">
        <f t="shared" si="177"/>
        <v>0</v>
      </c>
      <c r="Z572" s="37">
        <v>1</v>
      </c>
      <c r="AA572" s="36">
        <f t="shared" si="166"/>
        <v>1</v>
      </c>
      <c r="AB572" s="36">
        <f t="shared" si="167"/>
        <v>0.14000000000000001</v>
      </c>
      <c r="AC572" s="11">
        <f t="shared" si="168"/>
        <v>0</v>
      </c>
      <c r="AD572" s="36">
        <f t="shared" si="178"/>
        <v>0</v>
      </c>
      <c r="AE572" s="36"/>
      <c r="AF572" s="36">
        <f>IFERROR(VLOOKUP(AE572,'Chemical Cost'!A:D,4,0),0)</f>
        <v>0</v>
      </c>
      <c r="AG572" s="114">
        <f t="shared" si="169"/>
        <v>0</v>
      </c>
      <c r="AH572" s="36">
        <f t="shared" si="172"/>
        <v>0</v>
      </c>
      <c r="AI572" s="36">
        <f t="shared" si="179"/>
        <v>0.14000000000000001</v>
      </c>
      <c r="AJ572" s="36">
        <f>IFERROR(VLOOKUP(A572,'All Products'!A:F,6,0),0)</f>
        <v>14.51</v>
      </c>
      <c r="AK572" s="36"/>
      <c r="AL572" s="23">
        <v>1</v>
      </c>
      <c r="AM572" s="23"/>
      <c r="AN572" s="54" t="e">
        <v>#N/A</v>
      </c>
      <c r="AO572" s="47"/>
      <c r="AP572" s="4">
        <v>1.6</v>
      </c>
      <c r="AQ572" s="111">
        <f t="shared" si="170"/>
        <v>0</v>
      </c>
      <c r="AR572">
        <f>_xlfn.XLOOKUP(F572,'RM Cost'!A:A,'RM Cost'!S:S)</f>
        <v>0</v>
      </c>
      <c r="AS572" t="e">
        <f>_xlfn.XLOOKUP(A572,[3]Sheet1!$B:$B,[3]Sheet1!$B:$B)</f>
        <v>#N/A</v>
      </c>
    </row>
    <row r="573" spans="1:46" x14ac:dyDescent="0.25">
      <c r="A573" s="2" t="s">
        <v>304</v>
      </c>
      <c r="B573" s="2" t="s">
        <v>656</v>
      </c>
      <c r="C573" s="2" t="s">
        <v>746</v>
      </c>
      <c r="D573" s="2" t="s">
        <v>554</v>
      </c>
      <c r="E573" s="2">
        <v>1</v>
      </c>
      <c r="F573" s="1" t="str">
        <f>VLOOKUP(H573,'RM Used'!A:B,2,0)</f>
        <v>3409CS</v>
      </c>
      <c r="G573" s="1" t="str">
        <f>IFERROR(VLOOKUP(F573,'RM Cost'!A:B,2,0),"")</f>
        <v>RM - CELERY 1 X 12</v>
      </c>
      <c r="H573" s="2" t="s">
        <v>1503</v>
      </c>
      <c r="I573" s="1" t="str">
        <f>VLOOKUP(F573,'RM Used'!B:D,3,0)</f>
        <v>RM-FOOD</v>
      </c>
      <c r="J573" s="66">
        <v>1</v>
      </c>
      <c r="K573" s="35">
        <f t="shared" si="174"/>
        <v>1</v>
      </c>
      <c r="L573" s="35">
        <f t="shared" si="162"/>
        <v>1</v>
      </c>
      <c r="M573" s="77" cm="1">
        <f t="array" ref="M573">_xlfn.IFS(BOM!I573="RM-PACKING","100%",B573="Reynolds",VLOOKUP(H573,'Yield &amp; Time'!A:V,22,0),BOM!B573="Dnata",VLOOKUP(BOM!H573,'Yield &amp; Time'!A:M,13,0),B573="NK",VLOOKUP(H573,'Yield &amp; Time'!A:X,24,0))</f>
        <v>0.69444444444444442</v>
      </c>
      <c r="N573" s="35">
        <f t="shared" si="173"/>
        <v>1.44</v>
      </c>
      <c r="O573" s="1" t="str">
        <f>VLOOKUP(H573,'RM Used'!A:E,5,0)</f>
        <v>KG</v>
      </c>
      <c r="P573" s="11">
        <f>VLOOKUP(H573,'RM Used'!A:F,6,0)</f>
        <v>0.91</v>
      </c>
      <c r="Q573" s="11">
        <f t="shared" si="171"/>
        <v>1.3104</v>
      </c>
      <c r="R573" s="11">
        <f>IFERROR(IF(B573="Reynolds",VLOOKUP(H573,'Yield &amp; Time'!A:U,21,0),VLOOKUP(H573,'Yield &amp; Time'!A:L,12,0)),0)</f>
        <v>1.6</v>
      </c>
      <c r="S573" s="11">
        <f t="shared" si="163"/>
        <v>0.54159999999999997</v>
      </c>
      <c r="T573" s="11">
        <f t="shared" si="164"/>
        <v>2.6666666666666668E-2</v>
      </c>
      <c r="U573" s="11">
        <f>IF(A572=A573,0,VLOOKUP(A573,'Packing Time'!A:F,6,0))</f>
        <v>0.64166666666666661</v>
      </c>
      <c r="V573" s="11">
        <f t="shared" si="175"/>
        <v>0.21720416666666661</v>
      </c>
      <c r="W573" s="11">
        <f t="shared" si="176"/>
        <v>1.0694444444444444E-2</v>
      </c>
      <c r="X573" s="11">
        <f t="shared" si="165"/>
        <v>1.2140866666666668</v>
      </c>
      <c r="Y573" s="11">
        <f t="shared" si="177"/>
        <v>1.2140866666666668</v>
      </c>
      <c r="Z573" s="37">
        <v>1</v>
      </c>
      <c r="AA573" s="36">
        <f t="shared" si="166"/>
        <v>1.44</v>
      </c>
      <c r="AB573" s="36">
        <f t="shared" si="167"/>
        <v>1.3104</v>
      </c>
      <c r="AC573" s="11">
        <f t="shared" si="168"/>
        <v>5.9777777777777777E-2</v>
      </c>
      <c r="AD573" s="36">
        <f t="shared" si="178"/>
        <v>1.2140866666666665</v>
      </c>
      <c r="AE573" s="36"/>
      <c r="AF573" s="36">
        <f>IFERROR(VLOOKUP(AE573,'Chemical Cost'!A:D,4,0),0)</f>
        <v>0</v>
      </c>
      <c r="AG573" s="114">
        <f t="shared" si="169"/>
        <v>0</v>
      </c>
      <c r="AH573" s="36">
        <f t="shared" si="172"/>
        <v>0</v>
      </c>
      <c r="AI573" s="36">
        <f t="shared" si="179"/>
        <v>2.5244866666666668</v>
      </c>
      <c r="AJ573" s="36">
        <f>IFERROR(VLOOKUP(A573,'All Products'!A:F,6,0),0)</f>
        <v>3.44</v>
      </c>
      <c r="AK573" s="36">
        <f>AJ573*Z573*J573</f>
        <v>3.44</v>
      </c>
      <c r="AL573" s="23">
        <v>1</v>
      </c>
      <c r="AM573" s="23"/>
      <c r="AN573" s="54" t="e">
        <v>#N/A</v>
      </c>
      <c r="AO573" s="47"/>
      <c r="AP573" s="4">
        <v>1.6</v>
      </c>
      <c r="AQ573" s="111">
        <f t="shared" si="170"/>
        <v>5.9777777777777777E-2</v>
      </c>
      <c r="AR573">
        <f>_xlfn.XLOOKUP(F573,'RM Cost'!A:A,'RM Cost'!S:S)</f>
        <v>0</v>
      </c>
      <c r="AS573" t="str">
        <f>_xlfn.XLOOKUP(A573,[3]Sheet1!$B:$B,[3]Sheet1!$B:$B)</f>
        <v>Z104CS</v>
      </c>
      <c r="AT573">
        <f>_xlfn.XLOOKUP(H573,'Yield &amp; Time'!A:A,'Yield &amp; Time'!F:F)</f>
        <v>0</v>
      </c>
    </row>
    <row r="574" spans="1:46" x14ac:dyDescent="0.25">
      <c r="A574" s="2" t="s">
        <v>304</v>
      </c>
      <c r="B574" s="2" t="s">
        <v>656</v>
      </c>
      <c r="C574" s="2" t="s">
        <v>746</v>
      </c>
      <c r="D574" s="2" t="s">
        <v>554</v>
      </c>
      <c r="E574" s="2">
        <v>1</v>
      </c>
      <c r="F574" s="1" t="str">
        <f>VLOOKUP(H574,'RM Used'!A:B,2,0)</f>
        <v>P0008</v>
      </c>
      <c r="G574" s="1" t="str">
        <f>IFERROR(VLOOKUP(F574,'RM Cost'!A:B,2,0),"")</f>
        <v>PALE BLUE BAG 470X750MM</v>
      </c>
      <c r="H574" s="2" t="s">
        <v>1323</v>
      </c>
      <c r="I574" s="1" t="str">
        <f>VLOOKUP(F574,'RM Used'!B:D,3,0)</f>
        <v>RM-PACKING</v>
      </c>
      <c r="J574" s="66">
        <v>1</v>
      </c>
      <c r="K574" s="35" t="str">
        <f t="shared" si="174"/>
        <v/>
      </c>
      <c r="L574" s="35">
        <f t="shared" si="162"/>
        <v>0</v>
      </c>
      <c r="M574" s="77" t="str" cm="1">
        <f t="array" ref="M574">_xlfn.IFS(BOM!I574="RM-PACKING","100%",B574="Reynolds",VLOOKUP(H574,'Yield &amp; Time'!A:V,22,0),BOM!B574="Dnata",VLOOKUP(BOM!H574,'Yield &amp; Time'!A:M,13,0),B574="NK",VLOOKUP(H574,'Yield &amp; Time'!A:X,24,0))</f>
        <v>100%</v>
      </c>
      <c r="N574" s="35">
        <f t="shared" si="173"/>
        <v>1</v>
      </c>
      <c r="O574" s="1" t="str">
        <f>VLOOKUP(H574,'RM Used'!A:E,5,0)</f>
        <v>Count</v>
      </c>
      <c r="P574" s="11">
        <f>VLOOKUP(H574,'RM Used'!A:F,6,0)</f>
        <v>0.14000000000000001</v>
      </c>
      <c r="Q574" s="11">
        <f t="shared" si="171"/>
        <v>0.14000000000000001</v>
      </c>
      <c r="R574" s="11">
        <f>IFERROR(IF(B574="Reynolds",VLOOKUP(H574,'Yield &amp; Time'!A:U,21,0),VLOOKUP(H574,'Yield &amp; Time'!A:L,12,0)),0)</f>
        <v>0</v>
      </c>
      <c r="S574" s="11">
        <f t="shared" si="163"/>
        <v>0</v>
      </c>
      <c r="T574" s="11">
        <f t="shared" si="164"/>
        <v>0</v>
      </c>
      <c r="U574" s="11">
        <f>IF(A573=A574,0,VLOOKUP(A574,'Packing Time'!A:F,6,0))</f>
        <v>0</v>
      </c>
      <c r="V574" s="11">
        <f t="shared" si="175"/>
        <v>0</v>
      </c>
      <c r="W574" s="11">
        <f t="shared" si="176"/>
        <v>0</v>
      </c>
      <c r="X574" s="11">
        <f t="shared" si="165"/>
        <v>0</v>
      </c>
      <c r="Y574" s="11">
        <f t="shared" si="177"/>
        <v>0</v>
      </c>
      <c r="Z574" s="37">
        <v>1</v>
      </c>
      <c r="AA574" s="36">
        <f t="shared" si="166"/>
        <v>1</v>
      </c>
      <c r="AB574" s="36">
        <f t="shared" si="167"/>
        <v>0.14000000000000001</v>
      </c>
      <c r="AC574" s="11">
        <f t="shared" si="168"/>
        <v>0</v>
      </c>
      <c r="AD574" s="36">
        <f t="shared" si="178"/>
        <v>0</v>
      </c>
      <c r="AE574" s="36"/>
      <c r="AF574" s="36">
        <f>IFERROR(VLOOKUP(AE574,'Chemical Cost'!A:D,4,0),0)</f>
        <v>0</v>
      </c>
      <c r="AG574" s="114">
        <f t="shared" si="169"/>
        <v>0</v>
      </c>
      <c r="AH574" s="36">
        <f t="shared" si="172"/>
        <v>0</v>
      </c>
      <c r="AI574" s="36">
        <f t="shared" si="179"/>
        <v>0.14000000000000001</v>
      </c>
      <c r="AJ574" s="36">
        <f>IFERROR(VLOOKUP(A574,'All Products'!A:F,6,0),0)</f>
        <v>3.44</v>
      </c>
      <c r="AK574" s="36"/>
      <c r="AL574" s="23">
        <v>1</v>
      </c>
      <c r="AM574" s="23"/>
      <c r="AN574" s="54" t="e">
        <v>#N/A</v>
      </c>
      <c r="AO574" s="47"/>
      <c r="AP574" s="4">
        <v>1.6</v>
      </c>
      <c r="AQ574" s="111">
        <f t="shared" si="170"/>
        <v>0</v>
      </c>
      <c r="AR574">
        <f>_xlfn.XLOOKUP(F574,'RM Cost'!A:A,'RM Cost'!S:S)</f>
        <v>0</v>
      </c>
      <c r="AS574" t="str">
        <f>_xlfn.XLOOKUP(A574,[3]Sheet1!$B:$B,[3]Sheet1!$B:$B)</f>
        <v>Z104CS</v>
      </c>
      <c r="AT574" t="e">
        <f>_xlfn.XLOOKUP(H574,'Yield &amp; Time'!A:A,'Yield &amp; Time'!F:F)</f>
        <v>#N/A</v>
      </c>
    </row>
    <row r="575" spans="1:46" x14ac:dyDescent="0.25">
      <c r="A575" s="2" t="s">
        <v>303</v>
      </c>
      <c r="B575" s="2" t="s">
        <v>656</v>
      </c>
      <c r="C575" s="2" t="s">
        <v>747</v>
      </c>
      <c r="D575" s="2" t="s">
        <v>554</v>
      </c>
      <c r="E575" s="2">
        <v>2.5</v>
      </c>
      <c r="F575" s="1" t="str">
        <f>VLOOKUP(H575,'RM Used'!A:B,2,0)</f>
        <v>3409CS</v>
      </c>
      <c r="G575" s="1" t="str">
        <f>IFERROR(VLOOKUP(F575,'RM Cost'!A:B,2,0),"")</f>
        <v>RM - CELERY 1 X 12</v>
      </c>
      <c r="H575" s="2" t="s">
        <v>1503</v>
      </c>
      <c r="I575" s="1" t="str">
        <f>VLOOKUP(F575,'RM Used'!B:D,3,0)</f>
        <v>RM-FOOD</v>
      </c>
      <c r="J575" s="66">
        <v>1</v>
      </c>
      <c r="K575" s="35">
        <f t="shared" si="174"/>
        <v>2.5</v>
      </c>
      <c r="L575" s="35">
        <f t="shared" si="162"/>
        <v>2.5</v>
      </c>
      <c r="M575" s="77" cm="1">
        <f t="array" ref="M575">_xlfn.IFS(BOM!I575="RM-PACKING","100%",B575="Reynolds",VLOOKUP(H575,'Yield &amp; Time'!A:V,22,0),BOM!B575="Dnata",VLOOKUP(BOM!H575,'Yield &amp; Time'!A:M,13,0),B575="NK",VLOOKUP(H575,'Yield &amp; Time'!A:X,24,0))</f>
        <v>0.69444444444444442</v>
      </c>
      <c r="N575" s="35">
        <f t="shared" si="173"/>
        <v>3.6</v>
      </c>
      <c r="O575" s="1" t="str">
        <f>VLOOKUP(H575,'RM Used'!A:E,5,0)</f>
        <v>KG</v>
      </c>
      <c r="P575" s="11">
        <f>VLOOKUP(H575,'RM Used'!A:F,6,0)</f>
        <v>0.91</v>
      </c>
      <c r="Q575" s="11">
        <f t="shared" si="171"/>
        <v>3.2760000000000002</v>
      </c>
      <c r="R575" s="11">
        <f>IFERROR(IF(B575="Reynolds",VLOOKUP(H575,'Yield &amp; Time'!A:U,21,0),VLOOKUP(H575,'Yield &amp; Time'!A:L,12,0)),0)</f>
        <v>1.6</v>
      </c>
      <c r="S575" s="11">
        <f t="shared" si="163"/>
        <v>1.3539999999999999</v>
      </c>
      <c r="T575" s="11">
        <f t="shared" si="164"/>
        <v>6.6666666666666666E-2</v>
      </c>
      <c r="U575" s="11">
        <f>IF(A574=A575,0,VLOOKUP(A575,'Packing Time'!A:F,6,0))</f>
        <v>0.875</v>
      </c>
      <c r="V575" s="11">
        <f t="shared" si="175"/>
        <v>0.29618749999999999</v>
      </c>
      <c r="W575" s="11">
        <f t="shared" si="176"/>
        <v>1.4583333333333334E-2</v>
      </c>
      <c r="X575" s="11">
        <f t="shared" si="165"/>
        <v>2.0627343749999998</v>
      </c>
      <c r="Y575" s="11">
        <f t="shared" si="177"/>
        <v>2.0627343749999998</v>
      </c>
      <c r="Z575" s="37">
        <v>1</v>
      </c>
      <c r="AA575" s="36">
        <f t="shared" si="166"/>
        <v>3.6</v>
      </c>
      <c r="AB575" s="36">
        <f t="shared" si="167"/>
        <v>3.2760000000000002</v>
      </c>
      <c r="AC575" s="11">
        <f t="shared" si="168"/>
        <v>0.1015625</v>
      </c>
      <c r="AD575" s="36">
        <f t="shared" si="178"/>
        <v>2.0627343749999998</v>
      </c>
      <c r="AE575" s="36"/>
      <c r="AF575" s="36">
        <f>IFERROR(VLOOKUP(AE575,'Chemical Cost'!A:D,4,0),0)</f>
        <v>0</v>
      </c>
      <c r="AG575" s="114">
        <f t="shared" si="169"/>
        <v>0</v>
      </c>
      <c r="AH575" s="36">
        <f t="shared" si="172"/>
        <v>0</v>
      </c>
      <c r="AI575" s="36">
        <f t="shared" si="179"/>
        <v>5.3387343749999996</v>
      </c>
      <c r="AJ575" s="36">
        <f>IFERROR(VLOOKUP(A575,'All Products'!A:F,6,0),0)</f>
        <v>8.6</v>
      </c>
      <c r="AK575" s="36">
        <f>AJ575*Z575*J575</f>
        <v>8.6</v>
      </c>
      <c r="AL575" s="23">
        <v>1</v>
      </c>
      <c r="AM575" s="23"/>
      <c r="AN575" s="54" t="e">
        <v>#N/A</v>
      </c>
      <c r="AO575" s="47"/>
      <c r="AP575" s="4">
        <v>1.25</v>
      </c>
      <c r="AQ575" s="111">
        <f t="shared" si="170"/>
        <v>0.1015625</v>
      </c>
      <c r="AR575">
        <f>_xlfn.XLOOKUP(F575,'RM Cost'!A:A,'RM Cost'!S:S)</f>
        <v>0</v>
      </c>
      <c r="AS575" t="str">
        <f>_xlfn.XLOOKUP(A575,[3]Sheet1!$B:$B,[3]Sheet1!$B:$B)</f>
        <v>Z103CS</v>
      </c>
      <c r="AT575">
        <f>_xlfn.XLOOKUP(H575,'Yield &amp; Time'!A:A,'Yield &amp; Time'!F:F)</f>
        <v>0</v>
      </c>
    </row>
    <row r="576" spans="1:46" x14ac:dyDescent="0.25">
      <c r="A576" s="2" t="s">
        <v>303</v>
      </c>
      <c r="B576" s="2" t="s">
        <v>656</v>
      </c>
      <c r="C576" s="2" t="s">
        <v>747</v>
      </c>
      <c r="D576" s="2" t="s">
        <v>554</v>
      </c>
      <c r="E576" s="2">
        <v>2.5</v>
      </c>
      <c r="F576" s="1" t="str">
        <f>VLOOKUP(H576,'RM Used'!A:B,2,0)</f>
        <v>P0008</v>
      </c>
      <c r="G576" s="1" t="str">
        <f>IFERROR(VLOOKUP(F576,'RM Cost'!A:B,2,0),"")</f>
        <v>PALE BLUE BAG 470X750MM</v>
      </c>
      <c r="H576" s="2" t="s">
        <v>1323</v>
      </c>
      <c r="I576" s="1" t="str">
        <f>VLOOKUP(F576,'RM Used'!B:D,3,0)</f>
        <v>RM-PACKING</v>
      </c>
      <c r="J576" s="66">
        <v>1</v>
      </c>
      <c r="K576" s="35" t="str">
        <f t="shared" si="174"/>
        <v/>
      </c>
      <c r="L576" s="35">
        <f t="shared" si="162"/>
        <v>0</v>
      </c>
      <c r="M576" s="77" t="str" cm="1">
        <f t="array" ref="M576">_xlfn.IFS(BOM!I576="RM-PACKING","100%",B576="Reynolds",VLOOKUP(H576,'Yield &amp; Time'!A:V,22,0),BOM!B576="Dnata",VLOOKUP(BOM!H576,'Yield &amp; Time'!A:M,13,0),B576="NK",VLOOKUP(H576,'Yield &amp; Time'!A:X,24,0))</f>
        <v>100%</v>
      </c>
      <c r="N576" s="35">
        <f t="shared" si="173"/>
        <v>1</v>
      </c>
      <c r="O576" s="1" t="str">
        <f>VLOOKUP(H576,'RM Used'!A:E,5,0)</f>
        <v>Count</v>
      </c>
      <c r="P576" s="11">
        <f>VLOOKUP(H576,'RM Used'!A:F,6,0)</f>
        <v>0.14000000000000001</v>
      </c>
      <c r="Q576" s="11">
        <f t="shared" si="171"/>
        <v>0.14000000000000001</v>
      </c>
      <c r="R576" s="11">
        <f>IFERROR(IF(B576="Reynolds",VLOOKUP(H576,'Yield &amp; Time'!A:U,21,0),VLOOKUP(H576,'Yield &amp; Time'!A:L,12,0)),0)</f>
        <v>0</v>
      </c>
      <c r="S576" s="11">
        <f t="shared" si="163"/>
        <v>0</v>
      </c>
      <c r="T576" s="11">
        <f t="shared" si="164"/>
        <v>0</v>
      </c>
      <c r="U576" s="11">
        <f>IF(A575=A576,0,VLOOKUP(A576,'Packing Time'!A:F,6,0))</f>
        <v>0</v>
      </c>
      <c r="V576" s="11">
        <f t="shared" si="175"/>
        <v>0</v>
      </c>
      <c r="W576" s="11">
        <f t="shared" si="176"/>
        <v>0</v>
      </c>
      <c r="X576" s="11">
        <f t="shared" si="165"/>
        <v>0</v>
      </c>
      <c r="Y576" s="11">
        <f t="shared" si="177"/>
        <v>0</v>
      </c>
      <c r="Z576" s="37">
        <v>1</v>
      </c>
      <c r="AA576" s="36">
        <f t="shared" si="166"/>
        <v>1</v>
      </c>
      <c r="AB576" s="36">
        <f t="shared" si="167"/>
        <v>0.14000000000000001</v>
      </c>
      <c r="AC576" s="11">
        <f t="shared" si="168"/>
        <v>0</v>
      </c>
      <c r="AD576" s="36">
        <f t="shared" si="178"/>
        <v>0</v>
      </c>
      <c r="AE576" s="36"/>
      <c r="AF576" s="36">
        <f>IFERROR(VLOOKUP(AE576,'Chemical Cost'!A:D,4,0),0)</f>
        <v>0</v>
      </c>
      <c r="AG576" s="114">
        <f t="shared" si="169"/>
        <v>0</v>
      </c>
      <c r="AH576" s="36">
        <f t="shared" si="172"/>
        <v>0</v>
      </c>
      <c r="AI576" s="36">
        <f t="shared" si="179"/>
        <v>0.14000000000000001</v>
      </c>
      <c r="AJ576" s="36">
        <f>IFERROR(VLOOKUP(A576,'All Products'!A:F,6,0),0)</f>
        <v>8.6</v>
      </c>
      <c r="AK576" s="36"/>
      <c r="AL576" s="23">
        <v>1</v>
      </c>
      <c r="AM576" s="23"/>
      <c r="AN576" s="54" t="e">
        <v>#N/A</v>
      </c>
      <c r="AO576" s="47"/>
      <c r="AP576" s="4">
        <v>1.25</v>
      </c>
      <c r="AQ576" s="111">
        <f t="shared" si="170"/>
        <v>0</v>
      </c>
      <c r="AR576">
        <f>_xlfn.XLOOKUP(F576,'RM Cost'!A:A,'RM Cost'!S:S)</f>
        <v>0</v>
      </c>
      <c r="AS576" t="str">
        <f>_xlfn.XLOOKUP(A576,[3]Sheet1!$B:$B,[3]Sheet1!$B:$B)</f>
        <v>Z103CS</v>
      </c>
      <c r="AT576" t="e">
        <f>_xlfn.XLOOKUP(H576,'Yield &amp; Time'!A:A,'Yield &amp; Time'!F:F)</f>
        <v>#N/A</v>
      </c>
    </row>
    <row r="577" spans="1:46" x14ac:dyDescent="0.25">
      <c r="A577" s="2" t="s">
        <v>748</v>
      </c>
      <c r="B577" s="2" t="s">
        <v>656</v>
      </c>
      <c r="C577" s="2" t="s">
        <v>749</v>
      </c>
      <c r="D577" s="2" t="s">
        <v>554</v>
      </c>
      <c r="E577" s="2">
        <v>0.25</v>
      </c>
      <c r="F577" s="1" t="str">
        <f>VLOOKUP(H577,'RM Used'!A:B,2,0)</f>
        <v>3409CS</v>
      </c>
      <c r="G577" s="1" t="str">
        <f>IFERROR(VLOOKUP(F577,'RM Cost'!A:B,2,0),"")</f>
        <v>RM - CELERY 1 X 12</v>
      </c>
      <c r="H577" s="2" t="s">
        <v>1503</v>
      </c>
      <c r="I577" s="1" t="str">
        <f>VLOOKUP(F577,'RM Used'!B:D,3,0)</f>
        <v>RM-FOOD</v>
      </c>
      <c r="J577" s="66">
        <v>1</v>
      </c>
      <c r="K577" s="35">
        <f t="shared" si="174"/>
        <v>0.25</v>
      </c>
      <c r="L577" s="35">
        <f t="shared" si="162"/>
        <v>0.25</v>
      </c>
      <c r="M577" s="77" cm="1">
        <f t="array" ref="M577">_xlfn.IFS(BOM!I577="RM-PACKING","100%",B577="Reynolds",VLOOKUP(H577,'Yield &amp; Time'!A:V,22,0),BOM!B577="Dnata",VLOOKUP(BOM!H577,'Yield &amp; Time'!A:M,13,0),B577="NK",VLOOKUP(H577,'Yield &amp; Time'!A:X,24,0))</f>
        <v>0.69444444444444442</v>
      </c>
      <c r="N577" s="35">
        <f t="shared" si="173"/>
        <v>0.36</v>
      </c>
      <c r="O577" s="1" t="str">
        <f>VLOOKUP(H577,'RM Used'!A:E,5,0)</f>
        <v>KG</v>
      </c>
      <c r="P577" s="11">
        <f>VLOOKUP(H577,'RM Used'!A:F,6,0)</f>
        <v>0.91</v>
      </c>
      <c r="Q577" s="11">
        <f t="shared" si="171"/>
        <v>0.3276</v>
      </c>
      <c r="R577" s="11">
        <f>IFERROR(IF(B577="Reynolds",VLOOKUP(H577,'Yield &amp; Time'!A:U,21,0),VLOOKUP(H577,'Yield &amp; Time'!A:L,12,0)),0)</f>
        <v>1.6</v>
      </c>
      <c r="S577" s="11">
        <f t="shared" si="163"/>
        <v>0.13539999999999999</v>
      </c>
      <c r="T577" s="11">
        <f t="shared" si="164"/>
        <v>6.6666666666666671E-3</v>
      </c>
      <c r="U577" s="11">
        <f>IF(A576=A577,0,VLOOKUP(A577,'Packing Time'!A:F,6,0))</f>
        <v>0.47499999999999998</v>
      </c>
      <c r="V577" s="11">
        <f t="shared" si="175"/>
        <v>0.16078749999999997</v>
      </c>
      <c r="W577" s="11">
        <f t="shared" si="176"/>
        <v>7.9166666666666656E-3</v>
      </c>
      <c r="X577" s="11">
        <f t="shared" si="165"/>
        <v>0.47389999999999999</v>
      </c>
      <c r="Y577" s="11">
        <f t="shared" si="177"/>
        <v>0.47389999999999999</v>
      </c>
      <c r="Z577" s="37">
        <v>1</v>
      </c>
      <c r="AA577" s="36">
        <f t="shared" si="166"/>
        <v>0.36</v>
      </c>
      <c r="AB577" s="36">
        <f t="shared" si="167"/>
        <v>0.3276</v>
      </c>
      <c r="AC577" s="11">
        <f t="shared" si="168"/>
        <v>2.3333333333333334E-2</v>
      </c>
      <c r="AD577" s="36">
        <f t="shared" si="178"/>
        <v>0.47389999999999999</v>
      </c>
      <c r="AE577" s="36"/>
      <c r="AF577" s="36">
        <f>IFERROR(VLOOKUP(AE577,'Chemical Cost'!A:D,4,0),0)</f>
        <v>0</v>
      </c>
      <c r="AG577" s="114">
        <f t="shared" si="169"/>
        <v>0</v>
      </c>
      <c r="AH577" s="36">
        <f t="shared" si="172"/>
        <v>0</v>
      </c>
      <c r="AI577" s="36">
        <f t="shared" si="179"/>
        <v>0.80149999999999999</v>
      </c>
      <c r="AJ577" s="36">
        <f>IFERROR(VLOOKUP(A577,'All Products'!A:F,6,0),0)</f>
        <v>3.43</v>
      </c>
      <c r="AK577" s="36">
        <f>AJ577*Z577*J577</f>
        <v>3.43</v>
      </c>
      <c r="AL577" s="23">
        <v>1</v>
      </c>
      <c r="AM577" s="23"/>
      <c r="AN577" s="54" t="e">
        <v>#N/A</v>
      </c>
      <c r="AO577" s="47"/>
      <c r="AP577" s="4">
        <v>1.6</v>
      </c>
      <c r="AQ577" s="111">
        <f t="shared" si="170"/>
        <v>2.3333333333333334E-2</v>
      </c>
      <c r="AR577">
        <f>_xlfn.XLOOKUP(F577,'RM Cost'!A:A,'RM Cost'!S:S)</f>
        <v>0</v>
      </c>
      <c r="AS577" t="e">
        <f>_xlfn.XLOOKUP(A577,[3]Sheet1!$B:$B,[3]Sheet1!$B:$B)</f>
        <v>#N/A</v>
      </c>
    </row>
    <row r="578" spans="1:46" x14ac:dyDescent="0.25">
      <c r="A578" s="2" t="s">
        <v>748</v>
      </c>
      <c r="B578" s="2" t="s">
        <v>656</v>
      </c>
      <c r="C578" s="2" t="s">
        <v>749</v>
      </c>
      <c r="D578" s="2" t="s">
        <v>554</v>
      </c>
      <c r="E578" s="2">
        <v>0.25</v>
      </c>
      <c r="F578" s="1" t="str">
        <f>VLOOKUP(H578,'RM Used'!A:B,2,0)</f>
        <v>P0017</v>
      </c>
      <c r="G578" s="1" t="str">
        <f>IFERROR(VLOOKUP(F578,'RM Cost'!A:B,2,0),"")</f>
        <v>PALE BLUE BAG 250X300MM</v>
      </c>
      <c r="H578" s="2" t="s">
        <v>1334</v>
      </c>
      <c r="I578" s="1" t="str">
        <f>VLOOKUP(F578,'RM Used'!B:D,3,0)</f>
        <v>RM-PACKING</v>
      </c>
      <c r="J578" s="66">
        <v>1</v>
      </c>
      <c r="K578" s="35" t="str">
        <f t="shared" si="174"/>
        <v/>
      </c>
      <c r="L578" s="35">
        <f t="shared" ref="L578:L641" si="180">IFERROR(K578*Z578,0)</f>
        <v>0</v>
      </c>
      <c r="M578" s="77" t="str" cm="1">
        <f t="array" ref="M578">_xlfn.IFS(BOM!I578="RM-PACKING","100%",B578="Reynolds",VLOOKUP(H578,'Yield &amp; Time'!A:V,22,0),BOM!B578="Dnata",VLOOKUP(BOM!H578,'Yield &amp; Time'!A:M,13,0),B578="NK",VLOOKUP(H578,'Yield &amp; Time'!A:X,24,0))</f>
        <v>100%</v>
      </c>
      <c r="N578" s="35">
        <f t="shared" si="173"/>
        <v>1</v>
      </c>
      <c r="O578" s="1" t="str">
        <f>VLOOKUP(H578,'RM Used'!A:E,5,0)</f>
        <v>Count</v>
      </c>
      <c r="P578" s="11">
        <f>VLOOKUP(H578,'RM Used'!A:F,6,0)</f>
        <v>0.05</v>
      </c>
      <c r="Q578" s="11">
        <f t="shared" si="171"/>
        <v>0.05</v>
      </c>
      <c r="R578" s="11">
        <f>IFERROR(IF(B578="Reynolds",VLOOKUP(H578,'Yield &amp; Time'!A:U,21,0),VLOOKUP(H578,'Yield &amp; Time'!A:L,12,0)),0)</f>
        <v>0</v>
      </c>
      <c r="S578" s="11">
        <f t="shared" ref="S578:S641" si="181">R578*J578*E578*AO$1</f>
        <v>0</v>
      </c>
      <c r="T578" s="11">
        <f t="shared" ref="T578:T641" si="182">(R578*Z578*J578*E578)/60</f>
        <v>0</v>
      </c>
      <c r="U578" s="11">
        <f>IF(A577=A578,0,VLOOKUP(A578,'Packing Time'!A:F,6,0))</f>
        <v>0</v>
      </c>
      <c r="V578" s="11">
        <f t="shared" si="175"/>
        <v>0</v>
      </c>
      <c r="W578" s="11">
        <f t="shared" si="176"/>
        <v>0</v>
      </c>
      <c r="X578" s="11">
        <f t="shared" ref="X578:X641" si="183">((R578*J578*E578)+U578)*AO$1*AP578</f>
        <v>0</v>
      </c>
      <c r="Y578" s="11">
        <f t="shared" si="177"/>
        <v>0</v>
      </c>
      <c r="Z578" s="37">
        <v>1</v>
      </c>
      <c r="AA578" s="36">
        <f t="shared" ref="AA578:AA641" si="184">Z578*N578</f>
        <v>1</v>
      </c>
      <c r="AB578" s="36">
        <f t="shared" ref="AB578:AB641" si="185">AA578*P578</f>
        <v>0.05</v>
      </c>
      <c r="AC578" s="11">
        <f t="shared" ref="AC578:AC641" si="186">(((R578*J578*E578)+U578)/60)*Z578*AP578</f>
        <v>0</v>
      </c>
      <c r="AD578" s="36">
        <f t="shared" si="178"/>
        <v>0</v>
      </c>
      <c r="AE578" s="36"/>
      <c r="AF578" s="36">
        <f>IFERROR(VLOOKUP(AE578,'Chemical Cost'!A:D,4,0),0)</f>
        <v>0</v>
      </c>
      <c r="AG578" s="114">
        <f t="shared" ref="AG578:AG641" si="187">AF578*N578/3</f>
        <v>0</v>
      </c>
      <c r="AH578" s="36">
        <f t="shared" si="172"/>
        <v>0</v>
      </c>
      <c r="AI578" s="36">
        <f t="shared" si="179"/>
        <v>0.05</v>
      </c>
      <c r="AJ578" s="36">
        <f>IFERROR(VLOOKUP(A578,'All Products'!A:F,6,0),0)</f>
        <v>3.43</v>
      </c>
      <c r="AK578" s="36"/>
      <c r="AL578" s="23">
        <v>1</v>
      </c>
      <c r="AM578" s="23"/>
      <c r="AN578" s="54" t="e">
        <v>#N/A</v>
      </c>
      <c r="AO578" s="47"/>
      <c r="AP578" s="4">
        <v>1.6</v>
      </c>
      <c r="AQ578" s="111">
        <f t="shared" ref="AQ578:AQ641" si="188">(((R578*J578*E578)+U578)/60)*AP578</f>
        <v>0</v>
      </c>
      <c r="AR578">
        <f>_xlfn.XLOOKUP(F578,'RM Cost'!A:A,'RM Cost'!S:S)</f>
        <v>0</v>
      </c>
      <c r="AS578" t="e">
        <f>_xlfn.XLOOKUP(A578,[3]Sheet1!$B:$B,[3]Sheet1!$B:$B)</f>
        <v>#N/A</v>
      </c>
    </row>
    <row r="579" spans="1:46" x14ac:dyDescent="0.25">
      <c r="A579" s="2" t="s">
        <v>750</v>
      </c>
      <c r="B579" s="2" t="s">
        <v>656</v>
      </c>
      <c r="C579" s="2" t="s">
        <v>751</v>
      </c>
      <c r="D579" s="2" t="s">
        <v>554</v>
      </c>
      <c r="E579" s="2">
        <v>1</v>
      </c>
      <c r="F579" s="1" t="str">
        <f>VLOOKUP(H579,'RM Used'!A:B,2,0)</f>
        <v>3409CS</v>
      </c>
      <c r="G579" s="1" t="str">
        <f>IFERROR(VLOOKUP(F579,'RM Cost'!A:B,2,0),"")</f>
        <v>RM - CELERY 1 X 12</v>
      </c>
      <c r="H579" s="2" t="s">
        <v>1426</v>
      </c>
      <c r="I579" s="1" t="str">
        <f>VLOOKUP(F579,'RM Used'!B:D,3,0)</f>
        <v>RM-FOOD</v>
      </c>
      <c r="J579" s="66">
        <v>1</v>
      </c>
      <c r="K579" s="35">
        <f t="shared" si="174"/>
        <v>1</v>
      </c>
      <c r="L579" s="35">
        <f t="shared" si="180"/>
        <v>1</v>
      </c>
      <c r="M579" s="77" cm="1">
        <f t="array" ref="M579">_xlfn.IFS(BOM!I579="RM-PACKING","100%",B579="Reynolds",VLOOKUP(H579,'Yield &amp; Time'!A:V,22,0),BOM!B579="Dnata",VLOOKUP(BOM!H579,'Yield &amp; Time'!A:M,13,0),B579="NK",VLOOKUP(H579,'Yield &amp; Time'!A:X,24,0))</f>
        <v>0.68540145985401446</v>
      </c>
      <c r="N579" s="35">
        <f t="shared" si="173"/>
        <v>1.4589989350372741</v>
      </c>
      <c r="O579" s="1" t="str">
        <f>VLOOKUP(H579,'RM Used'!A:E,5,0)</f>
        <v>KG</v>
      </c>
      <c r="P579" s="11">
        <f>VLOOKUP(H579,'RM Used'!A:F,6,0)</f>
        <v>0.91</v>
      </c>
      <c r="Q579" s="11">
        <f t="shared" ref="Q579:Q642" si="189">P579*N579</f>
        <v>1.3276890308839195</v>
      </c>
      <c r="R579" s="11">
        <f>IFERROR(IF(B579="Reynolds",VLOOKUP(H579,'Yield &amp; Time'!A:U,21,0),VLOOKUP(H579,'Yield &amp; Time'!A:L,12,0)),0)</f>
        <v>11.625843095491657</v>
      </c>
      <c r="S579" s="11">
        <f t="shared" si="181"/>
        <v>3.9353478878239256</v>
      </c>
      <c r="T579" s="11">
        <f t="shared" si="182"/>
        <v>0.19376405159152763</v>
      </c>
      <c r="U579" s="11">
        <f>IF(A578=A579,0,VLOOKUP(A579,'Packing Time'!A:F,6,0))</f>
        <v>0.64166666666666661</v>
      </c>
      <c r="V579" s="11">
        <f t="shared" si="175"/>
        <v>0.21720416666666661</v>
      </c>
      <c r="W579" s="11">
        <f t="shared" si="176"/>
        <v>1.0694444444444444E-2</v>
      </c>
      <c r="X579" s="11">
        <f t="shared" si="183"/>
        <v>6.6440832871849471</v>
      </c>
      <c r="Y579" s="11">
        <f t="shared" si="177"/>
        <v>6.6440832871849471</v>
      </c>
      <c r="Z579" s="37">
        <v>1</v>
      </c>
      <c r="AA579" s="36">
        <f t="shared" si="184"/>
        <v>1.4589989350372741</v>
      </c>
      <c r="AB579" s="36">
        <f t="shared" si="185"/>
        <v>1.3276890308839195</v>
      </c>
      <c r="AC579" s="11">
        <f t="shared" si="186"/>
        <v>0.32713359365755529</v>
      </c>
      <c r="AD579" s="36">
        <f t="shared" si="178"/>
        <v>6.644083287184948</v>
      </c>
      <c r="AE579" s="36"/>
      <c r="AF579" s="36">
        <f>IFERROR(VLOOKUP(AE579,'Chemical Cost'!A:D,4,0),0)</f>
        <v>0</v>
      </c>
      <c r="AG579" s="114">
        <f t="shared" si="187"/>
        <v>0</v>
      </c>
      <c r="AH579" s="36">
        <f t="shared" si="172"/>
        <v>0</v>
      </c>
      <c r="AI579" s="36">
        <f t="shared" si="179"/>
        <v>7.9717723180688669</v>
      </c>
      <c r="AJ579" s="36">
        <f>IFERROR(VLOOKUP(A579,'All Products'!A:F,6,0),0)</f>
        <v>6.28</v>
      </c>
      <c r="AK579" s="36">
        <f>AJ579*Z579*J579</f>
        <v>6.28</v>
      </c>
      <c r="AL579" s="23">
        <v>1</v>
      </c>
      <c r="AM579" s="23"/>
      <c r="AN579" s="54" t="e">
        <v>#N/A</v>
      </c>
      <c r="AO579" s="47"/>
      <c r="AP579" s="4">
        <v>1.6</v>
      </c>
      <c r="AQ579" s="111">
        <f t="shared" si="188"/>
        <v>0.32713359365755529</v>
      </c>
      <c r="AR579">
        <f>_xlfn.XLOOKUP(F579,'RM Cost'!A:A,'RM Cost'!S:S)</f>
        <v>0</v>
      </c>
      <c r="AS579" t="e">
        <f>_xlfn.XLOOKUP(A579,[3]Sheet1!$B:$B,[3]Sheet1!$B:$B)</f>
        <v>#N/A</v>
      </c>
    </row>
    <row r="580" spans="1:46" x14ac:dyDescent="0.25">
      <c r="A580" s="2" t="s">
        <v>750</v>
      </c>
      <c r="B580" s="2" t="s">
        <v>656</v>
      </c>
      <c r="C580" s="2" t="s">
        <v>751</v>
      </c>
      <c r="D580" s="2" t="s">
        <v>554</v>
      </c>
      <c r="E580" s="2">
        <v>1</v>
      </c>
      <c r="F580" s="1" t="str">
        <f>VLOOKUP(H580,'RM Used'!A:B,2,0)</f>
        <v>P0008</v>
      </c>
      <c r="G580" s="1" t="str">
        <f>IFERROR(VLOOKUP(F580,'RM Cost'!A:B,2,0),"")</f>
        <v>PALE BLUE BAG 470X750MM</v>
      </c>
      <c r="H580" s="2" t="s">
        <v>1323</v>
      </c>
      <c r="I580" s="1" t="str">
        <f>VLOOKUP(F580,'RM Used'!B:D,3,0)</f>
        <v>RM-PACKING</v>
      </c>
      <c r="J580" s="66">
        <v>1</v>
      </c>
      <c r="K580" s="35" t="str">
        <f t="shared" si="174"/>
        <v/>
      </c>
      <c r="L580" s="35">
        <f t="shared" si="180"/>
        <v>0</v>
      </c>
      <c r="M580" s="77" t="str" cm="1">
        <f t="array" ref="M580">_xlfn.IFS(BOM!I580="RM-PACKING","100%",B580="Reynolds",VLOOKUP(H580,'Yield &amp; Time'!A:V,22,0),BOM!B580="Dnata",VLOOKUP(BOM!H580,'Yield &amp; Time'!A:M,13,0),B580="NK",VLOOKUP(H580,'Yield &amp; Time'!A:X,24,0))</f>
        <v>100%</v>
      </c>
      <c r="N580" s="35">
        <f t="shared" si="173"/>
        <v>1</v>
      </c>
      <c r="O580" s="1" t="str">
        <f>VLOOKUP(H580,'RM Used'!A:E,5,0)</f>
        <v>Count</v>
      </c>
      <c r="P580" s="11">
        <f>VLOOKUP(H580,'RM Used'!A:F,6,0)</f>
        <v>0.14000000000000001</v>
      </c>
      <c r="Q580" s="11">
        <f t="shared" si="189"/>
        <v>0.14000000000000001</v>
      </c>
      <c r="R580" s="11">
        <f>IFERROR(IF(B580="Reynolds",VLOOKUP(H580,'Yield &amp; Time'!A:U,21,0),VLOOKUP(H580,'Yield &amp; Time'!A:L,12,0)),0)</f>
        <v>0</v>
      </c>
      <c r="S580" s="11">
        <f t="shared" si="181"/>
        <v>0</v>
      </c>
      <c r="T580" s="11">
        <f t="shared" si="182"/>
        <v>0</v>
      </c>
      <c r="U580" s="11">
        <f>IF(A579=A580,0,VLOOKUP(A580,'Packing Time'!A:F,6,0))</f>
        <v>0</v>
      </c>
      <c r="V580" s="11">
        <f t="shared" si="175"/>
        <v>0</v>
      </c>
      <c r="W580" s="11">
        <f t="shared" si="176"/>
        <v>0</v>
      </c>
      <c r="X580" s="11">
        <f t="shared" si="183"/>
        <v>0</v>
      </c>
      <c r="Y580" s="11">
        <f t="shared" si="177"/>
        <v>0</v>
      </c>
      <c r="Z580" s="37">
        <v>1</v>
      </c>
      <c r="AA580" s="36">
        <f t="shared" si="184"/>
        <v>1</v>
      </c>
      <c r="AB580" s="36">
        <f t="shared" si="185"/>
        <v>0.14000000000000001</v>
      </c>
      <c r="AC580" s="11">
        <f t="shared" si="186"/>
        <v>0</v>
      </c>
      <c r="AD580" s="36">
        <f t="shared" si="178"/>
        <v>0</v>
      </c>
      <c r="AE580" s="36"/>
      <c r="AF580" s="36">
        <f>IFERROR(VLOOKUP(AE580,'Chemical Cost'!A:D,4,0),0)</f>
        <v>0</v>
      </c>
      <c r="AG580" s="114">
        <f t="shared" si="187"/>
        <v>0</v>
      </c>
      <c r="AH580" s="36">
        <f t="shared" si="172"/>
        <v>0</v>
      </c>
      <c r="AI580" s="36">
        <f t="shared" si="179"/>
        <v>0.14000000000000001</v>
      </c>
      <c r="AJ580" s="36">
        <f>IFERROR(VLOOKUP(A580,'All Products'!A:F,6,0),0)</f>
        <v>6.28</v>
      </c>
      <c r="AK580" s="36"/>
      <c r="AL580" s="23">
        <v>1</v>
      </c>
      <c r="AM580" s="23"/>
      <c r="AN580" s="54" t="e">
        <v>#N/A</v>
      </c>
      <c r="AO580" s="47"/>
      <c r="AP580" s="4">
        <v>1.6</v>
      </c>
      <c r="AQ580" s="111">
        <f t="shared" si="188"/>
        <v>0</v>
      </c>
      <c r="AR580">
        <f>_xlfn.XLOOKUP(F580,'RM Cost'!A:A,'RM Cost'!S:S)</f>
        <v>0</v>
      </c>
      <c r="AS580" t="e">
        <f>_xlfn.XLOOKUP(A580,[3]Sheet1!$B:$B,[3]Sheet1!$B:$B)</f>
        <v>#N/A</v>
      </c>
    </row>
    <row r="581" spans="1:46" x14ac:dyDescent="0.25">
      <c r="A581" s="2" t="s">
        <v>752</v>
      </c>
      <c r="B581" s="2" t="s">
        <v>656</v>
      </c>
      <c r="C581" s="2" t="s">
        <v>753</v>
      </c>
      <c r="D581" s="2" t="s">
        <v>554</v>
      </c>
      <c r="E581" s="2">
        <v>2.5</v>
      </c>
      <c r="F581" s="1" t="str">
        <f>VLOOKUP(H581,'RM Used'!A:B,2,0)</f>
        <v>3409CS</v>
      </c>
      <c r="G581" s="1" t="str">
        <f>IFERROR(VLOOKUP(F581,'RM Cost'!A:B,2,0),"")</f>
        <v>RM - CELERY 1 X 12</v>
      </c>
      <c r="H581" s="2" t="s">
        <v>1426</v>
      </c>
      <c r="I581" s="1" t="str">
        <f>VLOOKUP(F581,'RM Used'!B:D,3,0)</f>
        <v>RM-FOOD</v>
      </c>
      <c r="J581" s="66">
        <v>1</v>
      </c>
      <c r="K581" s="35">
        <f t="shared" si="174"/>
        <v>2.5</v>
      </c>
      <c r="L581" s="35">
        <f t="shared" si="180"/>
        <v>2.5</v>
      </c>
      <c r="M581" s="77" cm="1">
        <f t="array" ref="M581">_xlfn.IFS(BOM!I581="RM-PACKING","100%",B581="Reynolds",VLOOKUP(H581,'Yield &amp; Time'!A:V,22,0),BOM!B581="Dnata",VLOOKUP(BOM!H581,'Yield &amp; Time'!A:M,13,0),B581="NK",VLOOKUP(H581,'Yield &amp; Time'!A:X,24,0))</f>
        <v>0.68540145985401446</v>
      </c>
      <c r="N581" s="35">
        <f t="shared" si="173"/>
        <v>3.647497337593185</v>
      </c>
      <c r="O581" s="1" t="str">
        <f>VLOOKUP(H581,'RM Used'!A:E,5,0)</f>
        <v>KG</v>
      </c>
      <c r="P581" s="11">
        <f>VLOOKUP(H581,'RM Used'!A:F,6,0)</f>
        <v>0.91</v>
      </c>
      <c r="Q581" s="11">
        <f t="shared" si="189"/>
        <v>3.3192225772097985</v>
      </c>
      <c r="R581" s="11">
        <f>IFERROR(IF(B581="Reynolds",VLOOKUP(H581,'Yield &amp; Time'!A:U,21,0),VLOOKUP(H581,'Yield &amp; Time'!A:L,12,0)),0)</f>
        <v>11.625843095491657</v>
      </c>
      <c r="S581" s="11">
        <f t="shared" si="181"/>
        <v>9.8383697195598145</v>
      </c>
      <c r="T581" s="11">
        <f t="shared" si="182"/>
        <v>0.48441012897881908</v>
      </c>
      <c r="U581" s="11">
        <f>IF(A580=A581,0,VLOOKUP(A581,'Packing Time'!A:F,6,0))</f>
        <v>0.875</v>
      </c>
      <c r="V581" s="11">
        <f t="shared" si="175"/>
        <v>0.29618749999999999</v>
      </c>
      <c r="W581" s="11">
        <f t="shared" si="176"/>
        <v>1.4583333333333334E-2</v>
      </c>
      <c r="X581" s="11">
        <f t="shared" si="183"/>
        <v>16.215291551295703</v>
      </c>
      <c r="Y581" s="11">
        <f t="shared" si="177"/>
        <v>16.215291551295703</v>
      </c>
      <c r="Z581" s="37">
        <v>1</v>
      </c>
      <c r="AA581" s="36">
        <f t="shared" si="184"/>
        <v>3.647497337593185</v>
      </c>
      <c r="AB581" s="36">
        <f t="shared" si="185"/>
        <v>3.3192225772097985</v>
      </c>
      <c r="AC581" s="11">
        <f t="shared" si="186"/>
        <v>0.79838953969944393</v>
      </c>
      <c r="AD581" s="36">
        <f t="shared" si="178"/>
        <v>16.215291551295703</v>
      </c>
      <c r="AE581" s="36"/>
      <c r="AF581" s="36">
        <f>IFERROR(VLOOKUP(AE581,'Chemical Cost'!A:D,4,0),0)</f>
        <v>0</v>
      </c>
      <c r="AG581" s="114">
        <f t="shared" si="187"/>
        <v>0</v>
      </c>
      <c r="AH581" s="36">
        <f t="shared" si="172"/>
        <v>0</v>
      </c>
      <c r="AI581" s="36">
        <f t="shared" si="179"/>
        <v>19.534514128505503</v>
      </c>
      <c r="AJ581" s="36">
        <f>IFERROR(VLOOKUP(A581,'All Products'!A:F,6,0),0)</f>
        <v>15.18</v>
      </c>
      <c r="AK581" s="36">
        <f>AJ581*Z581*J581</f>
        <v>15.18</v>
      </c>
      <c r="AL581" s="23">
        <v>1</v>
      </c>
      <c r="AM581" s="23"/>
      <c r="AN581" s="54" t="e">
        <v>#N/A</v>
      </c>
      <c r="AO581" s="47"/>
      <c r="AP581" s="4">
        <v>1.6</v>
      </c>
      <c r="AQ581" s="111">
        <f t="shared" si="188"/>
        <v>0.79838953969944393</v>
      </c>
      <c r="AR581">
        <f>_xlfn.XLOOKUP(F581,'RM Cost'!A:A,'RM Cost'!S:S)</f>
        <v>0</v>
      </c>
      <c r="AS581" t="e">
        <f>_xlfn.XLOOKUP(A581,[3]Sheet1!$B:$B,[3]Sheet1!$B:$B)</f>
        <v>#N/A</v>
      </c>
    </row>
    <row r="582" spans="1:46" x14ac:dyDescent="0.25">
      <c r="A582" s="2" t="s">
        <v>752</v>
      </c>
      <c r="B582" s="2" t="s">
        <v>656</v>
      </c>
      <c r="C582" s="2" t="s">
        <v>753</v>
      </c>
      <c r="D582" s="2" t="s">
        <v>554</v>
      </c>
      <c r="E582" s="2">
        <v>2.5</v>
      </c>
      <c r="F582" s="1" t="str">
        <f>VLOOKUP(H582,'RM Used'!A:B,2,0)</f>
        <v>P0008</v>
      </c>
      <c r="G582" s="1" t="str">
        <f>IFERROR(VLOOKUP(F582,'RM Cost'!A:B,2,0),"")</f>
        <v>PALE BLUE BAG 470X750MM</v>
      </c>
      <c r="H582" s="2" t="s">
        <v>1323</v>
      </c>
      <c r="I582" s="1" t="str">
        <f>VLOOKUP(F582,'RM Used'!B:D,3,0)</f>
        <v>RM-PACKING</v>
      </c>
      <c r="J582" s="66">
        <v>1</v>
      </c>
      <c r="K582" s="35" t="str">
        <f t="shared" si="174"/>
        <v/>
      </c>
      <c r="L582" s="35">
        <f t="shared" si="180"/>
        <v>0</v>
      </c>
      <c r="M582" s="77" t="str" cm="1">
        <f t="array" ref="M582">_xlfn.IFS(BOM!I582="RM-PACKING","100%",B582="Reynolds",VLOOKUP(H582,'Yield &amp; Time'!A:V,22,0),BOM!B582="Dnata",VLOOKUP(BOM!H582,'Yield &amp; Time'!A:M,13,0),B582="NK",VLOOKUP(H582,'Yield &amp; Time'!A:X,24,0))</f>
        <v>100%</v>
      </c>
      <c r="N582" s="35">
        <f t="shared" si="173"/>
        <v>1</v>
      </c>
      <c r="O582" s="1" t="str">
        <f>VLOOKUP(H582,'RM Used'!A:E,5,0)</f>
        <v>Count</v>
      </c>
      <c r="P582" s="11">
        <f>VLOOKUP(H582,'RM Used'!A:F,6,0)</f>
        <v>0.14000000000000001</v>
      </c>
      <c r="Q582" s="11">
        <f t="shared" si="189"/>
        <v>0.14000000000000001</v>
      </c>
      <c r="R582" s="11">
        <f>IFERROR(IF(B582="Reynolds",VLOOKUP(H582,'Yield &amp; Time'!A:U,21,0),VLOOKUP(H582,'Yield &amp; Time'!A:L,12,0)),0)</f>
        <v>0</v>
      </c>
      <c r="S582" s="11">
        <f t="shared" si="181"/>
        <v>0</v>
      </c>
      <c r="T582" s="11">
        <f t="shared" si="182"/>
        <v>0</v>
      </c>
      <c r="U582" s="11">
        <f>IF(A581=A582,0,VLOOKUP(A582,'Packing Time'!A:F,6,0))</f>
        <v>0</v>
      </c>
      <c r="V582" s="11">
        <f t="shared" si="175"/>
        <v>0</v>
      </c>
      <c r="W582" s="11">
        <f t="shared" si="176"/>
        <v>0</v>
      </c>
      <c r="X582" s="11">
        <f t="shared" si="183"/>
        <v>0</v>
      </c>
      <c r="Y582" s="11">
        <f t="shared" si="177"/>
        <v>0</v>
      </c>
      <c r="Z582" s="37">
        <v>1</v>
      </c>
      <c r="AA582" s="36">
        <f t="shared" si="184"/>
        <v>1</v>
      </c>
      <c r="AB582" s="36">
        <f t="shared" si="185"/>
        <v>0.14000000000000001</v>
      </c>
      <c r="AC582" s="11">
        <f t="shared" si="186"/>
        <v>0</v>
      </c>
      <c r="AD582" s="36">
        <f t="shared" si="178"/>
        <v>0</v>
      </c>
      <c r="AE582" s="36"/>
      <c r="AF582" s="36">
        <f>IFERROR(VLOOKUP(AE582,'Chemical Cost'!A:D,4,0),0)</f>
        <v>0</v>
      </c>
      <c r="AG582" s="114">
        <f t="shared" si="187"/>
        <v>0</v>
      </c>
      <c r="AH582" s="36">
        <f t="shared" si="172"/>
        <v>0</v>
      </c>
      <c r="AI582" s="36">
        <f t="shared" si="179"/>
        <v>0.14000000000000001</v>
      </c>
      <c r="AJ582" s="36">
        <f>IFERROR(VLOOKUP(A582,'All Products'!A:F,6,0),0)</f>
        <v>15.18</v>
      </c>
      <c r="AK582" s="36"/>
      <c r="AL582" s="23">
        <v>1</v>
      </c>
      <c r="AM582" s="23"/>
      <c r="AN582" s="54" t="e">
        <v>#N/A</v>
      </c>
      <c r="AO582" s="47"/>
      <c r="AP582" s="4">
        <v>1.6</v>
      </c>
      <c r="AQ582" s="111">
        <f t="shared" si="188"/>
        <v>0</v>
      </c>
      <c r="AR582">
        <f>_xlfn.XLOOKUP(F582,'RM Cost'!A:A,'RM Cost'!S:S)</f>
        <v>0</v>
      </c>
      <c r="AS582" t="e">
        <f>_xlfn.XLOOKUP(A582,[3]Sheet1!$B:$B,[3]Sheet1!$B:$B)</f>
        <v>#N/A</v>
      </c>
    </row>
    <row r="583" spans="1:46" x14ac:dyDescent="0.25">
      <c r="A583" s="2" t="s">
        <v>301</v>
      </c>
      <c r="B583" s="2" t="s">
        <v>656</v>
      </c>
      <c r="C583" s="2" t="s">
        <v>302</v>
      </c>
      <c r="D583" s="2" t="s">
        <v>554</v>
      </c>
      <c r="E583" s="2">
        <v>1</v>
      </c>
      <c r="F583" s="1" t="str">
        <f>VLOOKUP(H583,'RM Used'!A:B,2,0)</f>
        <v>3409CS</v>
      </c>
      <c r="G583" s="1" t="str">
        <f>IFERROR(VLOOKUP(F583,'RM Cost'!A:B,2,0),"")</f>
        <v>RM - CELERY 1 X 12</v>
      </c>
      <c r="H583" s="2" t="s">
        <v>1504</v>
      </c>
      <c r="I583" s="1" t="str">
        <f>VLOOKUP(F583,'RM Used'!B:D,3,0)</f>
        <v>RM-FOOD</v>
      </c>
      <c r="J583" s="66">
        <v>1</v>
      </c>
      <c r="K583" s="35">
        <f t="shared" si="174"/>
        <v>1</v>
      </c>
      <c r="L583" s="35">
        <f t="shared" si="180"/>
        <v>1</v>
      </c>
      <c r="M583" s="77" cm="1">
        <f t="array" ref="M583">_xlfn.IFS(BOM!I583="RM-PACKING","100%",B583="Reynolds",VLOOKUP(H583,'Yield &amp; Time'!A:V,22,0),BOM!B583="Dnata",VLOOKUP(BOM!H583,'Yield &amp; Time'!A:M,13,0),B583="NK",VLOOKUP(H583,'Yield &amp; Time'!A:X,24,0))</f>
        <v>0.6834345479082321</v>
      </c>
      <c r="N583" s="35">
        <f t="shared" si="173"/>
        <v>1.4631979068963816</v>
      </c>
      <c r="O583" s="1" t="str">
        <f>VLOOKUP(H583,'RM Used'!A:E,5,0)</f>
        <v>KG</v>
      </c>
      <c r="P583" s="11">
        <f>VLOOKUP(H583,'RM Used'!A:F,6,0)</f>
        <v>0.91</v>
      </c>
      <c r="Q583" s="11">
        <f t="shared" si="189"/>
        <v>1.3315100952757073</v>
      </c>
      <c r="R583" s="11">
        <f>IFERROR(IF(B583="Reynolds",VLOOKUP(H583,'Yield &amp; Time'!A:U,21,0),VLOOKUP(H583,'Yield &amp; Time'!A:L,12,0)),0)</f>
        <v>2.023049645390071</v>
      </c>
      <c r="S583" s="11">
        <f t="shared" si="181"/>
        <v>0.68480230496453898</v>
      </c>
      <c r="T583" s="11">
        <f t="shared" si="182"/>
        <v>3.3717494089834515E-2</v>
      </c>
      <c r="U583" s="11">
        <f>IF(A582=A583,0,VLOOKUP(A583,'Packing Time'!A:F,6,0))</f>
        <v>0.64166666666666661</v>
      </c>
      <c r="V583" s="11">
        <f t="shared" si="175"/>
        <v>0.21720416666666661</v>
      </c>
      <c r="W583" s="11">
        <f t="shared" si="176"/>
        <v>1.0694444444444444E-2</v>
      </c>
      <c r="X583" s="11">
        <f t="shared" si="183"/>
        <v>1.4432103546099291</v>
      </c>
      <c r="Y583" s="11">
        <f t="shared" si="177"/>
        <v>1.4432103546099291</v>
      </c>
      <c r="Z583" s="37">
        <v>1</v>
      </c>
      <c r="AA583" s="36">
        <f t="shared" si="184"/>
        <v>1.4631979068963816</v>
      </c>
      <c r="AB583" s="36">
        <f t="shared" si="185"/>
        <v>1.3315100952757073</v>
      </c>
      <c r="AC583" s="11">
        <f t="shared" si="186"/>
        <v>7.1059101654846343E-2</v>
      </c>
      <c r="AD583" s="36">
        <f t="shared" si="178"/>
        <v>1.4432103546099291</v>
      </c>
      <c r="AE583" s="36" t="str">
        <f>VLOOKUP(H583,'Yield &amp; Time'!A:I,9,0)</f>
        <v>CHLORINE</v>
      </c>
      <c r="AF583" s="36">
        <f>IFERROR(VLOOKUP(AE583,'Chemical Cost'!A:D,4,0),0)</f>
        <v>2.7756518066439469E-2</v>
      </c>
      <c r="AG583" s="114">
        <f t="shared" si="187"/>
        <v>1.3537759712515278E-2</v>
      </c>
      <c r="AH583" s="36">
        <f t="shared" si="172"/>
        <v>1.3537759712515278E-2</v>
      </c>
      <c r="AI583" s="36">
        <f t="shared" si="179"/>
        <v>2.7882582095981521</v>
      </c>
      <c r="AJ583" s="36">
        <f>IFERROR(VLOOKUP(A583,'All Products'!A:F,6,0),0)</f>
        <v>3.93</v>
      </c>
      <c r="AK583" s="36">
        <f>AJ583*Z583*J583</f>
        <v>3.93</v>
      </c>
      <c r="AL583" s="23">
        <v>0.8</v>
      </c>
      <c r="AM583" s="23">
        <v>0.2</v>
      </c>
      <c r="AN583" s="54" t="e">
        <v>#N/A</v>
      </c>
      <c r="AO583" s="47"/>
      <c r="AP583" s="4">
        <v>1.6</v>
      </c>
      <c r="AQ583" s="111">
        <f t="shared" si="188"/>
        <v>7.1059101654846343E-2</v>
      </c>
      <c r="AR583">
        <f>_xlfn.XLOOKUP(F583,'RM Cost'!A:A,'RM Cost'!S:S)</f>
        <v>0</v>
      </c>
      <c r="AS583" t="str">
        <f>_xlfn.XLOOKUP(A583,[3]Sheet1!$B:$B,[3]Sheet1!$B:$B)</f>
        <v>Z101CS</v>
      </c>
      <c r="AT583">
        <f>_xlfn.XLOOKUP(H583,'Yield &amp; Time'!A:A,'Yield &amp; Time'!F:F)</f>
        <v>0</v>
      </c>
    </row>
    <row r="584" spans="1:46" x14ac:dyDescent="0.25">
      <c r="A584" s="2" t="s">
        <v>301</v>
      </c>
      <c r="B584" s="2" t="s">
        <v>656</v>
      </c>
      <c r="C584" s="2" t="s">
        <v>302</v>
      </c>
      <c r="D584" s="2" t="s">
        <v>554</v>
      </c>
      <c r="E584" s="2">
        <v>1</v>
      </c>
      <c r="F584" s="1" t="str">
        <f>VLOOKUP(H584,'RM Used'!A:B,2,0)</f>
        <v>P0008</v>
      </c>
      <c r="G584" s="1" t="str">
        <f>IFERROR(VLOOKUP(F584,'RM Cost'!A:B,2,0),"")</f>
        <v>PALE BLUE BAG 470X750MM</v>
      </c>
      <c r="H584" s="2" t="s">
        <v>1323</v>
      </c>
      <c r="I584" s="1" t="str">
        <f>VLOOKUP(F584,'RM Used'!B:D,3,0)</f>
        <v>RM-PACKING</v>
      </c>
      <c r="J584" s="66">
        <v>1</v>
      </c>
      <c r="K584" s="35" t="str">
        <f t="shared" si="174"/>
        <v/>
      </c>
      <c r="L584" s="35">
        <f t="shared" si="180"/>
        <v>0</v>
      </c>
      <c r="M584" s="77" t="str" cm="1">
        <f t="array" ref="M584">_xlfn.IFS(BOM!I584="RM-PACKING","100%",B584="Reynolds",VLOOKUP(H584,'Yield &amp; Time'!A:V,22,0),BOM!B584="Dnata",VLOOKUP(BOM!H584,'Yield &amp; Time'!A:M,13,0),B584="NK",VLOOKUP(H584,'Yield &amp; Time'!A:X,24,0))</f>
        <v>100%</v>
      </c>
      <c r="N584" s="35">
        <f t="shared" si="173"/>
        <v>1</v>
      </c>
      <c r="O584" s="1" t="str">
        <f>VLOOKUP(H584,'RM Used'!A:E,5,0)</f>
        <v>Count</v>
      </c>
      <c r="P584" s="11">
        <f>VLOOKUP(H584,'RM Used'!A:F,6,0)</f>
        <v>0.14000000000000001</v>
      </c>
      <c r="Q584" s="11">
        <f t="shared" si="189"/>
        <v>0.14000000000000001</v>
      </c>
      <c r="R584" s="11">
        <f>IFERROR(IF(B584="Reynolds",VLOOKUP(H584,'Yield &amp; Time'!A:U,21,0),VLOOKUP(H584,'Yield &amp; Time'!A:L,12,0)),0)</f>
        <v>0</v>
      </c>
      <c r="S584" s="11">
        <f t="shared" si="181"/>
        <v>0</v>
      </c>
      <c r="T584" s="11">
        <f t="shared" si="182"/>
        <v>0</v>
      </c>
      <c r="U584" s="11">
        <f>IF(A583=A584,0,VLOOKUP(A584,'Packing Time'!A:F,6,0))</f>
        <v>0</v>
      </c>
      <c r="V584" s="11">
        <f t="shared" si="175"/>
        <v>0</v>
      </c>
      <c r="W584" s="11">
        <f t="shared" si="176"/>
        <v>0</v>
      </c>
      <c r="X584" s="11">
        <f t="shared" si="183"/>
        <v>0</v>
      </c>
      <c r="Y584" s="11">
        <f t="shared" si="177"/>
        <v>0</v>
      </c>
      <c r="Z584" s="37">
        <v>1</v>
      </c>
      <c r="AA584" s="36">
        <f t="shared" si="184"/>
        <v>1</v>
      </c>
      <c r="AB584" s="36">
        <f t="shared" si="185"/>
        <v>0.14000000000000001</v>
      </c>
      <c r="AC584" s="11">
        <f t="shared" si="186"/>
        <v>0</v>
      </c>
      <c r="AD584" s="36">
        <f t="shared" si="178"/>
        <v>0</v>
      </c>
      <c r="AE584" s="36"/>
      <c r="AF584" s="36">
        <f>IFERROR(VLOOKUP(AE584,'Chemical Cost'!A:D,4,0),0)</f>
        <v>0</v>
      </c>
      <c r="AG584" s="114">
        <f t="shared" si="187"/>
        <v>0</v>
      </c>
      <c r="AH584" s="36">
        <f t="shared" si="172"/>
        <v>0</v>
      </c>
      <c r="AI584" s="36">
        <f t="shared" si="179"/>
        <v>0.14000000000000001</v>
      </c>
      <c r="AJ584" s="36">
        <f>IFERROR(VLOOKUP(A584,'All Products'!A:F,6,0),0)</f>
        <v>3.93</v>
      </c>
      <c r="AK584" s="36"/>
      <c r="AL584" s="23">
        <v>0.8</v>
      </c>
      <c r="AM584" s="23">
        <v>0.2</v>
      </c>
      <c r="AN584" s="54" t="e">
        <v>#N/A</v>
      </c>
      <c r="AO584" s="47"/>
      <c r="AP584" s="4">
        <v>1.6</v>
      </c>
      <c r="AQ584" s="111">
        <f t="shared" si="188"/>
        <v>0</v>
      </c>
      <c r="AR584">
        <f>_xlfn.XLOOKUP(F584,'RM Cost'!A:A,'RM Cost'!S:S)</f>
        <v>0</v>
      </c>
      <c r="AS584" t="str">
        <f>_xlfn.XLOOKUP(A584,[3]Sheet1!$B:$B,[3]Sheet1!$B:$B)</f>
        <v>Z101CS</v>
      </c>
      <c r="AT584" t="e">
        <f>_xlfn.XLOOKUP(H584,'Yield &amp; Time'!A:A,'Yield &amp; Time'!F:F)</f>
        <v>#N/A</v>
      </c>
    </row>
    <row r="585" spans="1:46" x14ac:dyDescent="0.25">
      <c r="A585" s="2" t="s">
        <v>299</v>
      </c>
      <c r="B585" s="2" t="s">
        <v>656</v>
      </c>
      <c r="C585" s="2" t="s">
        <v>300</v>
      </c>
      <c r="D585" s="2" t="s">
        <v>554</v>
      </c>
      <c r="E585" s="2">
        <v>2.5</v>
      </c>
      <c r="F585" s="1" t="str">
        <f>VLOOKUP(H585,'RM Used'!A:B,2,0)</f>
        <v>3409CS</v>
      </c>
      <c r="G585" s="1" t="str">
        <f>IFERROR(VLOOKUP(F585,'RM Cost'!A:B,2,0),"")</f>
        <v>RM - CELERY 1 X 12</v>
      </c>
      <c r="H585" s="2" t="s">
        <v>1504</v>
      </c>
      <c r="I585" s="1" t="str">
        <f>VLOOKUP(F585,'RM Used'!B:D,3,0)</f>
        <v>RM-FOOD</v>
      </c>
      <c r="J585" s="66">
        <v>1</v>
      </c>
      <c r="K585" s="35">
        <f t="shared" si="174"/>
        <v>2.5</v>
      </c>
      <c r="L585" s="35">
        <f t="shared" si="180"/>
        <v>2.5</v>
      </c>
      <c r="M585" s="77" cm="1">
        <f t="array" ref="M585">_xlfn.IFS(BOM!I585="RM-PACKING","100%",B585="Reynolds",VLOOKUP(H585,'Yield &amp; Time'!A:V,22,0),BOM!B585="Dnata",VLOOKUP(BOM!H585,'Yield &amp; Time'!A:M,13,0),B585="NK",VLOOKUP(H585,'Yield &amp; Time'!A:X,24,0))</f>
        <v>0.6834345479082321</v>
      </c>
      <c r="N585" s="35">
        <f t="shared" si="173"/>
        <v>3.6579947672409538</v>
      </c>
      <c r="O585" s="1" t="str">
        <f>VLOOKUP(H585,'RM Used'!A:E,5,0)</f>
        <v>KG</v>
      </c>
      <c r="P585" s="11">
        <f>VLOOKUP(H585,'RM Used'!A:F,6,0)</f>
        <v>0.91</v>
      </c>
      <c r="Q585" s="11">
        <f t="shared" si="189"/>
        <v>3.3287752381892681</v>
      </c>
      <c r="R585" s="11">
        <f>IFERROR(IF(B585="Reynolds",VLOOKUP(H585,'Yield &amp; Time'!A:U,21,0),VLOOKUP(H585,'Yield &amp; Time'!A:L,12,0)),0)</f>
        <v>2.023049645390071</v>
      </c>
      <c r="S585" s="11">
        <f t="shared" si="181"/>
        <v>1.7120057624113474</v>
      </c>
      <c r="T585" s="11">
        <f t="shared" si="182"/>
        <v>8.4293735224586289E-2</v>
      </c>
      <c r="U585" s="11">
        <f>IF(A584=A585,0,VLOOKUP(A585,'Packing Time'!A:F,6,0))</f>
        <v>0.875</v>
      </c>
      <c r="V585" s="11">
        <f t="shared" si="175"/>
        <v>0.29618749999999999</v>
      </c>
      <c r="W585" s="11">
        <f t="shared" si="176"/>
        <v>1.4583333333333334E-2</v>
      </c>
      <c r="X585" s="11">
        <f t="shared" si="183"/>
        <v>2.8114705673758857</v>
      </c>
      <c r="Y585" s="11">
        <f t="shared" si="177"/>
        <v>2.8114705673758857</v>
      </c>
      <c r="Z585" s="37">
        <v>1</v>
      </c>
      <c r="AA585" s="36">
        <f t="shared" si="184"/>
        <v>3.6579947672409538</v>
      </c>
      <c r="AB585" s="36">
        <f t="shared" si="185"/>
        <v>3.3287752381892681</v>
      </c>
      <c r="AC585" s="11">
        <f t="shared" si="186"/>
        <v>0.13842789598108746</v>
      </c>
      <c r="AD585" s="36">
        <f t="shared" si="178"/>
        <v>2.8114705673758857</v>
      </c>
      <c r="AE585" s="36" t="str">
        <f>VLOOKUP(H585,'Yield &amp; Time'!A:I,9,0)</f>
        <v>CHLORINE</v>
      </c>
      <c r="AF585" s="36">
        <f>IFERROR(VLOOKUP(AE585,'Chemical Cost'!A:D,4,0),0)</f>
        <v>2.7756518066439469E-2</v>
      </c>
      <c r="AG585" s="114">
        <f t="shared" si="187"/>
        <v>3.3844399281288191E-2</v>
      </c>
      <c r="AH585" s="36">
        <f t="shared" si="172"/>
        <v>3.3844399281288191E-2</v>
      </c>
      <c r="AI585" s="36">
        <f t="shared" si="179"/>
        <v>6.1740902048464426</v>
      </c>
      <c r="AJ585" s="36">
        <f>IFERROR(VLOOKUP(A585,'All Products'!A:F,6,0),0)</f>
        <v>9.83</v>
      </c>
      <c r="AK585" s="36">
        <f>AJ585*Z585*J585</f>
        <v>9.83</v>
      </c>
      <c r="AL585" s="23">
        <v>0.8</v>
      </c>
      <c r="AM585" s="23">
        <v>0.2</v>
      </c>
      <c r="AN585" s="54" t="e">
        <v>#N/A</v>
      </c>
      <c r="AO585" s="47"/>
      <c r="AP585" s="4">
        <v>1.4</v>
      </c>
      <c r="AQ585" s="111">
        <f t="shared" si="188"/>
        <v>0.13842789598108746</v>
      </c>
      <c r="AR585">
        <f>_xlfn.XLOOKUP(F585,'RM Cost'!A:A,'RM Cost'!S:S)</f>
        <v>0</v>
      </c>
      <c r="AS585" t="str">
        <f>_xlfn.XLOOKUP(A585,[3]Sheet1!$B:$B,[3]Sheet1!$B:$B)</f>
        <v>Z100CS</v>
      </c>
      <c r="AT585">
        <f>_xlfn.XLOOKUP(H585,'Yield &amp; Time'!A:A,'Yield &amp; Time'!F:F)</f>
        <v>0</v>
      </c>
    </row>
    <row r="586" spans="1:46" x14ac:dyDescent="0.25">
      <c r="A586" s="2" t="s">
        <v>299</v>
      </c>
      <c r="B586" s="2" t="s">
        <v>656</v>
      </c>
      <c r="C586" s="2" t="s">
        <v>300</v>
      </c>
      <c r="D586" s="2" t="s">
        <v>554</v>
      </c>
      <c r="E586" s="2">
        <v>2.5</v>
      </c>
      <c r="F586" s="1" t="str">
        <f>VLOOKUP(H586,'RM Used'!A:B,2,0)</f>
        <v>P0008</v>
      </c>
      <c r="G586" s="1" t="str">
        <f>IFERROR(VLOOKUP(F586,'RM Cost'!A:B,2,0),"")</f>
        <v>PALE BLUE BAG 470X750MM</v>
      </c>
      <c r="H586" s="2" t="s">
        <v>1323</v>
      </c>
      <c r="I586" s="1" t="str">
        <f>VLOOKUP(F586,'RM Used'!B:D,3,0)</f>
        <v>RM-PACKING</v>
      </c>
      <c r="J586" s="66">
        <v>1</v>
      </c>
      <c r="K586" s="35" t="str">
        <f t="shared" si="174"/>
        <v/>
      </c>
      <c r="L586" s="35">
        <f t="shared" si="180"/>
        <v>0</v>
      </c>
      <c r="M586" s="77" t="str" cm="1">
        <f t="array" ref="M586">_xlfn.IFS(BOM!I586="RM-PACKING","100%",B586="Reynolds",VLOOKUP(H586,'Yield &amp; Time'!A:V,22,0),BOM!B586="Dnata",VLOOKUP(BOM!H586,'Yield &amp; Time'!A:M,13,0),B586="NK",VLOOKUP(H586,'Yield &amp; Time'!A:X,24,0))</f>
        <v>100%</v>
      </c>
      <c r="N586" s="35">
        <f t="shared" si="173"/>
        <v>1</v>
      </c>
      <c r="O586" s="1" t="str">
        <f>VLOOKUP(H586,'RM Used'!A:E,5,0)</f>
        <v>Count</v>
      </c>
      <c r="P586" s="11">
        <f>VLOOKUP(H586,'RM Used'!A:F,6,0)</f>
        <v>0.14000000000000001</v>
      </c>
      <c r="Q586" s="11">
        <f t="shared" si="189"/>
        <v>0.14000000000000001</v>
      </c>
      <c r="R586" s="11">
        <f>IFERROR(IF(B586="Reynolds",VLOOKUP(H586,'Yield &amp; Time'!A:U,21,0),VLOOKUP(H586,'Yield &amp; Time'!A:L,12,0)),0)</f>
        <v>0</v>
      </c>
      <c r="S586" s="11">
        <f t="shared" si="181"/>
        <v>0</v>
      </c>
      <c r="T586" s="11">
        <f t="shared" si="182"/>
        <v>0</v>
      </c>
      <c r="U586" s="11">
        <f>IF(A585=A586,0,VLOOKUP(A586,'Packing Time'!A:F,6,0))</f>
        <v>0</v>
      </c>
      <c r="V586" s="11">
        <f t="shared" si="175"/>
        <v>0</v>
      </c>
      <c r="W586" s="11">
        <f t="shared" si="176"/>
        <v>0</v>
      </c>
      <c r="X586" s="11">
        <f t="shared" si="183"/>
        <v>0</v>
      </c>
      <c r="Y586" s="11">
        <f t="shared" si="177"/>
        <v>0</v>
      </c>
      <c r="Z586" s="37">
        <v>1</v>
      </c>
      <c r="AA586" s="36">
        <f t="shared" si="184"/>
        <v>1</v>
      </c>
      <c r="AB586" s="36">
        <f t="shared" si="185"/>
        <v>0.14000000000000001</v>
      </c>
      <c r="AC586" s="11">
        <f t="shared" si="186"/>
        <v>0</v>
      </c>
      <c r="AD586" s="36">
        <f t="shared" si="178"/>
        <v>0</v>
      </c>
      <c r="AE586" s="36"/>
      <c r="AF586" s="36">
        <f>IFERROR(VLOOKUP(AE586,'Chemical Cost'!A:D,4,0),0)</f>
        <v>0</v>
      </c>
      <c r="AG586" s="114">
        <f t="shared" si="187"/>
        <v>0</v>
      </c>
      <c r="AH586" s="36">
        <f t="shared" si="172"/>
        <v>0</v>
      </c>
      <c r="AI586" s="36">
        <f t="shared" si="179"/>
        <v>0.14000000000000001</v>
      </c>
      <c r="AJ586" s="36">
        <f>IFERROR(VLOOKUP(A586,'All Products'!A:F,6,0),0)</f>
        <v>9.83</v>
      </c>
      <c r="AK586" s="36"/>
      <c r="AL586" s="23">
        <v>0.8</v>
      </c>
      <c r="AM586" s="23">
        <v>0.2</v>
      </c>
      <c r="AN586" s="54" t="e">
        <v>#N/A</v>
      </c>
      <c r="AO586" s="47"/>
      <c r="AP586" s="4">
        <v>1.4</v>
      </c>
      <c r="AQ586" s="111">
        <f t="shared" si="188"/>
        <v>0</v>
      </c>
      <c r="AR586">
        <f>_xlfn.XLOOKUP(F586,'RM Cost'!A:A,'RM Cost'!S:S)</f>
        <v>0</v>
      </c>
      <c r="AS586" t="str">
        <f>_xlfn.XLOOKUP(A586,[3]Sheet1!$B:$B,[3]Sheet1!$B:$B)</f>
        <v>Z100CS</v>
      </c>
      <c r="AT586" t="e">
        <f>_xlfn.XLOOKUP(H586,'Yield &amp; Time'!A:A,'Yield &amp; Time'!F:F)</f>
        <v>#N/A</v>
      </c>
    </row>
    <row r="587" spans="1:46" x14ac:dyDescent="0.25">
      <c r="A587" s="2" t="s">
        <v>754</v>
      </c>
      <c r="B587" s="2" t="s">
        <v>656</v>
      </c>
      <c r="C587" s="2" t="s">
        <v>755</v>
      </c>
      <c r="D587" s="2" t="s">
        <v>554</v>
      </c>
      <c r="E587" s="2">
        <v>0.25</v>
      </c>
      <c r="F587" s="1" t="str">
        <f>VLOOKUP(H587,'RM Used'!A:B,2,0)</f>
        <v>3409CS</v>
      </c>
      <c r="G587" s="1" t="str">
        <f>IFERROR(VLOOKUP(F587,'RM Cost'!A:B,2,0),"")</f>
        <v>RM - CELERY 1 X 12</v>
      </c>
      <c r="H587" s="2" t="s">
        <v>1504</v>
      </c>
      <c r="I587" s="1" t="str">
        <f>VLOOKUP(F587,'RM Used'!B:D,3,0)</f>
        <v>RM-FOOD</v>
      </c>
      <c r="J587" s="66">
        <v>1</v>
      </c>
      <c r="K587" s="35">
        <f t="shared" si="174"/>
        <v>0.25</v>
      </c>
      <c r="L587" s="35">
        <f t="shared" si="180"/>
        <v>0.25</v>
      </c>
      <c r="M587" s="77" cm="1">
        <f t="array" ref="M587">_xlfn.IFS(BOM!I587="RM-PACKING","100%",B587="Reynolds",VLOOKUP(H587,'Yield &amp; Time'!A:V,22,0),BOM!B587="Dnata",VLOOKUP(BOM!H587,'Yield &amp; Time'!A:M,13,0),B587="NK",VLOOKUP(H587,'Yield &amp; Time'!A:X,24,0))</f>
        <v>0.6834345479082321</v>
      </c>
      <c r="N587" s="35">
        <f t="shared" si="173"/>
        <v>0.36579947672409541</v>
      </c>
      <c r="O587" s="1" t="str">
        <f>VLOOKUP(H587,'RM Used'!A:E,5,0)</f>
        <v>KG</v>
      </c>
      <c r="P587" s="11">
        <f>VLOOKUP(H587,'RM Used'!A:F,6,0)</f>
        <v>0.91</v>
      </c>
      <c r="Q587" s="11">
        <f t="shared" si="189"/>
        <v>0.33287752381892682</v>
      </c>
      <c r="R587" s="11">
        <f>IFERROR(IF(B587="Reynolds",VLOOKUP(H587,'Yield &amp; Time'!A:U,21,0),VLOOKUP(H587,'Yield &amp; Time'!A:L,12,0)),0)</f>
        <v>2.023049645390071</v>
      </c>
      <c r="S587" s="11">
        <f t="shared" si="181"/>
        <v>0.17120057624113474</v>
      </c>
      <c r="T587" s="11">
        <f t="shared" si="182"/>
        <v>8.4293735224586289E-3</v>
      </c>
      <c r="U587" s="11">
        <f>IF(A586=A587,0,VLOOKUP(A587,'Packing Time'!A:F,6,0))</f>
        <v>0.47499999999999998</v>
      </c>
      <c r="V587" s="11">
        <f t="shared" si="175"/>
        <v>0.16078749999999997</v>
      </c>
      <c r="W587" s="11">
        <f t="shared" si="176"/>
        <v>7.9166666666666656E-3</v>
      </c>
      <c r="X587" s="11">
        <f t="shared" si="183"/>
        <v>0.53118092198581557</v>
      </c>
      <c r="Y587" s="11">
        <f t="shared" si="177"/>
        <v>0.53118092198581557</v>
      </c>
      <c r="Z587" s="37">
        <v>1</v>
      </c>
      <c r="AA587" s="36">
        <f t="shared" si="184"/>
        <v>0.36579947672409541</v>
      </c>
      <c r="AB587" s="36">
        <f t="shared" si="185"/>
        <v>0.33287752381892682</v>
      </c>
      <c r="AC587" s="11">
        <f t="shared" si="186"/>
        <v>2.6153664302600473E-2</v>
      </c>
      <c r="AD587" s="36">
        <f t="shared" si="178"/>
        <v>0.53118092198581557</v>
      </c>
      <c r="AE587" s="36" t="str">
        <f>VLOOKUP(H587,'Yield &amp; Time'!A:I,9,0)</f>
        <v>CHLORINE</v>
      </c>
      <c r="AF587" s="36">
        <f>IFERROR(VLOOKUP(AE587,'Chemical Cost'!A:D,4,0),0)</f>
        <v>2.7756518066439469E-2</v>
      </c>
      <c r="AG587" s="114">
        <f t="shared" si="187"/>
        <v>3.3844399281288194E-3</v>
      </c>
      <c r="AH587" s="36">
        <f t="shared" si="172"/>
        <v>3.3844399281288194E-3</v>
      </c>
      <c r="AI587" s="36">
        <f t="shared" si="179"/>
        <v>0.86744288573287132</v>
      </c>
      <c r="AJ587" s="36">
        <f>IFERROR(VLOOKUP(A587,'All Products'!A:F,6,0),0)</f>
        <v>3.91</v>
      </c>
      <c r="AK587" s="36">
        <f>AJ587*Z587*J587</f>
        <v>3.91</v>
      </c>
      <c r="AL587" s="23">
        <v>0.8</v>
      </c>
      <c r="AM587" s="23">
        <v>0.2</v>
      </c>
      <c r="AN587" s="54" t="e">
        <v>#N/A</v>
      </c>
      <c r="AO587" s="47"/>
      <c r="AP587" s="4">
        <v>1.6</v>
      </c>
      <c r="AQ587" s="111">
        <f t="shared" si="188"/>
        <v>2.6153664302600473E-2</v>
      </c>
      <c r="AR587">
        <f>_xlfn.XLOOKUP(F587,'RM Cost'!A:A,'RM Cost'!S:S)</f>
        <v>0</v>
      </c>
      <c r="AS587" t="e">
        <f>_xlfn.XLOOKUP(A587,[3]Sheet1!$B:$B,[3]Sheet1!$B:$B)</f>
        <v>#N/A</v>
      </c>
    </row>
    <row r="588" spans="1:46" x14ac:dyDescent="0.25">
      <c r="A588" s="2" t="s">
        <v>754</v>
      </c>
      <c r="B588" s="2" t="s">
        <v>656</v>
      </c>
      <c r="C588" s="2" t="s">
        <v>755</v>
      </c>
      <c r="D588" s="2" t="s">
        <v>554</v>
      </c>
      <c r="E588" s="2">
        <v>0.25</v>
      </c>
      <c r="F588" s="1" t="str">
        <f>VLOOKUP(H588,'RM Used'!A:B,2,0)</f>
        <v>P0017</v>
      </c>
      <c r="G588" s="1" t="str">
        <f>IFERROR(VLOOKUP(F588,'RM Cost'!A:B,2,0),"")</f>
        <v>PALE BLUE BAG 250X300MM</v>
      </c>
      <c r="H588" s="2" t="s">
        <v>1334</v>
      </c>
      <c r="I588" s="1" t="str">
        <f>VLOOKUP(F588,'RM Used'!B:D,3,0)</f>
        <v>RM-PACKING</v>
      </c>
      <c r="J588" s="66">
        <v>1</v>
      </c>
      <c r="K588" s="35" t="str">
        <f t="shared" si="174"/>
        <v/>
      </c>
      <c r="L588" s="35">
        <f t="shared" si="180"/>
        <v>0</v>
      </c>
      <c r="M588" s="77" t="str" cm="1">
        <f t="array" ref="M588">_xlfn.IFS(BOM!I588="RM-PACKING","100%",B588="Reynolds",VLOOKUP(H588,'Yield &amp; Time'!A:V,22,0),BOM!B588="Dnata",VLOOKUP(BOM!H588,'Yield &amp; Time'!A:M,13,0),B588="NK",VLOOKUP(H588,'Yield &amp; Time'!A:X,24,0))</f>
        <v>100%</v>
      </c>
      <c r="N588" s="35">
        <f t="shared" si="173"/>
        <v>1</v>
      </c>
      <c r="O588" s="1" t="str">
        <f>VLOOKUP(H588,'RM Used'!A:E,5,0)</f>
        <v>Count</v>
      </c>
      <c r="P588" s="11">
        <f>VLOOKUP(H588,'RM Used'!A:F,6,0)</f>
        <v>0.05</v>
      </c>
      <c r="Q588" s="11">
        <f t="shared" si="189"/>
        <v>0.05</v>
      </c>
      <c r="R588" s="11">
        <f>IFERROR(IF(B588="Reynolds",VLOOKUP(H588,'Yield &amp; Time'!A:U,21,0),VLOOKUP(H588,'Yield &amp; Time'!A:L,12,0)),0)</f>
        <v>0</v>
      </c>
      <c r="S588" s="11">
        <f t="shared" si="181"/>
        <v>0</v>
      </c>
      <c r="T588" s="11">
        <f t="shared" si="182"/>
        <v>0</v>
      </c>
      <c r="U588" s="11">
        <f>IF(A587=A588,0,VLOOKUP(A588,'Packing Time'!A:F,6,0))</f>
        <v>0</v>
      </c>
      <c r="V588" s="11">
        <f t="shared" si="175"/>
        <v>0</v>
      </c>
      <c r="W588" s="11">
        <f t="shared" si="176"/>
        <v>0</v>
      </c>
      <c r="X588" s="11">
        <f t="shared" si="183"/>
        <v>0</v>
      </c>
      <c r="Y588" s="11">
        <f t="shared" si="177"/>
        <v>0</v>
      </c>
      <c r="Z588" s="37">
        <v>1</v>
      </c>
      <c r="AA588" s="36">
        <f t="shared" si="184"/>
        <v>1</v>
      </c>
      <c r="AB588" s="36">
        <f t="shared" si="185"/>
        <v>0.05</v>
      </c>
      <c r="AC588" s="11">
        <f t="shared" si="186"/>
        <v>0</v>
      </c>
      <c r="AD588" s="36">
        <f t="shared" si="178"/>
        <v>0</v>
      </c>
      <c r="AE588" s="36"/>
      <c r="AF588" s="36">
        <f>IFERROR(VLOOKUP(AE588,'Chemical Cost'!A:D,4,0),0)</f>
        <v>0</v>
      </c>
      <c r="AG588" s="114">
        <f t="shared" si="187"/>
        <v>0</v>
      </c>
      <c r="AH588" s="36">
        <f t="shared" si="172"/>
        <v>0</v>
      </c>
      <c r="AI588" s="36">
        <f t="shared" si="179"/>
        <v>0.05</v>
      </c>
      <c r="AJ588" s="36">
        <f>IFERROR(VLOOKUP(A588,'All Products'!A:F,6,0),0)</f>
        <v>3.91</v>
      </c>
      <c r="AK588" s="36"/>
      <c r="AL588" s="23">
        <v>0.8</v>
      </c>
      <c r="AM588" s="23">
        <v>0.2</v>
      </c>
      <c r="AN588" s="54" t="e">
        <v>#N/A</v>
      </c>
      <c r="AO588" s="47"/>
      <c r="AP588" s="4">
        <v>1.6</v>
      </c>
      <c r="AQ588" s="111">
        <f t="shared" si="188"/>
        <v>0</v>
      </c>
      <c r="AR588">
        <f>_xlfn.XLOOKUP(F588,'RM Cost'!A:A,'RM Cost'!S:S)</f>
        <v>0</v>
      </c>
      <c r="AS588" t="e">
        <f>_xlfn.XLOOKUP(A588,[3]Sheet1!$B:$B,[3]Sheet1!$B:$B)</f>
        <v>#N/A</v>
      </c>
    </row>
    <row r="589" spans="1:46" x14ac:dyDescent="0.25">
      <c r="A589" s="2" t="s">
        <v>298</v>
      </c>
      <c r="B589" s="2" t="s">
        <v>656</v>
      </c>
      <c r="C589" s="2" t="s">
        <v>756</v>
      </c>
      <c r="D589" s="2" t="s">
        <v>554</v>
      </c>
      <c r="E589" s="2">
        <v>1</v>
      </c>
      <c r="F589" s="1" t="str">
        <f>VLOOKUP(H589,'RM Used'!A:B,2,0)</f>
        <v>3409CS</v>
      </c>
      <c r="G589" s="1" t="str">
        <f>IFERROR(VLOOKUP(F589,'RM Cost'!A:B,2,0),"")</f>
        <v>RM - CELERY 1 X 12</v>
      </c>
      <c r="H589" s="2" t="s">
        <v>1505</v>
      </c>
      <c r="I589" s="1" t="str">
        <f>VLOOKUP(F589,'RM Used'!B:D,3,0)</f>
        <v>RM-FOOD</v>
      </c>
      <c r="J589" s="66">
        <v>1</v>
      </c>
      <c r="K589" s="35">
        <f t="shared" si="174"/>
        <v>1</v>
      </c>
      <c r="L589" s="35">
        <f t="shared" si="180"/>
        <v>1</v>
      </c>
      <c r="M589" s="77" cm="1">
        <f t="array" ref="M589">_xlfn.IFS(BOM!I589="RM-PACKING","100%",B589="Reynolds",VLOOKUP(H589,'Yield &amp; Time'!A:V,22,0),BOM!B589="Dnata",VLOOKUP(BOM!H589,'Yield &amp; Time'!A:M,13,0),B589="NK",VLOOKUP(H589,'Yield &amp; Time'!A:X,24,0))</f>
        <v>0.5</v>
      </c>
      <c r="N589" s="35">
        <f t="shared" si="173"/>
        <v>2</v>
      </c>
      <c r="O589" s="1" t="str">
        <f>VLOOKUP(H589,'RM Used'!A:E,5,0)</f>
        <v>KG</v>
      </c>
      <c r="P589" s="11">
        <f>VLOOKUP(H589,'RM Used'!A:F,6,0)</f>
        <v>0.91</v>
      </c>
      <c r="Q589" s="11">
        <f t="shared" si="189"/>
        <v>1.82</v>
      </c>
      <c r="R589" s="11">
        <f>IFERROR(IF(B589="Reynolds",VLOOKUP(H589,'Yield &amp; Time'!A:U,21,0),VLOOKUP(H589,'Yield &amp; Time'!A:L,12,0)),0)</f>
        <v>3.1</v>
      </c>
      <c r="S589" s="11">
        <f t="shared" si="181"/>
        <v>1.04935</v>
      </c>
      <c r="T589" s="11">
        <f t="shared" si="182"/>
        <v>5.1666666666666666E-2</v>
      </c>
      <c r="U589" s="11">
        <f>IF(A588=A589,0,VLOOKUP(A589,'Packing Time'!A:F,6,0))</f>
        <v>0.64166666666666661</v>
      </c>
      <c r="V589" s="11">
        <f t="shared" si="175"/>
        <v>0.21720416666666661</v>
      </c>
      <c r="W589" s="11">
        <f t="shared" si="176"/>
        <v>1.0694444444444444E-2</v>
      </c>
      <c r="X589" s="11">
        <f t="shared" si="183"/>
        <v>2.0264866666666665</v>
      </c>
      <c r="Y589" s="11">
        <f t="shared" si="177"/>
        <v>2.0264866666666665</v>
      </c>
      <c r="Z589" s="37">
        <v>1</v>
      </c>
      <c r="AA589" s="36">
        <f t="shared" si="184"/>
        <v>2</v>
      </c>
      <c r="AB589" s="36">
        <f t="shared" si="185"/>
        <v>1.82</v>
      </c>
      <c r="AC589" s="11">
        <f t="shared" si="186"/>
        <v>9.9777777777777785E-2</v>
      </c>
      <c r="AD589" s="36">
        <f t="shared" si="178"/>
        <v>2.0264866666666665</v>
      </c>
      <c r="AE589" s="36" t="str">
        <f>VLOOKUP(H589,'Yield &amp; Time'!A:I,9,0)</f>
        <v>CHLORINE</v>
      </c>
      <c r="AF589" s="36">
        <f>IFERROR(VLOOKUP(AE589,'Chemical Cost'!A:D,4,0),0)</f>
        <v>2.7756518066439469E-2</v>
      </c>
      <c r="AG589" s="114">
        <f t="shared" si="187"/>
        <v>1.8504345377626314E-2</v>
      </c>
      <c r="AH589" s="36">
        <f t="shared" si="172"/>
        <v>1.8504345377626314E-2</v>
      </c>
      <c r="AI589" s="36">
        <f t="shared" si="179"/>
        <v>3.8649910120442925</v>
      </c>
      <c r="AJ589" s="36">
        <f>IFERROR(VLOOKUP(A589,'All Products'!A:F,6,0),0)</f>
        <v>4.37</v>
      </c>
      <c r="AK589" s="36">
        <f>AJ589*Z589*J589</f>
        <v>4.37</v>
      </c>
      <c r="AL589" s="23">
        <v>0</v>
      </c>
      <c r="AM589" s="23">
        <v>1</v>
      </c>
      <c r="AN589" s="54" t="e">
        <v>#N/A</v>
      </c>
      <c r="AO589" s="47"/>
      <c r="AP589" s="4">
        <v>1.6</v>
      </c>
      <c r="AQ589" s="111">
        <f t="shared" si="188"/>
        <v>9.9777777777777785E-2</v>
      </c>
      <c r="AR589">
        <f>_xlfn.XLOOKUP(F589,'RM Cost'!A:A,'RM Cost'!S:S)</f>
        <v>0</v>
      </c>
      <c r="AS589" t="e">
        <f>_xlfn.XLOOKUP(A589,[3]Sheet1!$B:$B,[3]Sheet1!$B:$B)</f>
        <v>#N/A</v>
      </c>
    </row>
    <row r="590" spans="1:46" x14ac:dyDescent="0.25">
      <c r="A590" s="2" t="s">
        <v>298</v>
      </c>
      <c r="B590" s="2" t="s">
        <v>656</v>
      </c>
      <c r="C590" s="2" t="s">
        <v>756</v>
      </c>
      <c r="D590" s="2" t="s">
        <v>554</v>
      </c>
      <c r="E590" s="2">
        <v>1</v>
      </c>
      <c r="F590" s="1" t="str">
        <f>VLOOKUP(H590,'RM Used'!A:B,2,0)</f>
        <v>P0008</v>
      </c>
      <c r="G590" s="1" t="str">
        <f>IFERROR(VLOOKUP(F590,'RM Cost'!A:B,2,0),"")</f>
        <v>PALE BLUE BAG 470X750MM</v>
      </c>
      <c r="H590" s="2" t="s">
        <v>1323</v>
      </c>
      <c r="I590" s="1" t="str">
        <f>VLOOKUP(F590,'RM Used'!B:D,3,0)</f>
        <v>RM-PACKING</v>
      </c>
      <c r="J590" s="66">
        <v>1</v>
      </c>
      <c r="K590" s="35" t="str">
        <f t="shared" si="174"/>
        <v/>
      </c>
      <c r="L590" s="35">
        <f t="shared" si="180"/>
        <v>0</v>
      </c>
      <c r="M590" s="77" t="str" cm="1">
        <f t="array" ref="M590">_xlfn.IFS(BOM!I590="RM-PACKING","100%",B590="Reynolds",VLOOKUP(H590,'Yield &amp; Time'!A:V,22,0),BOM!B590="Dnata",VLOOKUP(BOM!H590,'Yield &amp; Time'!A:M,13,0),B590="NK",VLOOKUP(H590,'Yield &amp; Time'!A:X,24,0))</f>
        <v>100%</v>
      </c>
      <c r="N590" s="35">
        <f t="shared" si="173"/>
        <v>1</v>
      </c>
      <c r="O590" s="1" t="str">
        <f>VLOOKUP(H590,'RM Used'!A:E,5,0)</f>
        <v>Count</v>
      </c>
      <c r="P590" s="11">
        <f>VLOOKUP(H590,'RM Used'!A:F,6,0)</f>
        <v>0.14000000000000001</v>
      </c>
      <c r="Q590" s="11">
        <f t="shared" si="189"/>
        <v>0.14000000000000001</v>
      </c>
      <c r="R590" s="11">
        <f>IFERROR(IF(B590="Reynolds",VLOOKUP(H590,'Yield &amp; Time'!A:U,21,0),VLOOKUP(H590,'Yield &amp; Time'!A:L,12,0)),0)</f>
        <v>0</v>
      </c>
      <c r="S590" s="11">
        <f t="shared" si="181"/>
        <v>0</v>
      </c>
      <c r="T590" s="11">
        <f t="shared" si="182"/>
        <v>0</v>
      </c>
      <c r="U590" s="11">
        <f>IF(A589=A590,0,VLOOKUP(A590,'Packing Time'!A:F,6,0))</f>
        <v>0</v>
      </c>
      <c r="V590" s="11">
        <f t="shared" si="175"/>
        <v>0</v>
      </c>
      <c r="W590" s="11">
        <f t="shared" si="176"/>
        <v>0</v>
      </c>
      <c r="X590" s="11">
        <f t="shared" si="183"/>
        <v>0</v>
      </c>
      <c r="Y590" s="11">
        <f t="shared" si="177"/>
        <v>0</v>
      </c>
      <c r="Z590" s="37">
        <v>1</v>
      </c>
      <c r="AA590" s="36">
        <f t="shared" si="184"/>
        <v>1</v>
      </c>
      <c r="AB590" s="36">
        <f t="shared" si="185"/>
        <v>0.14000000000000001</v>
      </c>
      <c r="AC590" s="11">
        <f t="shared" si="186"/>
        <v>0</v>
      </c>
      <c r="AD590" s="36">
        <f t="shared" si="178"/>
        <v>0</v>
      </c>
      <c r="AE590" s="36"/>
      <c r="AF590" s="36">
        <f>IFERROR(VLOOKUP(AE590,'Chemical Cost'!A:D,4,0),0)</f>
        <v>0</v>
      </c>
      <c r="AG590" s="114">
        <f t="shared" si="187"/>
        <v>0</v>
      </c>
      <c r="AH590" s="36">
        <f t="shared" si="172"/>
        <v>0</v>
      </c>
      <c r="AI590" s="36">
        <f t="shared" si="179"/>
        <v>0.14000000000000001</v>
      </c>
      <c r="AJ590" s="36">
        <f>IFERROR(VLOOKUP(A590,'All Products'!A:F,6,0),0)</f>
        <v>4.37</v>
      </c>
      <c r="AK590" s="36"/>
      <c r="AL590" s="23">
        <v>0</v>
      </c>
      <c r="AM590" s="23">
        <v>1</v>
      </c>
      <c r="AN590" s="54" t="e">
        <v>#N/A</v>
      </c>
      <c r="AO590" s="47"/>
      <c r="AP590" s="4">
        <v>1.6</v>
      </c>
      <c r="AQ590" s="111">
        <f t="shared" si="188"/>
        <v>0</v>
      </c>
      <c r="AR590">
        <f>_xlfn.XLOOKUP(F590,'RM Cost'!A:A,'RM Cost'!S:S)</f>
        <v>0</v>
      </c>
      <c r="AS590" t="e">
        <f>_xlfn.XLOOKUP(A590,[3]Sheet1!$B:$B,[3]Sheet1!$B:$B)</f>
        <v>#N/A</v>
      </c>
    </row>
    <row r="591" spans="1:46" x14ac:dyDescent="0.25">
      <c r="A591" s="2" t="s">
        <v>486</v>
      </c>
      <c r="B591" s="2" t="s">
        <v>656</v>
      </c>
      <c r="C591" s="2" t="s">
        <v>757</v>
      </c>
      <c r="D591" s="2" t="s">
        <v>554</v>
      </c>
      <c r="E591" s="2">
        <v>2.5</v>
      </c>
      <c r="F591" s="1" t="str">
        <f>VLOOKUP(H591,'RM Used'!A:B,2,0)</f>
        <v>3409CS</v>
      </c>
      <c r="G591" s="1" t="str">
        <f>IFERROR(VLOOKUP(F591,'RM Cost'!A:B,2,0),"")</f>
        <v>RM - CELERY 1 X 12</v>
      </c>
      <c r="H591" s="2" t="s">
        <v>1505</v>
      </c>
      <c r="I591" s="1" t="str">
        <f>VLOOKUP(F591,'RM Used'!B:D,3,0)</f>
        <v>RM-FOOD</v>
      </c>
      <c r="J591" s="66">
        <v>1</v>
      </c>
      <c r="K591" s="35">
        <f t="shared" si="174"/>
        <v>2.5</v>
      </c>
      <c r="L591" s="35">
        <f t="shared" si="180"/>
        <v>2.5</v>
      </c>
      <c r="M591" s="77" cm="1">
        <f t="array" ref="M591">_xlfn.IFS(BOM!I591="RM-PACKING","100%",B591="Reynolds",VLOOKUP(H591,'Yield &amp; Time'!A:V,22,0),BOM!B591="Dnata",VLOOKUP(BOM!H591,'Yield &amp; Time'!A:M,13,0),B591="NK",VLOOKUP(H591,'Yield &amp; Time'!A:X,24,0))</f>
        <v>0.5</v>
      </c>
      <c r="N591" s="35">
        <f t="shared" si="173"/>
        <v>5</v>
      </c>
      <c r="O591" s="1" t="str">
        <f>VLOOKUP(H591,'RM Used'!A:E,5,0)</f>
        <v>KG</v>
      </c>
      <c r="P591" s="11">
        <f>VLOOKUP(H591,'RM Used'!A:F,6,0)</f>
        <v>0.91</v>
      </c>
      <c r="Q591" s="11">
        <f t="shared" si="189"/>
        <v>4.55</v>
      </c>
      <c r="R591" s="11">
        <f>IFERROR(IF(B591="Reynolds",VLOOKUP(H591,'Yield &amp; Time'!A:U,21,0),VLOOKUP(H591,'Yield &amp; Time'!A:L,12,0)),0)</f>
        <v>3.1</v>
      </c>
      <c r="S591" s="11">
        <f t="shared" si="181"/>
        <v>2.6233749999999998</v>
      </c>
      <c r="T591" s="11">
        <f t="shared" si="182"/>
        <v>0.12916666666666668</v>
      </c>
      <c r="U591" s="11">
        <f>IF(A590=A591,0,VLOOKUP(A591,'Packing Time'!A:F,6,0))</f>
        <v>0.875</v>
      </c>
      <c r="V591" s="11">
        <f t="shared" si="175"/>
        <v>0.29618749999999999</v>
      </c>
      <c r="W591" s="11">
        <f t="shared" si="176"/>
        <v>1.4583333333333334E-2</v>
      </c>
      <c r="X591" s="11">
        <f t="shared" si="183"/>
        <v>4.6712999999999996</v>
      </c>
      <c r="Y591" s="11">
        <f t="shared" si="177"/>
        <v>4.6712999999999996</v>
      </c>
      <c r="Z591" s="37">
        <v>1</v>
      </c>
      <c r="AA591" s="36">
        <f t="shared" si="184"/>
        <v>5</v>
      </c>
      <c r="AB591" s="36">
        <f t="shared" si="185"/>
        <v>4.55</v>
      </c>
      <c r="AC591" s="11">
        <f t="shared" si="186"/>
        <v>0.22999999999999998</v>
      </c>
      <c r="AD591" s="36">
        <f t="shared" si="178"/>
        <v>4.6712999999999996</v>
      </c>
      <c r="AE591" s="36" t="str">
        <f>VLOOKUP(H591,'Yield &amp; Time'!A:I,9,0)</f>
        <v>CHLORINE</v>
      </c>
      <c r="AF591" s="36">
        <f>IFERROR(VLOOKUP(AE591,'Chemical Cost'!A:D,4,0),0)</f>
        <v>2.7756518066439469E-2</v>
      </c>
      <c r="AG591" s="114">
        <f t="shared" si="187"/>
        <v>4.6260863444065776E-2</v>
      </c>
      <c r="AH591" s="36">
        <f t="shared" si="172"/>
        <v>4.6260863444065776E-2</v>
      </c>
      <c r="AI591" s="36">
        <f t="shared" si="179"/>
        <v>9.267560863444066</v>
      </c>
      <c r="AJ591" s="36">
        <f>IFERROR(VLOOKUP(A591,'All Products'!A:F,6,0),0)</f>
        <v>10.94</v>
      </c>
      <c r="AK591" s="36">
        <f>AJ591*Z591*J591</f>
        <v>10.94</v>
      </c>
      <c r="AL591" s="23">
        <v>0</v>
      </c>
      <c r="AM591" s="23">
        <v>1</v>
      </c>
      <c r="AN591" s="54" t="e">
        <v>#N/A</v>
      </c>
      <c r="AO591" s="47"/>
      <c r="AP591" s="4">
        <v>1.6</v>
      </c>
      <c r="AQ591" s="111">
        <f t="shared" si="188"/>
        <v>0.22999999999999998</v>
      </c>
      <c r="AR591">
        <f>_xlfn.XLOOKUP(F591,'RM Cost'!A:A,'RM Cost'!S:S)</f>
        <v>0</v>
      </c>
      <c r="AS591" t="e">
        <f>_xlfn.XLOOKUP(A591,[3]Sheet1!$B:$B,[3]Sheet1!$B:$B)</f>
        <v>#N/A</v>
      </c>
    </row>
    <row r="592" spans="1:46" x14ac:dyDescent="0.25">
      <c r="A592" s="2" t="s">
        <v>486</v>
      </c>
      <c r="B592" s="2" t="s">
        <v>656</v>
      </c>
      <c r="C592" s="2" t="s">
        <v>757</v>
      </c>
      <c r="D592" s="2" t="s">
        <v>554</v>
      </c>
      <c r="E592" s="2">
        <v>2.5</v>
      </c>
      <c r="F592" s="1" t="str">
        <f>VLOOKUP(H592,'RM Used'!A:B,2,0)</f>
        <v>P0008</v>
      </c>
      <c r="G592" s="1" t="str">
        <f>IFERROR(VLOOKUP(F592,'RM Cost'!A:B,2,0),"")</f>
        <v>PALE BLUE BAG 470X750MM</v>
      </c>
      <c r="H592" s="2" t="s">
        <v>1323</v>
      </c>
      <c r="I592" s="1" t="str">
        <f>VLOOKUP(F592,'RM Used'!B:D,3,0)</f>
        <v>RM-PACKING</v>
      </c>
      <c r="J592" s="66">
        <v>1</v>
      </c>
      <c r="K592" s="35" t="str">
        <f t="shared" si="174"/>
        <v/>
      </c>
      <c r="L592" s="35">
        <f t="shared" si="180"/>
        <v>0</v>
      </c>
      <c r="M592" s="77" t="str" cm="1">
        <f t="array" ref="M592">_xlfn.IFS(BOM!I592="RM-PACKING","100%",B592="Reynolds",VLOOKUP(H592,'Yield &amp; Time'!A:V,22,0),BOM!B592="Dnata",VLOOKUP(BOM!H592,'Yield &amp; Time'!A:M,13,0),B592="NK",VLOOKUP(H592,'Yield &amp; Time'!A:X,24,0))</f>
        <v>100%</v>
      </c>
      <c r="N592" s="35">
        <f t="shared" si="173"/>
        <v>1</v>
      </c>
      <c r="O592" s="1" t="str">
        <f>VLOOKUP(H592,'RM Used'!A:E,5,0)</f>
        <v>Count</v>
      </c>
      <c r="P592" s="11">
        <f>VLOOKUP(H592,'RM Used'!A:F,6,0)</f>
        <v>0.14000000000000001</v>
      </c>
      <c r="Q592" s="11">
        <f t="shared" si="189"/>
        <v>0.14000000000000001</v>
      </c>
      <c r="R592" s="11">
        <f>IFERROR(IF(B592="Reynolds",VLOOKUP(H592,'Yield &amp; Time'!A:U,21,0),VLOOKUP(H592,'Yield &amp; Time'!A:L,12,0)),0)</f>
        <v>0</v>
      </c>
      <c r="S592" s="11">
        <f t="shared" si="181"/>
        <v>0</v>
      </c>
      <c r="T592" s="11">
        <f t="shared" si="182"/>
        <v>0</v>
      </c>
      <c r="U592" s="11">
        <f>IF(A591=A592,0,VLOOKUP(A592,'Packing Time'!A:F,6,0))</f>
        <v>0</v>
      </c>
      <c r="V592" s="11">
        <f t="shared" si="175"/>
        <v>0</v>
      </c>
      <c r="W592" s="11">
        <f t="shared" si="176"/>
        <v>0</v>
      </c>
      <c r="X592" s="11">
        <f t="shared" si="183"/>
        <v>0</v>
      </c>
      <c r="Y592" s="11">
        <f t="shared" si="177"/>
        <v>0</v>
      </c>
      <c r="Z592" s="37">
        <v>1</v>
      </c>
      <c r="AA592" s="36">
        <f t="shared" si="184"/>
        <v>1</v>
      </c>
      <c r="AB592" s="36">
        <f t="shared" si="185"/>
        <v>0.14000000000000001</v>
      </c>
      <c r="AC592" s="11">
        <f t="shared" si="186"/>
        <v>0</v>
      </c>
      <c r="AD592" s="36">
        <f t="shared" si="178"/>
        <v>0</v>
      </c>
      <c r="AE592" s="36"/>
      <c r="AF592" s="36">
        <f>IFERROR(VLOOKUP(AE592,'Chemical Cost'!A:D,4,0),0)</f>
        <v>0</v>
      </c>
      <c r="AG592" s="114">
        <f t="shared" si="187"/>
        <v>0</v>
      </c>
      <c r="AH592" s="36">
        <f t="shared" si="172"/>
        <v>0</v>
      </c>
      <c r="AI592" s="36">
        <f t="shared" si="179"/>
        <v>0.14000000000000001</v>
      </c>
      <c r="AJ592" s="36">
        <f>IFERROR(VLOOKUP(A592,'All Products'!A:F,6,0),0)</f>
        <v>10.94</v>
      </c>
      <c r="AK592" s="36"/>
      <c r="AL592" s="23">
        <v>0</v>
      </c>
      <c r="AM592" s="23">
        <v>1</v>
      </c>
      <c r="AN592" s="54" t="e">
        <v>#N/A</v>
      </c>
      <c r="AO592" s="47"/>
      <c r="AP592" s="4">
        <v>1.6</v>
      </c>
      <c r="AQ592" s="111">
        <f t="shared" si="188"/>
        <v>0</v>
      </c>
      <c r="AR592">
        <f>_xlfn.XLOOKUP(F592,'RM Cost'!A:A,'RM Cost'!S:S)</f>
        <v>0</v>
      </c>
      <c r="AS592" t="e">
        <f>_xlfn.XLOOKUP(A592,[3]Sheet1!$B:$B,[3]Sheet1!$B:$B)</f>
        <v>#N/A</v>
      </c>
    </row>
    <row r="593" spans="1:46" x14ac:dyDescent="0.25">
      <c r="A593" s="2" t="s">
        <v>297</v>
      </c>
      <c r="B593" s="2" t="s">
        <v>656</v>
      </c>
      <c r="C593" s="2" t="s">
        <v>758</v>
      </c>
      <c r="D593" s="2" t="s">
        <v>554</v>
      </c>
      <c r="E593" s="2">
        <v>0.25</v>
      </c>
      <c r="F593" s="1" t="str">
        <f>VLOOKUP(H593,'RM Used'!A:B,2,0)</f>
        <v>3409CS</v>
      </c>
      <c r="G593" s="1" t="str">
        <f>IFERROR(VLOOKUP(F593,'RM Cost'!A:B,2,0),"")</f>
        <v>RM - CELERY 1 X 12</v>
      </c>
      <c r="H593" s="2" t="s">
        <v>1505</v>
      </c>
      <c r="I593" s="1" t="str">
        <f>VLOOKUP(F593,'RM Used'!B:D,3,0)</f>
        <v>RM-FOOD</v>
      </c>
      <c r="J593" s="66">
        <v>1</v>
      </c>
      <c r="K593" s="35">
        <f t="shared" si="174"/>
        <v>0.25</v>
      </c>
      <c r="L593" s="35">
        <f t="shared" si="180"/>
        <v>0.25</v>
      </c>
      <c r="M593" s="77" cm="1">
        <f t="array" ref="M593">_xlfn.IFS(BOM!I593="RM-PACKING","100%",B593="Reynolds",VLOOKUP(H593,'Yield &amp; Time'!A:V,22,0),BOM!B593="Dnata",VLOOKUP(BOM!H593,'Yield &amp; Time'!A:M,13,0),B593="NK",VLOOKUP(H593,'Yield &amp; Time'!A:X,24,0))</f>
        <v>0.5</v>
      </c>
      <c r="N593" s="35">
        <f t="shared" si="173"/>
        <v>0.5</v>
      </c>
      <c r="O593" s="1" t="str">
        <f>VLOOKUP(H593,'RM Used'!A:E,5,0)</f>
        <v>KG</v>
      </c>
      <c r="P593" s="11">
        <f>VLOOKUP(H593,'RM Used'!A:F,6,0)</f>
        <v>0.91</v>
      </c>
      <c r="Q593" s="11">
        <f t="shared" si="189"/>
        <v>0.45500000000000002</v>
      </c>
      <c r="R593" s="11">
        <f>IFERROR(IF(B593="Reynolds",VLOOKUP(H593,'Yield &amp; Time'!A:U,21,0),VLOOKUP(H593,'Yield &amp; Time'!A:L,12,0)),0)</f>
        <v>3.1</v>
      </c>
      <c r="S593" s="11">
        <f t="shared" si="181"/>
        <v>0.2623375</v>
      </c>
      <c r="T593" s="11">
        <f t="shared" si="182"/>
        <v>1.2916666666666667E-2</v>
      </c>
      <c r="U593" s="11">
        <f>IF(A592=A593,0,VLOOKUP(A593,'Packing Time'!A:F,6,0))</f>
        <v>0.47499999999999998</v>
      </c>
      <c r="V593" s="11">
        <f t="shared" si="175"/>
        <v>0.16078749999999997</v>
      </c>
      <c r="W593" s="11">
        <f t="shared" si="176"/>
        <v>7.9166666666666656E-3</v>
      </c>
      <c r="X593" s="11">
        <f t="shared" si="183"/>
        <v>0.67700000000000005</v>
      </c>
      <c r="Y593" s="11">
        <f t="shared" si="177"/>
        <v>0.67700000000000005</v>
      </c>
      <c r="Z593" s="37">
        <v>1</v>
      </c>
      <c r="AA593" s="36">
        <f t="shared" si="184"/>
        <v>0.5</v>
      </c>
      <c r="AB593" s="36">
        <f t="shared" si="185"/>
        <v>0.45500000000000002</v>
      </c>
      <c r="AC593" s="11">
        <f t="shared" si="186"/>
        <v>3.3333333333333333E-2</v>
      </c>
      <c r="AD593" s="36">
        <f t="shared" si="178"/>
        <v>0.67699999999999994</v>
      </c>
      <c r="AE593" s="36" t="str">
        <f>VLOOKUP(H593,'Yield &amp; Time'!A:I,9,0)</f>
        <v>CHLORINE</v>
      </c>
      <c r="AF593" s="36">
        <f>IFERROR(VLOOKUP(AE593,'Chemical Cost'!A:D,4,0),0)</f>
        <v>2.7756518066439469E-2</v>
      </c>
      <c r="AG593" s="114">
        <f t="shared" si="187"/>
        <v>4.6260863444065785E-3</v>
      </c>
      <c r="AH593" s="36">
        <f t="shared" si="172"/>
        <v>4.6260863444065785E-3</v>
      </c>
      <c r="AI593" s="36">
        <f t="shared" si="179"/>
        <v>1.1366260863444066</v>
      </c>
      <c r="AJ593" s="36">
        <f>IFERROR(VLOOKUP(A593,'All Products'!A:F,6,0),0)</f>
        <v>1.38</v>
      </c>
      <c r="AK593" s="36">
        <f>AJ593*Z593*J593</f>
        <v>1.38</v>
      </c>
      <c r="AL593" s="23">
        <v>0</v>
      </c>
      <c r="AM593" s="23">
        <v>1</v>
      </c>
      <c r="AN593" s="54" t="e">
        <v>#N/A</v>
      </c>
      <c r="AO593" s="47"/>
      <c r="AP593" s="4">
        <v>1.6</v>
      </c>
      <c r="AQ593" s="111">
        <f t="shared" si="188"/>
        <v>3.3333333333333333E-2</v>
      </c>
      <c r="AR593">
        <f>_xlfn.XLOOKUP(F593,'RM Cost'!A:A,'RM Cost'!S:S)</f>
        <v>0</v>
      </c>
      <c r="AS593" t="e">
        <f>_xlfn.XLOOKUP(A593,[3]Sheet1!$B:$B,[3]Sheet1!$B:$B)</f>
        <v>#N/A</v>
      </c>
    </row>
    <row r="594" spans="1:46" x14ac:dyDescent="0.25">
      <c r="A594" s="2" t="s">
        <v>297</v>
      </c>
      <c r="B594" s="2" t="s">
        <v>656</v>
      </c>
      <c r="C594" s="2" t="s">
        <v>758</v>
      </c>
      <c r="D594" s="2" t="s">
        <v>554</v>
      </c>
      <c r="E594" s="2">
        <v>0.25</v>
      </c>
      <c r="F594" s="1" t="str">
        <f>VLOOKUP(H594,'RM Used'!A:B,2,0)</f>
        <v>P0017</v>
      </c>
      <c r="G594" s="1" t="str">
        <f>IFERROR(VLOOKUP(F594,'RM Cost'!A:B,2,0),"")</f>
        <v>PALE BLUE BAG 250X300MM</v>
      </c>
      <c r="H594" s="2" t="s">
        <v>1334</v>
      </c>
      <c r="I594" s="1" t="str">
        <f>VLOOKUP(F594,'RM Used'!B:D,3,0)</f>
        <v>RM-PACKING</v>
      </c>
      <c r="J594" s="66">
        <v>1</v>
      </c>
      <c r="K594" s="35" t="str">
        <f t="shared" si="174"/>
        <v/>
      </c>
      <c r="L594" s="35">
        <f t="shared" si="180"/>
        <v>0</v>
      </c>
      <c r="M594" s="77" t="str" cm="1">
        <f t="array" ref="M594">_xlfn.IFS(BOM!I594="RM-PACKING","100%",B594="Reynolds",VLOOKUP(H594,'Yield &amp; Time'!A:V,22,0),BOM!B594="Dnata",VLOOKUP(BOM!H594,'Yield &amp; Time'!A:M,13,0),B594="NK",VLOOKUP(H594,'Yield &amp; Time'!A:X,24,0))</f>
        <v>100%</v>
      </c>
      <c r="N594" s="35">
        <f t="shared" si="173"/>
        <v>1</v>
      </c>
      <c r="O594" s="1" t="str">
        <f>VLOOKUP(H594,'RM Used'!A:E,5,0)</f>
        <v>Count</v>
      </c>
      <c r="P594" s="11">
        <f>VLOOKUP(H594,'RM Used'!A:F,6,0)</f>
        <v>0.05</v>
      </c>
      <c r="Q594" s="11">
        <f t="shared" si="189"/>
        <v>0.05</v>
      </c>
      <c r="R594" s="11">
        <f>IFERROR(IF(B594="Reynolds",VLOOKUP(H594,'Yield &amp; Time'!A:U,21,0),VLOOKUP(H594,'Yield &amp; Time'!A:L,12,0)),0)</f>
        <v>0</v>
      </c>
      <c r="S594" s="11">
        <f t="shared" si="181"/>
        <v>0</v>
      </c>
      <c r="T594" s="11">
        <f t="shared" si="182"/>
        <v>0</v>
      </c>
      <c r="U594" s="11">
        <f>IF(A593=A594,0,VLOOKUP(A594,'Packing Time'!A:F,6,0))</f>
        <v>0</v>
      </c>
      <c r="V594" s="11">
        <f t="shared" si="175"/>
        <v>0</v>
      </c>
      <c r="W594" s="11">
        <f t="shared" si="176"/>
        <v>0</v>
      </c>
      <c r="X594" s="11">
        <f t="shared" si="183"/>
        <v>0</v>
      </c>
      <c r="Y594" s="11">
        <f t="shared" si="177"/>
        <v>0</v>
      </c>
      <c r="Z594" s="37">
        <v>1</v>
      </c>
      <c r="AA594" s="36">
        <f t="shared" si="184"/>
        <v>1</v>
      </c>
      <c r="AB594" s="36">
        <f t="shared" si="185"/>
        <v>0.05</v>
      </c>
      <c r="AC594" s="11">
        <f t="shared" si="186"/>
        <v>0</v>
      </c>
      <c r="AD594" s="36">
        <f t="shared" si="178"/>
        <v>0</v>
      </c>
      <c r="AE594" s="36"/>
      <c r="AF594" s="36">
        <f>IFERROR(VLOOKUP(AE594,'Chemical Cost'!A:D,4,0),0)</f>
        <v>0</v>
      </c>
      <c r="AG594" s="114">
        <f t="shared" si="187"/>
        <v>0</v>
      </c>
      <c r="AH594" s="36">
        <f t="shared" si="172"/>
        <v>0</v>
      </c>
      <c r="AI594" s="36">
        <f t="shared" si="179"/>
        <v>0.05</v>
      </c>
      <c r="AJ594" s="36">
        <f>IFERROR(VLOOKUP(A594,'All Products'!A:F,6,0),0)</f>
        <v>1.38</v>
      </c>
      <c r="AK594" s="36"/>
      <c r="AL594" s="23">
        <v>0</v>
      </c>
      <c r="AM594" s="23">
        <v>1</v>
      </c>
      <c r="AN594" s="54" t="e">
        <v>#N/A</v>
      </c>
      <c r="AO594" s="47"/>
      <c r="AP594" s="4">
        <v>1.6</v>
      </c>
      <c r="AQ594" s="111">
        <f t="shared" si="188"/>
        <v>0</v>
      </c>
      <c r="AR594">
        <f>_xlfn.XLOOKUP(F594,'RM Cost'!A:A,'RM Cost'!S:S)</f>
        <v>0</v>
      </c>
      <c r="AS594" t="e">
        <f>_xlfn.XLOOKUP(A594,[3]Sheet1!$B:$B,[3]Sheet1!$B:$B)</f>
        <v>#N/A</v>
      </c>
    </row>
    <row r="595" spans="1:46" x14ac:dyDescent="0.25">
      <c r="A595" s="2" t="s">
        <v>483</v>
      </c>
      <c r="B595" s="2" t="s">
        <v>656</v>
      </c>
      <c r="C595" s="2" t="s">
        <v>761</v>
      </c>
      <c r="D595" s="2" t="s">
        <v>554</v>
      </c>
      <c r="E595" s="2">
        <v>1</v>
      </c>
      <c r="F595" s="1" t="str">
        <f>VLOOKUP(H595,'RM Used'!A:B,2,0)</f>
        <v>3584CS</v>
      </c>
      <c r="G595" s="1" t="str">
        <f>IFERROR(VLOOKUP(F595,'RM Cost'!A:B,2,0),"")</f>
        <v>RM - CHILLIES RED LONG DUTCH 3KG</v>
      </c>
      <c r="H595" s="2" t="s">
        <v>1506</v>
      </c>
      <c r="I595" s="1" t="str">
        <f>VLOOKUP(F595,'RM Used'!B:D,3,0)</f>
        <v>RM-FOOD</v>
      </c>
      <c r="J595" s="66">
        <v>1</v>
      </c>
      <c r="K595" s="35">
        <f t="shared" si="174"/>
        <v>1</v>
      </c>
      <c r="L595" s="35">
        <f t="shared" si="180"/>
        <v>1</v>
      </c>
      <c r="M595" s="77" cm="1">
        <f t="array" ref="M595">_xlfn.IFS(BOM!I595="RM-PACKING","100%",B595="Reynolds",VLOOKUP(H595,'Yield &amp; Time'!A:V,22,0),BOM!B595="Dnata",VLOOKUP(BOM!H595,'Yield &amp; Time'!A:M,13,0),B595="NK",VLOOKUP(H595,'Yield &amp; Time'!A:X,24,0))</f>
        <v>0.35</v>
      </c>
      <c r="N595" s="35">
        <f t="shared" si="173"/>
        <v>2.8571428571428572</v>
      </c>
      <c r="O595" s="1" t="str">
        <f>VLOOKUP(H595,'RM Used'!A:E,5,0)</f>
        <v>KG</v>
      </c>
      <c r="P595" s="11">
        <f>VLOOKUP(H595,'RM Used'!A:F,6,0)</f>
        <v>3.14</v>
      </c>
      <c r="Q595" s="11">
        <f t="shared" si="189"/>
        <v>8.9714285714285715</v>
      </c>
      <c r="R595" s="11">
        <f>IFERROR(IF(B595="Reynolds",VLOOKUP(H595,'Yield &amp; Time'!A:U,21,0),VLOOKUP(H595,'Yield &amp; Time'!A:L,12,0)),0)</f>
        <v>18.6875</v>
      </c>
      <c r="S595" s="11">
        <f t="shared" si="181"/>
        <v>6.3257187499999992</v>
      </c>
      <c r="T595" s="11">
        <f t="shared" si="182"/>
        <v>0.31145833333333334</v>
      </c>
      <c r="U595" s="11">
        <f>IF(A594=A595,0,VLOOKUP(A595,'Packing Time'!A:F,6,0))</f>
        <v>0.64166666666666661</v>
      </c>
      <c r="V595" s="11">
        <f t="shared" si="175"/>
        <v>0.21720416666666661</v>
      </c>
      <c r="W595" s="11">
        <f t="shared" si="176"/>
        <v>1.0694444444444444E-2</v>
      </c>
      <c r="X595" s="11">
        <f t="shared" si="183"/>
        <v>10.468676666666667</v>
      </c>
      <c r="Y595" s="11">
        <f t="shared" si="177"/>
        <v>10.468676666666667</v>
      </c>
      <c r="Z595" s="37">
        <v>1</v>
      </c>
      <c r="AA595" s="36">
        <f t="shared" si="184"/>
        <v>2.8571428571428572</v>
      </c>
      <c r="AB595" s="36">
        <f t="shared" si="185"/>
        <v>8.9714285714285715</v>
      </c>
      <c r="AC595" s="11">
        <f t="shared" si="186"/>
        <v>0.51544444444444448</v>
      </c>
      <c r="AD595" s="36">
        <f t="shared" si="178"/>
        <v>10.468676666666667</v>
      </c>
      <c r="AE595" s="36" t="str">
        <f>VLOOKUP(H595,'Yield &amp; Time'!A:I,9,0)</f>
        <v>CHLORINE</v>
      </c>
      <c r="AF595" s="36">
        <f>IFERROR(VLOOKUP(AE595,'Chemical Cost'!A:D,4,0),0)</f>
        <v>2.7756518066439469E-2</v>
      </c>
      <c r="AG595" s="114">
        <f t="shared" si="187"/>
        <v>2.6434779110894733E-2</v>
      </c>
      <c r="AH595" s="36">
        <f t="shared" si="172"/>
        <v>2.6434779110894733E-2</v>
      </c>
      <c r="AI595" s="36">
        <f t="shared" si="179"/>
        <v>19.466540017206132</v>
      </c>
      <c r="AJ595" s="36">
        <f>IFERROR(VLOOKUP(A595,'All Products'!A:F,6,0),0)</f>
        <v>20.66</v>
      </c>
      <c r="AK595" s="36">
        <f>AJ595*Z595*J595</f>
        <v>20.66</v>
      </c>
      <c r="AL595" s="23"/>
      <c r="AM595" s="23">
        <v>1</v>
      </c>
      <c r="AN595" s="54" t="e">
        <v>#N/A</v>
      </c>
      <c r="AO595" s="47"/>
      <c r="AP595" s="4">
        <v>1.6</v>
      </c>
      <c r="AQ595" s="111">
        <f t="shared" si="188"/>
        <v>0.51544444444444448</v>
      </c>
      <c r="AR595">
        <f>_xlfn.XLOOKUP(F595,'RM Cost'!A:A,'RM Cost'!S:S)</f>
        <v>0</v>
      </c>
      <c r="AS595" t="str">
        <f>_xlfn.XLOOKUP(A595,[3]Sheet1!$B:$B,[3]Sheet1!$B:$B)</f>
        <v>Z131CS</v>
      </c>
      <c r="AT595">
        <f>_xlfn.XLOOKUP(H595,'Yield &amp; Time'!A:A,'Yield &amp; Time'!F:F)</f>
        <v>0</v>
      </c>
    </row>
    <row r="596" spans="1:46" x14ac:dyDescent="0.25">
      <c r="A596" s="2" t="s">
        <v>483</v>
      </c>
      <c r="B596" s="2" t="s">
        <v>656</v>
      </c>
      <c r="C596" s="2" t="s">
        <v>761</v>
      </c>
      <c r="D596" s="2" t="s">
        <v>554</v>
      </c>
      <c r="E596" s="2">
        <v>1</v>
      </c>
      <c r="F596" s="1" t="str">
        <f>VLOOKUP(H596,'RM Used'!A:B,2,0)</f>
        <v>P0008</v>
      </c>
      <c r="G596" s="1" t="str">
        <f>IFERROR(VLOOKUP(F596,'RM Cost'!A:B,2,0),"")</f>
        <v>PALE BLUE BAG 470X750MM</v>
      </c>
      <c r="H596" s="2" t="s">
        <v>1323</v>
      </c>
      <c r="I596" s="1" t="str">
        <f>VLOOKUP(F596,'RM Used'!B:D,3,0)</f>
        <v>RM-PACKING</v>
      </c>
      <c r="J596" s="66">
        <v>1</v>
      </c>
      <c r="K596" s="35" t="str">
        <f t="shared" si="174"/>
        <v/>
      </c>
      <c r="L596" s="35">
        <f t="shared" si="180"/>
        <v>0</v>
      </c>
      <c r="M596" s="77" t="str" cm="1">
        <f t="array" ref="M596">_xlfn.IFS(BOM!I596="RM-PACKING","100%",B596="Reynolds",VLOOKUP(H596,'Yield &amp; Time'!A:V,22,0),BOM!B596="Dnata",VLOOKUP(BOM!H596,'Yield &amp; Time'!A:M,13,0),B596="NK",VLOOKUP(H596,'Yield &amp; Time'!A:X,24,0))</f>
        <v>100%</v>
      </c>
      <c r="N596" s="35">
        <f t="shared" si="173"/>
        <v>1</v>
      </c>
      <c r="O596" s="1" t="str">
        <f>VLOOKUP(H596,'RM Used'!A:E,5,0)</f>
        <v>Count</v>
      </c>
      <c r="P596" s="11">
        <f>VLOOKUP(H596,'RM Used'!A:F,6,0)</f>
        <v>0.14000000000000001</v>
      </c>
      <c r="Q596" s="11">
        <f t="shared" si="189"/>
        <v>0.14000000000000001</v>
      </c>
      <c r="R596" s="11">
        <f>IFERROR(IF(B596="Reynolds",VLOOKUP(H596,'Yield &amp; Time'!A:U,21,0),VLOOKUP(H596,'Yield &amp; Time'!A:L,12,0)),0)</f>
        <v>0</v>
      </c>
      <c r="S596" s="11">
        <f t="shared" si="181"/>
        <v>0</v>
      </c>
      <c r="T596" s="11">
        <f t="shared" si="182"/>
        <v>0</v>
      </c>
      <c r="U596" s="11">
        <f>IF(A595=A596,0,VLOOKUP(A596,'Packing Time'!A:F,6,0))</f>
        <v>0</v>
      </c>
      <c r="V596" s="11">
        <f t="shared" si="175"/>
        <v>0</v>
      </c>
      <c r="W596" s="11">
        <f t="shared" si="176"/>
        <v>0</v>
      </c>
      <c r="X596" s="11">
        <f t="shared" si="183"/>
        <v>0</v>
      </c>
      <c r="Y596" s="11">
        <f t="shared" si="177"/>
        <v>0</v>
      </c>
      <c r="Z596" s="37">
        <v>1</v>
      </c>
      <c r="AA596" s="36">
        <f t="shared" si="184"/>
        <v>1</v>
      </c>
      <c r="AB596" s="36">
        <f t="shared" si="185"/>
        <v>0.14000000000000001</v>
      </c>
      <c r="AC596" s="11">
        <f t="shared" si="186"/>
        <v>0</v>
      </c>
      <c r="AD596" s="36">
        <f t="shared" si="178"/>
        <v>0</v>
      </c>
      <c r="AE596" s="36"/>
      <c r="AF596" s="36">
        <f>IFERROR(VLOOKUP(AE596,'Chemical Cost'!A:D,4,0),0)</f>
        <v>0</v>
      </c>
      <c r="AG596" s="114">
        <f t="shared" si="187"/>
        <v>0</v>
      </c>
      <c r="AH596" s="36">
        <f t="shared" si="172"/>
        <v>0</v>
      </c>
      <c r="AI596" s="36">
        <f t="shared" si="179"/>
        <v>0.14000000000000001</v>
      </c>
      <c r="AJ596" s="36">
        <f>IFERROR(VLOOKUP(A596,'All Products'!A:F,6,0),0)</f>
        <v>20.66</v>
      </c>
      <c r="AK596" s="36"/>
      <c r="AL596" s="23"/>
      <c r="AM596" s="23">
        <v>1</v>
      </c>
      <c r="AN596" s="54" t="e">
        <v>#N/A</v>
      </c>
      <c r="AO596" s="47"/>
      <c r="AP596" s="4">
        <v>1.6</v>
      </c>
      <c r="AQ596" s="111">
        <f t="shared" si="188"/>
        <v>0</v>
      </c>
      <c r="AR596">
        <f>_xlfn.XLOOKUP(F596,'RM Cost'!A:A,'RM Cost'!S:S)</f>
        <v>0</v>
      </c>
      <c r="AS596" t="str">
        <f>_xlfn.XLOOKUP(A596,[3]Sheet1!$B:$B,[3]Sheet1!$B:$B)</f>
        <v>Z131CS</v>
      </c>
      <c r="AT596" t="e">
        <f>_xlfn.XLOOKUP(H596,'Yield &amp; Time'!A:A,'Yield &amp; Time'!F:F)</f>
        <v>#N/A</v>
      </c>
    </row>
    <row r="597" spans="1:46" x14ac:dyDescent="0.25">
      <c r="A597" s="2" t="s">
        <v>762</v>
      </c>
      <c r="B597" s="2" t="s">
        <v>656</v>
      </c>
      <c r="C597" s="2" t="s">
        <v>763</v>
      </c>
      <c r="D597" s="2" t="s">
        <v>554</v>
      </c>
      <c r="E597" s="2">
        <v>2.5</v>
      </c>
      <c r="F597" s="1" t="str">
        <f>VLOOKUP(H597,'RM Used'!A:B,2,0)</f>
        <v>3584CS</v>
      </c>
      <c r="G597" s="1" t="str">
        <f>IFERROR(VLOOKUP(F597,'RM Cost'!A:B,2,0),"")</f>
        <v>RM - CHILLIES RED LONG DUTCH 3KG</v>
      </c>
      <c r="H597" s="2" t="s">
        <v>1506</v>
      </c>
      <c r="I597" s="1" t="str">
        <f>VLOOKUP(F597,'RM Used'!B:D,3,0)</f>
        <v>RM-FOOD</v>
      </c>
      <c r="J597" s="66">
        <v>1</v>
      </c>
      <c r="K597" s="35">
        <f t="shared" si="174"/>
        <v>2.5</v>
      </c>
      <c r="L597" s="35">
        <f t="shared" si="180"/>
        <v>2.5</v>
      </c>
      <c r="M597" s="77" cm="1">
        <f t="array" ref="M597">_xlfn.IFS(BOM!I597="RM-PACKING","100%",B597="Reynolds",VLOOKUP(H597,'Yield &amp; Time'!A:V,22,0),BOM!B597="Dnata",VLOOKUP(BOM!H597,'Yield &amp; Time'!A:M,13,0),B597="NK",VLOOKUP(H597,'Yield &amp; Time'!A:X,24,0))</f>
        <v>0.35</v>
      </c>
      <c r="N597" s="35">
        <f t="shared" si="173"/>
        <v>7.1428571428571432</v>
      </c>
      <c r="O597" s="1" t="str">
        <f>VLOOKUP(H597,'RM Used'!A:E,5,0)</f>
        <v>KG</v>
      </c>
      <c r="P597" s="11">
        <f>VLOOKUP(H597,'RM Used'!A:F,6,0)</f>
        <v>3.14</v>
      </c>
      <c r="Q597" s="11">
        <f t="shared" si="189"/>
        <v>22.428571428571431</v>
      </c>
      <c r="R597" s="11">
        <f>IFERROR(IF(B597="Reynolds",VLOOKUP(H597,'Yield &amp; Time'!A:U,21,0),VLOOKUP(H597,'Yield &amp; Time'!A:L,12,0)),0)</f>
        <v>18.6875</v>
      </c>
      <c r="S597" s="11">
        <f t="shared" si="181"/>
        <v>15.814296874999998</v>
      </c>
      <c r="T597" s="11">
        <f t="shared" si="182"/>
        <v>0.77864583333333337</v>
      </c>
      <c r="U597" s="11">
        <f>IF(A596=A597,0,VLOOKUP(A597,'Packing Time'!A:F,6,0))</f>
        <v>0.875</v>
      </c>
      <c r="V597" s="11">
        <f t="shared" si="175"/>
        <v>0.29618749999999999</v>
      </c>
      <c r="W597" s="11">
        <f t="shared" si="176"/>
        <v>1.4583333333333334E-2</v>
      </c>
      <c r="X597" s="11">
        <f t="shared" si="183"/>
        <v>25.776775000000001</v>
      </c>
      <c r="Y597" s="11">
        <f t="shared" si="177"/>
        <v>25.776775000000001</v>
      </c>
      <c r="Z597" s="37">
        <v>1</v>
      </c>
      <c r="AA597" s="36">
        <f t="shared" si="184"/>
        <v>7.1428571428571432</v>
      </c>
      <c r="AB597" s="36">
        <f t="shared" si="185"/>
        <v>22.428571428571431</v>
      </c>
      <c r="AC597" s="11">
        <f t="shared" si="186"/>
        <v>1.2691666666666668</v>
      </c>
      <c r="AD597" s="36">
        <f t="shared" si="178"/>
        <v>25.776775000000001</v>
      </c>
      <c r="AE597" s="36" t="str">
        <f>VLOOKUP(H597,'Yield &amp; Time'!A:I,9,0)</f>
        <v>CHLORINE</v>
      </c>
      <c r="AF597" s="36">
        <f>IFERROR(VLOOKUP(AE597,'Chemical Cost'!A:D,4,0),0)</f>
        <v>2.7756518066439469E-2</v>
      </c>
      <c r="AG597" s="114">
        <f t="shared" si="187"/>
        <v>6.6086947777236837E-2</v>
      </c>
      <c r="AH597" s="36">
        <f t="shared" si="172"/>
        <v>6.6086947777236837E-2</v>
      </c>
      <c r="AI597" s="36">
        <f t="shared" si="179"/>
        <v>48.271433376348668</v>
      </c>
      <c r="AJ597" s="36">
        <f>IFERROR(VLOOKUP(A597,'All Products'!A:F,6,0),0)</f>
        <v>51.65</v>
      </c>
      <c r="AK597" s="36">
        <f>AJ597*Z597*J597</f>
        <v>51.65</v>
      </c>
      <c r="AL597" s="23"/>
      <c r="AM597" s="23">
        <v>1</v>
      </c>
      <c r="AN597" s="54" t="e">
        <v>#N/A</v>
      </c>
      <c r="AO597" s="47"/>
      <c r="AP597" s="4">
        <v>1.6</v>
      </c>
      <c r="AQ597" s="111">
        <f t="shared" si="188"/>
        <v>1.2691666666666668</v>
      </c>
      <c r="AR597">
        <f>_xlfn.XLOOKUP(F597,'RM Cost'!A:A,'RM Cost'!S:S)</f>
        <v>0</v>
      </c>
      <c r="AS597" t="str">
        <f>_xlfn.XLOOKUP(A597,[3]Sheet1!$B:$B,[3]Sheet1!$B:$B)</f>
        <v>Z130CS</v>
      </c>
      <c r="AT597">
        <f>_xlfn.XLOOKUP(H597,'Yield &amp; Time'!A:A,'Yield &amp; Time'!F:F)</f>
        <v>0</v>
      </c>
    </row>
    <row r="598" spans="1:46" x14ac:dyDescent="0.25">
      <c r="A598" s="2" t="s">
        <v>762</v>
      </c>
      <c r="B598" s="2" t="s">
        <v>656</v>
      </c>
      <c r="C598" s="2" t="s">
        <v>763</v>
      </c>
      <c r="D598" s="2" t="s">
        <v>554</v>
      </c>
      <c r="E598" s="2">
        <v>2.5</v>
      </c>
      <c r="F598" s="1" t="str">
        <f>VLOOKUP(H598,'RM Used'!A:B,2,0)</f>
        <v>P0008</v>
      </c>
      <c r="G598" s="1" t="str">
        <f>IFERROR(VLOOKUP(F598,'RM Cost'!A:B,2,0),"")</f>
        <v>PALE BLUE BAG 470X750MM</v>
      </c>
      <c r="H598" s="2" t="s">
        <v>1323</v>
      </c>
      <c r="I598" s="1" t="str">
        <f>VLOOKUP(F598,'RM Used'!B:D,3,0)</f>
        <v>RM-PACKING</v>
      </c>
      <c r="J598" s="66">
        <v>1</v>
      </c>
      <c r="K598" s="35" t="str">
        <f t="shared" si="174"/>
        <v/>
      </c>
      <c r="L598" s="35">
        <f t="shared" si="180"/>
        <v>0</v>
      </c>
      <c r="M598" s="77" t="str" cm="1">
        <f t="array" ref="M598">_xlfn.IFS(BOM!I598="RM-PACKING","100%",B598="Reynolds",VLOOKUP(H598,'Yield &amp; Time'!A:V,22,0),BOM!B598="Dnata",VLOOKUP(BOM!H598,'Yield &amp; Time'!A:M,13,0),B598="NK",VLOOKUP(H598,'Yield &amp; Time'!A:X,24,0))</f>
        <v>100%</v>
      </c>
      <c r="N598" s="35">
        <f t="shared" si="173"/>
        <v>1</v>
      </c>
      <c r="O598" s="1" t="str">
        <f>VLOOKUP(H598,'RM Used'!A:E,5,0)</f>
        <v>Count</v>
      </c>
      <c r="P598" s="11">
        <f>VLOOKUP(H598,'RM Used'!A:F,6,0)</f>
        <v>0.14000000000000001</v>
      </c>
      <c r="Q598" s="11">
        <f t="shared" si="189"/>
        <v>0.14000000000000001</v>
      </c>
      <c r="R598" s="11">
        <f>IFERROR(IF(B598="Reynolds",VLOOKUP(H598,'Yield &amp; Time'!A:U,21,0),VLOOKUP(H598,'Yield &amp; Time'!A:L,12,0)),0)</f>
        <v>0</v>
      </c>
      <c r="S598" s="11">
        <f t="shared" si="181"/>
        <v>0</v>
      </c>
      <c r="T598" s="11">
        <f t="shared" si="182"/>
        <v>0</v>
      </c>
      <c r="U598" s="11">
        <f>IF(A597=A598,0,VLOOKUP(A598,'Packing Time'!A:F,6,0))</f>
        <v>0</v>
      </c>
      <c r="V598" s="11">
        <f t="shared" si="175"/>
        <v>0</v>
      </c>
      <c r="W598" s="11">
        <f t="shared" si="176"/>
        <v>0</v>
      </c>
      <c r="X598" s="11">
        <f t="shared" si="183"/>
        <v>0</v>
      </c>
      <c r="Y598" s="11">
        <f t="shared" si="177"/>
        <v>0</v>
      </c>
      <c r="Z598" s="37">
        <v>1</v>
      </c>
      <c r="AA598" s="36">
        <f t="shared" si="184"/>
        <v>1</v>
      </c>
      <c r="AB598" s="36">
        <f t="shared" si="185"/>
        <v>0.14000000000000001</v>
      </c>
      <c r="AC598" s="11">
        <f t="shared" si="186"/>
        <v>0</v>
      </c>
      <c r="AD598" s="36">
        <f t="shared" si="178"/>
        <v>0</v>
      </c>
      <c r="AE598" s="36"/>
      <c r="AF598" s="36">
        <f>IFERROR(VLOOKUP(AE598,'Chemical Cost'!A:D,4,0),0)</f>
        <v>0</v>
      </c>
      <c r="AG598" s="114">
        <f t="shared" si="187"/>
        <v>0</v>
      </c>
      <c r="AH598" s="36">
        <f t="shared" ref="AH598:AH661" si="190">AF598*AA598/3</f>
        <v>0</v>
      </c>
      <c r="AI598" s="36">
        <f t="shared" si="179"/>
        <v>0.14000000000000001</v>
      </c>
      <c r="AJ598" s="36">
        <f>IFERROR(VLOOKUP(A598,'All Products'!A:F,6,0),0)</f>
        <v>51.65</v>
      </c>
      <c r="AK598" s="36"/>
      <c r="AL598" s="23"/>
      <c r="AM598" s="23">
        <v>1</v>
      </c>
      <c r="AN598" s="54" t="e">
        <v>#N/A</v>
      </c>
      <c r="AO598" s="47"/>
      <c r="AP598" s="4">
        <v>1.6</v>
      </c>
      <c r="AQ598" s="111">
        <f t="shared" si="188"/>
        <v>0</v>
      </c>
      <c r="AR598">
        <f>_xlfn.XLOOKUP(F598,'RM Cost'!A:A,'RM Cost'!S:S)</f>
        <v>0</v>
      </c>
      <c r="AS598" t="str">
        <f>_xlfn.XLOOKUP(A598,[3]Sheet1!$B:$B,[3]Sheet1!$B:$B)</f>
        <v>Z130CS</v>
      </c>
      <c r="AT598" t="e">
        <f>_xlfn.XLOOKUP(H598,'Yield &amp; Time'!A:A,'Yield &amp; Time'!F:F)</f>
        <v>#N/A</v>
      </c>
    </row>
    <row r="599" spans="1:46" x14ac:dyDescent="0.25">
      <c r="A599" s="2" t="s">
        <v>294</v>
      </c>
      <c r="B599" s="2" t="s">
        <v>656</v>
      </c>
      <c r="C599" s="2" t="s">
        <v>764</v>
      </c>
      <c r="D599" s="2" t="s">
        <v>554</v>
      </c>
      <c r="E599" s="2">
        <v>0.25</v>
      </c>
      <c r="F599" s="1" t="str">
        <f>VLOOKUP(H599,'RM Used'!A:B,2,0)</f>
        <v>3584CS</v>
      </c>
      <c r="G599" s="1" t="str">
        <f>IFERROR(VLOOKUP(F599,'RM Cost'!A:B,2,0),"")</f>
        <v>RM - CHILLIES RED LONG DUTCH 3KG</v>
      </c>
      <c r="H599" s="2" t="s">
        <v>1506</v>
      </c>
      <c r="I599" s="1" t="str">
        <f>VLOOKUP(F599,'RM Used'!B:D,3,0)</f>
        <v>RM-FOOD</v>
      </c>
      <c r="J599" s="66">
        <v>1</v>
      </c>
      <c r="K599" s="35">
        <f t="shared" si="174"/>
        <v>0.25</v>
      </c>
      <c r="L599" s="35">
        <f t="shared" si="180"/>
        <v>0.25</v>
      </c>
      <c r="M599" s="77" cm="1">
        <f t="array" ref="M599">_xlfn.IFS(BOM!I599="RM-PACKING","100%",B599="Reynolds",VLOOKUP(H599,'Yield &amp; Time'!A:V,22,0),BOM!B599="Dnata",VLOOKUP(BOM!H599,'Yield &amp; Time'!A:M,13,0),B599="NK",VLOOKUP(H599,'Yield &amp; Time'!A:X,24,0))</f>
        <v>0.35</v>
      </c>
      <c r="N599" s="35">
        <f t="shared" si="173"/>
        <v>0.7142857142857143</v>
      </c>
      <c r="O599" s="1" t="str">
        <f>VLOOKUP(H599,'RM Used'!A:E,5,0)</f>
        <v>KG</v>
      </c>
      <c r="P599" s="11">
        <f>VLOOKUP(H599,'RM Used'!A:F,6,0)</f>
        <v>3.14</v>
      </c>
      <c r="Q599" s="11">
        <f t="shared" si="189"/>
        <v>2.2428571428571429</v>
      </c>
      <c r="R599" s="11">
        <f>IFERROR(IF(B599="Reynolds",VLOOKUP(H599,'Yield &amp; Time'!A:U,21,0),VLOOKUP(H599,'Yield &amp; Time'!A:L,12,0)),0)</f>
        <v>18.6875</v>
      </c>
      <c r="S599" s="11">
        <f t="shared" si="181"/>
        <v>1.5814296874999998</v>
      </c>
      <c r="T599" s="11">
        <f t="shared" si="182"/>
        <v>7.7864583333333334E-2</v>
      </c>
      <c r="U599" s="11">
        <f>IF(A598=A599,0,VLOOKUP(A599,'Packing Time'!A:F,6,0))</f>
        <v>0.47499999999999998</v>
      </c>
      <c r="V599" s="11">
        <f t="shared" si="175"/>
        <v>0.16078749999999997</v>
      </c>
      <c r="W599" s="11">
        <f t="shared" si="176"/>
        <v>7.9166666666666656E-3</v>
      </c>
      <c r="X599" s="11">
        <f t="shared" si="183"/>
        <v>2.7875474999999996</v>
      </c>
      <c r="Y599" s="11">
        <f t="shared" si="177"/>
        <v>2.7875474999999996</v>
      </c>
      <c r="Z599" s="37">
        <v>1</v>
      </c>
      <c r="AA599" s="36">
        <f t="shared" si="184"/>
        <v>0.7142857142857143</v>
      </c>
      <c r="AB599" s="36">
        <f t="shared" si="185"/>
        <v>2.2428571428571429</v>
      </c>
      <c r="AC599" s="11">
        <f t="shared" si="186"/>
        <v>0.13724999999999998</v>
      </c>
      <c r="AD599" s="36">
        <f t="shared" si="178"/>
        <v>2.7875474999999996</v>
      </c>
      <c r="AE599" s="36" t="str">
        <f>VLOOKUP(H599,'Yield &amp; Time'!A:I,9,0)</f>
        <v>CHLORINE</v>
      </c>
      <c r="AF599" s="36">
        <f>IFERROR(VLOOKUP(AE599,'Chemical Cost'!A:D,4,0),0)</f>
        <v>2.7756518066439469E-2</v>
      </c>
      <c r="AG599" s="114">
        <f t="shared" si="187"/>
        <v>6.6086947777236832E-3</v>
      </c>
      <c r="AH599" s="36">
        <f t="shared" si="190"/>
        <v>6.6086947777236832E-3</v>
      </c>
      <c r="AI599" s="36">
        <f t="shared" si="179"/>
        <v>5.0370133376348658</v>
      </c>
      <c r="AJ599" s="36">
        <f>IFERROR(VLOOKUP(A599,'All Products'!A:F,6,0),0)</f>
        <v>5.16</v>
      </c>
      <c r="AK599" s="36">
        <f>AJ599*Z599*J599</f>
        <v>5.16</v>
      </c>
      <c r="AL599" s="23"/>
      <c r="AM599" s="23">
        <v>1</v>
      </c>
      <c r="AN599" s="54" t="e">
        <v>#N/A</v>
      </c>
      <c r="AO599" s="47"/>
      <c r="AP599" s="4">
        <v>1.6</v>
      </c>
      <c r="AQ599" s="111">
        <f t="shared" si="188"/>
        <v>0.13724999999999998</v>
      </c>
      <c r="AR599">
        <f>_xlfn.XLOOKUP(F599,'RM Cost'!A:A,'RM Cost'!S:S)</f>
        <v>0</v>
      </c>
      <c r="AS599" t="str">
        <f>_xlfn.XLOOKUP(A599,[3]Sheet1!$B:$B,[3]Sheet1!$B:$B)</f>
        <v>Z132CS</v>
      </c>
      <c r="AT599">
        <f>_xlfn.XLOOKUP(H599,'Yield &amp; Time'!A:A,'Yield &amp; Time'!F:F)</f>
        <v>0</v>
      </c>
    </row>
    <row r="600" spans="1:46" x14ac:dyDescent="0.25">
      <c r="A600" s="2" t="s">
        <v>294</v>
      </c>
      <c r="B600" s="2" t="s">
        <v>656</v>
      </c>
      <c r="C600" s="2" t="s">
        <v>764</v>
      </c>
      <c r="D600" s="2" t="s">
        <v>554</v>
      </c>
      <c r="E600" s="2">
        <v>0.25</v>
      </c>
      <c r="F600" s="1" t="str">
        <f>VLOOKUP(H600,'RM Used'!A:B,2,0)</f>
        <v>P0017</v>
      </c>
      <c r="G600" s="1" t="str">
        <f>IFERROR(VLOOKUP(F600,'RM Cost'!A:B,2,0),"")</f>
        <v>PALE BLUE BAG 250X300MM</v>
      </c>
      <c r="H600" s="2" t="s">
        <v>1334</v>
      </c>
      <c r="I600" s="1" t="str">
        <f>VLOOKUP(F600,'RM Used'!B:D,3,0)</f>
        <v>RM-PACKING</v>
      </c>
      <c r="J600" s="66">
        <v>1</v>
      </c>
      <c r="K600" s="35" t="str">
        <f t="shared" si="174"/>
        <v/>
      </c>
      <c r="L600" s="35">
        <f t="shared" si="180"/>
        <v>0</v>
      </c>
      <c r="M600" s="77" t="str" cm="1">
        <f t="array" ref="M600">_xlfn.IFS(BOM!I600="RM-PACKING","100%",B600="Reynolds",VLOOKUP(H600,'Yield &amp; Time'!A:V,22,0),BOM!B600="Dnata",VLOOKUP(BOM!H600,'Yield &amp; Time'!A:M,13,0),B600="NK",VLOOKUP(H600,'Yield &amp; Time'!A:X,24,0))</f>
        <v>100%</v>
      </c>
      <c r="N600" s="35">
        <f t="shared" si="173"/>
        <v>1</v>
      </c>
      <c r="O600" s="1" t="str">
        <f>VLOOKUP(H600,'RM Used'!A:E,5,0)</f>
        <v>Count</v>
      </c>
      <c r="P600" s="11">
        <f>VLOOKUP(H600,'RM Used'!A:F,6,0)</f>
        <v>0.05</v>
      </c>
      <c r="Q600" s="11">
        <f t="shared" si="189"/>
        <v>0.05</v>
      </c>
      <c r="R600" s="11">
        <f>IFERROR(IF(B600="Reynolds",VLOOKUP(H600,'Yield &amp; Time'!A:U,21,0),VLOOKUP(H600,'Yield &amp; Time'!A:L,12,0)),0)</f>
        <v>0</v>
      </c>
      <c r="S600" s="11">
        <f t="shared" si="181"/>
        <v>0</v>
      </c>
      <c r="T600" s="11">
        <f t="shared" si="182"/>
        <v>0</v>
      </c>
      <c r="U600" s="11">
        <f>IF(A599=A600,0,VLOOKUP(A600,'Packing Time'!A:F,6,0))</f>
        <v>0</v>
      </c>
      <c r="V600" s="11">
        <f t="shared" si="175"/>
        <v>0</v>
      </c>
      <c r="W600" s="11">
        <f t="shared" si="176"/>
        <v>0</v>
      </c>
      <c r="X600" s="11">
        <f t="shared" si="183"/>
        <v>0</v>
      </c>
      <c r="Y600" s="11">
        <f t="shared" si="177"/>
        <v>0</v>
      </c>
      <c r="Z600" s="37">
        <v>1</v>
      </c>
      <c r="AA600" s="36">
        <f t="shared" si="184"/>
        <v>1</v>
      </c>
      <c r="AB600" s="36">
        <f t="shared" si="185"/>
        <v>0.05</v>
      </c>
      <c r="AC600" s="11">
        <f t="shared" si="186"/>
        <v>0</v>
      </c>
      <c r="AD600" s="36">
        <f t="shared" si="178"/>
        <v>0</v>
      </c>
      <c r="AE600" s="36"/>
      <c r="AF600" s="36">
        <f>IFERROR(VLOOKUP(AE600,'Chemical Cost'!A:D,4,0),0)</f>
        <v>0</v>
      </c>
      <c r="AG600" s="114">
        <f t="shared" si="187"/>
        <v>0</v>
      </c>
      <c r="AH600" s="36">
        <f t="shared" si="190"/>
        <v>0</v>
      </c>
      <c r="AI600" s="36">
        <f t="shared" si="179"/>
        <v>0.05</v>
      </c>
      <c r="AJ600" s="36">
        <f>IFERROR(VLOOKUP(A600,'All Products'!A:F,6,0),0)</f>
        <v>5.16</v>
      </c>
      <c r="AK600" s="36"/>
      <c r="AL600" s="23"/>
      <c r="AM600" s="23">
        <v>1</v>
      </c>
      <c r="AN600" s="54" t="e">
        <v>#N/A</v>
      </c>
      <c r="AO600" s="47"/>
      <c r="AP600" s="4">
        <v>1.6</v>
      </c>
      <c r="AQ600" s="111">
        <f t="shared" si="188"/>
        <v>0</v>
      </c>
      <c r="AR600">
        <f>_xlfn.XLOOKUP(F600,'RM Cost'!A:A,'RM Cost'!S:S)</f>
        <v>0</v>
      </c>
      <c r="AS600" t="str">
        <f>_xlfn.XLOOKUP(A600,[3]Sheet1!$B:$B,[3]Sheet1!$B:$B)</f>
        <v>Z132CS</v>
      </c>
      <c r="AT600" t="e">
        <f>_xlfn.XLOOKUP(H600,'Yield &amp; Time'!A:A,'Yield &amp; Time'!F:F)</f>
        <v>#N/A</v>
      </c>
    </row>
    <row r="601" spans="1:46" x14ac:dyDescent="0.25">
      <c r="A601" s="2" t="s">
        <v>293</v>
      </c>
      <c r="B601" s="2" t="s">
        <v>656</v>
      </c>
      <c r="C601" s="2" t="s">
        <v>765</v>
      </c>
      <c r="D601" s="2" t="s">
        <v>554</v>
      </c>
      <c r="E601" s="2">
        <v>1</v>
      </c>
      <c r="F601" s="1" t="str">
        <f>VLOOKUP(H601,'RM Used'!A:B,2,0)</f>
        <v>3584CS</v>
      </c>
      <c r="G601" s="1" t="str">
        <f>IFERROR(VLOOKUP(F601,'RM Cost'!A:B,2,0),"")</f>
        <v>RM - CHILLIES RED LONG DUTCH 3KG</v>
      </c>
      <c r="H601" s="2" t="s">
        <v>1507</v>
      </c>
      <c r="I601" s="1" t="str">
        <f>VLOOKUP(F601,'RM Used'!B:D,3,0)</f>
        <v>RM-FOOD</v>
      </c>
      <c r="J601" s="66">
        <v>1</v>
      </c>
      <c r="K601" s="35">
        <f t="shared" si="174"/>
        <v>1</v>
      </c>
      <c r="L601" s="35">
        <f t="shared" si="180"/>
        <v>1</v>
      </c>
      <c r="M601" s="77" cm="1">
        <f t="array" ref="M601">_xlfn.IFS(BOM!I601="RM-PACKING","100%",B601="Reynolds",VLOOKUP(H601,'Yield &amp; Time'!A:V,22,0),BOM!B601="Dnata",VLOOKUP(BOM!H601,'Yield &amp; Time'!A:M,13,0),B601="NK",VLOOKUP(H601,'Yield &amp; Time'!A:X,24,0))</f>
        <v>0.81246579091406679</v>
      </c>
      <c r="N601" s="35">
        <f t="shared" si="173"/>
        <v>1.230821052631579</v>
      </c>
      <c r="O601" s="1" t="str">
        <f>VLOOKUP(H601,'RM Used'!A:E,5,0)</f>
        <v>KG</v>
      </c>
      <c r="P601" s="11">
        <f>VLOOKUP(H601,'RM Used'!A:F,6,0)</f>
        <v>3.14</v>
      </c>
      <c r="Q601" s="11">
        <f t="shared" si="189"/>
        <v>3.8647781052631585</v>
      </c>
      <c r="R601" s="11">
        <f>IFERROR(IF(B601="Reynolds",VLOOKUP(H601,'Yield &amp; Time'!A:U,21,0),VLOOKUP(H601,'Yield &amp; Time'!A:L,12,0)),0)</f>
        <v>4.8666666666666663</v>
      </c>
      <c r="S601" s="11">
        <f t="shared" si="181"/>
        <v>1.6473666666666664</v>
      </c>
      <c r="T601" s="11">
        <f t="shared" si="182"/>
        <v>8.1111111111111106E-2</v>
      </c>
      <c r="U601" s="11">
        <f>IF(A600=A601,0,VLOOKUP(A601,'Packing Time'!A:F,6,0))</f>
        <v>0.64166666666666661</v>
      </c>
      <c r="V601" s="11">
        <f t="shared" si="175"/>
        <v>0.21720416666666661</v>
      </c>
      <c r="W601" s="11">
        <f t="shared" si="176"/>
        <v>1.0694444444444444E-2</v>
      </c>
      <c r="X601" s="11">
        <f t="shared" si="183"/>
        <v>2.9833133333333333</v>
      </c>
      <c r="Y601" s="11">
        <f t="shared" si="177"/>
        <v>2.9833133333333333</v>
      </c>
      <c r="Z601" s="37">
        <v>1</v>
      </c>
      <c r="AA601" s="36">
        <f t="shared" si="184"/>
        <v>1.230821052631579</v>
      </c>
      <c r="AB601" s="36">
        <f t="shared" si="185"/>
        <v>3.8647781052631585</v>
      </c>
      <c r="AC601" s="11">
        <f t="shared" si="186"/>
        <v>0.14688888888888887</v>
      </c>
      <c r="AD601" s="36">
        <f t="shared" si="178"/>
        <v>2.9833133333333328</v>
      </c>
      <c r="AE601" s="36" t="str">
        <f>VLOOKUP(H601,'Yield &amp; Time'!A:I,9,0)</f>
        <v>CHLORINE</v>
      </c>
      <c r="AF601" s="36">
        <f>IFERROR(VLOOKUP(AE601,'Chemical Cost'!A:D,4,0),0)</f>
        <v>2.7756518066439469E-2</v>
      </c>
      <c r="AG601" s="114">
        <f t="shared" si="187"/>
        <v>1.1387768927974155E-2</v>
      </c>
      <c r="AH601" s="36">
        <f t="shared" si="190"/>
        <v>1.1387768927974155E-2</v>
      </c>
      <c r="AI601" s="36">
        <f t="shared" si="179"/>
        <v>6.8594792075244655</v>
      </c>
      <c r="AJ601" s="36">
        <f>IFERROR(VLOOKUP(A601,'All Products'!A:F,6,0),0)</f>
        <v>18.52</v>
      </c>
      <c r="AK601" s="36">
        <f>AJ601*Z601*J601</f>
        <v>18.52</v>
      </c>
      <c r="AL601" s="23">
        <v>0.8</v>
      </c>
      <c r="AM601" s="23">
        <v>0.2</v>
      </c>
      <c r="AN601" s="54" t="e">
        <v>#N/A</v>
      </c>
      <c r="AO601" s="47"/>
      <c r="AP601" s="4">
        <v>1.6</v>
      </c>
      <c r="AQ601" s="111">
        <f t="shared" si="188"/>
        <v>0.14688888888888887</v>
      </c>
      <c r="AR601">
        <f>_xlfn.XLOOKUP(F601,'RM Cost'!A:A,'RM Cost'!S:S)</f>
        <v>0</v>
      </c>
      <c r="AS601" t="str">
        <f>_xlfn.XLOOKUP(A601,[3]Sheet1!$B:$B,[3]Sheet1!$B:$B)</f>
        <v>Z129CS</v>
      </c>
      <c r="AT601">
        <f>_xlfn.XLOOKUP(H601,'Yield &amp; Time'!A:A,'Yield &amp; Time'!F:F)</f>
        <v>0</v>
      </c>
    </row>
    <row r="602" spans="1:46" x14ac:dyDescent="0.25">
      <c r="A602" s="2" t="s">
        <v>293</v>
      </c>
      <c r="B602" s="2" t="s">
        <v>656</v>
      </c>
      <c r="C602" s="2" t="s">
        <v>765</v>
      </c>
      <c r="D602" s="2" t="s">
        <v>554</v>
      </c>
      <c r="E602" s="2">
        <v>1</v>
      </c>
      <c r="F602" s="1" t="str">
        <f>VLOOKUP(H602,'RM Used'!A:B,2,0)</f>
        <v>P0008</v>
      </c>
      <c r="G602" s="1" t="str">
        <f>IFERROR(VLOOKUP(F602,'RM Cost'!A:B,2,0),"")</f>
        <v>PALE BLUE BAG 470X750MM</v>
      </c>
      <c r="H602" s="2" t="s">
        <v>1323</v>
      </c>
      <c r="I602" s="1" t="str">
        <f>VLOOKUP(F602,'RM Used'!B:D,3,0)</f>
        <v>RM-PACKING</v>
      </c>
      <c r="J602" s="66">
        <v>1</v>
      </c>
      <c r="K602" s="35" t="str">
        <f t="shared" si="174"/>
        <v/>
      </c>
      <c r="L602" s="35">
        <f t="shared" si="180"/>
        <v>0</v>
      </c>
      <c r="M602" s="77" t="str" cm="1">
        <f t="array" ref="M602">_xlfn.IFS(BOM!I602="RM-PACKING","100%",B602="Reynolds",VLOOKUP(H602,'Yield &amp; Time'!A:V,22,0),BOM!B602="Dnata",VLOOKUP(BOM!H602,'Yield &amp; Time'!A:M,13,0),B602="NK",VLOOKUP(H602,'Yield &amp; Time'!A:X,24,0))</f>
        <v>100%</v>
      </c>
      <c r="N602" s="35">
        <f t="shared" si="173"/>
        <v>1</v>
      </c>
      <c r="O602" s="1" t="str">
        <f>VLOOKUP(H602,'RM Used'!A:E,5,0)</f>
        <v>Count</v>
      </c>
      <c r="P602" s="11">
        <f>VLOOKUP(H602,'RM Used'!A:F,6,0)</f>
        <v>0.14000000000000001</v>
      </c>
      <c r="Q602" s="11">
        <f t="shared" si="189"/>
        <v>0.14000000000000001</v>
      </c>
      <c r="R602" s="11">
        <f>IFERROR(IF(B602="Reynolds",VLOOKUP(H602,'Yield &amp; Time'!A:U,21,0),VLOOKUP(H602,'Yield &amp; Time'!A:L,12,0)),0)</f>
        <v>0</v>
      </c>
      <c r="S602" s="11">
        <f t="shared" si="181"/>
        <v>0</v>
      </c>
      <c r="T602" s="11">
        <f t="shared" si="182"/>
        <v>0</v>
      </c>
      <c r="U602" s="11">
        <f>IF(A601=A602,0,VLOOKUP(A602,'Packing Time'!A:F,6,0))</f>
        <v>0</v>
      </c>
      <c r="V602" s="11">
        <f t="shared" si="175"/>
        <v>0</v>
      </c>
      <c r="W602" s="11">
        <f t="shared" si="176"/>
        <v>0</v>
      </c>
      <c r="X602" s="11">
        <f t="shared" si="183"/>
        <v>0</v>
      </c>
      <c r="Y602" s="11">
        <f t="shared" si="177"/>
        <v>0</v>
      </c>
      <c r="Z602" s="37">
        <v>1</v>
      </c>
      <c r="AA602" s="36">
        <f t="shared" si="184"/>
        <v>1</v>
      </c>
      <c r="AB602" s="36">
        <f t="shared" si="185"/>
        <v>0.14000000000000001</v>
      </c>
      <c r="AC602" s="11">
        <f t="shared" si="186"/>
        <v>0</v>
      </c>
      <c r="AD602" s="36">
        <f t="shared" si="178"/>
        <v>0</v>
      </c>
      <c r="AE602" s="36"/>
      <c r="AF602" s="36">
        <f>IFERROR(VLOOKUP(AE602,'Chemical Cost'!A:D,4,0),0)</f>
        <v>0</v>
      </c>
      <c r="AG602" s="114">
        <f t="shared" si="187"/>
        <v>0</v>
      </c>
      <c r="AH602" s="36">
        <f t="shared" si="190"/>
        <v>0</v>
      </c>
      <c r="AI602" s="36">
        <f t="shared" si="179"/>
        <v>0.14000000000000001</v>
      </c>
      <c r="AJ602" s="36">
        <f>IFERROR(VLOOKUP(A602,'All Products'!A:F,6,0),0)</f>
        <v>18.52</v>
      </c>
      <c r="AK602" s="36"/>
      <c r="AL602" s="23">
        <v>0.8</v>
      </c>
      <c r="AM602" s="23">
        <v>0.2</v>
      </c>
      <c r="AN602" s="54" t="e">
        <v>#N/A</v>
      </c>
      <c r="AO602" s="47"/>
      <c r="AP602" s="4">
        <v>1.6</v>
      </c>
      <c r="AQ602" s="111">
        <f t="shared" si="188"/>
        <v>0</v>
      </c>
      <c r="AR602">
        <f>_xlfn.XLOOKUP(F602,'RM Cost'!A:A,'RM Cost'!S:S)</f>
        <v>0</v>
      </c>
      <c r="AS602" t="str">
        <f>_xlfn.XLOOKUP(A602,[3]Sheet1!$B:$B,[3]Sheet1!$B:$B)</f>
        <v>Z129CS</v>
      </c>
      <c r="AT602" t="e">
        <f>_xlfn.XLOOKUP(H602,'Yield &amp; Time'!A:A,'Yield &amp; Time'!F:F)</f>
        <v>#N/A</v>
      </c>
    </row>
    <row r="603" spans="1:46" x14ac:dyDescent="0.25">
      <c r="A603" s="2" t="s">
        <v>538</v>
      </c>
      <c r="B603" s="2" t="s">
        <v>656</v>
      </c>
      <c r="C603" s="2" t="s">
        <v>766</v>
      </c>
      <c r="D603" s="2" t="s">
        <v>554</v>
      </c>
      <c r="E603" s="2">
        <v>2.5</v>
      </c>
      <c r="F603" s="1" t="str">
        <f>VLOOKUP(H603,'RM Used'!A:B,2,0)</f>
        <v>3584CS</v>
      </c>
      <c r="G603" s="1" t="str">
        <f>IFERROR(VLOOKUP(F603,'RM Cost'!A:B,2,0),"")</f>
        <v>RM - CHILLIES RED LONG DUTCH 3KG</v>
      </c>
      <c r="H603" s="2" t="s">
        <v>1507</v>
      </c>
      <c r="I603" s="1" t="str">
        <f>VLOOKUP(F603,'RM Used'!B:D,3,0)</f>
        <v>RM-FOOD</v>
      </c>
      <c r="J603" s="66">
        <v>1</v>
      </c>
      <c r="K603" s="35">
        <f t="shared" si="174"/>
        <v>2.5</v>
      </c>
      <c r="L603" s="35">
        <f t="shared" si="180"/>
        <v>2.5</v>
      </c>
      <c r="M603" s="77" cm="1">
        <f t="array" ref="M603">_xlfn.IFS(BOM!I603="RM-PACKING","100%",B603="Reynolds",VLOOKUP(H603,'Yield &amp; Time'!A:V,22,0),BOM!B603="Dnata",VLOOKUP(BOM!H603,'Yield &amp; Time'!A:M,13,0),B603="NK",VLOOKUP(H603,'Yield &amp; Time'!A:X,24,0))</f>
        <v>0.81246579091406679</v>
      </c>
      <c r="N603" s="35">
        <f t="shared" si="173"/>
        <v>3.0770526315789475</v>
      </c>
      <c r="O603" s="1" t="str">
        <f>VLOOKUP(H603,'RM Used'!A:E,5,0)</f>
        <v>KG</v>
      </c>
      <c r="P603" s="11">
        <f>VLOOKUP(H603,'RM Used'!A:F,6,0)</f>
        <v>3.14</v>
      </c>
      <c r="Q603" s="11">
        <f t="shared" si="189"/>
        <v>9.6619452631578948</v>
      </c>
      <c r="R603" s="11">
        <f>IFERROR(IF(B603="Reynolds",VLOOKUP(H603,'Yield &amp; Time'!A:U,21,0),VLOOKUP(H603,'Yield &amp; Time'!A:L,12,0)),0)</f>
        <v>4.8666666666666663</v>
      </c>
      <c r="S603" s="11">
        <f t="shared" si="181"/>
        <v>4.1184166666666657</v>
      </c>
      <c r="T603" s="11">
        <f t="shared" si="182"/>
        <v>0.20277777777777778</v>
      </c>
      <c r="U603" s="11">
        <f>IF(A602=A603,0,VLOOKUP(A603,'Packing Time'!A:F,6,0))</f>
        <v>0.875</v>
      </c>
      <c r="V603" s="11">
        <f t="shared" si="175"/>
        <v>0.29618749999999999</v>
      </c>
      <c r="W603" s="11">
        <f t="shared" si="176"/>
        <v>1.4583333333333334E-2</v>
      </c>
      <c r="X603" s="11">
        <f t="shared" si="183"/>
        <v>7.0633666666666661</v>
      </c>
      <c r="Y603" s="11">
        <f t="shared" si="177"/>
        <v>7.0633666666666661</v>
      </c>
      <c r="Z603" s="37">
        <v>1</v>
      </c>
      <c r="AA603" s="36">
        <f t="shared" si="184"/>
        <v>3.0770526315789475</v>
      </c>
      <c r="AB603" s="36">
        <f t="shared" si="185"/>
        <v>9.6619452631578948</v>
      </c>
      <c r="AC603" s="11">
        <f t="shared" si="186"/>
        <v>0.34777777777777774</v>
      </c>
      <c r="AD603" s="36">
        <f t="shared" si="178"/>
        <v>7.0633666666666652</v>
      </c>
      <c r="AE603" s="36" t="str">
        <f>VLOOKUP(H603,'Yield &amp; Time'!A:I,9,0)</f>
        <v>CHLORINE</v>
      </c>
      <c r="AF603" s="36">
        <f>IFERROR(VLOOKUP(AE603,'Chemical Cost'!A:D,4,0),0)</f>
        <v>2.7756518066439469E-2</v>
      </c>
      <c r="AG603" s="114">
        <f t="shared" si="187"/>
        <v>2.8469422319935388E-2</v>
      </c>
      <c r="AH603" s="36">
        <f t="shared" si="190"/>
        <v>2.8469422319935388E-2</v>
      </c>
      <c r="AI603" s="36">
        <f t="shared" si="179"/>
        <v>16.753781352144497</v>
      </c>
      <c r="AJ603" s="36">
        <f>IFERROR(VLOOKUP(A603,'All Products'!A:F,6,0),0)</f>
        <v>46.3</v>
      </c>
      <c r="AK603" s="36">
        <f>AJ603*Z603*J603</f>
        <v>46.3</v>
      </c>
      <c r="AL603" s="23">
        <v>0.8</v>
      </c>
      <c r="AM603" s="23">
        <v>0.2</v>
      </c>
      <c r="AN603" s="54" t="e">
        <v>#N/A</v>
      </c>
      <c r="AO603" s="47"/>
      <c r="AP603" s="4">
        <v>1.6</v>
      </c>
      <c r="AQ603" s="111">
        <f t="shared" si="188"/>
        <v>0.34777777777777774</v>
      </c>
      <c r="AR603">
        <f>_xlfn.XLOOKUP(F603,'RM Cost'!A:A,'RM Cost'!S:S)</f>
        <v>0</v>
      </c>
      <c r="AS603" t="str">
        <f>_xlfn.XLOOKUP(A603,[3]Sheet1!$B:$B,[3]Sheet1!$B:$B)</f>
        <v>Z128CS</v>
      </c>
      <c r="AT603">
        <f>_xlfn.XLOOKUP(H603,'Yield &amp; Time'!A:A,'Yield &amp; Time'!F:F)</f>
        <v>0</v>
      </c>
    </row>
    <row r="604" spans="1:46" x14ac:dyDescent="0.25">
      <c r="A604" s="2" t="s">
        <v>538</v>
      </c>
      <c r="B604" s="2" t="s">
        <v>656</v>
      </c>
      <c r="C604" s="2" t="s">
        <v>766</v>
      </c>
      <c r="D604" s="2" t="s">
        <v>554</v>
      </c>
      <c r="E604" s="2">
        <v>2.5</v>
      </c>
      <c r="F604" s="1" t="str">
        <f>VLOOKUP(H604,'RM Used'!A:B,2,0)</f>
        <v>P0008</v>
      </c>
      <c r="G604" s="1" t="str">
        <f>IFERROR(VLOOKUP(F604,'RM Cost'!A:B,2,0),"")</f>
        <v>PALE BLUE BAG 470X750MM</v>
      </c>
      <c r="H604" s="2" t="s">
        <v>1323</v>
      </c>
      <c r="I604" s="1" t="str">
        <f>VLOOKUP(F604,'RM Used'!B:D,3,0)</f>
        <v>RM-PACKING</v>
      </c>
      <c r="J604" s="66">
        <v>1</v>
      </c>
      <c r="K604" s="35" t="str">
        <f t="shared" si="174"/>
        <v/>
      </c>
      <c r="L604" s="35">
        <f t="shared" si="180"/>
        <v>0</v>
      </c>
      <c r="M604" s="77" t="str" cm="1">
        <f t="array" ref="M604">_xlfn.IFS(BOM!I604="RM-PACKING","100%",B604="Reynolds",VLOOKUP(H604,'Yield &amp; Time'!A:V,22,0),BOM!B604="Dnata",VLOOKUP(BOM!H604,'Yield &amp; Time'!A:M,13,0),B604="NK",VLOOKUP(H604,'Yield &amp; Time'!A:X,24,0))</f>
        <v>100%</v>
      </c>
      <c r="N604" s="35">
        <f t="shared" si="173"/>
        <v>1</v>
      </c>
      <c r="O604" s="1" t="str">
        <f>VLOOKUP(H604,'RM Used'!A:E,5,0)</f>
        <v>Count</v>
      </c>
      <c r="P604" s="11">
        <f>VLOOKUP(H604,'RM Used'!A:F,6,0)</f>
        <v>0.14000000000000001</v>
      </c>
      <c r="Q604" s="11">
        <f t="shared" si="189"/>
        <v>0.14000000000000001</v>
      </c>
      <c r="R604" s="11">
        <f>IFERROR(IF(B604="Reynolds",VLOOKUP(H604,'Yield &amp; Time'!A:U,21,0),VLOOKUP(H604,'Yield &amp; Time'!A:L,12,0)),0)</f>
        <v>0</v>
      </c>
      <c r="S604" s="11">
        <f t="shared" si="181"/>
        <v>0</v>
      </c>
      <c r="T604" s="11">
        <f t="shared" si="182"/>
        <v>0</v>
      </c>
      <c r="U604" s="11">
        <f>IF(A603=A604,0,VLOOKUP(A604,'Packing Time'!A:F,6,0))</f>
        <v>0</v>
      </c>
      <c r="V604" s="11">
        <f t="shared" si="175"/>
        <v>0</v>
      </c>
      <c r="W604" s="11">
        <f t="shared" si="176"/>
        <v>0</v>
      </c>
      <c r="X604" s="11">
        <f t="shared" si="183"/>
        <v>0</v>
      </c>
      <c r="Y604" s="11">
        <f t="shared" si="177"/>
        <v>0</v>
      </c>
      <c r="Z604" s="37">
        <v>1</v>
      </c>
      <c r="AA604" s="36">
        <f t="shared" si="184"/>
        <v>1</v>
      </c>
      <c r="AB604" s="36">
        <f t="shared" si="185"/>
        <v>0.14000000000000001</v>
      </c>
      <c r="AC604" s="11">
        <f t="shared" si="186"/>
        <v>0</v>
      </c>
      <c r="AD604" s="36">
        <f t="shared" si="178"/>
        <v>0</v>
      </c>
      <c r="AE604" s="36"/>
      <c r="AF604" s="36">
        <f>IFERROR(VLOOKUP(AE604,'Chemical Cost'!A:D,4,0),0)</f>
        <v>0</v>
      </c>
      <c r="AG604" s="114">
        <f t="shared" si="187"/>
        <v>0</v>
      </c>
      <c r="AH604" s="36">
        <f t="shared" si="190"/>
        <v>0</v>
      </c>
      <c r="AI604" s="36">
        <f t="shared" si="179"/>
        <v>0.14000000000000001</v>
      </c>
      <c r="AJ604" s="36">
        <f>IFERROR(VLOOKUP(A604,'All Products'!A:F,6,0),0)</f>
        <v>46.3</v>
      </c>
      <c r="AK604" s="36"/>
      <c r="AL604" s="23">
        <v>0.8</v>
      </c>
      <c r="AM604" s="23">
        <v>0.2</v>
      </c>
      <c r="AN604" s="54" t="e">
        <v>#N/A</v>
      </c>
      <c r="AO604" s="47"/>
      <c r="AP604" s="4">
        <v>1.6</v>
      </c>
      <c r="AQ604" s="111">
        <f t="shared" si="188"/>
        <v>0</v>
      </c>
      <c r="AR604">
        <f>_xlfn.XLOOKUP(F604,'RM Cost'!A:A,'RM Cost'!S:S)</f>
        <v>0</v>
      </c>
      <c r="AS604" t="str">
        <f>_xlfn.XLOOKUP(A604,[3]Sheet1!$B:$B,[3]Sheet1!$B:$B)</f>
        <v>Z128CS</v>
      </c>
      <c r="AT604" t="e">
        <f>_xlfn.XLOOKUP(H604,'Yield &amp; Time'!A:A,'Yield &amp; Time'!F:F)</f>
        <v>#N/A</v>
      </c>
    </row>
    <row r="605" spans="1:46" x14ac:dyDescent="0.25">
      <c r="A605" s="2" t="s">
        <v>484</v>
      </c>
      <c r="B605" s="2" t="s">
        <v>656</v>
      </c>
      <c r="C605" s="2" t="s">
        <v>485</v>
      </c>
      <c r="D605" s="2" t="s">
        <v>554</v>
      </c>
      <c r="E605" s="2">
        <v>1</v>
      </c>
      <c r="F605" s="1" t="str">
        <f>VLOOKUP(H605,'RM Used'!A:B,2,0)</f>
        <v>3582CS</v>
      </c>
      <c r="G605" s="1" t="str">
        <f>IFERROR(VLOOKUP(F605,'RM Cost'!A:B,2,0),"")</f>
        <v>RM - CHILLI GREEN LONG DUTCH 3KG</v>
      </c>
      <c r="H605" s="2" t="s">
        <v>1508</v>
      </c>
      <c r="I605" s="1" t="str">
        <f>VLOOKUP(F605,'RM Used'!B:D,3,0)</f>
        <v>RM-FOOD</v>
      </c>
      <c r="J605" s="66">
        <v>1</v>
      </c>
      <c r="K605" s="35">
        <f t="shared" si="174"/>
        <v>1</v>
      </c>
      <c r="L605" s="35">
        <f t="shared" si="180"/>
        <v>1</v>
      </c>
      <c r="M605" s="77" cm="1">
        <f t="array" ref="M605">_xlfn.IFS(BOM!I605="RM-PACKING","100%",B605="Reynolds",VLOOKUP(H605,'Yield &amp; Time'!A:V,22,0),BOM!B605="Dnata",VLOOKUP(BOM!H605,'Yield &amp; Time'!A:M,13,0),B605="NK",VLOOKUP(H605,'Yield &amp; Time'!A:X,24,0))</f>
        <v>0.35</v>
      </c>
      <c r="N605" s="35">
        <f t="shared" si="173"/>
        <v>2.8571428571428572</v>
      </c>
      <c r="O605" s="1" t="str">
        <f>VLOOKUP(H605,'RM Used'!A:E,5,0)</f>
        <v>KG</v>
      </c>
      <c r="P605" s="11">
        <f>VLOOKUP(H605,'RM Used'!A:F,6,0)</f>
        <v>2.84</v>
      </c>
      <c r="Q605" s="11">
        <f t="shared" si="189"/>
        <v>8.1142857142857139</v>
      </c>
      <c r="R605" s="11">
        <f>IFERROR(IF(B605="Reynolds",VLOOKUP(H605,'Yield &amp; Time'!A:U,21,0),VLOOKUP(H605,'Yield &amp; Time'!A:L,12,0)),0)</f>
        <v>18.6875</v>
      </c>
      <c r="S605" s="11">
        <f t="shared" si="181"/>
        <v>6.3257187499999992</v>
      </c>
      <c r="T605" s="11">
        <f t="shared" si="182"/>
        <v>0.31145833333333334</v>
      </c>
      <c r="U605" s="11">
        <f>IF(A604=A605,0,VLOOKUP(A605,'Packing Time'!A:F,6,0))</f>
        <v>0.64166666666666661</v>
      </c>
      <c r="V605" s="11">
        <f t="shared" si="175"/>
        <v>0.21720416666666661</v>
      </c>
      <c r="W605" s="11">
        <f t="shared" si="176"/>
        <v>1.0694444444444444E-2</v>
      </c>
      <c r="X605" s="11">
        <f t="shared" si="183"/>
        <v>10.468676666666667</v>
      </c>
      <c r="Y605" s="11">
        <f t="shared" si="177"/>
        <v>10.468676666666667</v>
      </c>
      <c r="Z605" s="37">
        <v>1</v>
      </c>
      <c r="AA605" s="36">
        <f t="shared" si="184"/>
        <v>2.8571428571428572</v>
      </c>
      <c r="AB605" s="36">
        <f t="shared" si="185"/>
        <v>8.1142857142857139</v>
      </c>
      <c r="AC605" s="11">
        <f t="shared" si="186"/>
        <v>0.51544444444444448</v>
      </c>
      <c r="AD605" s="36">
        <f t="shared" si="178"/>
        <v>10.468676666666667</v>
      </c>
      <c r="AE605" s="36" t="str">
        <f>VLOOKUP(H605,'Yield &amp; Time'!A:I,9,0)</f>
        <v>CHLORINE</v>
      </c>
      <c r="AF605" s="36">
        <f>IFERROR(VLOOKUP(AE605,'Chemical Cost'!A:D,4,0),0)</f>
        <v>2.7756518066439469E-2</v>
      </c>
      <c r="AG605" s="114">
        <f t="shared" si="187"/>
        <v>2.6434779110894733E-2</v>
      </c>
      <c r="AH605" s="36">
        <f t="shared" si="190"/>
        <v>2.6434779110894733E-2</v>
      </c>
      <c r="AI605" s="36">
        <f t="shared" si="179"/>
        <v>18.609397160063274</v>
      </c>
      <c r="AJ605" s="36">
        <f>IFERROR(VLOOKUP(A605,'All Products'!A:F,6,0),0)</f>
        <v>20.5</v>
      </c>
      <c r="AK605" s="36">
        <f>AJ605*Z605*J605</f>
        <v>20.5</v>
      </c>
      <c r="AL605" s="23">
        <v>0</v>
      </c>
      <c r="AM605" s="23">
        <v>1</v>
      </c>
      <c r="AN605" s="54" t="e">
        <v>#N/A</v>
      </c>
      <c r="AO605" s="47"/>
      <c r="AP605" s="4">
        <v>1.6</v>
      </c>
      <c r="AQ605" s="111">
        <f t="shared" si="188"/>
        <v>0.51544444444444448</v>
      </c>
      <c r="AR605">
        <f>_xlfn.XLOOKUP(F605,'RM Cost'!A:A,'RM Cost'!S:S)</f>
        <v>0</v>
      </c>
      <c r="AS605" t="str">
        <f>_xlfn.XLOOKUP(A605,[3]Sheet1!$B:$B,[3]Sheet1!$B:$B)</f>
        <v>Z134CS</v>
      </c>
      <c r="AT605">
        <f>_xlfn.XLOOKUP(H605,'Yield &amp; Time'!A:A,'Yield &amp; Time'!F:F)</f>
        <v>0</v>
      </c>
    </row>
    <row r="606" spans="1:46" x14ac:dyDescent="0.25">
      <c r="A606" s="2" t="s">
        <v>484</v>
      </c>
      <c r="B606" s="2" t="s">
        <v>656</v>
      </c>
      <c r="C606" s="2" t="s">
        <v>485</v>
      </c>
      <c r="D606" s="2" t="s">
        <v>554</v>
      </c>
      <c r="E606" s="2">
        <v>1</v>
      </c>
      <c r="F606" s="1" t="str">
        <f>VLOOKUP(H606,'RM Used'!A:B,2,0)</f>
        <v>P0008</v>
      </c>
      <c r="G606" s="1" t="str">
        <f>IFERROR(VLOOKUP(F606,'RM Cost'!A:B,2,0),"")</f>
        <v>PALE BLUE BAG 470X750MM</v>
      </c>
      <c r="H606" s="2" t="s">
        <v>1323</v>
      </c>
      <c r="I606" s="1" t="str">
        <f>VLOOKUP(F606,'RM Used'!B:D,3,0)</f>
        <v>RM-PACKING</v>
      </c>
      <c r="J606" s="66">
        <v>1</v>
      </c>
      <c r="K606" s="35" t="str">
        <f t="shared" si="174"/>
        <v/>
      </c>
      <c r="L606" s="35">
        <f t="shared" si="180"/>
        <v>0</v>
      </c>
      <c r="M606" s="77" t="str" cm="1">
        <f t="array" ref="M606">_xlfn.IFS(BOM!I606="RM-PACKING","100%",B606="Reynolds",VLOOKUP(H606,'Yield &amp; Time'!A:V,22,0),BOM!B606="Dnata",VLOOKUP(BOM!H606,'Yield &amp; Time'!A:M,13,0),B606="NK",VLOOKUP(H606,'Yield &amp; Time'!A:X,24,0))</f>
        <v>100%</v>
      </c>
      <c r="N606" s="35">
        <f t="shared" si="173"/>
        <v>1</v>
      </c>
      <c r="O606" s="1" t="str">
        <f>VLOOKUP(H606,'RM Used'!A:E,5,0)</f>
        <v>Count</v>
      </c>
      <c r="P606" s="11">
        <f>VLOOKUP(H606,'RM Used'!A:F,6,0)</f>
        <v>0.14000000000000001</v>
      </c>
      <c r="Q606" s="11">
        <f t="shared" si="189"/>
        <v>0.14000000000000001</v>
      </c>
      <c r="R606" s="11">
        <f>IFERROR(IF(B606="Reynolds",VLOOKUP(H606,'Yield &amp; Time'!A:U,21,0),VLOOKUP(H606,'Yield &amp; Time'!A:L,12,0)),0)</f>
        <v>0</v>
      </c>
      <c r="S606" s="11">
        <f t="shared" si="181"/>
        <v>0</v>
      </c>
      <c r="T606" s="11">
        <f t="shared" si="182"/>
        <v>0</v>
      </c>
      <c r="U606" s="11">
        <f>IF(A605=A606,0,VLOOKUP(A606,'Packing Time'!A:F,6,0))</f>
        <v>0</v>
      </c>
      <c r="V606" s="11">
        <f t="shared" si="175"/>
        <v>0</v>
      </c>
      <c r="W606" s="11">
        <f t="shared" si="176"/>
        <v>0</v>
      </c>
      <c r="X606" s="11">
        <f t="shared" si="183"/>
        <v>0</v>
      </c>
      <c r="Y606" s="11">
        <f t="shared" si="177"/>
        <v>0</v>
      </c>
      <c r="Z606" s="37">
        <v>1</v>
      </c>
      <c r="AA606" s="36">
        <f t="shared" si="184"/>
        <v>1</v>
      </c>
      <c r="AB606" s="36">
        <f t="shared" si="185"/>
        <v>0.14000000000000001</v>
      </c>
      <c r="AC606" s="11">
        <f t="shared" si="186"/>
        <v>0</v>
      </c>
      <c r="AD606" s="36">
        <f t="shared" si="178"/>
        <v>0</v>
      </c>
      <c r="AE606" s="36"/>
      <c r="AF606" s="36">
        <f>IFERROR(VLOOKUP(AE606,'Chemical Cost'!A:D,4,0),0)</f>
        <v>0</v>
      </c>
      <c r="AG606" s="114">
        <f t="shared" si="187"/>
        <v>0</v>
      </c>
      <c r="AH606" s="36">
        <f t="shared" si="190"/>
        <v>0</v>
      </c>
      <c r="AI606" s="36">
        <f t="shared" si="179"/>
        <v>0.14000000000000001</v>
      </c>
      <c r="AJ606" s="36">
        <f>IFERROR(VLOOKUP(A606,'All Products'!A:F,6,0),0)</f>
        <v>20.5</v>
      </c>
      <c r="AK606" s="36"/>
      <c r="AL606" s="23">
        <v>0</v>
      </c>
      <c r="AM606" s="23">
        <v>1</v>
      </c>
      <c r="AN606" s="54" t="e">
        <v>#N/A</v>
      </c>
      <c r="AO606" s="47"/>
      <c r="AP606" s="4">
        <v>1.6</v>
      </c>
      <c r="AQ606" s="111">
        <f t="shared" si="188"/>
        <v>0</v>
      </c>
      <c r="AR606">
        <f>_xlfn.XLOOKUP(F606,'RM Cost'!A:A,'RM Cost'!S:S)</f>
        <v>0</v>
      </c>
      <c r="AS606" t="str">
        <f>_xlfn.XLOOKUP(A606,[3]Sheet1!$B:$B,[3]Sheet1!$B:$B)</f>
        <v>Z134CS</v>
      </c>
      <c r="AT606" t="e">
        <f>_xlfn.XLOOKUP(H606,'Yield &amp; Time'!A:A,'Yield &amp; Time'!F:F)</f>
        <v>#N/A</v>
      </c>
    </row>
    <row r="607" spans="1:46" x14ac:dyDescent="0.25">
      <c r="A607" s="2" t="s">
        <v>295</v>
      </c>
      <c r="B607" s="2" t="s">
        <v>656</v>
      </c>
      <c r="C607" s="2" t="s">
        <v>767</v>
      </c>
      <c r="D607" s="2" t="s">
        <v>554</v>
      </c>
      <c r="E607" s="2">
        <v>0.25</v>
      </c>
      <c r="F607" s="1" t="str">
        <f>VLOOKUP(H607,'RM Used'!A:B,2,0)</f>
        <v>3582CS</v>
      </c>
      <c r="G607" s="1" t="str">
        <f>IFERROR(VLOOKUP(F607,'RM Cost'!A:B,2,0),"")</f>
        <v>RM - CHILLI GREEN LONG DUTCH 3KG</v>
      </c>
      <c r="H607" s="2" t="s">
        <v>1508</v>
      </c>
      <c r="I607" s="1" t="str">
        <f>VLOOKUP(F607,'RM Used'!B:D,3,0)</f>
        <v>RM-FOOD</v>
      </c>
      <c r="J607" s="66">
        <v>1</v>
      </c>
      <c r="K607" s="35">
        <f t="shared" si="174"/>
        <v>0.25</v>
      </c>
      <c r="L607" s="35">
        <f t="shared" si="180"/>
        <v>0.25</v>
      </c>
      <c r="M607" s="77" cm="1">
        <f t="array" ref="M607">_xlfn.IFS(BOM!I607="RM-PACKING","100%",B607="Reynolds",VLOOKUP(H607,'Yield &amp; Time'!A:V,22,0),BOM!B607="Dnata",VLOOKUP(BOM!H607,'Yield &amp; Time'!A:M,13,0),B607="NK",VLOOKUP(H607,'Yield &amp; Time'!A:X,24,0))</f>
        <v>0.35</v>
      </c>
      <c r="N607" s="35">
        <f t="shared" ref="N607:N670" si="191">IFERROR(IF(I607="RM-FOOD",(E607*J607)/M607,1),0)</f>
        <v>0.7142857142857143</v>
      </c>
      <c r="O607" s="1" t="str">
        <f>VLOOKUP(H607,'RM Used'!A:E,5,0)</f>
        <v>KG</v>
      </c>
      <c r="P607" s="11">
        <f>VLOOKUP(H607,'RM Used'!A:F,6,0)</f>
        <v>2.84</v>
      </c>
      <c r="Q607" s="11">
        <f t="shared" si="189"/>
        <v>2.0285714285714285</v>
      </c>
      <c r="R607" s="11">
        <f>IFERROR(IF(B607="Reynolds",VLOOKUP(H607,'Yield &amp; Time'!A:U,21,0),VLOOKUP(H607,'Yield &amp; Time'!A:L,12,0)),0)</f>
        <v>18.6875</v>
      </c>
      <c r="S607" s="11">
        <f t="shared" si="181"/>
        <v>1.5814296874999998</v>
      </c>
      <c r="T607" s="11">
        <f t="shared" si="182"/>
        <v>7.7864583333333334E-2</v>
      </c>
      <c r="U607" s="11">
        <f>IF(A606=A607,0,VLOOKUP(A607,'Packing Time'!A:F,6,0))</f>
        <v>0.47499999999999998</v>
      </c>
      <c r="V607" s="11">
        <f t="shared" si="175"/>
        <v>0.16078749999999997</v>
      </c>
      <c r="W607" s="11">
        <f t="shared" si="176"/>
        <v>7.9166666666666656E-3</v>
      </c>
      <c r="X607" s="11">
        <f t="shared" si="183"/>
        <v>2.7875474999999996</v>
      </c>
      <c r="Y607" s="11">
        <f t="shared" si="177"/>
        <v>2.7875474999999996</v>
      </c>
      <c r="Z607" s="37">
        <v>1</v>
      </c>
      <c r="AA607" s="36">
        <f t="shared" si="184"/>
        <v>0.7142857142857143</v>
      </c>
      <c r="AB607" s="36">
        <f t="shared" si="185"/>
        <v>2.0285714285714285</v>
      </c>
      <c r="AC607" s="11">
        <f t="shared" si="186"/>
        <v>0.13724999999999998</v>
      </c>
      <c r="AD607" s="36">
        <f t="shared" si="178"/>
        <v>2.7875474999999996</v>
      </c>
      <c r="AE607" s="36" t="str">
        <f>VLOOKUP(H607,'Yield &amp; Time'!A:I,9,0)</f>
        <v>CHLORINE</v>
      </c>
      <c r="AF607" s="36">
        <f>IFERROR(VLOOKUP(AE607,'Chemical Cost'!A:D,4,0),0)</f>
        <v>2.7756518066439469E-2</v>
      </c>
      <c r="AG607" s="114">
        <f t="shared" si="187"/>
        <v>6.6086947777236832E-3</v>
      </c>
      <c r="AH607" s="36">
        <f t="shared" si="190"/>
        <v>6.6086947777236832E-3</v>
      </c>
      <c r="AI607" s="36">
        <f t="shared" si="179"/>
        <v>4.8227276233491514</v>
      </c>
      <c r="AJ607" s="36">
        <f>IFERROR(VLOOKUP(A607,'All Products'!A:F,6,0),0)</f>
        <v>5.13</v>
      </c>
      <c r="AK607" s="36">
        <f>AJ607*Z607*J607</f>
        <v>5.13</v>
      </c>
      <c r="AL607" s="23">
        <v>0</v>
      </c>
      <c r="AM607" s="23">
        <v>1</v>
      </c>
      <c r="AN607" s="54" t="e">
        <v>#N/A</v>
      </c>
      <c r="AO607" s="47"/>
      <c r="AP607" s="4">
        <v>1.6</v>
      </c>
      <c r="AQ607" s="111">
        <f t="shared" si="188"/>
        <v>0.13724999999999998</v>
      </c>
      <c r="AR607">
        <f>_xlfn.XLOOKUP(F607,'RM Cost'!A:A,'RM Cost'!S:S)</f>
        <v>0</v>
      </c>
      <c r="AS607" t="str">
        <f>_xlfn.XLOOKUP(A607,[3]Sheet1!$B:$B,[3]Sheet1!$B:$B)</f>
        <v>Z135CS</v>
      </c>
      <c r="AT607">
        <f>_xlfn.XLOOKUP(H607,'Yield &amp; Time'!A:A,'Yield &amp; Time'!F:F)</f>
        <v>0</v>
      </c>
    </row>
    <row r="608" spans="1:46" x14ac:dyDescent="0.25">
      <c r="A608" s="2" t="s">
        <v>295</v>
      </c>
      <c r="B608" s="2" t="s">
        <v>656</v>
      </c>
      <c r="C608" s="2" t="s">
        <v>767</v>
      </c>
      <c r="D608" s="2" t="s">
        <v>554</v>
      </c>
      <c r="E608" s="2">
        <v>0.25</v>
      </c>
      <c r="F608" s="1" t="str">
        <f>VLOOKUP(H608,'RM Used'!A:B,2,0)</f>
        <v>P0017</v>
      </c>
      <c r="G608" s="1" t="str">
        <f>IFERROR(VLOOKUP(F608,'RM Cost'!A:B,2,0),"")</f>
        <v>PALE BLUE BAG 250X300MM</v>
      </c>
      <c r="H608" s="2" t="s">
        <v>1334</v>
      </c>
      <c r="I608" s="1" t="str">
        <f>VLOOKUP(F608,'RM Used'!B:D,3,0)</f>
        <v>RM-PACKING</v>
      </c>
      <c r="J608" s="66">
        <v>1</v>
      </c>
      <c r="K608" s="35" t="str">
        <f t="shared" si="174"/>
        <v/>
      </c>
      <c r="L608" s="35">
        <f t="shared" si="180"/>
        <v>0</v>
      </c>
      <c r="M608" s="77" t="str" cm="1">
        <f t="array" ref="M608">_xlfn.IFS(BOM!I608="RM-PACKING","100%",B608="Reynolds",VLOOKUP(H608,'Yield &amp; Time'!A:V,22,0),BOM!B608="Dnata",VLOOKUP(BOM!H608,'Yield &amp; Time'!A:M,13,0),B608="NK",VLOOKUP(H608,'Yield &amp; Time'!A:X,24,0))</f>
        <v>100%</v>
      </c>
      <c r="N608" s="35">
        <f t="shared" si="191"/>
        <v>1</v>
      </c>
      <c r="O608" s="1" t="str">
        <f>VLOOKUP(H608,'RM Used'!A:E,5,0)</f>
        <v>Count</v>
      </c>
      <c r="P608" s="11">
        <f>VLOOKUP(H608,'RM Used'!A:F,6,0)</f>
        <v>0.05</v>
      </c>
      <c r="Q608" s="11">
        <f t="shared" si="189"/>
        <v>0.05</v>
      </c>
      <c r="R608" s="11">
        <f>IFERROR(IF(B608="Reynolds",VLOOKUP(H608,'Yield &amp; Time'!A:U,21,0),VLOOKUP(H608,'Yield &amp; Time'!A:L,12,0)),0)</f>
        <v>0</v>
      </c>
      <c r="S608" s="11">
        <f t="shared" si="181"/>
        <v>0</v>
      </c>
      <c r="T608" s="11">
        <f t="shared" si="182"/>
        <v>0</v>
      </c>
      <c r="U608" s="11">
        <f>IF(A607=A608,0,VLOOKUP(A608,'Packing Time'!A:F,6,0))</f>
        <v>0</v>
      </c>
      <c r="V608" s="11">
        <f t="shared" si="175"/>
        <v>0</v>
      </c>
      <c r="W608" s="11">
        <f t="shared" si="176"/>
        <v>0</v>
      </c>
      <c r="X608" s="11">
        <f t="shared" si="183"/>
        <v>0</v>
      </c>
      <c r="Y608" s="11">
        <f t="shared" si="177"/>
        <v>0</v>
      </c>
      <c r="Z608" s="37">
        <v>1</v>
      </c>
      <c r="AA608" s="36">
        <f t="shared" si="184"/>
        <v>1</v>
      </c>
      <c r="AB608" s="36">
        <f t="shared" si="185"/>
        <v>0.05</v>
      </c>
      <c r="AC608" s="11">
        <f t="shared" si="186"/>
        <v>0</v>
      </c>
      <c r="AD608" s="36">
        <f t="shared" si="178"/>
        <v>0</v>
      </c>
      <c r="AE608" s="36"/>
      <c r="AF608" s="36">
        <f>IFERROR(VLOOKUP(AE608,'Chemical Cost'!A:D,4,0),0)</f>
        <v>0</v>
      </c>
      <c r="AG608" s="114">
        <f t="shared" si="187"/>
        <v>0</v>
      </c>
      <c r="AH608" s="36">
        <f t="shared" si="190"/>
        <v>0</v>
      </c>
      <c r="AI608" s="36">
        <f t="shared" si="179"/>
        <v>0.05</v>
      </c>
      <c r="AJ608" s="36">
        <f>IFERROR(VLOOKUP(A608,'All Products'!A:F,6,0),0)</f>
        <v>5.13</v>
      </c>
      <c r="AK608" s="36"/>
      <c r="AL608" s="23">
        <v>0</v>
      </c>
      <c r="AM608" s="23">
        <v>1</v>
      </c>
      <c r="AN608" s="54" t="e">
        <v>#N/A</v>
      </c>
      <c r="AO608" s="47"/>
      <c r="AP608" s="4">
        <v>1.6</v>
      </c>
      <c r="AQ608" s="111">
        <f t="shared" si="188"/>
        <v>0</v>
      </c>
      <c r="AR608">
        <f>_xlfn.XLOOKUP(F608,'RM Cost'!A:A,'RM Cost'!S:S)</f>
        <v>0</v>
      </c>
      <c r="AS608" t="str">
        <f>_xlfn.XLOOKUP(A608,[3]Sheet1!$B:$B,[3]Sheet1!$B:$B)</f>
        <v>Z135CS</v>
      </c>
      <c r="AT608" t="e">
        <f>_xlfn.XLOOKUP(H608,'Yield &amp; Time'!A:A,'Yield &amp; Time'!F:F)</f>
        <v>#N/A</v>
      </c>
    </row>
    <row r="609" spans="1:46" x14ac:dyDescent="0.25">
      <c r="A609" s="2" t="s">
        <v>759</v>
      </c>
      <c r="B609" s="2" t="s">
        <v>656</v>
      </c>
      <c r="C609" s="2" t="s">
        <v>760</v>
      </c>
      <c r="D609" s="2" t="s">
        <v>554</v>
      </c>
      <c r="E609" s="2">
        <v>2.5</v>
      </c>
      <c r="F609" s="1" t="str">
        <f>VLOOKUP(H609,'RM Used'!A:B,2,0)</f>
        <v>3582CS</v>
      </c>
      <c r="G609" s="1" t="str">
        <f>IFERROR(VLOOKUP(F609,'RM Cost'!A:B,2,0),"")</f>
        <v>RM - CHILLI GREEN LONG DUTCH 3KG</v>
      </c>
      <c r="H609" s="2" t="s">
        <v>1508</v>
      </c>
      <c r="I609" s="1" t="str">
        <f>VLOOKUP(F609,'RM Used'!B:D,3,0)</f>
        <v>RM-FOOD</v>
      </c>
      <c r="J609" s="66">
        <v>1</v>
      </c>
      <c r="K609" s="35">
        <f t="shared" ref="K609:K672" si="192">IF(I609="RM-FOOD",J609*E609,"")</f>
        <v>2.5</v>
      </c>
      <c r="L609" s="35">
        <f t="shared" si="180"/>
        <v>2.5</v>
      </c>
      <c r="M609" s="77" cm="1">
        <f t="array" ref="M609">_xlfn.IFS(BOM!I609="RM-PACKING","100%",B609="Reynolds",VLOOKUP(H609,'Yield &amp; Time'!A:V,22,0),BOM!B609="Dnata",VLOOKUP(BOM!H609,'Yield &amp; Time'!A:M,13,0),B609="NK",VLOOKUP(H609,'Yield &amp; Time'!A:X,24,0))</f>
        <v>0.35</v>
      </c>
      <c r="N609" s="35">
        <f t="shared" si="191"/>
        <v>7.1428571428571432</v>
      </c>
      <c r="O609" s="1" t="str">
        <f>VLOOKUP(H609,'RM Used'!A:E,5,0)</f>
        <v>KG</v>
      </c>
      <c r="P609" s="11">
        <f>VLOOKUP(H609,'RM Used'!A:F,6,0)</f>
        <v>2.84</v>
      </c>
      <c r="Q609" s="11">
        <f t="shared" si="189"/>
        <v>20.285714285714285</v>
      </c>
      <c r="R609" s="11">
        <f>IFERROR(IF(B609="Reynolds",VLOOKUP(H609,'Yield &amp; Time'!A:U,21,0),VLOOKUP(H609,'Yield &amp; Time'!A:L,12,0)),0)</f>
        <v>18.6875</v>
      </c>
      <c r="S609" s="11">
        <f t="shared" si="181"/>
        <v>15.814296874999998</v>
      </c>
      <c r="T609" s="11">
        <f t="shared" si="182"/>
        <v>0.77864583333333337</v>
      </c>
      <c r="U609" s="11">
        <f>IF(A608=A609,0,VLOOKUP(A609,'Packing Time'!A:F,6,0))</f>
        <v>0.875</v>
      </c>
      <c r="V609" s="11">
        <f t="shared" si="175"/>
        <v>0.29618749999999999</v>
      </c>
      <c r="W609" s="11">
        <f t="shared" si="176"/>
        <v>1.4583333333333334E-2</v>
      </c>
      <c r="X609" s="11">
        <f t="shared" si="183"/>
        <v>25.776775000000001</v>
      </c>
      <c r="Y609" s="11">
        <f t="shared" si="177"/>
        <v>25.776775000000001</v>
      </c>
      <c r="Z609" s="37">
        <v>1</v>
      </c>
      <c r="AA609" s="36">
        <f t="shared" si="184"/>
        <v>7.1428571428571432</v>
      </c>
      <c r="AB609" s="36">
        <f t="shared" si="185"/>
        <v>20.285714285714285</v>
      </c>
      <c r="AC609" s="11">
        <f t="shared" si="186"/>
        <v>1.2691666666666668</v>
      </c>
      <c r="AD609" s="36">
        <f t="shared" si="178"/>
        <v>25.776775000000001</v>
      </c>
      <c r="AE609" s="36" t="str">
        <f>VLOOKUP(H609,'Yield &amp; Time'!A:I,9,0)</f>
        <v>CHLORINE</v>
      </c>
      <c r="AF609" s="36">
        <f>IFERROR(VLOOKUP(AE609,'Chemical Cost'!A:D,4,0),0)</f>
        <v>2.7756518066439469E-2</v>
      </c>
      <c r="AG609" s="114">
        <f t="shared" si="187"/>
        <v>6.6086947777236837E-2</v>
      </c>
      <c r="AH609" s="36">
        <f t="shared" si="190"/>
        <v>6.6086947777236837E-2</v>
      </c>
      <c r="AI609" s="36">
        <f t="shared" si="179"/>
        <v>46.128576233491522</v>
      </c>
      <c r="AJ609" s="36">
        <f>IFERROR(VLOOKUP(A609,'All Products'!A:F,6,0),0)</f>
        <v>51.27</v>
      </c>
      <c r="AK609" s="36">
        <f>AJ609*Z609*J609</f>
        <v>51.27</v>
      </c>
      <c r="AL609" s="23">
        <v>0</v>
      </c>
      <c r="AM609" s="23">
        <v>1</v>
      </c>
      <c r="AN609" s="54" t="e">
        <v>#N/A</v>
      </c>
      <c r="AO609" s="47"/>
      <c r="AP609" s="4">
        <v>1.6</v>
      </c>
      <c r="AQ609" s="111">
        <f t="shared" si="188"/>
        <v>1.2691666666666668</v>
      </c>
      <c r="AR609">
        <f>_xlfn.XLOOKUP(F609,'RM Cost'!A:A,'RM Cost'!S:S)</f>
        <v>0</v>
      </c>
      <c r="AS609" t="str">
        <f>_xlfn.XLOOKUP(A609,[3]Sheet1!$B:$B,[3]Sheet1!$B:$B)</f>
        <v>Z133CS</v>
      </c>
      <c r="AT609">
        <f>_xlfn.XLOOKUP(H609,'Yield &amp; Time'!A:A,'Yield &amp; Time'!F:F)</f>
        <v>0</v>
      </c>
    </row>
    <row r="610" spans="1:46" x14ac:dyDescent="0.25">
      <c r="A610" s="2" t="s">
        <v>759</v>
      </c>
      <c r="B610" s="2" t="s">
        <v>656</v>
      </c>
      <c r="C610" s="2" t="s">
        <v>760</v>
      </c>
      <c r="D610" s="2" t="s">
        <v>554</v>
      </c>
      <c r="E610" s="2">
        <v>2.5</v>
      </c>
      <c r="F610" s="1" t="str">
        <f>VLOOKUP(H610,'RM Used'!A:B,2,0)</f>
        <v>P0008</v>
      </c>
      <c r="G610" s="1" t="str">
        <f>IFERROR(VLOOKUP(F610,'RM Cost'!A:B,2,0),"")</f>
        <v>PALE BLUE BAG 470X750MM</v>
      </c>
      <c r="H610" s="2" t="s">
        <v>1323</v>
      </c>
      <c r="I610" s="1" t="str">
        <f>VLOOKUP(F610,'RM Used'!B:D,3,0)</f>
        <v>RM-PACKING</v>
      </c>
      <c r="J610" s="66">
        <v>1</v>
      </c>
      <c r="K610" s="35" t="str">
        <f t="shared" si="192"/>
        <v/>
      </c>
      <c r="L610" s="35">
        <f t="shared" si="180"/>
        <v>0</v>
      </c>
      <c r="M610" s="77" t="str" cm="1">
        <f t="array" ref="M610">_xlfn.IFS(BOM!I610="RM-PACKING","100%",B610="Reynolds",VLOOKUP(H610,'Yield &amp; Time'!A:V,22,0),BOM!B610="Dnata",VLOOKUP(BOM!H610,'Yield &amp; Time'!A:M,13,0),B610="NK",VLOOKUP(H610,'Yield &amp; Time'!A:X,24,0))</f>
        <v>100%</v>
      </c>
      <c r="N610" s="35">
        <f t="shared" si="191"/>
        <v>1</v>
      </c>
      <c r="O610" s="1" t="str">
        <f>VLOOKUP(H610,'RM Used'!A:E,5,0)</f>
        <v>Count</v>
      </c>
      <c r="P610" s="11">
        <f>VLOOKUP(H610,'RM Used'!A:F,6,0)</f>
        <v>0.14000000000000001</v>
      </c>
      <c r="Q610" s="11">
        <f t="shared" si="189"/>
        <v>0.14000000000000001</v>
      </c>
      <c r="R610" s="11">
        <f>IFERROR(IF(B610="Reynolds",VLOOKUP(H610,'Yield &amp; Time'!A:U,21,0),VLOOKUP(H610,'Yield &amp; Time'!A:L,12,0)),0)</f>
        <v>0</v>
      </c>
      <c r="S610" s="11">
        <f t="shared" si="181"/>
        <v>0</v>
      </c>
      <c r="T610" s="11">
        <f t="shared" si="182"/>
        <v>0</v>
      </c>
      <c r="U610" s="11">
        <f>IF(A609=A610,0,VLOOKUP(A610,'Packing Time'!A:F,6,0))</f>
        <v>0</v>
      </c>
      <c r="V610" s="11">
        <f t="shared" ref="V610:V673" si="193">U610*AO$1</f>
        <v>0</v>
      </c>
      <c r="W610" s="11">
        <f t="shared" ref="W610:W673" si="194">(U610*Z610)/60</f>
        <v>0</v>
      </c>
      <c r="X610" s="11">
        <f t="shared" si="183"/>
        <v>0</v>
      </c>
      <c r="Y610" s="11">
        <f t="shared" ref="Y610:Y673" si="195">X610*Z610</f>
        <v>0</v>
      </c>
      <c r="Z610" s="37">
        <v>1</v>
      </c>
      <c r="AA610" s="36">
        <f t="shared" si="184"/>
        <v>1</v>
      </c>
      <c r="AB610" s="36">
        <f t="shared" si="185"/>
        <v>0.14000000000000001</v>
      </c>
      <c r="AC610" s="11">
        <f t="shared" si="186"/>
        <v>0</v>
      </c>
      <c r="AD610" s="36">
        <f t="shared" ref="AD610:AD673" si="196">AC610*60*AO$1</f>
        <v>0</v>
      </c>
      <c r="AE610" s="36"/>
      <c r="AF610" s="36">
        <f>IFERROR(VLOOKUP(AE610,'Chemical Cost'!A:D,4,0),0)</f>
        <v>0</v>
      </c>
      <c r="AG610" s="114">
        <f t="shared" si="187"/>
        <v>0</v>
      </c>
      <c r="AH610" s="36">
        <f t="shared" si="190"/>
        <v>0</v>
      </c>
      <c r="AI610" s="36">
        <f t="shared" ref="AI610:AI673" si="197">IFERROR((Q610*Z610)+(Z610*X610)+AH610,0)</f>
        <v>0.14000000000000001</v>
      </c>
      <c r="AJ610" s="36">
        <f>IFERROR(VLOOKUP(A610,'All Products'!A:F,6,0),0)</f>
        <v>51.27</v>
      </c>
      <c r="AK610" s="36"/>
      <c r="AL610" s="23">
        <v>0</v>
      </c>
      <c r="AM610" s="23">
        <v>1</v>
      </c>
      <c r="AN610" s="54" t="e">
        <v>#N/A</v>
      </c>
      <c r="AO610" s="47"/>
      <c r="AP610" s="4">
        <v>1.6</v>
      </c>
      <c r="AQ610" s="111">
        <f t="shared" si="188"/>
        <v>0</v>
      </c>
      <c r="AR610">
        <f>_xlfn.XLOOKUP(F610,'RM Cost'!A:A,'RM Cost'!S:S)</f>
        <v>0</v>
      </c>
      <c r="AS610" t="str">
        <f>_xlfn.XLOOKUP(A610,[3]Sheet1!$B:$B,[3]Sheet1!$B:$B)</f>
        <v>Z133CS</v>
      </c>
      <c r="AT610" t="e">
        <f>_xlfn.XLOOKUP(H610,'Yield &amp; Time'!A:A,'Yield &amp; Time'!F:F)</f>
        <v>#N/A</v>
      </c>
    </row>
    <row r="611" spans="1:46" x14ac:dyDescent="0.25">
      <c r="A611" s="2" t="s">
        <v>481</v>
      </c>
      <c r="B611" s="2" t="s">
        <v>656</v>
      </c>
      <c r="C611" s="2" t="s">
        <v>482</v>
      </c>
      <c r="D611" s="2" t="s">
        <v>554</v>
      </c>
      <c r="E611" s="2">
        <v>1</v>
      </c>
      <c r="F611" s="1" t="str">
        <f>VLOOKUP(H611,'RM Used'!A:B,2,0)</f>
        <v>0930CS</v>
      </c>
      <c r="G611" s="1" t="str">
        <f>IFERROR(VLOOKUP(F611,'RM Cost'!A:B,2,0),"")</f>
        <v>RM - COURGETTE STANDARD</v>
      </c>
      <c r="H611" s="2" t="s">
        <v>1509</v>
      </c>
      <c r="I611" s="1" t="str">
        <f>VLOOKUP(F611,'RM Used'!B:D,3,0)</f>
        <v>RM-FOOD</v>
      </c>
      <c r="J611" s="66">
        <v>1</v>
      </c>
      <c r="K611" s="35">
        <f t="shared" si="192"/>
        <v>1</v>
      </c>
      <c r="L611" s="35">
        <f t="shared" si="180"/>
        <v>1</v>
      </c>
      <c r="M611" s="77" cm="1">
        <f t="array" ref="M611">_xlfn.IFS(BOM!I611="RM-PACKING","100%",B611="Reynolds",VLOOKUP(H611,'Yield &amp; Time'!A:V,22,0),BOM!B611="Dnata",VLOOKUP(BOM!H611,'Yield &amp; Time'!A:M,13,0),B611="NK",VLOOKUP(H611,'Yield &amp; Time'!A:X,24,0))</f>
        <v>0.67500000000000004</v>
      </c>
      <c r="N611" s="35">
        <f t="shared" si="191"/>
        <v>1.4814814814814814</v>
      </c>
      <c r="O611" s="1" t="str">
        <f>VLOOKUP(H611,'RM Used'!A:E,5,0)</f>
        <v>KG</v>
      </c>
      <c r="P611" s="11">
        <f>VLOOKUP(H611,'RM Used'!A:F,6,0)</f>
        <v>1.1000000000000001</v>
      </c>
      <c r="Q611" s="11">
        <f t="shared" si="189"/>
        <v>1.6296296296296298</v>
      </c>
      <c r="R611" s="11">
        <f>IFERROR(IF(B611="Reynolds",VLOOKUP(H611,'Yield &amp; Time'!A:U,21,0),VLOOKUP(H611,'Yield &amp; Time'!A:L,12,0)),0)</f>
        <v>1.0758377425044092</v>
      </c>
      <c r="S611" s="11">
        <f t="shared" si="181"/>
        <v>0.3641710758377425</v>
      </c>
      <c r="T611" s="11">
        <f t="shared" si="182"/>
        <v>1.7930629041740153E-2</v>
      </c>
      <c r="U611" s="11">
        <f>IF(A610=A611,0,VLOOKUP(A611,'Packing Time'!A:F,6,0))</f>
        <v>0.64166666666666661</v>
      </c>
      <c r="V611" s="11">
        <f t="shared" si="193"/>
        <v>0.21720416666666661</v>
      </c>
      <c r="W611" s="11">
        <f t="shared" si="194"/>
        <v>1.0694444444444444E-2</v>
      </c>
      <c r="X611" s="11">
        <f t="shared" si="183"/>
        <v>0.93020038800705462</v>
      </c>
      <c r="Y611" s="11">
        <f t="shared" si="195"/>
        <v>0.93020038800705462</v>
      </c>
      <c r="Z611" s="37">
        <v>1</v>
      </c>
      <c r="AA611" s="36">
        <f t="shared" si="184"/>
        <v>1.4814814814814814</v>
      </c>
      <c r="AB611" s="36">
        <f t="shared" si="185"/>
        <v>1.6296296296296298</v>
      </c>
      <c r="AC611" s="11">
        <f t="shared" si="186"/>
        <v>4.5800117577895358E-2</v>
      </c>
      <c r="AD611" s="36">
        <f t="shared" si="196"/>
        <v>0.93020038800705462</v>
      </c>
      <c r="AE611" s="36"/>
      <c r="AF611" s="36">
        <f>IFERROR(VLOOKUP(AE611,'Chemical Cost'!A:D,4,0),0)</f>
        <v>0</v>
      </c>
      <c r="AG611" s="114">
        <f t="shared" si="187"/>
        <v>0</v>
      </c>
      <c r="AH611" s="36">
        <f t="shared" si="190"/>
        <v>0</v>
      </c>
      <c r="AI611" s="36">
        <f t="shared" si="197"/>
        <v>2.5598300176366844</v>
      </c>
      <c r="AJ611" s="36">
        <f>IFERROR(VLOOKUP(A611,'All Products'!A:F,6,0),0)</f>
        <v>3.15</v>
      </c>
      <c r="AK611" s="36">
        <f>AJ611*Z611*J611</f>
        <v>3.15</v>
      </c>
      <c r="AL611" s="23">
        <v>1</v>
      </c>
      <c r="AM611" s="23"/>
      <c r="AN611" s="54" t="e">
        <v>#N/A</v>
      </c>
      <c r="AO611" s="47"/>
      <c r="AP611" s="4">
        <v>1.6</v>
      </c>
      <c r="AQ611" s="111">
        <f t="shared" si="188"/>
        <v>4.5800117577895358E-2</v>
      </c>
      <c r="AR611">
        <f>_xlfn.XLOOKUP(F611,'RM Cost'!A:A,'RM Cost'!S:S)</f>
        <v>1.1644775886170367</v>
      </c>
      <c r="AS611" t="str">
        <f>_xlfn.XLOOKUP(A611,[3]Sheet1!$B:$B,[3]Sheet1!$B:$B)</f>
        <v>Z119CS</v>
      </c>
      <c r="AT611">
        <f>_xlfn.XLOOKUP(H611,'Yield &amp; Time'!A:A,'Yield &amp; Time'!F:F)</f>
        <v>0</v>
      </c>
    </row>
    <row r="612" spans="1:46" x14ac:dyDescent="0.25">
      <c r="A612" s="2" t="s">
        <v>481</v>
      </c>
      <c r="B612" s="2" t="s">
        <v>656</v>
      </c>
      <c r="C612" s="2" t="s">
        <v>482</v>
      </c>
      <c r="D612" s="2" t="s">
        <v>554</v>
      </c>
      <c r="E612" s="2">
        <v>1</v>
      </c>
      <c r="F612" s="1" t="str">
        <f>VLOOKUP(H612,'RM Used'!A:B,2,0)</f>
        <v>P0008</v>
      </c>
      <c r="G612" s="1" t="str">
        <f>IFERROR(VLOOKUP(F612,'RM Cost'!A:B,2,0),"")</f>
        <v>PALE BLUE BAG 470X750MM</v>
      </c>
      <c r="H612" s="2" t="s">
        <v>1323</v>
      </c>
      <c r="I612" s="1" t="str">
        <f>VLOOKUP(F612,'RM Used'!B:D,3,0)</f>
        <v>RM-PACKING</v>
      </c>
      <c r="J612" s="66">
        <v>1</v>
      </c>
      <c r="K612" s="35" t="str">
        <f t="shared" si="192"/>
        <v/>
      </c>
      <c r="L612" s="35">
        <f t="shared" si="180"/>
        <v>0</v>
      </c>
      <c r="M612" s="77" t="str" cm="1">
        <f t="array" ref="M612">_xlfn.IFS(BOM!I612="RM-PACKING","100%",B612="Reynolds",VLOOKUP(H612,'Yield &amp; Time'!A:V,22,0),BOM!B612="Dnata",VLOOKUP(BOM!H612,'Yield &amp; Time'!A:M,13,0),B612="NK",VLOOKUP(H612,'Yield &amp; Time'!A:X,24,0))</f>
        <v>100%</v>
      </c>
      <c r="N612" s="35">
        <f t="shared" si="191"/>
        <v>1</v>
      </c>
      <c r="O612" s="1" t="str">
        <f>VLOOKUP(H612,'RM Used'!A:E,5,0)</f>
        <v>Count</v>
      </c>
      <c r="P612" s="11">
        <f>VLOOKUP(H612,'RM Used'!A:F,6,0)</f>
        <v>0.14000000000000001</v>
      </c>
      <c r="Q612" s="11">
        <f t="shared" si="189"/>
        <v>0.14000000000000001</v>
      </c>
      <c r="R612" s="11">
        <f>IFERROR(IF(B612="Reynolds",VLOOKUP(H612,'Yield &amp; Time'!A:U,21,0),VLOOKUP(H612,'Yield &amp; Time'!A:L,12,0)),0)</f>
        <v>0</v>
      </c>
      <c r="S612" s="11">
        <f t="shared" si="181"/>
        <v>0</v>
      </c>
      <c r="T612" s="11">
        <f t="shared" si="182"/>
        <v>0</v>
      </c>
      <c r="U612" s="11">
        <f>IF(A611=A612,0,VLOOKUP(A612,'Packing Time'!A:F,6,0))</f>
        <v>0</v>
      </c>
      <c r="V612" s="11">
        <f t="shared" si="193"/>
        <v>0</v>
      </c>
      <c r="W612" s="11">
        <f t="shared" si="194"/>
        <v>0</v>
      </c>
      <c r="X612" s="11">
        <f t="shared" si="183"/>
        <v>0</v>
      </c>
      <c r="Y612" s="11">
        <f t="shared" si="195"/>
        <v>0</v>
      </c>
      <c r="Z612" s="37">
        <v>1</v>
      </c>
      <c r="AA612" s="36">
        <f t="shared" si="184"/>
        <v>1</v>
      </c>
      <c r="AB612" s="36">
        <f t="shared" si="185"/>
        <v>0.14000000000000001</v>
      </c>
      <c r="AC612" s="11">
        <f t="shared" si="186"/>
        <v>0</v>
      </c>
      <c r="AD612" s="36">
        <f t="shared" si="196"/>
        <v>0</v>
      </c>
      <c r="AE612" s="36"/>
      <c r="AF612" s="36">
        <f>IFERROR(VLOOKUP(AE612,'Chemical Cost'!A:D,4,0),0)</f>
        <v>0</v>
      </c>
      <c r="AG612" s="114">
        <f t="shared" si="187"/>
        <v>0</v>
      </c>
      <c r="AH612" s="36">
        <f t="shared" si="190"/>
        <v>0</v>
      </c>
      <c r="AI612" s="36">
        <f t="shared" si="197"/>
        <v>0.14000000000000001</v>
      </c>
      <c r="AJ612" s="36">
        <f>IFERROR(VLOOKUP(A612,'All Products'!A:F,6,0),0)</f>
        <v>3.15</v>
      </c>
      <c r="AK612" s="36"/>
      <c r="AL612" s="23">
        <v>1</v>
      </c>
      <c r="AM612" s="23"/>
      <c r="AN612" s="54" t="e">
        <v>#N/A</v>
      </c>
      <c r="AO612" s="47"/>
      <c r="AP612" s="4">
        <v>1.6</v>
      </c>
      <c r="AQ612" s="111">
        <f t="shared" si="188"/>
        <v>0</v>
      </c>
      <c r="AR612">
        <f>_xlfn.XLOOKUP(F612,'RM Cost'!A:A,'RM Cost'!S:S)</f>
        <v>0</v>
      </c>
      <c r="AS612" t="str">
        <f>_xlfn.XLOOKUP(A612,[3]Sheet1!$B:$B,[3]Sheet1!$B:$B)</f>
        <v>Z119CS</v>
      </c>
      <c r="AT612" t="e">
        <f>_xlfn.XLOOKUP(H612,'Yield &amp; Time'!A:A,'Yield &amp; Time'!F:F)</f>
        <v>#N/A</v>
      </c>
    </row>
    <row r="613" spans="1:46" x14ac:dyDescent="0.25">
      <c r="A613" s="2" t="s">
        <v>287</v>
      </c>
      <c r="B613" s="2" t="s">
        <v>656</v>
      </c>
      <c r="C613" s="2" t="s">
        <v>288</v>
      </c>
      <c r="D613" s="2" t="s">
        <v>554</v>
      </c>
      <c r="E613" s="2">
        <v>2.5</v>
      </c>
      <c r="F613" s="1" t="str">
        <f>VLOOKUP(H613,'RM Used'!A:B,2,0)</f>
        <v>0930CS</v>
      </c>
      <c r="G613" s="1" t="str">
        <f>IFERROR(VLOOKUP(F613,'RM Cost'!A:B,2,0),"")</f>
        <v>RM - COURGETTE STANDARD</v>
      </c>
      <c r="H613" s="2" t="s">
        <v>1509</v>
      </c>
      <c r="I613" s="1" t="str">
        <f>VLOOKUP(F613,'RM Used'!B:D,3,0)</f>
        <v>RM-FOOD</v>
      </c>
      <c r="J613" s="66">
        <v>1</v>
      </c>
      <c r="K613" s="35">
        <f t="shared" si="192"/>
        <v>2.5</v>
      </c>
      <c r="L613" s="35">
        <f t="shared" si="180"/>
        <v>2.5</v>
      </c>
      <c r="M613" s="77" cm="1">
        <f t="array" ref="M613">_xlfn.IFS(BOM!I613="RM-PACKING","100%",B613="Reynolds",VLOOKUP(H613,'Yield &amp; Time'!A:V,22,0),BOM!B613="Dnata",VLOOKUP(BOM!H613,'Yield &amp; Time'!A:M,13,0),B613="NK",VLOOKUP(H613,'Yield &amp; Time'!A:X,24,0))</f>
        <v>0.67500000000000004</v>
      </c>
      <c r="N613" s="35">
        <f t="shared" si="191"/>
        <v>3.7037037037037033</v>
      </c>
      <c r="O613" s="1" t="str">
        <f>VLOOKUP(H613,'RM Used'!A:E,5,0)</f>
        <v>KG</v>
      </c>
      <c r="P613" s="11">
        <f>VLOOKUP(H613,'RM Used'!A:F,6,0)</f>
        <v>1.1000000000000001</v>
      </c>
      <c r="Q613" s="11">
        <f t="shared" si="189"/>
        <v>4.0740740740740735</v>
      </c>
      <c r="R613" s="11">
        <f>IFERROR(IF(B613="Reynolds",VLOOKUP(H613,'Yield &amp; Time'!A:U,21,0),VLOOKUP(H613,'Yield &amp; Time'!A:L,12,0)),0)</f>
        <v>1.0758377425044092</v>
      </c>
      <c r="S613" s="11">
        <f t="shared" si="181"/>
        <v>0.91042768959435616</v>
      </c>
      <c r="T613" s="11">
        <f t="shared" si="182"/>
        <v>4.4826572604350384E-2</v>
      </c>
      <c r="U613" s="11">
        <f>IF(A612=A613,0,VLOOKUP(A613,'Packing Time'!A:F,6,0))</f>
        <v>0.875</v>
      </c>
      <c r="V613" s="11">
        <f t="shared" si="193"/>
        <v>0.29618749999999999</v>
      </c>
      <c r="W613" s="11">
        <f t="shared" si="194"/>
        <v>1.4583333333333334E-2</v>
      </c>
      <c r="X613" s="11">
        <f t="shared" si="183"/>
        <v>1.93058430335097</v>
      </c>
      <c r="Y613" s="11">
        <f t="shared" si="195"/>
        <v>1.93058430335097</v>
      </c>
      <c r="Z613" s="37">
        <v>1</v>
      </c>
      <c r="AA613" s="36">
        <f t="shared" si="184"/>
        <v>3.7037037037037033</v>
      </c>
      <c r="AB613" s="36">
        <f t="shared" si="185"/>
        <v>4.0740740740740735</v>
      </c>
      <c r="AC613" s="11">
        <f t="shared" si="186"/>
        <v>9.5055849500293943E-2</v>
      </c>
      <c r="AD613" s="36">
        <f t="shared" si="196"/>
        <v>1.9305843033509698</v>
      </c>
      <c r="AE613" s="36"/>
      <c r="AF613" s="36">
        <f>IFERROR(VLOOKUP(AE613,'Chemical Cost'!A:D,4,0),0)</f>
        <v>0</v>
      </c>
      <c r="AG613" s="114">
        <f t="shared" si="187"/>
        <v>0</v>
      </c>
      <c r="AH613" s="36">
        <f t="shared" si="190"/>
        <v>0</v>
      </c>
      <c r="AI613" s="36">
        <f t="shared" si="197"/>
        <v>6.0046583774250433</v>
      </c>
      <c r="AJ613" s="36">
        <f>IFERROR(VLOOKUP(A613,'All Products'!A:F,6,0),0)</f>
        <v>7.88</v>
      </c>
      <c r="AK613" s="36">
        <f>AJ613*Z613*J613</f>
        <v>7.88</v>
      </c>
      <c r="AL613" s="23">
        <v>1</v>
      </c>
      <c r="AM613" s="23"/>
      <c r="AN613" s="54" t="e">
        <v>#N/A</v>
      </c>
      <c r="AO613" s="47"/>
      <c r="AP613" s="4">
        <v>1.6</v>
      </c>
      <c r="AQ613" s="111">
        <f t="shared" si="188"/>
        <v>9.5055849500293943E-2</v>
      </c>
      <c r="AR613">
        <f>_xlfn.XLOOKUP(F613,'RM Cost'!A:A,'RM Cost'!S:S)</f>
        <v>1.1644775886170367</v>
      </c>
      <c r="AS613" t="str">
        <f>_xlfn.XLOOKUP(A613,[3]Sheet1!$B:$B,[3]Sheet1!$B:$B)</f>
        <v>Z118CS</v>
      </c>
      <c r="AT613">
        <f>_xlfn.XLOOKUP(H613,'Yield &amp; Time'!A:A,'Yield &amp; Time'!F:F)</f>
        <v>0</v>
      </c>
    </row>
    <row r="614" spans="1:46" x14ac:dyDescent="0.25">
      <c r="A614" s="2" t="s">
        <v>287</v>
      </c>
      <c r="B614" s="2" t="s">
        <v>656</v>
      </c>
      <c r="C614" s="2" t="s">
        <v>288</v>
      </c>
      <c r="D614" s="2" t="s">
        <v>554</v>
      </c>
      <c r="E614" s="2">
        <v>2.5</v>
      </c>
      <c r="F614" s="1" t="str">
        <f>VLOOKUP(H614,'RM Used'!A:B,2,0)</f>
        <v>P0008</v>
      </c>
      <c r="G614" s="1" t="str">
        <f>IFERROR(VLOOKUP(F614,'RM Cost'!A:B,2,0),"")</f>
        <v>PALE BLUE BAG 470X750MM</v>
      </c>
      <c r="H614" s="2" t="s">
        <v>1323</v>
      </c>
      <c r="I614" s="1" t="str">
        <f>VLOOKUP(F614,'RM Used'!B:D,3,0)</f>
        <v>RM-PACKING</v>
      </c>
      <c r="J614" s="66">
        <v>1</v>
      </c>
      <c r="K614" s="35" t="str">
        <f t="shared" si="192"/>
        <v/>
      </c>
      <c r="L614" s="35">
        <f t="shared" si="180"/>
        <v>0</v>
      </c>
      <c r="M614" s="77" t="str" cm="1">
        <f t="array" ref="M614">_xlfn.IFS(BOM!I614="RM-PACKING","100%",B614="Reynolds",VLOOKUP(H614,'Yield &amp; Time'!A:V,22,0),BOM!B614="Dnata",VLOOKUP(BOM!H614,'Yield &amp; Time'!A:M,13,0),B614="NK",VLOOKUP(H614,'Yield &amp; Time'!A:X,24,0))</f>
        <v>100%</v>
      </c>
      <c r="N614" s="35">
        <f t="shared" si="191"/>
        <v>1</v>
      </c>
      <c r="O614" s="1" t="str">
        <f>VLOOKUP(H614,'RM Used'!A:E,5,0)</f>
        <v>Count</v>
      </c>
      <c r="P614" s="11">
        <f>VLOOKUP(H614,'RM Used'!A:F,6,0)</f>
        <v>0.14000000000000001</v>
      </c>
      <c r="Q614" s="11">
        <f t="shared" si="189"/>
        <v>0.14000000000000001</v>
      </c>
      <c r="R614" s="11">
        <f>IFERROR(IF(B614="Reynolds",VLOOKUP(H614,'Yield &amp; Time'!A:U,21,0),VLOOKUP(H614,'Yield &amp; Time'!A:L,12,0)),0)</f>
        <v>0</v>
      </c>
      <c r="S614" s="11">
        <f t="shared" si="181"/>
        <v>0</v>
      </c>
      <c r="T614" s="11">
        <f t="shared" si="182"/>
        <v>0</v>
      </c>
      <c r="U614" s="11">
        <f>IF(A613=A614,0,VLOOKUP(A614,'Packing Time'!A:F,6,0))</f>
        <v>0</v>
      </c>
      <c r="V614" s="11">
        <f t="shared" si="193"/>
        <v>0</v>
      </c>
      <c r="W614" s="11">
        <f t="shared" si="194"/>
        <v>0</v>
      </c>
      <c r="X614" s="11">
        <f t="shared" si="183"/>
        <v>0</v>
      </c>
      <c r="Y614" s="11">
        <f t="shared" si="195"/>
        <v>0</v>
      </c>
      <c r="Z614" s="37">
        <v>1</v>
      </c>
      <c r="AA614" s="36">
        <f t="shared" si="184"/>
        <v>1</v>
      </c>
      <c r="AB614" s="36">
        <f t="shared" si="185"/>
        <v>0.14000000000000001</v>
      </c>
      <c r="AC614" s="11">
        <f t="shared" si="186"/>
        <v>0</v>
      </c>
      <c r="AD614" s="36">
        <f t="shared" si="196"/>
        <v>0</v>
      </c>
      <c r="AE614" s="36"/>
      <c r="AF614" s="36">
        <f>IFERROR(VLOOKUP(AE614,'Chemical Cost'!A:D,4,0),0)</f>
        <v>0</v>
      </c>
      <c r="AG614" s="114">
        <f t="shared" si="187"/>
        <v>0</v>
      </c>
      <c r="AH614" s="36">
        <f t="shared" si="190"/>
        <v>0</v>
      </c>
      <c r="AI614" s="36">
        <f t="shared" si="197"/>
        <v>0.14000000000000001</v>
      </c>
      <c r="AJ614" s="36">
        <f>IFERROR(VLOOKUP(A614,'All Products'!A:F,6,0),0)</f>
        <v>7.88</v>
      </c>
      <c r="AK614" s="36"/>
      <c r="AL614" s="23">
        <v>1</v>
      </c>
      <c r="AM614" s="23"/>
      <c r="AN614" s="54" t="e">
        <v>#N/A</v>
      </c>
      <c r="AO614" s="47"/>
      <c r="AP614" s="4">
        <v>1.6</v>
      </c>
      <c r="AQ614" s="111">
        <f t="shared" si="188"/>
        <v>0</v>
      </c>
      <c r="AR614">
        <f>_xlfn.XLOOKUP(F614,'RM Cost'!A:A,'RM Cost'!S:S)</f>
        <v>0</v>
      </c>
      <c r="AS614" t="str">
        <f>_xlfn.XLOOKUP(A614,[3]Sheet1!$B:$B,[3]Sheet1!$B:$B)</f>
        <v>Z118CS</v>
      </c>
      <c r="AT614" t="e">
        <f>_xlfn.XLOOKUP(H614,'Yield &amp; Time'!A:A,'Yield &amp; Time'!F:F)</f>
        <v>#N/A</v>
      </c>
    </row>
    <row r="615" spans="1:46" x14ac:dyDescent="0.25">
      <c r="A615" s="2" t="s">
        <v>768</v>
      </c>
      <c r="B615" s="2" t="s">
        <v>656</v>
      </c>
      <c r="C615" s="2" t="s">
        <v>769</v>
      </c>
      <c r="D615" s="2" t="s">
        <v>554</v>
      </c>
      <c r="E615" s="2">
        <v>1</v>
      </c>
      <c r="F615" s="1" t="str">
        <f>VLOOKUP(H615,'RM Used'!A:B,2,0)</f>
        <v>0930CS</v>
      </c>
      <c r="G615" s="1" t="str">
        <f>IFERROR(VLOOKUP(F615,'RM Cost'!A:B,2,0),"")</f>
        <v>RM - COURGETTE STANDARD</v>
      </c>
      <c r="H615" s="2" t="s">
        <v>1509</v>
      </c>
      <c r="I615" s="1" t="str">
        <f>VLOOKUP(F615,'RM Used'!B:D,3,0)</f>
        <v>RM-FOOD</v>
      </c>
      <c r="J615" s="66">
        <v>1</v>
      </c>
      <c r="K615" s="35">
        <f t="shared" si="192"/>
        <v>1</v>
      </c>
      <c r="L615" s="35">
        <f t="shared" si="180"/>
        <v>1</v>
      </c>
      <c r="M615" s="77" cm="1">
        <f t="array" ref="M615">_xlfn.IFS(BOM!I615="RM-PACKING","100%",B615="Reynolds",VLOOKUP(H615,'Yield &amp; Time'!A:V,22,0),BOM!B615="Dnata",VLOOKUP(BOM!H615,'Yield &amp; Time'!A:M,13,0),B615="NK",VLOOKUP(H615,'Yield &amp; Time'!A:X,24,0))</f>
        <v>0.67500000000000004</v>
      </c>
      <c r="N615" s="35">
        <f t="shared" si="191"/>
        <v>1.4814814814814814</v>
      </c>
      <c r="O615" s="1" t="str">
        <f>VLOOKUP(H615,'RM Used'!A:E,5,0)</f>
        <v>KG</v>
      </c>
      <c r="P615" s="11">
        <f>VLOOKUP(H615,'RM Used'!A:F,6,0)</f>
        <v>1.1000000000000001</v>
      </c>
      <c r="Q615" s="11">
        <f t="shared" si="189"/>
        <v>1.6296296296296298</v>
      </c>
      <c r="R615" s="11">
        <f>IFERROR(IF(B615="Reynolds",VLOOKUP(H615,'Yield &amp; Time'!A:U,21,0),VLOOKUP(H615,'Yield &amp; Time'!A:L,12,0)),0)</f>
        <v>1.0758377425044092</v>
      </c>
      <c r="S615" s="11">
        <f t="shared" si="181"/>
        <v>0.3641710758377425</v>
      </c>
      <c r="T615" s="11">
        <f t="shared" si="182"/>
        <v>1.7930629041740153E-2</v>
      </c>
      <c r="U615" s="11">
        <f>IF(A614=A615,0,VLOOKUP(A615,'Packing Time'!A:F,6,0))</f>
        <v>0.64166666666666661</v>
      </c>
      <c r="V615" s="11">
        <f t="shared" si="193"/>
        <v>0.21720416666666661</v>
      </c>
      <c r="W615" s="11">
        <f t="shared" si="194"/>
        <v>1.0694444444444444E-2</v>
      </c>
      <c r="X615" s="11">
        <f t="shared" si="183"/>
        <v>0.93020038800705462</v>
      </c>
      <c r="Y615" s="11">
        <f t="shared" si="195"/>
        <v>0.93020038800705462</v>
      </c>
      <c r="Z615" s="37">
        <v>1</v>
      </c>
      <c r="AA615" s="36">
        <f t="shared" si="184"/>
        <v>1.4814814814814814</v>
      </c>
      <c r="AB615" s="36">
        <f t="shared" si="185"/>
        <v>1.6296296296296298</v>
      </c>
      <c r="AC615" s="11">
        <f t="shared" si="186"/>
        <v>4.5800117577895358E-2</v>
      </c>
      <c r="AD615" s="36">
        <f t="shared" si="196"/>
        <v>0.93020038800705462</v>
      </c>
      <c r="AE615" s="36"/>
      <c r="AF615" s="36">
        <f>IFERROR(VLOOKUP(AE615,'Chemical Cost'!A:D,4,0),0)</f>
        <v>0</v>
      </c>
      <c r="AG615" s="114">
        <f t="shared" si="187"/>
        <v>0</v>
      </c>
      <c r="AH615" s="36">
        <f t="shared" si="190"/>
        <v>0</v>
      </c>
      <c r="AI615" s="36">
        <f t="shared" si="197"/>
        <v>2.5598300176366844</v>
      </c>
      <c r="AJ615" s="36">
        <f>IFERROR(VLOOKUP(A615,'All Products'!A:F,6,0),0)</f>
        <v>7.97</v>
      </c>
      <c r="AK615" s="36">
        <f>AJ615*Z615*J615</f>
        <v>7.97</v>
      </c>
      <c r="AL615" s="23">
        <v>1</v>
      </c>
      <c r="AM615" s="23"/>
      <c r="AN615" s="54" t="e">
        <v>#N/A</v>
      </c>
      <c r="AO615" s="47"/>
      <c r="AP615" s="4">
        <v>1.6</v>
      </c>
      <c r="AQ615" s="111">
        <f t="shared" si="188"/>
        <v>4.5800117577895358E-2</v>
      </c>
      <c r="AR615">
        <f>_xlfn.XLOOKUP(F615,'RM Cost'!A:A,'RM Cost'!S:S)</f>
        <v>1.1644775886170367</v>
      </c>
      <c r="AS615" t="str">
        <f>_xlfn.XLOOKUP(A615,[3]Sheet1!$B:$B,[3]Sheet1!$B:$B)</f>
        <v>Z357CS</v>
      </c>
      <c r="AT615">
        <f>_xlfn.XLOOKUP(H615,'Yield &amp; Time'!A:A,'Yield &amp; Time'!F:F)</f>
        <v>0</v>
      </c>
    </row>
    <row r="616" spans="1:46" x14ac:dyDescent="0.25">
      <c r="A616" s="2" t="s">
        <v>768</v>
      </c>
      <c r="B616" s="2" t="s">
        <v>656</v>
      </c>
      <c r="C616" s="2" t="s">
        <v>769</v>
      </c>
      <c r="D616" s="2" t="s">
        <v>554</v>
      </c>
      <c r="E616" s="2">
        <v>1</v>
      </c>
      <c r="F616" s="1" t="str">
        <f>VLOOKUP(H616,'RM Used'!A:B,2,0)</f>
        <v>P0008</v>
      </c>
      <c r="G616" s="1" t="str">
        <f>IFERROR(VLOOKUP(F616,'RM Cost'!A:B,2,0),"")</f>
        <v>PALE BLUE BAG 470X750MM</v>
      </c>
      <c r="H616" s="2" t="s">
        <v>1323</v>
      </c>
      <c r="I616" s="1" t="str">
        <f>VLOOKUP(F616,'RM Used'!B:D,3,0)</f>
        <v>RM-PACKING</v>
      </c>
      <c r="J616" s="66">
        <v>1</v>
      </c>
      <c r="K616" s="35" t="str">
        <f t="shared" si="192"/>
        <v/>
      </c>
      <c r="L616" s="35">
        <f t="shared" si="180"/>
        <v>0</v>
      </c>
      <c r="M616" s="77" t="str" cm="1">
        <f t="array" ref="M616">_xlfn.IFS(BOM!I616="RM-PACKING","100%",B616="Reynolds",VLOOKUP(H616,'Yield &amp; Time'!A:V,22,0),BOM!B616="Dnata",VLOOKUP(BOM!H616,'Yield &amp; Time'!A:M,13,0),B616="NK",VLOOKUP(H616,'Yield &amp; Time'!A:X,24,0))</f>
        <v>100%</v>
      </c>
      <c r="N616" s="35">
        <f t="shared" si="191"/>
        <v>1</v>
      </c>
      <c r="O616" s="1" t="str">
        <f>VLOOKUP(H616,'RM Used'!A:E,5,0)</f>
        <v>Count</v>
      </c>
      <c r="P616" s="11">
        <f>VLOOKUP(H616,'RM Used'!A:F,6,0)</f>
        <v>0.14000000000000001</v>
      </c>
      <c r="Q616" s="11">
        <f t="shared" si="189"/>
        <v>0.14000000000000001</v>
      </c>
      <c r="R616" s="11">
        <f>IFERROR(IF(B616="Reynolds",VLOOKUP(H616,'Yield &amp; Time'!A:U,21,0),VLOOKUP(H616,'Yield &amp; Time'!A:L,12,0)),0)</f>
        <v>0</v>
      </c>
      <c r="S616" s="11">
        <f t="shared" si="181"/>
        <v>0</v>
      </c>
      <c r="T616" s="11">
        <f t="shared" si="182"/>
        <v>0</v>
      </c>
      <c r="U616" s="11">
        <f>IF(A615=A616,0,VLOOKUP(A616,'Packing Time'!A:F,6,0))</f>
        <v>0</v>
      </c>
      <c r="V616" s="11">
        <f t="shared" si="193"/>
        <v>0</v>
      </c>
      <c r="W616" s="11">
        <f t="shared" si="194"/>
        <v>0</v>
      </c>
      <c r="X616" s="11">
        <f t="shared" si="183"/>
        <v>0</v>
      </c>
      <c r="Y616" s="11">
        <f t="shared" si="195"/>
        <v>0</v>
      </c>
      <c r="Z616" s="37">
        <v>1</v>
      </c>
      <c r="AA616" s="36">
        <f t="shared" si="184"/>
        <v>1</v>
      </c>
      <c r="AB616" s="36">
        <f t="shared" si="185"/>
        <v>0.14000000000000001</v>
      </c>
      <c r="AC616" s="11">
        <f t="shared" si="186"/>
        <v>0</v>
      </c>
      <c r="AD616" s="36">
        <f t="shared" si="196"/>
        <v>0</v>
      </c>
      <c r="AE616" s="36"/>
      <c r="AF616" s="36">
        <f>IFERROR(VLOOKUP(AE616,'Chemical Cost'!A:D,4,0),0)</f>
        <v>0</v>
      </c>
      <c r="AG616" s="114">
        <f t="shared" si="187"/>
        <v>0</v>
      </c>
      <c r="AH616" s="36">
        <f t="shared" si="190"/>
        <v>0</v>
      </c>
      <c r="AI616" s="36">
        <f t="shared" si="197"/>
        <v>0.14000000000000001</v>
      </c>
      <c r="AJ616" s="36">
        <f>IFERROR(VLOOKUP(A616,'All Products'!A:F,6,0),0)</f>
        <v>7.97</v>
      </c>
      <c r="AK616" s="36"/>
      <c r="AL616" s="23">
        <v>1</v>
      </c>
      <c r="AM616" s="23"/>
      <c r="AN616" s="54" t="e">
        <v>#N/A</v>
      </c>
      <c r="AO616" s="47"/>
      <c r="AP616" s="4">
        <v>1.6</v>
      </c>
      <c r="AQ616" s="111">
        <f t="shared" si="188"/>
        <v>0</v>
      </c>
      <c r="AR616">
        <f>_xlfn.XLOOKUP(F616,'RM Cost'!A:A,'RM Cost'!S:S)</f>
        <v>0</v>
      </c>
      <c r="AS616" t="str">
        <f>_xlfn.XLOOKUP(A616,[3]Sheet1!$B:$B,[3]Sheet1!$B:$B)</f>
        <v>Z357CS</v>
      </c>
      <c r="AT616" t="e">
        <f>_xlfn.XLOOKUP(H616,'Yield &amp; Time'!A:A,'Yield &amp; Time'!F:F)</f>
        <v>#N/A</v>
      </c>
    </row>
    <row r="617" spans="1:46" x14ac:dyDescent="0.25">
      <c r="A617" s="2" t="s">
        <v>770</v>
      </c>
      <c r="B617" s="2" t="s">
        <v>656</v>
      </c>
      <c r="C617" s="2" t="s">
        <v>771</v>
      </c>
      <c r="D617" s="2" t="s">
        <v>554</v>
      </c>
      <c r="E617" s="2">
        <v>2.5</v>
      </c>
      <c r="F617" s="1" t="str">
        <f>VLOOKUP(H617,'RM Used'!A:B,2,0)</f>
        <v>0930CS</v>
      </c>
      <c r="G617" s="1" t="str">
        <f>IFERROR(VLOOKUP(F617,'RM Cost'!A:B,2,0),"")</f>
        <v>RM - COURGETTE STANDARD</v>
      </c>
      <c r="H617" s="2" t="s">
        <v>1509</v>
      </c>
      <c r="I617" s="1" t="str">
        <f>VLOOKUP(F617,'RM Used'!B:D,3,0)</f>
        <v>RM-FOOD</v>
      </c>
      <c r="J617" s="66">
        <v>1</v>
      </c>
      <c r="K617" s="35">
        <f t="shared" si="192"/>
        <v>2.5</v>
      </c>
      <c r="L617" s="35">
        <f t="shared" si="180"/>
        <v>2.5</v>
      </c>
      <c r="M617" s="77" cm="1">
        <f t="array" ref="M617">_xlfn.IFS(BOM!I617="RM-PACKING","100%",B617="Reynolds",VLOOKUP(H617,'Yield &amp; Time'!A:V,22,0),BOM!B617="Dnata",VLOOKUP(BOM!H617,'Yield &amp; Time'!A:M,13,0),B617="NK",VLOOKUP(H617,'Yield &amp; Time'!A:X,24,0))</f>
        <v>0.67500000000000004</v>
      </c>
      <c r="N617" s="35">
        <f t="shared" si="191"/>
        <v>3.7037037037037033</v>
      </c>
      <c r="O617" s="1" t="str">
        <f>VLOOKUP(H617,'RM Used'!A:E,5,0)</f>
        <v>KG</v>
      </c>
      <c r="P617" s="11">
        <f>VLOOKUP(H617,'RM Used'!A:F,6,0)</f>
        <v>1.1000000000000001</v>
      </c>
      <c r="Q617" s="11">
        <f t="shared" si="189"/>
        <v>4.0740740740740735</v>
      </c>
      <c r="R617" s="11">
        <f>IFERROR(IF(B617="Reynolds",VLOOKUP(H617,'Yield &amp; Time'!A:U,21,0),VLOOKUP(H617,'Yield &amp; Time'!A:L,12,0)),0)</f>
        <v>1.0758377425044092</v>
      </c>
      <c r="S617" s="11">
        <f t="shared" si="181"/>
        <v>0.91042768959435616</v>
      </c>
      <c r="T617" s="11">
        <f t="shared" si="182"/>
        <v>4.4826572604350384E-2</v>
      </c>
      <c r="U617" s="11">
        <f>IF(A616=A617,0,VLOOKUP(A617,'Packing Time'!A:F,6,0))</f>
        <v>0.875</v>
      </c>
      <c r="V617" s="11">
        <f t="shared" si="193"/>
        <v>0.29618749999999999</v>
      </c>
      <c r="W617" s="11">
        <f t="shared" si="194"/>
        <v>1.4583333333333334E-2</v>
      </c>
      <c r="X617" s="11">
        <f t="shared" si="183"/>
        <v>1.93058430335097</v>
      </c>
      <c r="Y617" s="11">
        <f t="shared" si="195"/>
        <v>1.93058430335097</v>
      </c>
      <c r="Z617" s="37">
        <v>1</v>
      </c>
      <c r="AA617" s="36">
        <f t="shared" si="184"/>
        <v>3.7037037037037033</v>
      </c>
      <c r="AB617" s="36">
        <f t="shared" si="185"/>
        <v>4.0740740740740735</v>
      </c>
      <c r="AC617" s="11">
        <f t="shared" si="186"/>
        <v>9.5055849500293943E-2</v>
      </c>
      <c r="AD617" s="36">
        <f t="shared" si="196"/>
        <v>1.9305843033509698</v>
      </c>
      <c r="AE617" s="36"/>
      <c r="AF617" s="36">
        <f>IFERROR(VLOOKUP(AE617,'Chemical Cost'!A:D,4,0),0)</f>
        <v>0</v>
      </c>
      <c r="AG617" s="114">
        <f t="shared" si="187"/>
        <v>0</v>
      </c>
      <c r="AH617" s="36">
        <f t="shared" si="190"/>
        <v>0</v>
      </c>
      <c r="AI617" s="36">
        <f t="shared" si="197"/>
        <v>6.0046583774250433</v>
      </c>
      <c r="AJ617" s="36">
        <f>IFERROR(VLOOKUP(A617,'All Products'!A:F,6,0),0)</f>
        <v>8.7100000000000009</v>
      </c>
      <c r="AK617" s="36">
        <f>AJ617*Z617*J617</f>
        <v>8.7100000000000009</v>
      </c>
      <c r="AL617" s="23">
        <v>1</v>
      </c>
      <c r="AM617" s="23"/>
      <c r="AN617" s="54" t="e">
        <v>#N/A</v>
      </c>
      <c r="AO617" s="47"/>
      <c r="AP617" s="4">
        <v>1.6</v>
      </c>
      <c r="AQ617" s="111">
        <f t="shared" si="188"/>
        <v>9.5055849500293943E-2</v>
      </c>
      <c r="AR617">
        <f>_xlfn.XLOOKUP(F617,'RM Cost'!A:A,'RM Cost'!S:S)</f>
        <v>1.1644775886170367</v>
      </c>
      <c r="AS617" t="str">
        <f>_xlfn.XLOOKUP(A617,[3]Sheet1!$B:$B,[3]Sheet1!$B:$B)</f>
        <v>Z356CS</v>
      </c>
      <c r="AT617">
        <f>_xlfn.XLOOKUP(H617,'Yield &amp; Time'!A:A,'Yield &amp; Time'!F:F)</f>
        <v>0</v>
      </c>
    </row>
    <row r="618" spans="1:46" x14ac:dyDescent="0.25">
      <c r="A618" s="2" t="s">
        <v>770</v>
      </c>
      <c r="B618" s="2" t="s">
        <v>656</v>
      </c>
      <c r="C618" s="2" t="s">
        <v>771</v>
      </c>
      <c r="D618" s="2" t="s">
        <v>554</v>
      </c>
      <c r="E618" s="2">
        <v>2.5</v>
      </c>
      <c r="F618" s="1" t="str">
        <f>VLOOKUP(H618,'RM Used'!A:B,2,0)</f>
        <v>P0008</v>
      </c>
      <c r="G618" s="1" t="str">
        <f>IFERROR(VLOOKUP(F618,'RM Cost'!A:B,2,0),"")</f>
        <v>PALE BLUE BAG 470X750MM</v>
      </c>
      <c r="H618" s="2" t="s">
        <v>1323</v>
      </c>
      <c r="I618" s="1" t="str">
        <f>VLOOKUP(F618,'RM Used'!B:D,3,0)</f>
        <v>RM-PACKING</v>
      </c>
      <c r="J618" s="66">
        <v>1</v>
      </c>
      <c r="K618" s="35" t="str">
        <f t="shared" si="192"/>
        <v/>
      </c>
      <c r="L618" s="35">
        <f t="shared" si="180"/>
        <v>0</v>
      </c>
      <c r="M618" s="77" t="str" cm="1">
        <f t="array" ref="M618">_xlfn.IFS(BOM!I618="RM-PACKING","100%",B618="Reynolds",VLOOKUP(H618,'Yield &amp; Time'!A:V,22,0),BOM!B618="Dnata",VLOOKUP(BOM!H618,'Yield &amp; Time'!A:M,13,0),B618="NK",VLOOKUP(H618,'Yield &amp; Time'!A:X,24,0))</f>
        <v>100%</v>
      </c>
      <c r="N618" s="35">
        <f t="shared" si="191"/>
        <v>1</v>
      </c>
      <c r="O618" s="1" t="str">
        <f>VLOOKUP(H618,'RM Used'!A:E,5,0)</f>
        <v>Count</v>
      </c>
      <c r="P618" s="11">
        <f>VLOOKUP(H618,'RM Used'!A:F,6,0)</f>
        <v>0.14000000000000001</v>
      </c>
      <c r="Q618" s="11">
        <f t="shared" si="189"/>
        <v>0.14000000000000001</v>
      </c>
      <c r="R618" s="11">
        <f>IFERROR(IF(B618="Reynolds",VLOOKUP(H618,'Yield &amp; Time'!A:U,21,0),VLOOKUP(H618,'Yield &amp; Time'!A:L,12,0)),0)</f>
        <v>0</v>
      </c>
      <c r="S618" s="11">
        <f t="shared" si="181"/>
        <v>0</v>
      </c>
      <c r="T618" s="11">
        <f t="shared" si="182"/>
        <v>0</v>
      </c>
      <c r="U618" s="11">
        <f>IF(A617=A618,0,VLOOKUP(A618,'Packing Time'!A:F,6,0))</f>
        <v>0</v>
      </c>
      <c r="V618" s="11">
        <f t="shared" si="193"/>
        <v>0</v>
      </c>
      <c r="W618" s="11">
        <f t="shared" si="194"/>
        <v>0</v>
      </c>
      <c r="X618" s="11">
        <f t="shared" si="183"/>
        <v>0</v>
      </c>
      <c r="Y618" s="11">
        <f t="shared" si="195"/>
        <v>0</v>
      </c>
      <c r="Z618" s="37">
        <v>1</v>
      </c>
      <c r="AA618" s="36">
        <f t="shared" si="184"/>
        <v>1</v>
      </c>
      <c r="AB618" s="36">
        <f t="shared" si="185"/>
        <v>0.14000000000000001</v>
      </c>
      <c r="AC618" s="11">
        <f t="shared" si="186"/>
        <v>0</v>
      </c>
      <c r="AD618" s="36">
        <f t="shared" si="196"/>
        <v>0</v>
      </c>
      <c r="AE618" s="36"/>
      <c r="AF618" s="36">
        <f>IFERROR(VLOOKUP(AE618,'Chemical Cost'!A:D,4,0),0)</f>
        <v>0</v>
      </c>
      <c r="AG618" s="114">
        <f t="shared" si="187"/>
        <v>0</v>
      </c>
      <c r="AH618" s="36">
        <f t="shared" si="190"/>
        <v>0</v>
      </c>
      <c r="AI618" s="36">
        <f t="shared" si="197"/>
        <v>0.14000000000000001</v>
      </c>
      <c r="AJ618" s="36">
        <f>IFERROR(VLOOKUP(A618,'All Products'!A:F,6,0),0)</f>
        <v>8.7100000000000009</v>
      </c>
      <c r="AK618" s="36"/>
      <c r="AL618" s="23">
        <v>1</v>
      </c>
      <c r="AM618" s="23"/>
      <c r="AN618" s="54" t="e">
        <v>#N/A</v>
      </c>
      <c r="AO618" s="47"/>
      <c r="AP618" s="4">
        <v>1.6</v>
      </c>
      <c r="AQ618" s="111">
        <f t="shared" si="188"/>
        <v>0</v>
      </c>
      <c r="AR618">
        <f>_xlfn.XLOOKUP(F618,'RM Cost'!A:A,'RM Cost'!S:S)</f>
        <v>0</v>
      </c>
      <c r="AS618" t="str">
        <f>_xlfn.XLOOKUP(A618,[3]Sheet1!$B:$B,[3]Sheet1!$B:$B)</f>
        <v>Z356CS</v>
      </c>
      <c r="AT618" t="e">
        <f>_xlfn.XLOOKUP(H618,'Yield &amp; Time'!A:A,'Yield &amp; Time'!F:F)</f>
        <v>#N/A</v>
      </c>
    </row>
    <row r="619" spans="1:46" x14ac:dyDescent="0.25">
      <c r="A619" s="2" t="s">
        <v>479</v>
      </c>
      <c r="B619" s="2" t="s">
        <v>656</v>
      </c>
      <c r="C619" s="2" t="s">
        <v>480</v>
      </c>
      <c r="D619" s="2" t="s">
        <v>554</v>
      </c>
      <c r="E619" s="2">
        <v>1</v>
      </c>
      <c r="F619" s="1" t="str">
        <f>VLOOKUP(H619,'RM Used'!A:B,2,0)</f>
        <v>0930CS</v>
      </c>
      <c r="G619" s="1" t="str">
        <f>IFERROR(VLOOKUP(F619,'RM Cost'!A:B,2,0),"")</f>
        <v>RM - COURGETTE STANDARD</v>
      </c>
      <c r="H619" s="2" t="s">
        <v>1510</v>
      </c>
      <c r="I619" s="1" t="str">
        <f>VLOOKUP(F619,'RM Used'!B:D,3,0)</f>
        <v>RM-FOOD</v>
      </c>
      <c r="J619" s="66">
        <v>1</v>
      </c>
      <c r="K619" s="35">
        <f t="shared" si="192"/>
        <v>1</v>
      </c>
      <c r="L619" s="35">
        <f t="shared" si="180"/>
        <v>1</v>
      </c>
      <c r="M619" s="77" cm="1">
        <f t="array" ref="M619">_xlfn.IFS(BOM!I619="RM-PACKING","100%",B619="Reynolds",VLOOKUP(H619,'Yield &amp; Time'!A:V,22,0),BOM!B619="Dnata",VLOOKUP(BOM!H619,'Yield &amp; Time'!A:M,13,0),B619="NK",VLOOKUP(H619,'Yield &amp; Time'!A:X,24,0))</f>
        <v>0.625</v>
      </c>
      <c r="N619" s="35">
        <f t="shared" si="191"/>
        <v>1.6</v>
      </c>
      <c r="O619" s="1" t="str">
        <f>VLOOKUP(H619,'RM Used'!A:E,5,0)</f>
        <v>KG</v>
      </c>
      <c r="P619" s="11">
        <f>VLOOKUP(H619,'RM Used'!A:F,6,0)</f>
        <v>1.1000000000000001</v>
      </c>
      <c r="Q619" s="11">
        <f t="shared" si="189"/>
        <v>1.7600000000000002</v>
      </c>
      <c r="R619" s="11">
        <f>IFERROR(IF(B619="Reynolds",VLOOKUP(H619,'Yield &amp; Time'!A:U,21,0),VLOOKUP(H619,'Yield &amp; Time'!A:L,12,0)),0)</f>
        <v>0.97333333333333327</v>
      </c>
      <c r="S619" s="11">
        <f t="shared" si="181"/>
        <v>0.32947333333333328</v>
      </c>
      <c r="T619" s="11">
        <f t="shared" si="182"/>
        <v>1.6222222222222221E-2</v>
      </c>
      <c r="U619" s="11">
        <f>IF(A618=A619,0,VLOOKUP(A619,'Packing Time'!A:F,6,0))</f>
        <v>0.64166666666666661</v>
      </c>
      <c r="V619" s="11">
        <f t="shared" si="193"/>
        <v>0.21720416666666661</v>
      </c>
      <c r="W619" s="11">
        <f t="shared" si="194"/>
        <v>1.0694444444444444E-2</v>
      </c>
      <c r="X619" s="11">
        <f t="shared" si="183"/>
        <v>0.87468399999999979</v>
      </c>
      <c r="Y619" s="11">
        <f t="shared" si="195"/>
        <v>0.87468399999999979</v>
      </c>
      <c r="Z619" s="37">
        <v>1</v>
      </c>
      <c r="AA619" s="36">
        <f t="shared" si="184"/>
        <v>1.6</v>
      </c>
      <c r="AB619" s="36">
        <f t="shared" si="185"/>
        <v>1.7600000000000002</v>
      </c>
      <c r="AC619" s="11">
        <f t="shared" si="186"/>
        <v>4.3066666666666663E-2</v>
      </c>
      <c r="AD619" s="36">
        <f t="shared" si="196"/>
        <v>0.87468399999999979</v>
      </c>
      <c r="AE619" s="36"/>
      <c r="AF619" s="36">
        <f>IFERROR(VLOOKUP(AE619,'Chemical Cost'!A:D,4,0),0)</f>
        <v>0</v>
      </c>
      <c r="AG619" s="114">
        <f t="shared" si="187"/>
        <v>0</v>
      </c>
      <c r="AH619" s="36">
        <f t="shared" si="190"/>
        <v>0</v>
      </c>
      <c r="AI619" s="36">
        <f t="shared" si="197"/>
        <v>2.634684</v>
      </c>
      <c r="AJ619" s="36">
        <f>IFERROR(VLOOKUP(A619,'All Products'!A:F,6,0),0)</f>
        <v>6.43</v>
      </c>
      <c r="AK619" s="36">
        <f>AJ619*Z619*J619</f>
        <v>6.43</v>
      </c>
      <c r="AL619" s="23">
        <v>1</v>
      </c>
      <c r="AM619" s="23"/>
      <c r="AN619" s="54" t="e">
        <v>#N/A</v>
      </c>
      <c r="AO619" s="47"/>
      <c r="AP619" s="4">
        <v>1.6</v>
      </c>
      <c r="AQ619" s="111">
        <f t="shared" si="188"/>
        <v>4.3066666666666663E-2</v>
      </c>
      <c r="AR619">
        <f>_xlfn.XLOOKUP(F619,'RM Cost'!A:A,'RM Cost'!S:S)</f>
        <v>1.1644775886170367</v>
      </c>
      <c r="AS619" t="str">
        <f>_xlfn.XLOOKUP(A619,[3]Sheet1!$B:$B,[3]Sheet1!$B:$B)</f>
        <v>Z125CS</v>
      </c>
      <c r="AT619">
        <f>_xlfn.XLOOKUP(H619,'Yield &amp; Time'!A:A,'Yield &amp; Time'!F:F)</f>
        <v>0</v>
      </c>
    </row>
    <row r="620" spans="1:46" x14ac:dyDescent="0.25">
      <c r="A620" s="2" t="s">
        <v>479</v>
      </c>
      <c r="B620" s="2" t="s">
        <v>656</v>
      </c>
      <c r="C620" s="2" t="s">
        <v>480</v>
      </c>
      <c r="D620" s="2" t="s">
        <v>554</v>
      </c>
      <c r="E620" s="2">
        <v>1</v>
      </c>
      <c r="F620" s="1" t="str">
        <f>VLOOKUP(H620,'RM Used'!A:B,2,0)</f>
        <v>P0008</v>
      </c>
      <c r="G620" s="1" t="str">
        <f>IFERROR(VLOOKUP(F620,'RM Cost'!A:B,2,0),"")</f>
        <v>PALE BLUE BAG 470X750MM</v>
      </c>
      <c r="H620" s="2" t="s">
        <v>1323</v>
      </c>
      <c r="I620" s="1" t="str">
        <f>VLOOKUP(F620,'RM Used'!B:D,3,0)</f>
        <v>RM-PACKING</v>
      </c>
      <c r="J620" s="66">
        <v>1</v>
      </c>
      <c r="K620" s="35" t="str">
        <f t="shared" si="192"/>
        <v/>
      </c>
      <c r="L620" s="35">
        <f t="shared" si="180"/>
        <v>0</v>
      </c>
      <c r="M620" s="77" t="str" cm="1">
        <f t="array" ref="M620">_xlfn.IFS(BOM!I620="RM-PACKING","100%",B620="Reynolds",VLOOKUP(H620,'Yield &amp; Time'!A:V,22,0),BOM!B620="Dnata",VLOOKUP(BOM!H620,'Yield &amp; Time'!A:M,13,0),B620="NK",VLOOKUP(H620,'Yield &amp; Time'!A:X,24,0))</f>
        <v>100%</v>
      </c>
      <c r="N620" s="35">
        <f t="shared" si="191"/>
        <v>1</v>
      </c>
      <c r="O620" s="1" t="str">
        <f>VLOOKUP(H620,'RM Used'!A:E,5,0)</f>
        <v>Count</v>
      </c>
      <c r="P620" s="11">
        <f>VLOOKUP(H620,'RM Used'!A:F,6,0)</f>
        <v>0.14000000000000001</v>
      </c>
      <c r="Q620" s="11">
        <f t="shared" si="189"/>
        <v>0.14000000000000001</v>
      </c>
      <c r="R620" s="11">
        <f>IFERROR(IF(B620="Reynolds",VLOOKUP(H620,'Yield &amp; Time'!A:U,21,0),VLOOKUP(H620,'Yield &amp; Time'!A:L,12,0)),0)</f>
        <v>0</v>
      </c>
      <c r="S620" s="11">
        <f t="shared" si="181"/>
        <v>0</v>
      </c>
      <c r="T620" s="11">
        <f t="shared" si="182"/>
        <v>0</v>
      </c>
      <c r="U620" s="11">
        <f>IF(A619=A620,0,VLOOKUP(A620,'Packing Time'!A:F,6,0))</f>
        <v>0</v>
      </c>
      <c r="V620" s="11">
        <f t="shared" si="193"/>
        <v>0</v>
      </c>
      <c r="W620" s="11">
        <f t="shared" si="194"/>
        <v>0</v>
      </c>
      <c r="X620" s="11">
        <f t="shared" si="183"/>
        <v>0</v>
      </c>
      <c r="Y620" s="11">
        <f t="shared" si="195"/>
        <v>0</v>
      </c>
      <c r="Z620" s="37">
        <v>1</v>
      </c>
      <c r="AA620" s="36">
        <f t="shared" si="184"/>
        <v>1</v>
      </c>
      <c r="AB620" s="36">
        <f t="shared" si="185"/>
        <v>0.14000000000000001</v>
      </c>
      <c r="AC620" s="11">
        <f t="shared" si="186"/>
        <v>0</v>
      </c>
      <c r="AD620" s="36">
        <f t="shared" si="196"/>
        <v>0</v>
      </c>
      <c r="AE620" s="36"/>
      <c r="AF620" s="36">
        <f>IFERROR(VLOOKUP(AE620,'Chemical Cost'!A:D,4,0),0)</f>
        <v>0</v>
      </c>
      <c r="AG620" s="114">
        <f t="shared" si="187"/>
        <v>0</v>
      </c>
      <c r="AH620" s="36">
        <f t="shared" si="190"/>
        <v>0</v>
      </c>
      <c r="AI620" s="36">
        <f t="shared" si="197"/>
        <v>0.14000000000000001</v>
      </c>
      <c r="AJ620" s="36">
        <f>IFERROR(VLOOKUP(A620,'All Products'!A:F,6,0),0)</f>
        <v>6.43</v>
      </c>
      <c r="AK620" s="36"/>
      <c r="AL620" s="23">
        <v>1</v>
      </c>
      <c r="AM620" s="23"/>
      <c r="AN620" s="54" t="e">
        <v>#N/A</v>
      </c>
      <c r="AO620" s="47"/>
      <c r="AP620" s="4">
        <v>1.6</v>
      </c>
      <c r="AQ620" s="111">
        <f t="shared" si="188"/>
        <v>0</v>
      </c>
      <c r="AR620">
        <f>_xlfn.XLOOKUP(F620,'RM Cost'!A:A,'RM Cost'!S:S)</f>
        <v>0</v>
      </c>
      <c r="AS620" t="str">
        <f>_xlfn.XLOOKUP(A620,[3]Sheet1!$B:$B,[3]Sheet1!$B:$B)</f>
        <v>Z125CS</v>
      </c>
      <c r="AT620" t="e">
        <f>_xlfn.XLOOKUP(H620,'Yield &amp; Time'!A:A,'Yield &amp; Time'!F:F)</f>
        <v>#N/A</v>
      </c>
    </row>
    <row r="621" spans="1:46" x14ac:dyDescent="0.25">
      <c r="A621" s="2" t="s">
        <v>772</v>
      </c>
      <c r="B621" s="2" t="s">
        <v>656</v>
      </c>
      <c r="C621" s="2" t="s">
        <v>773</v>
      </c>
      <c r="D621" s="2" t="s">
        <v>554</v>
      </c>
      <c r="E621" s="2">
        <v>2.5</v>
      </c>
      <c r="F621" s="1" t="str">
        <f>VLOOKUP(H621,'RM Used'!A:B,2,0)</f>
        <v>0930CS</v>
      </c>
      <c r="G621" s="1" t="str">
        <f>IFERROR(VLOOKUP(F621,'RM Cost'!A:B,2,0),"")</f>
        <v>RM - COURGETTE STANDARD</v>
      </c>
      <c r="H621" s="2" t="s">
        <v>1510</v>
      </c>
      <c r="I621" s="1" t="str">
        <f>VLOOKUP(F621,'RM Used'!B:D,3,0)</f>
        <v>RM-FOOD</v>
      </c>
      <c r="J621" s="66">
        <v>1</v>
      </c>
      <c r="K621" s="35">
        <f t="shared" si="192"/>
        <v>2.5</v>
      </c>
      <c r="L621" s="35">
        <f t="shared" si="180"/>
        <v>2.5</v>
      </c>
      <c r="M621" s="77" cm="1">
        <f t="array" ref="M621">_xlfn.IFS(BOM!I621="RM-PACKING","100%",B621="Reynolds",VLOOKUP(H621,'Yield &amp; Time'!A:V,22,0),BOM!B621="Dnata",VLOOKUP(BOM!H621,'Yield &amp; Time'!A:M,13,0),B621="NK",VLOOKUP(H621,'Yield &amp; Time'!A:X,24,0))</f>
        <v>0.625</v>
      </c>
      <c r="N621" s="35">
        <f t="shared" si="191"/>
        <v>4</v>
      </c>
      <c r="O621" s="1" t="str">
        <f>VLOOKUP(H621,'RM Used'!A:E,5,0)</f>
        <v>KG</v>
      </c>
      <c r="P621" s="11">
        <f>VLOOKUP(H621,'RM Used'!A:F,6,0)</f>
        <v>1.1000000000000001</v>
      </c>
      <c r="Q621" s="11">
        <f t="shared" si="189"/>
        <v>4.4000000000000004</v>
      </c>
      <c r="R621" s="11">
        <f>IFERROR(IF(B621="Reynolds",VLOOKUP(H621,'Yield &amp; Time'!A:U,21,0),VLOOKUP(H621,'Yield &amp; Time'!A:L,12,0)),0)</f>
        <v>0.97333333333333327</v>
      </c>
      <c r="S621" s="11">
        <f t="shared" si="181"/>
        <v>0.82368333333333321</v>
      </c>
      <c r="T621" s="11">
        <f t="shared" si="182"/>
        <v>4.0555555555555553E-2</v>
      </c>
      <c r="U621" s="11">
        <f>IF(A620=A621,0,VLOOKUP(A621,'Packing Time'!A:F,6,0))</f>
        <v>0.875</v>
      </c>
      <c r="V621" s="11">
        <f t="shared" si="193"/>
        <v>0.29618749999999999</v>
      </c>
      <c r="W621" s="11">
        <f t="shared" si="194"/>
        <v>1.4583333333333334E-2</v>
      </c>
      <c r="X621" s="11">
        <f t="shared" si="183"/>
        <v>1.7917933333333331</v>
      </c>
      <c r="Y621" s="11">
        <f t="shared" si="195"/>
        <v>1.7917933333333331</v>
      </c>
      <c r="Z621" s="37">
        <v>1</v>
      </c>
      <c r="AA621" s="36">
        <f t="shared" si="184"/>
        <v>4</v>
      </c>
      <c r="AB621" s="36">
        <f t="shared" si="185"/>
        <v>4.4000000000000004</v>
      </c>
      <c r="AC621" s="11">
        <f t="shared" si="186"/>
        <v>8.8222222222222216E-2</v>
      </c>
      <c r="AD621" s="36">
        <f t="shared" si="196"/>
        <v>1.7917933333333331</v>
      </c>
      <c r="AE621" s="36"/>
      <c r="AF621" s="36">
        <f>IFERROR(VLOOKUP(AE621,'Chemical Cost'!A:D,4,0),0)</f>
        <v>0</v>
      </c>
      <c r="AG621" s="114">
        <f t="shared" si="187"/>
        <v>0</v>
      </c>
      <c r="AH621" s="36">
        <f t="shared" si="190"/>
        <v>0</v>
      </c>
      <c r="AI621" s="36">
        <f t="shared" si="197"/>
        <v>6.191793333333333</v>
      </c>
      <c r="AJ621" s="36">
        <f>IFERROR(VLOOKUP(A621,'All Products'!A:F,6,0),0)</f>
        <v>16.079999999999998</v>
      </c>
      <c r="AK621" s="36">
        <f>AJ621*Z621*J621</f>
        <v>16.079999999999998</v>
      </c>
      <c r="AL621" s="23">
        <v>1</v>
      </c>
      <c r="AM621" s="23"/>
      <c r="AN621" s="54" t="e">
        <v>#N/A</v>
      </c>
      <c r="AO621" s="47"/>
      <c r="AP621" s="4">
        <v>1.6</v>
      </c>
      <c r="AQ621" s="111">
        <f t="shared" si="188"/>
        <v>8.8222222222222216E-2</v>
      </c>
      <c r="AR621">
        <f>_xlfn.XLOOKUP(F621,'RM Cost'!A:A,'RM Cost'!S:S)</f>
        <v>1.1644775886170367</v>
      </c>
      <c r="AS621" t="str">
        <f>_xlfn.XLOOKUP(A621,[3]Sheet1!$B:$B,[3]Sheet1!$B:$B)</f>
        <v>Z124CS</v>
      </c>
      <c r="AT621">
        <f>_xlfn.XLOOKUP(H621,'Yield &amp; Time'!A:A,'Yield &amp; Time'!F:F)</f>
        <v>0</v>
      </c>
    </row>
    <row r="622" spans="1:46" x14ac:dyDescent="0.25">
      <c r="A622" s="2" t="s">
        <v>772</v>
      </c>
      <c r="B622" s="2" t="s">
        <v>656</v>
      </c>
      <c r="C622" s="2" t="s">
        <v>773</v>
      </c>
      <c r="D622" s="2" t="s">
        <v>554</v>
      </c>
      <c r="E622" s="2">
        <v>2.5</v>
      </c>
      <c r="F622" s="1" t="str">
        <f>VLOOKUP(H622,'RM Used'!A:B,2,0)</f>
        <v>P0008</v>
      </c>
      <c r="G622" s="1" t="str">
        <f>IFERROR(VLOOKUP(F622,'RM Cost'!A:B,2,0),"")</f>
        <v>PALE BLUE BAG 470X750MM</v>
      </c>
      <c r="H622" s="2" t="s">
        <v>1323</v>
      </c>
      <c r="I622" s="1" t="str">
        <f>VLOOKUP(F622,'RM Used'!B:D,3,0)</f>
        <v>RM-PACKING</v>
      </c>
      <c r="J622" s="66">
        <v>1</v>
      </c>
      <c r="K622" s="35" t="str">
        <f t="shared" si="192"/>
        <v/>
      </c>
      <c r="L622" s="35">
        <f t="shared" si="180"/>
        <v>0</v>
      </c>
      <c r="M622" s="77" t="str" cm="1">
        <f t="array" ref="M622">_xlfn.IFS(BOM!I622="RM-PACKING","100%",B622="Reynolds",VLOOKUP(H622,'Yield &amp; Time'!A:V,22,0),BOM!B622="Dnata",VLOOKUP(BOM!H622,'Yield &amp; Time'!A:M,13,0),B622="NK",VLOOKUP(H622,'Yield &amp; Time'!A:X,24,0))</f>
        <v>100%</v>
      </c>
      <c r="N622" s="35">
        <f t="shared" si="191"/>
        <v>1</v>
      </c>
      <c r="O622" s="1" t="str">
        <f>VLOOKUP(H622,'RM Used'!A:E,5,0)</f>
        <v>Count</v>
      </c>
      <c r="P622" s="11">
        <f>VLOOKUP(H622,'RM Used'!A:F,6,0)</f>
        <v>0.14000000000000001</v>
      </c>
      <c r="Q622" s="11">
        <f t="shared" si="189"/>
        <v>0.14000000000000001</v>
      </c>
      <c r="R622" s="11">
        <f>IFERROR(IF(B622="Reynolds",VLOOKUP(H622,'Yield &amp; Time'!A:U,21,0),VLOOKUP(H622,'Yield &amp; Time'!A:L,12,0)),0)</f>
        <v>0</v>
      </c>
      <c r="S622" s="11">
        <f t="shared" si="181"/>
        <v>0</v>
      </c>
      <c r="T622" s="11">
        <f t="shared" si="182"/>
        <v>0</v>
      </c>
      <c r="U622" s="11">
        <f>IF(A621=A622,0,VLOOKUP(A622,'Packing Time'!A:F,6,0))</f>
        <v>0</v>
      </c>
      <c r="V622" s="11">
        <f t="shared" si="193"/>
        <v>0</v>
      </c>
      <c r="W622" s="11">
        <f t="shared" si="194"/>
        <v>0</v>
      </c>
      <c r="X622" s="11">
        <f t="shared" si="183"/>
        <v>0</v>
      </c>
      <c r="Y622" s="11">
        <f t="shared" si="195"/>
        <v>0</v>
      </c>
      <c r="Z622" s="37">
        <v>1</v>
      </c>
      <c r="AA622" s="36">
        <f t="shared" si="184"/>
        <v>1</v>
      </c>
      <c r="AB622" s="36">
        <f t="shared" si="185"/>
        <v>0.14000000000000001</v>
      </c>
      <c r="AC622" s="11">
        <f t="shared" si="186"/>
        <v>0</v>
      </c>
      <c r="AD622" s="36">
        <f t="shared" si="196"/>
        <v>0</v>
      </c>
      <c r="AE622" s="36"/>
      <c r="AF622" s="36">
        <f>IFERROR(VLOOKUP(AE622,'Chemical Cost'!A:D,4,0),0)</f>
        <v>0</v>
      </c>
      <c r="AG622" s="114">
        <f t="shared" si="187"/>
        <v>0</v>
      </c>
      <c r="AH622" s="36">
        <f t="shared" si="190"/>
        <v>0</v>
      </c>
      <c r="AI622" s="36">
        <f t="shared" si="197"/>
        <v>0.14000000000000001</v>
      </c>
      <c r="AJ622" s="36">
        <f>IFERROR(VLOOKUP(A622,'All Products'!A:F,6,0),0)</f>
        <v>16.079999999999998</v>
      </c>
      <c r="AK622" s="36"/>
      <c r="AL622" s="23">
        <v>1</v>
      </c>
      <c r="AM622" s="23"/>
      <c r="AN622" s="54" t="e">
        <v>#N/A</v>
      </c>
      <c r="AO622" s="47"/>
      <c r="AP622" s="4">
        <v>1.6</v>
      </c>
      <c r="AQ622" s="111">
        <f t="shared" si="188"/>
        <v>0</v>
      </c>
      <c r="AR622">
        <f>_xlfn.XLOOKUP(F622,'RM Cost'!A:A,'RM Cost'!S:S)</f>
        <v>0</v>
      </c>
      <c r="AS622" t="str">
        <f>_xlfn.XLOOKUP(A622,[3]Sheet1!$B:$B,[3]Sheet1!$B:$B)</f>
        <v>Z124CS</v>
      </c>
      <c r="AT622" t="e">
        <f>_xlfn.XLOOKUP(H622,'Yield &amp; Time'!A:A,'Yield &amp; Time'!F:F)</f>
        <v>#N/A</v>
      </c>
    </row>
    <row r="623" spans="1:46" x14ac:dyDescent="0.25">
      <c r="A623" s="2" t="s">
        <v>285</v>
      </c>
      <c r="B623" s="2" t="s">
        <v>656</v>
      </c>
      <c r="C623" s="2" t="s">
        <v>286</v>
      </c>
      <c r="D623" s="2" t="s">
        <v>554</v>
      </c>
      <c r="E623" s="2">
        <v>1</v>
      </c>
      <c r="F623" s="1" t="str">
        <f>VLOOKUP(H623,'RM Used'!A:B,2,0)</f>
        <v>0930CS</v>
      </c>
      <c r="G623" s="1" t="str">
        <f>IFERROR(VLOOKUP(F623,'RM Cost'!A:B,2,0),"")</f>
        <v>RM - COURGETTE STANDARD</v>
      </c>
      <c r="H623" s="2" t="s">
        <v>1424</v>
      </c>
      <c r="I623" s="1" t="str">
        <f>VLOOKUP(F623,'RM Used'!B:D,3,0)</f>
        <v>RM-FOOD</v>
      </c>
      <c r="J623" s="66">
        <v>1</v>
      </c>
      <c r="K623" s="35">
        <f t="shared" si="192"/>
        <v>1</v>
      </c>
      <c r="L623" s="35">
        <f t="shared" si="180"/>
        <v>1</v>
      </c>
      <c r="M623" s="77" cm="1">
        <f t="array" ref="M623">_xlfn.IFS(BOM!I623="RM-PACKING","100%",B623="Reynolds",VLOOKUP(H623,'Yield &amp; Time'!A:V,22,0),BOM!B623="Dnata",VLOOKUP(BOM!H623,'Yield &amp; Time'!A:M,13,0),B623="NK",VLOOKUP(H623,'Yield &amp; Time'!A:X,24,0))</f>
        <v>0.75230092036814722</v>
      </c>
      <c r="N623" s="35">
        <f t="shared" si="191"/>
        <v>1.3292553191489362</v>
      </c>
      <c r="O623" s="1" t="str">
        <f>VLOOKUP(H623,'RM Used'!A:E,5,0)</f>
        <v>KG</v>
      </c>
      <c r="P623" s="11">
        <f>VLOOKUP(H623,'RM Used'!A:F,6,0)</f>
        <v>1.1000000000000001</v>
      </c>
      <c r="Q623" s="11">
        <f t="shared" si="189"/>
        <v>1.4621808510638299</v>
      </c>
      <c r="R623" s="11">
        <f>IFERROR(IF(B623="Reynolds",VLOOKUP(H623,'Yield &amp; Time'!A:U,21,0),VLOOKUP(H623,'Yield &amp; Time'!A:L,12,0)),0)</f>
        <v>2.2225177304964538</v>
      </c>
      <c r="S623" s="11">
        <f t="shared" si="181"/>
        <v>0.75232225177304957</v>
      </c>
      <c r="T623" s="11">
        <f t="shared" si="182"/>
        <v>3.70419621749409E-2</v>
      </c>
      <c r="U623" s="11">
        <f>IF(A622=A623,0,VLOOKUP(A623,'Packing Time'!A:F,6,0))</f>
        <v>0.64166666666666661</v>
      </c>
      <c r="V623" s="11">
        <f t="shared" si="193"/>
        <v>0.21720416666666661</v>
      </c>
      <c r="W623" s="11">
        <f t="shared" si="194"/>
        <v>1.0694444444444444E-2</v>
      </c>
      <c r="X623" s="11">
        <f t="shared" si="183"/>
        <v>1.5512422695035459</v>
      </c>
      <c r="Y623" s="11">
        <f t="shared" si="195"/>
        <v>1.5512422695035459</v>
      </c>
      <c r="Z623" s="37">
        <v>1</v>
      </c>
      <c r="AA623" s="36">
        <f t="shared" si="184"/>
        <v>1.3292553191489362</v>
      </c>
      <c r="AB623" s="36">
        <f t="shared" si="185"/>
        <v>1.4621808510638299</v>
      </c>
      <c r="AC623" s="11">
        <f t="shared" si="186"/>
        <v>7.637825059101655E-2</v>
      </c>
      <c r="AD623" s="36">
        <f t="shared" si="196"/>
        <v>1.5512422695035462</v>
      </c>
      <c r="AE623" s="36"/>
      <c r="AF623" s="36">
        <f>IFERROR(VLOOKUP(AE623,'Chemical Cost'!A:D,4,0),0)</f>
        <v>0</v>
      </c>
      <c r="AG623" s="114">
        <f t="shared" si="187"/>
        <v>0</v>
      </c>
      <c r="AH623" s="36">
        <f t="shared" si="190"/>
        <v>0</v>
      </c>
      <c r="AI623" s="36">
        <f t="shared" si="197"/>
        <v>3.013423120567376</v>
      </c>
      <c r="AJ623" s="36">
        <f>IFERROR(VLOOKUP(A623,'All Products'!A:F,6,0),0)</f>
        <v>4.8</v>
      </c>
      <c r="AK623" s="36">
        <f>AJ623*Z623*J623</f>
        <v>4.8</v>
      </c>
      <c r="AL623" s="23">
        <v>1</v>
      </c>
      <c r="AM623" s="23"/>
      <c r="AN623" s="54" t="e">
        <v>#N/A</v>
      </c>
      <c r="AO623" s="47"/>
      <c r="AP623" s="4">
        <v>1.6</v>
      </c>
      <c r="AQ623" s="111">
        <f t="shared" si="188"/>
        <v>7.637825059101655E-2</v>
      </c>
      <c r="AR623">
        <f>_xlfn.XLOOKUP(F623,'RM Cost'!A:A,'RM Cost'!S:S)</f>
        <v>1.1644775886170367</v>
      </c>
      <c r="AS623" t="e">
        <f>_xlfn.XLOOKUP(A623,[3]Sheet1!$B:$B,[3]Sheet1!$B:$B)</f>
        <v>#N/A</v>
      </c>
    </row>
    <row r="624" spans="1:46" x14ac:dyDescent="0.25">
      <c r="A624" s="2" t="s">
        <v>285</v>
      </c>
      <c r="B624" s="2" t="s">
        <v>656</v>
      </c>
      <c r="C624" s="2" t="s">
        <v>286</v>
      </c>
      <c r="D624" s="2" t="s">
        <v>554</v>
      </c>
      <c r="E624" s="2">
        <v>1</v>
      </c>
      <c r="F624" s="1" t="str">
        <f>VLOOKUP(H624,'RM Used'!A:B,2,0)</f>
        <v>P0008</v>
      </c>
      <c r="G624" s="1" t="str">
        <f>IFERROR(VLOOKUP(F624,'RM Cost'!A:B,2,0),"")</f>
        <v>PALE BLUE BAG 470X750MM</v>
      </c>
      <c r="H624" s="2" t="s">
        <v>1323</v>
      </c>
      <c r="I624" s="1" t="str">
        <f>VLOOKUP(F624,'RM Used'!B:D,3,0)</f>
        <v>RM-PACKING</v>
      </c>
      <c r="J624" s="66">
        <v>1</v>
      </c>
      <c r="K624" s="35" t="str">
        <f t="shared" si="192"/>
        <v/>
      </c>
      <c r="L624" s="35">
        <f t="shared" si="180"/>
        <v>0</v>
      </c>
      <c r="M624" s="77" t="str" cm="1">
        <f t="array" ref="M624">_xlfn.IFS(BOM!I624="RM-PACKING","100%",B624="Reynolds",VLOOKUP(H624,'Yield &amp; Time'!A:V,22,0),BOM!B624="Dnata",VLOOKUP(BOM!H624,'Yield &amp; Time'!A:M,13,0),B624="NK",VLOOKUP(H624,'Yield &amp; Time'!A:X,24,0))</f>
        <v>100%</v>
      </c>
      <c r="N624" s="35">
        <f t="shared" si="191"/>
        <v>1</v>
      </c>
      <c r="O624" s="1" t="str">
        <f>VLOOKUP(H624,'RM Used'!A:E,5,0)</f>
        <v>Count</v>
      </c>
      <c r="P624" s="11">
        <f>VLOOKUP(H624,'RM Used'!A:F,6,0)</f>
        <v>0.14000000000000001</v>
      </c>
      <c r="Q624" s="11">
        <f t="shared" si="189"/>
        <v>0.14000000000000001</v>
      </c>
      <c r="R624" s="11">
        <f>IFERROR(IF(B624="Reynolds",VLOOKUP(H624,'Yield &amp; Time'!A:U,21,0),VLOOKUP(H624,'Yield &amp; Time'!A:L,12,0)),0)</f>
        <v>0</v>
      </c>
      <c r="S624" s="11">
        <f t="shared" si="181"/>
        <v>0</v>
      </c>
      <c r="T624" s="11">
        <f t="shared" si="182"/>
        <v>0</v>
      </c>
      <c r="U624" s="11">
        <f>IF(A623=A624,0,VLOOKUP(A624,'Packing Time'!A:F,6,0))</f>
        <v>0</v>
      </c>
      <c r="V624" s="11">
        <f t="shared" si="193"/>
        <v>0</v>
      </c>
      <c r="W624" s="11">
        <f t="shared" si="194"/>
        <v>0</v>
      </c>
      <c r="X624" s="11">
        <f t="shared" si="183"/>
        <v>0</v>
      </c>
      <c r="Y624" s="11">
        <f t="shared" si="195"/>
        <v>0</v>
      </c>
      <c r="Z624" s="37">
        <v>1</v>
      </c>
      <c r="AA624" s="36">
        <f t="shared" si="184"/>
        <v>1</v>
      </c>
      <c r="AB624" s="36">
        <f t="shared" si="185"/>
        <v>0.14000000000000001</v>
      </c>
      <c r="AC624" s="11">
        <f t="shared" si="186"/>
        <v>0</v>
      </c>
      <c r="AD624" s="36">
        <f t="shared" si="196"/>
        <v>0</v>
      </c>
      <c r="AE624" s="36"/>
      <c r="AF624" s="36">
        <f>IFERROR(VLOOKUP(AE624,'Chemical Cost'!A:D,4,0),0)</f>
        <v>0</v>
      </c>
      <c r="AG624" s="114">
        <f t="shared" si="187"/>
        <v>0</v>
      </c>
      <c r="AH624" s="36">
        <f t="shared" si="190"/>
        <v>0</v>
      </c>
      <c r="AI624" s="36">
        <f t="shared" si="197"/>
        <v>0.14000000000000001</v>
      </c>
      <c r="AJ624" s="36">
        <f>IFERROR(VLOOKUP(A624,'All Products'!A:F,6,0),0)</f>
        <v>4.8</v>
      </c>
      <c r="AK624" s="36"/>
      <c r="AL624" s="23">
        <v>1</v>
      </c>
      <c r="AM624" s="23"/>
      <c r="AN624" s="54" t="e">
        <v>#N/A</v>
      </c>
      <c r="AO624" s="47"/>
      <c r="AP624" s="4">
        <v>1.6</v>
      </c>
      <c r="AQ624" s="111">
        <f t="shared" si="188"/>
        <v>0</v>
      </c>
      <c r="AR624">
        <f>_xlfn.XLOOKUP(F624,'RM Cost'!A:A,'RM Cost'!S:S)</f>
        <v>0</v>
      </c>
      <c r="AS624" t="e">
        <f>_xlfn.XLOOKUP(A624,[3]Sheet1!$B:$B,[3]Sheet1!$B:$B)</f>
        <v>#N/A</v>
      </c>
    </row>
    <row r="625" spans="1:46" x14ac:dyDescent="0.25">
      <c r="A625" s="2" t="s">
        <v>774</v>
      </c>
      <c r="B625" s="2" t="s">
        <v>656</v>
      </c>
      <c r="C625" s="2" t="s">
        <v>775</v>
      </c>
      <c r="D625" s="2" t="s">
        <v>554</v>
      </c>
      <c r="E625" s="2">
        <v>2.5</v>
      </c>
      <c r="F625" s="1" t="str">
        <f>VLOOKUP(H625,'RM Used'!A:B,2,0)</f>
        <v>0930CS</v>
      </c>
      <c r="G625" s="1" t="str">
        <f>IFERROR(VLOOKUP(F625,'RM Cost'!A:B,2,0),"")</f>
        <v>RM - COURGETTE STANDARD</v>
      </c>
      <c r="H625" s="2" t="s">
        <v>1424</v>
      </c>
      <c r="I625" s="1" t="str">
        <f>VLOOKUP(F625,'RM Used'!B:D,3,0)</f>
        <v>RM-FOOD</v>
      </c>
      <c r="J625" s="66">
        <v>1</v>
      </c>
      <c r="K625" s="35">
        <f t="shared" si="192"/>
        <v>2.5</v>
      </c>
      <c r="L625" s="35">
        <f t="shared" si="180"/>
        <v>2.5</v>
      </c>
      <c r="M625" s="77" cm="1">
        <f t="array" ref="M625">_xlfn.IFS(BOM!I625="RM-PACKING","100%",B625="Reynolds",VLOOKUP(H625,'Yield &amp; Time'!A:V,22,0),BOM!B625="Dnata",VLOOKUP(BOM!H625,'Yield &amp; Time'!A:M,13,0),B625="NK",VLOOKUP(H625,'Yield &amp; Time'!A:X,24,0))</f>
        <v>0.75230092036814722</v>
      </c>
      <c r="N625" s="35">
        <f t="shared" si="191"/>
        <v>3.3231382978723407</v>
      </c>
      <c r="O625" s="1" t="str">
        <f>VLOOKUP(H625,'RM Used'!A:E,5,0)</f>
        <v>KG</v>
      </c>
      <c r="P625" s="11">
        <f>VLOOKUP(H625,'RM Used'!A:F,6,0)</f>
        <v>1.1000000000000001</v>
      </c>
      <c r="Q625" s="11">
        <f t="shared" si="189"/>
        <v>3.6554521276595753</v>
      </c>
      <c r="R625" s="11">
        <f>IFERROR(IF(B625="Reynolds",VLOOKUP(H625,'Yield &amp; Time'!A:U,21,0),VLOOKUP(H625,'Yield &amp; Time'!A:L,12,0)),0)</f>
        <v>2.2225177304964538</v>
      </c>
      <c r="S625" s="11">
        <f t="shared" si="181"/>
        <v>1.8808056294326239</v>
      </c>
      <c r="T625" s="11">
        <f t="shared" si="182"/>
        <v>9.2604905437352253E-2</v>
      </c>
      <c r="U625" s="11">
        <f>IF(A624=A625,0,VLOOKUP(A625,'Packing Time'!A:F,6,0))</f>
        <v>0.875</v>
      </c>
      <c r="V625" s="11">
        <f t="shared" si="193"/>
        <v>0.29618749999999999</v>
      </c>
      <c r="W625" s="11">
        <f t="shared" si="194"/>
        <v>1.4583333333333334E-2</v>
      </c>
      <c r="X625" s="11">
        <f t="shared" si="183"/>
        <v>3.4831890070921987</v>
      </c>
      <c r="Y625" s="11">
        <f t="shared" si="195"/>
        <v>3.4831890070921987</v>
      </c>
      <c r="Z625" s="37">
        <v>1</v>
      </c>
      <c r="AA625" s="36">
        <f t="shared" si="184"/>
        <v>3.3231382978723407</v>
      </c>
      <c r="AB625" s="36">
        <f t="shared" si="185"/>
        <v>3.6554521276595753</v>
      </c>
      <c r="AC625" s="11">
        <f t="shared" si="186"/>
        <v>0.17150118203309694</v>
      </c>
      <c r="AD625" s="36">
        <f t="shared" si="196"/>
        <v>3.4831890070921983</v>
      </c>
      <c r="AE625" s="36"/>
      <c r="AF625" s="36">
        <f>IFERROR(VLOOKUP(AE625,'Chemical Cost'!A:D,4,0),0)</f>
        <v>0</v>
      </c>
      <c r="AG625" s="114">
        <f t="shared" si="187"/>
        <v>0</v>
      </c>
      <c r="AH625" s="36">
        <f t="shared" si="190"/>
        <v>0</v>
      </c>
      <c r="AI625" s="36">
        <f t="shared" si="197"/>
        <v>7.138641134751774</v>
      </c>
      <c r="AJ625" s="36">
        <f>IFERROR(VLOOKUP(A625,'All Products'!A:F,6,0),0)</f>
        <v>12.01</v>
      </c>
      <c r="AK625" s="36">
        <f>AJ625*Z625*J625</f>
        <v>12.01</v>
      </c>
      <c r="AL625" s="23">
        <v>1</v>
      </c>
      <c r="AM625" s="23"/>
      <c r="AN625" s="54" t="e">
        <v>#N/A</v>
      </c>
      <c r="AO625" s="47"/>
      <c r="AP625" s="4">
        <v>1.6</v>
      </c>
      <c r="AQ625" s="111">
        <f t="shared" si="188"/>
        <v>0.17150118203309694</v>
      </c>
      <c r="AR625">
        <f>_xlfn.XLOOKUP(F625,'RM Cost'!A:A,'RM Cost'!S:S)</f>
        <v>1.1644775886170367</v>
      </c>
      <c r="AS625" t="e">
        <f>_xlfn.XLOOKUP(A625,[3]Sheet1!$B:$B,[3]Sheet1!$B:$B)</f>
        <v>#N/A</v>
      </c>
    </row>
    <row r="626" spans="1:46" x14ac:dyDescent="0.25">
      <c r="A626" s="2" t="s">
        <v>774</v>
      </c>
      <c r="B626" s="2" t="s">
        <v>656</v>
      </c>
      <c r="C626" s="2" t="s">
        <v>775</v>
      </c>
      <c r="D626" s="2" t="s">
        <v>554</v>
      </c>
      <c r="E626" s="2">
        <v>2.5</v>
      </c>
      <c r="F626" s="1" t="str">
        <f>VLOOKUP(H626,'RM Used'!A:B,2,0)</f>
        <v>P0008</v>
      </c>
      <c r="G626" s="1" t="str">
        <f>IFERROR(VLOOKUP(F626,'RM Cost'!A:B,2,0),"")</f>
        <v>PALE BLUE BAG 470X750MM</v>
      </c>
      <c r="H626" s="2" t="s">
        <v>1323</v>
      </c>
      <c r="I626" s="1" t="str">
        <f>VLOOKUP(F626,'RM Used'!B:D,3,0)</f>
        <v>RM-PACKING</v>
      </c>
      <c r="J626" s="66">
        <v>1</v>
      </c>
      <c r="K626" s="35" t="str">
        <f t="shared" si="192"/>
        <v/>
      </c>
      <c r="L626" s="35">
        <f t="shared" si="180"/>
        <v>0</v>
      </c>
      <c r="M626" s="77" t="str" cm="1">
        <f t="array" ref="M626">_xlfn.IFS(BOM!I626="RM-PACKING","100%",B626="Reynolds",VLOOKUP(H626,'Yield &amp; Time'!A:V,22,0),BOM!B626="Dnata",VLOOKUP(BOM!H626,'Yield &amp; Time'!A:M,13,0),B626="NK",VLOOKUP(H626,'Yield &amp; Time'!A:X,24,0))</f>
        <v>100%</v>
      </c>
      <c r="N626" s="35">
        <f t="shared" si="191"/>
        <v>1</v>
      </c>
      <c r="O626" s="1" t="str">
        <f>VLOOKUP(H626,'RM Used'!A:E,5,0)</f>
        <v>Count</v>
      </c>
      <c r="P626" s="11">
        <f>VLOOKUP(H626,'RM Used'!A:F,6,0)</f>
        <v>0.14000000000000001</v>
      </c>
      <c r="Q626" s="11">
        <f t="shared" si="189"/>
        <v>0.14000000000000001</v>
      </c>
      <c r="R626" s="11">
        <f>IFERROR(IF(B626="Reynolds",VLOOKUP(H626,'Yield &amp; Time'!A:U,21,0),VLOOKUP(H626,'Yield &amp; Time'!A:L,12,0)),0)</f>
        <v>0</v>
      </c>
      <c r="S626" s="11">
        <f t="shared" si="181"/>
        <v>0</v>
      </c>
      <c r="T626" s="11">
        <f t="shared" si="182"/>
        <v>0</v>
      </c>
      <c r="U626" s="11">
        <f>IF(A625=A626,0,VLOOKUP(A626,'Packing Time'!A:F,6,0))</f>
        <v>0</v>
      </c>
      <c r="V626" s="11">
        <f t="shared" si="193"/>
        <v>0</v>
      </c>
      <c r="W626" s="11">
        <f t="shared" si="194"/>
        <v>0</v>
      </c>
      <c r="X626" s="11">
        <f t="shared" si="183"/>
        <v>0</v>
      </c>
      <c r="Y626" s="11">
        <f t="shared" si="195"/>
        <v>0</v>
      </c>
      <c r="Z626" s="37">
        <v>1</v>
      </c>
      <c r="AA626" s="36">
        <f t="shared" si="184"/>
        <v>1</v>
      </c>
      <c r="AB626" s="36">
        <f t="shared" si="185"/>
        <v>0.14000000000000001</v>
      </c>
      <c r="AC626" s="11">
        <f t="shared" si="186"/>
        <v>0</v>
      </c>
      <c r="AD626" s="36">
        <f t="shared" si="196"/>
        <v>0</v>
      </c>
      <c r="AE626" s="36"/>
      <c r="AF626" s="36">
        <f>IFERROR(VLOOKUP(AE626,'Chemical Cost'!A:D,4,0),0)</f>
        <v>0</v>
      </c>
      <c r="AG626" s="114">
        <f t="shared" si="187"/>
        <v>0</v>
      </c>
      <c r="AH626" s="36">
        <f t="shared" si="190"/>
        <v>0</v>
      </c>
      <c r="AI626" s="36">
        <f t="shared" si="197"/>
        <v>0.14000000000000001</v>
      </c>
      <c r="AJ626" s="36">
        <f>IFERROR(VLOOKUP(A626,'All Products'!A:F,6,0),0)</f>
        <v>12.01</v>
      </c>
      <c r="AK626" s="36"/>
      <c r="AL626" s="23">
        <v>1</v>
      </c>
      <c r="AM626" s="23"/>
      <c r="AN626" s="54" t="e">
        <v>#N/A</v>
      </c>
      <c r="AO626" s="47"/>
      <c r="AP626" s="4">
        <v>1.6</v>
      </c>
      <c r="AQ626" s="111">
        <f t="shared" si="188"/>
        <v>0</v>
      </c>
      <c r="AR626">
        <f>_xlfn.XLOOKUP(F626,'RM Cost'!A:A,'RM Cost'!S:S)</f>
        <v>0</v>
      </c>
      <c r="AS626" t="e">
        <f>_xlfn.XLOOKUP(A626,[3]Sheet1!$B:$B,[3]Sheet1!$B:$B)</f>
        <v>#N/A</v>
      </c>
    </row>
    <row r="627" spans="1:46" x14ac:dyDescent="0.25">
      <c r="A627" s="2" t="s">
        <v>776</v>
      </c>
      <c r="B627" s="2" t="s">
        <v>656</v>
      </c>
      <c r="C627" s="2" t="s">
        <v>777</v>
      </c>
      <c r="D627" s="2" t="s">
        <v>554</v>
      </c>
      <c r="E627" s="2">
        <v>1</v>
      </c>
      <c r="F627" s="1" t="str">
        <f>VLOOKUP(H627,'RM Used'!A:B,2,0)</f>
        <v>0930CS</v>
      </c>
      <c r="G627" s="1" t="str">
        <f>IFERROR(VLOOKUP(F627,'RM Cost'!A:B,2,0),"")</f>
        <v>RM - COURGETTE STANDARD</v>
      </c>
      <c r="H627" s="2" t="s">
        <v>1511</v>
      </c>
      <c r="I627" s="1" t="str">
        <f>VLOOKUP(F627,'RM Used'!B:D,3,0)</f>
        <v>RM-FOOD</v>
      </c>
      <c r="J627" s="66">
        <v>1</v>
      </c>
      <c r="K627" s="35">
        <f t="shared" si="192"/>
        <v>1</v>
      </c>
      <c r="L627" s="35">
        <f t="shared" si="180"/>
        <v>1</v>
      </c>
      <c r="M627" s="77" cm="1">
        <f t="array" ref="M627">_xlfn.IFS(BOM!I627="RM-PACKING","100%",B627="Reynolds",VLOOKUP(H627,'Yield &amp; Time'!A:V,22,0),BOM!B627="Dnata",VLOOKUP(BOM!H627,'Yield &amp; Time'!A:M,13,0),B627="NK",VLOOKUP(H627,'Yield &amp; Time'!A:X,24,0))</f>
        <v>0.78947368421052644</v>
      </c>
      <c r="N627" s="35">
        <f t="shared" si="191"/>
        <v>1.2666666666666664</v>
      </c>
      <c r="O627" s="1" t="str">
        <f>VLOOKUP(H627,'RM Used'!A:E,5,0)</f>
        <v>KG</v>
      </c>
      <c r="P627" s="11">
        <f>VLOOKUP(H627,'RM Used'!A:F,6,0)</f>
        <v>1.1000000000000001</v>
      </c>
      <c r="Q627" s="11">
        <f t="shared" si="189"/>
        <v>1.3933333333333331</v>
      </c>
      <c r="R627" s="11">
        <f>IFERROR(IF(B627="Reynolds",VLOOKUP(H627,'Yield &amp; Time'!A:U,21,0),VLOOKUP(H627,'Yield &amp; Time'!A:L,12,0)),0)</f>
        <v>1.2098765432098764</v>
      </c>
      <c r="S627" s="11">
        <f t="shared" si="181"/>
        <v>0.40954320987654314</v>
      </c>
      <c r="T627" s="11">
        <f t="shared" si="182"/>
        <v>2.0164609053497939E-2</v>
      </c>
      <c r="U627" s="11">
        <f>IF(A626=A627,0,VLOOKUP(A627,'Packing Time'!A:F,6,0))</f>
        <v>0.64166666666666661</v>
      </c>
      <c r="V627" s="11">
        <f t="shared" si="193"/>
        <v>0.21720416666666661</v>
      </c>
      <c r="W627" s="11">
        <f t="shared" si="194"/>
        <v>1.0694444444444444E-2</v>
      </c>
      <c r="X627" s="11">
        <f t="shared" si="183"/>
        <v>1.0027958024691357</v>
      </c>
      <c r="Y627" s="11">
        <f t="shared" si="195"/>
        <v>1.0027958024691357</v>
      </c>
      <c r="Z627" s="37">
        <v>1</v>
      </c>
      <c r="AA627" s="36">
        <f t="shared" si="184"/>
        <v>1.2666666666666664</v>
      </c>
      <c r="AB627" s="36">
        <f t="shared" si="185"/>
        <v>1.3933333333333331</v>
      </c>
      <c r="AC627" s="11">
        <f t="shared" si="186"/>
        <v>4.9374485596707818E-2</v>
      </c>
      <c r="AD627" s="36">
        <f t="shared" si="196"/>
        <v>1.0027958024691357</v>
      </c>
      <c r="AE627" s="36"/>
      <c r="AF627" s="36">
        <f>IFERROR(VLOOKUP(AE627,'Chemical Cost'!A:D,4,0),0)</f>
        <v>0</v>
      </c>
      <c r="AG627" s="114">
        <f t="shared" si="187"/>
        <v>0</v>
      </c>
      <c r="AH627" s="36">
        <f t="shared" si="190"/>
        <v>0</v>
      </c>
      <c r="AI627" s="36">
        <f t="shared" si="197"/>
        <v>2.396129135802469</v>
      </c>
      <c r="AJ627" s="36">
        <f>IFERROR(VLOOKUP(A627,'All Products'!A:F,6,0),0)</f>
        <v>3.15</v>
      </c>
      <c r="AK627" s="36">
        <f>AJ627*Z627*J627</f>
        <v>3.15</v>
      </c>
      <c r="AL627" s="23">
        <v>0</v>
      </c>
      <c r="AM627" s="23">
        <v>1</v>
      </c>
      <c r="AN627" s="54" t="e">
        <v>#N/A</v>
      </c>
      <c r="AO627" s="47"/>
      <c r="AP627" s="4">
        <v>1.6</v>
      </c>
      <c r="AQ627" s="111">
        <f t="shared" si="188"/>
        <v>4.9374485596707818E-2</v>
      </c>
      <c r="AR627">
        <f>_xlfn.XLOOKUP(F627,'RM Cost'!A:A,'RM Cost'!S:S)</f>
        <v>1.1644775886170367</v>
      </c>
      <c r="AS627" t="str">
        <f>_xlfn.XLOOKUP(A627,[3]Sheet1!$B:$B,[3]Sheet1!$B:$B)</f>
        <v>Z127CS</v>
      </c>
      <c r="AT627">
        <f>_xlfn.XLOOKUP(H627,'Yield &amp; Time'!A:A,'Yield &amp; Time'!F:F)</f>
        <v>0</v>
      </c>
    </row>
    <row r="628" spans="1:46" x14ac:dyDescent="0.25">
      <c r="A628" s="2" t="s">
        <v>776</v>
      </c>
      <c r="B628" s="2" t="s">
        <v>656</v>
      </c>
      <c r="C628" s="2" t="s">
        <v>777</v>
      </c>
      <c r="D628" s="2" t="s">
        <v>554</v>
      </c>
      <c r="E628" s="2">
        <v>1</v>
      </c>
      <c r="F628" s="1" t="str">
        <f>VLOOKUP(H628,'RM Used'!A:B,2,0)</f>
        <v>P0008</v>
      </c>
      <c r="G628" s="1" t="str">
        <f>IFERROR(VLOOKUP(F628,'RM Cost'!A:B,2,0),"")</f>
        <v>PALE BLUE BAG 470X750MM</v>
      </c>
      <c r="H628" s="2" t="s">
        <v>1323</v>
      </c>
      <c r="I628" s="1" t="str">
        <f>VLOOKUP(F628,'RM Used'!B:D,3,0)</f>
        <v>RM-PACKING</v>
      </c>
      <c r="J628" s="66">
        <v>1</v>
      </c>
      <c r="K628" s="35" t="str">
        <f t="shared" si="192"/>
        <v/>
      </c>
      <c r="L628" s="35">
        <f t="shared" si="180"/>
        <v>0</v>
      </c>
      <c r="M628" s="77" t="str" cm="1">
        <f t="array" ref="M628">_xlfn.IFS(BOM!I628="RM-PACKING","100%",B628="Reynolds",VLOOKUP(H628,'Yield &amp; Time'!A:V,22,0),BOM!B628="Dnata",VLOOKUP(BOM!H628,'Yield &amp; Time'!A:M,13,0),B628="NK",VLOOKUP(H628,'Yield &amp; Time'!A:X,24,0))</f>
        <v>100%</v>
      </c>
      <c r="N628" s="35">
        <f t="shared" si="191"/>
        <v>1</v>
      </c>
      <c r="O628" s="1" t="str">
        <f>VLOOKUP(H628,'RM Used'!A:E,5,0)</f>
        <v>Count</v>
      </c>
      <c r="P628" s="11">
        <f>VLOOKUP(H628,'RM Used'!A:F,6,0)</f>
        <v>0.14000000000000001</v>
      </c>
      <c r="Q628" s="11">
        <f t="shared" si="189"/>
        <v>0.14000000000000001</v>
      </c>
      <c r="R628" s="11">
        <f>IFERROR(IF(B628="Reynolds",VLOOKUP(H628,'Yield &amp; Time'!A:U,21,0),VLOOKUP(H628,'Yield &amp; Time'!A:L,12,0)),0)</f>
        <v>0</v>
      </c>
      <c r="S628" s="11">
        <f t="shared" si="181"/>
        <v>0</v>
      </c>
      <c r="T628" s="11">
        <f t="shared" si="182"/>
        <v>0</v>
      </c>
      <c r="U628" s="11">
        <f>IF(A627=A628,0,VLOOKUP(A628,'Packing Time'!A:F,6,0))</f>
        <v>0</v>
      </c>
      <c r="V628" s="11">
        <f t="shared" si="193"/>
        <v>0</v>
      </c>
      <c r="W628" s="11">
        <f t="shared" si="194"/>
        <v>0</v>
      </c>
      <c r="X628" s="11">
        <f t="shared" si="183"/>
        <v>0</v>
      </c>
      <c r="Y628" s="11">
        <f t="shared" si="195"/>
        <v>0</v>
      </c>
      <c r="Z628" s="37">
        <v>1</v>
      </c>
      <c r="AA628" s="36">
        <f t="shared" si="184"/>
        <v>1</v>
      </c>
      <c r="AB628" s="36">
        <f t="shared" si="185"/>
        <v>0.14000000000000001</v>
      </c>
      <c r="AC628" s="11">
        <f t="shared" si="186"/>
        <v>0</v>
      </c>
      <c r="AD628" s="36">
        <f t="shared" si="196"/>
        <v>0</v>
      </c>
      <c r="AE628" s="36"/>
      <c r="AF628" s="36">
        <f>IFERROR(VLOOKUP(AE628,'Chemical Cost'!A:D,4,0),0)</f>
        <v>0</v>
      </c>
      <c r="AG628" s="114">
        <f t="shared" si="187"/>
        <v>0</v>
      </c>
      <c r="AH628" s="36">
        <f t="shared" si="190"/>
        <v>0</v>
      </c>
      <c r="AI628" s="36">
        <f t="shared" si="197"/>
        <v>0.14000000000000001</v>
      </c>
      <c r="AJ628" s="36">
        <f>IFERROR(VLOOKUP(A628,'All Products'!A:F,6,0),0)</f>
        <v>3.15</v>
      </c>
      <c r="AK628" s="36"/>
      <c r="AL628" s="23">
        <v>0</v>
      </c>
      <c r="AM628" s="23">
        <v>1</v>
      </c>
      <c r="AN628" s="54" t="e">
        <v>#N/A</v>
      </c>
      <c r="AO628" s="47"/>
      <c r="AP628" s="4">
        <v>1.6</v>
      </c>
      <c r="AQ628" s="111">
        <f t="shared" si="188"/>
        <v>0</v>
      </c>
      <c r="AR628">
        <f>_xlfn.XLOOKUP(F628,'RM Cost'!A:A,'RM Cost'!S:S)</f>
        <v>0</v>
      </c>
      <c r="AS628" t="str">
        <f>_xlfn.XLOOKUP(A628,[3]Sheet1!$B:$B,[3]Sheet1!$B:$B)</f>
        <v>Z127CS</v>
      </c>
      <c r="AT628" t="e">
        <f>_xlfn.XLOOKUP(H628,'Yield &amp; Time'!A:A,'Yield &amp; Time'!F:F)</f>
        <v>#N/A</v>
      </c>
    </row>
    <row r="629" spans="1:46" x14ac:dyDescent="0.25">
      <c r="A629" s="2" t="s">
        <v>283</v>
      </c>
      <c r="B629" s="2" t="s">
        <v>656</v>
      </c>
      <c r="C629" s="2" t="s">
        <v>284</v>
      </c>
      <c r="D629" s="2" t="s">
        <v>554</v>
      </c>
      <c r="E629" s="2">
        <v>2.5</v>
      </c>
      <c r="F629" s="1" t="str">
        <f>VLOOKUP(H629,'RM Used'!A:B,2,0)</f>
        <v>0930CS</v>
      </c>
      <c r="G629" s="1" t="str">
        <f>IFERROR(VLOOKUP(F629,'RM Cost'!A:B,2,0),"")</f>
        <v>RM - COURGETTE STANDARD</v>
      </c>
      <c r="H629" s="2" t="s">
        <v>1511</v>
      </c>
      <c r="I629" s="1" t="str">
        <f>VLOOKUP(F629,'RM Used'!B:D,3,0)</f>
        <v>RM-FOOD</v>
      </c>
      <c r="J629" s="66">
        <v>1</v>
      </c>
      <c r="K629" s="35">
        <f t="shared" si="192"/>
        <v>2.5</v>
      </c>
      <c r="L629" s="35">
        <f t="shared" si="180"/>
        <v>2.5</v>
      </c>
      <c r="M629" s="77" cm="1">
        <f t="array" ref="M629">_xlfn.IFS(BOM!I629="RM-PACKING","100%",B629="Reynolds",VLOOKUP(H629,'Yield &amp; Time'!A:V,22,0),BOM!B629="Dnata",VLOOKUP(BOM!H629,'Yield &amp; Time'!A:M,13,0),B629="NK",VLOOKUP(H629,'Yield &amp; Time'!A:X,24,0))</f>
        <v>0.78947368421052644</v>
      </c>
      <c r="N629" s="35">
        <f t="shared" si="191"/>
        <v>3.1666666666666661</v>
      </c>
      <c r="O629" s="1" t="str">
        <f>VLOOKUP(H629,'RM Used'!A:E,5,0)</f>
        <v>KG</v>
      </c>
      <c r="P629" s="11">
        <f>VLOOKUP(H629,'RM Used'!A:F,6,0)</f>
        <v>1.1000000000000001</v>
      </c>
      <c r="Q629" s="11">
        <f t="shared" si="189"/>
        <v>3.4833333333333329</v>
      </c>
      <c r="R629" s="11">
        <f>IFERROR(IF(B629="Reynolds",VLOOKUP(H629,'Yield &amp; Time'!A:U,21,0),VLOOKUP(H629,'Yield &amp; Time'!A:L,12,0)),0)</f>
        <v>1.2098765432098764</v>
      </c>
      <c r="S629" s="11">
        <f t="shared" si="181"/>
        <v>1.0238580246913578</v>
      </c>
      <c r="T629" s="11">
        <f t="shared" si="182"/>
        <v>5.0411522633744849E-2</v>
      </c>
      <c r="U629" s="11">
        <f>IF(A628=A629,0,VLOOKUP(A629,'Packing Time'!A:F,6,0))</f>
        <v>0.875</v>
      </c>
      <c r="V629" s="11">
        <f t="shared" si="193"/>
        <v>0.29618749999999999</v>
      </c>
      <c r="W629" s="11">
        <f t="shared" si="194"/>
        <v>1.4583333333333334E-2</v>
      </c>
      <c r="X629" s="11">
        <f t="shared" si="183"/>
        <v>2.1120728395061725</v>
      </c>
      <c r="Y629" s="11">
        <f t="shared" si="195"/>
        <v>2.1120728395061725</v>
      </c>
      <c r="Z629" s="37">
        <v>1</v>
      </c>
      <c r="AA629" s="36">
        <f t="shared" si="184"/>
        <v>3.1666666666666661</v>
      </c>
      <c r="AB629" s="36">
        <f t="shared" si="185"/>
        <v>3.4833333333333329</v>
      </c>
      <c r="AC629" s="11">
        <f t="shared" si="186"/>
        <v>0.1039917695473251</v>
      </c>
      <c r="AD629" s="36">
        <f t="shared" si="196"/>
        <v>2.1120728395061725</v>
      </c>
      <c r="AE629" s="36"/>
      <c r="AF629" s="36">
        <f>IFERROR(VLOOKUP(AE629,'Chemical Cost'!A:D,4,0),0)</f>
        <v>0</v>
      </c>
      <c r="AG629" s="114">
        <f t="shared" si="187"/>
        <v>0</v>
      </c>
      <c r="AH629" s="36">
        <f t="shared" si="190"/>
        <v>0</v>
      </c>
      <c r="AI629" s="36">
        <f t="shared" si="197"/>
        <v>5.595406172839505</v>
      </c>
      <c r="AJ629" s="36">
        <f>IFERROR(VLOOKUP(A629,'All Products'!A:F,6,0),0)</f>
        <v>7.86</v>
      </c>
      <c r="AK629" s="36">
        <f>AJ629*Z629*J629</f>
        <v>7.86</v>
      </c>
      <c r="AL629" s="23">
        <v>0</v>
      </c>
      <c r="AM629" s="23">
        <v>1</v>
      </c>
      <c r="AN629" s="54" t="e">
        <v>#N/A</v>
      </c>
      <c r="AO629" s="47"/>
      <c r="AP629" s="4">
        <v>1.6</v>
      </c>
      <c r="AQ629" s="111">
        <f t="shared" si="188"/>
        <v>0.1039917695473251</v>
      </c>
      <c r="AR629">
        <f>_xlfn.XLOOKUP(F629,'RM Cost'!A:A,'RM Cost'!S:S)</f>
        <v>1.1644775886170367</v>
      </c>
      <c r="AS629" t="e">
        <f>_xlfn.XLOOKUP(A629,[3]Sheet1!$B:$B,[3]Sheet1!$B:$B)</f>
        <v>#N/A</v>
      </c>
    </row>
    <row r="630" spans="1:46" x14ac:dyDescent="0.25">
      <c r="A630" s="2" t="s">
        <v>283</v>
      </c>
      <c r="B630" s="2" t="s">
        <v>656</v>
      </c>
      <c r="C630" s="2" t="s">
        <v>284</v>
      </c>
      <c r="D630" s="2" t="s">
        <v>554</v>
      </c>
      <c r="E630" s="2">
        <v>2.5</v>
      </c>
      <c r="F630" s="1" t="str">
        <f>VLOOKUP(H630,'RM Used'!A:B,2,0)</f>
        <v>P0008</v>
      </c>
      <c r="G630" s="1" t="str">
        <f>IFERROR(VLOOKUP(F630,'RM Cost'!A:B,2,0),"")</f>
        <v>PALE BLUE BAG 470X750MM</v>
      </c>
      <c r="H630" s="2" t="s">
        <v>1323</v>
      </c>
      <c r="I630" s="1" t="str">
        <f>VLOOKUP(F630,'RM Used'!B:D,3,0)</f>
        <v>RM-PACKING</v>
      </c>
      <c r="J630" s="66">
        <v>1</v>
      </c>
      <c r="K630" s="35" t="str">
        <f t="shared" si="192"/>
        <v/>
      </c>
      <c r="L630" s="35">
        <f t="shared" si="180"/>
        <v>0</v>
      </c>
      <c r="M630" s="77" t="str" cm="1">
        <f t="array" ref="M630">_xlfn.IFS(BOM!I630="RM-PACKING","100%",B630="Reynolds",VLOOKUP(H630,'Yield &amp; Time'!A:V,22,0),BOM!B630="Dnata",VLOOKUP(BOM!H630,'Yield &amp; Time'!A:M,13,0),B630="NK",VLOOKUP(H630,'Yield &amp; Time'!A:X,24,0))</f>
        <v>100%</v>
      </c>
      <c r="N630" s="35">
        <f t="shared" si="191"/>
        <v>1</v>
      </c>
      <c r="O630" s="1" t="str">
        <f>VLOOKUP(H630,'RM Used'!A:E,5,0)</f>
        <v>Count</v>
      </c>
      <c r="P630" s="11">
        <f>VLOOKUP(H630,'RM Used'!A:F,6,0)</f>
        <v>0.14000000000000001</v>
      </c>
      <c r="Q630" s="11">
        <f t="shared" si="189"/>
        <v>0.14000000000000001</v>
      </c>
      <c r="R630" s="11">
        <f>IFERROR(IF(B630="Reynolds",VLOOKUP(H630,'Yield &amp; Time'!A:U,21,0),VLOOKUP(H630,'Yield &amp; Time'!A:L,12,0)),0)</f>
        <v>0</v>
      </c>
      <c r="S630" s="11">
        <f t="shared" si="181"/>
        <v>0</v>
      </c>
      <c r="T630" s="11">
        <f t="shared" si="182"/>
        <v>0</v>
      </c>
      <c r="U630" s="11">
        <f>IF(A629=A630,0,VLOOKUP(A630,'Packing Time'!A:F,6,0))</f>
        <v>0</v>
      </c>
      <c r="V630" s="11">
        <f t="shared" si="193"/>
        <v>0</v>
      </c>
      <c r="W630" s="11">
        <f t="shared" si="194"/>
        <v>0</v>
      </c>
      <c r="X630" s="11">
        <f t="shared" si="183"/>
        <v>0</v>
      </c>
      <c r="Y630" s="11">
        <f t="shared" si="195"/>
        <v>0</v>
      </c>
      <c r="Z630" s="37">
        <v>1</v>
      </c>
      <c r="AA630" s="36">
        <f t="shared" si="184"/>
        <v>1</v>
      </c>
      <c r="AB630" s="36">
        <f t="shared" si="185"/>
        <v>0.14000000000000001</v>
      </c>
      <c r="AC630" s="11">
        <f t="shared" si="186"/>
        <v>0</v>
      </c>
      <c r="AD630" s="36">
        <f t="shared" si="196"/>
        <v>0</v>
      </c>
      <c r="AE630" s="36"/>
      <c r="AF630" s="36">
        <f>IFERROR(VLOOKUP(AE630,'Chemical Cost'!A:D,4,0),0)</f>
        <v>0</v>
      </c>
      <c r="AG630" s="114">
        <f t="shared" si="187"/>
        <v>0</v>
      </c>
      <c r="AH630" s="36">
        <f t="shared" si="190"/>
        <v>0</v>
      </c>
      <c r="AI630" s="36">
        <f t="shared" si="197"/>
        <v>0.14000000000000001</v>
      </c>
      <c r="AJ630" s="36">
        <f>IFERROR(VLOOKUP(A630,'All Products'!A:F,6,0),0)</f>
        <v>7.86</v>
      </c>
      <c r="AK630" s="36"/>
      <c r="AL630" s="23">
        <v>0</v>
      </c>
      <c r="AM630" s="23">
        <v>1</v>
      </c>
      <c r="AN630" s="54" t="e">
        <v>#N/A</v>
      </c>
      <c r="AO630" s="47"/>
      <c r="AP630" s="4">
        <v>1.6</v>
      </c>
      <c r="AQ630" s="111">
        <f t="shared" si="188"/>
        <v>0</v>
      </c>
      <c r="AR630">
        <f>_xlfn.XLOOKUP(F630,'RM Cost'!A:A,'RM Cost'!S:S)</f>
        <v>0</v>
      </c>
      <c r="AS630" t="e">
        <f>_xlfn.XLOOKUP(A630,[3]Sheet1!$B:$B,[3]Sheet1!$B:$B)</f>
        <v>#N/A</v>
      </c>
    </row>
    <row r="631" spans="1:46" x14ac:dyDescent="0.25">
      <c r="A631" s="2" t="s">
        <v>778</v>
      </c>
      <c r="B631" s="2" t="s">
        <v>656</v>
      </c>
      <c r="C631" s="2" t="s">
        <v>779</v>
      </c>
      <c r="D631" s="2" t="s">
        <v>554</v>
      </c>
      <c r="E631" s="2">
        <v>1</v>
      </c>
      <c r="F631" s="1" t="str">
        <f>VLOOKUP(H631,'RM Used'!A:B,2,0)</f>
        <v>0930CS</v>
      </c>
      <c r="G631" s="1" t="str">
        <f>IFERROR(VLOOKUP(F631,'RM Cost'!A:B,2,0),"")</f>
        <v>RM - COURGETTE STANDARD</v>
      </c>
      <c r="H631" s="2" t="s">
        <v>1512</v>
      </c>
      <c r="I631" s="1" t="str">
        <f>VLOOKUP(F631,'RM Used'!B:D,3,0)</f>
        <v>RM-FOOD</v>
      </c>
      <c r="J631" s="66">
        <v>1</v>
      </c>
      <c r="K631" s="35">
        <f t="shared" si="192"/>
        <v>1</v>
      </c>
      <c r="L631" s="35">
        <f t="shared" si="180"/>
        <v>1</v>
      </c>
      <c r="M631" s="77" cm="1">
        <f t="array" ref="M631">_xlfn.IFS(BOM!I631="RM-PACKING","100%",B631="Reynolds",VLOOKUP(H631,'Yield &amp; Time'!A:V,22,0),BOM!B631="Dnata",VLOOKUP(BOM!H631,'Yield &amp; Time'!A:M,13,0),B631="NK",VLOOKUP(H631,'Yield &amp; Time'!A:X,24,0))</f>
        <v>0.8</v>
      </c>
      <c r="N631" s="35">
        <f t="shared" si="191"/>
        <v>1.25</v>
      </c>
      <c r="O631" s="1" t="str">
        <f>VLOOKUP(H631,'RM Used'!A:E,5,0)</f>
        <v>KG</v>
      </c>
      <c r="P631" s="11">
        <f>VLOOKUP(H631,'RM Used'!A:F,6,0)</f>
        <v>1.1000000000000001</v>
      </c>
      <c r="Q631" s="11">
        <f t="shared" si="189"/>
        <v>1.375</v>
      </c>
      <c r="R631" s="11">
        <f>IFERROR(IF(B631="Reynolds",VLOOKUP(H631,'Yield &amp; Time'!A:U,21,0),VLOOKUP(H631,'Yield &amp; Time'!A:L,12,0)),0)</f>
        <v>1.6666666666666665</v>
      </c>
      <c r="S631" s="11">
        <f t="shared" si="181"/>
        <v>0.56416666666666659</v>
      </c>
      <c r="T631" s="11">
        <f t="shared" si="182"/>
        <v>2.7777777777777776E-2</v>
      </c>
      <c r="U631" s="11">
        <f>IF(A630=A631,0,VLOOKUP(A631,'Packing Time'!A:F,6,0))</f>
        <v>0.64166666666666661</v>
      </c>
      <c r="V631" s="11">
        <f t="shared" si="193"/>
        <v>0.21720416666666661</v>
      </c>
      <c r="W631" s="11">
        <f t="shared" si="194"/>
        <v>1.0694444444444444E-2</v>
      </c>
      <c r="X631" s="11">
        <f t="shared" si="183"/>
        <v>1.2501933333333333</v>
      </c>
      <c r="Y631" s="11">
        <f t="shared" si="195"/>
        <v>1.2501933333333333</v>
      </c>
      <c r="Z631" s="37">
        <v>1</v>
      </c>
      <c r="AA631" s="36">
        <f t="shared" si="184"/>
        <v>1.25</v>
      </c>
      <c r="AB631" s="36">
        <f t="shared" si="185"/>
        <v>1.375</v>
      </c>
      <c r="AC631" s="11">
        <f t="shared" si="186"/>
        <v>6.1555555555555558E-2</v>
      </c>
      <c r="AD631" s="36">
        <f t="shared" si="196"/>
        <v>1.2501933333333333</v>
      </c>
      <c r="AE631" s="36"/>
      <c r="AF631" s="36">
        <f>IFERROR(VLOOKUP(AE631,'Chemical Cost'!A:D,4,0),0)</f>
        <v>0</v>
      </c>
      <c r="AG631" s="114">
        <f t="shared" si="187"/>
        <v>0</v>
      </c>
      <c r="AH631" s="36">
        <f t="shared" si="190"/>
        <v>0</v>
      </c>
      <c r="AI631" s="36">
        <f t="shared" si="197"/>
        <v>2.6251933333333333</v>
      </c>
      <c r="AJ631" s="36">
        <f>IFERROR(VLOOKUP(A631,'All Products'!A:F,6,0),0)</f>
        <v>4.54</v>
      </c>
      <c r="AK631" s="36">
        <f>AJ631*Z631*J631</f>
        <v>4.54</v>
      </c>
      <c r="AL631" s="23">
        <v>0</v>
      </c>
      <c r="AM631" s="23">
        <v>1</v>
      </c>
      <c r="AN631" s="54" t="e">
        <v>#N/A</v>
      </c>
      <c r="AO631" s="47"/>
      <c r="AP631" s="4">
        <v>1.6</v>
      </c>
      <c r="AQ631" s="111">
        <f t="shared" si="188"/>
        <v>6.1555555555555558E-2</v>
      </c>
      <c r="AR631">
        <f>_xlfn.XLOOKUP(F631,'RM Cost'!A:A,'RM Cost'!S:S)</f>
        <v>1.1644775886170367</v>
      </c>
      <c r="AS631" t="str">
        <f>_xlfn.XLOOKUP(A631,[3]Sheet1!$B:$B,[3]Sheet1!$B:$B)</f>
        <v>Z123CS</v>
      </c>
      <c r="AT631">
        <f>_xlfn.XLOOKUP(H631,'Yield &amp; Time'!A:A,'Yield &amp; Time'!F:F)</f>
        <v>0</v>
      </c>
    </row>
    <row r="632" spans="1:46" x14ac:dyDescent="0.25">
      <c r="A632" s="2" t="s">
        <v>778</v>
      </c>
      <c r="B632" s="2" t="s">
        <v>656</v>
      </c>
      <c r="C632" s="2" t="s">
        <v>779</v>
      </c>
      <c r="D632" s="2" t="s">
        <v>554</v>
      </c>
      <c r="E632" s="2">
        <v>1</v>
      </c>
      <c r="F632" s="1" t="str">
        <f>VLOOKUP(H632,'RM Used'!A:B,2,0)</f>
        <v>P0008</v>
      </c>
      <c r="G632" s="1" t="str">
        <f>IFERROR(VLOOKUP(F632,'RM Cost'!A:B,2,0),"")</f>
        <v>PALE BLUE BAG 470X750MM</v>
      </c>
      <c r="H632" s="2" t="s">
        <v>1323</v>
      </c>
      <c r="I632" s="1" t="str">
        <f>VLOOKUP(F632,'RM Used'!B:D,3,0)</f>
        <v>RM-PACKING</v>
      </c>
      <c r="J632" s="66">
        <v>1</v>
      </c>
      <c r="K632" s="35" t="str">
        <f t="shared" si="192"/>
        <v/>
      </c>
      <c r="L632" s="35">
        <f t="shared" si="180"/>
        <v>0</v>
      </c>
      <c r="M632" s="77" t="str" cm="1">
        <f t="array" ref="M632">_xlfn.IFS(BOM!I632="RM-PACKING","100%",B632="Reynolds",VLOOKUP(H632,'Yield &amp; Time'!A:V,22,0),BOM!B632="Dnata",VLOOKUP(BOM!H632,'Yield &amp; Time'!A:M,13,0),B632="NK",VLOOKUP(H632,'Yield &amp; Time'!A:X,24,0))</f>
        <v>100%</v>
      </c>
      <c r="N632" s="35">
        <f t="shared" si="191"/>
        <v>1</v>
      </c>
      <c r="O632" s="1" t="str">
        <f>VLOOKUP(H632,'RM Used'!A:E,5,0)</f>
        <v>Count</v>
      </c>
      <c r="P632" s="11">
        <f>VLOOKUP(H632,'RM Used'!A:F,6,0)</f>
        <v>0.14000000000000001</v>
      </c>
      <c r="Q632" s="11">
        <f t="shared" si="189"/>
        <v>0.14000000000000001</v>
      </c>
      <c r="R632" s="11">
        <f>IFERROR(IF(B632="Reynolds",VLOOKUP(H632,'Yield &amp; Time'!A:U,21,0),VLOOKUP(H632,'Yield &amp; Time'!A:L,12,0)),0)</f>
        <v>0</v>
      </c>
      <c r="S632" s="11">
        <f t="shared" si="181"/>
        <v>0</v>
      </c>
      <c r="T632" s="11">
        <f t="shared" si="182"/>
        <v>0</v>
      </c>
      <c r="U632" s="11">
        <f>IF(A631=A632,0,VLOOKUP(A632,'Packing Time'!A:F,6,0))</f>
        <v>0</v>
      </c>
      <c r="V632" s="11">
        <f t="shared" si="193"/>
        <v>0</v>
      </c>
      <c r="W632" s="11">
        <f t="shared" si="194"/>
        <v>0</v>
      </c>
      <c r="X632" s="11">
        <f t="shared" si="183"/>
        <v>0</v>
      </c>
      <c r="Y632" s="11">
        <f t="shared" si="195"/>
        <v>0</v>
      </c>
      <c r="Z632" s="37">
        <v>1</v>
      </c>
      <c r="AA632" s="36">
        <f t="shared" si="184"/>
        <v>1</v>
      </c>
      <c r="AB632" s="36">
        <f t="shared" si="185"/>
        <v>0.14000000000000001</v>
      </c>
      <c r="AC632" s="11">
        <f t="shared" si="186"/>
        <v>0</v>
      </c>
      <c r="AD632" s="36">
        <f t="shared" si="196"/>
        <v>0</v>
      </c>
      <c r="AE632" s="36"/>
      <c r="AF632" s="36">
        <f>IFERROR(VLOOKUP(AE632,'Chemical Cost'!A:D,4,0),0)</f>
        <v>0</v>
      </c>
      <c r="AG632" s="114">
        <f t="shared" si="187"/>
        <v>0</v>
      </c>
      <c r="AH632" s="36">
        <f t="shared" si="190"/>
        <v>0</v>
      </c>
      <c r="AI632" s="36">
        <f t="shared" si="197"/>
        <v>0.14000000000000001</v>
      </c>
      <c r="AJ632" s="36">
        <f>IFERROR(VLOOKUP(A632,'All Products'!A:F,6,0),0)</f>
        <v>4.54</v>
      </c>
      <c r="AK632" s="36"/>
      <c r="AL632" s="23">
        <v>0</v>
      </c>
      <c r="AM632" s="23">
        <v>1</v>
      </c>
      <c r="AN632" s="54" t="e">
        <v>#N/A</v>
      </c>
      <c r="AO632" s="47"/>
      <c r="AP632" s="4">
        <v>1.6</v>
      </c>
      <c r="AQ632" s="111">
        <f t="shared" si="188"/>
        <v>0</v>
      </c>
      <c r="AR632">
        <f>_xlfn.XLOOKUP(F632,'RM Cost'!A:A,'RM Cost'!S:S)</f>
        <v>0</v>
      </c>
      <c r="AS632" t="str">
        <f>_xlfn.XLOOKUP(A632,[3]Sheet1!$B:$B,[3]Sheet1!$B:$B)</f>
        <v>Z123CS</v>
      </c>
      <c r="AT632" t="e">
        <f>_xlfn.XLOOKUP(H632,'Yield &amp; Time'!A:A,'Yield &amp; Time'!F:F)</f>
        <v>#N/A</v>
      </c>
    </row>
    <row r="633" spans="1:46" x14ac:dyDescent="0.25">
      <c r="A633" s="2" t="s">
        <v>281</v>
      </c>
      <c r="B633" s="2" t="s">
        <v>656</v>
      </c>
      <c r="C633" s="2" t="s">
        <v>282</v>
      </c>
      <c r="D633" s="2" t="s">
        <v>554</v>
      </c>
      <c r="E633" s="2">
        <v>2.5</v>
      </c>
      <c r="F633" s="1" t="str">
        <f>VLOOKUP(H633,'RM Used'!A:B,2,0)</f>
        <v>0930CS</v>
      </c>
      <c r="G633" s="1" t="str">
        <f>IFERROR(VLOOKUP(F633,'RM Cost'!A:B,2,0),"")</f>
        <v>RM - COURGETTE STANDARD</v>
      </c>
      <c r="H633" s="2" t="s">
        <v>1512</v>
      </c>
      <c r="I633" s="1" t="str">
        <f>VLOOKUP(F633,'RM Used'!B:D,3,0)</f>
        <v>RM-FOOD</v>
      </c>
      <c r="J633" s="66">
        <v>1</v>
      </c>
      <c r="K633" s="35">
        <f t="shared" si="192"/>
        <v>2.5</v>
      </c>
      <c r="L633" s="35">
        <f t="shared" si="180"/>
        <v>2.5</v>
      </c>
      <c r="M633" s="77" cm="1">
        <f t="array" ref="M633">_xlfn.IFS(BOM!I633="RM-PACKING","100%",B633="Reynolds",VLOOKUP(H633,'Yield &amp; Time'!A:V,22,0),BOM!B633="Dnata",VLOOKUP(BOM!H633,'Yield &amp; Time'!A:M,13,0),B633="NK",VLOOKUP(H633,'Yield &amp; Time'!A:X,24,0))</f>
        <v>0.8</v>
      </c>
      <c r="N633" s="35">
        <f t="shared" si="191"/>
        <v>3.125</v>
      </c>
      <c r="O633" s="1" t="str">
        <f>VLOOKUP(H633,'RM Used'!A:E,5,0)</f>
        <v>KG</v>
      </c>
      <c r="P633" s="11">
        <f>VLOOKUP(H633,'RM Used'!A:F,6,0)</f>
        <v>1.1000000000000001</v>
      </c>
      <c r="Q633" s="11">
        <f t="shared" si="189"/>
        <v>3.4375000000000004</v>
      </c>
      <c r="R633" s="11">
        <f>IFERROR(IF(B633="Reynolds",VLOOKUP(H633,'Yield &amp; Time'!A:U,21,0),VLOOKUP(H633,'Yield &amp; Time'!A:L,12,0)),0)</f>
        <v>1.6666666666666665</v>
      </c>
      <c r="S633" s="11">
        <f t="shared" si="181"/>
        <v>1.4104166666666664</v>
      </c>
      <c r="T633" s="11">
        <f t="shared" si="182"/>
        <v>6.9444444444444434E-2</v>
      </c>
      <c r="U633" s="11">
        <f>IF(A632=A633,0,VLOOKUP(A633,'Packing Time'!A:F,6,0))</f>
        <v>0.875</v>
      </c>
      <c r="V633" s="11">
        <f t="shared" si="193"/>
        <v>0.29618749999999999</v>
      </c>
      <c r="W633" s="11">
        <f t="shared" si="194"/>
        <v>1.4583333333333334E-2</v>
      </c>
      <c r="X633" s="11">
        <f t="shared" si="183"/>
        <v>2.3892458333333324</v>
      </c>
      <c r="Y633" s="11">
        <f t="shared" si="195"/>
        <v>2.3892458333333324</v>
      </c>
      <c r="Z633" s="37">
        <v>1</v>
      </c>
      <c r="AA633" s="36">
        <f t="shared" si="184"/>
        <v>3.125</v>
      </c>
      <c r="AB633" s="36">
        <f t="shared" si="185"/>
        <v>3.4375000000000004</v>
      </c>
      <c r="AC633" s="11">
        <f t="shared" si="186"/>
        <v>0.11763888888888888</v>
      </c>
      <c r="AD633" s="36">
        <f t="shared" si="196"/>
        <v>2.3892458333333328</v>
      </c>
      <c r="AE633" s="36"/>
      <c r="AF633" s="36">
        <f>IFERROR(VLOOKUP(AE633,'Chemical Cost'!A:D,4,0),0)</f>
        <v>0</v>
      </c>
      <c r="AG633" s="114">
        <f t="shared" si="187"/>
        <v>0</v>
      </c>
      <c r="AH633" s="36">
        <f t="shared" si="190"/>
        <v>0</v>
      </c>
      <c r="AI633" s="36">
        <f t="shared" si="197"/>
        <v>5.8267458333333328</v>
      </c>
      <c r="AJ633" s="36">
        <f>IFERROR(VLOOKUP(A633,'All Products'!A:F,6,0),0)</f>
        <v>11.37</v>
      </c>
      <c r="AK633" s="36">
        <f>AJ633*Z633*J633</f>
        <v>11.37</v>
      </c>
      <c r="AL633" s="23">
        <v>0</v>
      </c>
      <c r="AM633" s="23">
        <v>1</v>
      </c>
      <c r="AN633" s="54" t="e">
        <v>#N/A</v>
      </c>
      <c r="AO633" s="47"/>
      <c r="AP633" s="4">
        <v>1.4</v>
      </c>
      <c r="AQ633" s="111">
        <f t="shared" si="188"/>
        <v>0.11763888888888888</v>
      </c>
      <c r="AR633">
        <f>_xlfn.XLOOKUP(F633,'RM Cost'!A:A,'RM Cost'!S:S)</f>
        <v>1.1644775886170367</v>
      </c>
      <c r="AS633" t="str">
        <f>_xlfn.XLOOKUP(A633,[3]Sheet1!$B:$B,[3]Sheet1!$B:$B)</f>
        <v>Z122CS</v>
      </c>
      <c r="AT633">
        <f>_xlfn.XLOOKUP(H633,'Yield &amp; Time'!A:A,'Yield &amp; Time'!F:F)</f>
        <v>0</v>
      </c>
    </row>
    <row r="634" spans="1:46" x14ac:dyDescent="0.25">
      <c r="A634" s="2" t="s">
        <v>281</v>
      </c>
      <c r="B634" s="2" t="s">
        <v>656</v>
      </c>
      <c r="C634" s="2" t="s">
        <v>282</v>
      </c>
      <c r="D634" s="2" t="s">
        <v>554</v>
      </c>
      <c r="E634" s="2">
        <v>2.5</v>
      </c>
      <c r="F634" s="1" t="str">
        <f>VLOOKUP(H634,'RM Used'!A:B,2,0)</f>
        <v>P0008</v>
      </c>
      <c r="G634" s="1" t="str">
        <f>IFERROR(VLOOKUP(F634,'RM Cost'!A:B,2,0),"")</f>
        <v>PALE BLUE BAG 470X750MM</v>
      </c>
      <c r="H634" s="2" t="s">
        <v>1323</v>
      </c>
      <c r="I634" s="1" t="str">
        <f>VLOOKUP(F634,'RM Used'!B:D,3,0)</f>
        <v>RM-PACKING</v>
      </c>
      <c r="J634" s="66">
        <v>1</v>
      </c>
      <c r="K634" s="35" t="str">
        <f t="shared" si="192"/>
        <v/>
      </c>
      <c r="L634" s="35">
        <f t="shared" si="180"/>
        <v>0</v>
      </c>
      <c r="M634" s="77" t="str" cm="1">
        <f t="array" ref="M634">_xlfn.IFS(BOM!I634="RM-PACKING","100%",B634="Reynolds",VLOOKUP(H634,'Yield &amp; Time'!A:V,22,0),BOM!B634="Dnata",VLOOKUP(BOM!H634,'Yield &amp; Time'!A:M,13,0),B634="NK",VLOOKUP(H634,'Yield &amp; Time'!A:X,24,0))</f>
        <v>100%</v>
      </c>
      <c r="N634" s="35">
        <f t="shared" si="191"/>
        <v>1</v>
      </c>
      <c r="O634" s="1" t="str">
        <f>VLOOKUP(H634,'RM Used'!A:E,5,0)</f>
        <v>Count</v>
      </c>
      <c r="P634" s="11">
        <f>VLOOKUP(H634,'RM Used'!A:F,6,0)</f>
        <v>0.14000000000000001</v>
      </c>
      <c r="Q634" s="11">
        <f t="shared" si="189"/>
        <v>0.14000000000000001</v>
      </c>
      <c r="R634" s="11">
        <f>IFERROR(IF(B634="Reynolds",VLOOKUP(H634,'Yield &amp; Time'!A:U,21,0),VLOOKUP(H634,'Yield &amp; Time'!A:L,12,0)),0)</f>
        <v>0</v>
      </c>
      <c r="S634" s="11">
        <f t="shared" si="181"/>
        <v>0</v>
      </c>
      <c r="T634" s="11">
        <f t="shared" si="182"/>
        <v>0</v>
      </c>
      <c r="U634" s="11">
        <f>IF(A633=A634,0,VLOOKUP(A634,'Packing Time'!A:F,6,0))</f>
        <v>0</v>
      </c>
      <c r="V634" s="11">
        <f t="shared" si="193"/>
        <v>0</v>
      </c>
      <c r="W634" s="11">
        <f t="shared" si="194"/>
        <v>0</v>
      </c>
      <c r="X634" s="11">
        <f t="shared" si="183"/>
        <v>0</v>
      </c>
      <c r="Y634" s="11">
        <f t="shared" si="195"/>
        <v>0</v>
      </c>
      <c r="Z634" s="37">
        <v>1</v>
      </c>
      <c r="AA634" s="36">
        <f t="shared" si="184"/>
        <v>1</v>
      </c>
      <c r="AB634" s="36">
        <f t="shared" si="185"/>
        <v>0.14000000000000001</v>
      </c>
      <c r="AC634" s="11">
        <f t="shared" si="186"/>
        <v>0</v>
      </c>
      <c r="AD634" s="36">
        <f t="shared" si="196"/>
        <v>0</v>
      </c>
      <c r="AE634" s="36"/>
      <c r="AF634" s="36">
        <f>IFERROR(VLOOKUP(AE634,'Chemical Cost'!A:D,4,0),0)</f>
        <v>0</v>
      </c>
      <c r="AG634" s="114">
        <f t="shared" si="187"/>
        <v>0</v>
      </c>
      <c r="AH634" s="36">
        <f t="shared" si="190"/>
        <v>0</v>
      </c>
      <c r="AI634" s="36">
        <f t="shared" si="197"/>
        <v>0.14000000000000001</v>
      </c>
      <c r="AJ634" s="36">
        <f>IFERROR(VLOOKUP(A634,'All Products'!A:F,6,0),0)</f>
        <v>11.37</v>
      </c>
      <c r="AK634" s="36"/>
      <c r="AL634" s="23">
        <v>0</v>
      </c>
      <c r="AM634" s="23">
        <v>1</v>
      </c>
      <c r="AN634" s="54" t="e">
        <v>#N/A</v>
      </c>
      <c r="AO634" s="47"/>
      <c r="AP634" s="4">
        <v>1.4</v>
      </c>
      <c r="AQ634" s="111">
        <f t="shared" si="188"/>
        <v>0</v>
      </c>
      <c r="AR634">
        <f>_xlfn.XLOOKUP(F634,'RM Cost'!A:A,'RM Cost'!S:S)</f>
        <v>0</v>
      </c>
      <c r="AS634" t="str">
        <f>_xlfn.XLOOKUP(A634,[3]Sheet1!$B:$B,[3]Sheet1!$B:$B)</f>
        <v>Z122CS</v>
      </c>
      <c r="AT634" t="e">
        <f>_xlfn.XLOOKUP(H634,'Yield &amp; Time'!A:A,'Yield &amp; Time'!F:F)</f>
        <v>#N/A</v>
      </c>
    </row>
    <row r="635" spans="1:46" x14ac:dyDescent="0.25">
      <c r="A635" s="2" t="s">
        <v>478</v>
      </c>
      <c r="B635" s="2" t="s">
        <v>656</v>
      </c>
      <c r="C635" s="2" t="s">
        <v>780</v>
      </c>
      <c r="D635" s="2" t="s">
        <v>554</v>
      </c>
      <c r="E635" s="2">
        <v>1</v>
      </c>
      <c r="F635" s="1" t="str">
        <f>VLOOKUP(H635,'RM Used'!A:B,2,0)</f>
        <v>3446CS</v>
      </c>
      <c r="G635" s="1" t="str">
        <f>IFERROR(VLOOKUP(F635,'RM Cost'!A:B,2,0),"")</f>
        <v>RM - CUCUMBER X12 EA</v>
      </c>
      <c r="H635" s="2" t="s">
        <v>1513</v>
      </c>
      <c r="I635" s="1" t="str">
        <f>VLOOKUP(F635,'RM Used'!B:D,3,0)</f>
        <v>RM-FOOD</v>
      </c>
      <c r="J635" s="66">
        <v>1</v>
      </c>
      <c r="K635" s="35">
        <f t="shared" si="192"/>
        <v>1</v>
      </c>
      <c r="L635" s="35">
        <f t="shared" si="180"/>
        <v>1</v>
      </c>
      <c r="M635" s="77" cm="1">
        <f t="array" ref="M635">_xlfn.IFS(BOM!I635="RM-PACKING","100%",B635="Reynolds",VLOOKUP(H635,'Yield &amp; Time'!A:V,22,0),BOM!B635="Dnata",VLOOKUP(BOM!H635,'Yield &amp; Time'!A:M,13,0),B635="NK",VLOOKUP(H635,'Yield &amp; Time'!A:X,24,0))</f>
        <v>0.58277511961722483</v>
      </c>
      <c r="N635" s="35">
        <f t="shared" si="191"/>
        <v>1.7159277504105093</v>
      </c>
      <c r="O635" s="1" t="str">
        <f>VLOOKUP(H635,'RM Used'!A:E,5,0)</f>
        <v>KG</v>
      </c>
      <c r="P635" s="11">
        <f>VLOOKUP(H635,'RM Used'!A:F,6,0)</f>
        <v>1.18</v>
      </c>
      <c r="Q635" s="11">
        <f t="shared" si="189"/>
        <v>2.0247947454844009</v>
      </c>
      <c r="R635" s="11">
        <f>IFERROR(IF(B635="Reynolds",VLOOKUP(H635,'Yield &amp; Time'!A:U,21,0),VLOOKUP(H635,'Yield &amp; Time'!A:L,12,0)),0)</f>
        <v>4.1211001642036127</v>
      </c>
      <c r="S635" s="11">
        <f t="shared" si="181"/>
        <v>1.3949924055829228</v>
      </c>
      <c r="T635" s="11">
        <f t="shared" si="182"/>
        <v>6.8685002736726883E-2</v>
      </c>
      <c r="U635" s="11">
        <f>IF(A634=A635,0,VLOOKUP(A635,'Packing Time'!A:F,6,0))</f>
        <v>0.64166666666666661</v>
      </c>
      <c r="V635" s="11">
        <f t="shared" si="193"/>
        <v>0.21720416666666661</v>
      </c>
      <c r="W635" s="11">
        <f t="shared" si="194"/>
        <v>1.0694444444444444E-2</v>
      </c>
      <c r="X635" s="11">
        <f t="shared" si="183"/>
        <v>2.5795145155993433</v>
      </c>
      <c r="Y635" s="11">
        <f t="shared" si="195"/>
        <v>2.5795145155993433</v>
      </c>
      <c r="Z635" s="37">
        <v>1</v>
      </c>
      <c r="AA635" s="36">
        <f t="shared" si="184"/>
        <v>1.7159277504105093</v>
      </c>
      <c r="AB635" s="36">
        <f t="shared" si="185"/>
        <v>2.0247947454844009</v>
      </c>
      <c r="AC635" s="11">
        <f t="shared" si="186"/>
        <v>0.12700711548987412</v>
      </c>
      <c r="AD635" s="36">
        <f t="shared" si="196"/>
        <v>2.5795145155993429</v>
      </c>
      <c r="AE635" s="36" t="str">
        <f>VLOOKUP(H635,'Yield &amp; Time'!A:I,9,0)</f>
        <v>CHLORINE</v>
      </c>
      <c r="AF635" s="36">
        <f>IFERROR(VLOOKUP(AE635,'Chemical Cost'!A:D,4,0),0)</f>
        <v>2.7756518066439469E-2</v>
      </c>
      <c r="AG635" s="114">
        <f t="shared" si="187"/>
        <v>1.5876059868324712E-2</v>
      </c>
      <c r="AH635" s="36">
        <f t="shared" si="190"/>
        <v>1.5876059868324712E-2</v>
      </c>
      <c r="AI635" s="36">
        <f t="shared" si="197"/>
        <v>4.6201853209520687</v>
      </c>
      <c r="AJ635" s="36">
        <f>IFERROR(VLOOKUP(A635,'All Products'!A:F,6,0),0)</f>
        <v>6.31</v>
      </c>
      <c r="AK635" s="36">
        <f>AJ635*Z635*J635</f>
        <v>6.31</v>
      </c>
      <c r="AL635" s="23">
        <v>0.8</v>
      </c>
      <c r="AM635" s="23">
        <v>0.2</v>
      </c>
      <c r="AN635" s="54" t="e">
        <v>#N/A</v>
      </c>
      <c r="AO635" s="47"/>
      <c r="AP635" s="4">
        <v>1.6</v>
      </c>
      <c r="AQ635" s="111">
        <f t="shared" si="188"/>
        <v>0.12700711548987412</v>
      </c>
      <c r="AR635">
        <f>_xlfn.XLOOKUP(F635,'RM Cost'!A:A,'RM Cost'!S:S)</f>
        <v>0</v>
      </c>
      <c r="AS635" t="str">
        <f>_xlfn.XLOOKUP(A635,[3]Sheet1!$B:$B,[3]Sheet1!$B:$B)</f>
        <v>Z391CS</v>
      </c>
      <c r="AT635">
        <f>_xlfn.XLOOKUP(H635,'Yield &amp; Time'!A:A,'Yield &amp; Time'!F:F)</f>
        <v>0</v>
      </c>
    </row>
    <row r="636" spans="1:46" x14ac:dyDescent="0.25">
      <c r="A636" s="2" t="s">
        <v>478</v>
      </c>
      <c r="B636" s="2" t="s">
        <v>656</v>
      </c>
      <c r="C636" s="2" t="s">
        <v>780</v>
      </c>
      <c r="D636" s="2" t="s">
        <v>554</v>
      </c>
      <c r="E636" s="2">
        <v>1</v>
      </c>
      <c r="F636" s="1" t="str">
        <f>VLOOKUP(H636,'RM Used'!A:B,2,0)</f>
        <v>P0008</v>
      </c>
      <c r="G636" s="1" t="str">
        <f>IFERROR(VLOOKUP(F636,'RM Cost'!A:B,2,0),"")</f>
        <v>PALE BLUE BAG 470X750MM</v>
      </c>
      <c r="H636" s="2" t="s">
        <v>1323</v>
      </c>
      <c r="I636" s="1" t="str">
        <f>VLOOKUP(F636,'RM Used'!B:D,3,0)</f>
        <v>RM-PACKING</v>
      </c>
      <c r="J636" s="66">
        <v>1</v>
      </c>
      <c r="K636" s="35" t="str">
        <f t="shared" si="192"/>
        <v/>
      </c>
      <c r="L636" s="35">
        <f t="shared" si="180"/>
        <v>0</v>
      </c>
      <c r="M636" s="77" t="str" cm="1">
        <f t="array" ref="M636">_xlfn.IFS(BOM!I636="RM-PACKING","100%",B636="Reynolds",VLOOKUP(H636,'Yield &amp; Time'!A:V,22,0),BOM!B636="Dnata",VLOOKUP(BOM!H636,'Yield &amp; Time'!A:M,13,0),B636="NK",VLOOKUP(H636,'Yield &amp; Time'!A:X,24,0))</f>
        <v>100%</v>
      </c>
      <c r="N636" s="35">
        <f t="shared" si="191"/>
        <v>1</v>
      </c>
      <c r="O636" s="1" t="str">
        <f>VLOOKUP(H636,'RM Used'!A:E,5,0)</f>
        <v>Count</v>
      </c>
      <c r="P636" s="11">
        <f>VLOOKUP(H636,'RM Used'!A:F,6,0)</f>
        <v>0.14000000000000001</v>
      </c>
      <c r="Q636" s="11">
        <f t="shared" si="189"/>
        <v>0.14000000000000001</v>
      </c>
      <c r="R636" s="11">
        <f>IFERROR(IF(B636="Reynolds",VLOOKUP(H636,'Yield &amp; Time'!A:U,21,0),VLOOKUP(H636,'Yield &amp; Time'!A:L,12,0)),0)</f>
        <v>0</v>
      </c>
      <c r="S636" s="11">
        <f t="shared" si="181"/>
        <v>0</v>
      </c>
      <c r="T636" s="11">
        <f t="shared" si="182"/>
        <v>0</v>
      </c>
      <c r="U636" s="11">
        <f>IF(A635=A636,0,VLOOKUP(A636,'Packing Time'!A:F,6,0))</f>
        <v>0</v>
      </c>
      <c r="V636" s="11">
        <f t="shared" si="193"/>
        <v>0</v>
      </c>
      <c r="W636" s="11">
        <f t="shared" si="194"/>
        <v>0</v>
      </c>
      <c r="X636" s="11">
        <f t="shared" si="183"/>
        <v>0</v>
      </c>
      <c r="Y636" s="11">
        <f t="shared" si="195"/>
        <v>0</v>
      </c>
      <c r="Z636" s="37">
        <v>1</v>
      </c>
      <c r="AA636" s="36">
        <f t="shared" si="184"/>
        <v>1</v>
      </c>
      <c r="AB636" s="36">
        <f t="shared" si="185"/>
        <v>0.14000000000000001</v>
      </c>
      <c r="AC636" s="11">
        <f t="shared" si="186"/>
        <v>0</v>
      </c>
      <c r="AD636" s="36">
        <f t="shared" si="196"/>
        <v>0</v>
      </c>
      <c r="AE636" s="36"/>
      <c r="AF636" s="36">
        <f>IFERROR(VLOOKUP(AE636,'Chemical Cost'!A:D,4,0),0)</f>
        <v>0</v>
      </c>
      <c r="AG636" s="114">
        <f t="shared" si="187"/>
        <v>0</v>
      </c>
      <c r="AH636" s="36">
        <f t="shared" si="190"/>
        <v>0</v>
      </c>
      <c r="AI636" s="36">
        <f t="shared" si="197"/>
        <v>0.14000000000000001</v>
      </c>
      <c r="AJ636" s="36">
        <f>IFERROR(VLOOKUP(A636,'All Products'!A:F,6,0),0)</f>
        <v>6.31</v>
      </c>
      <c r="AK636" s="36"/>
      <c r="AL636" s="23">
        <v>0.8</v>
      </c>
      <c r="AM636" s="23">
        <v>0.2</v>
      </c>
      <c r="AN636" s="54" t="e">
        <v>#N/A</v>
      </c>
      <c r="AO636" s="47"/>
      <c r="AP636" s="4">
        <v>1.6</v>
      </c>
      <c r="AQ636" s="111">
        <f t="shared" si="188"/>
        <v>0</v>
      </c>
      <c r="AR636">
        <f>_xlfn.XLOOKUP(F636,'RM Cost'!A:A,'RM Cost'!S:S)</f>
        <v>0</v>
      </c>
      <c r="AS636" t="str">
        <f>_xlfn.XLOOKUP(A636,[3]Sheet1!$B:$B,[3]Sheet1!$B:$B)</f>
        <v>Z391CS</v>
      </c>
      <c r="AT636" t="e">
        <f>_xlfn.XLOOKUP(H636,'Yield &amp; Time'!A:A,'Yield &amp; Time'!F:F)</f>
        <v>#N/A</v>
      </c>
    </row>
    <row r="637" spans="1:46" x14ac:dyDescent="0.25">
      <c r="A637" s="2" t="s">
        <v>278</v>
      </c>
      <c r="B637" s="2" t="s">
        <v>656</v>
      </c>
      <c r="C637" s="2" t="s">
        <v>781</v>
      </c>
      <c r="D637" s="2" t="s">
        <v>554</v>
      </c>
      <c r="E637" s="2">
        <v>2.5</v>
      </c>
      <c r="F637" s="1" t="str">
        <f>VLOOKUP(H637,'RM Used'!A:B,2,0)</f>
        <v>3446CS</v>
      </c>
      <c r="G637" s="1" t="str">
        <f>IFERROR(VLOOKUP(F637,'RM Cost'!A:B,2,0),"")</f>
        <v>RM - CUCUMBER X12 EA</v>
      </c>
      <c r="H637" s="2" t="s">
        <v>1513</v>
      </c>
      <c r="I637" s="1" t="str">
        <f>VLOOKUP(F637,'RM Used'!B:D,3,0)</f>
        <v>RM-FOOD</v>
      </c>
      <c r="J637" s="66">
        <v>1</v>
      </c>
      <c r="K637" s="35">
        <f t="shared" si="192"/>
        <v>2.5</v>
      </c>
      <c r="L637" s="35">
        <f t="shared" si="180"/>
        <v>2.5</v>
      </c>
      <c r="M637" s="77" cm="1">
        <f t="array" ref="M637">_xlfn.IFS(BOM!I637="RM-PACKING","100%",B637="Reynolds",VLOOKUP(H637,'Yield &amp; Time'!A:V,22,0),BOM!B637="Dnata",VLOOKUP(BOM!H637,'Yield &amp; Time'!A:M,13,0),B637="NK",VLOOKUP(H637,'Yield &amp; Time'!A:X,24,0))</f>
        <v>0.58277511961722483</v>
      </c>
      <c r="N637" s="35">
        <f t="shared" si="191"/>
        <v>4.2898193760262728</v>
      </c>
      <c r="O637" s="1" t="str">
        <f>VLOOKUP(H637,'RM Used'!A:E,5,0)</f>
        <v>KG</v>
      </c>
      <c r="P637" s="11">
        <f>VLOOKUP(H637,'RM Used'!A:F,6,0)</f>
        <v>1.18</v>
      </c>
      <c r="Q637" s="11">
        <f t="shared" si="189"/>
        <v>5.0619868637110015</v>
      </c>
      <c r="R637" s="11">
        <f>IFERROR(IF(B637="Reynolds",VLOOKUP(H637,'Yield &amp; Time'!A:U,21,0),VLOOKUP(H637,'Yield &amp; Time'!A:L,12,0)),0)</f>
        <v>4.1211001642036127</v>
      </c>
      <c r="S637" s="11">
        <f t="shared" si="181"/>
        <v>3.4874810139573067</v>
      </c>
      <c r="T637" s="11">
        <f t="shared" si="182"/>
        <v>0.17171250684181719</v>
      </c>
      <c r="U637" s="11">
        <f>IF(A636=A637,0,VLOOKUP(A637,'Packing Time'!A:F,6,0))</f>
        <v>0.875</v>
      </c>
      <c r="V637" s="11">
        <f t="shared" si="193"/>
        <v>0.29618749999999999</v>
      </c>
      <c r="W637" s="11">
        <f t="shared" si="194"/>
        <v>1.4583333333333334E-2</v>
      </c>
      <c r="X637" s="11">
        <f t="shared" si="183"/>
        <v>4.1620353653530371</v>
      </c>
      <c r="Y637" s="11">
        <f t="shared" si="195"/>
        <v>4.1620353653530371</v>
      </c>
      <c r="Z637" s="37">
        <v>1</v>
      </c>
      <c r="AA637" s="36">
        <f t="shared" si="184"/>
        <v>4.2898193760262728</v>
      </c>
      <c r="AB637" s="36">
        <f t="shared" si="185"/>
        <v>5.0619868637110015</v>
      </c>
      <c r="AC637" s="11">
        <f t="shared" si="186"/>
        <v>0.2049254241926656</v>
      </c>
      <c r="AD637" s="36">
        <f t="shared" si="196"/>
        <v>4.162035365353038</v>
      </c>
      <c r="AE637" s="36" t="str">
        <f>VLOOKUP(H637,'Yield &amp; Time'!A:I,9,0)</f>
        <v>CHLORINE</v>
      </c>
      <c r="AF637" s="36">
        <f>IFERROR(VLOOKUP(AE637,'Chemical Cost'!A:D,4,0),0)</f>
        <v>2.7756518066439469E-2</v>
      </c>
      <c r="AG637" s="114">
        <f t="shared" si="187"/>
        <v>3.9690149670811782E-2</v>
      </c>
      <c r="AH637" s="36">
        <f t="shared" si="190"/>
        <v>3.9690149670811782E-2</v>
      </c>
      <c r="AI637" s="36">
        <f t="shared" si="197"/>
        <v>9.2637123787348497</v>
      </c>
      <c r="AJ637" s="36">
        <f>IFERROR(VLOOKUP(A637,'All Products'!A:F,6,0),0)</f>
        <v>15.76</v>
      </c>
      <c r="AK637" s="36">
        <f>AJ637*Z637*J637</f>
        <v>15.76</v>
      </c>
      <c r="AL637" s="23">
        <v>0.8</v>
      </c>
      <c r="AM637" s="23">
        <v>0.2</v>
      </c>
      <c r="AN637" s="54" t="e">
        <v>#N/A</v>
      </c>
      <c r="AO637" s="47"/>
      <c r="AP637" s="4">
        <v>1.1000000000000001</v>
      </c>
      <c r="AQ637" s="111">
        <f t="shared" si="188"/>
        <v>0.2049254241926656</v>
      </c>
      <c r="AR637">
        <f>_xlfn.XLOOKUP(F637,'RM Cost'!A:A,'RM Cost'!S:S)</f>
        <v>0</v>
      </c>
      <c r="AS637" t="str">
        <f>_xlfn.XLOOKUP(A637,[3]Sheet1!$B:$B,[3]Sheet1!$B:$B)</f>
        <v>Z390CS</v>
      </c>
      <c r="AT637">
        <f>_xlfn.XLOOKUP(H637,'Yield &amp; Time'!A:A,'Yield &amp; Time'!F:F)</f>
        <v>0</v>
      </c>
    </row>
    <row r="638" spans="1:46" x14ac:dyDescent="0.25">
      <c r="A638" s="2" t="s">
        <v>278</v>
      </c>
      <c r="B638" s="2" t="s">
        <v>656</v>
      </c>
      <c r="C638" s="2" t="s">
        <v>781</v>
      </c>
      <c r="D638" s="2" t="s">
        <v>554</v>
      </c>
      <c r="E638" s="2">
        <v>2.5</v>
      </c>
      <c r="F638" s="1" t="str">
        <f>VLOOKUP(H638,'RM Used'!A:B,2,0)</f>
        <v>P0008</v>
      </c>
      <c r="G638" s="1" t="str">
        <f>IFERROR(VLOOKUP(F638,'RM Cost'!A:B,2,0),"")</f>
        <v>PALE BLUE BAG 470X750MM</v>
      </c>
      <c r="H638" s="2" t="s">
        <v>1323</v>
      </c>
      <c r="I638" s="1" t="str">
        <f>VLOOKUP(F638,'RM Used'!B:D,3,0)</f>
        <v>RM-PACKING</v>
      </c>
      <c r="J638" s="66">
        <v>1</v>
      </c>
      <c r="K638" s="35" t="str">
        <f t="shared" si="192"/>
        <v/>
      </c>
      <c r="L638" s="35">
        <f t="shared" si="180"/>
        <v>0</v>
      </c>
      <c r="M638" s="77" t="str" cm="1">
        <f t="array" ref="M638">_xlfn.IFS(BOM!I638="RM-PACKING","100%",B638="Reynolds",VLOOKUP(H638,'Yield &amp; Time'!A:V,22,0),BOM!B638="Dnata",VLOOKUP(BOM!H638,'Yield &amp; Time'!A:M,13,0),B638="NK",VLOOKUP(H638,'Yield &amp; Time'!A:X,24,0))</f>
        <v>100%</v>
      </c>
      <c r="N638" s="35">
        <f t="shared" si="191"/>
        <v>1</v>
      </c>
      <c r="O638" s="1" t="str">
        <f>VLOOKUP(H638,'RM Used'!A:E,5,0)</f>
        <v>Count</v>
      </c>
      <c r="P638" s="11">
        <f>VLOOKUP(H638,'RM Used'!A:F,6,0)</f>
        <v>0.14000000000000001</v>
      </c>
      <c r="Q638" s="11">
        <f t="shared" si="189"/>
        <v>0.14000000000000001</v>
      </c>
      <c r="R638" s="11">
        <f>IFERROR(IF(B638="Reynolds",VLOOKUP(H638,'Yield &amp; Time'!A:U,21,0),VLOOKUP(H638,'Yield &amp; Time'!A:L,12,0)),0)</f>
        <v>0</v>
      </c>
      <c r="S638" s="11">
        <f t="shared" si="181"/>
        <v>0</v>
      </c>
      <c r="T638" s="11">
        <f t="shared" si="182"/>
        <v>0</v>
      </c>
      <c r="U638" s="11">
        <f>IF(A637=A638,0,VLOOKUP(A638,'Packing Time'!A:F,6,0))</f>
        <v>0</v>
      </c>
      <c r="V638" s="11">
        <f t="shared" si="193"/>
        <v>0</v>
      </c>
      <c r="W638" s="11">
        <f t="shared" si="194"/>
        <v>0</v>
      </c>
      <c r="X638" s="11">
        <f t="shared" si="183"/>
        <v>0</v>
      </c>
      <c r="Y638" s="11">
        <f t="shared" si="195"/>
        <v>0</v>
      </c>
      <c r="Z638" s="37">
        <v>1</v>
      </c>
      <c r="AA638" s="36">
        <f t="shared" si="184"/>
        <v>1</v>
      </c>
      <c r="AB638" s="36">
        <f t="shared" si="185"/>
        <v>0.14000000000000001</v>
      </c>
      <c r="AC638" s="11">
        <f t="shared" si="186"/>
        <v>0</v>
      </c>
      <c r="AD638" s="36">
        <f t="shared" si="196"/>
        <v>0</v>
      </c>
      <c r="AE638" s="36"/>
      <c r="AF638" s="36">
        <f>IFERROR(VLOOKUP(AE638,'Chemical Cost'!A:D,4,0),0)</f>
        <v>0</v>
      </c>
      <c r="AG638" s="114">
        <f t="shared" si="187"/>
        <v>0</v>
      </c>
      <c r="AH638" s="36">
        <f t="shared" si="190"/>
        <v>0</v>
      </c>
      <c r="AI638" s="36">
        <f t="shared" si="197"/>
        <v>0.14000000000000001</v>
      </c>
      <c r="AJ638" s="36">
        <f>IFERROR(VLOOKUP(A638,'All Products'!A:F,6,0),0)</f>
        <v>15.76</v>
      </c>
      <c r="AK638" s="36"/>
      <c r="AL638" s="23">
        <v>0.8</v>
      </c>
      <c r="AM638" s="23">
        <v>0.2</v>
      </c>
      <c r="AN638" s="54" t="e">
        <v>#N/A</v>
      </c>
      <c r="AO638" s="47"/>
      <c r="AP638" s="4">
        <v>1.1000000000000001</v>
      </c>
      <c r="AQ638" s="111">
        <f t="shared" si="188"/>
        <v>0</v>
      </c>
      <c r="AR638">
        <f>_xlfn.XLOOKUP(F638,'RM Cost'!A:A,'RM Cost'!S:S)</f>
        <v>0</v>
      </c>
      <c r="AS638" t="str">
        <f>_xlfn.XLOOKUP(A638,[3]Sheet1!$B:$B,[3]Sheet1!$B:$B)</f>
        <v>Z390CS</v>
      </c>
      <c r="AT638" t="e">
        <f>_xlfn.XLOOKUP(H638,'Yield &amp; Time'!A:A,'Yield &amp; Time'!F:F)</f>
        <v>#N/A</v>
      </c>
    </row>
    <row r="639" spans="1:46" x14ac:dyDescent="0.25">
      <c r="A639" s="2" t="s">
        <v>782</v>
      </c>
      <c r="B639" s="2" t="s">
        <v>656</v>
      </c>
      <c r="C639" s="2" t="s">
        <v>783</v>
      </c>
      <c r="D639" s="2" t="s">
        <v>554</v>
      </c>
      <c r="E639" s="2">
        <v>1</v>
      </c>
      <c r="F639" s="1" t="str">
        <f>VLOOKUP(H639,'RM Used'!A:B,2,0)</f>
        <v>3446CS</v>
      </c>
      <c r="G639" s="1" t="str">
        <f>IFERROR(VLOOKUP(F639,'RM Cost'!A:B,2,0),"")</f>
        <v>RM - CUCUMBER X12 EA</v>
      </c>
      <c r="H639" s="2" t="s">
        <v>1514</v>
      </c>
      <c r="I639" s="1" t="str">
        <f>VLOOKUP(F639,'RM Used'!B:D,3,0)</f>
        <v>RM-FOOD</v>
      </c>
      <c r="J639" s="66">
        <v>1</v>
      </c>
      <c r="K639" s="35">
        <f t="shared" si="192"/>
        <v>1</v>
      </c>
      <c r="L639" s="35">
        <f t="shared" si="180"/>
        <v>1</v>
      </c>
      <c r="M639" s="77" cm="1">
        <f t="array" ref="M639">_xlfn.IFS(BOM!I639="RM-PACKING","100%",B639="Reynolds",VLOOKUP(H639,'Yield &amp; Time'!A:V,22,0),BOM!B639="Dnata",VLOOKUP(BOM!H639,'Yield &amp; Time'!A:M,13,0),B639="NK",VLOOKUP(H639,'Yield &amp; Time'!A:X,24,0))</f>
        <v>0.47499999999999998</v>
      </c>
      <c r="N639" s="35">
        <f t="shared" si="191"/>
        <v>2.1052631578947367</v>
      </c>
      <c r="O639" s="1" t="str">
        <f>VLOOKUP(H639,'RM Used'!A:E,5,0)</f>
        <v>KG</v>
      </c>
      <c r="P639" s="11">
        <f>VLOOKUP(H639,'RM Used'!A:F,6,0)</f>
        <v>1.18</v>
      </c>
      <c r="Q639" s="11">
        <f t="shared" si="189"/>
        <v>2.4842105263157892</v>
      </c>
      <c r="R639" s="11">
        <f>IFERROR(IF(B639="Reynolds",VLOOKUP(H639,'Yield &amp; Time'!A:U,21,0),VLOOKUP(H639,'Yield &amp; Time'!A:L,12,0)),0)</f>
        <v>4.515204678362573</v>
      </c>
      <c r="S639" s="11">
        <f t="shared" si="181"/>
        <v>1.5283967836257308</v>
      </c>
      <c r="T639" s="11">
        <f t="shared" si="182"/>
        <v>7.5253411306042878E-2</v>
      </c>
      <c r="U639" s="11">
        <f>IF(A638=A639,0,VLOOKUP(A639,'Packing Time'!A:F,6,0))</f>
        <v>0.64166666666666661</v>
      </c>
      <c r="V639" s="11">
        <f t="shared" si="193"/>
        <v>0.21720416666666661</v>
      </c>
      <c r="W639" s="11">
        <f t="shared" si="194"/>
        <v>1.0694444444444444E-2</v>
      </c>
      <c r="X639" s="11">
        <f t="shared" si="183"/>
        <v>2.792961520467836</v>
      </c>
      <c r="Y639" s="11">
        <f t="shared" si="195"/>
        <v>2.792961520467836</v>
      </c>
      <c r="Z639" s="37">
        <v>1</v>
      </c>
      <c r="AA639" s="36">
        <f t="shared" si="184"/>
        <v>2.1052631578947367</v>
      </c>
      <c r="AB639" s="36">
        <f t="shared" si="185"/>
        <v>2.4842105263157892</v>
      </c>
      <c r="AC639" s="11">
        <f t="shared" si="186"/>
        <v>0.13751656920077973</v>
      </c>
      <c r="AD639" s="36">
        <f t="shared" si="196"/>
        <v>2.7929615204678364</v>
      </c>
      <c r="AE639" s="36" t="str">
        <f>VLOOKUP(H639,'Yield &amp; Time'!A:I,9,0)</f>
        <v>CHLORINE</v>
      </c>
      <c r="AF639" s="36">
        <f>IFERROR(VLOOKUP(AE639,'Chemical Cost'!A:D,4,0),0)</f>
        <v>2.7756518066439469E-2</v>
      </c>
      <c r="AG639" s="114">
        <f t="shared" si="187"/>
        <v>1.9478258292238221E-2</v>
      </c>
      <c r="AH639" s="36">
        <f t="shared" si="190"/>
        <v>1.9478258292238221E-2</v>
      </c>
      <c r="AI639" s="36">
        <f t="shared" si="197"/>
        <v>5.2966503050758638</v>
      </c>
      <c r="AJ639" s="36">
        <f>IFERROR(VLOOKUP(A639,'All Products'!A:F,6,0),0)</f>
        <v>14.02</v>
      </c>
      <c r="AK639" s="36">
        <f>AJ639*Z639*J639</f>
        <v>14.02</v>
      </c>
      <c r="AL639" s="23">
        <v>0</v>
      </c>
      <c r="AM639" s="23">
        <v>1</v>
      </c>
      <c r="AN639" s="54" t="e">
        <v>#N/A</v>
      </c>
      <c r="AO639" s="47"/>
      <c r="AP639" s="4">
        <v>1.6</v>
      </c>
      <c r="AQ639" s="111">
        <f t="shared" si="188"/>
        <v>0.13751656920077973</v>
      </c>
      <c r="AR639">
        <f>_xlfn.XLOOKUP(F639,'RM Cost'!A:A,'RM Cost'!S:S)</f>
        <v>0</v>
      </c>
      <c r="AS639" t="e">
        <f>_xlfn.XLOOKUP(A639,[3]Sheet1!$B:$B,[3]Sheet1!$B:$B)</f>
        <v>#N/A</v>
      </c>
    </row>
    <row r="640" spans="1:46" x14ac:dyDescent="0.25">
      <c r="A640" s="2" t="s">
        <v>782</v>
      </c>
      <c r="B640" s="2" t="s">
        <v>656</v>
      </c>
      <c r="C640" s="2" t="s">
        <v>783</v>
      </c>
      <c r="D640" s="2" t="s">
        <v>554</v>
      </c>
      <c r="E640" s="2">
        <v>1</v>
      </c>
      <c r="F640" s="1" t="str">
        <f>VLOOKUP(H640,'RM Used'!A:B,2,0)</f>
        <v>P0008</v>
      </c>
      <c r="G640" s="1" t="str">
        <f>IFERROR(VLOOKUP(F640,'RM Cost'!A:B,2,0),"")</f>
        <v>PALE BLUE BAG 470X750MM</v>
      </c>
      <c r="H640" s="2" t="s">
        <v>1323</v>
      </c>
      <c r="I640" s="1" t="str">
        <f>VLOOKUP(F640,'RM Used'!B:D,3,0)</f>
        <v>RM-PACKING</v>
      </c>
      <c r="J640" s="66">
        <v>1</v>
      </c>
      <c r="K640" s="35" t="str">
        <f t="shared" si="192"/>
        <v/>
      </c>
      <c r="L640" s="35">
        <f t="shared" si="180"/>
        <v>0</v>
      </c>
      <c r="M640" s="77" t="str" cm="1">
        <f t="array" ref="M640">_xlfn.IFS(BOM!I640="RM-PACKING","100%",B640="Reynolds",VLOOKUP(H640,'Yield &amp; Time'!A:V,22,0),BOM!B640="Dnata",VLOOKUP(BOM!H640,'Yield &amp; Time'!A:M,13,0),B640="NK",VLOOKUP(H640,'Yield &amp; Time'!A:X,24,0))</f>
        <v>100%</v>
      </c>
      <c r="N640" s="35">
        <f t="shared" si="191"/>
        <v>1</v>
      </c>
      <c r="O640" s="1" t="str">
        <f>VLOOKUP(H640,'RM Used'!A:E,5,0)</f>
        <v>Count</v>
      </c>
      <c r="P640" s="11">
        <f>VLOOKUP(H640,'RM Used'!A:F,6,0)</f>
        <v>0.14000000000000001</v>
      </c>
      <c r="Q640" s="11">
        <f t="shared" si="189"/>
        <v>0.14000000000000001</v>
      </c>
      <c r="R640" s="11">
        <f>IFERROR(IF(B640="Reynolds",VLOOKUP(H640,'Yield &amp; Time'!A:U,21,0),VLOOKUP(H640,'Yield &amp; Time'!A:L,12,0)),0)</f>
        <v>0</v>
      </c>
      <c r="S640" s="11">
        <f t="shared" si="181"/>
        <v>0</v>
      </c>
      <c r="T640" s="11">
        <f t="shared" si="182"/>
        <v>0</v>
      </c>
      <c r="U640" s="11">
        <f>IF(A639=A640,0,VLOOKUP(A640,'Packing Time'!A:F,6,0))</f>
        <v>0</v>
      </c>
      <c r="V640" s="11">
        <f t="shared" si="193"/>
        <v>0</v>
      </c>
      <c r="W640" s="11">
        <f t="shared" si="194"/>
        <v>0</v>
      </c>
      <c r="X640" s="11">
        <f t="shared" si="183"/>
        <v>0</v>
      </c>
      <c r="Y640" s="11">
        <f t="shared" si="195"/>
        <v>0</v>
      </c>
      <c r="Z640" s="37">
        <v>1</v>
      </c>
      <c r="AA640" s="36">
        <f t="shared" si="184"/>
        <v>1</v>
      </c>
      <c r="AB640" s="36">
        <f t="shared" si="185"/>
        <v>0.14000000000000001</v>
      </c>
      <c r="AC640" s="11">
        <f t="shared" si="186"/>
        <v>0</v>
      </c>
      <c r="AD640" s="36">
        <f t="shared" si="196"/>
        <v>0</v>
      </c>
      <c r="AE640" s="36"/>
      <c r="AF640" s="36">
        <f>IFERROR(VLOOKUP(AE640,'Chemical Cost'!A:D,4,0),0)</f>
        <v>0</v>
      </c>
      <c r="AG640" s="114">
        <f t="shared" si="187"/>
        <v>0</v>
      </c>
      <c r="AH640" s="36">
        <f t="shared" si="190"/>
        <v>0</v>
      </c>
      <c r="AI640" s="36">
        <f t="shared" si="197"/>
        <v>0.14000000000000001</v>
      </c>
      <c r="AJ640" s="36">
        <f>IFERROR(VLOOKUP(A640,'All Products'!A:F,6,0),0)</f>
        <v>14.02</v>
      </c>
      <c r="AK640" s="36"/>
      <c r="AL640" s="23">
        <v>0</v>
      </c>
      <c r="AM640" s="23">
        <v>1</v>
      </c>
      <c r="AN640" s="54" t="e">
        <v>#N/A</v>
      </c>
      <c r="AO640" s="47"/>
      <c r="AP640" s="4">
        <v>1.6</v>
      </c>
      <c r="AQ640" s="111">
        <f t="shared" si="188"/>
        <v>0</v>
      </c>
      <c r="AR640">
        <f>_xlfn.XLOOKUP(F640,'RM Cost'!A:A,'RM Cost'!S:S)</f>
        <v>0</v>
      </c>
      <c r="AS640" t="e">
        <f>_xlfn.XLOOKUP(A640,[3]Sheet1!$B:$B,[3]Sheet1!$B:$B)</f>
        <v>#N/A</v>
      </c>
    </row>
    <row r="641" spans="1:46" x14ac:dyDescent="0.25">
      <c r="A641" s="2" t="s">
        <v>415</v>
      </c>
      <c r="B641" s="2" t="s">
        <v>656</v>
      </c>
      <c r="C641" s="2" t="s">
        <v>784</v>
      </c>
      <c r="D641" s="2" t="s">
        <v>554</v>
      </c>
      <c r="E641" s="2">
        <v>2.5</v>
      </c>
      <c r="F641" s="1" t="str">
        <f>VLOOKUP(H641,'RM Used'!A:B,2,0)</f>
        <v>3446CS</v>
      </c>
      <c r="G641" s="1" t="str">
        <f>IFERROR(VLOOKUP(F641,'RM Cost'!A:B,2,0),"")</f>
        <v>RM - CUCUMBER X12 EA</v>
      </c>
      <c r="H641" s="2" t="s">
        <v>1514</v>
      </c>
      <c r="I641" s="1" t="str">
        <f>VLOOKUP(F641,'RM Used'!B:D,3,0)</f>
        <v>RM-FOOD</v>
      </c>
      <c r="J641" s="66">
        <v>1</v>
      </c>
      <c r="K641" s="35">
        <f t="shared" si="192"/>
        <v>2.5</v>
      </c>
      <c r="L641" s="35">
        <f t="shared" si="180"/>
        <v>2.5</v>
      </c>
      <c r="M641" s="77" cm="1">
        <f t="array" ref="M641">_xlfn.IFS(BOM!I641="RM-PACKING","100%",B641="Reynolds",VLOOKUP(H641,'Yield &amp; Time'!A:V,22,0),BOM!B641="Dnata",VLOOKUP(BOM!H641,'Yield &amp; Time'!A:M,13,0),B641="NK",VLOOKUP(H641,'Yield &amp; Time'!A:X,24,0))</f>
        <v>0.47499999999999998</v>
      </c>
      <c r="N641" s="35">
        <f t="shared" si="191"/>
        <v>5.2631578947368425</v>
      </c>
      <c r="O641" s="1" t="str">
        <f>VLOOKUP(H641,'RM Used'!A:E,5,0)</f>
        <v>KG</v>
      </c>
      <c r="P641" s="11">
        <f>VLOOKUP(H641,'RM Used'!A:F,6,0)</f>
        <v>1.18</v>
      </c>
      <c r="Q641" s="11">
        <f t="shared" si="189"/>
        <v>6.2105263157894735</v>
      </c>
      <c r="R641" s="11">
        <f>IFERROR(IF(B641="Reynolds",VLOOKUP(H641,'Yield &amp; Time'!A:U,21,0),VLOOKUP(H641,'Yield &amp; Time'!A:L,12,0)),0)</f>
        <v>4.515204678362573</v>
      </c>
      <c r="S641" s="11">
        <f t="shared" si="181"/>
        <v>3.8209919590643269</v>
      </c>
      <c r="T641" s="11">
        <f t="shared" si="182"/>
        <v>0.18813352826510721</v>
      </c>
      <c r="U641" s="11">
        <f>IF(A640=A641,0,VLOOKUP(A641,'Packing Time'!A:F,6,0))</f>
        <v>0.875</v>
      </c>
      <c r="V641" s="11">
        <f t="shared" si="193"/>
        <v>0.29618749999999999</v>
      </c>
      <c r="W641" s="11">
        <f t="shared" si="194"/>
        <v>1.4583333333333334E-2</v>
      </c>
      <c r="X641" s="11">
        <f t="shared" si="183"/>
        <v>6.5874871345029238</v>
      </c>
      <c r="Y641" s="11">
        <f t="shared" si="195"/>
        <v>6.5874871345029238</v>
      </c>
      <c r="Z641" s="37">
        <v>1</v>
      </c>
      <c r="AA641" s="36">
        <f t="shared" si="184"/>
        <v>5.2631578947368425</v>
      </c>
      <c r="AB641" s="36">
        <f t="shared" si="185"/>
        <v>6.2105263157894735</v>
      </c>
      <c r="AC641" s="11">
        <f t="shared" si="186"/>
        <v>0.32434697855750488</v>
      </c>
      <c r="AD641" s="36">
        <f t="shared" si="196"/>
        <v>6.5874871345029238</v>
      </c>
      <c r="AE641" s="36" t="str">
        <f>VLOOKUP(H641,'Yield &amp; Time'!A:I,9,0)</f>
        <v>CHLORINE</v>
      </c>
      <c r="AF641" s="36">
        <f>IFERROR(VLOOKUP(AE641,'Chemical Cost'!A:D,4,0),0)</f>
        <v>2.7756518066439469E-2</v>
      </c>
      <c r="AG641" s="114">
        <f t="shared" si="187"/>
        <v>4.8695645730595566E-2</v>
      </c>
      <c r="AH641" s="36">
        <f t="shared" si="190"/>
        <v>4.8695645730595566E-2</v>
      </c>
      <c r="AI641" s="36">
        <f t="shared" si="197"/>
        <v>12.846709096022993</v>
      </c>
      <c r="AJ641" s="36">
        <f>IFERROR(VLOOKUP(A641,'All Products'!A:F,6,0),0)</f>
        <v>35.020000000000003</v>
      </c>
      <c r="AK641" s="36">
        <f>AJ641*Z641*J641</f>
        <v>35.020000000000003</v>
      </c>
      <c r="AL641" s="23">
        <v>0</v>
      </c>
      <c r="AM641" s="23">
        <v>1</v>
      </c>
      <c r="AN641" s="54" t="e">
        <v>#N/A</v>
      </c>
      <c r="AO641" s="47"/>
      <c r="AP641" s="4">
        <v>1.6</v>
      </c>
      <c r="AQ641" s="111">
        <f t="shared" si="188"/>
        <v>0.32434697855750488</v>
      </c>
      <c r="AR641">
        <f>_xlfn.XLOOKUP(F641,'RM Cost'!A:A,'RM Cost'!S:S)</f>
        <v>0</v>
      </c>
      <c r="AS641" t="e">
        <f>_xlfn.XLOOKUP(A641,[3]Sheet1!$B:$B,[3]Sheet1!$B:$B)</f>
        <v>#N/A</v>
      </c>
    </row>
    <row r="642" spans="1:46" x14ac:dyDescent="0.25">
      <c r="A642" s="2" t="s">
        <v>415</v>
      </c>
      <c r="B642" s="2" t="s">
        <v>656</v>
      </c>
      <c r="C642" s="2" t="s">
        <v>784</v>
      </c>
      <c r="D642" s="2" t="s">
        <v>554</v>
      </c>
      <c r="E642" s="2">
        <v>2.5</v>
      </c>
      <c r="F642" s="1" t="str">
        <f>VLOOKUP(H642,'RM Used'!A:B,2,0)</f>
        <v>P0008</v>
      </c>
      <c r="G642" s="1" t="str">
        <f>IFERROR(VLOOKUP(F642,'RM Cost'!A:B,2,0),"")</f>
        <v>PALE BLUE BAG 470X750MM</v>
      </c>
      <c r="H642" s="2" t="s">
        <v>1323</v>
      </c>
      <c r="I642" s="1" t="str">
        <f>VLOOKUP(F642,'RM Used'!B:D,3,0)</f>
        <v>RM-PACKING</v>
      </c>
      <c r="J642" s="66">
        <v>1</v>
      </c>
      <c r="K642" s="35" t="str">
        <f t="shared" si="192"/>
        <v/>
      </c>
      <c r="L642" s="35">
        <f t="shared" ref="L642:L705" si="198">IFERROR(K642*Z642,0)</f>
        <v>0</v>
      </c>
      <c r="M642" s="77" t="str" cm="1">
        <f t="array" ref="M642">_xlfn.IFS(BOM!I642="RM-PACKING","100%",B642="Reynolds",VLOOKUP(H642,'Yield &amp; Time'!A:V,22,0),BOM!B642="Dnata",VLOOKUP(BOM!H642,'Yield &amp; Time'!A:M,13,0),B642="NK",VLOOKUP(H642,'Yield &amp; Time'!A:X,24,0))</f>
        <v>100%</v>
      </c>
      <c r="N642" s="35">
        <f t="shared" si="191"/>
        <v>1</v>
      </c>
      <c r="O642" s="1" t="str">
        <f>VLOOKUP(H642,'RM Used'!A:E,5,0)</f>
        <v>Count</v>
      </c>
      <c r="P642" s="11">
        <f>VLOOKUP(H642,'RM Used'!A:F,6,0)</f>
        <v>0.14000000000000001</v>
      </c>
      <c r="Q642" s="11">
        <f t="shared" si="189"/>
        <v>0.14000000000000001</v>
      </c>
      <c r="R642" s="11">
        <f>IFERROR(IF(B642="Reynolds",VLOOKUP(H642,'Yield &amp; Time'!A:U,21,0),VLOOKUP(H642,'Yield &amp; Time'!A:L,12,0)),0)</f>
        <v>0</v>
      </c>
      <c r="S642" s="11">
        <f t="shared" ref="S642:S705" si="199">R642*J642*E642*AO$1</f>
        <v>0</v>
      </c>
      <c r="T642" s="11">
        <f t="shared" ref="T642:T705" si="200">(R642*Z642*J642*E642)/60</f>
        <v>0</v>
      </c>
      <c r="U642" s="11">
        <f>IF(A641=A642,0,VLOOKUP(A642,'Packing Time'!A:F,6,0))</f>
        <v>0</v>
      </c>
      <c r="V642" s="11">
        <f t="shared" si="193"/>
        <v>0</v>
      </c>
      <c r="W642" s="11">
        <f t="shared" si="194"/>
        <v>0</v>
      </c>
      <c r="X642" s="11">
        <f t="shared" ref="X642:X705" si="201">((R642*J642*E642)+U642)*AO$1*AP642</f>
        <v>0</v>
      </c>
      <c r="Y642" s="11">
        <f t="shared" si="195"/>
        <v>0</v>
      </c>
      <c r="Z642" s="37">
        <v>1</v>
      </c>
      <c r="AA642" s="36">
        <f t="shared" ref="AA642:AA705" si="202">Z642*N642</f>
        <v>1</v>
      </c>
      <c r="AB642" s="36">
        <f t="shared" ref="AB642:AB705" si="203">AA642*P642</f>
        <v>0.14000000000000001</v>
      </c>
      <c r="AC642" s="11">
        <f t="shared" ref="AC642:AC705" si="204">(((R642*J642*E642)+U642)/60)*Z642*AP642</f>
        <v>0</v>
      </c>
      <c r="AD642" s="36">
        <f t="shared" si="196"/>
        <v>0</v>
      </c>
      <c r="AE642" s="36"/>
      <c r="AF642" s="36">
        <f>IFERROR(VLOOKUP(AE642,'Chemical Cost'!A:D,4,0),0)</f>
        <v>0</v>
      </c>
      <c r="AG642" s="114">
        <f t="shared" ref="AG642:AG705" si="205">AF642*N642/3</f>
        <v>0</v>
      </c>
      <c r="AH642" s="36">
        <f t="shared" si="190"/>
        <v>0</v>
      </c>
      <c r="AI642" s="36">
        <f t="shared" si="197"/>
        <v>0.14000000000000001</v>
      </c>
      <c r="AJ642" s="36">
        <f>IFERROR(VLOOKUP(A642,'All Products'!A:F,6,0),0)</f>
        <v>35.020000000000003</v>
      </c>
      <c r="AK642" s="36"/>
      <c r="AL642" s="23">
        <v>0</v>
      </c>
      <c r="AM642" s="23">
        <v>1</v>
      </c>
      <c r="AN642" s="54" t="e">
        <v>#N/A</v>
      </c>
      <c r="AO642" s="47"/>
      <c r="AP642" s="4">
        <v>1.6</v>
      </c>
      <c r="AQ642" s="111">
        <f t="shared" ref="AQ642:AQ705" si="206">(((R642*J642*E642)+U642)/60)*AP642</f>
        <v>0</v>
      </c>
      <c r="AR642">
        <f>_xlfn.XLOOKUP(F642,'RM Cost'!A:A,'RM Cost'!S:S)</f>
        <v>0</v>
      </c>
      <c r="AS642" t="e">
        <f>_xlfn.XLOOKUP(A642,[3]Sheet1!$B:$B,[3]Sheet1!$B:$B)</f>
        <v>#N/A</v>
      </c>
    </row>
    <row r="643" spans="1:46" x14ac:dyDescent="0.25">
      <c r="A643" s="2" t="s">
        <v>274</v>
      </c>
      <c r="B643" s="2" t="s">
        <v>656</v>
      </c>
      <c r="C643" s="2" t="s">
        <v>275</v>
      </c>
      <c r="D643" s="2" t="s">
        <v>554</v>
      </c>
      <c r="E643" s="2">
        <v>1</v>
      </c>
      <c r="F643" s="1" t="str">
        <f>VLOOKUP(H643,'RM Used'!A:B,2,0)</f>
        <v>3106CS</v>
      </c>
      <c r="G643" s="1" t="str">
        <f>IFERROR(VLOOKUP(F643,'RM Cost'!A:B,2,0),"")</f>
        <v>RM - FENNEL X5KG</v>
      </c>
      <c r="H643" s="2" t="s">
        <v>1515</v>
      </c>
      <c r="I643" s="1" t="str">
        <f>VLOOKUP(F643,'RM Used'!B:D,3,0)</f>
        <v>RM-FOOD</v>
      </c>
      <c r="J643" s="66">
        <v>1</v>
      </c>
      <c r="K643" s="35">
        <f t="shared" si="192"/>
        <v>1</v>
      </c>
      <c r="L643" s="35">
        <f t="shared" si="198"/>
        <v>1</v>
      </c>
      <c r="M643" s="77" cm="1">
        <f t="array" ref="M643">_xlfn.IFS(BOM!I643="RM-PACKING","100%",B643="Reynolds",VLOOKUP(H643,'Yield &amp; Time'!A:V,22,0),BOM!B643="Dnata",VLOOKUP(BOM!H643,'Yield &amp; Time'!A:M,13,0),B643="NK",VLOOKUP(H643,'Yield &amp; Time'!A:X,24,0))</f>
        <v>0.4365</v>
      </c>
      <c r="N643" s="35">
        <f t="shared" si="191"/>
        <v>2.2909507445589918</v>
      </c>
      <c r="O643" s="1" t="str">
        <f>VLOOKUP(H643,'RM Used'!A:E,5,0)</f>
        <v>KG</v>
      </c>
      <c r="P643" s="11">
        <f>VLOOKUP(H643,'RM Used'!A:F,6,0)</f>
        <v>1.41</v>
      </c>
      <c r="Q643" s="11">
        <f t="shared" ref="Q643:Q706" si="207">P643*N643</f>
        <v>3.2302405498281783</v>
      </c>
      <c r="R643" s="11">
        <f>IFERROR(IF(B643="Reynolds",VLOOKUP(H643,'Yield &amp; Time'!A:U,21,0),VLOOKUP(H643,'Yield &amp; Time'!A:L,12,0)),0)</f>
        <v>4.0300687285223367</v>
      </c>
      <c r="S643" s="11">
        <f t="shared" si="199"/>
        <v>1.3641782646048108</v>
      </c>
      <c r="T643" s="11">
        <f t="shared" si="200"/>
        <v>6.7167812142038943E-2</v>
      </c>
      <c r="U643" s="11">
        <f>IF(A642=A643,0,VLOOKUP(A643,'Packing Time'!A:F,6,0))</f>
        <v>0.64166666666666661</v>
      </c>
      <c r="V643" s="11">
        <f t="shared" si="193"/>
        <v>0.21720416666666661</v>
      </c>
      <c r="W643" s="11">
        <f t="shared" si="194"/>
        <v>1.0694444444444444E-2</v>
      </c>
      <c r="X643" s="11">
        <f t="shared" si="201"/>
        <v>2.530211890034364</v>
      </c>
      <c r="Y643" s="11">
        <f t="shared" si="195"/>
        <v>2.530211890034364</v>
      </c>
      <c r="Z643" s="37">
        <v>1</v>
      </c>
      <c r="AA643" s="36">
        <f t="shared" si="202"/>
        <v>2.2909507445589918</v>
      </c>
      <c r="AB643" s="36">
        <f t="shared" si="203"/>
        <v>3.2302405498281783</v>
      </c>
      <c r="AC643" s="11">
        <f t="shared" si="204"/>
        <v>0.12457961053837344</v>
      </c>
      <c r="AD643" s="36">
        <f t="shared" si="196"/>
        <v>2.5302118900343644</v>
      </c>
      <c r="AE643" s="36" t="str">
        <f>VLOOKUP(H643,'Yield &amp; Time'!A:I,9,0)</f>
        <v>CHLORINE</v>
      </c>
      <c r="AF643" s="36">
        <f>IFERROR(VLOOKUP(AE643,'Chemical Cost'!A:D,4,0),0)</f>
        <v>2.7756518066439469E-2</v>
      </c>
      <c r="AG643" s="114">
        <f t="shared" si="205"/>
        <v>2.119627191022487E-2</v>
      </c>
      <c r="AH643" s="36">
        <f t="shared" si="190"/>
        <v>2.119627191022487E-2</v>
      </c>
      <c r="AI643" s="36">
        <f t="shared" si="197"/>
        <v>5.7816487117727666</v>
      </c>
      <c r="AJ643" s="36">
        <f>IFERROR(VLOOKUP(A643,'All Products'!A:F,6,0),0)</f>
        <v>4.9800000000000004</v>
      </c>
      <c r="AK643" s="36">
        <f>AJ643*Z643*J643</f>
        <v>4.9800000000000004</v>
      </c>
      <c r="AL643" s="23">
        <v>0.8</v>
      </c>
      <c r="AM643" s="23">
        <v>0.2</v>
      </c>
      <c r="AN643" s="54" t="e">
        <v>#N/A</v>
      </c>
      <c r="AO643" s="47"/>
      <c r="AP643" s="4">
        <v>1.6</v>
      </c>
      <c r="AQ643" s="111">
        <f t="shared" si="206"/>
        <v>0.12457961053837344</v>
      </c>
      <c r="AR643">
        <f>_xlfn.XLOOKUP(F643,'RM Cost'!A:A,'RM Cost'!S:S)</f>
        <v>0</v>
      </c>
      <c r="AS643" t="str">
        <f>_xlfn.XLOOKUP(A643,[3]Sheet1!$B:$B,[3]Sheet1!$B:$B)</f>
        <v>Z208CS</v>
      </c>
      <c r="AT643">
        <f>_xlfn.XLOOKUP(H643,'Yield &amp; Time'!A:A,'Yield &amp; Time'!F:F)</f>
        <v>0</v>
      </c>
    </row>
    <row r="644" spans="1:46" x14ac:dyDescent="0.25">
      <c r="A644" s="2" t="s">
        <v>274</v>
      </c>
      <c r="B644" s="2" t="s">
        <v>656</v>
      </c>
      <c r="C644" s="2" t="s">
        <v>275</v>
      </c>
      <c r="D644" s="2" t="s">
        <v>554</v>
      </c>
      <c r="E644" s="2">
        <v>1</v>
      </c>
      <c r="F644" s="1" t="str">
        <f>VLOOKUP(H644,'RM Used'!A:B,2,0)</f>
        <v>P0008</v>
      </c>
      <c r="G644" s="1" t="str">
        <f>IFERROR(VLOOKUP(F644,'RM Cost'!A:B,2,0),"")</f>
        <v>PALE BLUE BAG 470X750MM</v>
      </c>
      <c r="H644" s="2" t="s">
        <v>1323</v>
      </c>
      <c r="I644" s="1" t="str">
        <f>VLOOKUP(F644,'RM Used'!B:D,3,0)</f>
        <v>RM-PACKING</v>
      </c>
      <c r="J644" s="66">
        <v>1</v>
      </c>
      <c r="K644" s="35" t="str">
        <f t="shared" si="192"/>
        <v/>
      </c>
      <c r="L644" s="35">
        <f t="shared" si="198"/>
        <v>0</v>
      </c>
      <c r="M644" s="77" t="str" cm="1">
        <f t="array" ref="M644">_xlfn.IFS(BOM!I644="RM-PACKING","100%",B644="Reynolds",VLOOKUP(H644,'Yield &amp; Time'!A:V,22,0),BOM!B644="Dnata",VLOOKUP(BOM!H644,'Yield &amp; Time'!A:M,13,0),B644="NK",VLOOKUP(H644,'Yield &amp; Time'!A:X,24,0))</f>
        <v>100%</v>
      </c>
      <c r="N644" s="35">
        <f t="shared" si="191"/>
        <v>1</v>
      </c>
      <c r="O644" s="1" t="str">
        <f>VLOOKUP(H644,'RM Used'!A:E,5,0)</f>
        <v>Count</v>
      </c>
      <c r="P644" s="11">
        <f>VLOOKUP(H644,'RM Used'!A:F,6,0)</f>
        <v>0.14000000000000001</v>
      </c>
      <c r="Q644" s="11">
        <f t="shared" si="207"/>
        <v>0.14000000000000001</v>
      </c>
      <c r="R644" s="11">
        <f>IFERROR(IF(B644="Reynolds",VLOOKUP(H644,'Yield &amp; Time'!A:U,21,0),VLOOKUP(H644,'Yield &amp; Time'!A:L,12,0)),0)</f>
        <v>0</v>
      </c>
      <c r="S644" s="11">
        <f t="shared" si="199"/>
        <v>0</v>
      </c>
      <c r="T644" s="11">
        <f t="shared" si="200"/>
        <v>0</v>
      </c>
      <c r="U644" s="11">
        <f>IF(A643=A644,0,VLOOKUP(A644,'Packing Time'!A:F,6,0))</f>
        <v>0</v>
      </c>
      <c r="V644" s="11">
        <f t="shared" si="193"/>
        <v>0</v>
      </c>
      <c r="W644" s="11">
        <f t="shared" si="194"/>
        <v>0</v>
      </c>
      <c r="X644" s="11">
        <f t="shared" si="201"/>
        <v>0</v>
      </c>
      <c r="Y644" s="11">
        <f t="shared" si="195"/>
        <v>0</v>
      </c>
      <c r="Z644" s="37">
        <v>1</v>
      </c>
      <c r="AA644" s="36">
        <f t="shared" si="202"/>
        <v>1</v>
      </c>
      <c r="AB644" s="36">
        <f t="shared" si="203"/>
        <v>0.14000000000000001</v>
      </c>
      <c r="AC644" s="11">
        <f t="shared" si="204"/>
        <v>0</v>
      </c>
      <c r="AD644" s="36">
        <f t="shared" si="196"/>
        <v>0</v>
      </c>
      <c r="AE644" s="36"/>
      <c r="AF644" s="36">
        <f>IFERROR(VLOOKUP(AE644,'Chemical Cost'!A:D,4,0),0)</f>
        <v>0</v>
      </c>
      <c r="AG644" s="114">
        <f t="shared" si="205"/>
        <v>0</v>
      </c>
      <c r="AH644" s="36">
        <f t="shared" si="190"/>
        <v>0</v>
      </c>
      <c r="AI644" s="36">
        <f t="shared" si="197"/>
        <v>0.14000000000000001</v>
      </c>
      <c r="AJ644" s="36">
        <f>IFERROR(VLOOKUP(A644,'All Products'!A:F,6,0),0)</f>
        <v>4.9800000000000004</v>
      </c>
      <c r="AK644" s="36"/>
      <c r="AL644" s="23">
        <v>0.8</v>
      </c>
      <c r="AM644" s="23">
        <v>0.2</v>
      </c>
      <c r="AN644" s="54" t="e">
        <v>#N/A</v>
      </c>
      <c r="AO644" s="47"/>
      <c r="AP644" s="4">
        <v>1.6</v>
      </c>
      <c r="AQ644" s="111">
        <f t="shared" si="206"/>
        <v>0</v>
      </c>
      <c r="AR644">
        <f>_xlfn.XLOOKUP(F644,'RM Cost'!A:A,'RM Cost'!S:S)</f>
        <v>0</v>
      </c>
      <c r="AS644" t="str">
        <f>_xlfn.XLOOKUP(A644,[3]Sheet1!$B:$B,[3]Sheet1!$B:$B)</f>
        <v>Z208CS</v>
      </c>
      <c r="AT644" t="e">
        <f>_xlfn.XLOOKUP(H644,'Yield &amp; Time'!A:A,'Yield &amp; Time'!F:F)</f>
        <v>#N/A</v>
      </c>
    </row>
    <row r="645" spans="1:46" x14ac:dyDescent="0.25">
      <c r="A645" s="2" t="s">
        <v>785</v>
      </c>
      <c r="B645" s="2" t="s">
        <v>656</v>
      </c>
      <c r="C645" s="2" t="s">
        <v>786</v>
      </c>
      <c r="D645" s="2" t="s">
        <v>554</v>
      </c>
      <c r="E645" s="2">
        <v>2.5</v>
      </c>
      <c r="F645" s="1" t="str">
        <f>VLOOKUP(H645,'RM Used'!A:B,2,0)</f>
        <v>3106CS</v>
      </c>
      <c r="G645" s="1" t="str">
        <f>IFERROR(VLOOKUP(F645,'RM Cost'!A:B,2,0),"")</f>
        <v>RM - FENNEL X5KG</v>
      </c>
      <c r="H645" s="2" t="s">
        <v>1515</v>
      </c>
      <c r="I645" s="1" t="str">
        <f>VLOOKUP(F645,'RM Used'!B:D,3,0)</f>
        <v>RM-FOOD</v>
      </c>
      <c r="J645" s="66">
        <v>1</v>
      </c>
      <c r="K645" s="35">
        <f t="shared" si="192"/>
        <v>2.5</v>
      </c>
      <c r="L645" s="35">
        <f t="shared" si="198"/>
        <v>2.5</v>
      </c>
      <c r="M645" s="77" cm="1">
        <f t="array" ref="M645">_xlfn.IFS(BOM!I645="RM-PACKING","100%",B645="Reynolds",VLOOKUP(H645,'Yield &amp; Time'!A:V,22,0),BOM!B645="Dnata",VLOOKUP(BOM!H645,'Yield &amp; Time'!A:M,13,0),B645="NK",VLOOKUP(H645,'Yield &amp; Time'!A:X,24,0))</f>
        <v>0.4365</v>
      </c>
      <c r="N645" s="35">
        <f t="shared" si="191"/>
        <v>5.72737686139748</v>
      </c>
      <c r="O645" s="1" t="str">
        <f>VLOOKUP(H645,'RM Used'!A:E,5,0)</f>
        <v>KG</v>
      </c>
      <c r="P645" s="11">
        <f>VLOOKUP(H645,'RM Used'!A:F,6,0)</f>
        <v>1.41</v>
      </c>
      <c r="Q645" s="11">
        <f t="shared" si="207"/>
        <v>8.0756013745704465</v>
      </c>
      <c r="R645" s="11">
        <f>IFERROR(IF(B645="Reynolds",VLOOKUP(H645,'Yield &amp; Time'!A:U,21,0),VLOOKUP(H645,'Yield &amp; Time'!A:L,12,0)),0)</f>
        <v>4.0300687285223367</v>
      </c>
      <c r="S645" s="11">
        <f t="shared" si="199"/>
        <v>3.4104456615120271</v>
      </c>
      <c r="T645" s="11">
        <f t="shared" si="200"/>
        <v>0.16791953035509738</v>
      </c>
      <c r="U645" s="11">
        <f>IF(A644=A645,0,VLOOKUP(A645,'Packing Time'!A:F,6,0))</f>
        <v>0.875</v>
      </c>
      <c r="V645" s="11">
        <f t="shared" si="193"/>
        <v>0.29618749999999999</v>
      </c>
      <c r="W645" s="11">
        <f t="shared" si="194"/>
        <v>1.4583333333333334E-2</v>
      </c>
      <c r="X645" s="11">
        <f t="shared" si="201"/>
        <v>5.9306130584192438</v>
      </c>
      <c r="Y645" s="11">
        <f t="shared" si="195"/>
        <v>5.9306130584192438</v>
      </c>
      <c r="Z645" s="37">
        <v>1</v>
      </c>
      <c r="AA645" s="36">
        <f t="shared" si="202"/>
        <v>5.72737686139748</v>
      </c>
      <c r="AB645" s="36">
        <f t="shared" si="203"/>
        <v>8.0756013745704465</v>
      </c>
      <c r="AC645" s="11">
        <f t="shared" si="204"/>
        <v>0.29200458190148909</v>
      </c>
      <c r="AD645" s="36">
        <f t="shared" si="196"/>
        <v>5.9306130584192429</v>
      </c>
      <c r="AE645" s="36" t="str">
        <f>VLOOKUP(H645,'Yield &amp; Time'!A:I,9,0)</f>
        <v>CHLORINE</v>
      </c>
      <c r="AF645" s="36">
        <f>IFERROR(VLOOKUP(AE645,'Chemical Cost'!A:D,4,0),0)</f>
        <v>2.7756518066439469E-2</v>
      </c>
      <c r="AG645" s="114">
        <f t="shared" si="205"/>
        <v>5.2990679775562183E-2</v>
      </c>
      <c r="AH645" s="36">
        <f t="shared" si="190"/>
        <v>5.2990679775562183E-2</v>
      </c>
      <c r="AI645" s="36">
        <f t="shared" si="197"/>
        <v>14.059205112765252</v>
      </c>
      <c r="AJ645" s="36">
        <f>IFERROR(VLOOKUP(A645,'All Products'!A:F,6,0),0)</f>
        <v>12.14</v>
      </c>
      <c r="AK645" s="36">
        <f>AJ645*Z645*J645</f>
        <v>12.14</v>
      </c>
      <c r="AL645" s="23">
        <v>0.8</v>
      </c>
      <c r="AM645" s="23">
        <v>0.2</v>
      </c>
      <c r="AN645" s="54" t="e">
        <v>#N/A</v>
      </c>
      <c r="AO645" s="47"/>
      <c r="AP645" s="4">
        <v>1.6</v>
      </c>
      <c r="AQ645" s="111">
        <f t="shared" si="206"/>
        <v>0.29200458190148909</v>
      </c>
      <c r="AR645">
        <f>_xlfn.XLOOKUP(F645,'RM Cost'!A:A,'RM Cost'!S:S)</f>
        <v>0</v>
      </c>
      <c r="AS645" t="str">
        <f>_xlfn.XLOOKUP(A645,[3]Sheet1!$B:$B,[3]Sheet1!$B:$B)</f>
        <v>Z207CS</v>
      </c>
      <c r="AT645">
        <f>_xlfn.XLOOKUP(H645,'Yield &amp; Time'!A:A,'Yield &amp; Time'!F:F)</f>
        <v>0</v>
      </c>
    </row>
    <row r="646" spans="1:46" x14ac:dyDescent="0.25">
      <c r="A646" s="2" t="s">
        <v>785</v>
      </c>
      <c r="B646" s="2" t="s">
        <v>656</v>
      </c>
      <c r="C646" s="2" t="s">
        <v>786</v>
      </c>
      <c r="D646" s="2" t="s">
        <v>554</v>
      </c>
      <c r="E646" s="2">
        <v>2.5</v>
      </c>
      <c r="F646" s="1" t="str">
        <f>VLOOKUP(H646,'RM Used'!A:B,2,0)</f>
        <v>P0008</v>
      </c>
      <c r="G646" s="1" t="str">
        <f>IFERROR(VLOOKUP(F646,'RM Cost'!A:B,2,0),"")</f>
        <v>PALE BLUE BAG 470X750MM</v>
      </c>
      <c r="H646" s="2" t="s">
        <v>1323</v>
      </c>
      <c r="I646" s="1" t="str">
        <f>VLOOKUP(F646,'RM Used'!B:D,3,0)</f>
        <v>RM-PACKING</v>
      </c>
      <c r="J646" s="66">
        <v>1</v>
      </c>
      <c r="K646" s="35" t="str">
        <f t="shared" si="192"/>
        <v/>
      </c>
      <c r="L646" s="35">
        <f t="shared" si="198"/>
        <v>0</v>
      </c>
      <c r="M646" s="77" t="str" cm="1">
        <f t="array" ref="M646">_xlfn.IFS(BOM!I646="RM-PACKING","100%",B646="Reynolds",VLOOKUP(H646,'Yield &amp; Time'!A:V,22,0),BOM!B646="Dnata",VLOOKUP(BOM!H646,'Yield &amp; Time'!A:M,13,0),B646="NK",VLOOKUP(H646,'Yield &amp; Time'!A:X,24,0))</f>
        <v>100%</v>
      </c>
      <c r="N646" s="35">
        <f t="shared" si="191"/>
        <v>1</v>
      </c>
      <c r="O646" s="1" t="str">
        <f>VLOOKUP(H646,'RM Used'!A:E,5,0)</f>
        <v>Count</v>
      </c>
      <c r="P646" s="11">
        <f>VLOOKUP(H646,'RM Used'!A:F,6,0)</f>
        <v>0.14000000000000001</v>
      </c>
      <c r="Q646" s="11">
        <f t="shared" si="207"/>
        <v>0.14000000000000001</v>
      </c>
      <c r="R646" s="11">
        <f>IFERROR(IF(B646="Reynolds",VLOOKUP(H646,'Yield &amp; Time'!A:U,21,0),VLOOKUP(H646,'Yield &amp; Time'!A:L,12,0)),0)</f>
        <v>0</v>
      </c>
      <c r="S646" s="11">
        <f t="shared" si="199"/>
        <v>0</v>
      </c>
      <c r="T646" s="11">
        <f t="shared" si="200"/>
        <v>0</v>
      </c>
      <c r="U646" s="11">
        <f>IF(A645=A646,0,VLOOKUP(A646,'Packing Time'!A:F,6,0))</f>
        <v>0</v>
      </c>
      <c r="V646" s="11">
        <f t="shared" si="193"/>
        <v>0</v>
      </c>
      <c r="W646" s="11">
        <f t="shared" si="194"/>
        <v>0</v>
      </c>
      <c r="X646" s="11">
        <f t="shared" si="201"/>
        <v>0</v>
      </c>
      <c r="Y646" s="11">
        <f t="shared" si="195"/>
        <v>0</v>
      </c>
      <c r="Z646" s="37">
        <v>1</v>
      </c>
      <c r="AA646" s="36">
        <f t="shared" si="202"/>
        <v>1</v>
      </c>
      <c r="AB646" s="36">
        <f t="shared" si="203"/>
        <v>0.14000000000000001</v>
      </c>
      <c r="AC646" s="11">
        <f t="shared" si="204"/>
        <v>0</v>
      </c>
      <c r="AD646" s="36">
        <f t="shared" si="196"/>
        <v>0</v>
      </c>
      <c r="AE646" s="36"/>
      <c r="AF646" s="36">
        <f>IFERROR(VLOOKUP(AE646,'Chemical Cost'!A:D,4,0),0)</f>
        <v>0</v>
      </c>
      <c r="AG646" s="114">
        <f t="shared" si="205"/>
        <v>0</v>
      </c>
      <c r="AH646" s="36">
        <f t="shared" si="190"/>
        <v>0</v>
      </c>
      <c r="AI646" s="36">
        <f t="shared" si="197"/>
        <v>0.14000000000000001</v>
      </c>
      <c r="AJ646" s="36">
        <f>IFERROR(VLOOKUP(A646,'All Products'!A:F,6,0),0)</f>
        <v>12.14</v>
      </c>
      <c r="AK646" s="36"/>
      <c r="AL646" s="23">
        <v>0.8</v>
      </c>
      <c r="AM646" s="23">
        <v>0.2</v>
      </c>
      <c r="AN646" s="54" t="e">
        <v>#N/A</v>
      </c>
      <c r="AO646" s="47"/>
      <c r="AP646" s="4">
        <v>1.6</v>
      </c>
      <c r="AQ646" s="111">
        <f t="shared" si="206"/>
        <v>0</v>
      </c>
      <c r="AR646">
        <f>_xlfn.XLOOKUP(F646,'RM Cost'!A:A,'RM Cost'!S:S)</f>
        <v>0</v>
      </c>
      <c r="AS646" t="str">
        <f>_xlfn.XLOOKUP(A646,[3]Sheet1!$B:$B,[3]Sheet1!$B:$B)</f>
        <v>Z207CS</v>
      </c>
      <c r="AT646" t="e">
        <f>_xlfn.XLOOKUP(H646,'Yield &amp; Time'!A:A,'Yield &amp; Time'!F:F)</f>
        <v>#N/A</v>
      </c>
    </row>
    <row r="647" spans="1:46" x14ac:dyDescent="0.25">
      <c r="A647" s="2" t="s">
        <v>787</v>
      </c>
      <c r="B647" s="2" t="s">
        <v>656</v>
      </c>
      <c r="C647" s="2" t="s">
        <v>788</v>
      </c>
      <c r="D647" s="2" t="s">
        <v>554</v>
      </c>
      <c r="E647" s="2">
        <v>1</v>
      </c>
      <c r="F647" s="1" t="str">
        <f>VLOOKUP(H647,'RM Used'!A:B,2,0)</f>
        <v>3106CS</v>
      </c>
      <c r="G647" s="1" t="str">
        <f>IFERROR(VLOOKUP(F647,'RM Cost'!A:B,2,0),"")</f>
        <v>RM - FENNEL X5KG</v>
      </c>
      <c r="H647" s="2" t="s">
        <v>1516</v>
      </c>
      <c r="I647" s="1" t="str">
        <f>VLOOKUP(F647,'RM Used'!B:D,3,0)</f>
        <v>RM-FOOD</v>
      </c>
      <c r="J647" s="66">
        <v>1</v>
      </c>
      <c r="K647" s="35">
        <f t="shared" si="192"/>
        <v>1</v>
      </c>
      <c r="L647" s="35">
        <f t="shared" si="198"/>
        <v>1</v>
      </c>
      <c r="M647" s="77" cm="1">
        <f t="array" ref="M647">_xlfn.IFS(BOM!I647="RM-PACKING","100%",B647="Reynolds",VLOOKUP(H647,'Yield &amp; Time'!A:V,22,0),BOM!B647="Dnata",VLOOKUP(BOM!H647,'Yield &amp; Time'!A:M,13,0),B647="NK",VLOOKUP(H647,'Yield &amp; Time'!A:X,24,0))</f>
        <v>0.54</v>
      </c>
      <c r="N647" s="35">
        <f t="shared" si="191"/>
        <v>1.8518518518518516</v>
      </c>
      <c r="O647" s="1" t="str">
        <f>VLOOKUP(H647,'RM Used'!A:E,5,0)</f>
        <v>KG</v>
      </c>
      <c r="P647" s="11">
        <f>VLOOKUP(H647,'RM Used'!A:F,6,0)</f>
        <v>1.41</v>
      </c>
      <c r="Q647" s="11">
        <f t="shared" si="207"/>
        <v>2.6111111111111107</v>
      </c>
      <c r="R647" s="11">
        <f>IFERROR(IF(B647="Reynolds",VLOOKUP(H647,'Yield &amp; Time'!A:U,21,0),VLOOKUP(H647,'Yield &amp; Time'!A:L,12,0)),0)</f>
        <v>4.9027777777777777</v>
      </c>
      <c r="S647" s="11">
        <f t="shared" si="199"/>
        <v>1.6595902777777776</v>
      </c>
      <c r="T647" s="11">
        <f t="shared" si="200"/>
        <v>8.1712962962962959E-2</v>
      </c>
      <c r="U647" s="11">
        <f>IF(A646=A647,0,VLOOKUP(A647,'Packing Time'!A:F,6,0))</f>
        <v>0.64166666666666661</v>
      </c>
      <c r="V647" s="11">
        <f t="shared" si="193"/>
        <v>0.21720416666666661</v>
      </c>
      <c r="W647" s="11">
        <f t="shared" si="194"/>
        <v>1.0694444444444444E-2</v>
      </c>
      <c r="X647" s="11">
        <f t="shared" si="201"/>
        <v>3.0028711111111108</v>
      </c>
      <c r="Y647" s="11">
        <f t="shared" si="195"/>
        <v>3.0028711111111108</v>
      </c>
      <c r="Z647" s="37">
        <v>1</v>
      </c>
      <c r="AA647" s="36">
        <f t="shared" si="202"/>
        <v>1.8518518518518516</v>
      </c>
      <c r="AB647" s="36">
        <f t="shared" si="203"/>
        <v>2.6111111111111107</v>
      </c>
      <c r="AC647" s="11">
        <f t="shared" si="204"/>
        <v>0.14785185185185187</v>
      </c>
      <c r="AD647" s="36">
        <f t="shared" si="196"/>
        <v>3.0028711111111113</v>
      </c>
      <c r="AE647" s="36" t="str">
        <f>VLOOKUP(H647,'Yield &amp; Time'!A:I,9,0)</f>
        <v>CHLORINE</v>
      </c>
      <c r="AF647" s="36">
        <f>IFERROR(VLOOKUP(AE647,'Chemical Cost'!A:D,4,0),0)</f>
        <v>2.7756518066439469E-2</v>
      </c>
      <c r="AG647" s="114">
        <f t="shared" si="205"/>
        <v>1.7133653127431769E-2</v>
      </c>
      <c r="AH647" s="36">
        <f t="shared" si="190"/>
        <v>1.7133653127431769E-2</v>
      </c>
      <c r="AI647" s="36">
        <f t="shared" si="197"/>
        <v>5.6311158753496526</v>
      </c>
      <c r="AJ647" s="36">
        <f>IFERROR(VLOOKUP(A647,'All Products'!A:F,6,0),0)</f>
        <v>6.46</v>
      </c>
      <c r="AK647" s="36">
        <f>AJ647*Z647*J647</f>
        <v>6.46</v>
      </c>
      <c r="AL647" s="23">
        <v>0.8</v>
      </c>
      <c r="AM647" s="23">
        <v>0.2</v>
      </c>
      <c r="AN647" s="54" t="e">
        <v>#N/A</v>
      </c>
      <c r="AO647" s="47"/>
      <c r="AP647" s="4">
        <v>1.6</v>
      </c>
      <c r="AQ647" s="111">
        <f t="shared" si="206"/>
        <v>0.14785185185185187</v>
      </c>
      <c r="AR647">
        <f>_xlfn.XLOOKUP(F647,'RM Cost'!A:A,'RM Cost'!S:S)</f>
        <v>0</v>
      </c>
      <c r="AS647" t="str">
        <f>_xlfn.XLOOKUP(A647,[3]Sheet1!$B:$B,[3]Sheet1!$B:$B)</f>
        <v>Z290CS</v>
      </c>
      <c r="AT647">
        <f>_xlfn.XLOOKUP(H647,'Yield &amp; Time'!A:A,'Yield &amp; Time'!F:F)</f>
        <v>0</v>
      </c>
    </row>
    <row r="648" spans="1:46" x14ac:dyDescent="0.25">
      <c r="A648" s="2" t="s">
        <v>787</v>
      </c>
      <c r="B648" s="2" t="s">
        <v>656</v>
      </c>
      <c r="C648" s="2" t="s">
        <v>788</v>
      </c>
      <c r="D648" s="2" t="s">
        <v>554</v>
      </c>
      <c r="E648" s="2">
        <v>1</v>
      </c>
      <c r="F648" s="1" t="str">
        <f>VLOOKUP(H648,'RM Used'!A:B,2,0)</f>
        <v>P0008</v>
      </c>
      <c r="G648" s="1" t="str">
        <f>IFERROR(VLOOKUP(F648,'RM Cost'!A:B,2,0),"")</f>
        <v>PALE BLUE BAG 470X750MM</v>
      </c>
      <c r="H648" s="2" t="s">
        <v>1323</v>
      </c>
      <c r="I648" s="1" t="str">
        <f>VLOOKUP(F648,'RM Used'!B:D,3,0)</f>
        <v>RM-PACKING</v>
      </c>
      <c r="J648" s="66">
        <v>1</v>
      </c>
      <c r="K648" s="35" t="str">
        <f t="shared" si="192"/>
        <v/>
      </c>
      <c r="L648" s="35">
        <f t="shared" si="198"/>
        <v>0</v>
      </c>
      <c r="M648" s="77" t="str" cm="1">
        <f t="array" ref="M648">_xlfn.IFS(BOM!I648="RM-PACKING","100%",B648="Reynolds",VLOOKUP(H648,'Yield &amp; Time'!A:V,22,0),BOM!B648="Dnata",VLOOKUP(BOM!H648,'Yield &amp; Time'!A:M,13,0),B648="NK",VLOOKUP(H648,'Yield &amp; Time'!A:X,24,0))</f>
        <v>100%</v>
      </c>
      <c r="N648" s="35">
        <f t="shared" si="191"/>
        <v>1</v>
      </c>
      <c r="O648" s="1" t="str">
        <f>VLOOKUP(H648,'RM Used'!A:E,5,0)</f>
        <v>Count</v>
      </c>
      <c r="P648" s="11">
        <f>VLOOKUP(H648,'RM Used'!A:F,6,0)</f>
        <v>0.14000000000000001</v>
      </c>
      <c r="Q648" s="11">
        <f t="shared" si="207"/>
        <v>0.14000000000000001</v>
      </c>
      <c r="R648" s="11">
        <f>IFERROR(IF(B648="Reynolds",VLOOKUP(H648,'Yield &amp; Time'!A:U,21,0),VLOOKUP(H648,'Yield &amp; Time'!A:L,12,0)),0)</f>
        <v>0</v>
      </c>
      <c r="S648" s="11">
        <f t="shared" si="199"/>
        <v>0</v>
      </c>
      <c r="T648" s="11">
        <f t="shared" si="200"/>
        <v>0</v>
      </c>
      <c r="U648" s="11">
        <f>IF(A647=A648,0,VLOOKUP(A648,'Packing Time'!A:F,6,0))</f>
        <v>0</v>
      </c>
      <c r="V648" s="11">
        <f t="shared" si="193"/>
        <v>0</v>
      </c>
      <c r="W648" s="11">
        <f t="shared" si="194"/>
        <v>0</v>
      </c>
      <c r="X648" s="11">
        <f t="shared" si="201"/>
        <v>0</v>
      </c>
      <c r="Y648" s="11">
        <f t="shared" si="195"/>
        <v>0</v>
      </c>
      <c r="Z648" s="37">
        <v>1</v>
      </c>
      <c r="AA648" s="36">
        <f t="shared" si="202"/>
        <v>1</v>
      </c>
      <c r="AB648" s="36">
        <f t="shared" si="203"/>
        <v>0.14000000000000001</v>
      </c>
      <c r="AC648" s="11">
        <f t="shared" si="204"/>
        <v>0</v>
      </c>
      <c r="AD648" s="36">
        <f t="shared" si="196"/>
        <v>0</v>
      </c>
      <c r="AE648" s="36"/>
      <c r="AF648" s="36">
        <f>IFERROR(VLOOKUP(AE648,'Chemical Cost'!A:D,4,0),0)</f>
        <v>0</v>
      </c>
      <c r="AG648" s="114">
        <f t="shared" si="205"/>
        <v>0</v>
      </c>
      <c r="AH648" s="36">
        <f t="shared" si="190"/>
        <v>0</v>
      </c>
      <c r="AI648" s="36">
        <f t="shared" si="197"/>
        <v>0.14000000000000001</v>
      </c>
      <c r="AJ648" s="36">
        <f>IFERROR(VLOOKUP(A648,'All Products'!A:F,6,0),0)</f>
        <v>6.46</v>
      </c>
      <c r="AK648" s="36"/>
      <c r="AL648" s="23">
        <v>0.8</v>
      </c>
      <c r="AM648" s="23">
        <v>0.2</v>
      </c>
      <c r="AN648" s="54" t="e">
        <v>#N/A</v>
      </c>
      <c r="AO648" s="47"/>
      <c r="AP648" s="4">
        <v>1.6</v>
      </c>
      <c r="AQ648" s="111">
        <f t="shared" si="206"/>
        <v>0</v>
      </c>
      <c r="AR648">
        <f>_xlfn.XLOOKUP(F648,'RM Cost'!A:A,'RM Cost'!S:S)</f>
        <v>0</v>
      </c>
      <c r="AS648" t="str">
        <f>_xlfn.XLOOKUP(A648,[3]Sheet1!$B:$B,[3]Sheet1!$B:$B)</f>
        <v>Z290CS</v>
      </c>
      <c r="AT648" t="e">
        <f>_xlfn.XLOOKUP(H648,'Yield &amp; Time'!A:A,'Yield &amp; Time'!F:F)</f>
        <v>#N/A</v>
      </c>
    </row>
    <row r="649" spans="1:46" x14ac:dyDescent="0.25">
      <c r="A649" s="2" t="s">
        <v>789</v>
      </c>
      <c r="B649" s="2" t="s">
        <v>656</v>
      </c>
      <c r="C649" s="2" t="s">
        <v>790</v>
      </c>
      <c r="D649" s="2" t="s">
        <v>554</v>
      </c>
      <c r="E649" s="2">
        <v>2.5</v>
      </c>
      <c r="F649" s="1" t="str">
        <f>VLOOKUP(H649,'RM Used'!A:B,2,0)</f>
        <v>3106CS</v>
      </c>
      <c r="G649" s="1" t="str">
        <f>IFERROR(VLOOKUP(F649,'RM Cost'!A:B,2,0),"")</f>
        <v>RM - FENNEL X5KG</v>
      </c>
      <c r="H649" s="2" t="s">
        <v>1516</v>
      </c>
      <c r="I649" s="1" t="str">
        <f>VLOOKUP(F649,'RM Used'!B:D,3,0)</f>
        <v>RM-FOOD</v>
      </c>
      <c r="J649" s="66">
        <v>1</v>
      </c>
      <c r="K649" s="35">
        <f t="shared" si="192"/>
        <v>2.5</v>
      </c>
      <c r="L649" s="35">
        <f t="shared" si="198"/>
        <v>2.5</v>
      </c>
      <c r="M649" s="77" cm="1">
        <f t="array" ref="M649">_xlfn.IFS(BOM!I649="RM-PACKING","100%",B649="Reynolds",VLOOKUP(H649,'Yield &amp; Time'!A:V,22,0),BOM!B649="Dnata",VLOOKUP(BOM!H649,'Yield &amp; Time'!A:M,13,0),B649="NK",VLOOKUP(H649,'Yield &amp; Time'!A:X,24,0))</f>
        <v>0.54</v>
      </c>
      <c r="N649" s="35">
        <f t="shared" si="191"/>
        <v>4.6296296296296298</v>
      </c>
      <c r="O649" s="1" t="str">
        <f>VLOOKUP(H649,'RM Used'!A:E,5,0)</f>
        <v>KG</v>
      </c>
      <c r="P649" s="11">
        <f>VLOOKUP(H649,'RM Used'!A:F,6,0)</f>
        <v>1.41</v>
      </c>
      <c r="Q649" s="11">
        <f t="shared" si="207"/>
        <v>6.5277777777777777</v>
      </c>
      <c r="R649" s="11">
        <f>IFERROR(IF(B649="Reynolds",VLOOKUP(H649,'Yield &amp; Time'!A:U,21,0),VLOOKUP(H649,'Yield &amp; Time'!A:L,12,0)),0)</f>
        <v>4.9027777777777777</v>
      </c>
      <c r="S649" s="11">
        <f t="shared" si="199"/>
        <v>4.1489756944444443</v>
      </c>
      <c r="T649" s="11">
        <f t="shared" si="200"/>
        <v>0.20428240740740741</v>
      </c>
      <c r="U649" s="11">
        <f>IF(A648=A649,0,VLOOKUP(A649,'Packing Time'!A:F,6,0))</f>
        <v>0.875</v>
      </c>
      <c r="V649" s="11">
        <f t="shared" si="193"/>
        <v>0.29618749999999999</v>
      </c>
      <c r="W649" s="11">
        <f t="shared" si="194"/>
        <v>1.4583333333333334E-2</v>
      </c>
      <c r="X649" s="11">
        <f t="shared" si="201"/>
        <v>4.8896795138888898</v>
      </c>
      <c r="Y649" s="11">
        <f t="shared" si="195"/>
        <v>4.8896795138888898</v>
      </c>
      <c r="Z649" s="37">
        <v>1</v>
      </c>
      <c r="AA649" s="36">
        <f t="shared" si="202"/>
        <v>4.6296296296296298</v>
      </c>
      <c r="AB649" s="36">
        <f t="shared" si="203"/>
        <v>6.5277777777777777</v>
      </c>
      <c r="AC649" s="11">
        <f t="shared" si="204"/>
        <v>0.24075231481481485</v>
      </c>
      <c r="AD649" s="36">
        <f t="shared" si="196"/>
        <v>4.8896795138888889</v>
      </c>
      <c r="AE649" s="36" t="str">
        <f>VLOOKUP(H649,'Yield &amp; Time'!A:I,9,0)</f>
        <v>CHLORINE</v>
      </c>
      <c r="AF649" s="36">
        <f>IFERROR(VLOOKUP(AE649,'Chemical Cost'!A:D,4,0),0)</f>
        <v>2.7756518066439469E-2</v>
      </c>
      <c r="AG649" s="114">
        <f t="shared" si="205"/>
        <v>4.283413281857943E-2</v>
      </c>
      <c r="AH649" s="36">
        <f t="shared" si="190"/>
        <v>4.283413281857943E-2</v>
      </c>
      <c r="AI649" s="36">
        <f t="shared" si="197"/>
        <v>11.460291424485249</v>
      </c>
      <c r="AJ649" s="36">
        <f>IFERROR(VLOOKUP(A649,'All Products'!A:F,6,0),0)</f>
        <v>16.13</v>
      </c>
      <c r="AK649" s="36">
        <f>AJ649*Z649*J649</f>
        <v>16.13</v>
      </c>
      <c r="AL649" s="23">
        <v>0.8</v>
      </c>
      <c r="AM649" s="23">
        <v>0.2</v>
      </c>
      <c r="AN649" s="54" t="e">
        <v>#N/A</v>
      </c>
      <c r="AO649" s="47"/>
      <c r="AP649" s="4">
        <v>1.1000000000000001</v>
      </c>
      <c r="AQ649" s="111">
        <f t="shared" si="206"/>
        <v>0.24075231481481485</v>
      </c>
      <c r="AR649">
        <f>_xlfn.XLOOKUP(F649,'RM Cost'!A:A,'RM Cost'!S:S)</f>
        <v>0</v>
      </c>
      <c r="AS649" t="str">
        <f>_xlfn.XLOOKUP(A649,[3]Sheet1!$B:$B,[3]Sheet1!$B:$B)</f>
        <v>Z289CS</v>
      </c>
      <c r="AT649">
        <f>_xlfn.XLOOKUP(H649,'Yield &amp; Time'!A:A,'Yield &amp; Time'!F:F)</f>
        <v>0</v>
      </c>
    </row>
    <row r="650" spans="1:46" x14ac:dyDescent="0.25">
      <c r="A650" s="2" t="s">
        <v>789</v>
      </c>
      <c r="B650" s="2" t="s">
        <v>656</v>
      </c>
      <c r="C650" s="2" t="s">
        <v>790</v>
      </c>
      <c r="D650" s="2" t="s">
        <v>554</v>
      </c>
      <c r="E650" s="2">
        <v>2.5</v>
      </c>
      <c r="F650" s="1" t="str">
        <f>VLOOKUP(H650,'RM Used'!A:B,2,0)</f>
        <v>P0008</v>
      </c>
      <c r="G650" s="1" t="str">
        <f>IFERROR(VLOOKUP(F650,'RM Cost'!A:B,2,0),"")</f>
        <v>PALE BLUE BAG 470X750MM</v>
      </c>
      <c r="H650" s="2" t="s">
        <v>1323</v>
      </c>
      <c r="I650" s="1" t="str">
        <f>VLOOKUP(F650,'RM Used'!B:D,3,0)</f>
        <v>RM-PACKING</v>
      </c>
      <c r="J650" s="66">
        <v>1</v>
      </c>
      <c r="K650" s="35" t="str">
        <f t="shared" si="192"/>
        <v/>
      </c>
      <c r="L650" s="35">
        <f t="shared" si="198"/>
        <v>0</v>
      </c>
      <c r="M650" s="77" t="str" cm="1">
        <f t="array" ref="M650">_xlfn.IFS(BOM!I650="RM-PACKING","100%",B650="Reynolds",VLOOKUP(H650,'Yield &amp; Time'!A:V,22,0),BOM!B650="Dnata",VLOOKUP(BOM!H650,'Yield &amp; Time'!A:M,13,0),B650="NK",VLOOKUP(H650,'Yield &amp; Time'!A:X,24,0))</f>
        <v>100%</v>
      </c>
      <c r="N650" s="35">
        <f t="shared" si="191"/>
        <v>1</v>
      </c>
      <c r="O650" s="1" t="str">
        <f>VLOOKUP(H650,'RM Used'!A:E,5,0)</f>
        <v>Count</v>
      </c>
      <c r="P650" s="11">
        <f>VLOOKUP(H650,'RM Used'!A:F,6,0)</f>
        <v>0.14000000000000001</v>
      </c>
      <c r="Q650" s="11">
        <f t="shared" si="207"/>
        <v>0.14000000000000001</v>
      </c>
      <c r="R650" s="11">
        <f>IFERROR(IF(B650="Reynolds",VLOOKUP(H650,'Yield &amp; Time'!A:U,21,0),VLOOKUP(H650,'Yield &amp; Time'!A:L,12,0)),0)</f>
        <v>0</v>
      </c>
      <c r="S650" s="11">
        <f t="shared" si="199"/>
        <v>0</v>
      </c>
      <c r="T650" s="11">
        <f t="shared" si="200"/>
        <v>0</v>
      </c>
      <c r="U650" s="11">
        <f>IF(A649=A650,0,VLOOKUP(A650,'Packing Time'!A:F,6,0))</f>
        <v>0</v>
      </c>
      <c r="V650" s="11">
        <f t="shared" si="193"/>
        <v>0</v>
      </c>
      <c r="W650" s="11">
        <f t="shared" si="194"/>
        <v>0</v>
      </c>
      <c r="X650" s="11">
        <f t="shared" si="201"/>
        <v>0</v>
      </c>
      <c r="Y650" s="11">
        <f t="shared" si="195"/>
        <v>0</v>
      </c>
      <c r="Z650" s="37">
        <v>1</v>
      </c>
      <c r="AA650" s="36">
        <f t="shared" si="202"/>
        <v>1</v>
      </c>
      <c r="AB650" s="36">
        <f t="shared" si="203"/>
        <v>0.14000000000000001</v>
      </c>
      <c r="AC650" s="11">
        <f t="shared" si="204"/>
        <v>0</v>
      </c>
      <c r="AD650" s="36">
        <f t="shared" si="196"/>
        <v>0</v>
      </c>
      <c r="AE650" s="36"/>
      <c r="AF650" s="36">
        <f>IFERROR(VLOOKUP(AE650,'Chemical Cost'!A:D,4,0),0)</f>
        <v>0</v>
      </c>
      <c r="AG650" s="114">
        <f t="shared" si="205"/>
        <v>0</v>
      </c>
      <c r="AH650" s="36">
        <f t="shared" si="190"/>
        <v>0</v>
      </c>
      <c r="AI650" s="36">
        <f t="shared" si="197"/>
        <v>0.14000000000000001</v>
      </c>
      <c r="AJ650" s="36">
        <f>IFERROR(VLOOKUP(A650,'All Products'!A:F,6,0),0)</f>
        <v>16.13</v>
      </c>
      <c r="AK650" s="36"/>
      <c r="AL650" s="23">
        <v>0.8</v>
      </c>
      <c r="AM650" s="23">
        <v>0.2</v>
      </c>
      <c r="AN650" s="54" t="e">
        <v>#N/A</v>
      </c>
      <c r="AO650" s="47"/>
      <c r="AP650" s="4">
        <v>1.1000000000000001</v>
      </c>
      <c r="AQ650" s="111">
        <f t="shared" si="206"/>
        <v>0</v>
      </c>
      <c r="AR650">
        <f>_xlfn.XLOOKUP(F650,'RM Cost'!A:A,'RM Cost'!S:S)</f>
        <v>0</v>
      </c>
      <c r="AS650" t="str">
        <f>_xlfn.XLOOKUP(A650,[3]Sheet1!$B:$B,[3]Sheet1!$B:$B)</f>
        <v>Z289CS</v>
      </c>
      <c r="AT650" t="e">
        <f>_xlfn.XLOOKUP(H650,'Yield &amp; Time'!A:A,'Yield &amp; Time'!F:F)</f>
        <v>#N/A</v>
      </c>
    </row>
    <row r="651" spans="1:46" x14ac:dyDescent="0.25">
      <c r="A651" s="2" t="s">
        <v>265</v>
      </c>
      <c r="B651" s="2" t="s">
        <v>656</v>
      </c>
      <c r="C651" s="2" t="s">
        <v>266</v>
      </c>
      <c r="D651" s="2" t="s">
        <v>554</v>
      </c>
      <c r="E651" s="2">
        <v>1</v>
      </c>
      <c r="F651" s="1" t="str">
        <f>VLOOKUP(H651,'RM Used'!A:B,2,0)</f>
        <v>1445CS</v>
      </c>
      <c r="G651" s="1" t="str">
        <f>IFERROR(VLOOKUP(F651,'RM Cost'!A:B,2,0),"")</f>
        <v>RM - GARLIC PEELED 10X1KG</v>
      </c>
      <c r="H651" s="2" t="s">
        <v>1517</v>
      </c>
      <c r="I651" s="1" t="str">
        <f>VLOOKUP(F651,'RM Used'!B:D,3,0)</f>
        <v>RM-FOOD</v>
      </c>
      <c r="J651" s="66">
        <v>1</v>
      </c>
      <c r="K651" s="35">
        <f t="shared" si="192"/>
        <v>1</v>
      </c>
      <c r="L651" s="35">
        <f t="shared" si="198"/>
        <v>1</v>
      </c>
      <c r="M651" s="77" cm="1">
        <f t="array" ref="M651">_xlfn.IFS(BOM!I651="RM-PACKING","100%",B651="Reynolds",VLOOKUP(H651,'Yield &amp; Time'!A:V,22,0),BOM!B651="Dnata",VLOOKUP(BOM!H651,'Yield &amp; Time'!A:M,13,0),B651="NK",VLOOKUP(H651,'Yield &amp; Time'!A:X,24,0))</f>
        <v>0.96750369276218617</v>
      </c>
      <c r="N651" s="35">
        <f t="shared" si="191"/>
        <v>1.033587786259542</v>
      </c>
      <c r="O651" s="1" t="str">
        <f>VLOOKUP(H651,'RM Used'!A:E,5,0)</f>
        <v>KG</v>
      </c>
      <c r="P651" s="11">
        <f>VLOOKUP(H651,'RM Used'!A:F,6,0)</f>
        <v>2.76</v>
      </c>
      <c r="Q651" s="11">
        <f t="shared" si="207"/>
        <v>2.8527022900763357</v>
      </c>
      <c r="R651" s="11">
        <f>IFERROR(IF(B651="Reynolds",VLOOKUP(H651,'Yield &amp; Time'!A:U,21,0),VLOOKUP(H651,'Yield &amp; Time'!A:L,12,0)),0)</f>
        <v>0.5</v>
      </c>
      <c r="S651" s="11">
        <f t="shared" si="199"/>
        <v>0.16924999999999998</v>
      </c>
      <c r="T651" s="11">
        <f t="shared" si="200"/>
        <v>8.3333333333333332E-3</v>
      </c>
      <c r="U651" s="11">
        <f>IF(A650=A651,0,VLOOKUP(A651,'Packing Time'!A:F,6,0))</f>
        <v>0.64166666666666661</v>
      </c>
      <c r="V651" s="11">
        <f t="shared" si="193"/>
        <v>0.21720416666666661</v>
      </c>
      <c r="W651" s="11">
        <f t="shared" si="194"/>
        <v>1.0694444444444444E-2</v>
      </c>
      <c r="X651" s="11">
        <f t="shared" si="201"/>
        <v>0.61832666666666658</v>
      </c>
      <c r="Y651" s="11">
        <f t="shared" si="195"/>
        <v>0.61832666666666658</v>
      </c>
      <c r="Z651" s="37">
        <v>1</v>
      </c>
      <c r="AA651" s="36">
        <f t="shared" si="202"/>
        <v>1.033587786259542</v>
      </c>
      <c r="AB651" s="36">
        <f t="shared" si="203"/>
        <v>2.8527022900763357</v>
      </c>
      <c r="AC651" s="11">
        <f t="shared" si="204"/>
        <v>3.0444444444444441E-2</v>
      </c>
      <c r="AD651" s="36">
        <f t="shared" si="196"/>
        <v>0.61832666666666658</v>
      </c>
      <c r="AE651" s="36" t="str">
        <f>VLOOKUP(H651,'Yield &amp; Time'!A:I,9,0)</f>
        <v>CHLORINE</v>
      </c>
      <c r="AF651" s="36">
        <f>IFERROR(VLOOKUP(AE651,'Chemical Cost'!A:D,4,0),0)</f>
        <v>2.7756518066439469E-2</v>
      </c>
      <c r="AG651" s="114">
        <f t="shared" si="205"/>
        <v>9.562932687521385E-3</v>
      </c>
      <c r="AH651" s="36">
        <f t="shared" si="190"/>
        <v>9.562932687521385E-3</v>
      </c>
      <c r="AI651" s="36">
        <f t="shared" si="197"/>
        <v>3.4805918894305234</v>
      </c>
      <c r="AJ651" s="36">
        <f>IFERROR(VLOOKUP(A651,'All Products'!A:F,6,0),0)</f>
        <v>9.56</v>
      </c>
      <c r="AK651" s="36">
        <f>AJ651*Z651*J651</f>
        <v>9.56</v>
      </c>
      <c r="AL651" s="23">
        <v>1</v>
      </c>
      <c r="AM651" s="23"/>
      <c r="AN651" s="54" t="e">
        <v>#N/A</v>
      </c>
      <c r="AO651" s="47"/>
      <c r="AP651" s="4">
        <v>1.6</v>
      </c>
      <c r="AQ651" s="111">
        <f t="shared" si="206"/>
        <v>3.0444444444444441E-2</v>
      </c>
      <c r="AR651">
        <f>_xlfn.XLOOKUP(F651,'RM Cost'!A:A,'RM Cost'!S:S)</f>
        <v>0</v>
      </c>
      <c r="AS651" t="str">
        <f>_xlfn.XLOOKUP(A651,[3]Sheet1!$B:$B,[3]Sheet1!$B:$B)</f>
        <v>Z158CS</v>
      </c>
      <c r="AT651">
        <f>_xlfn.XLOOKUP(H651,'Yield &amp; Time'!A:A,'Yield &amp; Time'!F:F)</f>
        <v>0</v>
      </c>
    </row>
    <row r="652" spans="1:46" x14ac:dyDescent="0.25">
      <c r="A652" s="2" t="s">
        <v>265</v>
      </c>
      <c r="B652" s="2" t="s">
        <v>656</v>
      </c>
      <c r="C652" s="2" t="s">
        <v>266</v>
      </c>
      <c r="D652" s="2" t="s">
        <v>554</v>
      </c>
      <c r="E652" s="2">
        <v>1</v>
      </c>
      <c r="F652" s="1" t="str">
        <f>VLOOKUP(H652,'RM Used'!A:B,2,0)</f>
        <v>P0008</v>
      </c>
      <c r="G652" s="1" t="str">
        <f>IFERROR(VLOOKUP(F652,'RM Cost'!A:B,2,0),"")</f>
        <v>PALE BLUE BAG 470X750MM</v>
      </c>
      <c r="H652" s="2" t="s">
        <v>1323</v>
      </c>
      <c r="I652" s="1" t="str">
        <f>VLOOKUP(F652,'RM Used'!B:D,3,0)</f>
        <v>RM-PACKING</v>
      </c>
      <c r="J652" s="66">
        <v>1</v>
      </c>
      <c r="K652" s="35" t="str">
        <f t="shared" si="192"/>
        <v/>
      </c>
      <c r="L652" s="35">
        <f t="shared" si="198"/>
        <v>0</v>
      </c>
      <c r="M652" s="77" t="str" cm="1">
        <f t="array" ref="M652">_xlfn.IFS(BOM!I652="RM-PACKING","100%",B652="Reynolds",VLOOKUP(H652,'Yield &amp; Time'!A:V,22,0),BOM!B652="Dnata",VLOOKUP(BOM!H652,'Yield &amp; Time'!A:M,13,0),B652="NK",VLOOKUP(H652,'Yield &amp; Time'!A:X,24,0))</f>
        <v>100%</v>
      </c>
      <c r="N652" s="35">
        <f t="shared" si="191"/>
        <v>1</v>
      </c>
      <c r="O652" s="1" t="str">
        <f>VLOOKUP(H652,'RM Used'!A:E,5,0)</f>
        <v>Count</v>
      </c>
      <c r="P652" s="11">
        <f>VLOOKUP(H652,'RM Used'!A:F,6,0)</f>
        <v>0.14000000000000001</v>
      </c>
      <c r="Q652" s="11">
        <f t="shared" si="207"/>
        <v>0.14000000000000001</v>
      </c>
      <c r="R652" s="11">
        <f>IFERROR(IF(B652="Reynolds",VLOOKUP(H652,'Yield &amp; Time'!A:U,21,0),VLOOKUP(H652,'Yield &amp; Time'!A:L,12,0)),0)</f>
        <v>0</v>
      </c>
      <c r="S652" s="11">
        <f t="shared" si="199"/>
        <v>0</v>
      </c>
      <c r="T652" s="11">
        <f t="shared" si="200"/>
        <v>0</v>
      </c>
      <c r="U652" s="11">
        <f>IF(A651=A652,0,VLOOKUP(A652,'Packing Time'!A:F,6,0))</f>
        <v>0</v>
      </c>
      <c r="V652" s="11">
        <f t="shared" si="193"/>
        <v>0</v>
      </c>
      <c r="W652" s="11">
        <f t="shared" si="194"/>
        <v>0</v>
      </c>
      <c r="X652" s="11">
        <f t="shared" si="201"/>
        <v>0</v>
      </c>
      <c r="Y652" s="11">
        <f t="shared" si="195"/>
        <v>0</v>
      </c>
      <c r="Z652" s="37">
        <v>1</v>
      </c>
      <c r="AA652" s="36">
        <f t="shared" si="202"/>
        <v>1</v>
      </c>
      <c r="AB652" s="36">
        <f t="shared" si="203"/>
        <v>0.14000000000000001</v>
      </c>
      <c r="AC652" s="11">
        <f t="shared" si="204"/>
        <v>0</v>
      </c>
      <c r="AD652" s="36">
        <f t="shared" si="196"/>
        <v>0</v>
      </c>
      <c r="AE652" s="36"/>
      <c r="AF652" s="36">
        <f>IFERROR(VLOOKUP(AE652,'Chemical Cost'!A:D,4,0),0)</f>
        <v>0</v>
      </c>
      <c r="AG652" s="114">
        <f t="shared" si="205"/>
        <v>0</v>
      </c>
      <c r="AH652" s="36">
        <f t="shared" si="190"/>
        <v>0</v>
      </c>
      <c r="AI652" s="36">
        <f t="shared" si="197"/>
        <v>0.14000000000000001</v>
      </c>
      <c r="AJ652" s="36">
        <f>IFERROR(VLOOKUP(A652,'All Products'!A:F,6,0),0)</f>
        <v>9.56</v>
      </c>
      <c r="AK652" s="36"/>
      <c r="AL652" s="23">
        <v>1</v>
      </c>
      <c r="AM652" s="23"/>
      <c r="AN652" s="54" t="e">
        <v>#N/A</v>
      </c>
      <c r="AO652" s="47"/>
      <c r="AP652" s="4">
        <v>1.6</v>
      </c>
      <c r="AQ652" s="111">
        <f t="shared" si="206"/>
        <v>0</v>
      </c>
      <c r="AR652">
        <f>_xlfn.XLOOKUP(F652,'RM Cost'!A:A,'RM Cost'!S:S)</f>
        <v>0</v>
      </c>
      <c r="AS652" t="str">
        <f>_xlfn.XLOOKUP(A652,[3]Sheet1!$B:$B,[3]Sheet1!$B:$B)</f>
        <v>Z158CS</v>
      </c>
      <c r="AT652" t="e">
        <f>_xlfn.XLOOKUP(H652,'Yield &amp; Time'!A:A,'Yield &amp; Time'!F:F)</f>
        <v>#N/A</v>
      </c>
    </row>
    <row r="653" spans="1:46" x14ac:dyDescent="0.25">
      <c r="A653" s="2" t="s">
        <v>263</v>
      </c>
      <c r="B653" s="2" t="s">
        <v>656</v>
      </c>
      <c r="C653" s="2" t="s">
        <v>264</v>
      </c>
      <c r="D653" s="2" t="s">
        <v>554</v>
      </c>
      <c r="E653" s="2">
        <v>2.5</v>
      </c>
      <c r="F653" s="1" t="str">
        <f>VLOOKUP(H653,'RM Used'!A:B,2,0)</f>
        <v>1445CS</v>
      </c>
      <c r="G653" s="1" t="str">
        <f>IFERROR(VLOOKUP(F653,'RM Cost'!A:B,2,0),"")</f>
        <v>RM - GARLIC PEELED 10X1KG</v>
      </c>
      <c r="H653" s="2" t="s">
        <v>1517</v>
      </c>
      <c r="I653" s="1" t="str">
        <f>VLOOKUP(F653,'RM Used'!B:D,3,0)</f>
        <v>RM-FOOD</v>
      </c>
      <c r="J653" s="66">
        <v>1</v>
      </c>
      <c r="K653" s="35">
        <f t="shared" si="192"/>
        <v>2.5</v>
      </c>
      <c r="L653" s="35">
        <f t="shared" si="198"/>
        <v>2.5</v>
      </c>
      <c r="M653" s="77" cm="1">
        <f t="array" ref="M653">_xlfn.IFS(BOM!I653="RM-PACKING","100%",B653="Reynolds",VLOOKUP(H653,'Yield &amp; Time'!A:V,22,0),BOM!B653="Dnata",VLOOKUP(BOM!H653,'Yield &amp; Time'!A:M,13,0),B653="NK",VLOOKUP(H653,'Yield &amp; Time'!A:X,24,0))</f>
        <v>0.96750369276218617</v>
      </c>
      <c r="N653" s="35">
        <f t="shared" si="191"/>
        <v>2.5839694656488548</v>
      </c>
      <c r="O653" s="1" t="str">
        <f>VLOOKUP(H653,'RM Used'!A:E,5,0)</f>
        <v>KG</v>
      </c>
      <c r="P653" s="11">
        <f>VLOOKUP(H653,'RM Used'!A:F,6,0)</f>
        <v>2.76</v>
      </c>
      <c r="Q653" s="11">
        <f t="shared" si="207"/>
        <v>7.131755725190839</v>
      </c>
      <c r="R653" s="11">
        <f>IFERROR(IF(B653="Reynolds",VLOOKUP(H653,'Yield &amp; Time'!A:U,21,0),VLOOKUP(H653,'Yield &amp; Time'!A:L,12,0)),0)</f>
        <v>0.5</v>
      </c>
      <c r="S653" s="11">
        <f t="shared" si="199"/>
        <v>0.42312499999999997</v>
      </c>
      <c r="T653" s="11">
        <f t="shared" si="200"/>
        <v>2.0833333333333332E-2</v>
      </c>
      <c r="U653" s="11">
        <f>IF(A652=A653,0,VLOOKUP(A653,'Packing Time'!A:F,6,0))</f>
        <v>0.875</v>
      </c>
      <c r="V653" s="11">
        <f t="shared" si="193"/>
        <v>0.29618749999999999</v>
      </c>
      <c r="W653" s="11">
        <f t="shared" si="194"/>
        <v>1.4583333333333334E-2</v>
      </c>
      <c r="X653" s="11">
        <f t="shared" si="201"/>
        <v>1.1508999999999998</v>
      </c>
      <c r="Y653" s="11">
        <f t="shared" si="195"/>
        <v>1.1508999999999998</v>
      </c>
      <c r="Z653" s="37">
        <v>1</v>
      </c>
      <c r="AA653" s="36">
        <f t="shared" si="202"/>
        <v>2.5839694656488548</v>
      </c>
      <c r="AB653" s="36">
        <f t="shared" si="203"/>
        <v>7.131755725190839</v>
      </c>
      <c r="AC653" s="11">
        <f t="shared" si="204"/>
        <v>5.6666666666666671E-2</v>
      </c>
      <c r="AD653" s="36">
        <f t="shared" si="196"/>
        <v>1.1509</v>
      </c>
      <c r="AE653" s="36" t="str">
        <f>VLOOKUP(H653,'Yield &amp; Time'!A:I,9,0)</f>
        <v>CHLORINE</v>
      </c>
      <c r="AF653" s="36">
        <f>IFERROR(VLOOKUP(AE653,'Chemical Cost'!A:D,4,0),0)</f>
        <v>2.7756518066439469E-2</v>
      </c>
      <c r="AG653" s="114">
        <f t="shared" si="205"/>
        <v>2.3907331718803462E-2</v>
      </c>
      <c r="AH653" s="36">
        <f t="shared" si="190"/>
        <v>2.3907331718803462E-2</v>
      </c>
      <c r="AI653" s="36">
        <f t="shared" si="197"/>
        <v>8.306563056909642</v>
      </c>
      <c r="AJ653" s="36">
        <f>IFERROR(VLOOKUP(A653,'All Products'!A:F,6,0),0)</f>
        <v>23.89</v>
      </c>
      <c r="AK653" s="36">
        <f>AJ653*Z653*J653</f>
        <v>23.89</v>
      </c>
      <c r="AL653" s="23">
        <v>1</v>
      </c>
      <c r="AM653" s="23"/>
      <c r="AN653" s="54" t="e">
        <v>#N/A</v>
      </c>
      <c r="AO653" s="47"/>
      <c r="AP653" s="4">
        <v>1.6</v>
      </c>
      <c r="AQ653" s="111">
        <f t="shared" si="206"/>
        <v>5.6666666666666671E-2</v>
      </c>
      <c r="AR653">
        <f>_xlfn.XLOOKUP(F653,'RM Cost'!A:A,'RM Cost'!S:S)</f>
        <v>0</v>
      </c>
      <c r="AS653" t="str">
        <f>_xlfn.XLOOKUP(A653,[3]Sheet1!$B:$B,[3]Sheet1!$B:$B)</f>
        <v>Z157CS</v>
      </c>
      <c r="AT653">
        <f>_xlfn.XLOOKUP(H653,'Yield &amp; Time'!A:A,'Yield &amp; Time'!F:F)</f>
        <v>0</v>
      </c>
    </row>
    <row r="654" spans="1:46" x14ac:dyDescent="0.25">
      <c r="A654" s="2" t="s">
        <v>263</v>
      </c>
      <c r="B654" s="2" t="s">
        <v>656</v>
      </c>
      <c r="C654" s="2" t="s">
        <v>264</v>
      </c>
      <c r="D654" s="2" t="s">
        <v>554</v>
      </c>
      <c r="E654" s="2">
        <v>2.5</v>
      </c>
      <c r="F654" s="1" t="str">
        <f>VLOOKUP(H654,'RM Used'!A:B,2,0)</f>
        <v>P0008</v>
      </c>
      <c r="G654" s="1" t="str">
        <f>IFERROR(VLOOKUP(F654,'RM Cost'!A:B,2,0),"")</f>
        <v>PALE BLUE BAG 470X750MM</v>
      </c>
      <c r="H654" s="2" t="s">
        <v>1323</v>
      </c>
      <c r="I654" s="1" t="str">
        <f>VLOOKUP(F654,'RM Used'!B:D,3,0)</f>
        <v>RM-PACKING</v>
      </c>
      <c r="J654" s="66">
        <v>1</v>
      </c>
      <c r="K654" s="35" t="str">
        <f t="shared" si="192"/>
        <v/>
      </c>
      <c r="L654" s="35">
        <f t="shared" si="198"/>
        <v>0</v>
      </c>
      <c r="M654" s="77" t="str" cm="1">
        <f t="array" ref="M654">_xlfn.IFS(BOM!I654="RM-PACKING","100%",B654="Reynolds",VLOOKUP(H654,'Yield &amp; Time'!A:V,22,0),BOM!B654="Dnata",VLOOKUP(BOM!H654,'Yield &amp; Time'!A:M,13,0),B654="NK",VLOOKUP(H654,'Yield &amp; Time'!A:X,24,0))</f>
        <v>100%</v>
      </c>
      <c r="N654" s="35">
        <f t="shared" si="191"/>
        <v>1</v>
      </c>
      <c r="O654" s="1" t="str">
        <f>VLOOKUP(H654,'RM Used'!A:E,5,0)</f>
        <v>Count</v>
      </c>
      <c r="P654" s="11">
        <f>VLOOKUP(H654,'RM Used'!A:F,6,0)</f>
        <v>0.14000000000000001</v>
      </c>
      <c r="Q654" s="11">
        <f t="shared" si="207"/>
        <v>0.14000000000000001</v>
      </c>
      <c r="R654" s="11">
        <f>IFERROR(IF(B654="Reynolds",VLOOKUP(H654,'Yield &amp; Time'!A:U,21,0),VLOOKUP(H654,'Yield &amp; Time'!A:L,12,0)),0)</f>
        <v>0</v>
      </c>
      <c r="S654" s="11">
        <f t="shared" si="199"/>
        <v>0</v>
      </c>
      <c r="T654" s="11">
        <f t="shared" si="200"/>
        <v>0</v>
      </c>
      <c r="U654" s="11">
        <f>IF(A653=A654,0,VLOOKUP(A654,'Packing Time'!A:F,6,0))</f>
        <v>0</v>
      </c>
      <c r="V654" s="11">
        <f t="shared" si="193"/>
        <v>0</v>
      </c>
      <c r="W654" s="11">
        <f t="shared" si="194"/>
        <v>0</v>
      </c>
      <c r="X654" s="11">
        <f t="shared" si="201"/>
        <v>0</v>
      </c>
      <c r="Y654" s="11">
        <f t="shared" si="195"/>
        <v>0</v>
      </c>
      <c r="Z654" s="37">
        <v>1</v>
      </c>
      <c r="AA654" s="36">
        <f t="shared" si="202"/>
        <v>1</v>
      </c>
      <c r="AB654" s="36">
        <f t="shared" si="203"/>
        <v>0.14000000000000001</v>
      </c>
      <c r="AC654" s="11">
        <f t="shared" si="204"/>
        <v>0</v>
      </c>
      <c r="AD654" s="36">
        <f t="shared" si="196"/>
        <v>0</v>
      </c>
      <c r="AE654" s="36"/>
      <c r="AF654" s="36">
        <f>IFERROR(VLOOKUP(AE654,'Chemical Cost'!A:D,4,0),0)</f>
        <v>0</v>
      </c>
      <c r="AG654" s="114">
        <f t="shared" si="205"/>
        <v>0</v>
      </c>
      <c r="AH654" s="36">
        <f t="shared" si="190"/>
        <v>0</v>
      </c>
      <c r="AI654" s="36">
        <f t="shared" si="197"/>
        <v>0.14000000000000001</v>
      </c>
      <c r="AJ654" s="36">
        <f>IFERROR(VLOOKUP(A654,'All Products'!A:F,6,0),0)</f>
        <v>23.89</v>
      </c>
      <c r="AK654" s="36"/>
      <c r="AL654" s="23">
        <v>1</v>
      </c>
      <c r="AM654" s="23"/>
      <c r="AN654" s="54" t="e">
        <v>#N/A</v>
      </c>
      <c r="AO654" s="47"/>
      <c r="AP654" s="4">
        <v>1.6</v>
      </c>
      <c r="AQ654" s="111">
        <f t="shared" si="206"/>
        <v>0</v>
      </c>
      <c r="AR654">
        <f>_xlfn.XLOOKUP(F654,'RM Cost'!A:A,'RM Cost'!S:S)</f>
        <v>0</v>
      </c>
      <c r="AS654" t="str">
        <f>_xlfn.XLOOKUP(A654,[3]Sheet1!$B:$B,[3]Sheet1!$B:$B)</f>
        <v>Z157CS</v>
      </c>
      <c r="AT654" t="e">
        <f>_xlfn.XLOOKUP(H654,'Yield &amp; Time'!A:A,'Yield &amp; Time'!F:F)</f>
        <v>#N/A</v>
      </c>
    </row>
    <row r="655" spans="1:46" x14ac:dyDescent="0.25">
      <c r="A655" s="2" t="s">
        <v>791</v>
      </c>
      <c r="B655" s="2" t="s">
        <v>656</v>
      </c>
      <c r="C655" s="2" t="s">
        <v>792</v>
      </c>
      <c r="D655" s="2" t="s">
        <v>554</v>
      </c>
      <c r="E655" s="2">
        <v>0.25</v>
      </c>
      <c r="F655" s="1" t="str">
        <f>VLOOKUP(H655,'RM Used'!A:B,2,0)</f>
        <v>1445CS</v>
      </c>
      <c r="G655" s="1" t="str">
        <f>IFERROR(VLOOKUP(F655,'RM Cost'!A:B,2,0),"")</f>
        <v>RM - GARLIC PEELED 10X1KG</v>
      </c>
      <c r="H655" s="2" t="s">
        <v>1517</v>
      </c>
      <c r="I655" s="1" t="str">
        <f>VLOOKUP(F655,'RM Used'!B:D,3,0)</f>
        <v>RM-FOOD</v>
      </c>
      <c r="J655" s="66">
        <v>1</v>
      </c>
      <c r="K655" s="35">
        <f t="shared" si="192"/>
        <v>0.25</v>
      </c>
      <c r="L655" s="35">
        <f t="shared" si="198"/>
        <v>0.25</v>
      </c>
      <c r="M655" s="77" cm="1">
        <f t="array" ref="M655">_xlfn.IFS(BOM!I655="RM-PACKING","100%",B655="Reynolds",VLOOKUP(H655,'Yield &amp; Time'!A:V,22,0),BOM!B655="Dnata",VLOOKUP(BOM!H655,'Yield &amp; Time'!A:M,13,0),B655="NK",VLOOKUP(H655,'Yield &amp; Time'!A:X,24,0))</f>
        <v>0.96750369276218617</v>
      </c>
      <c r="N655" s="35">
        <f t="shared" si="191"/>
        <v>0.25839694656488549</v>
      </c>
      <c r="O655" s="1" t="str">
        <f>VLOOKUP(H655,'RM Used'!A:E,5,0)</f>
        <v>KG</v>
      </c>
      <c r="P655" s="11">
        <f>VLOOKUP(H655,'RM Used'!A:F,6,0)</f>
        <v>2.76</v>
      </c>
      <c r="Q655" s="11">
        <f t="shared" si="207"/>
        <v>0.71317557251908392</v>
      </c>
      <c r="R655" s="11">
        <f>IFERROR(IF(B655="Reynolds",VLOOKUP(H655,'Yield &amp; Time'!A:U,21,0),VLOOKUP(H655,'Yield &amp; Time'!A:L,12,0)),0)</f>
        <v>0.5</v>
      </c>
      <c r="S655" s="11">
        <f t="shared" si="199"/>
        <v>4.2312499999999996E-2</v>
      </c>
      <c r="T655" s="11">
        <f t="shared" si="200"/>
        <v>2.0833333333333333E-3</v>
      </c>
      <c r="U655" s="11">
        <f>IF(A654=A655,0,VLOOKUP(A655,'Packing Time'!A:F,6,0))</f>
        <v>0.47499999999999998</v>
      </c>
      <c r="V655" s="11">
        <f t="shared" si="193"/>
        <v>0.16078749999999997</v>
      </c>
      <c r="W655" s="11">
        <f t="shared" si="194"/>
        <v>7.9166666666666656E-3</v>
      </c>
      <c r="X655" s="11">
        <f t="shared" si="201"/>
        <v>0.32495999999999997</v>
      </c>
      <c r="Y655" s="11">
        <f t="shared" si="195"/>
        <v>0.32495999999999997</v>
      </c>
      <c r="Z655" s="37">
        <v>1</v>
      </c>
      <c r="AA655" s="36">
        <f t="shared" si="202"/>
        <v>0.25839694656488549</v>
      </c>
      <c r="AB655" s="36">
        <f t="shared" si="203"/>
        <v>0.71317557251908392</v>
      </c>
      <c r="AC655" s="11">
        <f t="shared" si="204"/>
        <v>1.6E-2</v>
      </c>
      <c r="AD655" s="36">
        <f t="shared" si="196"/>
        <v>0.32495999999999997</v>
      </c>
      <c r="AE655" s="36" t="str">
        <f>VLOOKUP(H655,'Yield &amp; Time'!A:I,9,0)</f>
        <v>CHLORINE</v>
      </c>
      <c r="AF655" s="36">
        <f>IFERROR(VLOOKUP(AE655,'Chemical Cost'!A:D,4,0),0)</f>
        <v>2.7756518066439469E-2</v>
      </c>
      <c r="AG655" s="114">
        <f t="shared" si="205"/>
        <v>2.3907331718803462E-3</v>
      </c>
      <c r="AH655" s="36">
        <f t="shared" si="190"/>
        <v>2.3907331718803462E-3</v>
      </c>
      <c r="AI655" s="36">
        <f t="shared" si="197"/>
        <v>1.0405263056909644</v>
      </c>
      <c r="AJ655" s="36">
        <f>IFERROR(VLOOKUP(A655,'All Products'!A:F,6,0),0)</f>
        <v>9.3800000000000008</v>
      </c>
      <c r="AK655" s="36">
        <f>AJ655*Z655*J655</f>
        <v>9.3800000000000008</v>
      </c>
      <c r="AL655" s="23">
        <v>1</v>
      </c>
      <c r="AM655" s="23"/>
      <c r="AN655" s="54" t="e">
        <v>#N/A</v>
      </c>
      <c r="AO655" s="47"/>
      <c r="AP655" s="4">
        <v>1.6</v>
      </c>
      <c r="AQ655" s="111">
        <f t="shared" si="206"/>
        <v>1.6E-2</v>
      </c>
      <c r="AR655">
        <f>_xlfn.XLOOKUP(F655,'RM Cost'!A:A,'RM Cost'!S:S)</f>
        <v>0</v>
      </c>
      <c r="AS655" t="str">
        <f>_xlfn.XLOOKUP(A655,[3]Sheet1!$B:$B,[3]Sheet1!$B:$B)</f>
        <v>Z159CS</v>
      </c>
      <c r="AT655">
        <f>_xlfn.XLOOKUP(H655,'Yield &amp; Time'!A:A,'Yield &amp; Time'!F:F)</f>
        <v>0</v>
      </c>
    </row>
    <row r="656" spans="1:46" x14ac:dyDescent="0.25">
      <c r="A656" s="2" t="s">
        <v>791</v>
      </c>
      <c r="B656" s="2" t="s">
        <v>656</v>
      </c>
      <c r="C656" s="2" t="s">
        <v>792</v>
      </c>
      <c r="D656" s="2" t="s">
        <v>554</v>
      </c>
      <c r="E656" s="2">
        <v>0.25</v>
      </c>
      <c r="F656" s="1" t="str">
        <f>VLOOKUP(H656,'RM Used'!A:B,2,0)</f>
        <v>P0017</v>
      </c>
      <c r="G656" s="1" t="str">
        <f>IFERROR(VLOOKUP(F656,'RM Cost'!A:B,2,0),"")</f>
        <v>PALE BLUE BAG 250X300MM</v>
      </c>
      <c r="H656" s="2" t="s">
        <v>1334</v>
      </c>
      <c r="I656" s="1" t="str">
        <f>VLOOKUP(F656,'RM Used'!B:D,3,0)</f>
        <v>RM-PACKING</v>
      </c>
      <c r="J656" s="66">
        <v>1</v>
      </c>
      <c r="K656" s="35" t="str">
        <f t="shared" si="192"/>
        <v/>
      </c>
      <c r="L656" s="35">
        <f t="shared" si="198"/>
        <v>0</v>
      </c>
      <c r="M656" s="77" t="str" cm="1">
        <f t="array" ref="M656">_xlfn.IFS(BOM!I656="RM-PACKING","100%",B656="Reynolds",VLOOKUP(H656,'Yield &amp; Time'!A:V,22,0),BOM!B656="Dnata",VLOOKUP(BOM!H656,'Yield &amp; Time'!A:M,13,0),B656="NK",VLOOKUP(H656,'Yield &amp; Time'!A:X,24,0))</f>
        <v>100%</v>
      </c>
      <c r="N656" s="35">
        <f t="shared" si="191"/>
        <v>1</v>
      </c>
      <c r="O656" s="1" t="str">
        <f>VLOOKUP(H656,'RM Used'!A:E,5,0)</f>
        <v>Count</v>
      </c>
      <c r="P656" s="11">
        <f>VLOOKUP(H656,'RM Used'!A:F,6,0)</f>
        <v>0.05</v>
      </c>
      <c r="Q656" s="11">
        <f t="shared" si="207"/>
        <v>0.05</v>
      </c>
      <c r="R656" s="11">
        <f>IFERROR(IF(B656="Reynolds",VLOOKUP(H656,'Yield &amp; Time'!A:U,21,0),VLOOKUP(H656,'Yield &amp; Time'!A:L,12,0)),0)</f>
        <v>0</v>
      </c>
      <c r="S656" s="11">
        <f t="shared" si="199"/>
        <v>0</v>
      </c>
      <c r="T656" s="11">
        <f t="shared" si="200"/>
        <v>0</v>
      </c>
      <c r="U656" s="11">
        <f>IF(A655=A656,0,VLOOKUP(A656,'Packing Time'!A:F,6,0))</f>
        <v>0</v>
      </c>
      <c r="V656" s="11">
        <f t="shared" si="193"/>
        <v>0</v>
      </c>
      <c r="W656" s="11">
        <f t="shared" si="194"/>
        <v>0</v>
      </c>
      <c r="X656" s="11">
        <f t="shared" si="201"/>
        <v>0</v>
      </c>
      <c r="Y656" s="11">
        <f t="shared" si="195"/>
        <v>0</v>
      </c>
      <c r="Z656" s="37">
        <v>1</v>
      </c>
      <c r="AA656" s="36">
        <f t="shared" si="202"/>
        <v>1</v>
      </c>
      <c r="AB656" s="36">
        <f t="shared" si="203"/>
        <v>0.05</v>
      </c>
      <c r="AC656" s="11">
        <f t="shared" si="204"/>
        <v>0</v>
      </c>
      <c r="AD656" s="36">
        <f t="shared" si="196"/>
        <v>0</v>
      </c>
      <c r="AE656" s="36"/>
      <c r="AF656" s="36">
        <f>IFERROR(VLOOKUP(AE656,'Chemical Cost'!A:D,4,0),0)</f>
        <v>0</v>
      </c>
      <c r="AG656" s="114">
        <f t="shared" si="205"/>
        <v>0</v>
      </c>
      <c r="AH656" s="36">
        <f t="shared" si="190"/>
        <v>0</v>
      </c>
      <c r="AI656" s="36">
        <f t="shared" si="197"/>
        <v>0.05</v>
      </c>
      <c r="AJ656" s="36">
        <f>IFERROR(VLOOKUP(A656,'All Products'!A:F,6,0),0)</f>
        <v>9.3800000000000008</v>
      </c>
      <c r="AK656" s="36"/>
      <c r="AL656" s="23">
        <v>1</v>
      </c>
      <c r="AM656" s="23"/>
      <c r="AN656" s="54" t="e">
        <v>#N/A</v>
      </c>
      <c r="AO656" s="47"/>
      <c r="AP656" s="4">
        <v>1.6</v>
      </c>
      <c r="AQ656" s="111">
        <f t="shared" si="206"/>
        <v>0</v>
      </c>
      <c r="AR656">
        <f>_xlfn.XLOOKUP(F656,'RM Cost'!A:A,'RM Cost'!S:S)</f>
        <v>0</v>
      </c>
      <c r="AS656" t="str">
        <f>_xlfn.XLOOKUP(A656,[3]Sheet1!$B:$B,[3]Sheet1!$B:$B)</f>
        <v>Z159CS</v>
      </c>
      <c r="AT656" t="e">
        <f>_xlfn.XLOOKUP(H656,'Yield &amp; Time'!A:A,'Yield &amp; Time'!F:F)</f>
        <v>#N/A</v>
      </c>
    </row>
    <row r="657" spans="1:46" x14ac:dyDescent="0.25">
      <c r="A657" s="2" t="s">
        <v>476</v>
      </c>
      <c r="B657" s="2" t="s">
        <v>656</v>
      </c>
      <c r="C657" s="2" t="s">
        <v>477</v>
      </c>
      <c r="D657" s="2" t="s">
        <v>554</v>
      </c>
      <c r="E657" s="2">
        <v>1</v>
      </c>
      <c r="F657" s="1" t="str">
        <f>VLOOKUP(H657,'RM Used'!A:B,2,0)</f>
        <v>3124CS</v>
      </c>
      <c r="G657" s="1" t="str">
        <f>IFERROR(VLOOKUP(F657,'RM Cost'!A:B,2,0),"")</f>
        <v>RM - GINGER   X 12KG</v>
      </c>
      <c r="H657" s="2" t="s">
        <v>1518</v>
      </c>
      <c r="I657" s="1" t="str">
        <f>VLOOKUP(F657,'RM Used'!B:D,3,0)</f>
        <v>RM-FOOD</v>
      </c>
      <c r="J657" s="66">
        <v>1</v>
      </c>
      <c r="K657" s="35">
        <f t="shared" si="192"/>
        <v>1</v>
      </c>
      <c r="L657" s="35">
        <f t="shared" si="198"/>
        <v>1</v>
      </c>
      <c r="M657" s="77" cm="1">
        <f t="array" ref="M657">_xlfn.IFS(BOM!I657="RM-PACKING","100%",B657="Reynolds",VLOOKUP(H657,'Yield &amp; Time'!A:V,22,0),BOM!B657="Dnata",VLOOKUP(BOM!H657,'Yield &amp; Time'!A:M,13,0),B657="NK",VLOOKUP(H657,'Yield &amp; Time'!A:X,24,0))</f>
        <v>0.3925233644859813</v>
      </c>
      <c r="N657" s="35">
        <f t="shared" si="191"/>
        <v>2.5476190476190479</v>
      </c>
      <c r="O657" s="1" t="str">
        <f>VLOOKUP(H657,'RM Used'!A:E,5,0)</f>
        <v>KG</v>
      </c>
      <c r="P657" s="11">
        <f>VLOOKUP(H657,'RM Used'!A:F,6,0)</f>
        <v>2.0499999999999998</v>
      </c>
      <c r="Q657" s="11">
        <f t="shared" si="207"/>
        <v>5.2226190476190482</v>
      </c>
      <c r="R657" s="11">
        <f>IFERROR(IF(B657="Reynolds",VLOOKUP(H657,'Yield &amp; Time'!A:U,21,0),VLOOKUP(H657,'Yield &amp; Time'!A:L,12,0)),0)</f>
        <v>48.452380952380956</v>
      </c>
      <c r="S657" s="11">
        <f t="shared" si="199"/>
        <v>16.401130952380953</v>
      </c>
      <c r="T657" s="11">
        <f t="shared" si="200"/>
        <v>0.80753968253968256</v>
      </c>
      <c r="U657" s="11">
        <f>IF(A656=A657,0,VLOOKUP(A657,'Packing Time'!A:F,6,0))</f>
        <v>0.64166666666666661</v>
      </c>
      <c r="V657" s="11">
        <f t="shared" si="193"/>
        <v>0.21720416666666661</v>
      </c>
      <c r="W657" s="11">
        <f t="shared" si="194"/>
        <v>1.0694444444444444E-2</v>
      </c>
      <c r="X657" s="11">
        <f t="shared" si="201"/>
        <v>26.589336190476189</v>
      </c>
      <c r="Y657" s="11">
        <f t="shared" si="195"/>
        <v>26.589336190476189</v>
      </c>
      <c r="Z657" s="37">
        <v>1</v>
      </c>
      <c r="AA657" s="36">
        <f t="shared" si="202"/>
        <v>2.5476190476190479</v>
      </c>
      <c r="AB657" s="36">
        <f t="shared" si="203"/>
        <v>5.2226190476190482</v>
      </c>
      <c r="AC657" s="11">
        <f t="shared" si="204"/>
        <v>1.3091746031746032</v>
      </c>
      <c r="AD657" s="36">
        <f t="shared" si="196"/>
        <v>26.589336190476189</v>
      </c>
      <c r="AE657" s="36"/>
      <c r="AF657" s="36">
        <f>IFERROR(VLOOKUP(AE657,'Chemical Cost'!A:D,4,0),0)</f>
        <v>0</v>
      </c>
      <c r="AG657" s="114">
        <f t="shared" si="205"/>
        <v>0</v>
      </c>
      <c r="AH657" s="36">
        <f t="shared" si="190"/>
        <v>0</v>
      </c>
      <c r="AI657" s="36">
        <f t="shared" si="197"/>
        <v>31.811955238095237</v>
      </c>
      <c r="AJ657" s="36">
        <f>IFERROR(VLOOKUP(A657,'All Products'!A:F,6,0),0)</f>
        <v>22.59</v>
      </c>
      <c r="AK657" s="36">
        <f>AJ657*Z657*J657</f>
        <v>22.59</v>
      </c>
      <c r="AL657" s="23">
        <v>1</v>
      </c>
      <c r="AM657" s="23"/>
      <c r="AN657" s="54" t="e">
        <v>#N/A</v>
      </c>
      <c r="AO657" s="47"/>
      <c r="AP657" s="4">
        <v>1.6</v>
      </c>
      <c r="AQ657" s="111">
        <f t="shared" si="206"/>
        <v>1.3091746031746032</v>
      </c>
      <c r="AR657">
        <f>_xlfn.XLOOKUP(F657,'RM Cost'!A:A,'RM Cost'!S:S)</f>
        <v>0</v>
      </c>
      <c r="AS657" t="e">
        <f>_xlfn.XLOOKUP(A657,[3]Sheet1!$B:$B,[3]Sheet1!$B:$B)</f>
        <v>#N/A</v>
      </c>
    </row>
    <row r="658" spans="1:46" x14ac:dyDescent="0.25">
      <c r="A658" s="2" t="s">
        <v>476</v>
      </c>
      <c r="B658" s="2" t="s">
        <v>656</v>
      </c>
      <c r="C658" s="2" t="s">
        <v>477</v>
      </c>
      <c r="D658" s="2" t="s">
        <v>554</v>
      </c>
      <c r="E658" s="2">
        <v>1</v>
      </c>
      <c r="F658" s="1" t="str">
        <f>VLOOKUP(H658,'RM Used'!A:B,2,0)</f>
        <v>P0008</v>
      </c>
      <c r="G658" s="1" t="str">
        <f>IFERROR(VLOOKUP(F658,'RM Cost'!A:B,2,0),"")</f>
        <v>PALE BLUE BAG 470X750MM</v>
      </c>
      <c r="H658" s="2" t="s">
        <v>1323</v>
      </c>
      <c r="I658" s="1" t="str">
        <f>VLOOKUP(F658,'RM Used'!B:D,3,0)</f>
        <v>RM-PACKING</v>
      </c>
      <c r="J658" s="66">
        <v>1</v>
      </c>
      <c r="K658" s="35" t="str">
        <f t="shared" si="192"/>
        <v/>
      </c>
      <c r="L658" s="35">
        <f t="shared" si="198"/>
        <v>0</v>
      </c>
      <c r="M658" s="77" t="str" cm="1">
        <f t="array" ref="M658">_xlfn.IFS(BOM!I658="RM-PACKING","100%",B658="Reynolds",VLOOKUP(H658,'Yield &amp; Time'!A:V,22,0),BOM!B658="Dnata",VLOOKUP(BOM!H658,'Yield &amp; Time'!A:M,13,0),B658="NK",VLOOKUP(H658,'Yield &amp; Time'!A:X,24,0))</f>
        <v>100%</v>
      </c>
      <c r="N658" s="35">
        <f t="shared" si="191"/>
        <v>1</v>
      </c>
      <c r="O658" s="1" t="str">
        <f>VLOOKUP(H658,'RM Used'!A:E,5,0)</f>
        <v>Count</v>
      </c>
      <c r="P658" s="11">
        <f>VLOOKUP(H658,'RM Used'!A:F,6,0)</f>
        <v>0.14000000000000001</v>
      </c>
      <c r="Q658" s="11">
        <f t="shared" si="207"/>
        <v>0.14000000000000001</v>
      </c>
      <c r="R658" s="11">
        <f>IFERROR(IF(B658="Reynolds",VLOOKUP(H658,'Yield &amp; Time'!A:U,21,0),VLOOKUP(H658,'Yield &amp; Time'!A:L,12,0)),0)</f>
        <v>0</v>
      </c>
      <c r="S658" s="11">
        <f t="shared" si="199"/>
        <v>0</v>
      </c>
      <c r="T658" s="11">
        <f t="shared" si="200"/>
        <v>0</v>
      </c>
      <c r="U658" s="11">
        <f>IF(A657=A658,0,VLOOKUP(A658,'Packing Time'!A:F,6,0))</f>
        <v>0</v>
      </c>
      <c r="V658" s="11">
        <f t="shared" si="193"/>
        <v>0</v>
      </c>
      <c r="W658" s="11">
        <f t="shared" si="194"/>
        <v>0</v>
      </c>
      <c r="X658" s="11">
        <f t="shared" si="201"/>
        <v>0</v>
      </c>
      <c r="Y658" s="11">
        <f t="shared" si="195"/>
        <v>0</v>
      </c>
      <c r="Z658" s="37">
        <v>1</v>
      </c>
      <c r="AA658" s="36">
        <f t="shared" si="202"/>
        <v>1</v>
      </c>
      <c r="AB658" s="36">
        <f t="shared" si="203"/>
        <v>0.14000000000000001</v>
      </c>
      <c r="AC658" s="11">
        <f t="shared" si="204"/>
        <v>0</v>
      </c>
      <c r="AD658" s="36">
        <f t="shared" si="196"/>
        <v>0</v>
      </c>
      <c r="AE658" s="36"/>
      <c r="AF658" s="36">
        <f>IFERROR(VLOOKUP(AE658,'Chemical Cost'!A:D,4,0),0)</f>
        <v>0</v>
      </c>
      <c r="AG658" s="114">
        <f t="shared" si="205"/>
        <v>0</v>
      </c>
      <c r="AH658" s="36">
        <f t="shared" si="190"/>
        <v>0</v>
      </c>
      <c r="AI658" s="36">
        <f t="shared" si="197"/>
        <v>0.14000000000000001</v>
      </c>
      <c r="AJ658" s="36">
        <f>IFERROR(VLOOKUP(A658,'All Products'!A:F,6,0),0)</f>
        <v>22.59</v>
      </c>
      <c r="AK658" s="36"/>
      <c r="AL658" s="23">
        <v>1</v>
      </c>
      <c r="AM658" s="23"/>
      <c r="AN658" s="54" t="e">
        <v>#N/A</v>
      </c>
      <c r="AO658" s="47"/>
      <c r="AP658" s="4">
        <v>1.6</v>
      </c>
      <c r="AQ658" s="111">
        <f t="shared" si="206"/>
        <v>0</v>
      </c>
      <c r="AR658">
        <f>_xlfn.XLOOKUP(F658,'RM Cost'!A:A,'RM Cost'!S:S)</f>
        <v>0</v>
      </c>
      <c r="AS658" t="e">
        <f>_xlfn.XLOOKUP(A658,[3]Sheet1!$B:$B,[3]Sheet1!$B:$B)</f>
        <v>#N/A</v>
      </c>
    </row>
    <row r="659" spans="1:46" x14ac:dyDescent="0.25">
      <c r="A659" s="2" t="s">
        <v>793</v>
      </c>
      <c r="B659" s="2" t="s">
        <v>656</v>
      </c>
      <c r="C659" s="2" t="s">
        <v>794</v>
      </c>
      <c r="D659" s="2" t="s">
        <v>554</v>
      </c>
      <c r="E659" s="2">
        <v>2.5</v>
      </c>
      <c r="F659" s="1" t="str">
        <f>VLOOKUP(H659,'RM Used'!A:B,2,0)</f>
        <v>3124CS</v>
      </c>
      <c r="G659" s="1" t="str">
        <f>IFERROR(VLOOKUP(F659,'RM Cost'!A:B,2,0),"")</f>
        <v>RM - GINGER   X 12KG</v>
      </c>
      <c r="H659" s="2" t="s">
        <v>1518</v>
      </c>
      <c r="I659" s="1" t="str">
        <f>VLOOKUP(F659,'RM Used'!B:D,3,0)</f>
        <v>RM-FOOD</v>
      </c>
      <c r="J659" s="66">
        <v>1</v>
      </c>
      <c r="K659" s="35">
        <f t="shared" si="192"/>
        <v>2.5</v>
      </c>
      <c r="L659" s="35">
        <f t="shared" si="198"/>
        <v>2.5</v>
      </c>
      <c r="M659" s="77" cm="1">
        <f t="array" ref="M659">_xlfn.IFS(BOM!I659="RM-PACKING","100%",B659="Reynolds",VLOOKUP(H659,'Yield &amp; Time'!A:V,22,0),BOM!B659="Dnata",VLOOKUP(BOM!H659,'Yield &amp; Time'!A:M,13,0),B659="NK",VLOOKUP(H659,'Yield &amp; Time'!A:X,24,0))</f>
        <v>0.3925233644859813</v>
      </c>
      <c r="N659" s="35">
        <f t="shared" si="191"/>
        <v>6.3690476190476195</v>
      </c>
      <c r="O659" s="1" t="str">
        <f>VLOOKUP(H659,'RM Used'!A:E,5,0)</f>
        <v>KG</v>
      </c>
      <c r="P659" s="11">
        <f>VLOOKUP(H659,'RM Used'!A:F,6,0)</f>
        <v>2.0499999999999998</v>
      </c>
      <c r="Q659" s="11">
        <f t="shared" si="207"/>
        <v>13.056547619047619</v>
      </c>
      <c r="R659" s="11">
        <f>IFERROR(IF(B659="Reynolds",VLOOKUP(H659,'Yield &amp; Time'!A:U,21,0),VLOOKUP(H659,'Yield &amp; Time'!A:L,12,0)),0)</f>
        <v>48.452380952380956</v>
      </c>
      <c r="S659" s="11">
        <f t="shared" si="199"/>
        <v>41.002827380952382</v>
      </c>
      <c r="T659" s="11">
        <f t="shared" si="200"/>
        <v>2.0188492063492065</v>
      </c>
      <c r="U659" s="11">
        <f>IF(A658=A659,0,VLOOKUP(A659,'Packing Time'!A:F,6,0))</f>
        <v>0.875</v>
      </c>
      <c r="V659" s="11">
        <f t="shared" si="193"/>
        <v>0.29618749999999999</v>
      </c>
      <c r="W659" s="11">
        <f t="shared" si="194"/>
        <v>1.4583333333333334E-2</v>
      </c>
      <c r="X659" s="11">
        <f t="shared" si="201"/>
        <v>66.078423809523812</v>
      </c>
      <c r="Y659" s="11">
        <f t="shared" si="195"/>
        <v>66.078423809523812</v>
      </c>
      <c r="Z659" s="37">
        <v>1</v>
      </c>
      <c r="AA659" s="36">
        <f t="shared" si="202"/>
        <v>6.3690476190476195</v>
      </c>
      <c r="AB659" s="36">
        <f t="shared" si="203"/>
        <v>13.056547619047619</v>
      </c>
      <c r="AC659" s="11">
        <f t="shared" si="204"/>
        <v>3.2534920634920641</v>
      </c>
      <c r="AD659" s="36">
        <f t="shared" si="196"/>
        <v>66.078423809523827</v>
      </c>
      <c r="AE659" s="36"/>
      <c r="AF659" s="36">
        <f>IFERROR(VLOOKUP(AE659,'Chemical Cost'!A:D,4,0),0)</f>
        <v>0</v>
      </c>
      <c r="AG659" s="114">
        <f t="shared" si="205"/>
        <v>0</v>
      </c>
      <c r="AH659" s="36">
        <f t="shared" si="190"/>
        <v>0</v>
      </c>
      <c r="AI659" s="36">
        <f t="shared" si="197"/>
        <v>79.134971428571433</v>
      </c>
      <c r="AJ659" s="36">
        <f>IFERROR(VLOOKUP(A659,'All Products'!A:F,6,0),0)</f>
        <v>51.84</v>
      </c>
      <c r="AK659" s="36">
        <f>AJ659*Z659*J659</f>
        <v>51.84</v>
      </c>
      <c r="AL659" s="23">
        <v>1</v>
      </c>
      <c r="AM659" s="23"/>
      <c r="AN659" s="54" t="e">
        <v>#N/A</v>
      </c>
      <c r="AO659" s="47"/>
      <c r="AP659" s="4">
        <v>1.6</v>
      </c>
      <c r="AQ659" s="111">
        <f t="shared" si="206"/>
        <v>3.2534920634920641</v>
      </c>
      <c r="AR659">
        <f>_xlfn.XLOOKUP(F659,'RM Cost'!A:A,'RM Cost'!S:S)</f>
        <v>0</v>
      </c>
      <c r="AS659" t="e">
        <f>_xlfn.XLOOKUP(A659,[3]Sheet1!$B:$B,[3]Sheet1!$B:$B)</f>
        <v>#N/A</v>
      </c>
    </row>
    <row r="660" spans="1:46" x14ac:dyDescent="0.25">
      <c r="A660" s="2" t="s">
        <v>793</v>
      </c>
      <c r="B660" s="2" t="s">
        <v>656</v>
      </c>
      <c r="C660" s="2" t="s">
        <v>794</v>
      </c>
      <c r="D660" s="2" t="s">
        <v>554</v>
      </c>
      <c r="E660" s="2">
        <v>2.5</v>
      </c>
      <c r="F660" s="1" t="str">
        <f>VLOOKUP(H660,'RM Used'!A:B,2,0)</f>
        <v>P0008</v>
      </c>
      <c r="G660" s="1" t="str">
        <f>IFERROR(VLOOKUP(F660,'RM Cost'!A:B,2,0),"")</f>
        <v>PALE BLUE BAG 470X750MM</v>
      </c>
      <c r="H660" s="2" t="s">
        <v>1323</v>
      </c>
      <c r="I660" s="1" t="str">
        <f>VLOOKUP(F660,'RM Used'!B:D,3,0)</f>
        <v>RM-PACKING</v>
      </c>
      <c r="J660" s="66">
        <v>1</v>
      </c>
      <c r="K660" s="35" t="str">
        <f t="shared" si="192"/>
        <v/>
      </c>
      <c r="L660" s="35">
        <f t="shared" si="198"/>
        <v>0</v>
      </c>
      <c r="M660" s="77" t="str" cm="1">
        <f t="array" ref="M660">_xlfn.IFS(BOM!I660="RM-PACKING","100%",B660="Reynolds",VLOOKUP(H660,'Yield &amp; Time'!A:V,22,0),BOM!B660="Dnata",VLOOKUP(BOM!H660,'Yield &amp; Time'!A:M,13,0),B660="NK",VLOOKUP(H660,'Yield &amp; Time'!A:X,24,0))</f>
        <v>100%</v>
      </c>
      <c r="N660" s="35">
        <f t="shared" si="191"/>
        <v>1</v>
      </c>
      <c r="O660" s="1" t="str">
        <f>VLOOKUP(H660,'RM Used'!A:E,5,0)</f>
        <v>Count</v>
      </c>
      <c r="P660" s="11">
        <f>VLOOKUP(H660,'RM Used'!A:F,6,0)</f>
        <v>0.14000000000000001</v>
      </c>
      <c r="Q660" s="11">
        <f t="shared" si="207"/>
        <v>0.14000000000000001</v>
      </c>
      <c r="R660" s="11">
        <f>IFERROR(IF(B660="Reynolds",VLOOKUP(H660,'Yield &amp; Time'!A:U,21,0),VLOOKUP(H660,'Yield &amp; Time'!A:L,12,0)),0)</f>
        <v>0</v>
      </c>
      <c r="S660" s="11">
        <f t="shared" si="199"/>
        <v>0</v>
      </c>
      <c r="T660" s="11">
        <f t="shared" si="200"/>
        <v>0</v>
      </c>
      <c r="U660" s="11">
        <f>IF(A659=A660,0,VLOOKUP(A660,'Packing Time'!A:F,6,0))</f>
        <v>0</v>
      </c>
      <c r="V660" s="11">
        <f t="shared" si="193"/>
        <v>0</v>
      </c>
      <c r="W660" s="11">
        <f t="shared" si="194"/>
        <v>0</v>
      </c>
      <c r="X660" s="11">
        <f t="shared" si="201"/>
        <v>0</v>
      </c>
      <c r="Y660" s="11">
        <f t="shared" si="195"/>
        <v>0</v>
      </c>
      <c r="Z660" s="37">
        <v>1</v>
      </c>
      <c r="AA660" s="36">
        <f t="shared" si="202"/>
        <v>1</v>
      </c>
      <c r="AB660" s="36">
        <f t="shared" si="203"/>
        <v>0.14000000000000001</v>
      </c>
      <c r="AC660" s="11">
        <f t="shared" si="204"/>
        <v>0</v>
      </c>
      <c r="AD660" s="36">
        <f t="shared" si="196"/>
        <v>0</v>
      </c>
      <c r="AE660" s="36"/>
      <c r="AF660" s="36">
        <f>IFERROR(VLOOKUP(AE660,'Chemical Cost'!A:D,4,0),0)</f>
        <v>0</v>
      </c>
      <c r="AG660" s="114">
        <f t="shared" si="205"/>
        <v>0</v>
      </c>
      <c r="AH660" s="36">
        <f t="shared" si="190"/>
        <v>0</v>
      </c>
      <c r="AI660" s="36">
        <f t="shared" si="197"/>
        <v>0.14000000000000001</v>
      </c>
      <c r="AJ660" s="36">
        <f>IFERROR(VLOOKUP(A660,'All Products'!A:F,6,0),0)</f>
        <v>51.84</v>
      </c>
      <c r="AK660" s="36"/>
      <c r="AL660" s="23">
        <v>1</v>
      </c>
      <c r="AM660" s="23"/>
      <c r="AN660" s="54" t="e">
        <v>#N/A</v>
      </c>
      <c r="AO660" s="47"/>
      <c r="AP660" s="4">
        <v>1.6</v>
      </c>
      <c r="AQ660" s="111">
        <f t="shared" si="206"/>
        <v>0</v>
      </c>
      <c r="AR660">
        <f>_xlfn.XLOOKUP(F660,'RM Cost'!A:A,'RM Cost'!S:S)</f>
        <v>0</v>
      </c>
      <c r="AS660" t="e">
        <f>_xlfn.XLOOKUP(A660,[3]Sheet1!$B:$B,[3]Sheet1!$B:$B)</f>
        <v>#N/A</v>
      </c>
    </row>
    <row r="661" spans="1:46" x14ac:dyDescent="0.25">
      <c r="A661" s="2" t="s">
        <v>261</v>
      </c>
      <c r="B661" s="2" t="s">
        <v>656</v>
      </c>
      <c r="C661" s="2" t="s">
        <v>795</v>
      </c>
      <c r="D661" s="2" t="s">
        <v>554</v>
      </c>
      <c r="E661" s="2">
        <v>1</v>
      </c>
      <c r="F661" s="1" t="str">
        <f>VLOOKUP(H661,'RM Used'!A:B,2,0)</f>
        <v>F218CS</v>
      </c>
      <c r="G661" s="1" t="str">
        <f>IFERROR(VLOOKUP(F661,'RM Cost'!A:B,2,0),"")</f>
        <v>RM - GINGER FROZEN 10KG</v>
      </c>
      <c r="H661" s="2" t="s">
        <v>1519</v>
      </c>
      <c r="I661" s="1" t="str">
        <f>VLOOKUP(F661,'RM Used'!B:D,3,0)</f>
        <v>RM-FOOD</v>
      </c>
      <c r="J661" s="66">
        <v>1</v>
      </c>
      <c r="K661" s="35">
        <f t="shared" si="192"/>
        <v>1</v>
      </c>
      <c r="L661" s="35">
        <f t="shared" si="198"/>
        <v>1</v>
      </c>
      <c r="M661" s="77" cm="1">
        <f t="array" ref="M661">_xlfn.IFS(BOM!I661="RM-PACKING","100%",B661="Reynolds",VLOOKUP(H661,'Yield &amp; Time'!A:V,22,0),BOM!B661="Dnata",VLOOKUP(BOM!H661,'Yield &amp; Time'!A:M,13,0),B661="NK",VLOOKUP(H661,'Yield &amp; Time'!A:X,24,0))</f>
        <v>0.64400000000000002</v>
      </c>
      <c r="N661" s="35">
        <f t="shared" si="191"/>
        <v>1.5527950310559007</v>
      </c>
      <c r="O661" s="1" t="str">
        <f>VLOOKUP(H661,'RM Used'!A:E,5,0)</f>
        <v>KG</v>
      </c>
      <c r="P661" s="11">
        <f>VLOOKUP(H661,'RM Used'!A:F,6,0)</f>
        <v>1.64</v>
      </c>
      <c r="Q661" s="11">
        <f t="shared" si="207"/>
        <v>2.5465838509316767</v>
      </c>
      <c r="R661" s="11">
        <f>IFERROR(IF(B661="Reynolds",VLOOKUP(H661,'Yield &amp; Time'!A:U,21,0),VLOOKUP(H661,'Yield &amp; Time'!A:L,12,0)),0)</f>
        <v>1.7976190476190477</v>
      </c>
      <c r="S661" s="11">
        <f t="shared" si="199"/>
        <v>0.60849404761904757</v>
      </c>
      <c r="T661" s="11">
        <f t="shared" si="200"/>
        <v>2.9960317460317461E-2</v>
      </c>
      <c r="U661" s="11">
        <f>IF(A660=A661,0,VLOOKUP(A661,'Packing Time'!A:F,6,0))</f>
        <v>0.64166666666666661</v>
      </c>
      <c r="V661" s="11">
        <f t="shared" si="193"/>
        <v>0.21720416666666661</v>
      </c>
      <c r="W661" s="11">
        <f t="shared" si="194"/>
        <v>1.0694444444444444E-2</v>
      </c>
      <c r="X661" s="11">
        <f t="shared" si="201"/>
        <v>1.3211171428571427</v>
      </c>
      <c r="Y661" s="11">
        <f t="shared" si="195"/>
        <v>1.3211171428571427</v>
      </c>
      <c r="Z661" s="37">
        <v>1</v>
      </c>
      <c r="AA661" s="36">
        <f t="shared" si="202"/>
        <v>1.5527950310559007</v>
      </c>
      <c r="AB661" s="36">
        <f t="shared" si="203"/>
        <v>2.5465838509316767</v>
      </c>
      <c r="AC661" s="11">
        <f t="shared" si="204"/>
        <v>6.5047619047619049E-2</v>
      </c>
      <c r="AD661" s="36">
        <f t="shared" si="196"/>
        <v>1.3211171428571429</v>
      </c>
      <c r="AE661" s="36" t="str">
        <f>VLOOKUP(H661,'Yield &amp; Time'!A:I,9,0)</f>
        <v>CHLORINE</v>
      </c>
      <c r="AF661" s="36">
        <f>IFERROR(VLOOKUP(AE661,'Chemical Cost'!A:D,4,0),0)</f>
        <v>2.7756518066439469E-2</v>
      </c>
      <c r="AG661" s="114">
        <f t="shared" si="205"/>
        <v>1.4366727777660182E-2</v>
      </c>
      <c r="AH661" s="36">
        <f t="shared" si="190"/>
        <v>1.4366727777660182E-2</v>
      </c>
      <c r="AI661" s="36">
        <f t="shared" si="197"/>
        <v>3.8820677215664796</v>
      </c>
      <c r="AJ661" s="36">
        <f>IFERROR(VLOOKUP(A661,'All Products'!A:F,6,0),0)</f>
        <v>16.489999999999998</v>
      </c>
      <c r="AK661" s="36">
        <f>AJ661*Z661*J661</f>
        <v>16.489999999999998</v>
      </c>
      <c r="AL661" s="23">
        <v>0</v>
      </c>
      <c r="AM661" s="23">
        <v>1</v>
      </c>
      <c r="AN661" s="54" t="e">
        <v>#N/A</v>
      </c>
      <c r="AO661" s="47"/>
      <c r="AP661" s="4">
        <v>1.6</v>
      </c>
      <c r="AQ661" s="111">
        <f t="shared" si="206"/>
        <v>6.5047619047619049E-2</v>
      </c>
      <c r="AR661">
        <f>_xlfn.XLOOKUP(F661,'RM Cost'!A:A,'RM Cost'!S:S)</f>
        <v>0</v>
      </c>
      <c r="AS661" t="str">
        <f>_xlfn.XLOOKUP(A661,[3]Sheet1!$B:$B,[3]Sheet1!$B:$B)</f>
        <v>Z151CS</v>
      </c>
      <c r="AT661">
        <f>_xlfn.XLOOKUP(H661,'Yield &amp; Time'!A:A,'Yield &amp; Time'!F:F)</f>
        <v>0</v>
      </c>
    </row>
    <row r="662" spans="1:46" x14ac:dyDescent="0.25">
      <c r="A662" s="2" t="s">
        <v>261</v>
      </c>
      <c r="B662" s="2" t="s">
        <v>656</v>
      </c>
      <c r="C662" s="2" t="s">
        <v>795</v>
      </c>
      <c r="D662" s="2" t="s">
        <v>554</v>
      </c>
      <c r="E662" s="2">
        <v>1</v>
      </c>
      <c r="F662" s="1" t="str">
        <f>VLOOKUP(H662,'RM Used'!A:B,2,0)</f>
        <v>P0008</v>
      </c>
      <c r="G662" s="1" t="str">
        <f>IFERROR(VLOOKUP(F662,'RM Cost'!A:B,2,0),"")</f>
        <v>PALE BLUE BAG 470X750MM</v>
      </c>
      <c r="H662" s="2" t="s">
        <v>1323</v>
      </c>
      <c r="I662" s="1" t="str">
        <f>VLOOKUP(F662,'RM Used'!B:D,3,0)</f>
        <v>RM-PACKING</v>
      </c>
      <c r="J662" s="66">
        <v>1</v>
      </c>
      <c r="K662" s="35" t="str">
        <f t="shared" si="192"/>
        <v/>
      </c>
      <c r="L662" s="35">
        <f t="shared" si="198"/>
        <v>0</v>
      </c>
      <c r="M662" s="77" t="str" cm="1">
        <f t="array" ref="M662">_xlfn.IFS(BOM!I662="RM-PACKING","100%",B662="Reynolds",VLOOKUP(H662,'Yield &amp; Time'!A:V,22,0),BOM!B662="Dnata",VLOOKUP(BOM!H662,'Yield &amp; Time'!A:M,13,0),B662="NK",VLOOKUP(H662,'Yield &amp; Time'!A:X,24,0))</f>
        <v>100%</v>
      </c>
      <c r="N662" s="35">
        <f t="shared" si="191"/>
        <v>1</v>
      </c>
      <c r="O662" s="1" t="str">
        <f>VLOOKUP(H662,'RM Used'!A:E,5,0)</f>
        <v>Count</v>
      </c>
      <c r="P662" s="11">
        <f>VLOOKUP(H662,'RM Used'!A:F,6,0)</f>
        <v>0.14000000000000001</v>
      </c>
      <c r="Q662" s="11">
        <f t="shared" si="207"/>
        <v>0.14000000000000001</v>
      </c>
      <c r="R662" s="11">
        <f>IFERROR(IF(B662="Reynolds",VLOOKUP(H662,'Yield &amp; Time'!A:U,21,0),VLOOKUP(H662,'Yield &amp; Time'!A:L,12,0)),0)</f>
        <v>0</v>
      </c>
      <c r="S662" s="11">
        <f t="shared" si="199"/>
        <v>0</v>
      </c>
      <c r="T662" s="11">
        <f t="shared" si="200"/>
        <v>0</v>
      </c>
      <c r="U662" s="11">
        <f>IF(A661=A662,0,VLOOKUP(A662,'Packing Time'!A:F,6,0))</f>
        <v>0</v>
      </c>
      <c r="V662" s="11">
        <f t="shared" si="193"/>
        <v>0</v>
      </c>
      <c r="W662" s="11">
        <f t="shared" si="194"/>
        <v>0</v>
      </c>
      <c r="X662" s="11">
        <f t="shared" si="201"/>
        <v>0</v>
      </c>
      <c r="Y662" s="11">
        <f t="shared" si="195"/>
        <v>0</v>
      </c>
      <c r="Z662" s="37">
        <v>1</v>
      </c>
      <c r="AA662" s="36">
        <f t="shared" si="202"/>
        <v>1</v>
      </c>
      <c r="AB662" s="36">
        <f t="shared" si="203"/>
        <v>0.14000000000000001</v>
      </c>
      <c r="AC662" s="11">
        <f t="shared" si="204"/>
        <v>0</v>
      </c>
      <c r="AD662" s="36">
        <f t="shared" si="196"/>
        <v>0</v>
      </c>
      <c r="AE662" s="36"/>
      <c r="AF662" s="36">
        <f>IFERROR(VLOOKUP(AE662,'Chemical Cost'!A:D,4,0),0)</f>
        <v>0</v>
      </c>
      <c r="AG662" s="114">
        <f t="shared" si="205"/>
        <v>0</v>
      </c>
      <c r="AH662" s="36">
        <f t="shared" ref="AH662:AH725" si="208">AF662*AA662/3</f>
        <v>0</v>
      </c>
      <c r="AI662" s="36">
        <f t="shared" si="197"/>
        <v>0.14000000000000001</v>
      </c>
      <c r="AJ662" s="36">
        <f>IFERROR(VLOOKUP(A662,'All Products'!A:F,6,0),0)</f>
        <v>16.489999999999998</v>
      </c>
      <c r="AK662" s="36"/>
      <c r="AL662" s="23">
        <v>0</v>
      </c>
      <c r="AM662" s="23">
        <v>1</v>
      </c>
      <c r="AN662" s="54" t="e">
        <v>#N/A</v>
      </c>
      <c r="AO662" s="47"/>
      <c r="AP662" s="4">
        <v>1.6</v>
      </c>
      <c r="AQ662" s="111">
        <f t="shared" si="206"/>
        <v>0</v>
      </c>
      <c r="AR662">
        <f>_xlfn.XLOOKUP(F662,'RM Cost'!A:A,'RM Cost'!S:S)</f>
        <v>0</v>
      </c>
      <c r="AS662" t="str">
        <f>_xlfn.XLOOKUP(A662,[3]Sheet1!$B:$B,[3]Sheet1!$B:$B)</f>
        <v>Z151CS</v>
      </c>
      <c r="AT662" t="e">
        <f>_xlfn.XLOOKUP(H662,'Yield &amp; Time'!A:A,'Yield &amp; Time'!F:F)</f>
        <v>#N/A</v>
      </c>
    </row>
    <row r="663" spans="1:46" x14ac:dyDescent="0.25">
      <c r="A663" s="2" t="s">
        <v>260</v>
      </c>
      <c r="B663" s="2" t="s">
        <v>656</v>
      </c>
      <c r="C663" s="2" t="s">
        <v>796</v>
      </c>
      <c r="D663" s="2" t="s">
        <v>554</v>
      </c>
      <c r="E663" s="2">
        <v>2.5</v>
      </c>
      <c r="F663" s="1" t="str">
        <f>VLOOKUP(H663,'RM Used'!A:B,2,0)</f>
        <v>F218CS</v>
      </c>
      <c r="G663" s="1" t="str">
        <f>IFERROR(VLOOKUP(F663,'RM Cost'!A:B,2,0),"")</f>
        <v>RM - GINGER FROZEN 10KG</v>
      </c>
      <c r="H663" s="2" t="s">
        <v>1519</v>
      </c>
      <c r="I663" s="1" t="str">
        <f>VLOOKUP(F663,'RM Used'!B:D,3,0)</f>
        <v>RM-FOOD</v>
      </c>
      <c r="J663" s="66">
        <v>1</v>
      </c>
      <c r="K663" s="35">
        <f t="shared" si="192"/>
        <v>2.5</v>
      </c>
      <c r="L663" s="35">
        <f t="shared" si="198"/>
        <v>2.5</v>
      </c>
      <c r="M663" s="77" cm="1">
        <f t="array" ref="M663">_xlfn.IFS(BOM!I663="RM-PACKING","100%",B663="Reynolds",VLOOKUP(H663,'Yield &amp; Time'!A:V,22,0),BOM!B663="Dnata",VLOOKUP(BOM!H663,'Yield &amp; Time'!A:M,13,0),B663="NK",VLOOKUP(H663,'Yield &amp; Time'!A:X,24,0))</f>
        <v>0.64400000000000002</v>
      </c>
      <c r="N663" s="35">
        <f t="shared" si="191"/>
        <v>3.8819875776397517</v>
      </c>
      <c r="O663" s="1" t="str">
        <f>VLOOKUP(H663,'RM Used'!A:E,5,0)</f>
        <v>KG</v>
      </c>
      <c r="P663" s="11">
        <f>VLOOKUP(H663,'RM Used'!A:F,6,0)</f>
        <v>1.64</v>
      </c>
      <c r="Q663" s="11">
        <f t="shared" si="207"/>
        <v>6.366459627329192</v>
      </c>
      <c r="R663" s="11">
        <f>IFERROR(IF(B663="Reynolds",VLOOKUP(H663,'Yield &amp; Time'!A:U,21,0),VLOOKUP(H663,'Yield &amp; Time'!A:L,12,0)),0)</f>
        <v>1.7976190476190477</v>
      </c>
      <c r="S663" s="11">
        <f t="shared" si="199"/>
        <v>1.521235119047619</v>
      </c>
      <c r="T663" s="11">
        <f t="shared" si="200"/>
        <v>7.4900793650793662E-2</v>
      </c>
      <c r="U663" s="11">
        <f>IF(A662=A663,0,VLOOKUP(A663,'Packing Time'!A:F,6,0))</f>
        <v>0.875</v>
      </c>
      <c r="V663" s="11">
        <f t="shared" si="193"/>
        <v>0.29618749999999999</v>
      </c>
      <c r="W663" s="11">
        <f t="shared" si="194"/>
        <v>1.4583333333333334E-2</v>
      </c>
      <c r="X663" s="11">
        <f t="shared" si="201"/>
        <v>2.5443916666666664</v>
      </c>
      <c r="Y663" s="11">
        <f t="shared" si="195"/>
        <v>2.5443916666666664</v>
      </c>
      <c r="Z663" s="37">
        <v>1</v>
      </c>
      <c r="AA663" s="36">
        <f t="shared" si="202"/>
        <v>3.8819875776397517</v>
      </c>
      <c r="AB663" s="36">
        <f t="shared" si="203"/>
        <v>6.366459627329192</v>
      </c>
      <c r="AC663" s="11">
        <f t="shared" si="204"/>
        <v>0.12527777777777777</v>
      </c>
      <c r="AD663" s="36">
        <f t="shared" si="196"/>
        <v>2.5443916666666659</v>
      </c>
      <c r="AE663" s="36" t="str">
        <f>VLOOKUP(H663,'Yield &amp; Time'!A:I,9,0)</f>
        <v>CHLORINE</v>
      </c>
      <c r="AF663" s="36">
        <f>IFERROR(VLOOKUP(AE663,'Chemical Cost'!A:D,4,0),0)</f>
        <v>2.7756518066439469E-2</v>
      </c>
      <c r="AG663" s="114">
        <f t="shared" si="205"/>
        <v>3.5916819444150455E-2</v>
      </c>
      <c r="AH663" s="36">
        <f t="shared" si="208"/>
        <v>3.5916819444150455E-2</v>
      </c>
      <c r="AI663" s="36">
        <f t="shared" si="197"/>
        <v>8.9467681134400081</v>
      </c>
      <c r="AJ663" s="36">
        <f>IFERROR(VLOOKUP(A663,'All Products'!A:F,6,0),0)</f>
        <v>41.21</v>
      </c>
      <c r="AK663" s="36">
        <f>AJ663*Z663*J663</f>
        <v>41.21</v>
      </c>
      <c r="AL663" s="23">
        <v>0</v>
      </c>
      <c r="AM663" s="23">
        <v>1</v>
      </c>
      <c r="AN663" s="54" t="e">
        <v>#N/A</v>
      </c>
      <c r="AO663" s="47"/>
      <c r="AP663" s="4">
        <v>1.4</v>
      </c>
      <c r="AQ663" s="111">
        <f t="shared" si="206"/>
        <v>0.12527777777777777</v>
      </c>
      <c r="AR663">
        <f>_xlfn.XLOOKUP(F663,'RM Cost'!A:A,'RM Cost'!S:S)</f>
        <v>0</v>
      </c>
      <c r="AS663" t="str">
        <f>_xlfn.XLOOKUP(A663,[3]Sheet1!$B:$B,[3]Sheet1!$B:$B)</f>
        <v>Z150CS</v>
      </c>
      <c r="AT663">
        <f>_xlfn.XLOOKUP(H663,'Yield &amp; Time'!A:A,'Yield &amp; Time'!F:F)</f>
        <v>0</v>
      </c>
    </row>
    <row r="664" spans="1:46" x14ac:dyDescent="0.25">
      <c r="A664" s="2" t="s">
        <v>260</v>
      </c>
      <c r="B664" s="2" t="s">
        <v>656</v>
      </c>
      <c r="C664" s="2" t="s">
        <v>796</v>
      </c>
      <c r="D664" s="2" t="s">
        <v>554</v>
      </c>
      <c r="E664" s="2">
        <v>2.5</v>
      </c>
      <c r="F664" s="1" t="str">
        <f>VLOOKUP(H664,'RM Used'!A:B,2,0)</f>
        <v>P0008</v>
      </c>
      <c r="G664" s="1" t="str">
        <f>IFERROR(VLOOKUP(F664,'RM Cost'!A:B,2,0),"")</f>
        <v>PALE BLUE BAG 470X750MM</v>
      </c>
      <c r="H664" s="2" t="s">
        <v>1323</v>
      </c>
      <c r="I664" s="1" t="str">
        <f>VLOOKUP(F664,'RM Used'!B:D,3,0)</f>
        <v>RM-PACKING</v>
      </c>
      <c r="J664" s="66">
        <v>1</v>
      </c>
      <c r="K664" s="35" t="str">
        <f t="shared" si="192"/>
        <v/>
      </c>
      <c r="L664" s="35">
        <f t="shared" si="198"/>
        <v>0</v>
      </c>
      <c r="M664" s="77" t="str" cm="1">
        <f t="array" ref="M664">_xlfn.IFS(BOM!I664="RM-PACKING","100%",B664="Reynolds",VLOOKUP(H664,'Yield &amp; Time'!A:V,22,0),BOM!B664="Dnata",VLOOKUP(BOM!H664,'Yield &amp; Time'!A:M,13,0),B664="NK",VLOOKUP(H664,'Yield &amp; Time'!A:X,24,0))</f>
        <v>100%</v>
      </c>
      <c r="N664" s="35">
        <f t="shared" si="191"/>
        <v>1</v>
      </c>
      <c r="O664" s="1" t="str">
        <f>VLOOKUP(H664,'RM Used'!A:E,5,0)</f>
        <v>Count</v>
      </c>
      <c r="P664" s="11">
        <f>VLOOKUP(H664,'RM Used'!A:F,6,0)</f>
        <v>0.14000000000000001</v>
      </c>
      <c r="Q664" s="11">
        <f t="shared" si="207"/>
        <v>0.14000000000000001</v>
      </c>
      <c r="R664" s="11">
        <f>IFERROR(IF(B664="Reynolds",VLOOKUP(H664,'Yield &amp; Time'!A:U,21,0),VLOOKUP(H664,'Yield &amp; Time'!A:L,12,0)),0)</f>
        <v>0</v>
      </c>
      <c r="S664" s="11">
        <f t="shared" si="199"/>
        <v>0</v>
      </c>
      <c r="T664" s="11">
        <f t="shared" si="200"/>
        <v>0</v>
      </c>
      <c r="U664" s="11">
        <f>IF(A663=A664,0,VLOOKUP(A664,'Packing Time'!A:F,6,0))</f>
        <v>0</v>
      </c>
      <c r="V664" s="11">
        <f t="shared" si="193"/>
        <v>0</v>
      </c>
      <c r="W664" s="11">
        <f t="shared" si="194"/>
        <v>0</v>
      </c>
      <c r="X664" s="11">
        <f t="shared" si="201"/>
        <v>0</v>
      </c>
      <c r="Y664" s="11">
        <f t="shared" si="195"/>
        <v>0</v>
      </c>
      <c r="Z664" s="37">
        <v>1</v>
      </c>
      <c r="AA664" s="36">
        <f t="shared" si="202"/>
        <v>1</v>
      </c>
      <c r="AB664" s="36">
        <f t="shared" si="203"/>
        <v>0.14000000000000001</v>
      </c>
      <c r="AC664" s="11">
        <f t="shared" si="204"/>
        <v>0</v>
      </c>
      <c r="AD664" s="36">
        <f t="shared" si="196"/>
        <v>0</v>
      </c>
      <c r="AE664" s="36"/>
      <c r="AF664" s="36">
        <f>IFERROR(VLOOKUP(AE664,'Chemical Cost'!A:D,4,0),0)</f>
        <v>0</v>
      </c>
      <c r="AG664" s="114">
        <f t="shared" si="205"/>
        <v>0</v>
      </c>
      <c r="AH664" s="36">
        <f t="shared" si="208"/>
        <v>0</v>
      </c>
      <c r="AI664" s="36">
        <f t="shared" si="197"/>
        <v>0.14000000000000001</v>
      </c>
      <c r="AJ664" s="36">
        <f>IFERROR(VLOOKUP(A664,'All Products'!A:F,6,0),0)</f>
        <v>41.21</v>
      </c>
      <c r="AK664" s="36"/>
      <c r="AL664" s="23">
        <v>0</v>
      </c>
      <c r="AM664" s="23">
        <v>1</v>
      </c>
      <c r="AN664" s="54" t="e">
        <v>#N/A</v>
      </c>
      <c r="AO664" s="47"/>
      <c r="AP664" s="4">
        <v>1.4</v>
      </c>
      <c r="AQ664" s="111">
        <f t="shared" si="206"/>
        <v>0</v>
      </c>
      <c r="AR664">
        <f>_xlfn.XLOOKUP(F664,'RM Cost'!A:A,'RM Cost'!S:S)</f>
        <v>0</v>
      </c>
      <c r="AS664" t="str">
        <f>_xlfn.XLOOKUP(A664,[3]Sheet1!$B:$B,[3]Sheet1!$B:$B)</f>
        <v>Z150CS</v>
      </c>
      <c r="AT664" t="e">
        <f>_xlfn.XLOOKUP(H664,'Yield &amp; Time'!A:A,'Yield &amp; Time'!F:F)</f>
        <v>#N/A</v>
      </c>
    </row>
    <row r="665" spans="1:46" x14ac:dyDescent="0.25">
      <c r="A665" s="2" t="s">
        <v>259</v>
      </c>
      <c r="B665" s="2" t="s">
        <v>656</v>
      </c>
      <c r="C665" s="2" t="s">
        <v>797</v>
      </c>
      <c r="D665" s="2" t="s">
        <v>554</v>
      </c>
      <c r="E665" s="2">
        <v>0.25</v>
      </c>
      <c r="F665" s="1" t="str">
        <f>VLOOKUP(H665,'RM Used'!A:B,2,0)</f>
        <v>F218CS</v>
      </c>
      <c r="G665" s="1" t="str">
        <f>IFERROR(VLOOKUP(F665,'RM Cost'!A:B,2,0),"")</f>
        <v>RM - GINGER FROZEN 10KG</v>
      </c>
      <c r="H665" s="2" t="s">
        <v>1519</v>
      </c>
      <c r="I665" s="1" t="str">
        <f>VLOOKUP(F665,'RM Used'!B:D,3,0)</f>
        <v>RM-FOOD</v>
      </c>
      <c r="J665" s="66">
        <v>1</v>
      </c>
      <c r="K665" s="35">
        <f t="shared" si="192"/>
        <v>0.25</v>
      </c>
      <c r="L665" s="35">
        <f t="shared" si="198"/>
        <v>0.25</v>
      </c>
      <c r="M665" s="77" cm="1">
        <f t="array" ref="M665">_xlfn.IFS(BOM!I665="RM-PACKING","100%",B665="Reynolds",VLOOKUP(H665,'Yield &amp; Time'!A:V,22,0),BOM!B665="Dnata",VLOOKUP(BOM!H665,'Yield &amp; Time'!A:M,13,0),B665="NK",VLOOKUP(H665,'Yield &amp; Time'!A:X,24,0))</f>
        <v>0.64400000000000002</v>
      </c>
      <c r="N665" s="35">
        <f t="shared" si="191"/>
        <v>0.38819875776397517</v>
      </c>
      <c r="O665" s="1" t="str">
        <f>VLOOKUP(H665,'RM Used'!A:E,5,0)</f>
        <v>KG</v>
      </c>
      <c r="P665" s="11">
        <f>VLOOKUP(H665,'RM Used'!A:F,6,0)</f>
        <v>1.64</v>
      </c>
      <c r="Q665" s="11">
        <f t="shared" si="207"/>
        <v>0.63664596273291918</v>
      </c>
      <c r="R665" s="11">
        <f>IFERROR(IF(B665="Reynolds",VLOOKUP(H665,'Yield &amp; Time'!A:U,21,0),VLOOKUP(H665,'Yield &amp; Time'!A:L,12,0)),0)</f>
        <v>1.7976190476190477</v>
      </c>
      <c r="S665" s="11">
        <f t="shared" si="199"/>
        <v>0.15212351190476189</v>
      </c>
      <c r="T665" s="11">
        <f t="shared" si="200"/>
        <v>7.4900793650793654E-3</v>
      </c>
      <c r="U665" s="11">
        <f>IF(A664=A665,0,VLOOKUP(A665,'Packing Time'!A:F,6,0))</f>
        <v>0.47499999999999998</v>
      </c>
      <c r="V665" s="11">
        <f t="shared" si="193"/>
        <v>0.16078749999999997</v>
      </c>
      <c r="W665" s="11">
        <f t="shared" si="194"/>
        <v>7.9166666666666656E-3</v>
      </c>
      <c r="X665" s="11">
        <f t="shared" si="201"/>
        <v>0.50065761904761907</v>
      </c>
      <c r="Y665" s="11">
        <f t="shared" si="195"/>
        <v>0.50065761904761907</v>
      </c>
      <c r="Z665" s="37">
        <v>1</v>
      </c>
      <c r="AA665" s="36">
        <f t="shared" si="202"/>
        <v>0.38819875776397517</v>
      </c>
      <c r="AB665" s="36">
        <f t="shared" si="203"/>
        <v>0.63664596273291918</v>
      </c>
      <c r="AC665" s="11">
        <f t="shared" si="204"/>
        <v>2.4650793650793652E-2</v>
      </c>
      <c r="AD665" s="36">
        <f t="shared" si="196"/>
        <v>0.50065761904761907</v>
      </c>
      <c r="AE665" s="36" t="str">
        <f>VLOOKUP(H665,'Yield &amp; Time'!A:I,9,0)</f>
        <v>CHLORINE</v>
      </c>
      <c r="AF665" s="36">
        <f>IFERROR(VLOOKUP(AE665,'Chemical Cost'!A:D,4,0),0)</f>
        <v>2.7756518066439469E-2</v>
      </c>
      <c r="AG665" s="114">
        <f t="shared" si="205"/>
        <v>3.5916819444150455E-3</v>
      </c>
      <c r="AH665" s="36">
        <f t="shared" si="208"/>
        <v>3.5916819444150455E-3</v>
      </c>
      <c r="AI665" s="36">
        <f t="shared" si="197"/>
        <v>1.1408952637249532</v>
      </c>
      <c r="AJ665" s="36">
        <f>IFERROR(VLOOKUP(A665,'All Products'!A:F,6,0),0)</f>
        <v>4.1399999999999997</v>
      </c>
      <c r="AK665" s="36">
        <f>AJ665*Z665*J665</f>
        <v>4.1399999999999997</v>
      </c>
      <c r="AL665" s="23">
        <v>0</v>
      </c>
      <c r="AM665" s="23">
        <v>1</v>
      </c>
      <c r="AN665" s="54" t="e">
        <v>#N/A</v>
      </c>
      <c r="AO665" s="47"/>
      <c r="AP665" s="4">
        <v>1.6</v>
      </c>
      <c r="AQ665" s="111">
        <f t="shared" si="206"/>
        <v>2.4650793650793652E-2</v>
      </c>
      <c r="AR665">
        <f>_xlfn.XLOOKUP(F665,'RM Cost'!A:A,'RM Cost'!S:S)</f>
        <v>0</v>
      </c>
      <c r="AS665" t="str">
        <f>_xlfn.XLOOKUP(A665,[3]Sheet1!$B:$B,[3]Sheet1!$B:$B)</f>
        <v>Z152CS</v>
      </c>
      <c r="AT665">
        <f>_xlfn.XLOOKUP(H665,'Yield &amp; Time'!A:A,'Yield &amp; Time'!F:F)</f>
        <v>0</v>
      </c>
    </row>
    <row r="666" spans="1:46" x14ac:dyDescent="0.25">
      <c r="A666" s="2" t="s">
        <v>259</v>
      </c>
      <c r="B666" s="2" t="s">
        <v>656</v>
      </c>
      <c r="C666" s="2" t="s">
        <v>797</v>
      </c>
      <c r="D666" s="2" t="s">
        <v>554</v>
      </c>
      <c r="E666" s="2">
        <v>0.25</v>
      </c>
      <c r="F666" s="1" t="str">
        <f>VLOOKUP(H666,'RM Used'!A:B,2,0)</f>
        <v>P0017</v>
      </c>
      <c r="G666" s="1" t="str">
        <f>IFERROR(VLOOKUP(F666,'RM Cost'!A:B,2,0),"")</f>
        <v>PALE BLUE BAG 250X300MM</v>
      </c>
      <c r="H666" s="2" t="s">
        <v>1334</v>
      </c>
      <c r="I666" s="1" t="str">
        <f>VLOOKUP(F666,'RM Used'!B:D,3,0)</f>
        <v>RM-PACKING</v>
      </c>
      <c r="J666" s="66">
        <v>1</v>
      </c>
      <c r="K666" s="35" t="str">
        <f t="shared" si="192"/>
        <v/>
      </c>
      <c r="L666" s="35">
        <f t="shared" si="198"/>
        <v>0</v>
      </c>
      <c r="M666" s="77" t="str" cm="1">
        <f t="array" ref="M666">_xlfn.IFS(BOM!I666="RM-PACKING","100%",B666="Reynolds",VLOOKUP(H666,'Yield &amp; Time'!A:V,22,0),BOM!B666="Dnata",VLOOKUP(BOM!H666,'Yield &amp; Time'!A:M,13,0),B666="NK",VLOOKUP(H666,'Yield &amp; Time'!A:X,24,0))</f>
        <v>100%</v>
      </c>
      <c r="N666" s="35">
        <f t="shared" si="191"/>
        <v>1</v>
      </c>
      <c r="O666" s="1" t="str">
        <f>VLOOKUP(H666,'RM Used'!A:E,5,0)</f>
        <v>Count</v>
      </c>
      <c r="P666" s="11">
        <f>VLOOKUP(H666,'RM Used'!A:F,6,0)</f>
        <v>0.05</v>
      </c>
      <c r="Q666" s="11">
        <f t="shared" si="207"/>
        <v>0.05</v>
      </c>
      <c r="R666" s="11">
        <f>IFERROR(IF(B666="Reynolds",VLOOKUP(H666,'Yield &amp; Time'!A:U,21,0),VLOOKUP(H666,'Yield &amp; Time'!A:L,12,0)),0)</f>
        <v>0</v>
      </c>
      <c r="S666" s="11">
        <f t="shared" si="199"/>
        <v>0</v>
      </c>
      <c r="T666" s="11">
        <f t="shared" si="200"/>
        <v>0</v>
      </c>
      <c r="U666" s="11">
        <f>IF(A665=A666,0,VLOOKUP(A666,'Packing Time'!A:F,6,0))</f>
        <v>0</v>
      </c>
      <c r="V666" s="11">
        <f t="shared" si="193"/>
        <v>0</v>
      </c>
      <c r="W666" s="11">
        <f t="shared" si="194"/>
        <v>0</v>
      </c>
      <c r="X666" s="11">
        <f t="shared" si="201"/>
        <v>0</v>
      </c>
      <c r="Y666" s="11">
        <f t="shared" si="195"/>
        <v>0</v>
      </c>
      <c r="Z666" s="37">
        <v>1</v>
      </c>
      <c r="AA666" s="36">
        <f t="shared" si="202"/>
        <v>1</v>
      </c>
      <c r="AB666" s="36">
        <f t="shared" si="203"/>
        <v>0.05</v>
      </c>
      <c r="AC666" s="11">
        <f t="shared" si="204"/>
        <v>0</v>
      </c>
      <c r="AD666" s="36">
        <f t="shared" si="196"/>
        <v>0</v>
      </c>
      <c r="AE666" s="36"/>
      <c r="AF666" s="36">
        <f>IFERROR(VLOOKUP(AE666,'Chemical Cost'!A:D,4,0),0)</f>
        <v>0</v>
      </c>
      <c r="AG666" s="114">
        <f t="shared" si="205"/>
        <v>0</v>
      </c>
      <c r="AH666" s="36">
        <f t="shared" si="208"/>
        <v>0</v>
      </c>
      <c r="AI666" s="36">
        <f t="shared" si="197"/>
        <v>0.05</v>
      </c>
      <c r="AJ666" s="36">
        <f>IFERROR(VLOOKUP(A666,'All Products'!A:F,6,0),0)</f>
        <v>4.1399999999999997</v>
      </c>
      <c r="AK666" s="36"/>
      <c r="AL666" s="23">
        <v>0</v>
      </c>
      <c r="AM666" s="23">
        <v>1</v>
      </c>
      <c r="AN666" s="54" t="e">
        <v>#N/A</v>
      </c>
      <c r="AO666" s="47"/>
      <c r="AP666" s="4">
        <v>1.6</v>
      </c>
      <c r="AQ666" s="111">
        <f t="shared" si="206"/>
        <v>0</v>
      </c>
      <c r="AR666">
        <f>_xlfn.XLOOKUP(F666,'RM Cost'!A:A,'RM Cost'!S:S)</f>
        <v>0</v>
      </c>
      <c r="AS666" t="str">
        <f>_xlfn.XLOOKUP(A666,[3]Sheet1!$B:$B,[3]Sheet1!$B:$B)</f>
        <v>Z152CS</v>
      </c>
      <c r="AT666" t="e">
        <f>_xlfn.XLOOKUP(H666,'Yield &amp; Time'!A:A,'Yield &amp; Time'!F:F)</f>
        <v>#N/A</v>
      </c>
    </row>
    <row r="667" spans="1:46" x14ac:dyDescent="0.25">
      <c r="A667" s="2" t="s">
        <v>474</v>
      </c>
      <c r="B667" s="2" t="s">
        <v>656</v>
      </c>
      <c r="C667" s="2" t="s">
        <v>475</v>
      </c>
      <c r="D667" s="2" t="s">
        <v>554</v>
      </c>
      <c r="E667" s="2">
        <v>1</v>
      </c>
      <c r="F667" s="1" t="str">
        <f>VLOOKUP(H667,'RM Used'!A:B,2,0)</f>
        <v>3124CS</v>
      </c>
      <c r="G667" s="1" t="str">
        <f>IFERROR(VLOOKUP(F667,'RM Cost'!A:B,2,0),"")</f>
        <v>RM - GINGER   X 12KG</v>
      </c>
      <c r="H667" s="2" t="s">
        <v>1520</v>
      </c>
      <c r="I667" s="1" t="str">
        <f>VLOOKUP(F667,'RM Used'!B:D,3,0)</f>
        <v>RM-FOOD</v>
      </c>
      <c r="J667" s="66">
        <v>1</v>
      </c>
      <c r="K667" s="35">
        <f t="shared" si="192"/>
        <v>1</v>
      </c>
      <c r="L667" s="35">
        <f t="shared" si="198"/>
        <v>1</v>
      </c>
      <c r="M667" s="77" cm="1">
        <f t="array" ref="M667">_xlfn.IFS(BOM!I667="RM-PACKING","100%",B667="Reynolds",VLOOKUP(H667,'Yield &amp; Time'!A:V,22,0),BOM!B667="Dnata",VLOOKUP(BOM!H667,'Yield &amp; Time'!A:M,13,0),B667="NK",VLOOKUP(H667,'Yield &amp; Time'!A:X,24,0))</f>
        <v>0.53271028037383172</v>
      </c>
      <c r="N667" s="35">
        <f t="shared" si="191"/>
        <v>1.8771929824561406</v>
      </c>
      <c r="O667" s="1" t="str">
        <f>VLOOKUP(H667,'RM Used'!A:E,5,0)</f>
        <v>KG</v>
      </c>
      <c r="P667" s="11">
        <f>VLOOKUP(H667,'RM Used'!A:F,6,0)</f>
        <v>2.0499999999999998</v>
      </c>
      <c r="Q667" s="11">
        <f t="shared" si="207"/>
        <v>3.848245614035088</v>
      </c>
      <c r="R667" s="11">
        <f>IFERROR(IF(B667="Reynolds",VLOOKUP(H667,'Yield &amp; Time'!A:U,21,0),VLOOKUP(H667,'Yield &amp; Time'!A:L,12,0)),0)</f>
        <v>14.310526315789474</v>
      </c>
      <c r="S667" s="11">
        <f t="shared" si="199"/>
        <v>4.8441131578947365</v>
      </c>
      <c r="T667" s="11">
        <f t="shared" si="200"/>
        <v>0.23850877192982456</v>
      </c>
      <c r="U667" s="11">
        <f>IF(A666=A667,0,VLOOKUP(A667,'Packing Time'!A:F,6,0))</f>
        <v>0.64166666666666661</v>
      </c>
      <c r="V667" s="11">
        <f t="shared" si="193"/>
        <v>0.21720416666666661</v>
      </c>
      <c r="W667" s="11">
        <f t="shared" si="194"/>
        <v>1.0694444444444444E-2</v>
      </c>
      <c r="X667" s="11">
        <f t="shared" si="201"/>
        <v>8.0981077192982447</v>
      </c>
      <c r="Y667" s="11">
        <f t="shared" si="195"/>
        <v>8.0981077192982447</v>
      </c>
      <c r="Z667" s="37">
        <v>1</v>
      </c>
      <c r="AA667" s="36">
        <f t="shared" si="202"/>
        <v>1.8771929824561406</v>
      </c>
      <c r="AB667" s="36">
        <f t="shared" si="203"/>
        <v>3.848245614035088</v>
      </c>
      <c r="AC667" s="11">
        <f t="shared" si="204"/>
        <v>0.39872514619883037</v>
      </c>
      <c r="AD667" s="36">
        <f t="shared" si="196"/>
        <v>8.0981077192982429</v>
      </c>
      <c r="AE667" s="36" t="str">
        <f>VLOOKUP(H667,'Yield &amp; Time'!A:I,9,0)</f>
        <v>CHLORINE</v>
      </c>
      <c r="AF667" s="36">
        <f>IFERROR(VLOOKUP(AE667,'Chemical Cost'!A:D,4,0),0)</f>
        <v>2.7756518066439469E-2</v>
      </c>
      <c r="AG667" s="114">
        <f t="shared" si="205"/>
        <v>1.7368113643912417E-2</v>
      </c>
      <c r="AH667" s="36">
        <f t="shared" si="208"/>
        <v>1.7368113643912417E-2</v>
      </c>
      <c r="AI667" s="36">
        <f t="shared" si="197"/>
        <v>11.963721446977246</v>
      </c>
      <c r="AJ667" s="36">
        <f>IFERROR(VLOOKUP(A667,'All Products'!A:F,6,0),0)</f>
        <v>13.89</v>
      </c>
      <c r="AK667" s="36">
        <f>AJ667*Z667*J667</f>
        <v>13.89</v>
      </c>
      <c r="AL667" s="23">
        <v>0.8</v>
      </c>
      <c r="AM667" s="23">
        <v>0.2</v>
      </c>
      <c r="AN667" s="54" t="e">
        <v>#N/A</v>
      </c>
      <c r="AO667" s="47"/>
      <c r="AP667" s="4">
        <v>1.6</v>
      </c>
      <c r="AQ667" s="111">
        <f t="shared" si="206"/>
        <v>0.39872514619883037</v>
      </c>
      <c r="AR667">
        <f>_xlfn.XLOOKUP(F667,'RM Cost'!A:A,'RM Cost'!S:S)</f>
        <v>0</v>
      </c>
      <c r="AS667" t="str">
        <f>_xlfn.XLOOKUP(A667,[3]Sheet1!$B:$B,[3]Sheet1!$B:$B)</f>
        <v>Z156CS</v>
      </c>
      <c r="AT667">
        <f>_xlfn.XLOOKUP(H667,'Yield &amp; Time'!A:A,'Yield &amp; Time'!F:F)</f>
        <v>0</v>
      </c>
    </row>
    <row r="668" spans="1:46" x14ac:dyDescent="0.25">
      <c r="A668" s="2" t="s">
        <v>474</v>
      </c>
      <c r="B668" s="2" t="s">
        <v>656</v>
      </c>
      <c r="C668" s="2" t="s">
        <v>475</v>
      </c>
      <c r="D668" s="2" t="s">
        <v>554</v>
      </c>
      <c r="E668" s="2">
        <v>1</v>
      </c>
      <c r="F668" s="1" t="str">
        <f>VLOOKUP(H668,'RM Used'!A:B,2,0)</f>
        <v>P0008</v>
      </c>
      <c r="G668" s="1" t="str">
        <f>IFERROR(VLOOKUP(F668,'RM Cost'!A:B,2,0),"")</f>
        <v>PALE BLUE BAG 470X750MM</v>
      </c>
      <c r="H668" s="2" t="s">
        <v>1323</v>
      </c>
      <c r="I668" s="1" t="str">
        <f>VLOOKUP(F668,'RM Used'!B:D,3,0)</f>
        <v>RM-PACKING</v>
      </c>
      <c r="J668" s="66">
        <v>1</v>
      </c>
      <c r="K668" s="35" t="str">
        <f t="shared" si="192"/>
        <v/>
      </c>
      <c r="L668" s="35">
        <f t="shared" si="198"/>
        <v>0</v>
      </c>
      <c r="M668" s="77" t="str" cm="1">
        <f t="array" ref="M668">_xlfn.IFS(BOM!I668="RM-PACKING","100%",B668="Reynolds",VLOOKUP(H668,'Yield &amp; Time'!A:V,22,0),BOM!B668="Dnata",VLOOKUP(BOM!H668,'Yield &amp; Time'!A:M,13,0),B668="NK",VLOOKUP(H668,'Yield &amp; Time'!A:X,24,0))</f>
        <v>100%</v>
      </c>
      <c r="N668" s="35">
        <f t="shared" si="191"/>
        <v>1</v>
      </c>
      <c r="O668" s="1" t="str">
        <f>VLOOKUP(H668,'RM Used'!A:E,5,0)</f>
        <v>Count</v>
      </c>
      <c r="P668" s="11">
        <f>VLOOKUP(H668,'RM Used'!A:F,6,0)</f>
        <v>0.14000000000000001</v>
      </c>
      <c r="Q668" s="11">
        <f t="shared" si="207"/>
        <v>0.14000000000000001</v>
      </c>
      <c r="R668" s="11">
        <f>IFERROR(IF(B668="Reynolds",VLOOKUP(H668,'Yield &amp; Time'!A:U,21,0),VLOOKUP(H668,'Yield &amp; Time'!A:L,12,0)),0)</f>
        <v>0</v>
      </c>
      <c r="S668" s="11">
        <f t="shared" si="199"/>
        <v>0</v>
      </c>
      <c r="T668" s="11">
        <f t="shared" si="200"/>
        <v>0</v>
      </c>
      <c r="U668" s="11">
        <f>IF(A667=A668,0,VLOOKUP(A668,'Packing Time'!A:F,6,0))</f>
        <v>0</v>
      </c>
      <c r="V668" s="11">
        <f t="shared" si="193"/>
        <v>0</v>
      </c>
      <c r="W668" s="11">
        <f t="shared" si="194"/>
        <v>0</v>
      </c>
      <c r="X668" s="11">
        <f t="shared" si="201"/>
        <v>0</v>
      </c>
      <c r="Y668" s="11">
        <f t="shared" si="195"/>
        <v>0</v>
      </c>
      <c r="Z668" s="37">
        <v>1</v>
      </c>
      <c r="AA668" s="36">
        <f t="shared" si="202"/>
        <v>1</v>
      </c>
      <c r="AB668" s="36">
        <f t="shared" si="203"/>
        <v>0.14000000000000001</v>
      </c>
      <c r="AC668" s="11">
        <f t="shared" si="204"/>
        <v>0</v>
      </c>
      <c r="AD668" s="36">
        <f t="shared" si="196"/>
        <v>0</v>
      </c>
      <c r="AE668" s="36"/>
      <c r="AF668" s="36">
        <f>IFERROR(VLOOKUP(AE668,'Chemical Cost'!A:D,4,0),0)</f>
        <v>0</v>
      </c>
      <c r="AG668" s="114">
        <f t="shared" si="205"/>
        <v>0</v>
      </c>
      <c r="AH668" s="36">
        <f t="shared" si="208"/>
        <v>0</v>
      </c>
      <c r="AI668" s="36">
        <f t="shared" si="197"/>
        <v>0.14000000000000001</v>
      </c>
      <c r="AJ668" s="36">
        <f>IFERROR(VLOOKUP(A668,'All Products'!A:F,6,0),0)</f>
        <v>13.89</v>
      </c>
      <c r="AK668" s="36"/>
      <c r="AL668" s="23">
        <v>0.8</v>
      </c>
      <c r="AM668" s="23">
        <v>0.2</v>
      </c>
      <c r="AN668" s="54" t="e">
        <v>#N/A</v>
      </c>
      <c r="AO668" s="47"/>
      <c r="AP668" s="4">
        <v>1.6</v>
      </c>
      <c r="AQ668" s="111">
        <f t="shared" si="206"/>
        <v>0</v>
      </c>
      <c r="AR668">
        <f>_xlfn.XLOOKUP(F668,'RM Cost'!A:A,'RM Cost'!S:S)</f>
        <v>0</v>
      </c>
      <c r="AS668" t="str">
        <f>_xlfn.XLOOKUP(A668,[3]Sheet1!$B:$B,[3]Sheet1!$B:$B)</f>
        <v>Z156CS</v>
      </c>
      <c r="AT668" t="e">
        <f>_xlfn.XLOOKUP(H668,'Yield &amp; Time'!A:A,'Yield &amp; Time'!F:F)</f>
        <v>#N/A</v>
      </c>
    </row>
    <row r="669" spans="1:46" x14ac:dyDescent="0.25">
      <c r="A669" s="2" t="s">
        <v>411</v>
      </c>
      <c r="B669" s="2" t="s">
        <v>656</v>
      </c>
      <c r="C669" s="2" t="s">
        <v>412</v>
      </c>
      <c r="D669" s="2" t="s">
        <v>554</v>
      </c>
      <c r="E669" s="2">
        <v>2.5</v>
      </c>
      <c r="F669" s="1" t="str">
        <f>VLOOKUP(H669,'RM Used'!A:B,2,0)</f>
        <v>3124CS</v>
      </c>
      <c r="G669" s="1" t="str">
        <f>IFERROR(VLOOKUP(F669,'RM Cost'!A:B,2,0),"")</f>
        <v>RM - GINGER   X 12KG</v>
      </c>
      <c r="H669" s="2" t="s">
        <v>1520</v>
      </c>
      <c r="I669" s="1" t="str">
        <f>VLOOKUP(F669,'RM Used'!B:D,3,0)</f>
        <v>RM-FOOD</v>
      </c>
      <c r="J669" s="66">
        <v>1</v>
      </c>
      <c r="K669" s="35">
        <f t="shared" si="192"/>
        <v>2.5</v>
      </c>
      <c r="L669" s="35">
        <f t="shared" si="198"/>
        <v>2.5</v>
      </c>
      <c r="M669" s="77" cm="1">
        <f t="array" ref="M669">_xlfn.IFS(BOM!I669="RM-PACKING","100%",B669="Reynolds",VLOOKUP(H669,'Yield &amp; Time'!A:V,22,0),BOM!B669="Dnata",VLOOKUP(BOM!H669,'Yield &amp; Time'!A:M,13,0),B669="NK",VLOOKUP(H669,'Yield &amp; Time'!A:X,24,0))</f>
        <v>0.53271028037383172</v>
      </c>
      <c r="N669" s="35">
        <f t="shared" si="191"/>
        <v>4.692982456140351</v>
      </c>
      <c r="O669" s="1" t="str">
        <f>VLOOKUP(H669,'RM Used'!A:E,5,0)</f>
        <v>KG</v>
      </c>
      <c r="P669" s="11">
        <f>VLOOKUP(H669,'RM Used'!A:F,6,0)</f>
        <v>2.0499999999999998</v>
      </c>
      <c r="Q669" s="11">
        <f t="shared" si="207"/>
        <v>9.6206140350877192</v>
      </c>
      <c r="R669" s="11">
        <f>IFERROR(IF(B669="Reynolds",VLOOKUP(H669,'Yield &amp; Time'!A:U,21,0),VLOOKUP(H669,'Yield &amp; Time'!A:L,12,0)),0)</f>
        <v>14.310526315789474</v>
      </c>
      <c r="S669" s="11">
        <f t="shared" si="199"/>
        <v>12.110282894736841</v>
      </c>
      <c r="T669" s="11">
        <f t="shared" si="200"/>
        <v>0.59627192982456145</v>
      </c>
      <c r="U669" s="11">
        <f>IF(A668=A669,0,VLOOKUP(A669,'Packing Time'!A:F,6,0))</f>
        <v>0.875</v>
      </c>
      <c r="V669" s="11">
        <f t="shared" si="193"/>
        <v>0.29618749999999999</v>
      </c>
      <c r="W669" s="11">
        <f t="shared" si="194"/>
        <v>1.4583333333333334E-2</v>
      </c>
      <c r="X669" s="11">
        <f t="shared" si="201"/>
        <v>19.850352631578946</v>
      </c>
      <c r="Y669" s="11">
        <f t="shared" si="195"/>
        <v>19.850352631578946</v>
      </c>
      <c r="Z669" s="37">
        <v>1</v>
      </c>
      <c r="AA669" s="36">
        <f t="shared" si="202"/>
        <v>4.692982456140351</v>
      </c>
      <c r="AB669" s="36">
        <f t="shared" si="203"/>
        <v>9.6206140350877192</v>
      </c>
      <c r="AC669" s="11">
        <f t="shared" si="204"/>
        <v>0.97736842105263166</v>
      </c>
      <c r="AD669" s="36">
        <f t="shared" si="196"/>
        <v>19.850352631578946</v>
      </c>
      <c r="AE669" s="36" t="str">
        <f>VLOOKUP(H669,'Yield &amp; Time'!A:I,9,0)</f>
        <v>CHLORINE</v>
      </c>
      <c r="AF669" s="36">
        <f>IFERROR(VLOOKUP(AE669,'Chemical Cost'!A:D,4,0),0)</f>
        <v>2.7756518066439469E-2</v>
      </c>
      <c r="AG669" s="114">
        <f t="shared" si="205"/>
        <v>4.3420284109781042E-2</v>
      </c>
      <c r="AH669" s="36">
        <f t="shared" si="208"/>
        <v>4.3420284109781042E-2</v>
      </c>
      <c r="AI669" s="36">
        <f t="shared" si="197"/>
        <v>29.514386950776448</v>
      </c>
      <c r="AJ669" s="36">
        <f>IFERROR(VLOOKUP(A669,'All Products'!A:F,6,0),0)</f>
        <v>34.72</v>
      </c>
      <c r="AK669" s="36">
        <f>AJ669*Z669*J669</f>
        <v>34.72</v>
      </c>
      <c r="AL669" s="23">
        <v>0.8</v>
      </c>
      <c r="AM669" s="23">
        <v>0.2</v>
      </c>
      <c r="AN669" s="54" t="e">
        <v>#N/A</v>
      </c>
      <c r="AO669" s="47"/>
      <c r="AP669" s="4">
        <v>1.6</v>
      </c>
      <c r="AQ669" s="111">
        <f t="shared" si="206"/>
        <v>0.97736842105263166</v>
      </c>
      <c r="AR669">
        <f>_xlfn.XLOOKUP(F669,'RM Cost'!A:A,'RM Cost'!S:S)</f>
        <v>0</v>
      </c>
      <c r="AS669" t="e">
        <f>_xlfn.XLOOKUP(A669,[3]Sheet1!$B:$B,[3]Sheet1!$B:$B)</f>
        <v>#N/A</v>
      </c>
    </row>
    <row r="670" spans="1:46" x14ac:dyDescent="0.25">
      <c r="A670" s="2" t="s">
        <v>411</v>
      </c>
      <c r="B670" s="2" t="s">
        <v>656</v>
      </c>
      <c r="C670" s="2" t="s">
        <v>412</v>
      </c>
      <c r="D670" s="2" t="s">
        <v>554</v>
      </c>
      <c r="E670" s="2">
        <v>2.5</v>
      </c>
      <c r="F670" s="1" t="str">
        <f>VLOOKUP(H670,'RM Used'!A:B,2,0)</f>
        <v>P0008</v>
      </c>
      <c r="G670" s="1" t="str">
        <f>IFERROR(VLOOKUP(F670,'RM Cost'!A:B,2,0),"")</f>
        <v>PALE BLUE BAG 470X750MM</v>
      </c>
      <c r="H670" s="2" t="s">
        <v>1323</v>
      </c>
      <c r="I670" s="1" t="str">
        <f>VLOOKUP(F670,'RM Used'!B:D,3,0)</f>
        <v>RM-PACKING</v>
      </c>
      <c r="J670" s="66">
        <v>1</v>
      </c>
      <c r="K670" s="35" t="str">
        <f t="shared" si="192"/>
        <v/>
      </c>
      <c r="L670" s="35">
        <f t="shared" si="198"/>
        <v>0</v>
      </c>
      <c r="M670" s="77" t="str" cm="1">
        <f t="array" ref="M670">_xlfn.IFS(BOM!I670="RM-PACKING","100%",B670="Reynolds",VLOOKUP(H670,'Yield &amp; Time'!A:V,22,0),BOM!B670="Dnata",VLOOKUP(BOM!H670,'Yield &amp; Time'!A:M,13,0),B670="NK",VLOOKUP(H670,'Yield &amp; Time'!A:X,24,0))</f>
        <v>100%</v>
      </c>
      <c r="N670" s="35">
        <f t="shared" si="191"/>
        <v>1</v>
      </c>
      <c r="O670" s="1" t="str">
        <f>VLOOKUP(H670,'RM Used'!A:E,5,0)</f>
        <v>Count</v>
      </c>
      <c r="P670" s="11">
        <f>VLOOKUP(H670,'RM Used'!A:F,6,0)</f>
        <v>0.14000000000000001</v>
      </c>
      <c r="Q670" s="11">
        <f t="shared" si="207"/>
        <v>0.14000000000000001</v>
      </c>
      <c r="R670" s="11">
        <f>IFERROR(IF(B670="Reynolds",VLOOKUP(H670,'Yield &amp; Time'!A:U,21,0),VLOOKUP(H670,'Yield &amp; Time'!A:L,12,0)),0)</f>
        <v>0</v>
      </c>
      <c r="S670" s="11">
        <f t="shared" si="199"/>
        <v>0</v>
      </c>
      <c r="T670" s="11">
        <f t="shared" si="200"/>
        <v>0</v>
      </c>
      <c r="U670" s="11">
        <f>IF(A669=A670,0,VLOOKUP(A670,'Packing Time'!A:F,6,0))</f>
        <v>0</v>
      </c>
      <c r="V670" s="11">
        <f t="shared" si="193"/>
        <v>0</v>
      </c>
      <c r="W670" s="11">
        <f t="shared" si="194"/>
        <v>0</v>
      </c>
      <c r="X670" s="11">
        <f t="shared" si="201"/>
        <v>0</v>
      </c>
      <c r="Y670" s="11">
        <f t="shared" si="195"/>
        <v>0</v>
      </c>
      <c r="Z670" s="37">
        <v>1</v>
      </c>
      <c r="AA670" s="36">
        <f t="shared" si="202"/>
        <v>1</v>
      </c>
      <c r="AB670" s="36">
        <f t="shared" si="203"/>
        <v>0.14000000000000001</v>
      </c>
      <c r="AC670" s="11">
        <f t="shared" si="204"/>
        <v>0</v>
      </c>
      <c r="AD670" s="36">
        <f t="shared" si="196"/>
        <v>0</v>
      </c>
      <c r="AE670" s="36"/>
      <c r="AF670" s="36">
        <f>IFERROR(VLOOKUP(AE670,'Chemical Cost'!A:D,4,0),0)</f>
        <v>0</v>
      </c>
      <c r="AG670" s="114">
        <f t="shared" si="205"/>
        <v>0</v>
      </c>
      <c r="AH670" s="36">
        <f t="shared" si="208"/>
        <v>0</v>
      </c>
      <c r="AI670" s="36">
        <f t="shared" si="197"/>
        <v>0.14000000000000001</v>
      </c>
      <c r="AJ670" s="36">
        <f>IFERROR(VLOOKUP(A670,'All Products'!A:F,6,0),0)</f>
        <v>34.72</v>
      </c>
      <c r="AK670" s="36"/>
      <c r="AL670" s="23">
        <v>0.8</v>
      </c>
      <c r="AM670" s="23">
        <v>0.2</v>
      </c>
      <c r="AN670" s="54" t="e">
        <v>#N/A</v>
      </c>
      <c r="AO670" s="47"/>
      <c r="AP670" s="4">
        <v>1.6</v>
      </c>
      <c r="AQ670" s="111">
        <f t="shared" si="206"/>
        <v>0</v>
      </c>
      <c r="AR670">
        <f>_xlfn.XLOOKUP(F670,'RM Cost'!A:A,'RM Cost'!S:S)</f>
        <v>0</v>
      </c>
      <c r="AS670" t="e">
        <f>_xlfn.XLOOKUP(A670,[3]Sheet1!$B:$B,[3]Sheet1!$B:$B)</f>
        <v>#N/A</v>
      </c>
    </row>
    <row r="671" spans="1:46" x14ac:dyDescent="0.25">
      <c r="A671" s="2" t="s">
        <v>798</v>
      </c>
      <c r="B671" s="2" t="s">
        <v>656</v>
      </c>
      <c r="C671" s="2" t="s">
        <v>799</v>
      </c>
      <c r="D671" s="2" t="s">
        <v>554</v>
      </c>
      <c r="E671" s="2">
        <v>1</v>
      </c>
      <c r="F671" s="1" t="str">
        <f>VLOOKUP(H671,'RM Used'!A:B,2,0)</f>
        <v>3128CS</v>
      </c>
      <c r="G671" s="1" t="str">
        <f>IFERROR(VLOOKUP(F671,'RM Cost'!A:B,2,0),"")</f>
        <v>RM - HORSERADISH FRESH   X10 STICK</v>
      </c>
      <c r="H671" s="2" t="s">
        <v>1521</v>
      </c>
      <c r="I671" s="1" t="str">
        <f>VLOOKUP(F671,'RM Used'!B:D,3,0)</f>
        <v>RM-FOOD</v>
      </c>
      <c r="J671" s="66">
        <v>1</v>
      </c>
      <c r="K671" s="35">
        <f t="shared" si="192"/>
        <v>1</v>
      </c>
      <c r="L671" s="35">
        <f t="shared" si="198"/>
        <v>1</v>
      </c>
      <c r="M671" s="77" cm="1">
        <f t="array" ref="M671">_xlfn.IFS(BOM!I671="RM-PACKING","100%",B671="Reynolds",VLOOKUP(H671,'Yield &amp; Time'!A:V,22,0),BOM!B671="Dnata",VLOOKUP(BOM!H671,'Yield &amp; Time'!A:M,13,0),B671="NK",VLOOKUP(H671,'Yield &amp; Time'!A:X,24,0))</f>
        <v>0.41428571428571426</v>
      </c>
      <c r="N671" s="35">
        <f t="shared" ref="N671:N734" si="209">IFERROR(IF(I671="RM-FOOD",(E671*J671)/M671,1),0)</f>
        <v>2.4137931034482762</v>
      </c>
      <c r="O671" s="1" t="str">
        <f>VLOOKUP(H671,'RM Used'!A:E,5,0)</f>
        <v>KG</v>
      </c>
      <c r="P671" s="11">
        <f>VLOOKUP(H671,'RM Used'!A:F,6,0)</f>
        <v>4.84</v>
      </c>
      <c r="Q671" s="11">
        <f t="shared" si="207"/>
        <v>11.682758620689656</v>
      </c>
      <c r="R671" s="11">
        <f>IFERROR(IF(B671="Reynolds",VLOOKUP(H671,'Yield &amp; Time'!A:U,21,0),VLOOKUP(H671,'Yield &amp; Time'!A:L,12,0)),0)</f>
        <v>5.75</v>
      </c>
      <c r="S671" s="11">
        <f t="shared" si="199"/>
        <v>1.9463749999999997</v>
      </c>
      <c r="T671" s="11">
        <f t="shared" si="200"/>
        <v>9.583333333333334E-2</v>
      </c>
      <c r="U671" s="11">
        <f>IF(A670=A671,0,VLOOKUP(A671,'Packing Time'!A:F,6,0))</f>
        <v>0.64166666666666661</v>
      </c>
      <c r="V671" s="11">
        <f t="shared" si="193"/>
        <v>0.21720416666666661</v>
      </c>
      <c r="W671" s="11">
        <f t="shared" si="194"/>
        <v>1.0694444444444444E-2</v>
      </c>
      <c r="X671" s="11">
        <f t="shared" si="201"/>
        <v>3.4617266666666668</v>
      </c>
      <c r="Y671" s="11">
        <f t="shared" si="195"/>
        <v>3.4617266666666668</v>
      </c>
      <c r="Z671" s="37">
        <v>1</v>
      </c>
      <c r="AA671" s="36">
        <f t="shared" si="202"/>
        <v>2.4137931034482762</v>
      </c>
      <c r="AB671" s="36">
        <f t="shared" si="203"/>
        <v>11.682758620689656</v>
      </c>
      <c r="AC671" s="11">
        <f t="shared" si="204"/>
        <v>0.17044444444444445</v>
      </c>
      <c r="AD671" s="36">
        <f t="shared" si="196"/>
        <v>3.4617266666666664</v>
      </c>
      <c r="AE671" s="36" t="str">
        <f>VLOOKUP(H671,'Yield &amp; Time'!A:I,9,0)</f>
        <v>CHLORINE</v>
      </c>
      <c r="AF671" s="36">
        <f>IFERROR(VLOOKUP(AE671,'Chemical Cost'!A:D,4,0),0)</f>
        <v>2.7756518066439469E-2</v>
      </c>
      <c r="AG671" s="114">
        <f t="shared" si="205"/>
        <v>2.2332830628169691E-2</v>
      </c>
      <c r="AH671" s="36">
        <f t="shared" si="208"/>
        <v>2.2332830628169691E-2</v>
      </c>
      <c r="AI671" s="36">
        <f t="shared" si="197"/>
        <v>15.166818117984493</v>
      </c>
      <c r="AJ671" s="36">
        <f>IFERROR(VLOOKUP(A671,'All Products'!A:F,6,0),0)</f>
        <v>15.82</v>
      </c>
      <c r="AK671" s="36">
        <f>AJ671*Z671*J671</f>
        <v>15.82</v>
      </c>
      <c r="AL671" s="23">
        <v>0.8</v>
      </c>
      <c r="AM671" s="23">
        <v>0.2</v>
      </c>
      <c r="AN671" s="54" t="e">
        <v>#N/A</v>
      </c>
      <c r="AO671" s="47"/>
      <c r="AP671" s="4">
        <v>1.6</v>
      </c>
      <c r="AQ671" s="111">
        <f t="shared" si="206"/>
        <v>0.17044444444444445</v>
      </c>
      <c r="AR671">
        <f>_xlfn.XLOOKUP(F671,'RM Cost'!A:A,'RM Cost'!S:S)</f>
        <v>0</v>
      </c>
      <c r="AS671" t="str">
        <f>_xlfn.XLOOKUP(A671,[3]Sheet1!$B:$B,[3]Sheet1!$B:$B)</f>
        <v>Z202CS</v>
      </c>
      <c r="AT671">
        <f>_xlfn.XLOOKUP(H671,'Yield &amp; Time'!A:A,'Yield &amp; Time'!F:F)</f>
        <v>0</v>
      </c>
    </row>
    <row r="672" spans="1:46" x14ac:dyDescent="0.25">
      <c r="A672" s="2" t="s">
        <v>798</v>
      </c>
      <c r="B672" s="2" t="s">
        <v>656</v>
      </c>
      <c r="C672" s="2" t="s">
        <v>799</v>
      </c>
      <c r="D672" s="2" t="s">
        <v>554</v>
      </c>
      <c r="E672" s="2">
        <v>1</v>
      </c>
      <c r="F672" s="1" t="str">
        <f>VLOOKUP(H672,'RM Used'!A:B,2,0)</f>
        <v>P0008</v>
      </c>
      <c r="G672" s="1" t="str">
        <f>IFERROR(VLOOKUP(F672,'RM Cost'!A:B,2,0),"")</f>
        <v>PALE BLUE BAG 470X750MM</v>
      </c>
      <c r="H672" s="2" t="s">
        <v>1323</v>
      </c>
      <c r="I672" s="1" t="str">
        <f>VLOOKUP(F672,'RM Used'!B:D,3,0)</f>
        <v>RM-PACKING</v>
      </c>
      <c r="J672" s="66">
        <v>1</v>
      </c>
      <c r="K672" s="35" t="str">
        <f t="shared" si="192"/>
        <v/>
      </c>
      <c r="L672" s="35">
        <f t="shared" si="198"/>
        <v>0</v>
      </c>
      <c r="M672" s="77" t="str" cm="1">
        <f t="array" ref="M672">_xlfn.IFS(BOM!I672="RM-PACKING","100%",B672="Reynolds",VLOOKUP(H672,'Yield &amp; Time'!A:V,22,0),BOM!B672="Dnata",VLOOKUP(BOM!H672,'Yield &amp; Time'!A:M,13,0),B672="NK",VLOOKUP(H672,'Yield &amp; Time'!A:X,24,0))</f>
        <v>100%</v>
      </c>
      <c r="N672" s="35">
        <f t="shared" si="209"/>
        <v>1</v>
      </c>
      <c r="O672" s="1" t="str">
        <f>VLOOKUP(H672,'RM Used'!A:E,5,0)</f>
        <v>Count</v>
      </c>
      <c r="P672" s="11">
        <f>VLOOKUP(H672,'RM Used'!A:F,6,0)</f>
        <v>0.14000000000000001</v>
      </c>
      <c r="Q672" s="11">
        <f t="shared" si="207"/>
        <v>0.14000000000000001</v>
      </c>
      <c r="R672" s="11">
        <f>IFERROR(IF(B672="Reynolds",VLOOKUP(H672,'Yield &amp; Time'!A:U,21,0),VLOOKUP(H672,'Yield &amp; Time'!A:L,12,0)),0)</f>
        <v>0</v>
      </c>
      <c r="S672" s="11">
        <f t="shared" si="199"/>
        <v>0</v>
      </c>
      <c r="T672" s="11">
        <f t="shared" si="200"/>
        <v>0</v>
      </c>
      <c r="U672" s="11">
        <f>IF(A671=A672,0,VLOOKUP(A672,'Packing Time'!A:F,6,0))</f>
        <v>0</v>
      </c>
      <c r="V672" s="11">
        <f t="shared" si="193"/>
        <v>0</v>
      </c>
      <c r="W672" s="11">
        <f t="shared" si="194"/>
        <v>0</v>
      </c>
      <c r="X672" s="11">
        <f t="shared" si="201"/>
        <v>0</v>
      </c>
      <c r="Y672" s="11">
        <f t="shared" si="195"/>
        <v>0</v>
      </c>
      <c r="Z672" s="37">
        <v>1</v>
      </c>
      <c r="AA672" s="36">
        <f t="shared" si="202"/>
        <v>1</v>
      </c>
      <c r="AB672" s="36">
        <f t="shared" si="203"/>
        <v>0.14000000000000001</v>
      </c>
      <c r="AC672" s="11">
        <f t="shared" si="204"/>
        <v>0</v>
      </c>
      <c r="AD672" s="36">
        <f t="shared" si="196"/>
        <v>0</v>
      </c>
      <c r="AE672" s="36"/>
      <c r="AF672" s="36">
        <f>IFERROR(VLOOKUP(AE672,'Chemical Cost'!A:D,4,0),0)</f>
        <v>0</v>
      </c>
      <c r="AG672" s="114">
        <f t="shared" si="205"/>
        <v>0</v>
      </c>
      <c r="AH672" s="36">
        <f t="shared" si="208"/>
        <v>0</v>
      </c>
      <c r="AI672" s="36">
        <f t="shared" si="197"/>
        <v>0.14000000000000001</v>
      </c>
      <c r="AJ672" s="36">
        <f>IFERROR(VLOOKUP(A672,'All Products'!A:F,6,0),0)</f>
        <v>15.82</v>
      </c>
      <c r="AK672" s="36"/>
      <c r="AL672" s="23">
        <v>0.8</v>
      </c>
      <c r="AM672" s="23">
        <v>0.2</v>
      </c>
      <c r="AN672" s="54" t="e">
        <v>#N/A</v>
      </c>
      <c r="AO672" s="47"/>
      <c r="AP672" s="4">
        <v>1.6</v>
      </c>
      <c r="AQ672" s="111">
        <f t="shared" si="206"/>
        <v>0</v>
      </c>
      <c r="AR672">
        <f>_xlfn.XLOOKUP(F672,'RM Cost'!A:A,'RM Cost'!S:S)</f>
        <v>0</v>
      </c>
      <c r="AS672" t="str">
        <f>_xlfn.XLOOKUP(A672,[3]Sheet1!$B:$B,[3]Sheet1!$B:$B)</f>
        <v>Z202CS</v>
      </c>
      <c r="AT672" t="e">
        <f>_xlfn.XLOOKUP(H672,'Yield &amp; Time'!A:A,'Yield &amp; Time'!F:F)</f>
        <v>#N/A</v>
      </c>
    </row>
    <row r="673" spans="1:46" x14ac:dyDescent="0.25">
      <c r="A673" s="2" t="s">
        <v>800</v>
      </c>
      <c r="B673" s="2" t="s">
        <v>656</v>
      </c>
      <c r="C673" s="2" t="s">
        <v>801</v>
      </c>
      <c r="D673" s="2" t="s">
        <v>554</v>
      </c>
      <c r="E673" s="2">
        <v>2.5</v>
      </c>
      <c r="F673" s="1" t="str">
        <f>VLOOKUP(H673,'RM Used'!A:B,2,0)</f>
        <v>3128CS</v>
      </c>
      <c r="G673" s="1" t="str">
        <f>IFERROR(VLOOKUP(F673,'RM Cost'!A:B,2,0),"")</f>
        <v>RM - HORSERADISH FRESH   X10 STICK</v>
      </c>
      <c r="H673" s="2" t="s">
        <v>1521</v>
      </c>
      <c r="I673" s="1" t="str">
        <f>VLOOKUP(F673,'RM Used'!B:D,3,0)</f>
        <v>RM-FOOD</v>
      </c>
      <c r="J673" s="66">
        <v>1</v>
      </c>
      <c r="K673" s="35">
        <f t="shared" ref="K673:K736" si="210">IF(I673="RM-FOOD",J673*E673,"")</f>
        <v>2.5</v>
      </c>
      <c r="L673" s="35">
        <f t="shared" si="198"/>
        <v>2.5</v>
      </c>
      <c r="M673" s="77" cm="1">
        <f t="array" ref="M673">_xlfn.IFS(BOM!I673="RM-PACKING","100%",B673="Reynolds",VLOOKUP(H673,'Yield &amp; Time'!A:V,22,0),BOM!B673="Dnata",VLOOKUP(BOM!H673,'Yield &amp; Time'!A:M,13,0),B673="NK",VLOOKUP(H673,'Yield &amp; Time'!A:X,24,0))</f>
        <v>0.41428571428571426</v>
      </c>
      <c r="N673" s="35">
        <f t="shared" si="209"/>
        <v>6.0344827586206904</v>
      </c>
      <c r="O673" s="1" t="str">
        <f>VLOOKUP(H673,'RM Used'!A:E,5,0)</f>
        <v>KG</v>
      </c>
      <c r="P673" s="11">
        <f>VLOOKUP(H673,'RM Used'!A:F,6,0)</f>
        <v>4.84</v>
      </c>
      <c r="Q673" s="11">
        <f t="shared" si="207"/>
        <v>29.206896551724142</v>
      </c>
      <c r="R673" s="11">
        <f>IFERROR(IF(B673="Reynolds",VLOOKUP(H673,'Yield &amp; Time'!A:U,21,0),VLOOKUP(H673,'Yield &amp; Time'!A:L,12,0)),0)</f>
        <v>5.75</v>
      </c>
      <c r="S673" s="11">
        <f t="shared" si="199"/>
        <v>4.8659374999999994</v>
      </c>
      <c r="T673" s="11">
        <f t="shared" si="200"/>
        <v>0.23958333333333334</v>
      </c>
      <c r="U673" s="11">
        <f>IF(A672=A673,0,VLOOKUP(A673,'Packing Time'!A:F,6,0))</f>
        <v>0.875</v>
      </c>
      <c r="V673" s="11">
        <f t="shared" si="193"/>
        <v>0.29618749999999999</v>
      </c>
      <c r="W673" s="11">
        <f t="shared" si="194"/>
        <v>1.4583333333333334E-2</v>
      </c>
      <c r="X673" s="11">
        <f t="shared" si="201"/>
        <v>8.2593999999999994</v>
      </c>
      <c r="Y673" s="11">
        <f t="shared" si="195"/>
        <v>8.2593999999999994</v>
      </c>
      <c r="Z673" s="37">
        <v>1</v>
      </c>
      <c r="AA673" s="36">
        <f t="shared" si="202"/>
        <v>6.0344827586206904</v>
      </c>
      <c r="AB673" s="36">
        <f t="shared" si="203"/>
        <v>29.206896551724142</v>
      </c>
      <c r="AC673" s="11">
        <f t="shared" si="204"/>
        <v>0.40666666666666668</v>
      </c>
      <c r="AD673" s="36">
        <f t="shared" si="196"/>
        <v>8.2593999999999994</v>
      </c>
      <c r="AE673" s="36" t="str">
        <f>VLOOKUP(H673,'Yield &amp; Time'!A:I,9,0)</f>
        <v>CHLORINE</v>
      </c>
      <c r="AF673" s="36">
        <f>IFERROR(VLOOKUP(AE673,'Chemical Cost'!A:D,4,0),0)</f>
        <v>2.7756518066439469E-2</v>
      </c>
      <c r="AG673" s="114">
        <f t="shared" si="205"/>
        <v>5.5832076570424223E-2</v>
      </c>
      <c r="AH673" s="36">
        <f t="shared" si="208"/>
        <v>5.5832076570424223E-2</v>
      </c>
      <c r="AI673" s="36">
        <f t="shared" si="197"/>
        <v>37.522128628294567</v>
      </c>
      <c r="AJ673" s="36">
        <f>IFERROR(VLOOKUP(A673,'All Products'!A:F,6,0),0)</f>
        <v>39.56</v>
      </c>
      <c r="AK673" s="36">
        <f>AJ673*Z673*J673</f>
        <v>39.56</v>
      </c>
      <c r="AL673" s="23">
        <v>0.8</v>
      </c>
      <c r="AM673" s="23">
        <v>0.2</v>
      </c>
      <c r="AN673" s="54" t="e">
        <v>#N/A</v>
      </c>
      <c r="AO673" s="47"/>
      <c r="AP673" s="4">
        <v>1.6</v>
      </c>
      <c r="AQ673" s="111">
        <f t="shared" si="206"/>
        <v>0.40666666666666668</v>
      </c>
      <c r="AR673">
        <f>_xlfn.XLOOKUP(F673,'RM Cost'!A:A,'RM Cost'!S:S)</f>
        <v>0</v>
      </c>
      <c r="AS673" t="e">
        <f>_xlfn.XLOOKUP(A673,[3]Sheet1!$B:$B,[3]Sheet1!$B:$B)</f>
        <v>#N/A</v>
      </c>
    </row>
    <row r="674" spans="1:46" x14ac:dyDescent="0.25">
      <c r="A674" s="2" t="s">
        <v>800</v>
      </c>
      <c r="B674" s="2" t="s">
        <v>656</v>
      </c>
      <c r="C674" s="2" t="s">
        <v>801</v>
      </c>
      <c r="D674" s="2" t="s">
        <v>554</v>
      </c>
      <c r="E674" s="2">
        <v>2.5</v>
      </c>
      <c r="F674" s="1" t="str">
        <f>VLOOKUP(H674,'RM Used'!A:B,2,0)</f>
        <v>P0008</v>
      </c>
      <c r="G674" s="1" t="str">
        <f>IFERROR(VLOOKUP(F674,'RM Cost'!A:B,2,0),"")</f>
        <v>PALE BLUE BAG 470X750MM</v>
      </c>
      <c r="H674" s="2" t="s">
        <v>1323</v>
      </c>
      <c r="I674" s="1" t="str">
        <f>VLOOKUP(F674,'RM Used'!B:D,3,0)</f>
        <v>RM-PACKING</v>
      </c>
      <c r="J674" s="66">
        <v>1</v>
      </c>
      <c r="K674" s="35" t="str">
        <f t="shared" si="210"/>
        <v/>
      </c>
      <c r="L674" s="35">
        <f t="shared" si="198"/>
        <v>0</v>
      </c>
      <c r="M674" s="77" t="str" cm="1">
        <f t="array" ref="M674">_xlfn.IFS(BOM!I674="RM-PACKING","100%",B674="Reynolds",VLOOKUP(H674,'Yield &amp; Time'!A:V,22,0),BOM!B674="Dnata",VLOOKUP(BOM!H674,'Yield &amp; Time'!A:M,13,0),B674="NK",VLOOKUP(H674,'Yield &amp; Time'!A:X,24,0))</f>
        <v>100%</v>
      </c>
      <c r="N674" s="35">
        <f t="shared" si="209"/>
        <v>1</v>
      </c>
      <c r="O674" s="1" t="str">
        <f>VLOOKUP(H674,'RM Used'!A:E,5,0)</f>
        <v>Count</v>
      </c>
      <c r="P674" s="11">
        <f>VLOOKUP(H674,'RM Used'!A:F,6,0)</f>
        <v>0.14000000000000001</v>
      </c>
      <c r="Q674" s="11">
        <f t="shared" si="207"/>
        <v>0.14000000000000001</v>
      </c>
      <c r="R674" s="11">
        <f>IFERROR(IF(B674="Reynolds",VLOOKUP(H674,'Yield &amp; Time'!A:U,21,0),VLOOKUP(H674,'Yield &amp; Time'!A:L,12,0)),0)</f>
        <v>0</v>
      </c>
      <c r="S674" s="11">
        <f t="shared" si="199"/>
        <v>0</v>
      </c>
      <c r="T674" s="11">
        <f t="shared" si="200"/>
        <v>0</v>
      </c>
      <c r="U674" s="11">
        <f>IF(A673=A674,0,VLOOKUP(A674,'Packing Time'!A:F,6,0))</f>
        <v>0</v>
      </c>
      <c r="V674" s="11">
        <f t="shared" ref="V674:V737" si="211">U674*AO$1</f>
        <v>0</v>
      </c>
      <c r="W674" s="11">
        <f t="shared" ref="W674:W737" si="212">(U674*Z674)/60</f>
        <v>0</v>
      </c>
      <c r="X674" s="11">
        <f t="shared" si="201"/>
        <v>0</v>
      </c>
      <c r="Y674" s="11">
        <f t="shared" ref="Y674:Y737" si="213">X674*Z674</f>
        <v>0</v>
      </c>
      <c r="Z674" s="37">
        <v>1</v>
      </c>
      <c r="AA674" s="36">
        <f t="shared" si="202"/>
        <v>1</v>
      </c>
      <c r="AB674" s="36">
        <f t="shared" si="203"/>
        <v>0.14000000000000001</v>
      </c>
      <c r="AC674" s="11">
        <f t="shared" si="204"/>
        <v>0</v>
      </c>
      <c r="AD674" s="36">
        <f t="shared" ref="AD674:AD737" si="214">AC674*60*AO$1</f>
        <v>0</v>
      </c>
      <c r="AE674" s="36"/>
      <c r="AF674" s="36">
        <f>IFERROR(VLOOKUP(AE674,'Chemical Cost'!A:D,4,0),0)</f>
        <v>0</v>
      </c>
      <c r="AG674" s="114">
        <f t="shared" si="205"/>
        <v>0</v>
      </c>
      <c r="AH674" s="36">
        <f t="shared" si="208"/>
        <v>0</v>
      </c>
      <c r="AI674" s="36">
        <f t="shared" ref="AI674:AI737" si="215">IFERROR((Q674*Z674)+(Z674*X674)+AH674,0)</f>
        <v>0.14000000000000001</v>
      </c>
      <c r="AJ674" s="36">
        <f>IFERROR(VLOOKUP(A674,'All Products'!A:F,6,0),0)</f>
        <v>39.56</v>
      </c>
      <c r="AK674" s="36"/>
      <c r="AL674" s="23">
        <v>0.8</v>
      </c>
      <c r="AM674" s="23">
        <v>0.2</v>
      </c>
      <c r="AN674" s="54" t="e">
        <v>#N/A</v>
      </c>
      <c r="AO674" s="47"/>
      <c r="AP674" s="4">
        <v>1.6</v>
      </c>
      <c r="AQ674" s="111">
        <f t="shared" si="206"/>
        <v>0</v>
      </c>
      <c r="AR674">
        <f>_xlfn.XLOOKUP(F674,'RM Cost'!A:A,'RM Cost'!S:S)</f>
        <v>0</v>
      </c>
      <c r="AS674" t="e">
        <f>_xlfn.XLOOKUP(A674,[3]Sheet1!$B:$B,[3]Sheet1!$B:$B)</f>
        <v>#N/A</v>
      </c>
    </row>
    <row r="675" spans="1:46" x14ac:dyDescent="0.25">
      <c r="A675" s="2" t="s">
        <v>802</v>
      </c>
      <c r="B675" s="2" t="s">
        <v>656</v>
      </c>
      <c r="C675" s="2" t="s">
        <v>803</v>
      </c>
      <c r="D675" s="2" t="s">
        <v>554</v>
      </c>
      <c r="E675" s="2">
        <v>1</v>
      </c>
      <c r="F675" s="1" t="str">
        <f>VLOOKUP(H675,'RM Used'!A:B,2,0)</f>
        <v>3301CS</v>
      </c>
      <c r="G675" s="1" t="str">
        <f>IFERROR(VLOOKUP(F675,'RM Cost'!A:B,2,0),"")</f>
        <v>RM - SWISS CHARD X10KG</v>
      </c>
      <c r="H675" s="2" t="s">
        <v>1522</v>
      </c>
      <c r="I675" s="1" t="str">
        <f>VLOOKUP(F675,'RM Used'!B:D,3,0)</f>
        <v>RM-FOOD</v>
      </c>
      <c r="J675" s="66">
        <v>1</v>
      </c>
      <c r="K675" s="35">
        <f t="shared" si="210"/>
        <v>1</v>
      </c>
      <c r="L675" s="35">
        <f t="shared" si="198"/>
        <v>1</v>
      </c>
      <c r="M675" s="77" cm="1">
        <f t="array" ref="M675">_xlfn.IFS(BOM!I675="RM-PACKING","100%",B675="Reynolds",VLOOKUP(H675,'Yield &amp; Time'!A:V,22,0),BOM!B675="Dnata",VLOOKUP(BOM!H675,'Yield &amp; Time'!A:M,13,0),B675="NK",VLOOKUP(H675,'Yield &amp; Time'!A:X,24,0))</f>
        <v>0.32200000000000001</v>
      </c>
      <c r="N675" s="35">
        <f t="shared" si="209"/>
        <v>3.1055900621118013</v>
      </c>
      <c r="O675" s="1" t="str">
        <f>VLOOKUP(H675,'RM Used'!A:E,5,0)</f>
        <v>KG</v>
      </c>
      <c r="P675" s="11" t="e">
        <f>VLOOKUP(H675,'RM Used'!A:F,6,0)</f>
        <v>#N/A</v>
      </c>
      <c r="Q675" s="11" t="e">
        <f t="shared" si="207"/>
        <v>#N/A</v>
      </c>
      <c r="R675" s="11">
        <f>IFERROR(IF(B675="Reynolds",VLOOKUP(H675,'Yield &amp; Time'!A:U,21,0),VLOOKUP(H675,'Yield &amp; Time'!A:L,12,0)),0)</f>
        <v>6.2111801242236018</v>
      </c>
      <c r="S675" s="11">
        <f t="shared" si="199"/>
        <v>2.1024844720496891</v>
      </c>
      <c r="T675" s="11">
        <f t="shared" si="200"/>
        <v>0.10351966873706003</v>
      </c>
      <c r="U675" s="11">
        <f>IF(A674=A675,0,VLOOKUP(A675,'Packing Time'!A:F,6,0))</f>
        <v>0.64166666666666661</v>
      </c>
      <c r="V675" s="11">
        <f t="shared" si="211"/>
        <v>0.21720416666666661</v>
      </c>
      <c r="W675" s="11">
        <f t="shared" si="212"/>
        <v>1.0694444444444444E-2</v>
      </c>
      <c r="X675" s="11">
        <f t="shared" si="201"/>
        <v>3.7115018219461691</v>
      </c>
      <c r="Y675" s="11">
        <f t="shared" si="213"/>
        <v>3.7115018219461691</v>
      </c>
      <c r="Z675" s="37">
        <v>1</v>
      </c>
      <c r="AA675" s="36">
        <f t="shared" si="202"/>
        <v>3.1055900621118013</v>
      </c>
      <c r="AB675" s="36" t="e">
        <f t="shared" si="203"/>
        <v>#N/A</v>
      </c>
      <c r="AC675" s="11">
        <f t="shared" si="204"/>
        <v>0.18274258109040717</v>
      </c>
      <c r="AD675" s="36">
        <f t="shared" si="214"/>
        <v>3.7115018219461695</v>
      </c>
      <c r="AE675" s="36"/>
      <c r="AF675" s="36">
        <f>IFERROR(VLOOKUP(AE675,'Chemical Cost'!A:D,4,0),0)</f>
        <v>0</v>
      </c>
      <c r="AG675" s="114">
        <f t="shared" si="205"/>
        <v>0</v>
      </c>
      <c r="AH675" s="36">
        <f t="shared" si="208"/>
        <v>0</v>
      </c>
      <c r="AI675" s="36">
        <f t="shared" si="215"/>
        <v>0</v>
      </c>
      <c r="AJ675" s="36">
        <f>IFERROR(VLOOKUP(A675,'All Products'!A:F,6,0),0)</f>
        <v>14.43</v>
      </c>
      <c r="AK675" s="36">
        <f>AJ675*Z675*J675</f>
        <v>14.43</v>
      </c>
      <c r="AL675" s="23">
        <v>1</v>
      </c>
      <c r="AM675" s="23"/>
      <c r="AN675" s="54" t="e">
        <v>#N/A</v>
      </c>
      <c r="AO675" s="47"/>
      <c r="AP675" s="4">
        <v>1.6</v>
      </c>
      <c r="AQ675" s="111">
        <f t="shared" si="206"/>
        <v>0.18274258109040717</v>
      </c>
      <c r="AR675">
        <f>_xlfn.XLOOKUP(F675,'RM Cost'!A:A,'RM Cost'!S:S)</f>
        <v>0</v>
      </c>
      <c r="AS675" t="e">
        <f>_xlfn.XLOOKUP(A675,[3]Sheet1!$B:$B,[3]Sheet1!$B:$B)</f>
        <v>#N/A</v>
      </c>
    </row>
    <row r="676" spans="1:46" x14ac:dyDescent="0.25">
      <c r="A676" s="2" t="s">
        <v>802</v>
      </c>
      <c r="B676" s="2" t="s">
        <v>656</v>
      </c>
      <c r="C676" s="2" t="s">
        <v>803</v>
      </c>
      <c r="D676" s="2" t="s">
        <v>554</v>
      </c>
      <c r="E676" s="2">
        <v>1</v>
      </c>
      <c r="F676" s="1" t="str">
        <f>VLOOKUP(H676,'RM Used'!A:B,2,0)</f>
        <v>P0008</v>
      </c>
      <c r="G676" s="1" t="str">
        <f>IFERROR(VLOOKUP(F676,'RM Cost'!A:B,2,0),"")</f>
        <v>PALE BLUE BAG 470X750MM</v>
      </c>
      <c r="H676" s="2" t="s">
        <v>1323</v>
      </c>
      <c r="I676" s="1" t="str">
        <f>VLOOKUP(F676,'RM Used'!B:D,3,0)</f>
        <v>RM-PACKING</v>
      </c>
      <c r="J676" s="66">
        <v>1</v>
      </c>
      <c r="K676" s="35" t="str">
        <f t="shared" si="210"/>
        <v/>
      </c>
      <c r="L676" s="35">
        <f t="shared" si="198"/>
        <v>0</v>
      </c>
      <c r="M676" s="77" t="str" cm="1">
        <f t="array" ref="M676">_xlfn.IFS(BOM!I676="RM-PACKING","100%",B676="Reynolds",VLOOKUP(H676,'Yield &amp; Time'!A:V,22,0),BOM!B676="Dnata",VLOOKUP(BOM!H676,'Yield &amp; Time'!A:M,13,0),B676="NK",VLOOKUP(H676,'Yield &amp; Time'!A:X,24,0))</f>
        <v>100%</v>
      </c>
      <c r="N676" s="35">
        <f t="shared" si="209"/>
        <v>1</v>
      </c>
      <c r="O676" s="1" t="str">
        <f>VLOOKUP(H676,'RM Used'!A:E,5,0)</f>
        <v>Count</v>
      </c>
      <c r="P676" s="11">
        <f>VLOOKUP(H676,'RM Used'!A:F,6,0)</f>
        <v>0.14000000000000001</v>
      </c>
      <c r="Q676" s="11">
        <f t="shared" si="207"/>
        <v>0.14000000000000001</v>
      </c>
      <c r="R676" s="11">
        <f>IFERROR(IF(B676="Reynolds",VLOOKUP(H676,'Yield &amp; Time'!A:U,21,0),VLOOKUP(H676,'Yield &amp; Time'!A:L,12,0)),0)</f>
        <v>0</v>
      </c>
      <c r="S676" s="11">
        <f t="shared" si="199"/>
        <v>0</v>
      </c>
      <c r="T676" s="11">
        <f t="shared" si="200"/>
        <v>0</v>
      </c>
      <c r="U676" s="11">
        <f>IF(A675=A676,0,VLOOKUP(A676,'Packing Time'!A:F,6,0))</f>
        <v>0</v>
      </c>
      <c r="V676" s="11">
        <f t="shared" si="211"/>
        <v>0</v>
      </c>
      <c r="W676" s="11">
        <f t="shared" si="212"/>
        <v>0</v>
      </c>
      <c r="X676" s="11">
        <f t="shared" si="201"/>
        <v>0</v>
      </c>
      <c r="Y676" s="11">
        <f t="shared" si="213"/>
        <v>0</v>
      </c>
      <c r="Z676" s="37">
        <v>1</v>
      </c>
      <c r="AA676" s="36">
        <f t="shared" si="202"/>
        <v>1</v>
      </c>
      <c r="AB676" s="36">
        <f t="shared" si="203"/>
        <v>0.14000000000000001</v>
      </c>
      <c r="AC676" s="11">
        <f t="shared" si="204"/>
        <v>0</v>
      </c>
      <c r="AD676" s="36">
        <f t="shared" si="214"/>
        <v>0</v>
      </c>
      <c r="AE676" s="36"/>
      <c r="AF676" s="36">
        <f>IFERROR(VLOOKUP(AE676,'Chemical Cost'!A:D,4,0),0)</f>
        <v>0</v>
      </c>
      <c r="AG676" s="114">
        <f t="shared" si="205"/>
        <v>0</v>
      </c>
      <c r="AH676" s="36">
        <f t="shared" si="208"/>
        <v>0</v>
      </c>
      <c r="AI676" s="36">
        <f t="shared" si="215"/>
        <v>0.14000000000000001</v>
      </c>
      <c r="AJ676" s="36">
        <f>IFERROR(VLOOKUP(A676,'All Products'!A:F,6,0),0)</f>
        <v>14.43</v>
      </c>
      <c r="AK676" s="36"/>
      <c r="AL676" s="23">
        <v>1</v>
      </c>
      <c r="AM676" s="23"/>
      <c r="AN676" s="54" t="e">
        <v>#N/A</v>
      </c>
      <c r="AO676" s="47"/>
      <c r="AP676" s="4">
        <v>1.6</v>
      </c>
      <c r="AQ676" s="111">
        <f t="shared" si="206"/>
        <v>0</v>
      </c>
      <c r="AR676">
        <f>_xlfn.XLOOKUP(F676,'RM Cost'!A:A,'RM Cost'!S:S)</f>
        <v>0</v>
      </c>
      <c r="AS676" t="e">
        <f>_xlfn.XLOOKUP(A676,[3]Sheet1!$B:$B,[3]Sheet1!$B:$B)</f>
        <v>#N/A</v>
      </c>
    </row>
    <row r="677" spans="1:46" x14ac:dyDescent="0.25">
      <c r="A677" s="2" t="s">
        <v>507</v>
      </c>
      <c r="B677" s="2" t="s">
        <v>656</v>
      </c>
      <c r="C677" s="2" t="s">
        <v>804</v>
      </c>
      <c r="D677" s="2" t="s">
        <v>554</v>
      </c>
      <c r="E677" s="2">
        <v>2.5</v>
      </c>
      <c r="F677" s="1" t="str">
        <f>VLOOKUP(H677,'RM Used'!A:B,2,0)</f>
        <v>3301CS</v>
      </c>
      <c r="G677" s="1" t="str">
        <f>IFERROR(VLOOKUP(F677,'RM Cost'!A:B,2,0),"")</f>
        <v>RM - SWISS CHARD X10KG</v>
      </c>
      <c r="H677" s="2" t="s">
        <v>1522</v>
      </c>
      <c r="I677" s="1" t="str">
        <f>VLOOKUP(F677,'RM Used'!B:D,3,0)</f>
        <v>RM-FOOD</v>
      </c>
      <c r="J677" s="66">
        <v>1</v>
      </c>
      <c r="K677" s="35">
        <f t="shared" si="210"/>
        <v>2.5</v>
      </c>
      <c r="L677" s="35">
        <f t="shared" si="198"/>
        <v>2.5</v>
      </c>
      <c r="M677" s="77" cm="1">
        <f t="array" ref="M677">_xlfn.IFS(BOM!I677="RM-PACKING","100%",B677="Reynolds",VLOOKUP(H677,'Yield &amp; Time'!A:V,22,0),BOM!B677="Dnata",VLOOKUP(BOM!H677,'Yield &amp; Time'!A:M,13,0),B677="NK",VLOOKUP(H677,'Yield &amp; Time'!A:X,24,0))</f>
        <v>0.32200000000000001</v>
      </c>
      <c r="N677" s="35">
        <f t="shared" si="209"/>
        <v>7.7639751552795033</v>
      </c>
      <c r="O677" s="1" t="str">
        <f>VLOOKUP(H677,'RM Used'!A:E,5,0)</f>
        <v>KG</v>
      </c>
      <c r="P677" s="11" t="e">
        <f>VLOOKUP(H677,'RM Used'!A:F,6,0)</f>
        <v>#N/A</v>
      </c>
      <c r="Q677" s="11" t="e">
        <f t="shared" si="207"/>
        <v>#N/A</v>
      </c>
      <c r="R677" s="11">
        <f>IFERROR(IF(B677="Reynolds",VLOOKUP(H677,'Yield &amp; Time'!A:U,21,0),VLOOKUP(H677,'Yield &amp; Time'!A:L,12,0)),0)</f>
        <v>6.2111801242236018</v>
      </c>
      <c r="S677" s="11">
        <f t="shared" si="199"/>
        <v>5.2562111801242226</v>
      </c>
      <c r="T677" s="11">
        <f t="shared" si="200"/>
        <v>0.25879917184265006</v>
      </c>
      <c r="U677" s="11">
        <f>IF(A676=A677,0,VLOOKUP(A677,'Packing Time'!A:F,6,0))</f>
        <v>0.875</v>
      </c>
      <c r="V677" s="11">
        <f t="shared" si="211"/>
        <v>0.29618749999999999</v>
      </c>
      <c r="W677" s="11">
        <f t="shared" si="212"/>
        <v>1.4583333333333334E-2</v>
      </c>
      <c r="X677" s="11">
        <f t="shared" si="201"/>
        <v>8.883837888198757</v>
      </c>
      <c r="Y677" s="11">
        <f t="shared" si="213"/>
        <v>8.883837888198757</v>
      </c>
      <c r="Z677" s="37">
        <v>1</v>
      </c>
      <c r="AA677" s="36">
        <f t="shared" si="202"/>
        <v>7.7639751552795033</v>
      </c>
      <c r="AB677" s="36" t="e">
        <f t="shared" si="203"/>
        <v>#N/A</v>
      </c>
      <c r="AC677" s="11">
        <f t="shared" si="204"/>
        <v>0.43741200828157356</v>
      </c>
      <c r="AD677" s="36">
        <f t="shared" si="214"/>
        <v>8.8838378881987587</v>
      </c>
      <c r="AE677" s="36"/>
      <c r="AF677" s="36">
        <f>IFERROR(VLOOKUP(AE677,'Chemical Cost'!A:D,4,0),0)</f>
        <v>0</v>
      </c>
      <c r="AG677" s="114">
        <f t="shared" si="205"/>
        <v>0</v>
      </c>
      <c r="AH677" s="36">
        <f t="shared" si="208"/>
        <v>0</v>
      </c>
      <c r="AI677" s="36">
        <f t="shared" si="215"/>
        <v>0</v>
      </c>
      <c r="AJ677" s="36">
        <f>IFERROR(VLOOKUP(A677,'All Products'!A:F,6,0),0)</f>
        <v>36.049999999999997</v>
      </c>
      <c r="AK677" s="36">
        <f>AJ677*Z677*J677</f>
        <v>36.049999999999997</v>
      </c>
      <c r="AL677" s="23">
        <v>1</v>
      </c>
      <c r="AM677" s="23"/>
      <c r="AN677" s="54" t="e">
        <v>#N/A</v>
      </c>
      <c r="AO677" s="47"/>
      <c r="AP677" s="4">
        <v>1.6</v>
      </c>
      <c r="AQ677" s="111">
        <f t="shared" si="206"/>
        <v>0.43741200828157356</v>
      </c>
      <c r="AR677">
        <f>_xlfn.XLOOKUP(F677,'RM Cost'!A:A,'RM Cost'!S:S)</f>
        <v>0</v>
      </c>
      <c r="AS677" t="e">
        <f>_xlfn.XLOOKUP(A677,[3]Sheet1!$B:$B,[3]Sheet1!$B:$B)</f>
        <v>#N/A</v>
      </c>
    </row>
    <row r="678" spans="1:46" x14ac:dyDescent="0.25">
      <c r="A678" s="2" t="s">
        <v>507</v>
      </c>
      <c r="B678" s="2" t="s">
        <v>656</v>
      </c>
      <c r="C678" s="2" t="s">
        <v>804</v>
      </c>
      <c r="D678" s="2" t="s">
        <v>554</v>
      </c>
      <c r="E678" s="2">
        <v>2.5</v>
      </c>
      <c r="F678" s="1" t="str">
        <f>VLOOKUP(H678,'RM Used'!A:B,2,0)</f>
        <v>P0008</v>
      </c>
      <c r="G678" s="1" t="str">
        <f>IFERROR(VLOOKUP(F678,'RM Cost'!A:B,2,0),"")</f>
        <v>PALE BLUE BAG 470X750MM</v>
      </c>
      <c r="H678" s="2" t="s">
        <v>1323</v>
      </c>
      <c r="I678" s="1" t="str">
        <f>VLOOKUP(F678,'RM Used'!B:D,3,0)</f>
        <v>RM-PACKING</v>
      </c>
      <c r="J678" s="66">
        <v>1</v>
      </c>
      <c r="K678" s="35" t="str">
        <f t="shared" si="210"/>
        <v/>
      </c>
      <c r="L678" s="35">
        <f t="shared" si="198"/>
        <v>0</v>
      </c>
      <c r="M678" s="77" t="str" cm="1">
        <f t="array" ref="M678">_xlfn.IFS(BOM!I678="RM-PACKING","100%",B678="Reynolds",VLOOKUP(H678,'Yield &amp; Time'!A:V,22,0),BOM!B678="Dnata",VLOOKUP(BOM!H678,'Yield &amp; Time'!A:M,13,0),B678="NK",VLOOKUP(H678,'Yield &amp; Time'!A:X,24,0))</f>
        <v>100%</v>
      </c>
      <c r="N678" s="35">
        <f t="shared" si="209"/>
        <v>1</v>
      </c>
      <c r="O678" s="1" t="str">
        <f>VLOOKUP(H678,'RM Used'!A:E,5,0)</f>
        <v>Count</v>
      </c>
      <c r="P678" s="11">
        <f>VLOOKUP(H678,'RM Used'!A:F,6,0)</f>
        <v>0.14000000000000001</v>
      </c>
      <c r="Q678" s="11">
        <f t="shared" si="207"/>
        <v>0.14000000000000001</v>
      </c>
      <c r="R678" s="11">
        <f>IFERROR(IF(B678="Reynolds",VLOOKUP(H678,'Yield &amp; Time'!A:U,21,0),VLOOKUP(H678,'Yield &amp; Time'!A:L,12,0)),0)</f>
        <v>0</v>
      </c>
      <c r="S678" s="11">
        <f t="shared" si="199"/>
        <v>0</v>
      </c>
      <c r="T678" s="11">
        <f t="shared" si="200"/>
        <v>0</v>
      </c>
      <c r="U678" s="11">
        <f>IF(A677=A678,0,VLOOKUP(A678,'Packing Time'!A:F,6,0))</f>
        <v>0</v>
      </c>
      <c r="V678" s="11">
        <f t="shared" si="211"/>
        <v>0</v>
      </c>
      <c r="W678" s="11">
        <f t="shared" si="212"/>
        <v>0</v>
      </c>
      <c r="X678" s="11">
        <f t="shared" si="201"/>
        <v>0</v>
      </c>
      <c r="Y678" s="11">
        <f t="shared" si="213"/>
        <v>0</v>
      </c>
      <c r="Z678" s="37">
        <v>1</v>
      </c>
      <c r="AA678" s="36">
        <f t="shared" si="202"/>
        <v>1</v>
      </c>
      <c r="AB678" s="36">
        <f t="shared" si="203"/>
        <v>0.14000000000000001</v>
      </c>
      <c r="AC678" s="11">
        <f t="shared" si="204"/>
        <v>0</v>
      </c>
      <c r="AD678" s="36">
        <f t="shared" si="214"/>
        <v>0</v>
      </c>
      <c r="AE678" s="36"/>
      <c r="AF678" s="36">
        <f>IFERROR(VLOOKUP(AE678,'Chemical Cost'!A:D,4,0),0)</f>
        <v>0</v>
      </c>
      <c r="AG678" s="114">
        <f t="shared" si="205"/>
        <v>0</v>
      </c>
      <c r="AH678" s="36">
        <f t="shared" si="208"/>
        <v>0</v>
      </c>
      <c r="AI678" s="36">
        <f t="shared" si="215"/>
        <v>0.14000000000000001</v>
      </c>
      <c r="AJ678" s="36">
        <f>IFERROR(VLOOKUP(A678,'All Products'!A:F,6,0),0)</f>
        <v>36.049999999999997</v>
      </c>
      <c r="AK678" s="36"/>
      <c r="AL678" s="23">
        <v>1</v>
      </c>
      <c r="AM678" s="23"/>
      <c r="AN678" s="54" t="e">
        <v>#N/A</v>
      </c>
      <c r="AO678" s="47"/>
      <c r="AP678" s="4">
        <v>1.6</v>
      </c>
      <c r="AQ678" s="111">
        <f t="shared" si="206"/>
        <v>0</v>
      </c>
      <c r="AR678">
        <f>_xlfn.XLOOKUP(F678,'RM Cost'!A:A,'RM Cost'!S:S)</f>
        <v>0</v>
      </c>
      <c r="AS678" t="e">
        <f>_xlfn.XLOOKUP(A678,[3]Sheet1!$B:$B,[3]Sheet1!$B:$B)</f>
        <v>#N/A</v>
      </c>
    </row>
    <row r="679" spans="1:46" x14ac:dyDescent="0.25">
      <c r="A679" s="2" t="s">
        <v>472</v>
      </c>
      <c r="B679" s="2" t="s">
        <v>656</v>
      </c>
      <c r="C679" s="2" t="s">
        <v>473</v>
      </c>
      <c r="D679" s="2" t="s">
        <v>554</v>
      </c>
      <c r="E679" s="2">
        <v>1</v>
      </c>
      <c r="F679" s="1" t="str">
        <f>VLOOKUP(H679,'RM Used'!A:B,2,0)</f>
        <v>3136CS</v>
      </c>
      <c r="G679" s="1" t="str">
        <f>IFERROR(VLOOKUP(F679,'RM Cost'!A:B,2,0),"")</f>
        <v>RM - PROCESSING LEEKS 5KG</v>
      </c>
      <c r="H679" s="2" t="s">
        <v>1523</v>
      </c>
      <c r="I679" s="1" t="str">
        <f>VLOOKUP(F679,'RM Used'!B:D,3,0)</f>
        <v>RM-FOOD</v>
      </c>
      <c r="J679" s="66">
        <v>1</v>
      </c>
      <c r="K679" s="35">
        <f t="shared" si="210"/>
        <v>1</v>
      </c>
      <c r="L679" s="35">
        <f t="shared" si="198"/>
        <v>1</v>
      </c>
      <c r="M679" s="77" cm="1">
        <f t="array" ref="M679">_xlfn.IFS(BOM!I679="RM-PACKING","100%",B679="Reynolds",VLOOKUP(H679,'Yield &amp; Time'!A:V,22,0),BOM!B679="Dnata",VLOOKUP(BOM!H679,'Yield &amp; Time'!A:M,13,0),B679="NK",VLOOKUP(H679,'Yield &amp; Time'!A:X,24,0))</f>
        <v>0.4603819918144611</v>
      </c>
      <c r="N679" s="35">
        <f t="shared" si="209"/>
        <v>2.1721092870266108</v>
      </c>
      <c r="O679" s="1" t="str">
        <f>VLOOKUP(H679,'RM Used'!A:E,5,0)</f>
        <v>KG</v>
      </c>
      <c r="P679" s="11">
        <f>VLOOKUP(H679,'RM Used'!A:F,6,0)</f>
        <v>1.05</v>
      </c>
      <c r="Q679" s="11">
        <f t="shared" si="207"/>
        <v>2.2807147513779413</v>
      </c>
      <c r="R679" s="11">
        <f>IFERROR(IF(B679="Reynolds",VLOOKUP(H679,'Yield &amp; Time'!A:U,21,0),VLOOKUP(H679,'Yield &amp; Time'!A:L,12,0)),0)</f>
        <v>9.431476323119778</v>
      </c>
      <c r="S679" s="11">
        <f t="shared" si="199"/>
        <v>3.1925547353760444</v>
      </c>
      <c r="T679" s="11">
        <f t="shared" si="200"/>
        <v>0.15719127205199629</v>
      </c>
      <c r="U679" s="11">
        <f>IF(A678=A679,0,VLOOKUP(A679,'Packing Time'!A:F,6,0))</f>
        <v>0.64166666666666661</v>
      </c>
      <c r="V679" s="11">
        <f t="shared" si="211"/>
        <v>0.21720416666666661</v>
      </c>
      <c r="W679" s="11">
        <f t="shared" si="212"/>
        <v>1.0694444444444444E-2</v>
      </c>
      <c r="X679" s="11">
        <f t="shared" si="201"/>
        <v>5.4556142432683377</v>
      </c>
      <c r="Y679" s="11">
        <f t="shared" si="213"/>
        <v>5.4556142432683377</v>
      </c>
      <c r="Z679" s="37">
        <v>1</v>
      </c>
      <c r="AA679" s="36">
        <f t="shared" si="202"/>
        <v>2.1721092870266108</v>
      </c>
      <c r="AB679" s="36">
        <f t="shared" si="203"/>
        <v>2.2807147513779413</v>
      </c>
      <c r="AC679" s="11">
        <f t="shared" si="204"/>
        <v>0.26861714639430517</v>
      </c>
      <c r="AD679" s="36">
        <f t="shared" si="214"/>
        <v>5.4556142432683368</v>
      </c>
      <c r="AE679" s="36"/>
      <c r="AF679" s="36">
        <f>IFERROR(VLOOKUP(AE679,'Chemical Cost'!A:D,4,0),0)</f>
        <v>0</v>
      </c>
      <c r="AG679" s="114">
        <f t="shared" si="205"/>
        <v>0</v>
      </c>
      <c r="AH679" s="36">
        <f t="shared" si="208"/>
        <v>0</v>
      </c>
      <c r="AI679" s="36">
        <f t="shared" si="215"/>
        <v>7.7363289946462785</v>
      </c>
      <c r="AJ679" s="36">
        <f>IFERROR(VLOOKUP(A679,'All Products'!A:F,6,0),0)</f>
        <v>6.18</v>
      </c>
      <c r="AK679" s="36">
        <f>AJ679*Z679*J679</f>
        <v>6.18</v>
      </c>
      <c r="AL679" s="23">
        <v>1</v>
      </c>
      <c r="AM679" s="23"/>
      <c r="AN679" s="54" t="e">
        <v>#N/A</v>
      </c>
      <c r="AO679" s="47"/>
      <c r="AP679" s="4">
        <v>1.6</v>
      </c>
      <c r="AQ679" s="111">
        <f t="shared" si="206"/>
        <v>0.26861714639430517</v>
      </c>
      <c r="AR679">
        <f>_xlfn.XLOOKUP(F679,'RM Cost'!A:A,'RM Cost'!S:S)</f>
        <v>0</v>
      </c>
      <c r="AS679" t="e">
        <f>_xlfn.XLOOKUP(A679,[3]Sheet1!$B:$B,[3]Sheet1!$B:$B)</f>
        <v>#N/A</v>
      </c>
    </row>
    <row r="680" spans="1:46" x14ac:dyDescent="0.25">
      <c r="A680" s="2" t="s">
        <v>472</v>
      </c>
      <c r="B680" s="2" t="s">
        <v>656</v>
      </c>
      <c r="C680" s="2" t="s">
        <v>473</v>
      </c>
      <c r="D680" s="2" t="s">
        <v>554</v>
      </c>
      <c r="E680" s="2">
        <v>1</v>
      </c>
      <c r="F680" s="1" t="str">
        <f>VLOOKUP(H680,'RM Used'!A:B,2,0)</f>
        <v>P0008</v>
      </c>
      <c r="G680" s="1" t="str">
        <f>IFERROR(VLOOKUP(F680,'RM Cost'!A:B,2,0),"")</f>
        <v>PALE BLUE BAG 470X750MM</v>
      </c>
      <c r="H680" s="2" t="s">
        <v>1323</v>
      </c>
      <c r="I680" s="1" t="str">
        <f>VLOOKUP(F680,'RM Used'!B:D,3,0)</f>
        <v>RM-PACKING</v>
      </c>
      <c r="J680" s="66">
        <v>1</v>
      </c>
      <c r="K680" s="35" t="str">
        <f t="shared" si="210"/>
        <v/>
      </c>
      <c r="L680" s="35">
        <f t="shared" si="198"/>
        <v>0</v>
      </c>
      <c r="M680" s="77" t="str" cm="1">
        <f t="array" ref="M680">_xlfn.IFS(BOM!I680="RM-PACKING","100%",B680="Reynolds",VLOOKUP(H680,'Yield &amp; Time'!A:V,22,0),BOM!B680="Dnata",VLOOKUP(BOM!H680,'Yield &amp; Time'!A:M,13,0),B680="NK",VLOOKUP(H680,'Yield &amp; Time'!A:X,24,0))</f>
        <v>100%</v>
      </c>
      <c r="N680" s="35">
        <f t="shared" si="209"/>
        <v>1</v>
      </c>
      <c r="O680" s="1" t="str">
        <f>VLOOKUP(H680,'RM Used'!A:E,5,0)</f>
        <v>Count</v>
      </c>
      <c r="P680" s="11">
        <f>VLOOKUP(H680,'RM Used'!A:F,6,0)</f>
        <v>0.14000000000000001</v>
      </c>
      <c r="Q680" s="11">
        <f t="shared" si="207"/>
        <v>0.14000000000000001</v>
      </c>
      <c r="R680" s="11">
        <f>IFERROR(IF(B680="Reynolds",VLOOKUP(H680,'Yield &amp; Time'!A:U,21,0),VLOOKUP(H680,'Yield &amp; Time'!A:L,12,0)),0)</f>
        <v>0</v>
      </c>
      <c r="S680" s="11">
        <f t="shared" si="199"/>
        <v>0</v>
      </c>
      <c r="T680" s="11">
        <f t="shared" si="200"/>
        <v>0</v>
      </c>
      <c r="U680" s="11">
        <f>IF(A679=A680,0,VLOOKUP(A680,'Packing Time'!A:F,6,0))</f>
        <v>0</v>
      </c>
      <c r="V680" s="11">
        <f t="shared" si="211"/>
        <v>0</v>
      </c>
      <c r="W680" s="11">
        <f t="shared" si="212"/>
        <v>0</v>
      </c>
      <c r="X680" s="11">
        <f t="shared" si="201"/>
        <v>0</v>
      </c>
      <c r="Y680" s="11">
        <f t="shared" si="213"/>
        <v>0</v>
      </c>
      <c r="Z680" s="37">
        <v>1</v>
      </c>
      <c r="AA680" s="36">
        <f t="shared" si="202"/>
        <v>1</v>
      </c>
      <c r="AB680" s="36">
        <f t="shared" si="203"/>
        <v>0.14000000000000001</v>
      </c>
      <c r="AC680" s="11">
        <f t="shared" si="204"/>
        <v>0</v>
      </c>
      <c r="AD680" s="36">
        <f t="shared" si="214"/>
        <v>0</v>
      </c>
      <c r="AE680" s="36"/>
      <c r="AF680" s="36">
        <f>IFERROR(VLOOKUP(AE680,'Chemical Cost'!A:D,4,0),0)</f>
        <v>0</v>
      </c>
      <c r="AG680" s="114">
        <f t="shared" si="205"/>
        <v>0</v>
      </c>
      <c r="AH680" s="36">
        <f t="shared" si="208"/>
        <v>0</v>
      </c>
      <c r="AI680" s="36">
        <f t="shared" si="215"/>
        <v>0.14000000000000001</v>
      </c>
      <c r="AJ680" s="36">
        <f>IFERROR(VLOOKUP(A680,'All Products'!A:F,6,0),0)</f>
        <v>6.18</v>
      </c>
      <c r="AK680" s="36"/>
      <c r="AL680" s="23">
        <v>1</v>
      </c>
      <c r="AM680" s="23"/>
      <c r="AN680" s="54" t="e">
        <v>#N/A</v>
      </c>
      <c r="AO680" s="47"/>
      <c r="AP680" s="4">
        <v>1.6</v>
      </c>
      <c r="AQ680" s="111">
        <f t="shared" si="206"/>
        <v>0</v>
      </c>
      <c r="AR680">
        <f>_xlfn.XLOOKUP(F680,'RM Cost'!A:A,'RM Cost'!S:S)</f>
        <v>0</v>
      </c>
      <c r="AS680" t="e">
        <f>_xlfn.XLOOKUP(A680,[3]Sheet1!$B:$B,[3]Sheet1!$B:$B)</f>
        <v>#N/A</v>
      </c>
    </row>
    <row r="681" spans="1:46" x14ac:dyDescent="0.25">
      <c r="A681" s="2" t="s">
        <v>805</v>
      </c>
      <c r="B681" s="2" t="s">
        <v>656</v>
      </c>
      <c r="C681" s="2" t="s">
        <v>806</v>
      </c>
      <c r="D681" s="2" t="s">
        <v>554</v>
      </c>
      <c r="E681" s="2">
        <v>2.5</v>
      </c>
      <c r="F681" s="1" t="str">
        <f>VLOOKUP(H681,'RM Used'!A:B,2,0)</f>
        <v>3136CS</v>
      </c>
      <c r="G681" s="1" t="str">
        <f>IFERROR(VLOOKUP(F681,'RM Cost'!A:B,2,0),"")</f>
        <v>RM - PROCESSING LEEKS 5KG</v>
      </c>
      <c r="H681" s="2" t="s">
        <v>1523</v>
      </c>
      <c r="I681" s="1" t="str">
        <f>VLOOKUP(F681,'RM Used'!B:D,3,0)</f>
        <v>RM-FOOD</v>
      </c>
      <c r="J681" s="66">
        <v>1</v>
      </c>
      <c r="K681" s="35">
        <f t="shared" si="210"/>
        <v>2.5</v>
      </c>
      <c r="L681" s="35">
        <f t="shared" si="198"/>
        <v>2.5</v>
      </c>
      <c r="M681" s="77" cm="1">
        <f t="array" ref="M681">_xlfn.IFS(BOM!I681="RM-PACKING","100%",B681="Reynolds",VLOOKUP(H681,'Yield &amp; Time'!A:V,22,0),BOM!B681="Dnata",VLOOKUP(BOM!H681,'Yield &amp; Time'!A:M,13,0),B681="NK",VLOOKUP(H681,'Yield &amp; Time'!A:X,24,0))</f>
        <v>0.4603819918144611</v>
      </c>
      <c r="N681" s="35">
        <f t="shared" si="209"/>
        <v>5.4302732175665263</v>
      </c>
      <c r="O681" s="1" t="str">
        <f>VLOOKUP(H681,'RM Used'!A:E,5,0)</f>
        <v>KG</v>
      </c>
      <c r="P681" s="11">
        <f>VLOOKUP(H681,'RM Used'!A:F,6,0)</f>
        <v>1.05</v>
      </c>
      <c r="Q681" s="11">
        <f t="shared" si="207"/>
        <v>5.7017868784448531</v>
      </c>
      <c r="R681" s="11">
        <f>IFERROR(IF(B681="Reynolds",VLOOKUP(H681,'Yield &amp; Time'!A:U,21,0),VLOOKUP(H681,'Yield &amp; Time'!A:L,12,0)),0)</f>
        <v>9.431476323119778</v>
      </c>
      <c r="S681" s="11">
        <f t="shared" si="199"/>
        <v>7.9813868384401117</v>
      </c>
      <c r="T681" s="11">
        <f t="shared" si="200"/>
        <v>0.39297818012999081</v>
      </c>
      <c r="U681" s="11">
        <f>IF(A680=A681,0,VLOOKUP(A681,'Packing Time'!A:F,6,0))</f>
        <v>0.875</v>
      </c>
      <c r="V681" s="11">
        <f t="shared" si="211"/>
        <v>0.29618749999999999</v>
      </c>
      <c r="W681" s="11">
        <f t="shared" si="212"/>
        <v>1.4583333333333334E-2</v>
      </c>
      <c r="X681" s="11">
        <f t="shared" si="201"/>
        <v>13.244118941504182</v>
      </c>
      <c r="Y681" s="11">
        <f t="shared" si="213"/>
        <v>13.244118941504182</v>
      </c>
      <c r="Z681" s="37">
        <v>1</v>
      </c>
      <c r="AA681" s="36">
        <f t="shared" si="202"/>
        <v>5.4302732175665263</v>
      </c>
      <c r="AB681" s="36">
        <f t="shared" si="203"/>
        <v>5.7017868784448531</v>
      </c>
      <c r="AC681" s="11">
        <f t="shared" si="204"/>
        <v>0.65209842154131858</v>
      </c>
      <c r="AD681" s="36">
        <f t="shared" si="214"/>
        <v>13.24411894150418</v>
      </c>
      <c r="AE681" s="36"/>
      <c r="AF681" s="36">
        <f>IFERROR(VLOOKUP(AE681,'Chemical Cost'!A:D,4,0),0)</f>
        <v>0</v>
      </c>
      <c r="AG681" s="114">
        <f t="shared" si="205"/>
        <v>0</v>
      </c>
      <c r="AH681" s="36">
        <f t="shared" si="208"/>
        <v>0</v>
      </c>
      <c r="AI681" s="36">
        <f t="shared" si="215"/>
        <v>18.945905819949033</v>
      </c>
      <c r="AJ681" s="36">
        <f>IFERROR(VLOOKUP(A681,'All Products'!A:F,6,0),0)</f>
        <v>15.15</v>
      </c>
      <c r="AK681" s="36">
        <f>AJ681*Z681*J681</f>
        <v>15.15</v>
      </c>
      <c r="AL681" s="23">
        <v>1</v>
      </c>
      <c r="AM681" s="23"/>
      <c r="AN681" s="54" t="e">
        <v>#N/A</v>
      </c>
      <c r="AO681" s="47"/>
      <c r="AP681" s="4">
        <v>1.6</v>
      </c>
      <c r="AQ681" s="111">
        <f t="shared" si="206"/>
        <v>0.65209842154131858</v>
      </c>
      <c r="AR681">
        <f>_xlfn.XLOOKUP(F681,'RM Cost'!A:A,'RM Cost'!S:S)</f>
        <v>0</v>
      </c>
      <c r="AS681" t="e">
        <f>_xlfn.XLOOKUP(A681,[3]Sheet1!$B:$B,[3]Sheet1!$B:$B)</f>
        <v>#N/A</v>
      </c>
    </row>
    <row r="682" spans="1:46" x14ac:dyDescent="0.25">
      <c r="A682" s="2" t="s">
        <v>805</v>
      </c>
      <c r="B682" s="2" t="s">
        <v>656</v>
      </c>
      <c r="C682" s="2" t="s">
        <v>806</v>
      </c>
      <c r="D682" s="2" t="s">
        <v>554</v>
      </c>
      <c r="E682" s="2">
        <v>2.5</v>
      </c>
      <c r="F682" s="1" t="str">
        <f>VLOOKUP(H682,'RM Used'!A:B,2,0)</f>
        <v>P0008</v>
      </c>
      <c r="G682" s="1" t="str">
        <f>IFERROR(VLOOKUP(F682,'RM Cost'!A:B,2,0),"")</f>
        <v>PALE BLUE BAG 470X750MM</v>
      </c>
      <c r="H682" s="2" t="s">
        <v>1323</v>
      </c>
      <c r="I682" s="1" t="str">
        <f>VLOOKUP(F682,'RM Used'!B:D,3,0)</f>
        <v>RM-PACKING</v>
      </c>
      <c r="J682" s="66">
        <v>1</v>
      </c>
      <c r="K682" s="35" t="str">
        <f t="shared" si="210"/>
        <v/>
      </c>
      <c r="L682" s="35">
        <f t="shared" si="198"/>
        <v>0</v>
      </c>
      <c r="M682" s="77" t="str" cm="1">
        <f t="array" ref="M682">_xlfn.IFS(BOM!I682="RM-PACKING","100%",B682="Reynolds",VLOOKUP(H682,'Yield &amp; Time'!A:V,22,0),BOM!B682="Dnata",VLOOKUP(BOM!H682,'Yield &amp; Time'!A:M,13,0),B682="NK",VLOOKUP(H682,'Yield &amp; Time'!A:X,24,0))</f>
        <v>100%</v>
      </c>
      <c r="N682" s="35">
        <f t="shared" si="209"/>
        <v>1</v>
      </c>
      <c r="O682" s="1" t="str">
        <f>VLOOKUP(H682,'RM Used'!A:E,5,0)</f>
        <v>Count</v>
      </c>
      <c r="P682" s="11">
        <f>VLOOKUP(H682,'RM Used'!A:F,6,0)</f>
        <v>0.14000000000000001</v>
      </c>
      <c r="Q682" s="11">
        <f t="shared" si="207"/>
        <v>0.14000000000000001</v>
      </c>
      <c r="R682" s="11">
        <f>IFERROR(IF(B682="Reynolds",VLOOKUP(H682,'Yield &amp; Time'!A:U,21,0),VLOOKUP(H682,'Yield &amp; Time'!A:L,12,0)),0)</f>
        <v>0</v>
      </c>
      <c r="S682" s="11">
        <f t="shared" si="199"/>
        <v>0</v>
      </c>
      <c r="T682" s="11">
        <f t="shared" si="200"/>
        <v>0</v>
      </c>
      <c r="U682" s="11">
        <f>IF(A681=A682,0,VLOOKUP(A682,'Packing Time'!A:F,6,0))</f>
        <v>0</v>
      </c>
      <c r="V682" s="11">
        <f t="shared" si="211"/>
        <v>0</v>
      </c>
      <c r="W682" s="11">
        <f t="shared" si="212"/>
        <v>0</v>
      </c>
      <c r="X682" s="11">
        <f t="shared" si="201"/>
        <v>0</v>
      </c>
      <c r="Y682" s="11">
        <f t="shared" si="213"/>
        <v>0</v>
      </c>
      <c r="Z682" s="37">
        <v>1</v>
      </c>
      <c r="AA682" s="36">
        <f t="shared" si="202"/>
        <v>1</v>
      </c>
      <c r="AB682" s="36">
        <f t="shared" si="203"/>
        <v>0.14000000000000001</v>
      </c>
      <c r="AC682" s="11">
        <f t="shared" si="204"/>
        <v>0</v>
      </c>
      <c r="AD682" s="36">
        <f t="shared" si="214"/>
        <v>0</v>
      </c>
      <c r="AE682" s="36"/>
      <c r="AF682" s="36">
        <f>IFERROR(VLOOKUP(AE682,'Chemical Cost'!A:D,4,0),0)</f>
        <v>0</v>
      </c>
      <c r="AG682" s="114">
        <f t="shared" si="205"/>
        <v>0</v>
      </c>
      <c r="AH682" s="36">
        <f t="shared" si="208"/>
        <v>0</v>
      </c>
      <c r="AI682" s="36">
        <f t="shared" si="215"/>
        <v>0.14000000000000001</v>
      </c>
      <c r="AJ682" s="36">
        <f>IFERROR(VLOOKUP(A682,'All Products'!A:F,6,0),0)</f>
        <v>15.15</v>
      </c>
      <c r="AK682" s="36"/>
      <c r="AL682" s="23">
        <v>1</v>
      </c>
      <c r="AM682" s="23"/>
      <c r="AN682" s="54" t="e">
        <v>#N/A</v>
      </c>
      <c r="AO682" s="47"/>
      <c r="AP682" s="4">
        <v>1.6</v>
      </c>
      <c r="AQ682" s="111">
        <f t="shared" si="206"/>
        <v>0</v>
      </c>
      <c r="AR682">
        <f>_xlfn.XLOOKUP(F682,'RM Cost'!A:A,'RM Cost'!S:S)</f>
        <v>0</v>
      </c>
      <c r="AS682" t="e">
        <f>_xlfn.XLOOKUP(A682,[3]Sheet1!$B:$B,[3]Sheet1!$B:$B)</f>
        <v>#N/A</v>
      </c>
    </row>
    <row r="683" spans="1:46" x14ac:dyDescent="0.25">
      <c r="A683" s="2" t="s">
        <v>807</v>
      </c>
      <c r="B683" s="2" t="s">
        <v>656</v>
      </c>
      <c r="C683" s="2" t="s">
        <v>808</v>
      </c>
      <c r="D683" s="2" t="s">
        <v>554</v>
      </c>
      <c r="E683" s="2">
        <v>1</v>
      </c>
      <c r="F683" s="1" t="str">
        <f>VLOOKUP(H683,'RM Used'!A:B,2,0)</f>
        <v>3136CS</v>
      </c>
      <c r="G683" s="1" t="str">
        <f>IFERROR(VLOOKUP(F683,'RM Cost'!A:B,2,0),"")</f>
        <v>RM - PROCESSING LEEKS 5KG</v>
      </c>
      <c r="H683" s="2" t="s">
        <v>1524</v>
      </c>
      <c r="I683" s="1" t="str">
        <f>VLOOKUP(F683,'RM Used'!B:D,3,0)</f>
        <v>RM-FOOD</v>
      </c>
      <c r="J683" s="66">
        <v>1</v>
      </c>
      <c r="K683" s="35">
        <f t="shared" si="210"/>
        <v>1</v>
      </c>
      <c r="L683" s="35">
        <f t="shared" si="198"/>
        <v>1</v>
      </c>
      <c r="M683" s="77" cm="1">
        <f t="array" ref="M683">_xlfn.IFS(BOM!I683="RM-PACKING","100%",B683="Reynolds",VLOOKUP(H683,'Yield &amp; Time'!A:V,22,0),BOM!B683="Dnata",VLOOKUP(BOM!H683,'Yield &amp; Time'!A:M,13,0),B683="NK",VLOOKUP(H683,'Yield &amp; Time'!A:X,24,0))</f>
        <v>0.47448840381991814</v>
      </c>
      <c r="N683" s="35">
        <f t="shared" si="209"/>
        <v>2.1075330649798736</v>
      </c>
      <c r="O683" s="1" t="str">
        <f>VLOOKUP(H683,'RM Used'!A:E,5,0)</f>
        <v>KG</v>
      </c>
      <c r="P683" s="11">
        <f>VLOOKUP(H683,'RM Used'!A:F,6,0)</f>
        <v>1.05</v>
      </c>
      <c r="Q683" s="11">
        <f t="shared" si="207"/>
        <v>2.2129097182288673</v>
      </c>
      <c r="R683" s="11">
        <f>IFERROR(IF(B683="Reynolds",VLOOKUP(H683,'Yield &amp; Time'!A:U,21,0),VLOOKUP(H683,'Yield &amp; Time'!A:L,12,0)),0)</f>
        <v>7.1090090090090081</v>
      </c>
      <c r="S683" s="11">
        <f t="shared" si="199"/>
        <v>2.4063995495495489</v>
      </c>
      <c r="T683" s="11">
        <f t="shared" si="200"/>
        <v>0.11848348348348346</v>
      </c>
      <c r="U683" s="11">
        <f>IF(A682=A683,0,VLOOKUP(A683,'Packing Time'!A:F,6,0))</f>
        <v>0.64166666666666661</v>
      </c>
      <c r="V683" s="11">
        <f t="shared" si="211"/>
        <v>0.21720416666666661</v>
      </c>
      <c r="W683" s="11">
        <f t="shared" si="212"/>
        <v>1.0694444444444444E-2</v>
      </c>
      <c r="X683" s="11">
        <f t="shared" si="201"/>
        <v>4.1977659459459451</v>
      </c>
      <c r="Y683" s="11">
        <f t="shared" si="213"/>
        <v>4.1977659459459451</v>
      </c>
      <c r="Z683" s="37">
        <v>1</v>
      </c>
      <c r="AA683" s="36">
        <f t="shared" si="202"/>
        <v>2.1075330649798736</v>
      </c>
      <c r="AB683" s="36">
        <f t="shared" si="203"/>
        <v>2.2129097182288673</v>
      </c>
      <c r="AC683" s="11">
        <f t="shared" si="204"/>
        <v>0.20668468468468465</v>
      </c>
      <c r="AD683" s="36">
        <f t="shared" si="214"/>
        <v>4.1977659459459451</v>
      </c>
      <c r="AE683" s="36"/>
      <c r="AF683" s="36">
        <f>IFERROR(VLOOKUP(AE683,'Chemical Cost'!A:D,4,0),0)</f>
        <v>0</v>
      </c>
      <c r="AG683" s="114">
        <f t="shared" si="205"/>
        <v>0</v>
      </c>
      <c r="AH683" s="36">
        <f t="shared" si="208"/>
        <v>0</v>
      </c>
      <c r="AI683" s="36">
        <f t="shared" si="215"/>
        <v>6.4106756641748124</v>
      </c>
      <c r="AJ683" s="36">
        <f>IFERROR(VLOOKUP(A683,'All Products'!A:F,6,0),0)</f>
        <v>5.53</v>
      </c>
      <c r="AK683" s="36">
        <f>AJ683*Z683*J683</f>
        <v>5.53</v>
      </c>
      <c r="AL683" s="23">
        <v>1</v>
      </c>
      <c r="AM683" s="23"/>
      <c r="AN683" s="54" t="e">
        <v>#N/A</v>
      </c>
      <c r="AO683" s="47"/>
      <c r="AP683" s="4">
        <v>1.6</v>
      </c>
      <c r="AQ683" s="111">
        <f t="shared" si="206"/>
        <v>0.20668468468468465</v>
      </c>
      <c r="AR683">
        <f>_xlfn.XLOOKUP(F683,'RM Cost'!A:A,'RM Cost'!S:S)</f>
        <v>0</v>
      </c>
      <c r="AS683" t="e">
        <f>_xlfn.XLOOKUP(A683,[3]Sheet1!$B:$B,[3]Sheet1!$B:$B)</f>
        <v>#N/A</v>
      </c>
    </row>
    <row r="684" spans="1:46" x14ac:dyDescent="0.25">
      <c r="A684" s="2" t="s">
        <v>807</v>
      </c>
      <c r="B684" s="2" t="s">
        <v>656</v>
      </c>
      <c r="C684" s="2" t="s">
        <v>808</v>
      </c>
      <c r="D684" s="2" t="s">
        <v>554</v>
      </c>
      <c r="E684" s="2">
        <v>1</v>
      </c>
      <c r="F684" s="1" t="str">
        <f>VLOOKUP(H684,'RM Used'!A:B,2,0)</f>
        <v>P0008</v>
      </c>
      <c r="G684" s="1" t="str">
        <f>IFERROR(VLOOKUP(F684,'RM Cost'!A:B,2,0),"")</f>
        <v>PALE BLUE BAG 470X750MM</v>
      </c>
      <c r="H684" s="2" t="s">
        <v>1323</v>
      </c>
      <c r="I684" s="1" t="str">
        <f>VLOOKUP(F684,'RM Used'!B:D,3,0)</f>
        <v>RM-PACKING</v>
      </c>
      <c r="J684" s="66">
        <v>1</v>
      </c>
      <c r="K684" s="35" t="str">
        <f t="shared" si="210"/>
        <v/>
      </c>
      <c r="L684" s="35">
        <f t="shared" si="198"/>
        <v>0</v>
      </c>
      <c r="M684" s="77" t="str" cm="1">
        <f t="array" ref="M684">_xlfn.IFS(BOM!I684="RM-PACKING","100%",B684="Reynolds",VLOOKUP(H684,'Yield &amp; Time'!A:V,22,0),BOM!B684="Dnata",VLOOKUP(BOM!H684,'Yield &amp; Time'!A:M,13,0),B684="NK",VLOOKUP(H684,'Yield &amp; Time'!A:X,24,0))</f>
        <v>100%</v>
      </c>
      <c r="N684" s="35">
        <f t="shared" si="209"/>
        <v>1</v>
      </c>
      <c r="O684" s="1" t="str">
        <f>VLOOKUP(H684,'RM Used'!A:E,5,0)</f>
        <v>Count</v>
      </c>
      <c r="P684" s="11">
        <f>VLOOKUP(H684,'RM Used'!A:F,6,0)</f>
        <v>0.14000000000000001</v>
      </c>
      <c r="Q684" s="11">
        <f t="shared" si="207"/>
        <v>0.14000000000000001</v>
      </c>
      <c r="R684" s="11">
        <f>IFERROR(IF(B684="Reynolds",VLOOKUP(H684,'Yield &amp; Time'!A:U,21,0),VLOOKUP(H684,'Yield &amp; Time'!A:L,12,0)),0)</f>
        <v>0</v>
      </c>
      <c r="S684" s="11">
        <f t="shared" si="199"/>
        <v>0</v>
      </c>
      <c r="T684" s="11">
        <f t="shared" si="200"/>
        <v>0</v>
      </c>
      <c r="U684" s="11">
        <f>IF(A683=A684,0,VLOOKUP(A684,'Packing Time'!A:F,6,0))</f>
        <v>0</v>
      </c>
      <c r="V684" s="11">
        <f t="shared" si="211"/>
        <v>0</v>
      </c>
      <c r="W684" s="11">
        <f t="shared" si="212"/>
        <v>0</v>
      </c>
      <c r="X684" s="11">
        <f t="shared" si="201"/>
        <v>0</v>
      </c>
      <c r="Y684" s="11">
        <f t="shared" si="213"/>
        <v>0</v>
      </c>
      <c r="Z684" s="37">
        <v>1</v>
      </c>
      <c r="AA684" s="36">
        <f t="shared" si="202"/>
        <v>1</v>
      </c>
      <c r="AB684" s="36">
        <f t="shared" si="203"/>
        <v>0.14000000000000001</v>
      </c>
      <c r="AC684" s="11">
        <f t="shared" si="204"/>
        <v>0</v>
      </c>
      <c r="AD684" s="36">
        <f t="shared" si="214"/>
        <v>0</v>
      </c>
      <c r="AE684" s="36"/>
      <c r="AF684" s="36">
        <f>IFERROR(VLOOKUP(AE684,'Chemical Cost'!A:D,4,0),0)</f>
        <v>0</v>
      </c>
      <c r="AG684" s="114">
        <f t="shared" si="205"/>
        <v>0</v>
      </c>
      <c r="AH684" s="36">
        <f t="shared" si="208"/>
        <v>0</v>
      </c>
      <c r="AI684" s="36">
        <f t="shared" si="215"/>
        <v>0.14000000000000001</v>
      </c>
      <c r="AJ684" s="36">
        <f>IFERROR(VLOOKUP(A684,'All Products'!A:F,6,0),0)</f>
        <v>5.53</v>
      </c>
      <c r="AK684" s="36"/>
      <c r="AL684" s="23">
        <v>1</v>
      </c>
      <c r="AM684" s="23"/>
      <c r="AN684" s="54" t="e">
        <v>#N/A</v>
      </c>
      <c r="AO684" s="47"/>
      <c r="AP684" s="4">
        <v>1.6</v>
      </c>
      <c r="AQ684" s="111">
        <f t="shared" si="206"/>
        <v>0</v>
      </c>
      <c r="AR684">
        <f>_xlfn.XLOOKUP(F684,'RM Cost'!A:A,'RM Cost'!S:S)</f>
        <v>0</v>
      </c>
      <c r="AS684" t="e">
        <f>_xlfn.XLOOKUP(A684,[3]Sheet1!$B:$B,[3]Sheet1!$B:$B)</f>
        <v>#N/A</v>
      </c>
    </row>
    <row r="685" spans="1:46" x14ac:dyDescent="0.25">
      <c r="A685" s="2" t="s">
        <v>255</v>
      </c>
      <c r="B685" s="2" t="s">
        <v>656</v>
      </c>
      <c r="C685" s="2" t="s">
        <v>256</v>
      </c>
      <c r="D685" s="2" t="s">
        <v>554</v>
      </c>
      <c r="E685" s="2">
        <v>2.5</v>
      </c>
      <c r="F685" s="1" t="str">
        <f>VLOOKUP(H685,'RM Used'!A:B,2,0)</f>
        <v>3136CS</v>
      </c>
      <c r="G685" s="1" t="str">
        <f>IFERROR(VLOOKUP(F685,'RM Cost'!A:B,2,0),"")</f>
        <v>RM - PROCESSING LEEKS 5KG</v>
      </c>
      <c r="H685" s="2" t="s">
        <v>1524</v>
      </c>
      <c r="I685" s="1" t="str">
        <f>VLOOKUP(F685,'RM Used'!B:D,3,0)</f>
        <v>RM-FOOD</v>
      </c>
      <c r="J685" s="66">
        <v>1</v>
      </c>
      <c r="K685" s="35">
        <f t="shared" si="210"/>
        <v>2.5</v>
      </c>
      <c r="L685" s="35">
        <f t="shared" si="198"/>
        <v>2.5</v>
      </c>
      <c r="M685" s="77" cm="1">
        <f t="array" ref="M685">_xlfn.IFS(BOM!I685="RM-PACKING","100%",B685="Reynolds",VLOOKUP(H685,'Yield &amp; Time'!A:V,22,0),BOM!B685="Dnata",VLOOKUP(BOM!H685,'Yield &amp; Time'!A:M,13,0),B685="NK",VLOOKUP(H685,'Yield &amp; Time'!A:X,24,0))</f>
        <v>0.47448840381991814</v>
      </c>
      <c r="N685" s="35">
        <f t="shared" si="209"/>
        <v>5.2688326624496842</v>
      </c>
      <c r="O685" s="1" t="str">
        <f>VLOOKUP(H685,'RM Used'!A:E,5,0)</f>
        <v>KG</v>
      </c>
      <c r="P685" s="11">
        <f>VLOOKUP(H685,'RM Used'!A:F,6,0)</f>
        <v>1.05</v>
      </c>
      <c r="Q685" s="11">
        <f t="shared" si="207"/>
        <v>5.5322742955721687</v>
      </c>
      <c r="R685" s="11">
        <f>IFERROR(IF(B685="Reynolds",VLOOKUP(H685,'Yield &amp; Time'!A:U,21,0),VLOOKUP(H685,'Yield &amp; Time'!A:L,12,0)),0)</f>
        <v>7.1090090090090081</v>
      </c>
      <c r="S685" s="11">
        <f t="shared" si="199"/>
        <v>6.0159988738738726</v>
      </c>
      <c r="T685" s="11">
        <f t="shared" si="200"/>
        <v>0.29620870870870869</v>
      </c>
      <c r="U685" s="11">
        <f>IF(A684=A685,0,VLOOKUP(A685,'Packing Time'!A:F,6,0))</f>
        <v>0.875</v>
      </c>
      <c r="V685" s="11">
        <f t="shared" si="211"/>
        <v>0.29618749999999999</v>
      </c>
      <c r="W685" s="11">
        <f t="shared" si="212"/>
        <v>1.4583333333333334E-2</v>
      </c>
      <c r="X685" s="11">
        <f t="shared" si="201"/>
        <v>10.099498198198198</v>
      </c>
      <c r="Y685" s="11">
        <f t="shared" si="213"/>
        <v>10.099498198198198</v>
      </c>
      <c r="Z685" s="37">
        <v>1</v>
      </c>
      <c r="AA685" s="36">
        <f t="shared" si="202"/>
        <v>5.2688326624496842</v>
      </c>
      <c r="AB685" s="36">
        <f t="shared" si="203"/>
        <v>5.5322742955721687</v>
      </c>
      <c r="AC685" s="11">
        <f t="shared" si="204"/>
        <v>0.49726726726726728</v>
      </c>
      <c r="AD685" s="36">
        <f t="shared" si="214"/>
        <v>10.099498198198198</v>
      </c>
      <c r="AE685" s="36"/>
      <c r="AF685" s="36">
        <f>IFERROR(VLOOKUP(AE685,'Chemical Cost'!A:D,4,0),0)</f>
        <v>0</v>
      </c>
      <c r="AG685" s="114">
        <f t="shared" si="205"/>
        <v>0</v>
      </c>
      <c r="AH685" s="36">
        <f t="shared" si="208"/>
        <v>0</v>
      </c>
      <c r="AI685" s="36">
        <f t="shared" si="215"/>
        <v>15.631772493770367</v>
      </c>
      <c r="AJ685" s="36">
        <f>IFERROR(VLOOKUP(A685,'All Products'!A:F,6,0),0)</f>
        <v>13.52</v>
      </c>
      <c r="AK685" s="36">
        <f>AJ685*Z685*J685</f>
        <v>13.52</v>
      </c>
      <c r="AL685" s="23">
        <v>1</v>
      </c>
      <c r="AM685" s="23"/>
      <c r="AN685" s="54" t="e">
        <v>#N/A</v>
      </c>
      <c r="AO685" s="47"/>
      <c r="AP685" s="4">
        <v>1.6</v>
      </c>
      <c r="AQ685" s="111">
        <f t="shared" si="206"/>
        <v>0.49726726726726728</v>
      </c>
      <c r="AR685">
        <f>_xlfn.XLOOKUP(F685,'RM Cost'!A:A,'RM Cost'!S:S)</f>
        <v>0</v>
      </c>
      <c r="AS685" t="e">
        <f>_xlfn.XLOOKUP(A685,[3]Sheet1!$B:$B,[3]Sheet1!$B:$B)</f>
        <v>#N/A</v>
      </c>
    </row>
    <row r="686" spans="1:46" x14ac:dyDescent="0.25">
      <c r="A686" s="2" t="s">
        <v>255</v>
      </c>
      <c r="B686" s="2" t="s">
        <v>656</v>
      </c>
      <c r="C686" s="2" t="s">
        <v>256</v>
      </c>
      <c r="D686" s="2" t="s">
        <v>554</v>
      </c>
      <c r="E686" s="2">
        <v>2.5</v>
      </c>
      <c r="F686" s="1" t="str">
        <f>VLOOKUP(H686,'RM Used'!A:B,2,0)</f>
        <v>P0008</v>
      </c>
      <c r="G686" s="1" t="str">
        <f>IFERROR(VLOOKUP(F686,'RM Cost'!A:B,2,0),"")</f>
        <v>PALE BLUE BAG 470X750MM</v>
      </c>
      <c r="H686" s="2" t="s">
        <v>1323</v>
      </c>
      <c r="I686" s="1" t="str">
        <f>VLOOKUP(F686,'RM Used'!B:D,3,0)</f>
        <v>RM-PACKING</v>
      </c>
      <c r="J686" s="66">
        <v>1</v>
      </c>
      <c r="K686" s="35" t="str">
        <f t="shared" si="210"/>
        <v/>
      </c>
      <c r="L686" s="35">
        <f t="shared" si="198"/>
        <v>0</v>
      </c>
      <c r="M686" s="77" t="str" cm="1">
        <f t="array" ref="M686">_xlfn.IFS(BOM!I686="RM-PACKING","100%",B686="Reynolds",VLOOKUP(H686,'Yield &amp; Time'!A:V,22,0),BOM!B686="Dnata",VLOOKUP(BOM!H686,'Yield &amp; Time'!A:M,13,0),B686="NK",VLOOKUP(H686,'Yield &amp; Time'!A:X,24,0))</f>
        <v>100%</v>
      </c>
      <c r="N686" s="35">
        <f t="shared" si="209"/>
        <v>1</v>
      </c>
      <c r="O686" s="1" t="str">
        <f>VLOOKUP(H686,'RM Used'!A:E,5,0)</f>
        <v>Count</v>
      </c>
      <c r="P686" s="11">
        <f>VLOOKUP(H686,'RM Used'!A:F,6,0)</f>
        <v>0.14000000000000001</v>
      </c>
      <c r="Q686" s="11">
        <f t="shared" si="207"/>
        <v>0.14000000000000001</v>
      </c>
      <c r="R686" s="11">
        <f>IFERROR(IF(B686="Reynolds",VLOOKUP(H686,'Yield &amp; Time'!A:U,21,0),VLOOKUP(H686,'Yield &amp; Time'!A:L,12,0)),0)</f>
        <v>0</v>
      </c>
      <c r="S686" s="11">
        <f t="shared" si="199"/>
        <v>0</v>
      </c>
      <c r="T686" s="11">
        <f t="shared" si="200"/>
        <v>0</v>
      </c>
      <c r="U686" s="11">
        <f>IF(A685=A686,0,VLOOKUP(A686,'Packing Time'!A:F,6,0))</f>
        <v>0</v>
      </c>
      <c r="V686" s="11">
        <f t="shared" si="211"/>
        <v>0</v>
      </c>
      <c r="W686" s="11">
        <f t="shared" si="212"/>
        <v>0</v>
      </c>
      <c r="X686" s="11">
        <f t="shared" si="201"/>
        <v>0</v>
      </c>
      <c r="Y686" s="11">
        <f t="shared" si="213"/>
        <v>0</v>
      </c>
      <c r="Z686" s="37">
        <v>1</v>
      </c>
      <c r="AA686" s="36">
        <f t="shared" si="202"/>
        <v>1</v>
      </c>
      <c r="AB686" s="36">
        <f t="shared" si="203"/>
        <v>0.14000000000000001</v>
      </c>
      <c r="AC686" s="11">
        <f t="shared" si="204"/>
        <v>0</v>
      </c>
      <c r="AD686" s="36">
        <f t="shared" si="214"/>
        <v>0</v>
      </c>
      <c r="AE686" s="36"/>
      <c r="AF686" s="36">
        <f>IFERROR(VLOOKUP(AE686,'Chemical Cost'!A:D,4,0),0)</f>
        <v>0</v>
      </c>
      <c r="AG686" s="114">
        <f t="shared" si="205"/>
        <v>0</v>
      </c>
      <c r="AH686" s="36">
        <f t="shared" si="208"/>
        <v>0</v>
      </c>
      <c r="AI686" s="36">
        <f t="shared" si="215"/>
        <v>0.14000000000000001</v>
      </c>
      <c r="AJ686" s="36">
        <f>IFERROR(VLOOKUP(A686,'All Products'!A:F,6,0),0)</f>
        <v>13.52</v>
      </c>
      <c r="AK686" s="36"/>
      <c r="AL686" s="23">
        <v>1</v>
      </c>
      <c r="AM686" s="23"/>
      <c r="AN686" s="54" t="e">
        <v>#N/A</v>
      </c>
      <c r="AO686" s="47"/>
      <c r="AP686" s="4">
        <v>1.6</v>
      </c>
      <c r="AQ686" s="111">
        <f t="shared" si="206"/>
        <v>0</v>
      </c>
      <c r="AR686">
        <f>_xlfn.XLOOKUP(F686,'RM Cost'!A:A,'RM Cost'!S:S)</f>
        <v>0</v>
      </c>
      <c r="AS686" t="e">
        <f>_xlfn.XLOOKUP(A686,[3]Sheet1!$B:$B,[3]Sheet1!$B:$B)</f>
        <v>#N/A</v>
      </c>
    </row>
    <row r="687" spans="1:46" x14ac:dyDescent="0.25">
      <c r="A687" s="2" t="s">
        <v>809</v>
      </c>
      <c r="B687" s="2" t="s">
        <v>656</v>
      </c>
      <c r="C687" s="2" t="s">
        <v>810</v>
      </c>
      <c r="D687" s="2" t="s">
        <v>554</v>
      </c>
      <c r="E687" s="2">
        <v>1</v>
      </c>
      <c r="F687" s="1" t="str">
        <f>VLOOKUP(H687,'RM Used'!A:B,2,0)</f>
        <v>3136CS</v>
      </c>
      <c r="G687" s="1" t="str">
        <f>IFERROR(VLOOKUP(F687,'RM Cost'!A:B,2,0),"")</f>
        <v>RM - PROCESSING LEEKS 5KG</v>
      </c>
      <c r="H687" s="2" t="s">
        <v>1525</v>
      </c>
      <c r="I687" s="1" t="str">
        <f>VLOOKUP(F687,'RM Used'!B:D,3,0)</f>
        <v>RM-FOOD</v>
      </c>
      <c r="J687" s="66">
        <v>1</v>
      </c>
      <c r="K687" s="35">
        <f t="shared" si="210"/>
        <v>1</v>
      </c>
      <c r="L687" s="35">
        <f t="shared" si="198"/>
        <v>1</v>
      </c>
      <c r="M687" s="77" cm="1">
        <f t="array" ref="M687">_xlfn.IFS(BOM!I687="RM-PACKING","100%",B687="Reynolds",VLOOKUP(H687,'Yield &amp; Time'!A:V,22,0),BOM!B687="Dnata",VLOOKUP(BOM!H687,'Yield &amp; Time'!A:M,13,0),B687="NK",VLOOKUP(H687,'Yield &amp; Time'!A:X,24,0))</f>
        <v>0.6657894736842106</v>
      </c>
      <c r="N687" s="35">
        <f t="shared" si="209"/>
        <v>1.50197628458498</v>
      </c>
      <c r="O687" s="1" t="str">
        <f>VLOOKUP(H687,'RM Used'!A:E,5,0)</f>
        <v>KG</v>
      </c>
      <c r="P687" s="11">
        <f>VLOOKUP(H687,'RM Used'!A:F,6,0)</f>
        <v>1.05</v>
      </c>
      <c r="Q687" s="11">
        <f t="shared" si="207"/>
        <v>1.577075098814229</v>
      </c>
      <c r="R687" s="11">
        <f>IFERROR(IF(B687="Reynolds",VLOOKUP(H687,'Yield &amp; Time'!A:U,21,0),VLOOKUP(H687,'Yield &amp; Time'!A:L,12,0)),0)</f>
        <v>0.78181818181818175</v>
      </c>
      <c r="S687" s="11">
        <f t="shared" si="199"/>
        <v>0.26464545454545452</v>
      </c>
      <c r="T687" s="11">
        <f t="shared" si="200"/>
        <v>1.3030303030303029E-2</v>
      </c>
      <c r="U687" s="11">
        <f>IF(A686=A687,0,VLOOKUP(A687,'Packing Time'!A:F,6,0))</f>
        <v>0.64166666666666661</v>
      </c>
      <c r="V687" s="11">
        <f t="shared" si="211"/>
        <v>0.21720416666666661</v>
      </c>
      <c r="W687" s="11">
        <f t="shared" si="212"/>
        <v>1.0694444444444444E-2</v>
      </c>
      <c r="X687" s="11">
        <f t="shared" si="201"/>
        <v>0.77095939393939383</v>
      </c>
      <c r="Y687" s="11">
        <f t="shared" si="213"/>
        <v>0.77095939393939383</v>
      </c>
      <c r="Z687" s="37">
        <v>1</v>
      </c>
      <c r="AA687" s="36">
        <f t="shared" si="202"/>
        <v>1.50197628458498</v>
      </c>
      <c r="AB687" s="36">
        <f t="shared" si="203"/>
        <v>1.577075098814229</v>
      </c>
      <c r="AC687" s="11">
        <f t="shared" si="204"/>
        <v>3.7959595959595957E-2</v>
      </c>
      <c r="AD687" s="36">
        <f t="shared" si="214"/>
        <v>0.77095939393939383</v>
      </c>
      <c r="AE687" s="36"/>
      <c r="AF687" s="36">
        <f>IFERROR(VLOOKUP(AE687,'Chemical Cost'!A:D,4,0),0)</f>
        <v>0</v>
      </c>
      <c r="AG687" s="114">
        <f t="shared" si="205"/>
        <v>0</v>
      </c>
      <c r="AH687" s="36">
        <f t="shared" si="208"/>
        <v>0</v>
      </c>
      <c r="AI687" s="36">
        <f t="shared" si="215"/>
        <v>2.348034492753623</v>
      </c>
      <c r="AJ687" s="36">
        <f>IFERROR(VLOOKUP(A687,'All Products'!A:F,6,0),0)</f>
        <v>5.41</v>
      </c>
      <c r="AK687" s="36">
        <f>AJ687*Z687*J687</f>
        <v>5.41</v>
      </c>
      <c r="AL687" s="23">
        <v>0.8</v>
      </c>
      <c r="AM687" s="23">
        <v>0.2</v>
      </c>
      <c r="AN687" s="54" t="e">
        <v>#N/A</v>
      </c>
      <c r="AO687" s="47"/>
      <c r="AP687" s="4">
        <v>1.6</v>
      </c>
      <c r="AQ687" s="111">
        <f t="shared" si="206"/>
        <v>3.7959595959595957E-2</v>
      </c>
      <c r="AR687">
        <f>_xlfn.XLOOKUP(F687,'RM Cost'!A:A,'RM Cost'!S:S)</f>
        <v>0</v>
      </c>
      <c r="AS687" t="str">
        <f>_xlfn.XLOOKUP(A687,[3]Sheet1!$B:$B,[3]Sheet1!$B:$B)</f>
        <v>Z161CS</v>
      </c>
      <c r="AT687">
        <f>_xlfn.XLOOKUP(H687,'Yield &amp; Time'!A:A,'Yield &amp; Time'!F:F)</f>
        <v>0</v>
      </c>
    </row>
    <row r="688" spans="1:46" x14ac:dyDescent="0.25">
      <c r="A688" s="2" t="s">
        <v>809</v>
      </c>
      <c r="B688" s="2" t="s">
        <v>656</v>
      </c>
      <c r="C688" s="2" t="s">
        <v>810</v>
      </c>
      <c r="D688" s="2" t="s">
        <v>554</v>
      </c>
      <c r="E688" s="2">
        <v>1</v>
      </c>
      <c r="F688" s="1" t="str">
        <f>VLOOKUP(H688,'RM Used'!A:B,2,0)</f>
        <v>P0008</v>
      </c>
      <c r="G688" s="1" t="str">
        <f>IFERROR(VLOOKUP(F688,'RM Cost'!A:B,2,0),"")</f>
        <v>PALE BLUE BAG 470X750MM</v>
      </c>
      <c r="H688" s="2" t="s">
        <v>1323</v>
      </c>
      <c r="I688" s="1" t="str">
        <f>VLOOKUP(F688,'RM Used'!B:D,3,0)</f>
        <v>RM-PACKING</v>
      </c>
      <c r="J688" s="66">
        <v>1</v>
      </c>
      <c r="K688" s="35" t="str">
        <f t="shared" si="210"/>
        <v/>
      </c>
      <c r="L688" s="35">
        <f t="shared" si="198"/>
        <v>0</v>
      </c>
      <c r="M688" s="77" t="str" cm="1">
        <f t="array" ref="M688">_xlfn.IFS(BOM!I688="RM-PACKING","100%",B688="Reynolds",VLOOKUP(H688,'Yield &amp; Time'!A:V,22,0),BOM!B688="Dnata",VLOOKUP(BOM!H688,'Yield &amp; Time'!A:M,13,0),B688="NK",VLOOKUP(H688,'Yield &amp; Time'!A:X,24,0))</f>
        <v>100%</v>
      </c>
      <c r="N688" s="35">
        <f t="shared" si="209"/>
        <v>1</v>
      </c>
      <c r="O688" s="1" t="str">
        <f>VLOOKUP(H688,'RM Used'!A:E,5,0)</f>
        <v>Count</v>
      </c>
      <c r="P688" s="11">
        <f>VLOOKUP(H688,'RM Used'!A:F,6,0)</f>
        <v>0.14000000000000001</v>
      </c>
      <c r="Q688" s="11">
        <f t="shared" si="207"/>
        <v>0.14000000000000001</v>
      </c>
      <c r="R688" s="11">
        <f>IFERROR(IF(B688="Reynolds",VLOOKUP(H688,'Yield &amp; Time'!A:U,21,0),VLOOKUP(H688,'Yield &amp; Time'!A:L,12,0)),0)</f>
        <v>0</v>
      </c>
      <c r="S688" s="11">
        <f t="shared" si="199"/>
        <v>0</v>
      </c>
      <c r="T688" s="11">
        <f t="shared" si="200"/>
        <v>0</v>
      </c>
      <c r="U688" s="11">
        <f>IF(A687=A688,0,VLOOKUP(A688,'Packing Time'!A:F,6,0))</f>
        <v>0</v>
      </c>
      <c r="V688" s="11">
        <f t="shared" si="211"/>
        <v>0</v>
      </c>
      <c r="W688" s="11">
        <f t="shared" si="212"/>
        <v>0</v>
      </c>
      <c r="X688" s="11">
        <f t="shared" si="201"/>
        <v>0</v>
      </c>
      <c r="Y688" s="11">
        <f t="shared" si="213"/>
        <v>0</v>
      </c>
      <c r="Z688" s="37">
        <v>1</v>
      </c>
      <c r="AA688" s="36">
        <f t="shared" si="202"/>
        <v>1</v>
      </c>
      <c r="AB688" s="36">
        <f t="shared" si="203"/>
        <v>0.14000000000000001</v>
      </c>
      <c r="AC688" s="11">
        <f t="shared" si="204"/>
        <v>0</v>
      </c>
      <c r="AD688" s="36">
        <f t="shared" si="214"/>
        <v>0</v>
      </c>
      <c r="AE688" s="36"/>
      <c r="AF688" s="36">
        <f>IFERROR(VLOOKUP(AE688,'Chemical Cost'!A:D,4,0),0)</f>
        <v>0</v>
      </c>
      <c r="AG688" s="114">
        <f t="shared" si="205"/>
        <v>0</v>
      </c>
      <c r="AH688" s="36">
        <f t="shared" si="208"/>
        <v>0</v>
      </c>
      <c r="AI688" s="36">
        <f t="shared" si="215"/>
        <v>0.14000000000000001</v>
      </c>
      <c r="AJ688" s="36">
        <f>IFERROR(VLOOKUP(A688,'All Products'!A:F,6,0),0)</f>
        <v>5.41</v>
      </c>
      <c r="AK688" s="36"/>
      <c r="AL688" s="23">
        <v>0.8</v>
      </c>
      <c r="AM688" s="23">
        <v>0.2</v>
      </c>
      <c r="AN688" s="54" t="e">
        <v>#N/A</v>
      </c>
      <c r="AO688" s="47"/>
      <c r="AP688" s="4">
        <v>1.6</v>
      </c>
      <c r="AQ688" s="111">
        <f t="shared" si="206"/>
        <v>0</v>
      </c>
      <c r="AR688">
        <f>_xlfn.XLOOKUP(F688,'RM Cost'!A:A,'RM Cost'!S:S)</f>
        <v>0</v>
      </c>
      <c r="AS688" t="str">
        <f>_xlfn.XLOOKUP(A688,[3]Sheet1!$B:$B,[3]Sheet1!$B:$B)</f>
        <v>Z161CS</v>
      </c>
      <c r="AT688" t="e">
        <f>_xlfn.XLOOKUP(H688,'Yield &amp; Time'!A:A,'Yield &amp; Time'!F:F)</f>
        <v>#N/A</v>
      </c>
    </row>
    <row r="689" spans="1:46" x14ac:dyDescent="0.25">
      <c r="A689" s="2" t="s">
        <v>811</v>
      </c>
      <c r="B689" s="2" t="s">
        <v>656</v>
      </c>
      <c r="C689" s="2" t="s">
        <v>812</v>
      </c>
      <c r="D689" s="2" t="s">
        <v>554</v>
      </c>
      <c r="E689" s="2">
        <v>2.5</v>
      </c>
      <c r="F689" s="1" t="str">
        <f>VLOOKUP(H689,'RM Used'!A:B,2,0)</f>
        <v>3136CS</v>
      </c>
      <c r="G689" s="1" t="str">
        <f>IFERROR(VLOOKUP(F689,'RM Cost'!A:B,2,0),"")</f>
        <v>RM - PROCESSING LEEKS 5KG</v>
      </c>
      <c r="H689" s="2" t="s">
        <v>1525</v>
      </c>
      <c r="I689" s="1" t="str">
        <f>VLOOKUP(F689,'RM Used'!B:D,3,0)</f>
        <v>RM-FOOD</v>
      </c>
      <c r="J689" s="66">
        <v>1</v>
      </c>
      <c r="K689" s="35">
        <f t="shared" si="210"/>
        <v>2.5</v>
      </c>
      <c r="L689" s="35">
        <f t="shared" si="198"/>
        <v>2.5</v>
      </c>
      <c r="M689" s="77" cm="1">
        <f t="array" ref="M689">_xlfn.IFS(BOM!I689="RM-PACKING","100%",B689="Reynolds",VLOOKUP(H689,'Yield &amp; Time'!A:V,22,0),BOM!B689="Dnata",VLOOKUP(BOM!H689,'Yield &amp; Time'!A:M,13,0),B689="NK",VLOOKUP(H689,'Yield &amp; Time'!A:X,24,0))</f>
        <v>0.6657894736842106</v>
      </c>
      <c r="N689" s="35">
        <f t="shared" si="209"/>
        <v>3.7549407114624502</v>
      </c>
      <c r="O689" s="1" t="str">
        <f>VLOOKUP(H689,'RM Used'!A:E,5,0)</f>
        <v>KG</v>
      </c>
      <c r="P689" s="11">
        <f>VLOOKUP(H689,'RM Used'!A:F,6,0)</f>
        <v>1.05</v>
      </c>
      <c r="Q689" s="11">
        <f t="shared" si="207"/>
        <v>3.9426877470355728</v>
      </c>
      <c r="R689" s="11">
        <f>IFERROR(IF(B689="Reynolds",VLOOKUP(H689,'Yield &amp; Time'!A:U,21,0),VLOOKUP(H689,'Yield &amp; Time'!A:L,12,0)),0)</f>
        <v>0.78181818181818175</v>
      </c>
      <c r="S689" s="11">
        <f t="shared" si="199"/>
        <v>0.66161363636363624</v>
      </c>
      <c r="T689" s="11">
        <f t="shared" si="200"/>
        <v>3.257575757575757E-2</v>
      </c>
      <c r="U689" s="11">
        <f>IF(A688=A689,0,VLOOKUP(A689,'Packing Time'!A:F,6,0))</f>
        <v>0.875</v>
      </c>
      <c r="V689" s="11">
        <f t="shared" si="211"/>
        <v>0.29618749999999999</v>
      </c>
      <c r="W689" s="11">
        <f t="shared" si="212"/>
        <v>1.4583333333333334E-2</v>
      </c>
      <c r="X689" s="11">
        <f t="shared" si="201"/>
        <v>1.5324818181818181</v>
      </c>
      <c r="Y689" s="11">
        <f t="shared" si="213"/>
        <v>1.5324818181818181</v>
      </c>
      <c r="Z689" s="37">
        <v>1</v>
      </c>
      <c r="AA689" s="36">
        <f t="shared" si="202"/>
        <v>3.7549407114624502</v>
      </c>
      <c r="AB689" s="36">
        <f t="shared" si="203"/>
        <v>3.9426877470355728</v>
      </c>
      <c r="AC689" s="11">
        <f t="shared" si="204"/>
        <v>7.5454545454545441E-2</v>
      </c>
      <c r="AD689" s="36">
        <f t="shared" si="214"/>
        <v>1.5324818181818178</v>
      </c>
      <c r="AE689" s="36"/>
      <c r="AF689" s="36">
        <f>IFERROR(VLOOKUP(AE689,'Chemical Cost'!A:D,4,0),0)</f>
        <v>0</v>
      </c>
      <c r="AG689" s="114">
        <f t="shared" si="205"/>
        <v>0</v>
      </c>
      <c r="AH689" s="36">
        <f t="shared" si="208"/>
        <v>0</v>
      </c>
      <c r="AI689" s="36">
        <f t="shared" si="215"/>
        <v>5.4751695652173904</v>
      </c>
      <c r="AJ689" s="36">
        <f>IFERROR(VLOOKUP(A689,'All Products'!A:F,6,0),0)</f>
        <v>13.51</v>
      </c>
      <c r="AK689" s="36">
        <f>AJ689*Z689*J689</f>
        <v>13.51</v>
      </c>
      <c r="AL689" s="23">
        <v>0.8</v>
      </c>
      <c r="AM689" s="23">
        <v>0.2</v>
      </c>
      <c r="AN689" s="54" t="e">
        <v>#N/A</v>
      </c>
      <c r="AO689" s="47"/>
      <c r="AP689" s="4">
        <v>1.6</v>
      </c>
      <c r="AQ689" s="111">
        <f t="shared" si="206"/>
        <v>7.5454545454545441E-2</v>
      </c>
      <c r="AR689">
        <f>_xlfn.XLOOKUP(F689,'RM Cost'!A:A,'RM Cost'!S:S)</f>
        <v>0</v>
      </c>
      <c r="AS689" t="str">
        <f>_xlfn.XLOOKUP(A689,[3]Sheet1!$B:$B,[3]Sheet1!$B:$B)</f>
        <v>Z160CS</v>
      </c>
      <c r="AT689">
        <f>_xlfn.XLOOKUP(H689,'Yield &amp; Time'!A:A,'Yield &amp; Time'!F:F)</f>
        <v>0</v>
      </c>
    </row>
    <row r="690" spans="1:46" x14ac:dyDescent="0.25">
      <c r="A690" s="2" t="s">
        <v>811</v>
      </c>
      <c r="B690" s="2" t="s">
        <v>656</v>
      </c>
      <c r="C690" s="2" t="s">
        <v>812</v>
      </c>
      <c r="D690" s="2" t="s">
        <v>554</v>
      </c>
      <c r="E690" s="2">
        <v>2.5</v>
      </c>
      <c r="F690" s="1" t="str">
        <f>VLOOKUP(H690,'RM Used'!A:B,2,0)</f>
        <v>P0008</v>
      </c>
      <c r="G690" s="1" t="str">
        <f>IFERROR(VLOOKUP(F690,'RM Cost'!A:B,2,0),"")</f>
        <v>PALE BLUE BAG 470X750MM</v>
      </c>
      <c r="H690" s="2" t="s">
        <v>1323</v>
      </c>
      <c r="I690" s="1" t="str">
        <f>VLOOKUP(F690,'RM Used'!B:D,3,0)</f>
        <v>RM-PACKING</v>
      </c>
      <c r="J690" s="66">
        <v>1</v>
      </c>
      <c r="K690" s="35" t="str">
        <f t="shared" si="210"/>
        <v/>
      </c>
      <c r="L690" s="35">
        <f t="shared" si="198"/>
        <v>0</v>
      </c>
      <c r="M690" s="77" t="str" cm="1">
        <f t="array" ref="M690">_xlfn.IFS(BOM!I690="RM-PACKING","100%",B690="Reynolds",VLOOKUP(H690,'Yield &amp; Time'!A:V,22,0),BOM!B690="Dnata",VLOOKUP(BOM!H690,'Yield &amp; Time'!A:M,13,0),B690="NK",VLOOKUP(H690,'Yield &amp; Time'!A:X,24,0))</f>
        <v>100%</v>
      </c>
      <c r="N690" s="35">
        <f t="shared" si="209"/>
        <v>1</v>
      </c>
      <c r="O690" s="1" t="str">
        <f>VLOOKUP(H690,'RM Used'!A:E,5,0)</f>
        <v>Count</v>
      </c>
      <c r="P690" s="11">
        <f>VLOOKUP(H690,'RM Used'!A:F,6,0)</f>
        <v>0.14000000000000001</v>
      </c>
      <c r="Q690" s="11">
        <f t="shared" si="207"/>
        <v>0.14000000000000001</v>
      </c>
      <c r="R690" s="11">
        <f>IFERROR(IF(B690="Reynolds",VLOOKUP(H690,'Yield &amp; Time'!A:U,21,0),VLOOKUP(H690,'Yield &amp; Time'!A:L,12,0)),0)</f>
        <v>0</v>
      </c>
      <c r="S690" s="11">
        <f t="shared" si="199"/>
        <v>0</v>
      </c>
      <c r="T690" s="11">
        <f t="shared" si="200"/>
        <v>0</v>
      </c>
      <c r="U690" s="11">
        <f>IF(A689=A690,0,VLOOKUP(A690,'Packing Time'!A:F,6,0))</f>
        <v>0</v>
      </c>
      <c r="V690" s="11">
        <f t="shared" si="211"/>
        <v>0</v>
      </c>
      <c r="W690" s="11">
        <f t="shared" si="212"/>
        <v>0</v>
      </c>
      <c r="X690" s="11">
        <f t="shared" si="201"/>
        <v>0</v>
      </c>
      <c r="Y690" s="11">
        <f t="shared" si="213"/>
        <v>0</v>
      </c>
      <c r="Z690" s="37">
        <v>1</v>
      </c>
      <c r="AA690" s="36">
        <f t="shared" si="202"/>
        <v>1</v>
      </c>
      <c r="AB690" s="36">
        <f t="shared" si="203"/>
        <v>0.14000000000000001</v>
      </c>
      <c r="AC690" s="11">
        <f t="shared" si="204"/>
        <v>0</v>
      </c>
      <c r="AD690" s="36">
        <f t="shared" si="214"/>
        <v>0</v>
      </c>
      <c r="AE690" s="36"/>
      <c r="AF690" s="36">
        <f>IFERROR(VLOOKUP(AE690,'Chemical Cost'!A:D,4,0),0)</f>
        <v>0</v>
      </c>
      <c r="AG690" s="114">
        <f t="shared" si="205"/>
        <v>0</v>
      </c>
      <c r="AH690" s="36">
        <f t="shared" si="208"/>
        <v>0</v>
      </c>
      <c r="AI690" s="36">
        <f t="shared" si="215"/>
        <v>0.14000000000000001</v>
      </c>
      <c r="AJ690" s="36">
        <f>IFERROR(VLOOKUP(A690,'All Products'!A:F,6,0),0)</f>
        <v>13.51</v>
      </c>
      <c r="AK690" s="36"/>
      <c r="AL690" s="23">
        <v>0.8</v>
      </c>
      <c r="AM690" s="23">
        <v>0.2</v>
      </c>
      <c r="AN690" s="54" t="e">
        <v>#N/A</v>
      </c>
      <c r="AO690" s="47"/>
      <c r="AP690" s="4">
        <v>1.6</v>
      </c>
      <c r="AQ690" s="111">
        <f t="shared" si="206"/>
        <v>0</v>
      </c>
      <c r="AR690">
        <f>_xlfn.XLOOKUP(F690,'RM Cost'!A:A,'RM Cost'!S:S)</f>
        <v>0</v>
      </c>
      <c r="AS690" t="str">
        <f>_xlfn.XLOOKUP(A690,[3]Sheet1!$B:$B,[3]Sheet1!$B:$B)</f>
        <v>Z160CS</v>
      </c>
      <c r="AT690" t="e">
        <f>_xlfn.XLOOKUP(H690,'Yield &amp; Time'!A:A,'Yield &amp; Time'!F:F)</f>
        <v>#N/A</v>
      </c>
    </row>
    <row r="691" spans="1:46" x14ac:dyDescent="0.25">
      <c r="A691" s="2" t="s">
        <v>813</v>
      </c>
      <c r="B691" s="2" t="s">
        <v>656</v>
      </c>
      <c r="C691" s="2" t="s">
        <v>814</v>
      </c>
      <c r="D691" s="2" t="s">
        <v>554</v>
      </c>
      <c r="E691" s="2">
        <v>1</v>
      </c>
      <c r="F691" s="1" t="str">
        <f>VLOOKUP(H691,'RM Used'!A:B,2,0)</f>
        <v>3547CS</v>
      </c>
      <c r="G691" s="1" t="str">
        <f>IFERROR(VLOOKUP(F691,'RM Cost'!A:B,2,0),"")</f>
        <v>LETTUCE LITTLE GEM X16 PKT</v>
      </c>
      <c r="H691" s="2" t="s">
        <v>1526</v>
      </c>
      <c r="I691" s="1" t="str">
        <f>VLOOKUP(F691,'RM Used'!B:D,3,0)</f>
        <v>RM-FOOD</v>
      </c>
      <c r="J691" s="66">
        <v>1</v>
      </c>
      <c r="K691" s="35">
        <f t="shared" si="210"/>
        <v>1</v>
      </c>
      <c r="L691" s="35">
        <f t="shared" si="198"/>
        <v>1</v>
      </c>
      <c r="M691" s="77" cm="1">
        <f t="array" ref="M691">_xlfn.IFS(BOM!I691="RM-PACKING","100%",B691="Reynolds",VLOOKUP(H691,'Yield &amp; Time'!A:V,22,0),BOM!B691="Dnata",VLOOKUP(BOM!H691,'Yield &amp; Time'!A:M,13,0),B691="NK",VLOOKUP(H691,'Yield &amp; Time'!A:X,24,0))</f>
        <v>0.9078014184397164</v>
      </c>
      <c r="N691" s="35">
        <f t="shared" si="209"/>
        <v>1.1015625</v>
      </c>
      <c r="O691" s="1" t="str">
        <f>VLOOKUP(H691,'RM Used'!A:E,5,0)</f>
        <v>KG</v>
      </c>
      <c r="P691" s="11">
        <f>VLOOKUP(H691,'RM Used'!A:F,6,0)</f>
        <v>2.0699999999999998</v>
      </c>
      <c r="Q691" s="11">
        <f t="shared" si="207"/>
        <v>2.280234375</v>
      </c>
      <c r="R691" s="11">
        <f>IFERROR(IF(B691="Reynolds",VLOOKUP(H691,'Yield &amp; Time'!A:U,21,0),VLOOKUP(H691,'Yield &amp; Time'!A:L,12,0)),0)</f>
        <v>1.7406250000000001</v>
      </c>
      <c r="S691" s="11">
        <f t="shared" si="199"/>
        <v>0.5892015625</v>
      </c>
      <c r="T691" s="11">
        <f t="shared" si="200"/>
        <v>2.9010416666666667E-2</v>
      </c>
      <c r="U691" s="11">
        <f>IF(A690=A691,0,VLOOKUP(A691,'Packing Time'!A:F,6,0))</f>
        <v>0.64166666666666661</v>
      </c>
      <c r="V691" s="11">
        <f t="shared" si="211"/>
        <v>0.21720416666666661</v>
      </c>
      <c r="W691" s="11">
        <f t="shared" si="212"/>
        <v>1.0694444444444444E-2</v>
      </c>
      <c r="X691" s="11">
        <f t="shared" si="201"/>
        <v>1.2902491666666667</v>
      </c>
      <c r="Y691" s="11">
        <f t="shared" si="213"/>
        <v>1.2902491666666667</v>
      </c>
      <c r="Z691" s="37">
        <v>1</v>
      </c>
      <c r="AA691" s="36">
        <f t="shared" si="202"/>
        <v>1.1015625</v>
      </c>
      <c r="AB691" s="36">
        <f t="shared" si="203"/>
        <v>2.280234375</v>
      </c>
      <c r="AC691" s="11">
        <f t="shared" si="204"/>
        <v>6.352777777777778E-2</v>
      </c>
      <c r="AD691" s="36">
        <f t="shared" si="214"/>
        <v>1.2902491666666667</v>
      </c>
      <c r="AE691" s="36" t="str">
        <f>VLOOKUP(H691,'Yield &amp; Time'!A:I,9,0)</f>
        <v>CHLORINE</v>
      </c>
      <c r="AF691" s="36">
        <f>IFERROR(VLOOKUP(AE691,'Chemical Cost'!A:D,4,0),0)</f>
        <v>2.7756518066439469E-2</v>
      </c>
      <c r="AG691" s="114">
        <f t="shared" si="205"/>
        <v>1.0191846477520743E-2</v>
      </c>
      <c r="AH691" s="36">
        <f t="shared" si="208"/>
        <v>1.0191846477520743E-2</v>
      </c>
      <c r="AI691" s="36">
        <f t="shared" si="215"/>
        <v>3.5806753881441873</v>
      </c>
      <c r="AJ691" s="36">
        <f>IFERROR(VLOOKUP(A691,'All Products'!A:F,6,0),0)</f>
        <v>10.11</v>
      </c>
      <c r="AK691" s="36">
        <f>AJ691*Z691*J691</f>
        <v>10.11</v>
      </c>
      <c r="AL691" s="23">
        <v>0</v>
      </c>
      <c r="AM691" s="23">
        <v>1</v>
      </c>
      <c r="AN691" s="54" t="e">
        <v>#N/A</v>
      </c>
      <c r="AO691" s="47"/>
      <c r="AP691" s="4">
        <v>1.6</v>
      </c>
      <c r="AQ691" s="111">
        <f t="shared" si="206"/>
        <v>6.352777777777778E-2</v>
      </c>
      <c r="AR691">
        <f>_xlfn.XLOOKUP(F691,'RM Cost'!A:A,'RM Cost'!S:S)</f>
        <v>0</v>
      </c>
      <c r="AS691" t="e">
        <f>_xlfn.XLOOKUP(A691,[3]Sheet1!$B:$B,[3]Sheet1!$B:$B)</f>
        <v>#N/A</v>
      </c>
    </row>
    <row r="692" spans="1:46" x14ac:dyDescent="0.25">
      <c r="A692" s="2" t="s">
        <v>813</v>
      </c>
      <c r="B692" s="2" t="s">
        <v>656</v>
      </c>
      <c r="C692" s="2" t="s">
        <v>814</v>
      </c>
      <c r="D692" s="2" t="s">
        <v>554</v>
      </c>
      <c r="E692" s="2">
        <v>1</v>
      </c>
      <c r="F692" s="1" t="str">
        <f>VLOOKUP(H692,'RM Used'!A:B,2,0)</f>
        <v>P0008</v>
      </c>
      <c r="G692" s="1" t="str">
        <f>IFERROR(VLOOKUP(F692,'RM Cost'!A:B,2,0),"")</f>
        <v>PALE BLUE BAG 470X750MM</v>
      </c>
      <c r="H692" s="2" t="s">
        <v>1323</v>
      </c>
      <c r="I692" s="1" t="str">
        <f>VLOOKUP(F692,'RM Used'!B:D,3,0)</f>
        <v>RM-PACKING</v>
      </c>
      <c r="J692" s="66">
        <v>1</v>
      </c>
      <c r="K692" s="35" t="str">
        <f t="shared" si="210"/>
        <v/>
      </c>
      <c r="L692" s="35">
        <f t="shared" si="198"/>
        <v>0</v>
      </c>
      <c r="M692" s="77" t="str" cm="1">
        <f t="array" ref="M692">_xlfn.IFS(BOM!I692="RM-PACKING","100%",B692="Reynolds",VLOOKUP(H692,'Yield &amp; Time'!A:V,22,0),BOM!B692="Dnata",VLOOKUP(BOM!H692,'Yield &amp; Time'!A:M,13,0),B692="NK",VLOOKUP(H692,'Yield &amp; Time'!A:X,24,0))</f>
        <v>100%</v>
      </c>
      <c r="N692" s="35">
        <f t="shared" si="209"/>
        <v>1</v>
      </c>
      <c r="O692" s="1" t="str">
        <f>VLOOKUP(H692,'RM Used'!A:E,5,0)</f>
        <v>Count</v>
      </c>
      <c r="P692" s="11">
        <f>VLOOKUP(H692,'RM Used'!A:F,6,0)</f>
        <v>0.14000000000000001</v>
      </c>
      <c r="Q692" s="11">
        <f t="shared" si="207"/>
        <v>0.14000000000000001</v>
      </c>
      <c r="R692" s="11">
        <f>IFERROR(IF(B692="Reynolds",VLOOKUP(H692,'Yield &amp; Time'!A:U,21,0),VLOOKUP(H692,'Yield &amp; Time'!A:L,12,0)),0)</f>
        <v>0</v>
      </c>
      <c r="S692" s="11">
        <f t="shared" si="199"/>
        <v>0</v>
      </c>
      <c r="T692" s="11">
        <f t="shared" si="200"/>
        <v>0</v>
      </c>
      <c r="U692" s="11">
        <f>IF(A691=A692,0,VLOOKUP(A692,'Packing Time'!A:F,6,0))</f>
        <v>0</v>
      </c>
      <c r="V692" s="11">
        <f t="shared" si="211"/>
        <v>0</v>
      </c>
      <c r="W692" s="11">
        <f t="shared" si="212"/>
        <v>0</v>
      </c>
      <c r="X692" s="11">
        <f t="shared" si="201"/>
        <v>0</v>
      </c>
      <c r="Y692" s="11">
        <f t="shared" si="213"/>
        <v>0</v>
      </c>
      <c r="Z692" s="37">
        <v>1</v>
      </c>
      <c r="AA692" s="36">
        <f t="shared" si="202"/>
        <v>1</v>
      </c>
      <c r="AB692" s="36">
        <f t="shared" si="203"/>
        <v>0.14000000000000001</v>
      </c>
      <c r="AC692" s="11">
        <f t="shared" si="204"/>
        <v>0</v>
      </c>
      <c r="AD692" s="36">
        <f t="shared" si="214"/>
        <v>0</v>
      </c>
      <c r="AE692" s="36"/>
      <c r="AF692" s="36">
        <f>IFERROR(VLOOKUP(AE692,'Chemical Cost'!A:D,4,0),0)</f>
        <v>0</v>
      </c>
      <c r="AG692" s="114">
        <f t="shared" si="205"/>
        <v>0</v>
      </c>
      <c r="AH692" s="36">
        <f t="shared" si="208"/>
        <v>0</v>
      </c>
      <c r="AI692" s="36">
        <f t="shared" si="215"/>
        <v>0.14000000000000001</v>
      </c>
      <c r="AJ692" s="36">
        <f>IFERROR(VLOOKUP(A692,'All Products'!A:F,6,0),0)</f>
        <v>10.11</v>
      </c>
      <c r="AK692" s="36"/>
      <c r="AL692" s="23">
        <v>0</v>
      </c>
      <c r="AM692" s="23">
        <v>1</v>
      </c>
      <c r="AN692" s="54" t="e">
        <v>#N/A</v>
      </c>
      <c r="AO692" s="47"/>
      <c r="AP692" s="4">
        <v>1.6</v>
      </c>
      <c r="AQ692" s="111">
        <f t="shared" si="206"/>
        <v>0</v>
      </c>
      <c r="AR692">
        <f>_xlfn.XLOOKUP(F692,'RM Cost'!A:A,'RM Cost'!S:S)</f>
        <v>0</v>
      </c>
      <c r="AS692" t="e">
        <f>_xlfn.XLOOKUP(A692,[3]Sheet1!$B:$B,[3]Sheet1!$B:$B)</f>
        <v>#N/A</v>
      </c>
    </row>
    <row r="693" spans="1:46" x14ac:dyDescent="0.25">
      <c r="A693" s="2" t="s">
        <v>815</v>
      </c>
      <c r="B693" s="2" t="s">
        <v>656</v>
      </c>
      <c r="C693" s="2" t="s">
        <v>816</v>
      </c>
      <c r="D693" s="2" t="s">
        <v>554</v>
      </c>
      <c r="E693" s="2">
        <v>2.5</v>
      </c>
      <c r="F693" s="1" t="str">
        <f>VLOOKUP(H693,'RM Used'!A:B,2,0)</f>
        <v>3547CS</v>
      </c>
      <c r="G693" s="1" t="str">
        <f>IFERROR(VLOOKUP(F693,'RM Cost'!A:B,2,0),"")</f>
        <v>LETTUCE LITTLE GEM X16 PKT</v>
      </c>
      <c r="H693" s="2" t="s">
        <v>1526</v>
      </c>
      <c r="I693" s="1" t="str">
        <f>VLOOKUP(F693,'RM Used'!B:D,3,0)</f>
        <v>RM-FOOD</v>
      </c>
      <c r="J693" s="66">
        <v>1</v>
      </c>
      <c r="K693" s="35">
        <f t="shared" si="210"/>
        <v>2.5</v>
      </c>
      <c r="L693" s="35">
        <f t="shared" si="198"/>
        <v>2.5</v>
      </c>
      <c r="M693" s="77" cm="1">
        <f t="array" ref="M693">_xlfn.IFS(BOM!I693="RM-PACKING","100%",B693="Reynolds",VLOOKUP(H693,'Yield &amp; Time'!A:V,22,0),BOM!B693="Dnata",VLOOKUP(BOM!H693,'Yield &amp; Time'!A:M,13,0),B693="NK",VLOOKUP(H693,'Yield &amp; Time'!A:X,24,0))</f>
        <v>0.9078014184397164</v>
      </c>
      <c r="N693" s="35">
        <f t="shared" si="209"/>
        <v>2.7539062499999996</v>
      </c>
      <c r="O693" s="1" t="str">
        <f>VLOOKUP(H693,'RM Used'!A:E,5,0)</f>
        <v>KG</v>
      </c>
      <c r="P693" s="11">
        <f>VLOOKUP(H693,'RM Used'!A:F,6,0)</f>
        <v>2.0699999999999998</v>
      </c>
      <c r="Q693" s="11">
        <f t="shared" si="207"/>
        <v>5.7005859374999988</v>
      </c>
      <c r="R693" s="11">
        <f>IFERROR(IF(B693="Reynolds",VLOOKUP(H693,'Yield &amp; Time'!A:U,21,0),VLOOKUP(H693,'Yield &amp; Time'!A:L,12,0)),0)</f>
        <v>1.7406250000000001</v>
      </c>
      <c r="S693" s="11">
        <f t="shared" si="199"/>
        <v>1.4730039062499998</v>
      </c>
      <c r="T693" s="11">
        <f t="shared" si="200"/>
        <v>7.2526041666666666E-2</v>
      </c>
      <c r="U693" s="11">
        <f>IF(A692=A693,0,VLOOKUP(A693,'Packing Time'!A:F,6,0))</f>
        <v>0.875</v>
      </c>
      <c r="V693" s="11">
        <f t="shared" si="211"/>
        <v>0.29618749999999999</v>
      </c>
      <c r="W693" s="11">
        <f t="shared" si="212"/>
        <v>1.4583333333333334E-2</v>
      </c>
      <c r="X693" s="11">
        <f t="shared" si="201"/>
        <v>2.83070625</v>
      </c>
      <c r="Y693" s="11">
        <f t="shared" si="213"/>
        <v>2.83070625</v>
      </c>
      <c r="Z693" s="37">
        <v>1</v>
      </c>
      <c r="AA693" s="36">
        <f t="shared" si="202"/>
        <v>2.7539062499999996</v>
      </c>
      <c r="AB693" s="36">
        <f t="shared" si="203"/>
        <v>5.7005859374999988</v>
      </c>
      <c r="AC693" s="11">
        <f t="shared" si="204"/>
        <v>0.139375</v>
      </c>
      <c r="AD693" s="36">
        <f t="shared" si="214"/>
        <v>2.83070625</v>
      </c>
      <c r="AE693" s="36" t="str">
        <f>VLOOKUP(H693,'Yield &amp; Time'!A:I,9,0)</f>
        <v>CHLORINE</v>
      </c>
      <c r="AF693" s="36">
        <f>IFERROR(VLOOKUP(AE693,'Chemical Cost'!A:D,4,0),0)</f>
        <v>2.7756518066439469E-2</v>
      </c>
      <c r="AG693" s="114">
        <f t="shared" si="205"/>
        <v>2.547961619380185E-2</v>
      </c>
      <c r="AH693" s="36">
        <f t="shared" si="208"/>
        <v>2.547961619380185E-2</v>
      </c>
      <c r="AI693" s="36">
        <f t="shared" si="215"/>
        <v>8.5567718036938007</v>
      </c>
      <c r="AJ693" s="36">
        <f>IFERROR(VLOOKUP(A693,'All Products'!A:F,6,0),0)</f>
        <v>25.28</v>
      </c>
      <c r="AK693" s="36">
        <f>AJ693*Z693*J693</f>
        <v>25.28</v>
      </c>
      <c r="AL693" s="23">
        <v>0</v>
      </c>
      <c r="AM693" s="23">
        <v>1</v>
      </c>
      <c r="AN693" s="54" t="e">
        <v>#N/A</v>
      </c>
      <c r="AO693" s="47"/>
      <c r="AP693" s="4">
        <v>1.6</v>
      </c>
      <c r="AQ693" s="111">
        <f t="shared" si="206"/>
        <v>0.139375</v>
      </c>
      <c r="AR693">
        <f>_xlfn.XLOOKUP(F693,'RM Cost'!A:A,'RM Cost'!S:S)</f>
        <v>0</v>
      </c>
      <c r="AS693" t="e">
        <f>_xlfn.XLOOKUP(A693,[3]Sheet1!$B:$B,[3]Sheet1!$B:$B)</f>
        <v>#N/A</v>
      </c>
    </row>
    <row r="694" spans="1:46" x14ac:dyDescent="0.25">
      <c r="A694" s="2" t="s">
        <v>815</v>
      </c>
      <c r="B694" s="2" t="s">
        <v>656</v>
      </c>
      <c r="C694" s="2" t="s">
        <v>816</v>
      </c>
      <c r="D694" s="2" t="s">
        <v>554</v>
      </c>
      <c r="E694" s="2">
        <v>2.5</v>
      </c>
      <c r="F694" s="1" t="str">
        <f>VLOOKUP(H694,'RM Used'!A:B,2,0)</f>
        <v>P0008</v>
      </c>
      <c r="G694" s="1" t="str">
        <f>IFERROR(VLOOKUP(F694,'RM Cost'!A:B,2,0),"")</f>
        <v>PALE BLUE BAG 470X750MM</v>
      </c>
      <c r="H694" s="2" t="s">
        <v>1323</v>
      </c>
      <c r="I694" s="1" t="str">
        <f>VLOOKUP(F694,'RM Used'!B:D,3,0)</f>
        <v>RM-PACKING</v>
      </c>
      <c r="J694" s="66">
        <v>1</v>
      </c>
      <c r="K694" s="35" t="str">
        <f t="shared" si="210"/>
        <v/>
      </c>
      <c r="L694" s="35">
        <f t="shared" si="198"/>
        <v>0</v>
      </c>
      <c r="M694" s="77" t="str" cm="1">
        <f t="array" ref="M694">_xlfn.IFS(BOM!I694="RM-PACKING","100%",B694="Reynolds",VLOOKUP(H694,'Yield &amp; Time'!A:V,22,0),BOM!B694="Dnata",VLOOKUP(BOM!H694,'Yield &amp; Time'!A:M,13,0),B694="NK",VLOOKUP(H694,'Yield &amp; Time'!A:X,24,0))</f>
        <v>100%</v>
      </c>
      <c r="N694" s="35">
        <f t="shared" si="209"/>
        <v>1</v>
      </c>
      <c r="O694" s="1" t="str">
        <f>VLOOKUP(H694,'RM Used'!A:E,5,0)</f>
        <v>Count</v>
      </c>
      <c r="P694" s="11">
        <f>VLOOKUP(H694,'RM Used'!A:F,6,0)</f>
        <v>0.14000000000000001</v>
      </c>
      <c r="Q694" s="11">
        <f t="shared" si="207"/>
        <v>0.14000000000000001</v>
      </c>
      <c r="R694" s="11">
        <f>IFERROR(IF(B694="Reynolds",VLOOKUP(H694,'Yield &amp; Time'!A:U,21,0),VLOOKUP(H694,'Yield &amp; Time'!A:L,12,0)),0)</f>
        <v>0</v>
      </c>
      <c r="S694" s="11">
        <f t="shared" si="199"/>
        <v>0</v>
      </c>
      <c r="T694" s="11">
        <f t="shared" si="200"/>
        <v>0</v>
      </c>
      <c r="U694" s="11">
        <f>IF(A693=A694,0,VLOOKUP(A694,'Packing Time'!A:F,6,0))</f>
        <v>0</v>
      </c>
      <c r="V694" s="11">
        <f t="shared" si="211"/>
        <v>0</v>
      </c>
      <c r="W694" s="11">
        <f t="shared" si="212"/>
        <v>0</v>
      </c>
      <c r="X694" s="11">
        <f t="shared" si="201"/>
        <v>0</v>
      </c>
      <c r="Y694" s="11">
        <f t="shared" si="213"/>
        <v>0</v>
      </c>
      <c r="Z694" s="37">
        <v>1</v>
      </c>
      <c r="AA694" s="36">
        <f t="shared" si="202"/>
        <v>1</v>
      </c>
      <c r="AB694" s="36">
        <f t="shared" si="203"/>
        <v>0.14000000000000001</v>
      </c>
      <c r="AC694" s="11">
        <f t="shared" si="204"/>
        <v>0</v>
      </c>
      <c r="AD694" s="36">
        <f t="shared" si="214"/>
        <v>0</v>
      </c>
      <c r="AE694" s="36"/>
      <c r="AF694" s="36">
        <f>IFERROR(VLOOKUP(AE694,'Chemical Cost'!A:D,4,0),0)</f>
        <v>0</v>
      </c>
      <c r="AG694" s="114">
        <f t="shared" si="205"/>
        <v>0</v>
      </c>
      <c r="AH694" s="36">
        <f t="shared" si="208"/>
        <v>0</v>
      </c>
      <c r="AI694" s="36">
        <f t="shared" si="215"/>
        <v>0.14000000000000001</v>
      </c>
      <c r="AJ694" s="36">
        <f>IFERROR(VLOOKUP(A694,'All Products'!A:F,6,0),0)</f>
        <v>25.28</v>
      </c>
      <c r="AK694" s="36"/>
      <c r="AL694" s="23">
        <v>0</v>
      </c>
      <c r="AM694" s="23">
        <v>1</v>
      </c>
      <c r="AN694" s="54" t="e">
        <v>#N/A</v>
      </c>
      <c r="AO694" s="47"/>
      <c r="AP694" s="4">
        <v>1.6</v>
      </c>
      <c r="AQ694" s="111">
        <f t="shared" si="206"/>
        <v>0</v>
      </c>
      <c r="AR694">
        <f>_xlfn.XLOOKUP(F694,'RM Cost'!A:A,'RM Cost'!S:S)</f>
        <v>0</v>
      </c>
      <c r="AS694" t="e">
        <f>_xlfn.XLOOKUP(A694,[3]Sheet1!$B:$B,[3]Sheet1!$B:$B)</f>
        <v>#N/A</v>
      </c>
    </row>
    <row r="695" spans="1:46" x14ac:dyDescent="0.25">
      <c r="A695" s="2" t="s">
        <v>817</v>
      </c>
      <c r="B695" s="2" t="s">
        <v>656</v>
      </c>
      <c r="C695" s="2" t="s">
        <v>818</v>
      </c>
      <c r="D695" s="2" t="s">
        <v>554</v>
      </c>
      <c r="E695" s="2">
        <v>1</v>
      </c>
      <c r="F695" s="1" t="str">
        <f>VLOOKUP(H695,'RM Used'!A:B,2,0)</f>
        <v>3138CS</v>
      </c>
      <c r="G695" s="1" t="str">
        <f>IFERROR(VLOOKUP(F695,'RM Cost'!A:B,2,0),"")</f>
        <v>RM - MANGETOUT 2KG</v>
      </c>
      <c r="H695" s="2" t="s">
        <v>1527</v>
      </c>
      <c r="I695" s="1" t="str">
        <f>VLOOKUP(F695,'RM Used'!B:D,3,0)</f>
        <v>RM-FOOD</v>
      </c>
      <c r="J695" s="66">
        <v>1</v>
      </c>
      <c r="K695" s="35">
        <f t="shared" si="210"/>
        <v>1</v>
      </c>
      <c r="L695" s="35">
        <f t="shared" si="198"/>
        <v>1</v>
      </c>
      <c r="M695" s="77" cm="1">
        <f t="array" ref="M695">_xlfn.IFS(BOM!I695="RM-PACKING","100%",B695="Reynolds",VLOOKUP(H695,'Yield &amp; Time'!A:V,22,0),BOM!B695="Dnata",VLOOKUP(BOM!H695,'Yield &amp; Time'!A:M,13,0),B695="NK",VLOOKUP(H695,'Yield &amp; Time'!A:X,24,0))</f>
        <v>0.95249130938586302</v>
      </c>
      <c r="N695" s="35">
        <f t="shared" si="209"/>
        <v>1.0498783454987837</v>
      </c>
      <c r="O695" s="1" t="str">
        <f>VLOOKUP(H695,'RM Used'!A:E,5,0)</f>
        <v>KG</v>
      </c>
      <c r="P695" s="11">
        <f>VLOOKUP(H695,'RM Used'!A:F,6,0)</f>
        <v>4.13</v>
      </c>
      <c r="Q695" s="11">
        <f t="shared" si="207"/>
        <v>4.3359975669099766</v>
      </c>
      <c r="R695" s="11">
        <f>IFERROR(IF(B695="Reynolds",VLOOKUP(H695,'Yield &amp; Time'!A:U,21,0),VLOOKUP(H695,'Yield &amp; Time'!A:L,12,0)),0)</f>
        <v>16.950527169505275</v>
      </c>
      <c r="S695" s="11">
        <f t="shared" si="199"/>
        <v>5.7377534468775346</v>
      </c>
      <c r="T695" s="11">
        <f t="shared" si="200"/>
        <v>0.28250878615842123</v>
      </c>
      <c r="U695" s="11">
        <f>IF(A694=A695,0,VLOOKUP(A695,'Packing Time'!A:F,6,0))</f>
        <v>0.64166666666666661</v>
      </c>
      <c r="V695" s="11">
        <f t="shared" si="211"/>
        <v>0.21720416666666661</v>
      </c>
      <c r="W695" s="11">
        <f t="shared" si="212"/>
        <v>1.0694444444444444E-2</v>
      </c>
      <c r="X695" s="11">
        <f t="shared" si="201"/>
        <v>9.5279321816707228</v>
      </c>
      <c r="Y695" s="11">
        <f t="shared" si="213"/>
        <v>9.5279321816707228</v>
      </c>
      <c r="Z695" s="37">
        <v>1</v>
      </c>
      <c r="AA695" s="36">
        <f t="shared" si="202"/>
        <v>1.0498783454987837</v>
      </c>
      <c r="AB695" s="36">
        <f t="shared" si="203"/>
        <v>4.3359975669099766</v>
      </c>
      <c r="AC695" s="11">
        <f t="shared" si="204"/>
        <v>0.46912516896458512</v>
      </c>
      <c r="AD695" s="36">
        <f t="shared" si="214"/>
        <v>9.5279321816707228</v>
      </c>
      <c r="AE695" s="36"/>
      <c r="AF695" s="36">
        <f>IFERROR(VLOOKUP(AE695,'Chemical Cost'!A:D,4,0),0)</f>
        <v>0</v>
      </c>
      <c r="AG695" s="114">
        <f t="shared" si="205"/>
        <v>0</v>
      </c>
      <c r="AH695" s="36">
        <f t="shared" si="208"/>
        <v>0</v>
      </c>
      <c r="AI695" s="36">
        <f t="shared" si="215"/>
        <v>13.863929748580698</v>
      </c>
      <c r="AJ695" s="36">
        <f>IFERROR(VLOOKUP(A695,'All Products'!A:F,6,0),0)</f>
        <v>10.8</v>
      </c>
      <c r="AK695" s="36">
        <f>AJ695*Z695*J695</f>
        <v>10.8</v>
      </c>
      <c r="AL695" s="23">
        <v>1</v>
      </c>
      <c r="AM695" s="23"/>
      <c r="AN695" s="54" t="e">
        <v>#N/A</v>
      </c>
      <c r="AO695" s="47"/>
      <c r="AP695" s="4">
        <v>1.6</v>
      </c>
      <c r="AQ695" s="111">
        <f t="shared" si="206"/>
        <v>0.46912516896458512</v>
      </c>
      <c r="AR695">
        <f>_xlfn.XLOOKUP(F695,'RM Cost'!A:A,'RM Cost'!S:S)</f>
        <v>0</v>
      </c>
      <c r="AS695" t="e">
        <f>_xlfn.XLOOKUP(A695,[3]Sheet1!$B:$B,[3]Sheet1!$B:$B)</f>
        <v>#N/A</v>
      </c>
    </row>
    <row r="696" spans="1:46" x14ac:dyDescent="0.25">
      <c r="A696" s="2" t="s">
        <v>817</v>
      </c>
      <c r="B696" s="2" t="s">
        <v>656</v>
      </c>
      <c r="C696" s="2" t="s">
        <v>818</v>
      </c>
      <c r="D696" s="2" t="s">
        <v>554</v>
      </c>
      <c r="E696" s="2">
        <v>1</v>
      </c>
      <c r="F696" s="1" t="str">
        <f>VLOOKUP(H696,'RM Used'!A:B,2,0)</f>
        <v>P0008</v>
      </c>
      <c r="G696" s="1" t="str">
        <f>IFERROR(VLOOKUP(F696,'RM Cost'!A:B,2,0),"")</f>
        <v>PALE BLUE BAG 470X750MM</v>
      </c>
      <c r="H696" s="2" t="s">
        <v>1323</v>
      </c>
      <c r="I696" s="1" t="str">
        <f>VLOOKUP(F696,'RM Used'!B:D,3,0)</f>
        <v>RM-PACKING</v>
      </c>
      <c r="J696" s="66">
        <v>1</v>
      </c>
      <c r="K696" s="35" t="str">
        <f t="shared" si="210"/>
        <v/>
      </c>
      <c r="L696" s="35">
        <f t="shared" si="198"/>
        <v>0</v>
      </c>
      <c r="M696" s="77" t="str" cm="1">
        <f t="array" ref="M696">_xlfn.IFS(BOM!I696="RM-PACKING","100%",B696="Reynolds",VLOOKUP(H696,'Yield &amp; Time'!A:V,22,0),BOM!B696="Dnata",VLOOKUP(BOM!H696,'Yield &amp; Time'!A:M,13,0),B696="NK",VLOOKUP(H696,'Yield &amp; Time'!A:X,24,0))</f>
        <v>100%</v>
      </c>
      <c r="N696" s="35">
        <f t="shared" si="209"/>
        <v>1</v>
      </c>
      <c r="O696" s="1" t="str">
        <f>VLOOKUP(H696,'RM Used'!A:E,5,0)</f>
        <v>Count</v>
      </c>
      <c r="P696" s="11">
        <f>VLOOKUP(H696,'RM Used'!A:F,6,0)</f>
        <v>0.14000000000000001</v>
      </c>
      <c r="Q696" s="11">
        <f t="shared" si="207"/>
        <v>0.14000000000000001</v>
      </c>
      <c r="R696" s="11">
        <f>IFERROR(IF(B696="Reynolds",VLOOKUP(H696,'Yield &amp; Time'!A:U,21,0),VLOOKUP(H696,'Yield &amp; Time'!A:L,12,0)),0)</f>
        <v>0</v>
      </c>
      <c r="S696" s="11">
        <f t="shared" si="199"/>
        <v>0</v>
      </c>
      <c r="T696" s="11">
        <f t="shared" si="200"/>
        <v>0</v>
      </c>
      <c r="U696" s="11">
        <f>IF(A695=A696,0,VLOOKUP(A696,'Packing Time'!A:F,6,0))</f>
        <v>0</v>
      </c>
      <c r="V696" s="11">
        <f t="shared" si="211"/>
        <v>0</v>
      </c>
      <c r="W696" s="11">
        <f t="shared" si="212"/>
        <v>0</v>
      </c>
      <c r="X696" s="11">
        <f t="shared" si="201"/>
        <v>0</v>
      </c>
      <c r="Y696" s="11">
        <f t="shared" si="213"/>
        <v>0</v>
      </c>
      <c r="Z696" s="37">
        <v>1</v>
      </c>
      <c r="AA696" s="36">
        <f t="shared" si="202"/>
        <v>1</v>
      </c>
      <c r="AB696" s="36">
        <f t="shared" si="203"/>
        <v>0.14000000000000001</v>
      </c>
      <c r="AC696" s="11">
        <f t="shared" si="204"/>
        <v>0</v>
      </c>
      <c r="AD696" s="36">
        <f t="shared" si="214"/>
        <v>0</v>
      </c>
      <c r="AE696" s="36"/>
      <c r="AF696" s="36">
        <f>IFERROR(VLOOKUP(AE696,'Chemical Cost'!A:D,4,0),0)</f>
        <v>0</v>
      </c>
      <c r="AG696" s="114">
        <f t="shared" si="205"/>
        <v>0</v>
      </c>
      <c r="AH696" s="36">
        <f t="shared" si="208"/>
        <v>0</v>
      </c>
      <c r="AI696" s="36">
        <f t="shared" si="215"/>
        <v>0.14000000000000001</v>
      </c>
      <c r="AJ696" s="36">
        <f>IFERROR(VLOOKUP(A696,'All Products'!A:F,6,0),0)</f>
        <v>10.8</v>
      </c>
      <c r="AK696" s="36"/>
      <c r="AL696" s="23">
        <v>1</v>
      </c>
      <c r="AM696" s="23"/>
      <c r="AN696" s="54" t="e">
        <v>#N/A</v>
      </c>
      <c r="AO696" s="47"/>
      <c r="AP696" s="4">
        <v>1.6</v>
      </c>
      <c r="AQ696" s="111">
        <f t="shared" si="206"/>
        <v>0</v>
      </c>
      <c r="AR696">
        <f>_xlfn.XLOOKUP(F696,'RM Cost'!A:A,'RM Cost'!S:S)</f>
        <v>0</v>
      </c>
      <c r="AS696" t="e">
        <f>_xlfn.XLOOKUP(A696,[3]Sheet1!$B:$B,[3]Sheet1!$B:$B)</f>
        <v>#N/A</v>
      </c>
    </row>
    <row r="697" spans="1:46" x14ac:dyDescent="0.25">
      <c r="A697" s="2" t="s">
        <v>251</v>
      </c>
      <c r="B697" s="2" t="s">
        <v>656</v>
      </c>
      <c r="C697" s="2" t="s">
        <v>252</v>
      </c>
      <c r="D697" s="2" t="s">
        <v>554</v>
      </c>
      <c r="E697" s="2">
        <v>2.5</v>
      </c>
      <c r="F697" s="1" t="str">
        <f>VLOOKUP(H697,'RM Used'!A:B,2,0)</f>
        <v>3138CS</v>
      </c>
      <c r="G697" s="1" t="str">
        <f>IFERROR(VLOOKUP(F697,'RM Cost'!A:B,2,0),"")</f>
        <v>RM - MANGETOUT 2KG</v>
      </c>
      <c r="H697" s="2" t="s">
        <v>1527</v>
      </c>
      <c r="I697" s="1" t="str">
        <f>VLOOKUP(F697,'RM Used'!B:D,3,0)</f>
        <v>RM-FOOD</v>
      </c>
      <c r="J697" s="66">
        <v>1</v>
      </c>
      <c r="K697" s="35">
        <f t="shared" si="210"/>
        <v>2.5</v>
      </c>
      <c r="L697" s="35">
        <f t="shared" si="198"/>
        <v>2.5</v>
      </c>
      <c r="M697" s="77" cm="1">
        <f t="array" ref="M697">_xlfn.IFS(BOM!I697="RM-PACKING","100%",B697="Reynolds",VLOOKUP(H697,'Yield &amp; Time'!A:V,22,0),BOM!B697="Dnata",VLOOKUP(BOM!H697,'Yield &amp; Time'!A:M,13,0),B697="NK",VLOOKUP(H697,'Yield &amp; Time'!A:X,24,0))</f>
        <v>0.95249130938586302</v>
      </c>
      <c r="N697" s="35">
        <f t="shared" si="209"/>
        <v>2.6246958637469593</v>
      </c>
      <c r="O697" s="1" t="str">
        <f>VLOOKUP(H697,'RM Used'!A:E,5,0)</f>
        <v>KG</v>
      </c>
      <c r="P697" s="11">
        <f>VLOOKUP(H697,'RM Used'!A:F,6,0)</f>
        <v>4.13</v>
      </c>
      <c r="Q697" s="11">
        <f t="shared" si="207"/>
        <v>10.839993917274942</v>
      </c>
      <c r="R697" s="11">
        <f>IFERROR(IF(B697="Reynolds",VLOOKUP(H697,'Yield &amp; Time'!A:U,21,0),VLOOKUP(H697,'Yield &amp; Time'!A:L,12,0)),0)</f>
        <v>16.950527169505275</v>
      </c>
      <c r="S697" s="11">
        <f t="shared" si="199"/>
        <v>14.344383617193838</v>
      </c>
      <c r="T697" s="11">
        <f t="shared" si="200"/>
        <v>0.70627196539605319</v>
      </c>
      <c r="U697" s="11">
        <f>IF(A696=A697,0,VLOOKUP(A697,'Packing Time'!A:F,6,0))</f>
        <v>0.875</v>
      </c>
      <c r="V697" s="11">
        <f t="shared" si="211"/>
        <v>0.29618749999999999</v>
      </c>
      <c r="W697" s="11">
        <f t="shared" si="212"/>
        <v>1.4583333333333334E-2</v>
      </c>
      <c r="X697" s="11">
        <f t="shared" si="201"/>
        <v>16.104628228913224</v>
      </c>
      <c r="Y697" s="11">
        <f t="shared" si="213"/>
        <v>16.104628228913224</v>
      </c>
      <c r="Z697" s="37">
        <v>1</v>
      </c>
      <c r="AA697" s="36">
        <f t="shared" si="202"/>
        <v>2.6246958637469593</v>
      </c>
      <c r="AB697" s="36">
        <f t="shared" si="203"/>
        <v>10.839993917274942</v>
      </c>
      <c r="AC697" s="11">
        <f t="shared" si="204"/>
        <v>0.79294082860232518</v>
      </c>
      <c r="AD697" s="36">
        <f t="shared" si="214"/>
        <v>16.104628228913221</v>
      </c>
      <c r="AE697" s="36"/>
      <c r="AF697" s="36">
        <f>IFERROR(VLOOKUP(AE697,'Chemical Cost'!A:D,4,0),0)</f>
        <v>0</v>
      </c>
      <c r="AG697" s="114">
        <f t="shared" si="205"/>
        <v>0</v>
      </c>
      <c r="AH697" s="36">
        <f t="shared" si="208"/>
        <v>0</v>
      </c>
      <c r="AI697" s="36">
        <f t="shared" si="215"/>
        <v>26.944622146188166</v>
      </c>
      <c r="AJ697" s="36">
        <f>IFERROR(VLOOKUP(A697,'All Products'!A:F,6,0),0)</f>
        <v>26.69</v>
      </c>
      <c r="AK697" s="36">
        <f>AJ697*Z697*J697</f>
        <v>26.69</v>
      </c>
      <c r="AL697" s="23">
        <v>1</v>
      </c>
      <c r="AM697" s="23"/>
      <c r="AN697" s="54" t="e">
        <v>#N/A</v>
      </c>
      <c r="AO697" s="47"/>
      <c r="AP697" s="4">
        <v>1.1000000000000001</v>
      </c>
      <c r="AQ697" s="111">
        <f t="shared" si="206"/>
        <v>0.79294082860232518</v>
      </c>
      <c r="AR697">
        <f>_xlfn.XLOOKUP(F697,'RM Cost'!A:A,'RM Cost'!S:S)</f>
        <v>0</v>
      </c>
      <c r="AS697" t="e">
        <f>_xlfn.XLOOKUP(A697,[3]Sheet1!$B:$B,[3]Sheet1!$B:$B)</f>
        <v>#N/A</v>
      </c>
    </row>
    <row r="698" spans="1:46" x14ac:dyDescent="0.25">
      <c r="A698" s="2" t="s">
        <v>251</v>
      </c>
      <c r="B698" s="2" t="s">
        <v>656</v>
      </c>
      <c r="C698" s="2" t="s">
        <v>252</v>
      </c>
      <c r="D698" s="2" t="s">
        <v>554</v>
      </c>
      <c r="E698" s="2">
        <v>2.5</v>
      </c>
      <c r="F698" s="1" t="str">
        <f>VLOOKUP(H698,'RM Used'!A:B,2,0)</f>
        <v>P0008</v>
      </c>
      <c r="G698" s="1" t="str">
        <f>IFERROR(VLOOKUP(F698,'RM Cost'!A:B,2,0),"")</f>
        <v>PALE BLUE BAG 470X750MM</v>
      </c>
      <c r="H698" s="2" t="s">
        <v>1323</v>
      </c>
      <c r="I698" s="1" t="str">
        <f>VLOOKUP(F698,'RM Used'!B:D,3,0)</f>
        <v>RM-PACKING</v>
      </c>
      <c r="J698" s="66">
        <v>1</v>
      </c>
      <c r="K698" s="35" t="str">
        <f t="shared" si="210"/>
        <v/>
      </c>
      <c r="L698" s="35">
        <f t="shared" si="198"/>
        <v>0</v>
      </c>
      <c r="M698" s="77" t="str" cm="1">
        <f t="array" ref="M698">_xlfn.IFS(BOM!I698="RM-PACKING","100%",B698="Reynolds",VLOOKUP(H698,'Yield &amp; Time'!A:V,22,0),BOM!B698="Dnata",VLOOKUP(BOM!H698,'Yield &amp; Time'!A:M,13,0),B698="NK",VLOOKUP(H698,'Yield &amp; Time'!A:X,24,0))</f>
        <v>100%</v>
      </c>
      <c r="N698" s="35">
        <f t="shared" si="209"/>
        <v>1</v>
      </c>
      <c r="O698" s="1" t="str">
        <f>VLOOKUP(H698,'RM Used'!A:E,5,0)</f>
        <v>Count</v>
      </c>
      <c r="P698" s="11">
        <f>VLOOKUP(H698,'RM Used'!A:F,6,0)</f>
        <v>0.14000000000000001</v>
      </c>
      <c r="Q698" s="11">
        <f t="shared" si="207"/>
        <v>0.14000000000000001</v>
      </c>
      <c r="R698" s="11">
        <f>IFERROR(IF(B698="Reynolds",VLOOKUP(H698,'Yield &amp; Time'!A:U,21,0),VLOOKUP(H698,'Yield &amp; Time'!A:L,12,0)),0)</f>
        <v>0</v>
      </c>
      <c r="S698" s="11">
        <f t="shared" si="199"/>
        <v>0</v>
      </c>
      <c r="T698" s="11">
        <f t="shared" si="200"/>
        <v>0</v>
      </c>
      <c r="U698" s="11">
        <f>IF(A697=A698,0,VLOOKUP(A698,'Packing Time'!A:F,6,0))</f>
        <v>0</v>
      </c>
      <c r="V698" s="11">
        <f t="shared" si="211"/>
        <v>0</v>
      </c>
      <c r="W698" s="11">
        <f t="shared" si="212"/>
        <v>0</v>
      </c>
      <c r="X698" s="11">
        <f t="shared" si="201"/>
        <v>0</v>
      </c>
      <c r="Y698" s="11">
        <f t="shared" si="213"/>
        <v>0</v>
      </c>
      <c r="Z698" s="37">
        <v>1</v>
      </c>
      <c r="AA698" s="36">
        <f t="shared" si="202"/>
        <v>1</v>
      </c>
      <c r="AB698" s="36">
        <f t="shared" si="203"/>
        <v>0.14000000000000001</v>
      </c>
      <c r="AC698" s="11">
        <f t="shared" si="204"/>
        <v>0</v>
      </c>
      <c r="AD698" s="36">
        <f t="shared" si="214"/>
        <v>0</v>
      </c>
      <c r="AE698" s="36"/>
      <c r="AF698" s="36">
        <f>IFERROR(VLOOKUP(AE698,'Chemical Cost'!A:D,4,0),0)</f>
        <v>0</v>
      </c>
      <c r="AG698" s="114">
        <f t="shared" si="205"/>
        <v>0</v>
      </c>
      <c r="AH698" s="36">
        <f t="shared" si="208"/>
        <v>0</v>
      </c>
      <c r="AI698" s="36">
        <f t="shared" si="215"/>
        <v>0.14000000000000001</v>
      </c>
      <c r="AJ698" s="36">
        <f>IFERROR(VLOOKUP(A698,'All Products'!A:F,6,0),0)</f>
        <v>26.69</v>
      </c>
      <c r="AK698" s="36"/>
      <c r="AL698" s="23">
        <v>1</v>
      </c>
      <c r="AM698" s="23"/>
      <c r="AN698" s="54" t="e">
        <v>#N/A</v>
      </c>
      <c r="AO698" s="47"/>
      <c r="AP698" s="4">
        <v>1.1000000000000001</v>
      </c>
      <c r="AQ698" s="111">
        <f t="shared" si="206"/>
        <v>0</v>
      </c>
      <c r="AR698">
        <f>_xlfn.XLOOKUP(F698,'RM Cost'!A:A,'RM Cost'!S:S)</f>
        <v>0</v>
      </c>
      <c r="AS698" t="e">
        <f>_xlfn.XLOOKUP(A698,[3]Sheet1!$B:$B,[3]Sheet1!$B:$B)</f>
        <v>#N/A</v>
      </c>
    </row>
    <row r="699" spans="1:46" x14ac:dyDescent="0.25">
      <c r="A699" s="2" t="s">
        <v>819</v>
      </c>
      <c r="B699" s="2" t="s">
        <v>656</v>
      </c>
      <c r="C699" s="2" t="s">
        <v>820</v>
      </c>
      <c r="D699" s="2" t="s">
        <v>554</v>
      </c>
      <c r="E699" s="2">
        <v>1</v>
      </c>
      <c r="F699" s="1" t="str">
        <f>VLOOKUP(H699,'RM Used'!A:B,2,0)</f>
        <v>3342CS</v>
      </c>
      <c r="G699" s="1" t="str">
        <f>IFERROR(VLOOKUP(F699,'RM Cost'!A:B,2,0),"")</f>
        <v>RM - ORI MOOLI X 15 EA</v>
      </c>
      <c r="H699" s="2" t="s">
        <v>1528</v>
      </c>
      <c r="I699" s="1" t="str">
        <f>VLOOKUP(F699,'RM Used'!B:D,3,0)</f>
        <v>RM-FOOD</v>
      </c>
      <c r="J699" s="66">
        <v>1</v>
      </c>
      <c r="K699" s="35">
        <f t="shared" si="210"/>
        <v>1</v>
      </c>
      <c r="L699" s="35">
        <f t="shared" si="198"/>
        <v>1</v>
      </c>
      <c r="M699" s="77" cm="1">
        <f t="array" ref="M699">_xlfn.IFS(BOM!I699="RM-PACKING","100%",B699="Reynolds",VLOOKUP(H699,'Yield &amp; Time'!A:V,22,0),BOM!B699="Dnata",VLOOKUP(BOM!H699,'Yield &amp; Time'!A:M,13,0),B699="NK",VLOOKUP(H699,'Yield &amp; Time'!A:X,24,0))</f>
        <v>0.82499999999999996</v>
      </c>
      <c r="N699" s="35">
        <f t="shared" si="209"/>
        <v>1.2121212121212122</v>
      </c>
      <c r="O699" s="1" t="str">
        <f>VLOOKUP(H699,'RM Used'!A:E,5,0)</f>
        <v>KG</v>
      </c>
      <c r="P699" s="11">
        <f>VLOOKUP(H699,'RM Used'!A:F,6,0)</f>
        <v>1.23</v>
      </c>
      <c r="Q699" s="11">
        <f t="shared" si="207"/>
        <v>1.490909090909091</v>
      </c>
      <c r="R699" s="11">
        <f>IFERROR(IF(B699="Reynolds",VLOOKUP(H699,'Yield &amp; Time'!A:U,21,0),VLOOKUP(H699,'Yield &amp; Time'!A:L,12,0)),0)</f>
        <v>1.3121212121212122</v>
      </c>
      <c r="S699" s="11">
        <f t="shared" si="199"/>
        <v>0.44415303030303033</v>
      </c>
      <c r="T699" s="11">
        <f t="shared" si="200"/>
        <v>2.1868686868686871E-2</v>
      </c>
      <c r="U699" s="11">
        <f>IF(A698=A699,0,VLOOKUP(A699,'Packing Time'!A:F,6,0))</f>
        <v>0.64166666666666661</v>
      </c>
      <c r="V699" s="11">
        <f t="shared" si="211"/>
        <v>0.21720416666666661</v>
      </c>
      <c r="W699" s="11">
        <f t="shared" si="212"/>
        <v>1.0694444444444444E-2</v>
      </c>
      <c r="X699" s="11">
        <f t="shared" si="201"/>
        <v>1.0581715151515152</v>
      </c>
      <c r="Y699" s="11">
        <f t="shared" si="213"/>
        <v>1.0581715151515152</v>
      </c>
      <c r="Z699" s="37">
        <v>1</v>
      </c>
      <c r="AA699" s="36">
        <f t="shared" si="202"/>
        <v>1.2121212121212122</v>
      </c>
      <c r="AB699" s="36">
        <f t="shared" si="203"/>
        <v>1.490909090909091</v>
      </c>
      <c r="AC699" s="11">
        <f t="shared" si="204"/>
        <v>5.2101010101010106E-2</v>
      </c>
      <c r="AD699" s="36">
        <f t="shared" si="214"/>
        <v>1.0581715151515152</v>
      </c>
      <c r="AE699" s="36" t="str">
        <f>VLOOKUP(H699,'Yield &amp; Time'!A:I,9,0)</f>
        <v>CHLORINE</v>
      </c>
      <c r="AF699" s="36">
        <f>IFERROR(VLOOKUP(AE699,'Chemical Cost'!A:D,4,0),0)</f>
        <v>2.7756518066439469E-2</v>
      </c>
      <c r="AG699" s="114">
        <f t="shared" si="205"/>
        <v>1.1214754774318977E-2</v>
      </c>
      <c r="AH699" s="36">
        <f t="shared" si="208"/>
        <v>1.1214754774318977E-2</v>
      </c>
      <c r="AI699" s="36">
        <f t="shared" si="215"/>
        <v>2.560295360834925</v>
      </c>
      <c r="AJ699" s="36">
        <f>IFERROR(VLOOKUP(A699,'All Products'!A:F,6,0),0)</f>
        <v>3.74</v>
      </c>
      <c r="AK699" s="36">
        <f>AJ699*Z699*J699</f>
        <v>3.74</v>
      </c>
      <c r="AL699" s="23">
        <v>0.8</v>
      </c>
      <c r="AM699" s="23">
        <v>0.2</v>
      </c>
      <c r="AN699" s="54" t="e">
        <v>#N/A</v>
      </c>
      <c r="AO699" s="47"/>
      <c r="AP699" s="4">
        <v>1.6</v>
      </c>
      <c r="AQ699" s="111">
        <f t="shared" si="206"/>
        <v>5.2101010101010106E-2</v>
      </c>
      <c r="AR699">
        <f>_xlfn.XLOOKUP(F699,'RM Cost'!A:A,'RM Cost'!S:S)</f>
        <v>0</v>
      </c>
      <c r="AS699" t="str">
        <f>_xlfn.XLOOKUP(A699,[3]Sheet1!$B:$B,[3]Sheet1!$B:$B)</f>
        <v>Z210CS</v>
      </c>
      <c r="AT699">
        <f>_xlfn.XLOOKUP(H699,'Yield &amp; Time'!A:A,'Yield &amp; Time'!F:F)</f>
        <v>0</v>
      </c>
    </row>
    <row r="700" spans="1:46" x14ac:dyDescent="0.25">
      <c r="A700" s="2" t="s">
        <v>819</v>
      </c>
      <c r="B700" s="2" t="s">
        <v>656</v>
      </c>
      <c r="C700" s="2" t="s">
        <v>820</v>
      </c>
      <c r="D700" s="2" t="s">
        <v>554</v>
      </c>
      <c r="E700" s="2">
        <v>1</v>
      </c>
      <c r="F700" s="1" t="str">
        <f>VLOOKUP(H700,'RM Used'!A:B,2,0)</f>
        <v>P0008</v>
      </c>
      <c r="G700" s="1" t="str">
        <f>IFERROR(VLOOKUP(F700,'RM Cost'!A:B,2,0),"")</f>
        <v>PALE BLUE BAG 470X750MM</v>
      </c>
      <c r="H700" s="2" t="s">
        <v>1323</v>
      </c>
      <c r="I700" s="1" t="str">
        <f>VLOOKUP(F700,'RM Used'!B:D,3,0)</f>
        <v>RM-PACKING</v>
      </c>
      <c r="J700" s="66">
        <v>1</v>
      </c>
      <c r="K700" s="35" t="str">
        <f t="shared" si="210"/>
        <v/>
      </c>
      <c r="L700" s="35">
        <f t="shared" si="198"/>
        <v>0</v>
      </c>
      <c r="M700" s="77" t="str" cm="1">
        <f t="array" ref="M700">_xlfn.IFS(BOM!I700="RM-PACKING","100%",B700="Reynolds",VLOOKUP(H700,'Yield &amp; Time'!A:V,22,0),BOM!B700="Dnata",VLOOKUP(BOM!H700,'Yield &amp; Time'!A:M,13,0),B700="NK",VLOOKUP(H700,'Yield &amp; Time'!A:X,24,0))</f>
        <v>100%</v>
      </c>
      <c r="N700" s="35">
        <f t="shared" si="209"/>
        <v>1</v>
      </c>
      <c r="O700" s="1" t="str">
        <f>VLOOKUP(H700,'RM Used'!A:E,5,0)</f>
        <v>Count</v>
      </c>
      <c r="P700" s="11">
        <f>VLOOKUP(H700,'RM Used'!A:F,6,0)</f>
        <v>0.14000000000000001</v>
      </c>
      <c r="Q700" s="11">
        <f t="shared" si="207"/>
        <v>0.14000000000000001</v>
      </c>
      <c r="R700" s="11">
        <f>IFERROR(IF(B700="Reynolds",VLOOKUP(H700,'Yield &amp; Time'!A:U,21,0),VLOOKUP(H700,'Yield &amp; Time'!A:L,12,0)),0)</f>
        <v>0</v>
      </c>
      <c r="S700" s="11">
        <f t="shared" si="199"/>
        <v>0</v>
      </c>
      <c r="T700" s="11">
        <f t="shared" si="200"/>
        <v>0</v>
      </c>
      <c r="U700" s="11">
        <f>IF(A699=A700,0,VLOOKUP(A700,'Packing Time'!A:F,6,0))</f>
        <v>0</v>
      </c>
      <c r="V700" s="11">
        <f t="shared" si="211"/>
        <v>0</v>
      </c>
      <c r="W700" s="11">
        <f t="shared" si="212"/>
        <v>0</v>
      </c>
      <c r="X700" s="11">
        <f t="shared" si="201"/>
        <v>0</v>
      </c>
      <c r="Y700" s="11">
        <f t="shared" si="213"/>
        <v>0</v>
      </c>
      <c r="Z700" s="37">
        <v>1</v>
      </c>
      <c r="AA700" s="36">
        <f t="shared" si="202"/>
        <v>1</v>
      </c>
      <c r="AB700" s="36">
        <f t="shared" si="203"/>
        <v>0.14000000000000001</v>
      </c>
      <c r="AC700" s="11">
        <f t="shared" si="204"/>
        <v>0</v>
      </c>
      <c r="AD700" s="36">
        <f t="shared" si="214"/>
        <v>0</v>
      </c>
      <c r="AE700" s="36"/>
      <c r="AF700" s="36">
        <f>IFERROR(VLOOKUP(AE700,'Chemical Cost'!A:D,4,0),0)</f>
        <v>0</v>
      </c>
      <c r="AG700" s="114">
        <f t="shared" si="205"/>
        <v>0</v>
      </c>
      <c r="AH700" s="36">
        <f t="shared" si="208"/>
        <v>0</v>
      </c>
      <c r="AI700" s="36">
        <f t="shared" si="215"/>
        <v>0.14000000000000001</v>
      </c>
      <c r="AJ700" s="36">
        <f>IFERROR(VLOOKUP(A700,'All Products'!A:F,6,0),0)</f>
        <v>3.74</v>
      </c>
      <c r="AK700" s="36"/>
      <c r="AL700" s="23">
        <v>0.8</v>
      </c>
      <c r="AM700" s="23">
        <v>0.2</v>
      </c>
      <c r="AN700" s="54" t="e">
        <v>#N/A</v>
      </c>
      <c r="AO700" s="47"/>
      <c r="AP700" s="4">
        <v>1.6</v>
      </c>
      <c r="AQ700" s="111">
        <f t="shared" si="206"/>
        <v>0</v>
      </c>
      <c r="AR700">
        <f>_xlfn.XLOOKUP(F700,'RM Cost'!A:A,'RM Cost'!S:S)</f>
        <v>0</v>
      </c>
      <c r="AS700" t="str">
        <f>_xlfn.XLOOKUP(A700,[3]Sheet1!$B:$B,[3]Sheet1!$B:$B)</f>
        <v>Z210CS</v>
      </c>
      <c r="AT700" t="e">
        <f>_xlfn.XLOOKUP(H700,'Yield &amp; Time'!A:A,'Yield &amp; Time'!F:F)</f>
        <v>#N/A</v>
      </c>
    </row>
    <row r="701" spans="1:46" x14ac:dyDescent="0.25">
      <c r="A701" s="2" t="s">
        <v>249</v>
      </c>
      <c r="B701" s="2" t="s">
        <v>656</v>
      </c>
      <c r="C701" s="2" t="s">
        <v>250</v>
      </c>
      <c r="D701" s="2" t="s">
        <v>554</v>
      </c>
      <c r="E701" s="2">
        <v>2.5</v>
      </c>
      <c r="F701" s="1" t="str">
        <f>VLOOKUP(H701,'RM Used'!A:B,2,0)</f>
        <v>3342CS</v>
      </c>
      <c r="G701" s="1" t="str">
        <f>IFERROR(VLOOKUP(F701,'RM Cost'!A:B,2,0),"")</f>
        <v>RM - ORI MOOLI X 15 EA</v>
      </c>
      <c r="H701" s="2" t="s">
        <v>1528</v>
      </c>
      <c r="I701" s="1" t="str">
        <f>VLOOKUP(F701,'RM Used'!B:D,3,0)</f>
        <v>RM-FOOD</v>
      </c>
      <c r="J701" s="66">
        <v>1</v>
      </c>
      <c r="K701" s="35">
        <f t="shared" si="210"/>
        <v>2.5</v>
      </c>
      <c r="L701" s="35">
        <f t="shared" si="198"/>
        <v>2.5</v>
      </c>
      <c r="M701" s="77" cm="1">
        <f t="array" ref="M701">_xlfn.IFS(BOM!I701="RM-PACKING","100%",B701="Reynolds",VLOOKUP(H701,'Yield &amp; Time'!A:V,22,0),BOM!B701="Dnata",VLOOKUP(BOM!H701,'Yield &amp; Time'!A:M,13,0),B701="NK",VLOOKUP(H701,'Yield &amp; Time'!A:X,24,0))</f>
        <v>0.82499999999999996</v>
      </c>
      <c r="N701" s="35">
        <f t="shared" si="209"/>
        <v>3.0303030303030303</v>
      </c>
      <c r="O701" s="1" t="str">
        <f>VLOOKUP(H701,'RM Used'!A:E,5,0)</f>
        <v>KG</v>
      </c>
      <c r="P701" s="11">
        <f>VLOOKUP(H701,'RM Used'!A:F,6,0)</f>
        <v>1.23</v>
      </c>
      <c r="Q701" s="11">
        <f t="shared" si="207"/>
        <v>3.7272727272727271</v>
      </c>
      <c r="R701" s="11">
        <f>IFERROR(IF(B701="Reynolds",VLOOKUP(H701,'Yield &amp; Time'!A:U,21,0),VLOOKUP(H701,'Yield &amp; Time'!A:L,12,0)),0)</f>
        <v>1.3121212121212122</v>
      </c>
      <c r="S701" s="11">
        <f t="shared" si="199"/>
        <v>1.1103825757575758</v>
      </c>
      <c r="T701" s="11">
        <f t="shared" si="200"/>
        <v>5.4671717171717177E-2</v>
      </c>
      <c r="U701" s="11">
        <f>IF(A700=A701,0,VLOOKUP(A701,'Packing Time'!A:F,6,0))</f>
        <v>0.875</v>
      </c>
      <c r="V701" s="11">
        <f t="shared" si="211"/>
        <v>0.29618749999999999</v>
      </c>
      <c r="W701" s="11">
        <f t="shared" si="212"/>
        <v>1.4583333333333334E-2</v>
      </c>
      <c r="X701" s="11">
        <f t="shared" si="201"/>
        <v>1.7582125946969698</v>
      </c>
      <c r="Y701" s="11">
        <f t="shared" si="213"/>
        <v>1.7582125946969698</v>
      </c>
      <c r="Z701" s="37">
        <v>1</v>
      </c>
      <c r="AA701" s="36">
        <f t="shared" si="202"/>
        <v>3.0303030303030303</v>
      </c>
      <c r="AB701" s="36">
        <f t="shared" si="203"/>
        <v>3.7272727272727271</v>
      </c>
      <c r="AC701" s="11">
        <f t="shared" si="204"/>
        <v>8.6568813131313149E-2</v>
      </c>
      <c r="AD701" s="36">
        <f t="shared" si="214"/>
        <v>1.75821259469697</v>
      </c>
      <c r="AE701" s="36" t="str">
        <f>VLOOKUP(H701,'Yield &amp; Time'!A:I,9,0)</f>
        <v>CHLORINE</v>
      </c>
      <c r="AF701" s="36">
        <f>IFERROR(VLOOKUP(AE701,'Chemical Cost'!A:D,4,0),0)</f>
        <v>2.7756518066439469E-2</v>
      </c>
      <c r="AG701" s="114">
        <f t="shared" si="205"/>
        <v>2.8036886935797447E-2</v>
      </c>
      <c r="AH701" s="36">
        <f t="shared" si="208"/>
        <v>2.8036886935797447E-2</v>
      </c>
      <c r="AI701" s="36">
        <f t="shared" si="215"/>
        <v>5.5135222089054947</v>
      </c>
      <c r="AJ701" s="36">
        <f>IFERROR(VLOOKUP(A701,'All Products'!A:F,6,0),0)</f>
        <v>9.36</v>
      </c>
      <c r="AK701" s="36">
        <f>AJ701*Z701*J701</f>
        <v>9.36</v>
      </c>
      <c r="AL701" s="23">
        <v>0.8</v>
      </c>
      <c r="AM701" s="23">
        <v>0.2</v>
      </c>
      <c r="AN701" s="54" t="e">
        <v>#N/A</v>
      </c>
      <c r="AO701" s="47"/>
      <c r="AP701" s="4">
        <v>1.25</v>
      </c>
      <c r="AQ701" s="111">
        <f t="shared" si="206"/>
        <v>8.6568813131313149E-2</v>
      </c>
      <c r="AR701">
        <f>_xlfn.XLOOKUP(F701,'RM Cost'!A:A,'RM Cost'!S:S)</f>
        <v>0</v>
      </c>
      <c r="AS701" t="str">
        <f>_xlfn.XLOOKUP(A701,[3]Sheet1!$B:$B,[3]Sheet1!$B:$B)</f>
        <v>Z209CS</v>
      </c>
      <c r="AT701">
        <f>_xlfn.XLOOKUP(H701,'Yield &amp; Time'!A:A,'Yield &amp; Time'!F:F)</f>
        <v>0</v>
      </c>
    </row>
    <row r="702" spans="1:46" x14ac:dyDescent="0.25">
      <c r="A702" s="2" t="s">
        <v>249</v>
      </c>
      <c r="B702" s="2" t="s">
        <v>656</v>
      </c>
      <c r="C702" s="2" t="s">
        <v>250</v>
      </c>
      <c r="D702" s="2" t="s">
        <v>554</v>
      </c>
      <c r="E702" s="2">
        <v>2.5</v>
      </c>
      <c r="F702" s="1" t="str">
        <f>VLOOKUP(H702,'RM Used'!A:B,2,0)</f>
        <v>P0008</v>
      </c>
      <c r="G702" s="1" t="str">
        <f>IFERROR(VLOOKUP(F702,'RM Cost'!A:B,2,0),"")</f>
        <v>PALE BLUE BAG 470X750MM</v>
      </c>
      <c r="H702" s="2" t="s">
        <v>1323</v>
      </c>
      <c r="I702" s="1" t="str">
        <f>VLOOKUP(F702,'RM Used'!B:D,3,0)</f>
        <v>RM-PACKING</v>
      </c>
      <c r="J702" s="66">
        <v>1</v>
      </c>
      <c r="K702" s="35" t="str">
        <f t="shared" si="210"/>
        <v/>
      </c>
      <c r="L702" s="35">
        <f t="shared" si="198"/>
        <v>0</v>
      </c>
      <c r="M702" s="77" t="str" cm="1">
        <f t="array" ref="M702">_xlfn.IFS(BOM!I702="RM-PACKING","100%",B702="Reynolds",VLOOKUP(H702,'Yield &amp; Time'!A:V,22,0),BOM!B702="Dnata",VLOOKUP(BOM!H702,'Yield &amp; Time'!A:M,13,0),B702="NK",VLOOKUP(H702,'Yield &amp; Time'!A:X,24,0))</f>
        <v>100%</v>
      </c>
      <c r="N702" s="35">
        <f t="shared" si="209"/>
        <v>1</v>
      </c>
      <c r="O702" s="1" t="str">
        <f>VLOOKUP(H702,'RM Used'!A:E,5,0)</f>
        <v>Count</v>
      </c>
      <c r="P702" s="11">
        <f>VLOOKUP(H702,'RM Used'!A:F,6,0)</f>
        <v>0.14000000000000001</v>
      </c>
      <c r="Q702" s="11">
        <f t="shared" si="207"/>
        <v>0.14000000000000001</v>
      </c>
      <c r="R702" s="11">
        <f>IFERROR(IF(B702="Reynolds",VLOOKUP(H702,'Yield &amp; Time'!A:U,21,0),VLOOKUP(H702,'Yield &amp; Time'!A:L,12,0)),0)</f>
        <v>0</v>
      </c>
      <c r="S702" s="11">
        <f t="shared" si="199"/>
        <v>0</v>
      </c>
      <c r="T702" s="11">
        <f t="shared" si="200"/>
        <v>0</v>
      </c>
      <c r="U702" s="11">
        <f>IF(A701=A702,0,VLOOKUP(A702,'Packing Time'!A:F,6,0))</f>
        <v>0</v>
      </c>
      <c r="V702" s="11">
        <f t="shared" si="211"/>
        <v>0</v>
      </c>
      <c r="W702" s="11">
        <f t="shared" si="212"/>
        <v>0</v>
      </c>
      <c r="X702" s="11">
        <f t="shared" si="201"/>
        <v>0</v>
      </c>
      <c r="Y702" s="11">
        <f t="shared" si="213"/>
        <v>0</v>
      </c>
      <c r="Z702" s="37">
        <v>1</v>
      </c>
      <c r="AA702" s="36">
        <f t="shared" si="202"/>
        <v>1</v>
      </c>
      <c r="AB702" s="36">
        <f t="shared" si="203"/>
        <v>0.14000000000000001</v>
      </c>
      <c r="AC702" s="11">
        <f t="shared" si="204"/>
        <v>0</v>
      </c>
      <c r="AD702" s="36">
        <f t="shared" si="214"/>
        <v>0</v>
      </c>
      <c r="AE702" s="36"/>
      <c r="AF702" s="36">
        <f>IFERROR(VLOOKUP(AE702,'Chemical Cost'!A:D,4,0),0)</f>
        <v>0</v>
      </c>
      <c r="AG702" s="114">
        <f t="shared" si="205"/>
        <v>0</v>
      </c>
      <c r="AH702" s="36">
        <f t="shared" si="208"/>
        <v>0</v>
      </c>
      <c r="AI702" s="36">
        <f t="shared" si="215"/>
        <v>0.14000000000000001</v>
      </c>
      <c r="AJ702" s="36">
        <f>IFERROR(VLOOKUP(A702,'All Products'!A:F,6,0),0)</f>
        <v>9.36</v>
      </c>
      <c r="AK702" s="36"/>
      <c r="AL702" s="23">
        <v>0.8</v>
      </c>
      <c r="AM702" s="23">
        <v>0.2</v>
      </c>
      <c r="AN702" s="54" t="e">
        <v>#N/A</v>
      </c>
      <c r="AO702" s="47"/>
      <c r="AP702" s="4">
        <v>1.25</v>
      </c>
      <c r="AQ702" s="111">
        <f t="shared" si="206"/>
        <v>0</v>
      </c>
      <c r="AR702">
        <f>_xlfn.XLOOKUP(F702,'RM Cost'!A:A,'RM Cost'!S:S)</f>
        <v>0</v>
      </c>
      <c r="AS702" t="str">
        <f>_xlfn.XLOOKUP(A702,[3]Sheet1!$B:$B,[3]Sheet1!$B:$B)</f>
        <v>Z209CS</v>
      </c>
      <c r="AT702" t="e">
        <f>_xlfn.XLOOKUP(H702,'Yield &amp; Time'!A:A,'Yield &amp; Time'!F:F)</f>
        <v>#N/A</v>
      </c>
    </row>
    <row r="703" spans="1:46" x14ac:dyDescent="0.25">
      <c r="A703" s="2" t="s">
        <v>247</v>
      </c>
      <c r="B703" s="2" t="s">
        <v>656</v>
      </c>
      <c r="C703" s="2" t="s">
        <v>248</v>
      </c>
      <c r="D703" s="2" t="s">
        <v>554</v>
      </c>
      <c r="E703" s="2">
        <v>2.5</v>
      </c>
      <c r="F703" s="1" t="str">
        <f>VLOOKUP(H703,'RM Used'!A:B,2,0)</f>
        <v>024BCS</v>
      </c>
      <c r="G703" s="1" t="str">
        <f>IFERROR(VLOOKUP(F703,'RM Cost'!A:B,2,0),"")</f>
        <v>RM - MUSHROOM BUTTON 30-40M 3KG</v>
      </c>
      <c r="H703" s="2" t="s">
        <v>1529</v>
      </c>
      <c r="I703" s="1" t="str">
        <f>VLOOKUP(F703,'RM Used'!B:D,3,0)</f>
        <v>RM-FOOD</v>
      </c>
      <c r="J703" s="66">
        <v>1</v>
      </c>
      <c r="K703" s="35">
        <f t="shared" si="210"/>
        <v>2.5</v>
      </c>
      <c r="L703" s="35">
        <f t="shared" si="198"/>
        <v>2.5</v>
      </c>
      <c r="M703" s="77" cm="1">
        <f t="array" ref="M703">_xlfn.IFS(BOM!I703="RM-PACKING","100%",B703="Reynolds",VLOOKUP(H703,'Yield &amp; Time'!A:V,22,0),BOM!B703="Dnata",VLOOKUP(BOM!H703,'Yield &amp; Time'!A:M,13,0),B703="NK",VLOOKUP(H703,'Yield &amp; Time'!A:X,24,0))</f>
        <v>0.96666666666666667</v>
      </c>
      <c r="N703" s="35">
        <f t="shared" si="209"/>
        <v>2.5862068965517242</v>
      </c>
      <c r="O703" s="1" t="str">
        <f>VLOOKUP(H703,'RM Used'!A:E,5,0)</f>
        <v>KG</v>
      </c>
      <c r="P703" s="11">
        <f>VLOOKUP(H703,'RM Used'!A:F,6,0)</f>
        <v>1.85</v>
      </c>
      <c r="Q703" s="11">
        <f t="shared" si="207"/>
        <v>4.7844827586206904</v>
      </c>
      <c r="R703" s="11">
        <f>IFERROR(IF(B703="Reynolds",VLOOKUP(H703,'Yield &amp; Time'!A:U,21,0),VLOOKUP(H703,'Yield &amp; Time'!A:L,12,0)),0)</f>
        <v>3.0172413793103452</v>
      </c>
      <c r="S703" s="11">
        <f t="shared" si="199"/>
        <v>2.5533405172413794</v>
      </c>
      <c r="T703" s="11">
        <f t="shared" si="200"/>
        <v>0.12571839080459771</v>
      </c>
      <c r="U703" s="11">
        <f>IF(A702=A703,0,VLOOKUP(A703,'Packing Time'!A:F,6,0))</f>
        <v>0.875</v>
      </c>
      <c r="V703" s="11">
        <f t="shared" si="211"/>
        <v>0.29618749999999999</v>
      </c>
      <c r="W703" s="11">
        <f t="shared" si="212"/>
        <v>1.4583333333333334E-2</v>
      </c>
      <c r="X703" s="11">
        <f t="shared" si="201"/>
        <v>3.1344808189655176</v>
      </c>
      <c r="Y703" s="11">
        <f t="shared" si="213"/>
        <v>3.1344808189655176</v>
      </c>
      <c r="Z703" s="37">
        <v>1</v>
      </c>
      <c r="AA703" s="36">
        <f t="shared" si="202"/>
        <v>2.5862068965517242</v>
      </c>
      <c r="AB703" s="36">
        <f t="shared" si="203"/>
        <v>4.7844827586206904</v>
      </c>
      <c r="AC703" s="11">
        <f t="shared" si="204"/>
        <v>0.15433189655172416</v>
      </c>
      <c r="AD703" s="36">
        <f t="shared" si="214"/>
        <v>3.1344808189655176</v>
      </c>
      <c r="AE703" s="36"/>
      <c r="AF703" s="36">
        <f>IFERROR(VLOOKUP(AE703,'Chemical Cost'!A:D,4,0),0)</f>
        <v>0</v>
      </c>
      <c r="AG703" s="114">
        <f t="shared" si="205"/>
        <v>0</v>
      </c>
      <c r="AH703" s="36">
        <f t="shared" si="208"/>
        <v>0</v>
      </c>
      <c r="AI703" s="36">
        <f t="shared" si="215"/>
        <v>7.9189635775862079</v>
      </c>
      <c r="AJ703" s="36">
        <f>IFERROR(VLOOKUP(A703,'All Products'!A:F,6,0),0)</f>
        <v>14.34</v>
      </c>
      <c r="AK703" s="36">
        <f>AJ703*Z703*J703</f>
        <v>14.34</v>
      </c>
      <c r="AL703" s="23">
        <v>1</v>
      </c>
      <c r="AM703" s="23"/>
      <c r="AN703" s="54" t="e">
        <v>#N/A</v>
      </c>
      <c r="AO703" s="47"/>
      <c r="AP703" s="4">
        <v>1.1000000000000001</v>
      </c>
      <c r="AQ703" s="111">
        <f t="shared" si="206"/>
        <v>0.15433189655172416</v>
      </c>
      <c r="AR703">
        <f>_xlfn.XLOOKUP(F703,'RM Cost'!A:A,'RM Cost'!S:S)</f>
        <v>0</v>
      </c>
      <c r="AS703" t="str">
        <f>_xlfn.XLOOKUP(A703,[3]Sheet1!$B:$B,[3]Sheet1!$B:$B)</f>
        <v>Z009CS</v>
      </c>
      <c r="AT703">
        <f>_xlfn.XLOOKUP(H703,'Yield &amp; Time'!A:A,'Yield &amp; Time'!F:F)</f>
        <v>0</v>
      </c>
    </row>
    <row r="704" spans="1:46" x14ac:dyDescent="0.25">
      <c r="A704" s="2" t="s">
        <v>247</v>
      </c>
      <c r="B704" s="2" t="s">
        <v>656</v>
      </c>
      <c r="C704" s="2" t="s">
        <v>248</v>
      </c>
      <c r="D704" s="2" t="s">
        <v>554</v>
      </c>
      <c r="E704" s="2">
        <v>2.5</v>
      </c>
      <c r="F704" s="1" t="str">
        <f>VLOOKUP(H704,'RM Used'!A:B,2,0)</f>
        <v>P0008</v>
      </c>
      <c r="G704" s="1" t="str">
        <f>IFERROR(VLOOKUP(F704,'RM Cost'!A:B,2,0),"")</f>
        <v>PALE BLUE BAG 470X750MM</v>
      </c>
      <c r="H704" s="2" t="s">
        <v>1323</v>
      </c>
      <c r="I704" s="1" t="str">
        <f>VLOOKUP(F704,'RM Used'!B:D,3,0)</f>
        <v>RM-PACKING</v>
      </c>
      <c r="J704" s="66">
        <v>1</v>
      </c>
      <c r="K704" s="35" t="str">
        <f t="shared" si="210"/>
        <v/>
      </c>
      <c r="L704" s="35">
        <f t="shared" si="198"/>
        <v>0</v>
      </c>
      <c r="M704" s="77" t="str" cm="1">
        <f t="array" ref="M704">_xlfn.IFS(BOM!I704="RM-PACKING","100%",B704="Reynolds",VLOOKUP(H704,'Yield &amp; Time'!A:V,22,0),BOM!B704="Dnata",VLOOKUP(BOM!H704,'Yield &amp; Time'!A:M,13,0),B704="NK",VLOOKUP(H704,'Yield &amp; Time'!A:X,24,0))</f>
        <v>100%</v>
      </c>
      <c r="N704" s="35">
        <f t="shared" si="209"/>
        <v>1</v>
      </c>
      <c r="O704" s="1" t="str">
        <f>VLOOKUP(H704,'RM Used'!A:E,5,0)</f>
        <v>Count</v>
      </c>
      <c r="P704" s="11">
        <f>VLOOKUP(H704,'RM Used'!A:F,6,0)</f>
        <v>0.14000000000000001</v>
      </c>
      <c r="Q704" s="11">
        <f t="shared" si="207"/>
        <v>0.14000000000000001</v>
      </c>
      <c r="R704" s="11">
        <f>IFERROR(IF(B704="Reynolds",VLOOKUP(H704,'Yield &amp; Time'!A:U,21,0),VLOOKUP(H704,'Yield &amp; Time'!A:L,12,0)),0)</f>
        <v>0</v>
      </c>
      <c r="S704" s="11">
        <f t="shared" si="199"/>
        <v>0</v>
      </c>
      <c r="T704" s="11">
        <f t="shared" si="200"/>
        <v>0</v>
      </c>
      <c r="U704" s="11">
        <f>IF(A703=A704,0,VLOOKUP(A704,'Packing Time'!A:F,6,0))</f>
        <v>0</v>
      </c>
      <c r="V704" s="11">
        <f t="shared" si="211"/>
        <v>0</v>
      </c>
      <c r="W704" s="11">
        <f t="shared" si="212"/>
        <v>0</v>
      </c>
      <c r="X704" s="11">
        <f t="shared" si="201"/>
        <v>0</v>
      </c>
      <c r="Y704" s="11">
        <f t="shared" si="213"/>
        <v>0</v>
      </c>
      <c r="Z704" s="37">
        <v>1</v>
      </c>
      <c r="AA704" s="36">
        <f t="shared" si="202"/>
        <v>1</v>
      </c>
      <c r="AB704" s="36">
        <f t="shared" si="203"/>
        <v>0.14000000000000001</v>
      </c>
      <c r="AC704" s="11">
        <f t="shared" si="204"/>
        <v>0</v>
      </c>
      <c r="AD704" s="36">
        <f t="shared" si="214"/>
        <v>0</v>
      </c>
      <c r="AE704" s="36"/>
      <c r="AF704" s="36">
        <f>IFERROR(VLOOKUP(AE704,'Chemical Cost'!A:D,4,0),0)</f>
        <v>0</v>
      </c>
      <c r="AG704" s="114">
        <f t="shared" si="205"/>
        <v>0</v>
      </c>
      <c r="AH704" s="36">
        <f t="shared" si="208"/>
        <v>0</v>
      </c>
      <c r="AI704" s="36">
        <f t="shared" si="215"/>
        <v>0.14000000000000001</v>
      </c>
      <c r="AJ704" s="36">
        <f>IFERROR(VLOOKUP(A704,'All Products'!A:F,6,0),0)</f>
        <v>14.34</v>
      </c>
      <c r="AK704" s="36"/>
      <c r="AL704" s="23">
        <v>1</v>
      </c>
      <c r="AM704" s="23"/>
      <c r="AN704" s="54" t="e">
        <v>#N/A</v>
      </c>
      <c r="AO704" s="47"/>
      <c r="AP704" s="4">
        <v>1.1000000000000001</v>
      </c>
      <c r="AQ704" s="111">
        <f t="shared" si="206"/>
        <v>0</v>
      </c>
      <c r="AR704">
        <f>_xlfn.XLOOKUP(F704,'RM Cost'!A:A,'RM Cost'!S:S)</f>
        <v>0</v>
      </c>
      <c r="AS704" t="str">
        <f>_xlfn.XLOOKUP(A704,[3]Sheet1!$B:$B,[3]Sheet1!$B:$B)</f>
        <v>Z009CS</v>
      </c>
      <c r="AT704" t="e">
        <f>_xlfn.XLOOKUP(H704,'Yield &amp; Time'!A:A,'Yield &amp; Time'!F:F)</f>
        <v>#N/A</v>
      </c>
    </row>
    <row r="705" spans="1:46" x14ac:dyDescent="0.25">
      <c r="A705" s="2" t="s">
        <v>821</v>
      </c>
      <c r="B705" s="2" t="s">
        <v>656</v>
      </c>
      <c r="C705" s="2" t="s">
        <v>822</v>
      </c>
      <c r="D705" s="2" t="s">
        <v>554</v>
      </c>
      <c r="E705" s="2">
        <v>1</v>
      </c>
      <c r="F705" s="1" t="str">
        <f>VLOOKUP(H705,'RM Used'!A:B,2,0)</f>
        <v>024BCS</v>
      </c>
      <c r="G705" s="1" t="str">
        <f>IFERROR(VLOOKUP(F705,'RM Cost'!A:B,2,0),"")</f>
        <v>RM - MUSHROOM BUTTON 30-40M 3KG</v>
      </c>
      <c r="H705" s="2" t="s">
        <v>1529</v>
      </c>
      <c r="I705" s="1" t="str">
        <f>VLOOKUP(F705,'RM Used'!B:D,3,0)</f>
        <v>RM-FOOD</v>
      </c>
      <c r="J705" s="66">
        <v>1</v>
      </c>
      <c r="K705" s="35">
        <f t="shared" si="210"/>
        <v>1</v>
      </c>
      <c r="L705" s="35">
        <f t="shared" si="198"/>
        <v>1</v>
      </c>
      <c r="M705" s="77" cm="1">
        <f t="array" ref="M705">_xlfn.IFS(BOM!I705="RM-PACKING","100%",B705="Reynolds",VLOOKUP(H705,'Yield &amp; Time'!A:V,22,0),BOM!B705="Dnata",VLOOKUP(BOM!H705,'Yield &amp; Time'!A:M,13,0),B705="NK",VLOOKUP(H705,'Yield &amp; Time'!A:X,24,0))</f>
        <v>0.96666666666666667</v>
      </c>
      <c r="N705" s="35">
        <f t="shared" si="209"/>
        <v>1.0344827586206897</v>
      </c>
      <c r="O705" s="1" t="str">
        <f>VLOOKUP(H705,'RM Used'!A:E,5,0)</f>
        <v>KG</v>
      </c>
      <c r="P705" s="11">
        <f>VLOOKUP(H705,'RM Used'!A:F,6,0)</f>
        <v>1.85</v>
      </c>
      <c r="Q705" s="11">
        <f t="shared" si="207"/>
        <v>1.913793103448276</v>
      </c>
      <c r="R705" s="11">
        <f>IFERROR(IF(B705="Reynolds",VLOOKUP(H705,'Yield &amp; Time'!A:U,21,0),VLOOKUP(H705,'Yield &amp; Time'!A:L,12,0)),0)</f>
        <v>3.0172413793103452</v>
      </c>
      <c r="S705" s="11">
        <f t="shared" si="199"/>
        <v>1.0213362068965517</v>
      </c>
      <c r="T705" s="11">
        <f t="shared" si="200"/>
        <v>5.0287356321839088E-2</v>
      </c>
      <c r="U705" s="11">
        <f>IF(A704=A705,0,VLOOKUP(A705,'Packing Time'!A:F,6,0))</f>
        <v>0.64166666666666661</v>
      </c>
      <c r="V705" s="11">
        <f t="shared" si="211"/>
        <v>0.21720416666666661</v>
      </c>
      <c r="W705" s="11">
        <f t="shared" si="212"/>
        <v>1.0694444444444444E-2</v>
      </c>
      <c r="X705" s="11">
        <f t="shared" si="201"/>
        <v>1.9816645977011493</v>
      </c>
      <c r="Y705" s="11">
        <f t="shared" si="213"/>
        <v>1.9816645977011493</v>
      </c>
      <c r="Z705" s="37">
        <v>1</v>
      </c>
      <c r="AA705" s="36">
        <f t="shared" si="202"/>
        <v>1.0344827586206897</v>
      </c>
      <c r="AB705" s="36">
        <f t="shared" si="203"/>
        <v>1.913793103448276</v>
      </c>
      <c r="AC705" s="11">
        <f t="shared" si="204"/>
        <v>9.757088122605366E-2</v>
      </c>
      <c r="AD705" s="36">
        <f t="shared" si="214"/>
        <v>1.9816645977011498</v>
      </c>
      <c r="AE705" s="36"/>
      <c r="AF705" s="36">
        <f>IFERROR(VLOOKUP(AE705,'Chemical Cost'!A:D,4,0),0)</f>
        <v>0</v>
      </c>
      <c r="AG705" s="114">
        <f t="shared" si="205"/>
        <v>0</v>
      </c>
      <c r="AH705" s="36">
        <f t="shared" si="208"/>
        <v>0</v>
      </c>
      <c r="AI705" s="36">
        <f t="shared" si="215"/>
        <v>3.8954577011494251</v>
      </c>
      <c r="AJ705" s="36">
        <f>IFERROR(VLOOKUP(A705,'All Products'!A:F,6,0),0)</f>
        <v>5.74</v>
      </c>
      <c r="AK705" s="36">
        <f>AJ705*Z705*J705</f>
        <v>5.74</v>
      </c>
      <c r="AL705" s="23">
        <v>1</v>
      </c>
      <c r="AM705" s="23"/>
      <c r="AN705" s="54" t="e">
        <v>#N/A</v>
      </c>
      <c r="AO705" s="47"/>
      <c r="AP705" s="4">
        <v>1.6</v>
      </c>
      <c r="AQ705" s="111">
        <f t="shared" si="206"/>
        <v>9.757088122605366E-2</v>
      </c>
      <c r="AR705">
        <f>_xlfn.XLOOKUP(F705,'RM Cost'!A:A,'RM Cost'!S:S)</f>
        <v>0</v>
      </c>
      <c r="AS705" t="str">
        <f>_xlfn.XLOOKUP(A705,[3]Sheet1!$B:$B,[3]Sheet1!$B:$B)</f>
        <v>Z010CS</v>
      </c>
      <c r="AT705">
        <f>_xlfn.XLOOKUP(H705,'Yield &amp; Time'!A:A,'Yield &amp; Time'!F:F)</f>
        <v>0</v>
      </c>
    </row>
    <row r="706" spans="1:46" x14ac:dyDescent="0.25">
      <c r="A706" s="2" t="s">
        <v>821</v>
      </c>
      <c r="B706" s="2" t="s">
        <v>656</v>
      </c>
      <c r="C706" s="2" t="s">
        <v>822</v>
      </c>
      <c r="D706" s="2" t="s">
        <v>554</v>
      </c>
      <c r="E706" s="2">
        <v>1</v>
      </c>
      <c r="F706" s="1" t="str">
        <f>VLOOKUP(H706,'RM Used'!A:B,2,0)</f>
        <v>P0008</v>
      </c>
      <c r="G706" s="1" t="str">
        <f>IFERROR(VLOOKUP(F706,'RM Cost'!A:B,2,0),"")</f>
        <v>PALE BLUE BAG 470X750MM</v>
      </c>
      <c r="H706" s="2" t="s">
        <v>1323</v>
      </c>
      <c r="I706" s="1" t="str">
        <f>VLOOKUP(F706,'RM Used'!B:D,3,0)</f>
        <v>RM-PACKING</v>
      </c>
      <c r="J706" s="66">
        <v>1</v>
      </c>
      <c r="K706" s="35" t="str">
        <f t="shared" si="210"/>
        <v/>
      </c>
      <c r="L706" s="35">
        <f t="shared" ref="L706:L769" si="216">IFERROR(K706*Z706,0)</f>
        <v>0</v>
      </c>
      <c r="M706" s="77" t="str" cm="1">
        <f t="array" ref="M706">_xlfn.IFS(BOM!I706="RM-PACKING","100%",B706="Reynolds",VLOOKUP(H706,'Yield &amp; Time'!A:V,22,0),BOM!B706="Dnata",VLOOKUP(BOM!H706,'Yield &amp; Time'!A:M,13,0),B706="NK",VLOOKUP(H706,'Yield &amp; Time'!A:X,24,0))</f>
        <v>100%</v>
      </c>
      <c r="N706" s="35">
        <f t="shared" si="209"/>
        <v>1</v>
      </c>
      <c r="O706" s="1" t="str">
        <f>VLOOKUP(H706,'RM Used'!A:E,5,0)</f>
        <v>Count</v>
      </c>
      <c r="P706" s="11">
        <f>VLOOKUP(H706,'RM Used'!A:F,6,0)</f>
        <v>0.14000000000000001</v>
      </c>
      <c r="Q706" s="11">
        <f t="shared" si="207"/>
        <v>0.14000000000000001</v>
      </c>
      <c r="R706" s="11">
        <f>IFERROR(IF(B706="Reynolds",VLOOKUP(H706,'Yield &amp; Time'!A:U,21,0),VLOOKUP(H706,'Yield &amp; Time'!A:L,12,0)),0)</f>
        <v>0</v>
      </c>
      <c r="S706" s="11">
        <f t="shared" ref="S706:S769" si="217">R706*J706*E706*AO$1</f>
        <v>0</v>
      </c>
      <c r="T706" s="11">
        <f t="shared" ref="T706:T769" si="218">(R706*Z706*J706*E706)/60</f>
        <v>0</v>
      </c>
      <c r="U706" s="11">
        <f>IF(A705=A706,0,VLOOKUP(A706,'Packing Time'!A:F,6,0))</f>
        <v>0</v>
      </c>
      <c r="V706" s="11">
        <f t="shared" si="211"/>
        <v>0</v>
      </c>
      <c r="W706" s="11">
        <f t="shared" si="212"/>
        <v>0</v>
      </c>
      <c r="X706" s="11">
        <f t="shared" ref="X706:X769" si="219">((R706*J706*E706)+U706)*AO$1*AP706</f>
        <v>0</v>
      </c>
      <c r="Y706" s="11">
        <f t="shared" si="213"/>
        <v>0</v>
      </c>
      <c r="Z706" s="37">
        <v>1</v>
      </c>
      <c r="AA706" s="36">
        <f t="shared" ref="AA706:AA769" si="220">Z706*N706</f>
        <v>1</v>
      </c>
      <c r="AB706" s="36">
        <f t="shared" ref="AB706:AB769" si="221">AA706*P706</f>
        <v>0.14000000000000001</v>
      </c>
      <c r="AC706" s="11">
        <f t="shared" ref="AC706:AC769" si="222">(((R706*J706*E706)+U706)/60)*Z706*AP706</f>
        <v>0</v>
      </c>
      <c r="AD706" s="36">
        <f t="shared" si="214"/>
        <v>0</v>
      </c>
      <c r="AE706" s="36"/>
      <c r="AF706" s="36">
        <f>IFERROR(VLOOKUP(AE706,'Chemical Cost'!A:D,4,0),0)</f>
        <v>0</v>
      </c>
      <c r="AG706" s="114">
        <f t="shared" ref="AG706:AG769" si="223">AF706*N706/3</f>
        <v>0</v>
      </c>
      <c r="AH706" s="36">
        <f t="shared" si="208"/>
        <v>0</v>
      </c>
      <c r="AI706" s="36">
        <f t="shared" si="215"/>
        <v>0.14000000000000001</v>
      </c>
      <c r="AJ706" s="36">
        <f>IFERROR(VLOOKUP(A706,'All Products'!A:F,6,0),0)</f>
        <v>5.74</v>
      </c>
      <c r="AK706" s="36"/>
      <c r="AL706" s="23">
        <v>1</v>
      </c>
      <c r="AM706" s="23"/>
      <c r="AN706" s="54" t="e">
        <v>#N/A</v>
      </c>
      <c r="AO706" s="47"/>
      <c r="AP706" s="4">
        <v>1.6</v>
      </c>
      <c r="AQ706" s="111">
        <f t="shared" ref="AQ706:AQ769" si="224">(((R706*J706*E706)+U706)/60)*AP706</f>
        <v>0</v>
      </c>
      <c r="AR706">
        <f>_xlfn.XLOOKUP(F706,'RM Cost'!A:A,'RM Cost'!S:S)</f>
        <v>0</v>
      </c>
      <c r="AS706" t="str">
        <f>_xlfn.XLOOKUP(A706,[3]Sheet1!$B:$B,[3]Sheet1!$B:$B)</f>
        <v>Z010CS</v>
      </c>
      <c r="AT706" t="e">
        <f>_xlfn.XLOOKUP(H706,'Yield &amp; Time'!A:A,'Yield &amp; Time'!F:F)</f>
        <v>#N/A</v>
      </c>
    </row>
    <row r="707" spans="1:46" x14ac:dyDescent="0.25">
      <c r="A707" s="2" t="s">
        <v>530</v>
      </c>
      <c r="B707" s="2" t="s">
        <v>656</v>
      </c>
      <c r="C707" s="2" t="s">
        <v>531</v>
      </c>
      <c r="D707" s="2" t="s">
        <v>554</v>
      </c>
      <c r="E707" s="2">
        <v>1</v>
      </c>
      <c r="F707" s="1" t="str">
        <f>VLOOKUP(H707,'RM Used'!A:B,2,0)</f>
        <v>024BCS</v>
      </c>
      <c r="G707" s="1" t="str">
        <f>IFERROR(VLOOKUP(F707,'RM Cost'!A:B,2,0),"")</f>
        <v>RM - MUSHROOM BUTTON 30-40M 3KG</v>
      </c>
      <c r="H707" s="2" t="s">
        <v>1530</v>
      </c>
      <c r="I707" s="1" t="str">
        <f>VLOOKUP(F707,'RM Used'!B:D,3,0)</f>
        <v>RM-FOOD</v>
      </c>
      <c r="J707" s="66">
        <v>1</v>
      </c>
      <c r="K707" s="35">
        <f t="shared" si="210"/>
        <v>1</v>
      </c>
      <c r="L707" s="35">
        <f t="shared" si="216"/>
        <v>1</v>
      </c>
      <c r="M707" s="77" cm="1">
        <f t="array" ref="M707">_xlfn.IFS(BOM!I707="RM-PACKING","100%",B707="Reynolds",VLOOKUP(H707,'Yield &amp; Time'!A:V,22,0),BOM!B707="Dnata",VLOOKUP(BOM!H707,'Yield &amp; Time'!A:M,13,0),B707="NK",VLOOKUP(H707,'Yield &amp; Time'!A:X,24,0))</f>
        <v>0.88</v>
      </c>
      <c r="N707" s="35">
        <f t="shared" si="209"/>
        <v>1.1363636363636365</v>
      </c>
      <c r="O707" s="1" t="str">
        <f>VLOOKUP(H707,'RM Used'!A:E,5,0)</f>
        <v>KG</v>
      </c>
      <c r="P707" s="11">
        <f>VLOOKUP(H707,'RM Used'!A:F,6,0)</f>
        <v>1.85</v>
      </c>
      <c r="Q707" s="11">
        <f t="shared" ref="Q707:Q770" si="225">P707*N707</f>
        <v>2.1022727272727275</v>
      </c>
      <c r="R707" s="11">
        <f>IFERROR(IF(B707="Reynolds",VLOOKUP(H707,'Yield &amp; Time'!A:U,21,0),VLOOKUP(H707,'Yield &amp; Time'!A:L,12,0)),0)</f>
        <v>5.6818181818181817</v>
      </c>
      <c r="S707" s="11">
        <f t="shared" si="217"/>
        <v>1.9232954545454544</v>
      </c>
      <c r="T707" s="11">
        <f t="shared" si="218"/>
        <v>9.4696969696969696E-2</v>
      </c>
      <c r="U707" s="11">
        <f>IF(A706=A707,0,VLOOKUP(A707,'Packing Time'!A:F,6,0))</f>
        <v>0.64166666666666661</v>
      </c>
      <c r="V707" s="11">
        <f t="shared" si="211"/>
        <v>0.21720416666666661</v>
      </c>
      <c r="W707" s="11">
        <f t="shared" si="212"/>
        <v>1.0694444444444444E-2</v>
      </c>
      <c r="X707" s="11">
        <f t="shared" si="219"/>
        <v>3.4247993939393937</v>
      </c>
      <c r="Y707" s="11">
        <f t="shared" si="213"/>
        <v>3.4247993939393937</v>
      </c>
      <c r="Z707" s="37">
        <v>1</v>
      </c>
      <c r="AA707" s="36">
        <f t="shared" si="220"/>
        <v>1.1363636363636365</v>
      </c>
      <c r="AB707" s="36">
        <f t="shared" si="221"/>
        <v>2.1022727272727275</v>
      </c>
      <c r="AC707" s="11">
        <f t="shared" si="222"/>
        <v>0.16862626262626262</v>
      </c>
      <c r="AD707" s="36">
        <f t="shared" si="214"/>
        <v>3.4247993939393937</v>
      </c>
      <c r="AE707" s="36"/>
      <c r="AF707" s="36">
        <f>IFERROR(VLOOKUP(AE707,'Chemical Cost'!A:D,4,0),0)</f>
        <v>0</v>
      </c>
      <c r="AG707" s="114">
        <f t="shared" si="223"/>
        <v>0</v>
      </c>
      <c r="AH707" s="36">
        <f t="shared" si="208"/>
        <v>0</v>
      </c>
      <c r="AI707" s="36">
        <f t="shared" si="215"/>
        <v>5.5270721212121217</v>
      </c>
      <c r="AJ707" s="36">
        <f>IFERROR(VLOOKUP(A707,'All Products'!A:F,6,0),0)</f>
        <v>6.81</v>
      </c>
      <c r="AK707" s="36">
        <f>AJ707*Z707*J707</f>
        <v>6.81</v>
      </c>
      <c r="AL707" s="23">
        <v>1</v>
      </c>
      <c r="AM707" s="23"/>
      <c r="AN707" s="54" t="s">
        <v>530</v>
      </c>
      <c r="AO707" s="47"/>
      <c r="AP707" s="4">
        <v>1.6</v>
      </c>
      <c r="AQ707" s="111">
        <f t="shared" si="224"/>
        <v>0.16862626262626262</v>
      </c>
      <c r="AR707">
        <f>_xlfn.XLOOKUP(F707,'RM Cost'!A:A,'RM Cost'!S:S)</f>
        <v>0</v>
      </c>
      <c r="AS707" t="str">
        <f>_xlfn.XLOOKUP(A707,[3]Sheet1!$B:$B,[3]Sheet1!$B:$B)</f>
        <v>Z008CS</v>
      </c>
      <c r="AT707">
        <f>_xlfn.XLOOKUP(H707,'Yield &amp; Time'!A:A,'Yield &amp; Time'!F:F)</f>
        <v>0</v>
      </c>
    </row>
    <row r="708" spans="1:46" x14ac:dyDescent="0.25">
      <c r="A708" s="2" t="s">
        <v>530</v>
      </c>
      <c r="B708" s="2" t="s">
        <v>656</v>
      </c>
      <c r="C708" s="2" t="s">
        <v>531</v>
      </c>
      <c r="D708" s="2" t="s">
        <v>554</v>
      </c>
      <c r="E708" s="2">
        <v>1</v>
      </c>
      <c r="F708" s="1" t="str">
        <f>VLOOKUP(H708,'RM Used'!A:B,2,0)</f>
        <v>P0008</v>
      </c>
      <c r="G708" s="1" t="str">
        <f>IFERROR(VLOOKUP(F708,'RM Cost'!A:B,2,0),"")</f>
        <v>PALE BLUE BAG 470X750MM</v>
      </c>
      <c r="H708" s="2" t="s">
        <v>1323</v>
      </c>
      <c r="I708" s="1" t="str">
        <f>VLOOKUP(F708,'RM Used'!B:D,3,0)</f>
        <v>RM-PACKING</v>
      </c>
      <c r="J708" s="66">
        <v>1</v>
      </c>
      <c r="K708" s="35" t="str">
        <f t="shared" si="210"/>
        <v/>
      </c>
      <c r="L708" s="35">
        <f t="shared" si="216"/>
        <v>0</v>
      </c>
      <c r="M708" s="77" t="str" cm="1">
        <f t="array" ref="M708">_xlfn.IFS(BOM!I708="RM-PACKING","100%",B708="Reynolds",VLOOKUP(H708,'Yield &amp; Time'!A:V,22,0),BOM!B708="Dnata",VLOOKUP(BOM!H708,'Yield &amp; Time'!A:M,13,0),B708="NK",VLOOKUP(H708,'Yield &amp; Time'!A:X,24,0))</f>
        <v>100%</v>
      </c>
      <c r="N708" s="35">
        <f t="shared" si="209"/>
        <v>1</v>
      </c>
      <c r="O708" s="1" t="str">
        <f>VLOOKUP(H708,'RM Used'!A:E,5,0)</f>
        <v>Count</v>
      </c>
      <c r="P708" s="11">
        <f>VLOOKUP(H708,'RM Used'!A:F,6,0)</f>
        <v>0.14000000000000001</v>
      </c>
      <c r="Q708" s="11">
        <f t="shared" si="225"/>
        <v>0.14000000000000001</v>
      </c>
      <c r="R708" s="11">
        <f>IFERROR(IF(B708="Reynolds",VLOOKUP(H708,'Yield &amp; Time'!A:U,21,0),VLOOKUP(H708,'Yield &amp; Time'!A:L,12,0)),0)</f>
        <v>0</v>
      </c>
      <c r="S708" s="11">
        <f t="shared" si="217"/>
        <v>0</v>
      </c>
      <c r="T708" s="11">
        <f t="shared" si="218"/>
        <v>0</v>
      </c>
      <c r="U708" s="11">
        <f>IF(A707=A708,0,VLOOKUP(A708,'Packing Time'!A:F,6,0))</f>
        <v>0</v>
      </c>
      <c r="V708" s="11">
        <f t="shared" si="211"/>
        <v>0</v>
      </c>
      <c r="W708" s="11">
        <f t="shared" si="212"/>
        <v>0</v>
      </c>
      <c r="X708" s="11">
        <f t="shared" si="219"/>
        <v>0</v>
      </c>
      <c r="Y708" s="11">
        <f t="shared" si="213"/>
        <v>0</v>
      </c>
      <c r="Z708" s="37">
        <v>1</v>
      </c>
      <c r="AA708" s="36">
        <f t="shared" si="220"/>
        <v>1</v>
      </c>
      <c r="AB708" s="36">
        <f t="shared" si="221"/>
        <v>0.14000000000000001</v>
      </c>
      <c r="AC708" s="11">
        <f t="shared" si="222"/>
        <v>0</v>
      </c>
      <c r="AD708" s="36">
        <f t="shared" si="214"/>
        <v>0</v>
      </c>
      <c r="AE708" s="36"/>
      <c r="AF708" s="36">
        <f>IFERROR(VLOOKUP(AE708,'Chemical Cost'!A:D,4,0),0)</f>
        <v>0</v>
      </c>
      <c r="AG708" s="114">
        <f t="shared" si="223"/>
        <v>0</v>
      </c>
      <c r="AH708" s="36">
        <f t="shared" si="208"/>
        <v>0</v>
      </c>
      <c r="AI708" s="36">
        <f t="shared" si="215"/>
        <v>0.14000000000000001</v>
      </c>
      <c r="AJ708" s="36">
        <f>IFERROR(VLOOKUP(A708,'All Products'!A:F,6,0),0)</f>
        <v>6.81</v>
      </c>
      <c r="AK708" s="36"/>
      <c r="AL708" s="23">
        <v>1</v>
      </c>
      <c r="AM708" s="23"/>
      <c r="AN708" s="54" t="s">
        <v>530</v>
      </c>
      <c r="AO708" s="47"/>
      <c r="AP708" s="4">
        <v>1.6</v>
      </c>
      <c r="AQ708" s="111">
        <f t="shared" si="224"/>
        <v>0</v>
      </c>
      <c r="AR708">
        <f>_xlfn.XLOOKUP(F708,'RM Cost'!A:A,'RM Cost'!S:S)</f>
        <v>0</v>
      </c>
      <c r="AS708" t="str">
        <f>_xlfn.XLOOKUP(A708,[3]Sheet1!$B:$B,[3]Sheet1!$B:$B)</f>
        <v>Z008CS</v>
      </c>
      <c r="AT708" t="e">
        <f>_xlfn.XLOOKUP(H708,'Yield &amp; Time'!A:A,'Yield &amp; Time'!F:F)</f>
        <v>#N/A</v>
      </c>
    </row>
    <row r="709" spans="1:46" x14ac:dyDescent="0.25">
      <c r="A709" s="2" t="s">
        <v>528</v>
      </c>
      <c r="B709" s="2" t="s">
        <v>656</v>
      </c>
      <c r="C709" s="2" t="s">
        <v>529</v>
      </c>
      <c r="D709" s="2" t="s">
        <v>554</v>
      </c>
      <c r="E709" s="2">
        <v>2.5</v>
      </c>
      <c r="F709" s="1" t="str">
        <f>VLOOKUP(H709,'RM Used'!A:B,2,0)</f>
        <v>024BCS</v>
      </c>
      <c r="G709" s="1" t="str">
        <f>IFERROR(VLOOKUP(F709,'RM Cost'!A:B,2,0),"")</f>
        <v>RM - MUSHROOM BUTTON 30-40M 3KG</v>
      </c>
      <c r="H709" s="2" t="s">
        <v>1530</v>
      </c>
      <c r="I709" s="1" t="str">
        <f>VLOOKUP(F709,'RM Used'!B:D,3,0)</f>
        <v>RM-FOOD</v>
      </c>
      <c r="J709" s="66">
        <v>1</v>
      </c>
      <c r="K709" s="35">
        <f t="shared" si="210"/>
        <v>2.5</v>
      </c>
      <c r="L709" s="35">
        <f t="shared" si="216"/>
        <v>2.5</v>
      </c>
      <c r="M709" s="77" cm="1">
        <f t="array" ref="M709">_xlfn.IFS(BOM!I709="RM-PACKING","100%",B709="Reynolds",VLOOKUP(H709,'Yield &amp; Time'!A:V,22,0),BOM!B709="Dnata",VLOOKUP(BOM!H709,'Yield &amp; Time'!A:M,13,0),B709="NK",VLOOKUP(H709,'Yield &amp; Time'!A:X,24,0))</f>
        <v>0.88</v>
      </c>
      <c r="N709" s="35">
        <f t="shared" si="209"/>
        <v>2.8409090909090908</v>
      </c>
      <c r="O709" s="1" t="str">
        <f>VLOOKUP(H709,'RM Used'!A:E,5,0)</f>
        <v>KG</v>
      </c>
      <c r="P709" s="11">
        <f>VLOOKUP(H709,'RM Used'!A:F,6,0)</f>
        <v>1.85</v>
      </c>
      <c r="Q709" s="11">
        <f t="shared" si="225"/>
        <v>5.2556818181818183</v>
      </c>
      <c r="R709" s="11">
        <f>IFERROR(IF(B709="Reynolds",VLOOKUP(H709,'Yield &amp; Time'!A:U,21,0),VLOOKUP(H709,'Yield &amp; Time'!A:L,12,0)),0)</f>
        <v>5.6818181818181817</v>
      </c>
      <c r="S709" s="11">
        <f t="shared" si="217"/>
        <v>4.8082386363636358</v>
      </c>
      <c r="T709" s="11">
        <f t="shared" si="218"/>
        <v>0.23674242424242423</v>
      </c>
      <c r="U709" s="11">
        <f>IF(A708=A709,0,VLOOKUP(A709,'Packing Time'!A:F,6,0))</f>
        <v>0.875</v>
      </c>
      <c r="V709" s="11">
        <f t="shared" si="211"/>
        <v>0.29618749999999999</v>
      </c>
      <c r="W709" s="11">
        <f t="shared" si="212"/>
        <v>1.4583333333333334E-2</v>
      </c>
      <c r="X709" s="11">
        <f t="shared" si="219"/>
        <v>8.167081818181817</v>
      </c>
      <c r="Y709" s="11">
        <f t="shared" si="213"/>
        <v>8.167081818181817</v>
      </c>
      <c r="Z709" s="37">
        <v>1</v>
      </c>
      <c r="AA709" s="36">
        <f t="shared" si="220"/>
        <v>2.8409090909090908</v>
      </c>
      <c r="AB709" s="36">
        <f t="shared" si="221"/>
        <v>5.2556818181818183</v>
      </c>
      <c r="AC709" s="11">
        <f t="shared" si="222"/>
        <v>0.4021212121212121</v>
      </c>
      <c r="AD709" s="36">
        <f t="shared" si="214"/>
        <v>8.167081818181817</v>
      </c>
      <c r="AE709" s="36"/>
      <c r="AF709" s="36">
        <f>IFERROR(VLOOKUP(AE709,'Chemical Cost'!A:D,4,0),0)</f>
        <v>0</v>
      </c>
      <c r="AG709" s="114">
        <f t="shared" si="223"/>
        <v>0</v>
      </c>
      <c r="AH709" s="36">
        <f t="shared" si="208"/>
        <v>0</v>
      </c>
      <c r="AI709" s="36">
        <f t="shared" si="215"/>
        <v>13.422763636363635</v>
      </c>
      <c r="AJ709" s="36">
        <f>IFERROR(VLOOKUP(A709,'All Products'!A:F,6,0),0)</f>
        <v>17.02</v>
      </c>
      <c r="AK709" s="36">
        <f>AJ709*Z709*J709</f>
        <v>17.02</v>
      </c>
      <c r="AL709" s="23">
        <v>1</v>
      </c>
      <c r="AM709" s="23"/>
      <c r="AN709" s="54" t="e">
        <v>#N/A</v>
      </c>
      <c r="AO709" s="47"/>
      <c r="AP709" s="4">
        <v>1.6</v>
      </c>
      <c r="AQ709" s="111">
        <f t="shared" si="224"/>
        <v>0.4021212121212121</v>
      </c>
      <c r="AR709">
        <f>_xlfn.XLOOKUP(F709,'RM Cost'!A:A,'RM Cost'!S:S)</f>
        <v>0</v>
      </c>
      <c r="AS709" t="str">
        <f>_xlfn.XLOOKUP(A709,[3]Sheet1!$B:$B,[3]Sheet1!$B:$B)</f>
        <v>Z007CS</v>
      </c>
      <c r="AT709">
        <f>_xlfn.XLOOKUP(H709,'Yield &amp; Time'!A:A,'Yield &amp; Time'!F:F)</f>
        <v>0</v>
      </c>
    </row>
    <row r="710" spans="1:46" x14ac:dyDescent="0.25">
      <c r="A710" s="2" t="s">
        <v>528</v>
      </c>
      <c r="B710" s="2" t="s">
        <v>656</v>
      </c>
      <c r="C710" s="2" t="s">
        <v>529</v>
      </c>
      <c r="D710" s="2" t="s">
        <v>554</v>
      </c>
      <c r="E710" s="2">
        <v>2.5</v>
      </c>
      <c r="F710" s="1" t="str">
        <f>VLOOKUP(H710,'RM Used'!A:B,2,0)</f>
        <v>P0008</v>
      </c>
      <c r="G710" s="1" t="str">
        <f>IFERROR(VLOOKUP(F710,'RM Cost'!A:B,2,0),"")</f>
        <v>PALE BLUE BAG 470X750MM</v>
      </c>
      <c r="H710" s="2" t="s">
        <v>1323</v>
      </c>
      <c r="I710" s="1" t="str">
        <f>VLOOKUP(F710,'RM Used'!B:D,3,0)</f>
        <v>RM-PACKING</v>
      </c>
      <c r="J710" s="66">
        <v>1</v>
      </c>
      <c r="K710" s="35" t="str">
        <f t="shared" si="210"/>
        <v/>
      </c>
      <c r="L710" s="35">
        <f t="shared" si="216"/>
        <v>0</v>
      </c>
      <c r="M710" s="77" t="str" cm="1">
        <f t="array" ref="M710">_xlfn.IFS(BOM!I710="RM-PACKING","100%",B710="Reynolds",VLOOKUP(H710,'Yield &amp; Time'!A:V,22,0),BOM!B710="Dnata",VLOOKUP(BOM!H710,'Yield &amp; Time'!A:M,13,0),B710="NK",VLOOKUP(H710,'Yield &amp; Time'!A:X,24,0))</f>
        <v>100%</v>
      </c>
      <c r="N710" s="35">
        <f t="shared" si="209"/>
        <v>1</v>
      </c>
      <c r="O710" s="1" t="str">
        <f>VLOOKUP(H710,'RM Used'!A:E,5,0)</f>
        <v>Count</v>
      </c>
      <c r="P710" s="11">
        <f>VLOOKUP(H710,'RM Used'!A:F,6,0)</f>
        <v>0.14000000000000001</v>
      </c>
      <c r="Q710" s="11">
        <f t="shared" si="225"/>
        <v>0.14000000000000001</v>
      </c>
      <c r="R710" s="11">
        <f>IFERROR(IF(B710="Reynolds",VLOOKUP(H710,'Yield &amp; Time'!A:U,21,0),VLOOKUP(H710,'Yield &amp; Time'!A:L,12,0)),0)</f>
        <v>0</v>
      </c>
      <c r="S710" s="11">
        <f t="shared" si="217"/>
        <v>0</v>
      </c>
      <c r="T710" s="11">
        <f t="shared" si="218"/>
        <v>0</v>
      </c>
      <c r="U710" s="11">
        <f>IF(A709=A710,0,VLOOKUP(A710,'Packing Time'!A:F,6,0))</f>
        <v>0</v>
      </c>
      <c r="V710" s="11">
        <f t="shared" si="211"/>
        <v>0</v>
      </c>
      <c r="W710" s="11">
        <f t="shared" si="212"/>
        <v>0</v>
      </c>
      <c r="X710" s="11">
        <f t="shared" si="219"/>
        <v>0</v>
      </c>
      <c r="Y710" s="11">
        <f t="shared" si="213"/>
        <v>0</v>
      </c>
      <c r="Z710" s="37">
        <v>1</v>
      </c>
      <c r="AA710" s="36">
        <f t="shared" si="220"/>
        <v>1</v>
      </c>
      <c r="AB710" s="36">
        <f t="shared" si="221"/>
        <v>0.14000000000000001</v>
      </c>
      <c r="AC710" s="11">
        <f t="shared" si="222"/>
        <v>0</v>
      </c>
      <c r="AD710" s="36">
        <f t="shared" si="214"/>
        <v>0</v>
      </c>
      <c r="AE710" s="36"/>
      <c r="AF710" s="36">
        <f>IFERROR(VLOOKUP(AE710,'Chemical Cost'!A:D,4,0),0)</f>
        <v>0</v>
      </c>
      <c r="AG710" s="114">
        <f t="shared" si="223"/>
        <v>0</v>
      </c>
      <c r="AH710" s="36">
        <f t="shared" si="208"/>
        <v>0</v>
      </c>
      <c r="AI710" s="36">
        <f t="shared" si="215"/>
        <v>0.14000000000000001</v>
      </c>
      <c r="AJ710" s="36">
        <f>IFERROR(VLOOKUP(A710,'All Products'!A:F,6,0),0)</f>
        <v>17.02</v>
      </c>
      <c r="AK710" s="36"/>
      <c r="AL710" s="23">
        <v>1</v>
      </c>
      <c r="AM710" s="23"/>
      <c r="AN710" s="54" t="e">
        <v>#N/A</v>
      </c>
      <c r="AO710" s="47"/>
      <c r="AP710" s="4">
        <v>1.6</v>
      </c>
      <c r="AQ710" s="111">
        <f t="shared" si="224"/>
        <v>0</v>
      </c>
      <c r="AR710">
        <f>_xlfn.XLOOKUP(F710,'RM Cost'!A:A,'RM Cost'!S:S)</f>
        <v>0</v>
      </c>
      <c r="AS710" t="str">
        <f>_xlfn.XLOOKUP(A710,[3]Sheet1!$B:$B,[3]Sheet1!$B:$B)</f>
        <v>Z007CS</v>
      </c>
      <c r="AT710" t="e">
        <f>_xlfn.XLOOKUP(H710,'Yield &amp; Time'!A:A,'Yield &amp; Time'!F:F)</f>
        <v>#N/A</v>
      </c>
    </row>
    <row r="711" spans="1:46" x14ac:dyDescent="0.25">
      <c r="A711" s="2" t="s">
        <v>245</v>
      </c>
      <c r="B711" s="2" t="s">
        <v>656</v>
      </c>
      <c r="C711" s="2" t="s">
        <v>246</v>
      </c>
      <c r="D711" s="2" t="s">
        <v>554</v>
      </c>
      <c r="E711" s="2">
        <v>1</v>
      </c>
      <c r="F711" s="1" t="str">
        <f>VLOOKUP(H711,'RM Used'!A:B,2,0)</f>
        <v>024BCS</v>
      </c>
      <c r="G711" s="1" t="str">
        <f>IFERROR(VLOOKUP(F711,'RM Cost'!A:B,2,0),"")</f>
        <v>RM - MUSHROOM BUTTON 30-40M 3KG</v>
      </c>
      <c r="H711" s="2" t="s">
        <v>1531</v>
      </c>
      <c r="I711" s="1" t="str">
        <f>VLOOKUP(F711,'RM Used'!B:D,3,0)</f>
        <v>RM-FOOD</v>
      </c>
      <c r="J711" s="66">
        <v>1</v>
      </c>
      <c r="K711" s="35">
        <f t="shared" si="210"/>
        <v>1</v>
      </c>
      <c r="L711" s="35">
        <f t="shared" si="216"/>
        <v>1</v>
      </c>
      <c r="M711" s="77" cm="1">
        <f t="array" ref="M711">_xlfn.IFS(BOM!I711="RM-PACKING","100%",B711="Reynolds",VLOOKUP(H711,'Yield &amp; Time'!A:V,22,0),BOM!B711="Dnata",VLOOKUP(BOM!H711,'Yield &amp; Time'!A:M,13,0),B711="NK",VLOOKUP(H711,'Yield &amp; Time'!A:X,24,0))</f>
        <v>0.9943661971830986</v>
      </c>
      <c r="N711" s="35">
        <f t="shared" si="209"/>
        <v>1.0056657223796035</v>
      </c>
      <c r="O711" s="1" t="str">
        <f>VLOOKUP(H711,'RM Used'!A:E,5,0)</f>
        <v>KG</v>
      </c>
      <c r="P711" s="11">
        <f>VLOOKUP(H711,'RM Used'!A:F,6,0)</f>
        <v>1.85</v>
      </c>
      <c r="Q711" s="11">
        <f t="shared" si="225"/>
        <v>1.8604815864022666</v>
      </c>
      <c r="R711" s="11">
        <f>IFERROR(IF(B711="Reynolds",VLOOKUP(H711,'Yield &amp; Time'!A:U,21,0),VLOOKUP(H711,'Yield &amp; Time'!A:L,12,0)),0)</f>
        <v>6.5155807365439093</v>
      </c>
      <c r="S711" s="11">
        <f t="shared" si="217"/>
        <v>2.2055240793201132</v>
      </c>
      <c r="T711" s="11">
        <f t="shared" si="218"/>
        <v>0.10859301227573183</v>
      </c>
      <c r="U711" s="11">
        <f>IF(A710=A711,0,VLOOKUP(A711,'Packing Time'!A:F,6,0))</f>
        <v>0.64166666666666661</v>
      </c>
      <c r="V711" s="11">
        <f t="shared" si="211"/>
        <v>0.21720416666666661</v>
      </c>
      <c r="W711" s="11">
        <f t="shared" si="212"/>
        <v>1.0694444444444444E-2</v>
      </c>
      <c r="X711" s="11">
        <f t="shared" si="219"/>
        <v>3.8763651935788475</v>
      </c>
      <c r="Y711" s="11">
        <f t="shared" si="213"/>
        <v>3.8763651935788475</v>
      </c>
      <c r="Z711" s="37">
        <v>1</v>
      </c>
      <c r="AA711" s="36">
        <f t="shared" si="220"/>
        <v>1.0056657223796035</v>
      </c>
      <c r="AB711" s="36">
        <f t="shared" si="221"/>
        <v>1.8604815864022666</v>
      </c>
      <c r="AC711" s="11">
        <f t="shared" si="222"/>
        <v>0.19085993075228203</v>
      </c>
      <c r="AD711" s="36">
        <f t="shared" si="214"/>
        <v>3.8763651935788475</v>
      </c>
      <c r="AE711" s="36"/>
      <c r="AF711" s="36">
        <f>IFERROR(VLOOKUP(AE711,'Chemical Cost'!A:D,4,0),0)</f>
        <v>0</v>
      </c>
      <c r="AG711" s="114">
        <f t="shared" si="223"/>
        <v>0</v>
      </c>
      <c r="AH711" s="36">
        <f t="shared" si="208"/>
        <v>0</v>
      </c>
      <c r="AI711" s="36">
        <f t="shared" si="215"/>
        <v>5.7368467799811143</v>
      </c>
      <c r="AJ711" s="36">
        <f>IFERROR(VLOOKUP(A711,'All Products'!A:F,6,0),0)</f>
        <v>4.78</v>
      </c>
      <c r="AK711" s="36">
        <f>AJ711*Z711*J711</f>
        <v>4.78</v>
      </c>
      <c r="AL711" s="23">
        <v>1</v>
      </c>
      <c r="AM711" s="23"/>
      <c r="AN711" s="54" t="e">
        <v>#N/A</v>
      </c>
      <c r="AO711" s="47"/>
      <c r="AP711" s="4">
        <v>1.6</v>
      </c>
      <c r="AQ711" s="111">
        <f t="shared" si="224"/>
        <v>0.19085993075228203</v>
      </c>
      <c r="AR711">
        <f>_xlfn.XLOOKUP(F711,'RM Cost'!A:A,'RM Cost'!S:S)</f>
        <v>0</v>
      </c>
      <c r="AS711" t="e">
        <f>_xlfn.XLOOKUP(A711,[3]Sheet1!$B:$B,[3]Sheet1!$B:$B)</f>
        <v>#N/A</v>
      </c>
    </row>
    <row r="712" spans="1:46" x14ac:dyDescent="0.25">
      <c r="A712" s="2" t="s">
        <v>245</v>
      </c>
      <c r="B712" s="2" t="s">
        <v>656</v>
      </c>
      <c r="C712" s="2" t="s">
        <v>246</v>
      </c>
      <c r="D712" s="2" t="s">
        <v>554</v>
      </c>
      <c r="E712" s="2">
        <v>1</v>
      </c>
      <c r="F712" s="1" t="str">
        <f>VLOOKUP(H712,'RM Used'!A:B,2,0)</f>
        <v>P0008</v>
      </c>
      <c r="G712" s="1" t="str">
        <f>IFERROR(VLOOKUP(F712,'RM Cost'!A:B,2,0),"")</f>
        <v>PALE BLUE BAG 470X750MM</v>
      </c>
      <c r="H712" s="2" t="s">
        <v>1323</v>
      </c>
      <c r="I712" s="1" t="str">
        <f>VLOOKUP(F712,'RM Used'!B:D,3,0)</f>
        <v>RM-PACKING</v>
      </c>
      <c r="J712" s="66">
        <v>1</v>
      </c>
      <c r="K712" s="35" t="str">
        <f t="shared" si="210"/>
        <v/>
      </c>
      <c r="L712" s="35">
        <f t="shared" si="216"/>
        <v>0</v>
      </c>
      <c r="M712" s="77" t="str" cm="1">
        <f t="array" ref="M712">_xlfn.IFS(BOM!I712="RM-PACKING","100%",B712="Reynolds",VLOOKUP(H712,'Yield &amp; Time'!A:V,22,0),BOM!B712="Dnata",VLOOKUP(BOM!H712,'Yield &amp; Time'!A:M,13,0),B712="NK",VLOOKUP(H712,'Yield &amp; Time'!A:X,24,0))</f>
        <v>100%</v>
      </c>
      <c r="N712" s="35">
        <f t="shared" si="209"/>
        <v>1</v>
      </c>
      <c r="O712" s="1" t="str">
        <f>VLOOKUP(H712,'RM Used'!A:E,5,0)</f>
        <v>Count</v>
      </c>
      <c r="P712" s="11">
        <f>VLOOKUP(H712,'RM Used'!A:F,6,0)</f>
        <v>0.14000000000000001</v>
      </c>
      <c r="Q712" s="11">
        <f t="shared" si="225"/>
        <v>0.14000000000000001</v>
      </c>
      <c r="R712" s="11">
        <f>IFERROR(IF(B712="Reynolds",VLOOKUP(H712,'Yield &amp; Time'!A:U,21,0),VLOOKUP(H712,'Yield &amp; Time'!A:L,12,0)),0)</f>
        <v>0</v>
      </c>
      <c r="S712" s="11">
        <f t="shared" si="217"/>
        <v>0</v>
      </c>
      <c r="T712" s="11">
        <f t="shared" si="218"/>
        <v>0</v>
      </c>
      <c r="U712" s="11">
        <f>IF(A711=A712,0,VLOOKUP(A712,'Packing Time'!A:F,6,0))</f>
        <v>0</v>
      </c>
      <c r="V712" s="11">
        <f t="shared" si="211"/>
        <v>0</v>
      </c>
      <c r="W712" s="11">
        <f t="shared" si="212"/>
        <v>0</v>
      </c>
      <c r="X712" s="11">
        <f t="shared" si="219"/>
        <v>0</v>
      </c>
      <c r="Y712" s="11">
        <f t="shared" si="213"/>
        <v>0</v>
      </c>
      <c r="Z712" s="37">
        <v>1</v>
      </c>
      <c r="AA712" s="36">
        <f t="shared" si="220"/>
        <v>1</v>
      </c>
      <c r="AB712" s="36">
        <f t="shared" si="221"/>
        <v>0.14000000000000001</v>
      </c>
      <c r="AC712" s="11">
        <f t="shared" si="222"/>
        <v>0</v>
      </c>
      <c r="AD712" s="36">
        <f t="shared" si="214"/>
        <v>0</v>
      </c>
      <c r="AE712" s="36"/>
      <c r="AF712" s="36">
        <f>IFERROR(VLOOKUP(AE712,'Chemical Cost'!A:D,4,0),0)</f>
        <v>0</v>
      </c>
      <c r="AG712" s="114">
        <f t="shared" si="223"/>
        <v>0</v>
      </c>
      <c r="AH712" s="36">
        <f t="shared" si="208"/>
        <v>0</v>
      </c>
      <c r="AI712" s="36">
        <f t="shared" si="215"/>
        <v>0.14000000000000001</v>
      </c>
      <c r="AJ712" s="36">
        <f>IFERROR(VLOOKUP(A712,'All Products'!A:F,6,0),0)</f>
        <v>4.78</v>
      </c>
      <c r="AK712" s="36"/>
      <c r="AL712" s="23">
        <v>1</v>
      </c>
      <c r="AM712" s="23"/>
      <c r="AN712" s="54" t="e">
        <v>#N/A</v>
      </c>
      <c r="AO712" s="47"/>
      <c r="AP712" s="4">
        <v>1.6</v>
      </c>
      <c r="AQ712" s="111">
        <f t="shared" si="224"/>
        <v>0</v>
      </c>
      <c r="AR712">
        <f>_xlfn.XLOOKUP(F712,'RM Cost'!A:A,'RM Cost'!S:S)</f>
        <v>0</v>
      </c>
      <c r="AS712" t="e">
        <f>_xlfn.XLOOKUP(A712,[3]Sheet1!$B:$B,[3]Sheet1!$B:$B)</f>
        <v>#N/A</v>
      </c>
    </row>
    <row r="713" spans="1:46" x14ac:dyDescent="0.25">
      <c r="A713" s="2" t="s">
        <v>243</v>
      </c>
      <c r="B713" s="2" t="s">
        <v>656</v>
      </c>
      <c r="C713" s="2" t="s">
        <v>244</v>
      </c>
      <c r="D713" s="2" t="s">
        <v>554</v>
      </c>
      <c r="E713" s="2">
        <v>2.5</v>
      </c>
      <c r="F713" s="1" t="str">
        <f>VLOOKUP(H713,'RM Used'!A:B,2,0)</f>
        <v>024BCS</v>
      </c>
      <c r="G713" s="1" t="str">
        <f>IFERROR(VLOOKUP(F713,'RM Cost'!A:B,2,0),"")</f>
        <v>RM - MUSHROOM BUTTON 30-40M 3KG</v>
      </c>
      <c r="H713" s="2" t="s">
        <v>1531</v>
      </c>
      <c r="I713" s="1" t="str">
        <f>VLOOKUP(F713,'RM Used'!B:D,3,0)</f>
        <v>RM-FOOD</v>
      </c>
      <c r="J713" s="66">
        <v>1</v>
      </c>
      <c r="K713" s="35">
        <f t="shared" si="210"/>
        <v>2.5</v>
      </c>
      <c r="L713" s="35">
        <f t="shared" si="216"/>
        <v>2.5</v>
      </c>
      <c r="M713" s="77" cm="1">
        <f t="array" ref="M713">_xlfn.IFS(BOM!I713="RM-PACKING","100%",B713="Reynolds",VLOOKUP(H713,'Yield &amp; Time'!A:V,22,0),BOM!B713="Dnata",VLOOKUP(BOM!H713,'Yield &amp; Time'!A:M,13,0),B713="NK",VLOOKUP(H713,'Yield &amp; Time'!A:X,24,0))</f>
        <v>0.9943661971830986</v>
      </c>
      <c r="N713" s="35">
        <f t="shared" si="209"/>
        <v>2.5141643059490084</v>
      </c>
      <c r="O713" s="1" t="str">
        <f>VLOOKUP(H713,'RM Used'!A:E,5,0)</f>
        <v>KG</v>
      </c>
      <c r="P713" s="11">
        <f>VLOOKUP(H713,'RM Used'!A:F,6,0)</f>
        <v>1.85</v>
      </c>
      <c r="Q713" s="11">
        <f t="shared" si="225"/>
        <v>4.6512039660056654</v>
      </c>
      <c r="R713" s="11">
        <f>IFERROR(IF(B713="Reynolds",VLOOKUP(H713,'Yield &amp; Time'!A:U,21,0),VLOOKUP(H713,'Yield &amp; Time'!A:L,12,0)),0)</f>
        <v>6.5155807365439093</v>
      </c>
      <c r="S713" s="11">
        <f t="shared" si="217"/>
        <v>5.5138101983002823</v>
      </c>
      <c r="T713" s="11">
        <f t="shared" si="218"/>
        <v>0.27148253068932954</v>
      </c>
      <c r="U713" s="11">
        <f>IF(A712=A713,0,VLOOKUP(A713,'Packing Time'!A:F,6,0))</f>
        <v>0.875</v>
      </c>
      <c r="V713" s="11">
        <f t="shared" si="211"/>
        <v>0.29618749999999999</v>
      </c>
      <c r="W713" s="11">
        <f t="shared" si="212"/>
        <v>1.4583333333333334E-2</v>
      </c>
      <c r="X713" s="11">
        <f t="shared" si="219"/>
        <v>6.390997468130311</v>
      </c>
      <c r="Y713" s="11">
        <f t="shared" si="213"/>
        <v>6.390997468130311</v>
      </c>
      <c r="Z713" s="37">
        <v>1</v>
      </c>
      <c r="AA713" s="36">
        <f t="shared" si="220"/>
        <v>2.5141643059490084</v>
      </c>
      <c r="AB713" s="36">
        <f t="shared" si="221"/>
        <v>4.6512039660056654</v>
      </c>
      <c r="AC713" s="11">
        <f t="shared" si="222"/>
        <v>0.3146724504249292</v>
      </c>
      <c r="AD713" s="36">
        <f t="shared" si="214"/>
        <v>6.390997468130311</v>
      </c>
      <c r="AE713" s="36"/>
      <c r="AF713" s="36">
        <f>IFERROR(VLOOKUP(AE713,'Chemical Cost'!A:D,4,0),0)</f>
        <v>0</v>
      </c>
      <c r="AG713" s="114">
        <f t="shared" si="223"/>
        <v>0</v>
      </c>
      <c r="AH713" s="36">
        <f t="shared" si="208"/>
        <v>0</v>
      </c>
      <c r="AI713" s="36">
        <f t="shared" si="215"/>
        <v>11.042201434135976</v>
      </c>
      <c r="AJ713" s="36">
        <f>IFERROR(VLOOKUP(A713,'All Products'!A:F,6,0),0)</f>
        <v>11.65</v>
      </c>
      <c r="AK713" s="36">
        <f>AJ713*Z713*J713</f>
        <v>11.65</v>
      </c>
      <c r="AL713" s="23">
        <v>1</v>
      </c>
      <c r="AM713" s="23"/>
      <c r="AN713" s="54" t="e">
        <v>#N/A</v>
      </c>
      <c r="AO713" s="47"/>
      <c r="AP713" s="4">
        <v>1.1000000000000001</v>
      </c>
      <c r="AQ713" s="111">
        <f t="shared" si="224"/>
        <v>0.3146724504249292</v>
      </c>
      <c r="AR713">
        <f>_xlfn.XLOOKUP(F713,'RM Cost'!A:A,'RM Cost'!S:S)</f>
        <v>0</v>
      </c>
      <c r="AS713" t="e">
        <f>_xlfn.XLOOKUP(A713,[3]Sheet1!$B:$B,[3]Sheet1!$B:$B)</f>
        <v>#N/A</v>
      </c>
    </row>
    <row r="714" spans="1:46" x14ac:dyDescent="0.25">
      <c r="A714" s="2" t="s">
        <v>243</v>
      </c>
      <c r="B714" s="2" t="s">
        <v>656</v>
      </c>
      <c r="C714" s="2" t="s">
        <v>244</v>
      </c>
      <c r="D714" s="2" t="s">
        <v>554</v>
      </c>
      <c r="E714" s="2">
        <v>2.5</v>
      </c>
      <c r="F714" s="1" t="str">
        <f>VLOOKUP(H714,'RM Used'!A:B,2,0)</f>
        <v>P0008</v>
      </c>
      <c r="G714" s="1" t="str">
        <f>IFERROR(VLOOKUP(F714,'RM Cost'!A:B,2,0),"")</f>
        <v>PALE BLUE BAG 470X750MM</v>
      </c>
      <c r="H714" s="2" t="s">
        <v>1323</v>
      </c>
      <c r="I714" s="1" t="str">
        <f>VLOOKUP(F714,'RM Used'!B:D,3,0)</f>
        <v>RM-PACKING</v>
      </c>
      <c r="J714" s="66">
        <v>1</v>
      </c>
      <c r="K714" s="35" t="str">
        <f t="shared" si="210"/>
        <v/>
      </c>
      <c r="L714" s="35">
        <f t="shared" si="216"/>
        <v>0</v>
      </c>
      <c r="M714" s="77" t="str" cm="1">
        <f t="array" ref="M714">_xlfn.IFS(BOM!I714="RM-PACKING","100%",B714="Reynolds",VLOOKUP(H714,'Yield &amp; Time'!A:V,22,0),BOM!B714="Dnata",VLOOKUP(BOM!H714,'Yield &amp; Time'!A:M,13,0),B714="NK",VLOOKUP(H714,'Yield &amp; Time'!A:X,24,0))</f>
        <v>100%</v>
      </c>
      <c r="N714" s="35">
        <f t="shared" si="209"/>
        <v>1</v>
      </c>
      <c r="O714" s="1" t="str">
        <f>VLOOKUP(H714,'RM Used'!A:E,5,0)</f>
        <v>Count</v>
      </c>
      <c r="P714" s="11">
        <f>VLOOKUP(H714,'RM Used'!A:F,6,0)</f>
        <v>0.14000000000000001</v>
      </c>
      <c r="Q714" s="11">
        <f t="shared" si="225"/>
        <v>0.14000000000000001</v>
      </c>
      <c r="R714" s="11">
        <f>IFERROR(IF(B714="Reynolds",VLOOKUP(H714,'Yield &amp; Time'!A:U,21,0),VLOOKUP(H714,'Yield &amp; Time'!A:L,12,0)),0)</f>
        <v>0</v>
      </c>
      <c r="S714" s="11">
        <f t="shared" si="217"/>
        <v>0</v>
      </c>
      <c r="T714" s="11">
        <f t="shared" si="218"/>
        <v>0</v>
      </c>
      <c r="U714" s="11">
        <f>IF(A713=A714,0,VLOOKUP(A714,'Packing Time'!A:F,6,0))</f>
        <v>0</v>
      </c>
      <c r="V714" s="11">
        <f t="shared" si="211"/>
        <v>0</v>
      </c>
      <c r="W714" s="11">
        <f t="shared" si="212"/>
        <v>0</v>
      </c>
      <c r="X714" s="11">
        <f t="shared" si="219"/>
        <v>0</v>
      </c>
      <c r="Y714" s="11">
        <f t="shared" si="213"/>
        <v>0</v>
      </c>
      <c r="Z714" s="37">
        <v>1</v>
      </c>
      <c r="AA714" s="36">
        <f t="shared" si="220"/>
        <v>1</v>
      </c>
      <c r="AB714" s="36">
        <f t="shared" si="221"/>
        <v>0.14000000000000001</v>
      </c>
      <c r="AC714" s="11">
        <f t="shared" si="222"/>
        <v>0</v>
      </c>
      <c r="AD714" s="36">
        <f t="shared" si="214"/>
        <v>0</v>
      </c>
      <c r="AE714" s="36"/>
      <c r="AF714" s="36">
        <f>IFERROR(VLOOKUP(AE714,'Chemical Cost'!A:D,4,0),0)</f>
        <v>0</v>
      </c>
      <c r="AG714" s="114">
        <f t="shared" si="223"/>
        <v>0</v>
      </c>
      <c r="AH714" s="36">
        <f t="shared" si="208"/>
        <v>0</v>
      </c>
      <c r="AI714" s="36">
        <f t="shared" si="215"/>
        <v>0.14000000000000001</v>
      </c>
      <c r="AJ714" s="36">
        <f>IFERROR(VLOOKUP(A714,'All Products'!A:F,6,0),0)</f>
        <v>11.65</v>
      </c>
      <c r="AK714" s="36"/>
      <c r="AL714" s="23">
        <v>1</v>
      </c>
      <c r="AM714" s="23"/>
      <c r="AN714" s="54" t="e">
        <v>#N/A</v>
      </c>
      <c r="AO714" s="47"/>
      <c r="AP714" s="4">
        <v>1.1000000000000001</v>
      </c>
      <c r="AQ714" s="111">
        <f t="shared" si="224"/>
        <v>0</v>
      </c>
      <c r="AR714">
        <f>_xlfn.XLOOKUP(F714,'RM Cost'!A:A,'RM Cost'!S:S)</f>
        <v>0</v>
      </c>
      <c r="AS714" t="e">
        <f>_xlfn.XLOOKUP(A714,[3]Sheet1!$B:$B,[3]Sheet1!$B:$B)</f>
        <v>#N/A</v>
      </c>
    </row>
    <row r="715" spans="1:46" x14ac:dyDescent="0.25">
      <c r="A715" s="2" t="s">
        <v>823</v>
      </c>
      <c r="B715" s="2" t="s">
        <v>656</v>
      </c>
      <c r="C715" s="2" t="s">
        <v>824</v>
      </c>
      <c r="D715" s="2" t="s">
        <v>554</v>
      </c>
      <c r="E715" s="2">
        <v>1</v>
      </c>
      <c r="F715" s="1" t="str">
        <f>VLOOKUP(H715,'RM Used'!A:B,2,0)</f>
        <v>024BCS</v>
      </c>
      <c r="G715" s="1" t="str">
        <f>IFERROR(VLOOKUP(F715,'RM Cost'!A:B,2,0),"")</f>
        <v>RM - MUSHROOM BUTTON 30-40M 3KG</v>
      </c>
      <c r="H715" s="2" t="s">
        <v>1532</v>
      </c>
      <c r="I715" s="1" t="str">
        <f>VLOOKUP(F715,'RM Used'!B:D,3,0)</f>
        <v>RM-FOOD</v>
      </c>
      <c r="J715" s="66">
        <v>1</v>
      </c>
      <c r="K715" s="35">
        <f t="shared" si="210"/>
        <v>1</v>
      </c>
      <c r="L715" s="35">
        <f t="shared" si="216"/>
        <v>1</v>
      </c>
      <c r="M715" s="77" cm="1">
        <f t="array" ref="M715">_xlfn.IFS(BOM!I715="RM-PACKING","100%",B715="Reynolds",VLOOKUP(H715,'Yield &amp; Time'!A:V,22,0),BOM!B715="Dnata",VLOOKUP(BOM!H715,'Yield &amp; Time'!A:M,13,0),B715="NK",VLOOKUP(H715,'Yield &amp; Time'!A:X,24,0))</f>
        <v>1</v>
      </c>
      <c r="N715" s="35">
        <f t="shared" si="209"/>
        <v>1</v>
      </c>
      <c r="O715" s="1" t="str">
        <f>VLOOKUP(H715,'RM Used'!A:E,5,0)</f>
        <v>KG</v>
      </c>
      <c r="P715" s="11">
        <f>VLOOKUP(H715,'RM Used'!A:F,6,0)</f>
        <v>1.85</v>
      </c>
      <c r="Q715" s="11">
        <f t="shared" si="225"/>
        <v>1.85</v>
      </c>
      <c r="R715" s="11">
        <f>IFERROR(IF(B715="Reynolds",VLOOKUP(H715,'Yield &amp; Time'!A:U,21,0),VLOOKUP(H715,'Yield &amp; Time'!A:L,12,0)),0)</f>
        <v>0.15</v>
      </c>
      <c r="S715" s="11">
        <f t="shared" si="217"/>
        <v>5.0774999999999994E-2</v>
      </c>
      <c r="T715" s="11">
        <f t="shared" si="218"/>
        <v>2.5000000000000001E-3</v>
      </c>
      <c r="U715" s="11">
        <f>IF(A714=A715,0,VLOOKUP(A715,'Packing Time'!A:F,6,0))</f>
        <v>0.64166666666666661</v>
      </c>
      <c r="V715" s="11">
        <f t="shared" si="211"/>
        <v>0.21720416666666661</v>
      </c>
      <c r="W715" s="11">
        <f t="shared" si="212"/>
        <v>1.0694444444444444E-2</v>
      </c>
      <c r="X715" s="11">
        <f t="shared" si="219"/>
        <v>0.42876666666666657</v>
      </c>
      <c r="Y715" s="11">
        <f t="shared" si="213"/>
        <v>0.42876666666666657</v>
      </c>
      <c r="Z715" s="37">
        <v>1</v>
      </c>
      <c r="AA715" s="36">
        <f t="shared" si="220"/>
        <v>1</v>
      </c>
      <c r="AB715" s="36">
        <f t="shared" si="221"/>
        <v>1.85</v>
      </c>
      <c r="AC715" s="11">
        <f t="shared" si="222"/>
        <v>2.1111111111111112E-2</v>
      </c>
      <c r="AD715" s="36">
        <f t="shared" si="214"/>
        <v>0.42876666666666663</v>
      </c>
      <c r="AE715" s="36"/>
      <c r="AF715" s="36">
        <f>IFERROR(VLOOKUP(AE715,'Chemical Cost'!A:D,4,0),0)</f>
        <v>0</v>
      </c>
      <c r="AG715" s="114">
        <f t="shared" si="223"/>
        <v>0</v>
      </c>
      <c r="AH715" s="36">
        <f t="shared" si="208"/>
        <v>0</v>
      </c>
      <c r="AI715" s="36">
        <f t="shared" si="215"/>
        <v>2.2787666666666668</v>
      </c>
      <c r="AJ715" s="36">
        <f>IFERROR(VLOOKUP(A715,'All Products'!A:F,6,0),0)</f>
        <v>3.56</v>
      </c>
      <c r="AK715" s="36">
        <f>AJ715*Z715*J715</f>
        <v>3.56</v>
      </c>
      <c r="AL715" s="23">
        <v>1</v>
      </c>
      <c r="AM715" s="23"/>
      <c r="AN715" s="54" t="e">
        <v>#N/A</v>
      </c>
      <c r="AO715" s="47"/>
      <c r="AP715" s="4">
        <v>1.6</v>
      </c>
      <c r="AQ715" s="111">
        <f t="shared" si="224"/>
        <v>2.1111111111111112E-2</v>
      </c>
      <c r="AR715">
        <f>_xlfn.XLOOKUP(F715,'RM Cost'!A:A,'RM Cost'!S:S)</f>
        <v>0</v>
      </c>
      <c r="AS715" t="str">
        <f>_xlfn.XLOOKUP(A715,[3]Sheet1!$B:$B,[3]Sheet1!$B:$B)</f>
        <v>Z004CS</v>
      </c>
      <c r="AT715">
        <f>_xlfn.XLOOKUP(H715,'Yield &amp; Time'!A:A,'Yield &amp; Time'!F:F)</f>
        <v>0</v>
      </c>
    </row>
    <row r="716" spans="1:46" x14ac:dyDescent="0.25">
      <c r="A716" s="2" t="s">
        <v>823</v>
      </c>
      <c r="B716" s="2" t="s">
        <v>656</v>
      </c>
      <c r="C716" s="2" t="s">
        <v>824</v>
      </c>
      <c r="D716" s="2" t="s">
        <v>554</v>
      </c>
      <c r="E716" s="2">
        <v>1</v>
      </c>
      <c r="F716" s="1" t="str">
        <f>VLOOKUP(H716,'RM Used'!A:B,2,0)</f>
        <v>P0008</v>
      </c>
      <c r="G716" s="1" t="str">
        <f>IFERROR(VLOOKUP(F716,'RM Cost'!A:B,2,0),"")</f>
        <v>PALE BLUE BAG 470X750MM</v>
      </c>
      <c r="H716" s="2" t="s">
        <v>1323</v>
      </c>
      <c r="I716" s="1" t="str">
        <f>VLOOKUP(F716,'RM Used'!B:D,3,0)</f>
        <v>RM-PACKING</v>
      </c>
      <c r="J716" s="66">
        <v>1</v>
      </c>
      <c r="K716" s="35" t="str">
        <f t="shared" si="210"/>
        <v/>
      </c>
      <c r="L716" s="35">
        <f t="shared" si="216"/>
        <v>0</v>
      </c>
      <c r="M716" s="77" t="str" cm="1">
        <f t="array" ref="M716">_xlfn.IFS(BOM!I716="RM-PACKING","100%",B716="Reynolds",VLOOKUP(H716,'Yield &amp; Time'!A:V,22,0),BOM!B716="Dnata",VLOOKUP(BOM!H716,'Yield &amp; Time'!A:M,13,0),B716="NK",VLOOKUP(H716,'Yield &amp; Time'!A:X,24,0))</f>
        <v>100%</v>
      </c>
      <c r="N716" s="35">
        <f t="shared" si="209"/>
        <v>1</v>
      </c>
      <c r="O716" s="1" t="str">
        <f>VLOOKUP(H716,'RM Used'!A:E,5,0)</f>
        <v>Count</v>
      </c>
      <c r="P716" s="11">
        <f>VLOOKUP(H716,'RM Used'!A:F,6,0)</f>
        <v>0.14000000000000001</v>
      </c>
      <c r="Q716" s="11">
        <f t="shared" si="225"/>
        <v>0.14000000000000001</v>
      </c>
      <c r="R716" s="11">
        <f>IFERROR(IF(B716="Reynolds",VLOOKUP(H716,'Yield &amp; Time'!A:U,21,0),VLOOKUP(H716,'Yield &amp; Time'!A:L,12,0)),0)</f>
        <v>0</v>
      </c>
      <c r="S716" s="11">
        <f t="shared" si="217"/>
        <v>0</v>
      </c>
      <c r="T716" s="11">
        <f t="shared" si="218"/>
        <v>0</v>
      </c>
      <c r="U716" s="11">
        <f>IF(A715=A716,0,VLOOKUP(A716,'Packing Time'!A:F,6,0))</f>
        <v>0</v>
      </c>
      <c r="V716" s="11">
        <f t="shared" si="211"/>
        <v>0</v>
      </c>
      <c r="W716" s="11">
        <f t="shared" si="212"/>
        <v>0</v>
      </c>
      <c r="X716" s="11">
        <f t="shared" si="219"/>
        <v>0</v>
      </c>
      <c r="Y716" s="11">
        <f t="shared" si="213"/>
        <v>0</v>
      </c>
      <c r="Z716" s="37">
        <v>1</v>
      </c>
      <c r="AA716" s="36">
        <f t="shared" si="220"/>
        <v>1</v>
      </c>
      <c r="AB716" s="36">
        <f t="shared" si="221"/>
        <v>0.14000000000000001</v>
      </c>
      <c r="AC716" s="11">
        <f t="shared" si="222"/>
        <v>0</v>
      </c>
      <c r="AD716" s="36">
        <f t="shared" si="214"/>
        <v>0</v>
      </c>
      <c r="AE716" s="36"/>
      <c r="AF716" s="36">
        <f>IFERROR(VLOOKUP(AE716,'Chemical Cost'!A:D,4,0),0)</f>
        <v>0</v>
      </c>
      <c r="AG716" s="114">
        <f t="shared" si="223"/>
        <v>0</v>
      </c>
      <c r="AH716" s="36">
        <f t="shared" si="208"/>
        <v>0</v>
      </c>
      <c r="AI716" s="36">
        <f t="shared" si="215"/>
        <v>0.14000000000000001</v>
      </c>
      <c r="AJ716" s="36">
        <f>IFERROR(VLOOKUP(A716,'All Products'!A:F,6,0),0)</f>
        <v>3.56</v>
      </c>
      <c r="AK716" s="36"/>
      <c r="AL716" s="23">
        <v>1</v>
      </c>
      <c r="AM716" s="23"/>
      <c r="AN716" s="54" t="e">
        <v>#N/A</v>
      </c>
      <c r="AO716" s="47"/>
      <c r="AP716" s="4">
        <v>1.6</v>
      </c>
      <c r="AQ716" s="111">
        <f t="shared" si="224"/>
        <v>0</v>
      </c>
      <c r="AR716">
        <f>_xlfn.XLOOKUP(F716,'RM Cost'!A:A,'RM Cost'!S:S)</f>
        <v>0</v>
      </c>
      <c r="AS716" t="str">
        <f>_xlfn.XLOOKUP(A716,[3]Sheet1!$B:$B,[3]Sheet1!$B:$B)</f>
        <v>Z004CS</v>
      </c>
      <c r="AT716" t="e">
        <f>_xlfn.XLOOKUP(H716,'Yield &amp; Time'!A:A,'Yield &amp; Time'!F:F)</f>
        <v>#N/A</v>
      </c>
    </row>
    <row r="717" spans="1:46" x14ac:dyDescent="0.25">
      <c r="A717" s="2" t="s">
        <v>242</v>
      </c>
      <c r="B717" s="2" t="s">
        <v>656</v>
      </c>
      <c r="C717" s="2" t="s">
        <v>825</v>
      </c>
      <c r="D717" s="2" t="s">
        <v>554</v>
      </c>
      <c r="E717" s="2">
        <v>2.5</v>
      </c>
      <c r="F717" s="1" t="str">
        <f>VLOOKUP(H717,'RM Used'!A:B,2,0)</f>
        <v>024BCS</v>
      </c>
      <c r="G717" s="1" t="str">
        <f>IFERROR(VLOOKUP(F717,'RM Cost'!A:B,2,0),"")</f>
        <v>RM - MUSHROOM BUTTON 30-40M 3KG</v>
      </c>
      <c r="H717" s="2" t="s">
        <v>1532</v>
      </c>
      <c r="I717" s="1" t="str">
        <f>VLOOKUP(F717,'RM Used'!B:D,3,0)</f>
        <v>RM-FOOD</v>
      </c>
      <c r="J717" s="66">
        <v>1</v>
      </c>
      <c r="K717" s="35">
        <f t="shared" si="210"/>
        <v>2.5</v>
      </c>
      <c r="L717" s="35">
        <f t="shared" si="216"/>
        <v>2.5</v>
      </c>
      <c r="M717" s="77" cm="1">
        <f t="array" ref="M717">_xlfn.IFS(BOM!I717="RM-PACKING","100%",B717="Reynolds",VLOOKUP(H717,'Yield &amp; Time'!A:V,22,0),BOM!B717="Dnata",VLOOKUP(BOM!H717,'Yield &amp; Time'!A:M,13,0),B717="NK",VLOOKUP(H717,'Yield &amp; Time'!A:X,24,0))</f>
        <v>1</v>
      </c>
      <c r="N717" s="35">
        <f t="shared" si="209"/>
        <v>2.5</v>
      </c>
      <c r="O717" s="1" t="str">
        <f>VLOOKUP(H717,'RM Used'!A:E,5,0)</f>
        <v>KG</v>
      </c>
      <c r="P717" s="11">
        <f>VLOOKUP(H717,'RM Used'!A:F,6,0)</f>
        <v>1.85</v>
      </c>
      <c r="Q717" s="11">
        <f t="shared" si="225"/>
        <v>4.625</v>
      </c>
      <c r="R717" s="11">
        <f>IFERROR(IF(B717="Reynolds",VLOOKUP(H717,'Yield &amp; Time'!A:U,21,0),VLOOKUP(H717,'Yield &amp; Time'!A:L,12,0)),0)</f>
        <v>0.15</v>
      </c>
      <c r="S717" s="11">
        <f t="shared" si="217"/>
        <v>0.12693749999999998</v>
      </c>
      <c r="T717" s="11">
        <f t="shared" si="218"/>
        <v>6.2500000000000003E-3</v>
      </c>
      <c r="U717" s="11">
        <f>IF(A716=A717,0,VLOOKUP(A717,'Packing Time'!A:F,6,0))</f>
        <v>0.875</v>
      </c>
      <c r="V717" s="11">
        <f t="shared" si="211"/>
        <v>0.29618749999999999</v>
      </c>
      <c r="W717" s="11">
        <f t="shared" si="212"/>
        <v>1.4583333333333334E-2</v>
      </c>
      <c r="X717" s="11">
        <f t="shared" si="219"/>
        <v>0.4654375</v>
      </c>
      <c r="Y717" s="11">
        <f t="shared" si="213"/>
        <v>0.4654375</v>
      </c>
      <c r="Z717" s="37">
        <v>1</v>
      </c>
      <c r="AA717" s="36">
        <f t="shared" si="220"/>
        <v>2.5</v>
      </c>
      <c r="AB717" s="36">
        <f t="shared" si="221"/>
        <v>4.625</v>
      </c>
      <c r="AC717" s="11">
        <f t="shared" si="222"/>
        <v>2.2916666666666669E-2</v>
      </c>
      <c r="AD717" s="36">
        <f t="shared" si="214"/>
        <v>0.46543749999999995</v>
      </c>
      <c r="AE717" s="36"/>
      <c r="AF717" s="36">
        <f>IFERROR(VLOOKUP(AE717,'Chemical Cost'!A:D,4,0),0)</f>
        <v>0</v>
      </c>
      <c r="AG717" s="114">
        <f t="shared" si="223"/>
        <v>0</v>
      </c>
      <c r="AH717" s="36">
        <f t="shared" si="208"/>
        <v>0</v>
      </c>
      <c r="AI717" s="36">
        <f t="shared" si="215"/>
        <v>5.0904375000000002</v>
      </c>
      <c r="AJ717" s="36">
        <f>IFERROR(VLOOKUP(A717,'All Products'!A:F,6,0),0)</f>
        <v>8.9</v>
      </c>
      <c r="AK717" s="36">
        <f>AJ717*Z717*J717</f>
        <v>8.9</v>
      </c>
      <c r="AL717" s="23">
        <v>1</v>
      </c>
      <c r="AM717" s="23"/>
      <c r="AN717" s="54" t="e">
        <v>#N/A</v>
      </c>
      <c r="AO717" s="47"/>
      <c r="AP717" s="4">
        <v>1.1000000000000001</v>
      </c>
      <c r="AQ717" s="111">
        <f t="shared" si="224"/>
        <v>2.2916666666666669E-2</v>
      </c>
      <c r="AR717">
        <f>_xlfn.XLOOKUP(F717,'RM Cost'!A:A,'RM Cost'!S:S)</f>
        <v>0</v>
      </c>
      <c r="AS717" t="str">
        <f>_xlfn.XLOOKUP(A717,[3]Sheet1!$B:$B,[3]Sheet1!$B:$B)</f>
        <v>Z003CS</v>
      </c>
      <c r="AT717">
        <f>_xlfn.XLOOKUP(H717,'Yield &amp; Time'!A:A,'Yield &amp; Time'!F:F)</f>
        <v>0</v>
      </c>
    </row>
    <row r="718" spans="1:46" x14ac:dyDescent="0.25">
      <c r="A718" s="2" t="s">
        <v>242</v>
      </c>
      <c r="B718" s="2" t="s">
        <v>656</v>
      </c>
      <c r="C718" s="2" t="s">
        <v>825</v>
      </c>
      <c r="D718" s="2" t="s">
        <v>554</v>
      </c>
      <c r="E718" s="2">
        <v>2.5</v>
      </c>
      <c r="F718" s="1" t="str">
        <f>VLOOKUP(H718,'RM Used'!A:B,2,0)</f>
        <v>P0008</v>
      </c>
      <c r="G718" s="1" t="str">
        <f>IFERROR(VLOOKUP(F718,'RM Cost'!A:B,2,0),"")</f>
        <v>PALE BLUE BAG 470X750MM</v>
      </c>
      <c r="H718" s="2" t="s">
        <v>1323</v>
      </c>
      <c r="I718" s="1" t="str">
        <f>VLOOKUP(F718,'RM Used'!B:D,3,0)</f>
        <v>RM-PACKING</v>
      </c>
      <c r="J718" s="66">
        <v>1</v>
      </c>
      <c r="K718" s="35" t="str">
        <f t="shared" si="210"/>
        <v/>
      </c>
      <c r="L718" s="35">
        <f t="shared" si="216"/>
        <v>0</v>
      </c>
      <c r="M718" s="77" t="str" cm="1">
        <f t="array" ref="M718">_xlfn.IFS(BOM!I718="RM-PACKING","100%",B718="Reynolds",VLOOKUP(H718,'Yield &amp; Time'!A:V,22,0),BOM!B718="Dnata",VLOOKUP(BOM!H718,'Yield &amp; Time'!A:M,13,0),B718="NK",VLOOKUP(H718,'Yield &amp; Time'!A:X,24,0))</f>
        <v>100%</v>
      </c>
      <c r="N718" s="35">
        <f t="shared" si="209"/>
        <v>1</v>
      </c>
      <c r="O718" s="1" t="str">
        <f>VLOOKUP(H718,'RM Used'!A:E,5,0)</f>
        <v>Count</v>
      </c>
      <c r="P718" s="11">
        <f>VLOOKUP(H718,'RM Used'!A:F,6,0)</f>
        <v>0.14000000000000001</v>
      </c>
      <c r="Q718" s="11">
        <f t="shared" si="225"/>
        <v>0.14000000000000001</v>
      </c>
      <c r="R718" s="11">
        <f>IFERROR(IF(B718="Reynolds",VLOOKUP(H718,'Yield &amp; Time'!A:U,21,0),VLOOKUP(H718,'Yield &amp; Time'!A:L,12,0)),0)</f>
        <v>0</v>
      </c>
      <c r="S718" s="11">
        <f t="shared" si="217"/>
        <v>0</v>
      </c>
      <c r="T718" s="11">
        <f t="shared" si="218"/>
        <v>0</v>
      </c>
      <c r="U718" s="11">
        <f>IF(A717=A718,0,VLOOKUP(A718,'Packing Time'!A:F,6,0))</f>
        <v>0</v>
      </c>
      <c r="V718" s="11">
        <f t="shared" si="211"/>
        <v>0</v>
      </c>
      <c r="W718" s="11">
        <f t="shared" si="212"/>
        <v>0</v>
      </c>
      <c r="X718" s="11">
        <f t="shared" si="219"/>
        <v>0</v>
      </c>
      <c r="Y718" s="11">
        <f t="shared" si="213"/>
        <v>0</v>
      </c>
      <c r="Z718" s="37">
        <v>1</v>
      </c>
      <c r="AA718" s="36">
        <f t="shared" si="220"/>
        <v>1</v>
      </c>
      <c r="AB718" s="36">
        <f t="shared" si="221"/>
        <v>0.14000000000000001</v>
      </c>
      <c r="AC718" s="11">
        <f t="shared" si="222"/>
        <v>0</v>
      </c>
      <c r="AD718" s="36">
        <f t="shared" si="214"/>
        <v>0</v>
      </c>
      <c r="AE718" s="36"/>
      <c r="AF718" s="36">
        <f>IFERROR(VLOOKUP(AE718,'Chemical Cost'!A:D,4,0),0)</f>
        <v>0</v>
      </c>
      <c r="AG718" s="114">
        <f t="shared" si="223"/>
        <v>0</v>
      </c>
      <c r="AH718" s="36">
        <f t="shared" si="208"/>
        <v>0</v>
      </c>
      <c r="AI718" s="36">
        <f t="shared" si="215"/>
        <v>0.14000000000000001</v>
      </c>
      <c r="AJ718" s="36">
        <f>IFERROR(VLOOKUP(A718,'All Products'!A:F,6,0),0)</f>
        <v>8.9</v>
      </c>
      <c r="AK718" s="36"/>
      <c r="AL718" s="23">
        <v>1</v>
      </c>
      <c r="AM718" s="23"/>
      <c r="AN718" s="54" t="e">
        <v>#N/A</v>
      </c>
      <c r="AO718" s="47"/>
      <c r="AP718" s="4">
        <v>1.1000000000000001</v>
      </c>
      <c r="AQ718" s="111">
        <f t="shared" si="224"/>
        <v>0</v>
      </c>
      <c r="AR718">
        <f>_xlfn.XLOOKUP(F718,'RM Cost'!A:A,'RM Cost'!S:S)</f>
        <v>0</v>
      </c>
      <c r="AS718" t="str">
        <f>_xlfn.XLOOKUP(A718,[3]Sheet1!$B:$B,[3]Sheet1!$B:$B)</f>
        <v>Z003CS</v>
      </c>
      <c r="AT718" t="e">
        <f>_xlfn.XLOOKUP(H718,'Yield &amp; Time'!A:A,'Yield &amp; Time'!F:F)</f>
        <v>#N/A</v>
      </c>
    </row>
    <row r="719" spans="1:46" x14ac:dyDescent="0.25">
      <c r="A719" s="2" t="s">
        <v>240</v>
      </c>
      <c r="B719" s="2" t="s">
        <v>656</v>
      </c>
      <c r="C719" s="2" t="s">
        <v>241</v>
      </c>
      <c r="D719" s="2" t="s">
        <v>554</v>
      </c>
      <c r="E719" s="2">
        <v>1</v>
      </c>
      <c r="F719" s="1" t="str">
        <f>VLOOKUP(H719,'RM Used'!A:B,2,0)</f>
        <v>025BCS</v>
      </c>
      <c r="G719" s="1" t="str">
        <f>IFERROR(VLOOKUP(F719,'RM Cost'!A:B,2,0),"")</f>
        <v>RM - MUSHROOM CHESTNUT 35-40M 3KG</v>
      </c>
      <c r="H719" s="2" t="s">
        <v>1533</v>
      </c>
      <c r="I719" s="1" t="str">
        <f>VLOOKUP(F719,'RM Used'!B:D,3,0)</f>
        <v>RM-FOOD</v>
      </c>
      <c r="J719" s="66">
        <v>1</v>
      </c>
      <c r="K719" s="35">
        <f t="shared" si="210"/>
        <v>1</v>
      </c>
      <c r="L719" s="35">
        <f t="shared" si="216"/>
        <v>1</v>
      </c>
      <c r="M719" s="77" cm="1">
        <f t="array" ref="M719">_xlfn.IFS(BOM!I719="RM-PACKING","100%",B719="Reynolds",VLOOKUP(H719,'Yield &amp; Time'!A:V,22,0),BOM!B719="Dnata",VLOOKUP(BOM!H719,'Yield &amp; Time'!A:M,13,0),B719="NK",VLOOKUP(H719,'Yield &amp; Time'!A:X,24,0))</f>
        <v>0.98872180451127811</v>
      </c>
      <c r="N719" s="35">
        <f t="shared" si="209"/>
        <v>1.0114068441064639</v>
      </c>
      <c r="O719" s="1" t="str">
        <f>VLOOKUP(H719,'RM Used'!A:E,5,0)</f>
        <v>KG</v>
      </c>
      <c r="P719" s="11">
        <f>VLOOKUP(H719,'RM Used'!A:F,6,0)</f>
        <v>2</v>
      </c>
      <c r="Q719" s="11">
        <f t="shared" si="225"/>
        <v>2.0228136882129277</v>
      </c>
      <c r="R719" s="11">
        <f>IFERROR(IF(B719="Reynolds",VLOOKUP(H719,'Yield &amp; Time'!A:U,21,0),VLOOKUP(H719,'Yield &amp; Time'!A:L,12,0)),0)</f>
        <v>5.5133079847908748</v>
      </c>
      <c r="S719" s="11">
        <f t="shared" si="217"/>
        <v>1.8662547528517111</v>
      </c>
      <c r="T719" s="11">
        <f t="shared" si="218"/>
        <v>9.1888466413181241E-2</v>
      </c>
      <c r="U719" s="11">
        <f>IF(A718=A719,0,VLOOKUP(A719,'Packing Time'!A:F,6,0))</f>
        <v>0.64166666666666661</v>
      </c>
      <c r="V719" s="11">
        <f t="shared" si="211"/>
        <v>0.21720416666666661</v>
      </c>
      <c r="W719" s="11">
        <f t="shared" si="212"/>
        <v>1.0694444444444444E-2</v>
      </c>
      <c r="X719" s="11">
        <f t="shared" si="219"/>
        <v>3.3335342712294045</v>
      </c>
      <c r="Y719" s="11">
        <f t="shared" si="213"/>
        <v>3.3335342712294045</v>
      </c>
      <c r="Z719" s="37">
        <v>1</v>
      </c>
      <c r="AA719" s="36">
        <f t="shared" si="220"/>
        <v>1.0114068441064639</v>
      </c>
      <c r="AB719" s="36">
        <f t="shared" si="221"/>
        <v>2.0228136882129277</v>
      </c>
      <c r="AC719" s="11">
        <f t="shared" si="222"/>
        <v>0.16413265737220112</v>
      </c>
      <c r="AD719" s="36">
        <f t="shared" si="214"/>
        <v>3.3335342712294045</v>
      </c>
      <c r="AE719" s="36"/>
      <c r="AF719" s="36">
        <f>IFERROR(VLOOKUP(AE719,'Chemical Cost'!A:D,4,0),0)</f>
        <v>0</v>
      </c>
      <c r="AG719" s="114">
        <f t="shared" si="223"/>
        <v>0</v>
      </c>
      <c r="AH719" s="36">
        <f t="shared" si="208"/>
        <v>0</v>
      </c>
      <c r="AI719" s="36">
        <f t="shared" si="215"/>
        <v>5.3563479594423322</v>
      </c>
      <c r="AJ719" s="36">
        <f>IFERROR(VLOOKUP(A719,'All Products'!A:F,6,0),0)</f>
        <v>7.93</v>
      </c>
      <c r="AK719" s="36">
        <f>AJ719*Z719*J719</f>
        <v>7.93</v>
      </c>
      <c r="AL719" s="23">
        <v>1</v>
      </c>
      <c r="AM719" s="23"/>
      <c r="AN719" s="54" t="e">
        <v>#N/A</v>
      </c>
      <c r="AO719" s="47"/>
      <c r="AP719" s="4">
        <v>1.6</v>
      </c>
      <c r="AQ719" s="111">
        <f t="shared" si="224"/>
        <v>0.16413265737220112</v>
      </c>
      <c r="AR719">
        <f>_xlfn.XLOOKUP(F719,'RM Cost'!A:A,'RM Cost'!S:S)</f>
        <v>0</v>
      </c>
      <c r="AS719" t="e">
        <f>_xlfn.XLOOKUP(A719,[3]Sheet1!$B:$B,[3]Sheet1!$B:$B)</f>
        <v>#N/A</v>
      </c>
    </row>
    <row r="720" spans="1:46" x14ac:dyDescent="0.25">
      <c r="A720" s="2" t="s">
        <v>240</v>
      </c>
      <c r="B720" s="2" t="s">
        <v>656</v>
      </c>
      <c r="C720" s="2" t="s">
        <v>241</v>
      </c>
      <c r="D720" s="2" t="s">
        <v>554</v>
      </c>
      <c r="E720" s="2">
        <v>1</v>
      </c>
      <c r="F720" s="1" t="str">
        <f>VLOOKUP(H720,'RM Used'!A:B,2,0)</f>
        <v>P0008</v>
      </c>
      <c r="G720" s="1" t="str">
        <f>IFERROR(VLOOKUP(F720,'RM Cost'!A:B,2,0),"")</f>
        <v>PALE BLUE BAG 470X750MM</v>
      </c>
      <c r="H720" s="2" t="s">
        <v>1323</v>
      </c>
      <c r="I720" s="1" t="str">
        <f>VLOOKUP(F720,'RM Used'!B:D,3,0)</f>
        <v>RM-PACKING</v>
      </c>
      <c r="J720" s="66">
        <v>1</v>
      </c>
      <c r="K720" s="35" t="str">
        <f t="shared" si="210"/>
        <v/>
      </c>
      <c r="L720" s="35">
        <f t="shared" si="216"/>
        <v>0</v>
      </c>
      <c r="M720" s="77" t="str" cm="1">
        <f t="array" ref="M720">_xlfn.IFS(BOM!I720="RM-PACKING","100%",B720="Reynolds",VLOOKUP(H720,'Yield &amp; Time'!A:V,22,0),BOM!B720="Dnata",VLOOKUP(BOM!H720,'Yield &amp; Time'!A:M,13,0),B720="NK",VLOOKUP(H720,'Yield &amp; Time'!A:X,24,0))</f>
        <v>100%</v>
      </c>
      <c r="N720" s="35">
        <f t="shared" si="209"/>
        <v>1</v>
      </c>
      <c r="O720" s="1" t="str">
        <f>VLOOKUP(H720,'RM Used'!A:E,5,0)</f>
        <v>Count</v>
      </c>
      <c r="P720" s="11">
        <f>VLOOKUP(H720,'RM Used'!A:F,6,0)</f>
        <v>0.14000000000000001</v>
      </c>
      <c r="Q720" s="11">
        <f t="shared" si="225"/>
        <v>0.14000000000000001</v>
      </c>
      <c r="R720" s="11">
        <f>IFERROR(IF(B720="Reynolds",VLOOKUP(H720,'Yield &amp; Time'!A:U,21,0),VLOOKUP(H720,'Yield &amp; Time'!A:L,12,0)),0)</f>
        <v>0</v>
      </c>
      <c r="S720" s="11">
        <f t="shared" si="217"/>
        <v>0</v>
      </c>
      <c r="T720" s="11">
        <f t="shared" si="218"/>
        <v>0</v>
      </c>
      <c r="U720" s="11">
        <f>IF(A719=A720,0,VLOOKUP(A720,'Packing Time'!A:F,6,0))</f>
        <v>0</v>
      </c>
      <c r="V720" s="11">
        <f t="shared" si="211"/>
        <v>0</v>
      </c>
      <c r="W720" s="11">
        <f t="shared" si="212"/>
        <v>0</v>
      </c>
      <c r="X720" s="11">
        <f t="shared" si="219"/>
        <v>0</v>
      </c>
      <c r="Y720" s="11">
        <f t="shared" si="213"/>
        <v>0</v>
      </c>
      <c r="Z720" s="37">
        <v>1</v>
      </c>
      <c r="AA720" s="36">
        <f t="shared" si="220"/>
        <v>1</v>
      </c>
      <c r="AB720" s="36">
        <f t="shared" si="221"/>
        <v>0.14000000000000001</v>
      </c>
      <c r="AC720" s="11">
        <f t="shared" si="222"/>
        <v>0</v>
      </c>
      <c r="AD720" s="36">
        <f t="shared" si="214"/>
        <v>0</v>
      </c>
      <c r="AE720" s="36"/>
      <c r="AF720" s="36">
        <f>IFERROR(VLOOKUP(AE720,'Chemical Cost'!A:D,4,0),0)</f>
        <v>0</v>
      </c>
      <c r="AG720" s="114">
        <f t="shared" si="223"/>
        <v>0</v>
      </c>
      <c r="AH720" s="36">
        <f t="shared" si="208"/>
        <v>0</v>
      </c>
      <c r="AI720" s="36">
        <f t="shared" si="215"/>
        <v>0.14000000000000001</v>
      </c>
      <c r="AJ720" s="36">
        <f>IFERROR(VLOOKUP(A720,'All Products'!A:F,6,0),0)</f>
        <v>7.93</v>
      </c>
      <c r="AK720" s="36"/>
      <c r="AL720" s="23">
        <v>1</v>
      </c>
      <c r="AM720" s="23"/>
      <c r="AN720" s="54" t="e">
        <v>#N/A</v>
      </c>
      <c r="AO720" s="47"/>
      <c r="AP720" s="4">
        <v>1.6</v>
      </c>
      <c r="AQ720" s="111">
        <f t="shared" si="224"/>
        <v>0</v>
      </c>
      <c r="AR720">
        <f>_xlfn.XLOOKUP(F720,'RM Cost'!A:A,'RM Cost'!S:S)</f>
        <v>0</v>
      </c>
      <c r="AS720" t="e">
        <f>_xlfn.XLOOKUP(A720,[3]Sheet1!$B:$B,[3]Sheet1!$B:$B)</f>
        <v>#N/A</v>
      </c>
    </row>
    <row r="721" spans="1:46" x14ac:dyDescent="0.25">
      <c r="A721" s="2" t="s">
        <v>238</v>
      </c>
      <c r="B721" s="2" t="s">
        <v>656</v>
      </c>
      <c r="C721" s="2" t="s">
        <v>239</v>
      </c>
      <c r="D721" s="2" t="s">
        <v>554</v>
      </c>
      <c r="E721" s="2">
        <v>2.5</v>
      </c>
      <c r="F721" s="1" t="str">
        <f>VLOOKUP(H721,'RM Used'!A:B,2,0)</f>
        <v>025BCS</v>
      </c>
      <c r="G721" s="1" t="str">
        <f>IFERROR(VLOOKUP(F721,'RM Cost'!A:B,2,0),"")</f>
        <v>RM - MUSHROOM CHESTNUT 35-40M 3KG</v>
      </c>
      <c r="H721" s="2" t="s">
        <v>1533</v>
      </c>
      <c r="I721" s="1" t="str">
        <f>VLOOKUP(F721,'RM Used'!B:D,3,0)</f>
        <v>RM-FOOD</v>
      </c>
      <c r="J721" s="66">
        <v>1</v>
      </c>
      <c r="K721" s="35">
        <f t="shared" si="210"/>
        <v>2.5</v>
      </c>
      <c r="L721" s="35">
        <f t="shared" si="216"/>
        <v>2.5</v>
      </c>
      <c r="M721" s="77" cm="1">
        <f t="array" ref="M721">_xlfn.IFS(BOM!I721="RM-PACKING","100%",B721="Reynolds",VLOOKUP(H721,'Yield &amp; Time'!A:V,22,0),BOM!B721="Dnata",VLOOKUP(BOM!H721,'Yield &amp; Time'!A:M,13,0),B721="NK",VLOOKUP(H721,'Yield &amp; Time'!A:X,24,0))</f>
        <v>0.98872180451127811</v>
      </c>
      <c r="N721" s="35">
        <f t="shared" si="209"/>
        <v>2.5285171102661601</v>
      </c>
      <c r="O721" s="1" t="str">
        <f>VLOOKUP(H721,'RM Used'!A:E,5,0)</f>
        <v>KG</v>
      </c>
      <c r="P721" s="11">
        <f>VLOOKUP(H721,'RM Used'!A:F,6,0)</f>
        <v>2</v>
      </c>
      <c r="Q721" s="11">
        <f t="shared" si="225"/>
        <v>5.0570342205323202</v>
      </c>
      <c r="R721" s="11">
        <f>IFERROR(IF(B721="Reynolds",VLOOKUP(H721,'Yield &amp; Time'!A:U,21,0),VLOOKUP(H721,'Yield &amp; Time'!A:L,12,0)),0)</f>
        <v>5.5133079847908748</v>
      </c>
      <c r="S721" s="11">
        <f t="shared" si="217"/>
        <v>4.6656368821292773</v>
      </c>
      <c r="T721" s="11">
        <f t="shared" si="218"/>
        <v>0.22972116603295312</v>
      </c>
      <c r="U721" s="11">
        <f>IF(A720=A721,0,VLOOKUP(A721,'Packing Time'!A:F,6,0))</f>
        <v>0.875</v>
      </c>
      <c r="V721" s="11">
        <f t="shared" si="211"/>
        <v>0.29618749999999999</v>
      </c>
      <c r="W721" s="11">
        <f t="shared" si="212"/>
        <v>1.4583333333333334E-2</v>
      </c>
      <c r="X721" s="11">
        <f t="shared" si="219"/>
        <v>5.4580068203422059</v>
      </c>
      <c r="Y721" s="11">
        <f t="shared" si="213"/>
        <v>5.4580068203422059</v>
      </c>
      <c r="Z721" s="37">
        <v>1</v>
      </c>
      <c r="AA721" s="36">
        <f t="shared" si="220"/>
        <v>2.5285171102661601</v>
      </c>
      <c r="AB721" s="36">
        <f t="shared" si="221"/>
        <v>5.0570342205323202</v>
      </c>
      <c r="AC721" s="11">
        <f t="shared" si="222"/>
        <v>0.26873494930291514</v>
      </c>
      <c r="AD721" s="36">
        <f t="shared" si="214"/>
        <v>5.4580068203422067</v>
      </c>
      <c r="AE721" s="36"/>
      <c r="AF721" s="36">
        <f>IFERROR(VLOOKUP(AE721,'Chemical Cost'!A:D,4,0),0)</f>
        <v>0</v>
      </c>
      <c r="AG721" s="114">
        <f t="shared" si="223"/>
        <v>0</v>
      </c>
      <c r="AH721" s="36">
        <f t="shared" si="208"/>
        <v>0</v>
      </c>
      <c r="AI721" s="36">
        <f t="shared" si="215"/>
        <v>10.515041040874525</v>
      </c>
      <c r="AJ721" s="36">
        <f>IFERROR(VLOOKUP(A721,'All Products'!A:F,6,0),0)</f>
        <v>19.809999999999999</v>
      </c>
      <c r="AK721" s="36">
        <f>AJ721*Z721*J721</f>
        <v>19.809999999999999</v>
      </c>
      <c r="AL721" s="23">
        <v>1</v>
      </c>
      <c r="AM721" s="23"/>
      <c r="AN721" s="54" t="e">
        <v>#N/A</v>
      </c>
      <c r="AO721" s="47"/>
      <c r="AP721" s="4">
        <v>1.1000000000000001</v>
      </c>
      <c r="AQ721" s="111">
        <f t="shared" si="224"/>
        <v>0.26873494930291514</v>
      </c>
      <c r="AR721">
        <f>_xlfn.XLOOKUP(F721,'RM Cost'!A:A,'RM Cost'!S:S)</f>
        <v>0</v>
      </c>
      <c r="AS721" t="e">
        <f>_xlfn.XLOOKUP(A721,[3]Sheet1!$B:$B,[3]Sheet1!$B:$B)</f>
        <v>#N/A</v>
      </c>
    </row>
    <row r="722" spans="1:46" x14ac:dyDescent="0.25">
      <c r="A722" s="2" t="s">
        <v>238</v>
      </c>
      <c r="B722" s="2" t="s">
        <v>656</v>
      </c>
      <c r="C722" s="2" t="s">
        <v>239</v>
      </c>
      <c r="D722" s="2" t="s">
        <v>554</v>
      </c>
      <c r="E722" s="2">
        <v>2.5</v>
      </c>
      <c r="F722" s="1" t="str">
        <f>VLOOKUP(H722,'RM Used'!A:B,2,0)</f>
        <v>P0008</v>
      </c>
      <c r="G722" s="1" t="str">
        <f>IFERROR(VLOOKUP(F722,'RM Cost'!A:B,2,0),"")</f>
        <v>PALE BLUE BAG 470X750MM</v>
      </c>
      <c r="H722" s="2" t="s">
        <v>1323</v>
      </c>
      <c r="I722" s="1" t="str">
        <f>VLOOKUP(F722,'RM Used'!B:D,3,0)</f>
        <v>RM-PACKING</v>
      </c>
      <c r="J722" s="66">
        <v>1</v>
      </c>
      <c r="K722" s="35" t="str">
        <f t="shared" si="210"/>
        <v/>
      </c>
      <c r="L722" s="35">
        <f t="shared" si="216"/>
        <v>0</v>
      </c>
      <c r="M722" s="77" t="str" cm="1">
        <f t="array" ref="M722">_xlfn.IFS(BOM!I722="RM-PACKING","100%",B722="Reynolds",VLOOKUP(H722,'Yield &amp; Time'!A:V,22,0),BOM!B722="Dnata",VLOOKUP(BOM!H722,'Yield &amp; Time'!A:M,13,0),B722="NK",VLOOKUP(H722,'Yield &amp; Time'!A:X,24,0))</f>
        <v>100%</v>
      </c>
      <c r="N722" s="35">
        <f t="shared" si="209"/>
        <v>1</v>
      </c>
      <c r="O722" s="1" t="str">
        <f>VLOOKUP(H722,'RM Used'!A:E,5,0)</f>
        <v>Count</v>
      </c>
      <c r="P722" s="11">
        <f>VLOOKUP(H722,'RM Used'!A:F,6,0)</f>
        <v>0.14000000000000001</v>
      </c>
      <c r="Q722" s="11">
        <f t="shared" si="225"/>
        <v>0.14000000000000001</v>
      </c>
      <c r="R722" s="11">
        <f>IFERROR(IF(B722="Reynolds",VLOOKUP(H722,'Yield &amp; Time'!A:U,21,0),VLOOKUP(H722,'Yield &amp; Time'!A:L,12,0)),0)</f>
        <v>0</v>
      </c>
      <c r="S722" s="11">
        <f t="shared" si="217"/>
        <v>0</v>
      </c>
      <c r="T722" s="11">
        <f t="shared" si="218"/>
        <v>0</v>
      </c>
      <c r="U722" s="11">
        <f>IF(A721=A722,0,VLOOKUP(A722,'Packing Time'!A:F,6,0))</f>
        <v>0</v>
      </c>
      <c r="V722" s="11">
        <f t="shared" si="211"/>
        <v>0</v>
      </c>
      <c r="W722" s="11">
        <f t="shared" si="212"/>
        <v>0</v>
      </c>
      <c r="X722" s="11">
        <f t="shared" si="219"/>
        <v>0</v>
      </c>
      <c r="Y722" s="11">
        <f t="shared" si="213"/>
        <v>0</v>
      </c>
      <c r="Z722" s="37">
        <v>1</v>
      </c>
      <c r="AA722" s="36">
        <f t="shared" si="220"/>
        <v>1</v>
      </c>
      <c r="AB722" s="36">
        <f t="shared" si="221"/>
        <v>0.14000000000000001</v>
      </c>
      <c r="AC722" s="11">
        <f t="shared" si="222"/>
        <v>0</v>
      </c>
      <c r="AD722" s="36">
        <f t="shared" si="214"/>
        <v>0</v>
      </c>
      <c r="AE722" s="36"/>
      <c r="AF722" s="36">
        <f>IFERROR(VLOOKUP(AE722,'Chemical Cost'!A:D,4,0),0)</f>
        <v>0</v>
      </c>
      <c r="AG722" s="114">
        <f t="shared" si="223"/>
        <v>0</v>
      </c>
      <c r="AH722" s="36">
        <f t="shared" si="208"/>
        <v>0</v>
      </c>
      <c r="AI722" s="36">
        <f t="shared" si="215"/>
        <v>0.14000000000000001</v>
      </c>
      <c r="AJ722" s="36">
        <f>IFERROR(VLOOKUP(A722,'All Products'!A:F,6,0),0)</f>
        <v>19.809999999999999</v>
      </c>
      <c r="AK722" s="36"/>
      <c r="AL722" s="23">
        <v>1</v>
      </c>
      <c r="AM722" s="23"/>
      <c r="AN722" s="54" t="e">
        <v>#N/A</v>
      </c>
      <c r="AO722" s="47"/>
      <c r="AP722" s="4">
        <v>1.1000000000000001</v>
      </c>
      <c r="AQ722" s="111">
        <f t="shared" si="224"/>
        <v>0</v>
      </c>
      <c r="AR722">
        <f>_xlfn.XLOOKUP(F722,'RM Cost'!A:A,'RM Cost'!S:S)</f>
        <v>0</v>
      </c>
      <c r="AS722" t="e">
        <f>_xlfn.XLOOKUP(A722,[3]Sheet1!$B:$B,[3]Sheet1!$B:$B)</f>
        <v>#N/A</v>
      </c>
    </row>
    <row r="723" spans="1:46" x14ac:dyDescent="0.25">
      <c r="A723" s="2" t="s">
        <v>409</v>
      </c>
      <c r="B723" s="2" t="s">
        <v>656</v>
      </c>
      <c r="C723" s="2" t="s">
        <v>410</v>
      </c>
      <c r="D723" s="2" t="s">
        <v>554</v>
      </c>
      <c r="E723" s="2">
        <v>1</v>
      </c>
      <c r="F723" s="1" t="str">
        <f>VLOOKUP(H723,'RM Used'!A:B,2,0)</f>
        <v>025BCS</v>
      </c>
      <c r="G723" s="1" t="str">
        <f>IFERROR(VLOOKUP(F723,'RM Cost'!A:B,2,0),"")</f>
        <v>RM - MUSHROOM CHESTNUT 35-40M 3KG</v>
      </c>
      <c r="H723" s="2" t="s">
        <v>1534</v>
      </c>
      <c r="I723" s="1" t="str">
        <f>VLOOKUP(F723,'RM Used'!B:D,3,0)</f>
        <v>RM-FOOD</v>
      </c>
      <c r="J723" s="66">
        <v>1</v>
      </c>
      <c r="K723" s="35">
        <f t="shared" si="210"/>
        <v>1</v>
      </c>
      <c r="L723" s="35">
        <f t="shared" si="216"/>
        <v>1</v>
      </c>
      <c r="M723" s="77" cm="1">
        <f t="array" ref="M723">_xlfn.IFS(BOM!I723="RM-PACKING","100%",B723="Reynolds",VLOOKUP(H723,'Yield &amp; Time'!A:V,22,0),BOM!B723="Dnata",VLOOKUP(BOM!H723,'Yield &amp; Time'!A:M,13,0),B723="NK",VLOOKUP(H723,'Yield &amp; Time'!A:X,24,0))</f>
        <v>0.9</v>
      </c>
      <c r="N723" s="35">
        <f t="shared" si="209"/>
        <v>1.1111111111111112</v>
      </c>
      <c r="O723" s="1" t="str">
        <f>VLOOKUP(H723,'RM Used'!A:E,5,0)</f>
        <v>KG</v>
      </c>
      <c r="P723" s="11">
        <f>VLOOKUP(H723,'RM Used'!A:F,6,0)</f>
        <v>2</v>
      </c>
      <c r="Q723" s="11">
        <f t="shared" si="225"/>
        <v>2.2222222222222223</v>
      </c>
      <c r="R723" s="11">
        <f>IFERROR(IF(B723="Reynolds",VLOOKUP(H723,'Yield &amp; Time'!A:U,21,0),VLOOKUP(H723,'Yield &amp; Time'!A:L,12,0)),0)</f>
        <v>3.7037037037037037</v>
      </c>
      <c r="S723" s="11">
        <f t="shared" si="217"/>
        <v>1.2537037037037035</v>
      </c>
      <c r="T723" s="11">
        <f t="shared" si="218"/>
        <v>6.1728395061728399E-2</v>
      </c>
      <c r="U723" s="11">
        <f>IF(A722=A723,0,VLOOKUP(A723,'Packing Time'!A:F,6,0))</f>
        <v>0.64166666666666661</v>
      </c>
      <c r="V723" s="11">
        <f t="shared" si="211"/>
        <v>0.21720416666666661</v>
      </c>
      <c r="W723" s="11">
        <f t="shared" si="212"/>
        <v>1.0694444444444444E-2</v>
      </c>
      <c r="X723" s="11">
        <f t="shared" si="219"/>
        <v>2.3534525925925922</v>
      </c>
      <c r="Y723" s="11">
        <f t="shared" si="213"/>
        <v>2.3534525925925922</v>
      </c>
      <c r="Z723" s="37">
        <v>1</v>
      </c>
      <c r="AA723" s="36">
        <f t="shared" si="220"/>
        <v>1.1111111111111112</v>
      </c>
      <c r="AB723" s="36">
        <f t="shared" si="221"/>
        <v>2.2222222222222223</v>
      </c>
      <c r="AC723" s="11">
        <f t="shared" si="222"/>
        <v>0.11587654320987653</v>
      </c>
      <c r="AD723" s="36">
        <f t="shared" si="214"/>
        <v>2.3534525925925922</v>
      </c>
      <c r="AE723" s="36"/>
      <c r="AF723" s="36">
        <f>IFERROR(VLOOKUP(AE723,'Chemical Cost'!A:D,4,0),0)</f>
        <v>0</v>
      </c>
      <c r="AG723" s="114">
        <f t="shared" si="223"/>
        <v>0</v>
      </c>
      <c r="AH723" s="36">
        <f t="shared" si="208"/>
        <v>0</v>
      </c>
      <c r="AI723" s="36">
        <f t="shared" si="215"/>
        <v>4.5756748148148141</v>
      </c>
      <c r="AJ723" s="36">
        <f>IFERROR(VLOOKUP(A723,'All Products'!A:F,6,0),0)</f>
        <v>6.18</v>
      </c>
      <c r="AK723" s="36">
        <f>AJ723*Z723*J723</f>
        <v>6.18</v>
      </c>
      <c r="AL723" s="23">
        <v>1</v>
      </c>
      <c r="AM723" s="23"/>
      <c r="AN723" s="54" t="e">
        <v>#N/A</v>
      </c>
      <c r="AO723" s="47"/>
      <c r="AP723" s="4">
        <v>1.6</v>
      </c>
      <c r="AQ723" s="111">
        <f t="shared" si="224"/>
        <v>0.11587654320987653</v>
      </c>
      <c r="AR723">
        <f>_xlfn.XLOOKUP(F723,'RM Cost'!A:A,'RM Cost'!S:S)</f>
        <v>0</v>
      </c>
      <c r="AS723" t="str">
        <f>_xlfn.XLOOKUP(A723,[3]Sheet1!$B:$B,[3]Sheet1!$B:$B)</f>
        <v>Z014CS</v>
      </c>
      <c r="AT723">
        <f>_xlfn.XLOOKUP(H723,'Yield &amp; Time'!A:A,'Yield &amp; Time'!F:F)</f>
        <v>0</v>
      </c>
    </row>
    <row r="724" spans="1:46" x14ac:dyDescent="0.25">
      <c r="A724" s="2" t="s">
        <v>409</v>
      </c>
      <c r="B724" s="2" t="s">
        <v>656</v>
      </c>
      <c r="C724" s="2" t="s">
        <v>410</v>
      </c>
      <c r="D724" s="2" t="s">
        <v>554</v>
      </c>
      <c r="E724" s="2">
        <v>1</v>
      </c>
      <c r="F724" s="1" t="str">
        <f>VLOOKUP(H724,'RM Used'!A:B,2,0)</f>
        <v>P0008</v>
      </c>
      <c r="G724" s="1" t="str">
        <f>IFERROR(VLOOKUP(F724,'RM Cost'!A:B,2,0),"")</f>
        <v>PALE BLUE BAG 470X750MM</v>
      </c>
      <c r="H724" s="2" t="s">
        <v>1323</v>
      </c>
      <c r="I724" s="1" t="str">
        <f>VLOOKUP(F724,'RM Used'!B:D,3,0)</f>
        <v>RM-PACKING</v>
      </c>
      <c r="J724" s="66">
        <v>1</v>
      </c>
      <c r="K724" s="35" t="str">
        <f t="shared" si="210"/>
        <v/>
      </c>
      <c r="L724" s="35">
        <f t="shared" si="216"/>
        <v>0</v>
      </c>
      <c r="M724" s="77" t="str" cm="1">
        <f t="array" ref="M724">_xlfn.IFS(BOM!I724="RM-PACKING","100%",B724="Reynolds",VLOOKUP(H724,'Yield &amp; Time'!A:V,22,0),BOM!B724="Dnata",VLOOKUP(BOM!H724,'Yield &amp; Time'!A:M,13,0),B724="NK",VLOOKUP(H724,'Yield &amp; Time'!A:X,24,0))</f>
        <v>100%</v>
      </c>
      <c r="N724" s="35">
        <f t="shared" si="209"/>
        <v>1</v>
      </c>
      <c r="O724" s="1" t="str">
        <f>VLOOKUP(H724,'RM Used'!A:E,5,0)</f>
        <v>Count</v>
      </c>
      <c r="P724" s="11">
        <f>VLOOKUP(H724,'RM Used'!A:F,6,0)</f>
        <v>0.14000000000000001</v>
      </c>
      <c r="Q724" s="11">
        <f t="shared" si="225"/>
        <v>0.14000000000000001</v>
      </c>
      <c r="R724" s="11">
        <f>IFERROR(IF(B724="Reynolds",VLOOKUP(H724,'Yield &amp; Time'!A:U,21,0),VLOOKUP(H724,'Yield &amp; Time'!A:L,12,0)),0)</f>
        <v>0</v>
      </c>
      <c r="S724" s="11">
        <f t="shared" si="217"/>
        <v>0</v>
      </c>
      <c r="T724" s="11">
        <f t="shared" si="218"/>
        <v>0</v>
      </c>
      <c r="U724" s="11">
        <f>IF(A723=A724,0,VLOOKUP(A724,'Packing Time'!A:F,6,0))</f>
        <v>0</v>
      </c>
      <c r="V724" s="11">
        <f t="shared" si="211"/>
        <v>0</v>
      </c>
      <c r="W724" s="11">
        <f t="shared" si="212"/>
        <v>0</v>
      </c>
      <c r="X724" s="11">
        <f t="shared" si="219"/>
        <v>0</v>
      </c>
      <c r="Y724" s="11">
        <f t="shared" si="213"/>
        <v>0</v>
      </c>
      <c r="Z724" s="37">
        <v>1</v>
      </c>
      <c r="AA724" s="36">
        <f t="shared" si="220"/>
        <v>1</v>
      </c>
      <c r="AB724" s="36">
        <f t="shared" si="221"/>
        <v>0.14000000000000001</v>
      </c>
      <c r="AC724" s="11">
        <f t="shared" si="222"/>
        <v>0</v>
      </c>
      <c r="AD724" s="36">
        <f t="shared" si="214"/>
        <v>0</v>
      </c>
      <c r="AE724" s="36"/>
      <c r="AF724" s="36">
        <f>IFERROR(VLOOKUP(AE724,'Chemical Cost'!A:D,4,0),0)</f>
        <v>0</v>
      </c>
      <c r="AG724" s="114">
        <f t="shared" si="223"/>
        <v>0</v>
      </c>
      <c r="AH724" s="36">
        <f t="shared" si="208"/>
        <v>0</v>
      </c>
      <c r="AI724" s="36">
        <f t="shared" si="215"/>
        <v>0.14000000000000001</v>
      </c>
      <c r="AJ724" s="36">
        <f>IFERROR(VLOOKUP(A724,'All Products'!A:F,6,0),0)</f>
        <v>6.18</v>
      </c>
      <c r="AK724" s="36"/>
      <c r="AL724" s="23">
        <v>1</v>
      </c>
      <c r="AM724" s="23"/>
      <c r="AN724" s="54" t="e">
        <v>#N/A</v>
      </c>
      <c r="AO724" s="47"/>
      <c r="AP724" s="4">
        <v>1.6</v>
      </c>
      <c r="AQ724" s="111">
        <f t="shared" si="224"/>
        <v>0</v>
      </c>
      <c r="AR724">
        <f>_xlfn.XLOOKUP(F724,'RM Cost'!A:A,'RM Cost'!S:S)</f>
        <v>0</v>
      </c>
      <c r="AS724" t="str">
        <f>_xlfn.XLOOKUP(A724,[3]Sheet1!$B:$B,[3]Sheet1!$B:$B)</f>
        <v>Z014CS</v>
      </c>
      <c r="AT724" t="e">
        <f>_xlfn.XLOOKUP(H724,'Yield &amp; Time'!A:A,'Yield &amp; Time'!F:F)</f>
        <v>#N/A</v>
      </c>
    </row>
    <row r="725" spans="1:46" x14ac:dyDescent="0.25">
      <c r="A725" s="2" t="s">
        <v>505</v>
      </c>
      <c r="B725" s="2" t="s">
        <v>656</v>
      </c>
      <c r="C725" s="2" t="s">
        <v>506</v>
      </c>
      <c r="D725" s="2" t="s">
        <v>554</v>
      </c>
      <c r="E725" s="2">
        <v>2.5</v>
      </c>
      <c r="F725" s="1" t="str">
        <f>VLOOKUP(H725,'RM Used'!A:B,2,0)</f>
        <v>025BCS</v>
      </c>
      <c r="G725" s="1" t="str">
        <f>IFERROR(VLOOKUP(F725,'RM Cost'!A:B,2,0),"")</f>
        <v>RM - MUSHROOM CHESTNUT 35-40M 3KG</v>
      </c>
      <c r="H725" s="2" t="s">
        <v>1534</v>
      </c>
      <c r="I725" s="1" t="str">
        <f>VLOOKUP(F725,'RM Used'!B:D,3,0)</f>
        <v>RM-FOOD</v>
      </c>
      <c r="J725" s="66">
        <v>1</v>
      </c>
      <c r="K725" s="35">
        <f t="shared" si="210"/>
        <v>2.5</v>
      </c>
      <c r="L725" s="35">
        <f t="shared" si="216"/>
        <v>2.5</v>
      </c>
      <c r="M725" s="77" cm="1">
        <f t="array" ref="M725">_xlfn.IFS(BOM!I725="RM-PACKING","100%",B725="Reynolds",VLOOKUP(H725,'Yield &amp; Time'!A:V,22,0),BOM!B725="Dnata",VLOOKUP(BOM!H725,'Yield &amp; Time'!A:M,13,0),B725="NK",VLOOKUP(H725,'Yield &amp; Time'!A:X,24,0))</f>
        <v>0.9</v>
      </c>
      <c r="N725" s="35">
        <f t="shared" si="209"/>
        <v>2.7777777777777777</v>
      </c>
      <c r="O725" s="1" t="str">
        <f>VLOOKUP(H725,'RM Used'!A:E,5,0)</f>
        <v>KG</v>
      </c>
      <c r="P725" s="11">
        <f>VLOOKUP(H725,'RM Used'!A:F,6,0)</f>
        <v>2</v>
      </c>
      <c r="Q725" s="11">
        <f t="shared" si="225"/>
        <v>5.5555555555555554</v>
      </c>
      <c r="R725" s="11">
        <f>IFERROR(IF(B725="Reynolds",VLOOKUP(H725,'Yield &amp; Time'!A:U,21,0),VLOOKUP(H725,'Yield &amp; Time'!A:L,12,0)),0)</f>
        <v>3.7037037037037037</v>
      </c>
      <c r="S725" s="11">
        <f t="shared" si="217"/>
        <v>3.1342592592592591</v>
      </c>
      <c r="T725" s="11">
        <f t="shared" si="218"/>
        <v>0.15432098765432098</v>
      </c>
      <c r="U725" s="11">
        <f>IF(A724=A725,0,VLOOKUP(A725,'Packing Time'!A:F,6,0))</f>
        <v>0.875</v>
      </c>
      <c r="V725" s="11">
        <f t="shared" si="211"/>
        <v>0.29618749999999999</v>
      </c>
      <c r="W725" s="11">
        <f t="shared" si="212"/>
        <v>1.4583333333333334E-2</v>
      </c>
      <c r="X725" s="11">
        <f t="shared" si="219"/>
        <v>5.4887148148148146</v>
      </c>
      <c r="Y725" s="11">
        <f t="shared" si="213"/>
        <v>5.4887148148148146</v>
      </c>
      <c r="Z725" s="37">
        <v>1</v>
      </c>
      <c r="AA725" s="36">
        <f t="shared" si="220"/>
        <v>2.7777777777777777</v>
      </c>
      <c r="AB725" s="36">
        <f t="shared" si="221"/>
        <v>5.5555555555555554</v>
      </c>
      <c r="AC725" s="11">
        <f t="shared" si="222"/>
        <v>0.27024691358024694</v>
      </c>
      <c r="AD725" s="36">
        <f t="shared" si="214"/>
        <v>5.4887148148148146</v>
      </c>
      <c r="AE725" s="36"/>
      <c r="AF725" s="36">
        <f>IFERROR(VLOOKUP(AE725,'Chemical Cost'!A:D,4,0),0)</f>
        <v>0</v>
      </c>
      <c r="AG725" s="114">
        <f t="shared" si="223"/>
        <v>0</v>
      </c>
      <c r="AH725" s="36">
        <f t="shared" si="208"/>
        <v>0</v>
      </c>
      <c r="AI725" s="36">
        <f t="shared" si="215"/>
        <v>11.04427037037037</v>
      </c>
      <c r="AJ725" s="36">
        <f>IFERROR(VLOOKUP(A725,'All Products'!A:F,6,0),0)</f>
        <v>15.46</v>
      </c>
      <c r="AK725" s="36">
        <f>AJ725*Z725*J725</f>
        <v>15.46</v>
      </c>
      <c r="AL725" s="23">
        <v>1</v>
      </c>
      <c r="AM725" s="23"/>
      <c r="AN725" s="54" t="e">
        <v>#N/A</v>
      </c>
      <c r="AO725" s="47"/>
      <c r="AP725" s="4">
        <v>1.6</v>
      </c>
      <c r="AQ725" s="111">
        <f t="shared" si="224"/>
        <v>0.27024691358024694</v>
      </c>
      <c r="AR725">
        <f>_xlfn.XLOOKUP(F725,'RM Cost'!A:A,'RM Cost'!S:S)</f>
        <v>0</v>
      </c>
      <c r="AS725" t="e">
        <f>_xlfn.XLOOKUP(A725,[3]Sheet1!$B:$B,[3]Sheet1!$B:$B)</f>
        <v>#N/A</v>
      </c>
    </row>
    <row r="726" spans="1:46" x14ac:dyDescent="0.25">
      <c r="A726" s="2" t="s">
        <v>505</v>
      </c>
      <c r="B726" s="2" t="s">
        <v>656</v>
      </c>
      <c r="C726" s="2" t="s">
        <v>506</v>
      </c>
      <c r="D726" s="2" t="s">
        <v>554</v>
      </c>
      <c r="E726" s="2">
        <v>2.5</v>
      </c>
      <c r="F726" s="1" t="str">
        <f>VLOOKUP(H726,'RM Used'!A:B,2,0)</f>
        <v>P0008</v>
      </c>
      <c r="G726" s="1" t="str">
        <f>IFERROR(VLOOKUP(F726,'RM Cost'!A:B,2,0),"")</f>
        <v>PALE BLUE BAG 470X750MM</v>
      </c>
      <c r="H726" s="2" t="s">
        <v>1323</v>
      </c>
      <c r="I726" s="1" t="str">
        <f>VLOOKUP(F726,'RM Used'!B:D,3,0)</f>
        <v>RM-PACKING</v>
      </c>
      <c r="J726" s="66">
        <v>1</v>
      </c>
      <c r="K726" s="35" t="str">
        <f t="shared" si="210"/>
        <v/>
      </c>
      <c r="L726" s="35">
        <f t="shared" si="216"/>
        <v>0</v>
      </c>
      <c r="M726" s="77" t="str" cm="1">
        <f t="array" ref="M726">_xlfn.IFS(BOM!I726="RM-PACKING","100%",B726="Reynolds",VLOOKUP(H726,'Yield &amp; Time'!A:V,22,0),BOM!B726="Dnata",VLOOKUP(BOM!H726,'Yield &amp; Time'!A:M,13,0),B726="NK",VLOOKUP(H726,'Yield &amp; Time'!A:X,24,0))</f>
        <v>100%</v>
      </c>
      <c r="N726" s="35">
        <f t="shared" si="209"/>
        <v>1</v>
      </c>
      <c r="O726" s="1" t="str">
        <f>VLOOKUP(H726,'RM Used'!A:E,5,0)</f>
        <v>Count</v>
      </c>
      <c r="P726" s="11">
        <f>VLOOKUP(H726,'RM Used'!A:F,6,0)</f>
        <v>0.14000000000000001</v>
      </c>
      <c r="Q726" s="11">
        <f t="shared" si="225"/>
        <v>0.14000000000000001</v>
      </c>
      <c r="R726" s="11">
        <f>IFERROR(IF(B726="Reynolds",VLOOKUP(H726,'Yield &amp; Time'!A:U,21,0),VLOOKUP(H726,'Yield &amp; Time'!A:L,12,0)),0)</f>
        <v>0</v>
      </c>
      <c r="S726" s="11">
        <f t="shared" si="217"/>
        <v>0</v>
      </c>
      <c r="T726" s="11">
        <f t="shared" si="218"/>
        <v>0</v>
      </c>
      <c r="U726" s="11">
        <f>IF(A725=A726,0,VLOOKUP(A726,'Packing Time'!A:F,6,0))</f>
        <v>0</v>
      </c>
      <c r="V726" s="11">
        <f t="shared" si="211"/>
        <v>0</v>
      </c>
      <c r="W726" s="11">
        <f t="shared" si="212"/>
        <v>0</v>
      </c>
      <c r="X726" s="11">
        <f t="shared" si="219"/>
        <v>0</v>
      </c>
      <c r="Y726" s="11">
        <f t="shared" si="213"/>
        <v>0</v>
      </c>
      <c r="Z726" s="37">
        <v>1</v>
      </c>
      <c r="AA726" s="36">
        <f t="shared" si="220"/>
        <v>1</v>
      </c>
      <c r="AB726" s="36">
        <f t="shared" si="221"/>
        <v>0.14000000000000001</v>
      </c>
      <c r="AC726" s="11">
        <f t="shared" si="222"/>
        <v>0</v>
      </c>
      <c r="AD726" s="36">
        <f t="shared" si="214"/>
        <v>0</v>
      </c>
      <c r="AE726" s="36"/>
      <c r="AF726" s="36">
        <f>IFERROR(VLOOKUP(AE726,'Chemical Cost'!A:D,4,0),0)</f>
        <v>0</v>
      </c>
      <c r="AG726" s="114">
        <f t="shared" si="223"/>
        <v>0</v>
      </c>
      <c r="AH726" s="36">
        <f t="shared" ref="AH726:AH789" si="226">AF726*AA726/3</f>
        <v>0</v>
      </c>
      <c r="AI726" s="36">
        <f t="shared" si="215"/>
        <v>0.14000000000000001</v>
      </c>
      <c r="AJ726" s="36">
        <f>IFERROR(VLOOKUP(A726,'All Products'!A:F,6,0),0)</f>
        <v>15.46</v>
      </c>
      <c r="AK726" s="36"/>
      <c r="AL726" s="23">
        <v>1</v>
      </c>
      <c r="AM726" s="23"/>
      <c r="AN726" s="54" t="e">
        <v>#N/A</v>
      </c>
      <c r="AO726" s="47"/>
      <c r="AP726" s="4">
        <v>1.6</v>
      </c>
      <c r="AQ726" s="111">
        <f t="shared" si="224"/>
        <v>0</v>
      </c>
      <c r="AR726">
        <f>_xlfn.XLOOKUP(F726,'RM Cost'!A:A,'RM Cost'!S:S)</f>
        <v>0</v>
      </c>
      <c r="AS726" t="e">
        <f>_xlfn.XLOOKUP(A726,[3]Sheet1!$B:$B,[3]Sheet1!$B:$B)</f>
        <v>#N/A</v>
      </c>
    </row>
    <row r="727" spans="1:46" x14ac:dyDescent="0.25">
      <c r="A727" s="2" t="s">
        <v>526</v>
      </c>
      <c r="B727" s="2" t="s">
        <v>656</v>
      </c>
      <c r="C727" s="2" t="s">
        <v>527</v>
      </c>
      <c r="D727" s="2" t="s">
        <v>554</v>
      </c>
      <c r="E727" s="2">
        <v>1</v>
      </c>
      <c r="F727" s="1" t="str">
        <f>VLOOKUP(H727,'RM Used'!A:B,2,0)</f>
        <v>3867CS</v>
      </c>
      <c r="G727" s="1" t="str">
        <f>IFERROR(VLOOKUP(F727,'RM Cost'!A:B,2,0),"")</f>
        <v>RM - MUSHROOM SHITAKI 1.5KG</v>
      </c>
      <c r="H727" s="2" t="s">
        <v>1535</v>
      </c>
      <c r="I727" s="1" t="str">
        <f>VLOOKUP(F727,'RM Used'!B:D,3,0)</f>
        <v>RM-FOOD</v>
      </c>
      <c r="J727" s="66">
        <v>1</v>
      </c>
      <c r="K727" s="35">
        <f t="shared" si="210"/>
        <v>1</v>
      </c>
      <c r="L727" s="35">
        <f t="shared" si="216"/>
        <v>1</v>
      </c>
      <c r="M727" s="77" cm="1">
        <f t="array" ref="M727">_xlfn.IFS(BOM!I727="RM-PACKING","100%",B727="Reynolds",VLOOKUP(H727,'Yield &amp; Time'!A:V,22,0),BOM!B727="Dnata",VLOOKUP(BOM!H727,'Yield &amp; Time'!A:M,13,0),B727="NK",VLOOKUP(H727,'Yield &amp; Time'!A:X,24,0))</f>
        <v>0.86890399320305867</v>
      </c>
      <c r="N727" s="35">
        <f t="shared" si="209"/>
        <v>1.1508751344480297</v>
      </c>
      <c r="O727" s="1" t="str">
        <f>VLOOKUP(H727,'RM Used'!A:E,5,0)</f>
        <v>KG</v>
      </c>
      <c r="P727" s="11">
        <f>VLOOKUP(H727,'RM Used'!A:F,6,0)</f>
        <v>6.14</v>
      </c>
      <c r="Q727" s="11">
        <f t="shared" si="225"/>
        <v>7.0663733255109022</v>
      </c>
      <c r="R727" s="11">
        <f>IFERROR(IF(B727="Reynolds",VLOOKUP(H727,'Yield &amp; Time'!A:U,21,0),VLOOKUP(H727,'Yield &amp; Time'!A:L,12,0)),0)</f>
        <v>7.8461774853678632</v>
      </c>
      <c r="S727" s="11">
        <f t="shared" si="217"/>
        <v>2.6559310787970216</v>
      </c>
      <c r="T727" s="11">
        <f t="shared" si="218"/>
        <v>0.13076962475613105</v>
      </c>
      <c r="U727" s="11">
        <f>IF(A726=A727,0,VLOOKUP(A727,'Packing Time'!A:F,6,0))</f>
        <v>0.64166666666666661</v>
      </c>
      <c r="V727" s="11">
        <f t="shared" si="211"/>
        <v>0.21720416666666661</v>
      </c>
      <c r="W727" s="11">
        <f t="shared" si="212"/>
        <v>1.0694444444444444E-2</v>
      </c>
      <c r="X727" s="11">
        <f t="shared" si="219"/>
        <v>4.5970163927419012</v>
      </c>
      <c r="Y727" s="11">
        <f t="shared" si="213"/>
        <v>4.5970163927419012</v>
      </c>
      <c r="Z727" s="37">
        <v>1</v>
      </c>
      <c r="AA727" s="36">
        <f t="shared" si="220"/>
        <v>1.1508751344480297</v>
      </c>
      <c r="AB727" s="36">
        <f t="shared" si="221"/>
        <v>7.0663733255109022</v>
      </c>
      <c r="AC727" s="11">
        <f t="shared" si="222"/>
        <v>0.22634251072092082</v>
      </c>
      <c r="AD727" s="36">
        <f t="shared" si="214"/>
        <v>4.5970163927419012</v>
      </c>
      <c r="AE727" s="36"/>
      <c r="AF727" s="36">
        <f>IFERROR(VLOOKUP(AE727,'Chemical Cost'!A:D,4,0),0)</f>
        <v>0</v>
      </c>
      <c r="AG727" s="114">
        <f t="shared" si="223"/>
        <v>0</v>
      </c>
      <c r="AH727" s="36">
        <f t="shared" si="226"/>
        <v>0</v>
      </c>
      <c r="AI727" s="36">
        <f t="shared" si="215"/>
        <v>11.663389718252803</v>
      </c>
      <c r="AJ727" s="36">
        <f>IFERROR(VLOOKUP(A727,'All Products'!A:F,6,0),0)</f>
        <v>14.51</v>
      </c>
      <c r="AK727" s="36">
        <f>AJ727*Z727*J727</f>
        <v>14.51</v>
      </c>
      <c r="AL727" s="23">
        <v>1</v>
      </c>
      <c r="AM727" s="23"/>
      <c r="AN727" s="54" t="e">
        <v>#N/A</v>
      </c>
      <c r="AO727" s="47"/>
      <c r="AP727" s="4">
        <v>1.6</v>
      </c>
      <c r="AQ727" s="111">
        <f t="shared" si="224"/>
        <v>0.22634251072092082</v>
      </c>
      <c r="AR727">
        <f>_xlfn.XLOOKUP(F727,'RM Cost'!A:A,'RM Cost'!S:S)</f>
        <v>0</v>
      </c>
      <c r="AS727" t="str">
        <f>_xlfn.XLOOKUP(A727,[3]Sheet1!$B:$B,[3]Sheet1!$B:$B)</f>
        <v>Z020CS</v>
      </c>
      <c r="AT727">
        <f>_xlfn.XLOOKUP(H727,'Yield &amp; Time'!A:A,'Yield &amp; Time'!F:F)</f>
        <v>0</v>
      </c>
    </row>
    <row r="728" spans="1:46" x14ac:dyDescent="0.25">
      <c r="A728" s="2" t="s">
        <v>526</v>
      </c>
      <c r="B728" s="2" t="s">
        <v>656</v>
      </c>
      <c r="C728" s="2" t="s">
        <v>527</v>
      </c>
      <c r="D728" s="2" t="s">
        <v>554</v>
      </c>
      <c r="E728" s="2">
        <v>1</v>
      </c>
      <c r="F728" s="1" t="str">
        <f>VLOOKUP(H728,'RM Used'!A:B,2,0)</f>
        <v>P0008</v>
      </c>
      <c r="G728" s="1" t="str">
        <f>IFERROR(VLOOKUP(F728,'RM Cost'!A:B,2,0),"")</f>
        <v>PALE BLUE BAG 470X750MM</v>
      </c>
      <c r="H728" s="2" t="s">
        <v>1323</v>
      </c>
      <c r="I728" s="1" t="str">
        <f>VLOOKUP(F728,'RM Used'!B:D,3,0)</f>
        <v>RM-PACKING</v>
      </c>
      <c r="J728" s="66">
        <v>1</v>
      </c>
      <c r="K728" s="35" t="str">
        <f t="shared" si="210"/>
        <v/>
      </c>
      <c r="L728" s="35">
        <f t="shared" si="216"/>
        <v>0</v>
      </c>
      <c r="M728" s="77" t="str" cm="1">
        <f t="array" ref="M728">_xlfn.IFS(BOM!I728="RM-PACKING","100%",B728="Reynolds",VLOOKUP(H728,'Yield &amp; Time'!A:V,22,0),BOM!B728="Dnata",VLOOKUP(BOM!H728,'Yield &amp; Time'!A:M,13,0),B728="NK",VLOOKUP(H728,'Yield &amp; Time'!A:X,24,0))</f>
        <v>100%</v>
      </c>
      <c r="N728" s="35">
        <f t="shared" si="209"/>
        <v>1</v>
      </c>
      <c r="O728" s="1" t="str">
        <f>VLOOKUP(H728,'RM Used'!A:E,5,0)</f>
        <v>Count</v>
      </c>
      <c r="P728" s="11">
        <f>VLOOKUP(H728,'RM Used'!A:F,6,0)</f>
        <v>0.14000000000000001</v>
      </c>
      <c r="Q728" s="11">
        <f t="shared" si="225"/>
        <v>0.14000000000000001</v>
      </c>
      <c r="R728" s="11">
        <f>IFERROR(IF(B728="Reynolds",VLOOKUP(H728,'Yield &amp; Time'!A:U,21,0),VLOOKUP(H728,'Yield &amp; Time'!A:L,12,0)),0)</f>
        <v>0</v>
      </c>
      <c r="S728" s="11">
        <f t="shared" si="217"/>
        <v>0</v>
      </c>
      <c r="T728" s="11">
        <f t="shared" si="218"/>
        <v>0</v>
      </c>
      <c r="U728" s="11">
        <f>IF(A727=A728,0,VLOOKUP(A728,'Packing Time'!A:F,6,0))</f>
        <v>0</v>
      </c>
      <c r="V728" s="11">
        <f t="shared" si="211"/>
        <v>0</v>
      </c>
      <c r="W728" s="11">
        <f t="shared" si="212"/>
        <v>0</v>
      </c>
      <c r="X728" s="11">
        <f t="shared" si="219"/>
        <v>0</v>
      </c>
      <c r="Y728" s="11">
        <f t="shared" si="213"/>
        <v>0</v>
      </c>
      <c r="Z728" s="37">
        <v>1</v>
      </c>
      <c r="AA728" s="36">
        <f t="shared" si="220"/>
        <v>1</v>
      </c>
      <c r="AB728" s="36">
        <f t="shared" si="221"/>
        <v>0.14000000000000001</v>
      </c>
      <c r="AC728" s="11">
        <f t="shared" si="222"/>
        <v>0</v>
      </c>
      <c r="AD728" s="36">
        <f t="shared" si="214"/>
        <v>0</v>
      </c>
      <c r="AE728" s="36"/>
      <c r="AF728" s="36">
        <f>IFERROR(VLOOKUP(AE728,'Chemical Cost'!A:D,4,0),0)</f>
        <v>0</v>
      </c>
      <c r="AG728" s="114">
        <f t="shared" si="223"/>
        <v>0</v>
      </c>
      <c r="AH728" s="36">
        <f t="shared" si="226"/>
        <v>0</v>
      </c>
      <c r="AI728" s="36">
        <f t="shared" si="215"/>
        <v>0.14000000000000001</v>
      </c>
      <c r="AJ728" s="36">
        <f>IFERROR(VLOOKUP(A728,'All Products'!A:F,6,0),0)</f>
        <v>14.51</v>
      </c>
      <c r="AK728" s="36"/>
      <c r="AL728" s="23">
        <v>1</v>
      </c>
      <c r="AM728" s="23"/>
      <c r="AN728" s="54" t="e">
        <v>#N/A</v>
      </c>
      <c r="AO728" s="47"/>
      <c r="AP728" s="4">
        <v>1.6</v>
      </c>
      <c r="AQ728" s="111">
        <f t="shared" si="224"/>
        <v>0</v>
      </c>
      <c r="AR728">
        <f>_xlfn.XLOOKUP(F728,'RM Cost'!A:A,'RM Cost'!S:S)</f>
        <v>0</v>
      </c>
      <c r="AS728" t="str">
        <f>_xlfn.XLOOKUP(A728,[3]Sheet1!$B:$B,[3]Sheet1!$B:$B)</f>
        <v>Z020CS</v>
      </c>
      <c r="AT728" t="e">
        <f>_xlfn.XLOOKUP(H728,'Yield &amp; Time'!A:A,'Yield &amp; Time'!F:F)</f>
        <v>#N/A</v>
      </c>
    </row>
    <row r="729" spans="1:46" x14ac:dyDescent="0.25">
      <c r="A729" s="2" t="s">
        <v>236</v>
      </c>
      <c r="B729" s="2" t="s">
        <v>656</v>
      </c>
      <c r="C729" s="2" t="s">
        <v>237</v>
      </c>
      <c r="D729" s="2" t="s">
        <v>554</v>
      </c>
      <c r="E729" s="2">
        <v>2.5</v>
      </c>
      <c r="F729" s="1" t="str">
        <f>VLOOKUP(H729,'RM Used'!A:B,2,0)</f>
        <v>3867CS</v>
      </c>
      <c r="G729" s="1" t="str">
        <f>IFERROR(VLOOKUP(F729,'RM Cost'!A:B,2,0),"")</f>
        <v>RM - MUSHROOM SHITAKI 1.5KG</v>
      </c>
      <c r="H729" s="2" t="s">
        <v>1535</v>
      </c>
      <c r="I729" s="1" t="str">
        <f>VLOOKUP(F729,'RM Used'!B:D,3,0)</f>
        <v>RM-FOOD</v>
      </c>
      <c r="J729" s="66">
        <v>1</v>
      </c>
      <c r="K729" s="35">
        <f t="shared" si="210"/>
        <v>2.5</v>
      </c>
      <c r="L729" s="35">
        <f t="shared" si="216"/>
        <v>2.5</v>
      </c>
      <c r="M729" s="77" cm="1">
        <f t="array" ref="M729">_xlfn.IFS(BOM!I729="RM-PACKING","100%",B729="Reynolds",VLOOKUP(H729,'Yield &amp; Time'!A:V,22,0),BOM!B729="Dnata",VLOOKUP(BOM!H729,'Yield &amp; Time'!A:M,13,0),B729="NK",VLOOKUP(H729,'Yield &amp; Time'!A:X,24,0))</f>
        <v>0.86890399320305867</v>
      </c>
      <c r="N729" s="35">
        <f t="shared" si="209"/>
        <v>2.8771878361200742</v>
      </c>
      <c r="O729" s="1" t="str">
        <f>VLOOKUP(H729,'RM Used'!A:E,5,0)</f>
        <v>KG</v>
      </c>
      <c r="P729" s="11">
        <f>VLOOKUP(H729,'RM Used'!A:F,6,0)</f>
        <v>6.14</v>
      </c>
      <c r="Q729" s="11">
        <f t="shared" si="225"/>
        <v>17.665933313777256</v>
      </c>
      <c r="R729" s="11">
        <f>IFERROR(IF(B729="Reynolds",VLOOKUP(H729,'Yield &amp; Time'!A:U,21,0),VLOOKUP(H729,'Yield &amp; Time'!A:L,12,0)),0)</f>
        <v>7.8461774853678632</v>
      </c>
      <c r="S729" s="11">
        <f t="shared" si="217"/>
        <v>6.6398276969925538</v>
      </c>
      <c r="T729" s="11">
        <f t="shared" si="218"/>
        <v>0.32692406189032763</v>
      </c>
      <c r="U729" s="11">
        <f>IF(A728=A729,0,VLOOKUP(A729,'Packing Time'!A:F,6,0))</f>
        <v>0.875</v>
      </c>
      <c r="V729" s="11">
        <f t="shared" si="211"/>
        <v>0.29618749999999999</v>
      </c>
      <c r="W729" s="11">
        <f t="shared" si="212"/>
        <v>1.4583333333333334E-2</v>
      </c>
      <c r="X729" s="11">
        <f t="shared" si="219"/>
        <v>8.6700189962406924</v>
      </c>
      <c r="Y729" s="11">
        <f t="shared" si="213"/>
        <v>8.6700189962406924</v>
      </c>
      <c r="Z729" s="37">
        <v>1</v>
      </c>
      <c r="AA729" s="36">
        <f t="shared" si="220"/>
        <v>2.8771878361200742</v>
      </c>
      <c r="AB729" s="36">
        <f t="shared" si="221"/>
        <v>17.665933313777256</v>
      </c>
      <c r="AC729" s="11">
        <f t="shared" si="222"/>
        <v>0.4268842440295762</v>
      </c>
      <c r="AD729" s="36">
        <f t="shared" si="214"/>
        <v>8.6700189962406924</v>
      </c>
      <c r="AE729" s="36"/>
      <c r="AF729" s="36">
        <f>IFERROR(VLOOKUP(AE729,'Chemical Cost'!A:D,4,0),0)</f>
        <v>0</v>
      </c>
      <c r="AG729" s="114">
        <f t="shared" si="223"/>
        <v>0</v>
      </c>
      <c r="AH729" s="36">
        <f t="shared" si="226"/>
        <v>0</v>
      </c>
      <c r="AI729" s="36">
        <f t="shared" si="215"/>
        <v>26.335952310017948</v>
      </c>
      <c r="AJ729" s="36">
        <f>IFERROR(VLOOKUP(A729,'All Products'!A:F,6,0),0)</f>
        <v>36.29</v>
      </c>
      <c r="AK729" s="36">
        <f>AJ729*Z729*J729</f>
        <v>36.29</v>
      </c>
      <c r="AL729" s="23">
        <v>1</v>
      </c>
      <c r="AM729" s="23"/>
      <c r="AN729" s="54" t="e">
        <v>#N/A</v>
      </c>
      <c r="AO729" s="47"/>
      <c r="AP729" s="4">
        <v>1.25</v>
      </c>
      <c r="AQ729" s="111">
        <f t="shared" si="224"/>
        <v>0.4268842440295762</v>
      </c>
      <c r="AR729">
        <f>_xlfn.XLOOKUP(F729,'RM Cost'!A:A,'RM Cost'!S:S)</f>
        <v>0</v>
      </c>
      <c r="AS729" t="str">
        <f>_xlfn.XLOOKUP(A729,[3]Sheet1!$B:$B,[3]Sheet1!$B:$B)</f>
        <v>Z019CS</v>
      </c>
      <c r="AT729">
        <f>_xlfn.XLOOKUP(H729,'Yield &amp; Time'!A:A,'Yield &amp; Time'!F:F)</f>
        <v>0</v>
      </c>
    </row>
    <row r="730" spans="1:46" x14ac:dyDescent="0.25">
      <c r="A730" s="2" t="s">
        <v>236</v>
      </c>
      <c r="B730" s="2" t="s">
        <v>656</v>
      </c>
      <c r="C730" s="2" t="s">
        <v>237</v>
      </c>
      <c r="D730" s="2" t="s">
        <v>554</v>
      </c>
      <c r="E730" s="2">
        <v>2.5</v>
      </c>
      <c r="F730" s="1" t="str">
        <f>VLOOKUP(H730,'RM Used'!A:B,2,0)</f>
        <v>P0008</v>
      </c>
      <c r="G730" s="1" t="str">
        <f>IFERROR(VLOOKUP(F730,'RM Cost'!A:B,2,0),"")</f>
        <v>PALE BLUE BAG 470X750MM</v>
      </c>
      <c r="H730" s="2" t="s">
        <v>1323</v>
      </c>
      <c r="I730" s="1" t="str">
        <f>VLOOKUP(F730,'RM Used'!B:D,3,0)</f>
        <v>RM-PACKING</v>
      </c>
      <c r="J730" s="66">
        <v>1</v>
      </c>
      <c r="K730" s="35" t="str">
        <f t="shared" si="210"/>
        <v/>
      </c>
      <c r="L730" s="35">
        <f t="shared" si="216"/>
        <v>0</v>
      </c>
      <c r="M730" s="77" t="str" cm="1">
        <f t="array" ref="M730">_xlfn.IFS(BOM!I730="RM-PACKING","100%",B730="Reynolds",VLOOKUP(H730,'Yield &amp; Time'!A:V,22,0),BOM!B730="Dnata",VLOOKUP(BOM!H730,'Yield &amp; Time'!A:M,13,0),B730="NK",VLOOKUP(H730,'Yield &amp; Time'!A:X,24,0))</f>
        <v>100%</v>
      </c>
      <c r="N730" s="35">
        <f t="shared" si="209"/>
        <v>1</v>
      </c>
      <c r="O730" s="1" t="str">
        <f>VLOOKUP(H730,'RM Used'!A:E,5,0)</f>
        <v>Count</v>
      </c>
      <c r="P730" s="11">
        <f>VLOOKUP(H730,'RM Used'!A:F,6,0)</f>
        <v>0.14000000000000001</v>
      </c>
      <c r="Q730" s="11">
        <f t="shared" si="225"/>
        <v>0.14000000000000001</v>
      </c>
      <c r="R730" s="11">
        <f>IFERROR(IF(B730="Reynolds",VLOOKUP(H730,'Yield &amp; Time'!A:U,21,0),VLOOKUP(H730,'Yield &amp; Time'!A:L,12,0)),0)</f>
        <v>0</v>
      </c>
      <c r="S730" s="11">
        <f t="shared" si="217"/>
        <v>0</v>
      </c>
      <c r="T730" s="11">
        <f t="shared" si="218"/>
        <v>0</v>
      </c>
      <c r="U730" s="11">
        <f>IF(A729=A730,0,VLOOKUP(A730,'Packing Time'!A:F,6,0))</f>
        <v>0</v>
      </c>
      <c r="V730" s="11">
        <f t="shared" si="211"/>
        <v>0</v>
      </c>
      <c r="W730" s="11">
        <f t="shared" si="212"/>
        <v>0</v>
      </c>
      <c r="X730" s="11">
        <f t="shared" si="219"/>
        <v>0</v>
      </c>
      <c r="Y730" s="11">
        <f t="shared" si="213"/>
        <v>0</v>
      </c>
      <c r="Z730" s="37">
        <v>1</v>
      </c>
      <c r="AA730" s="36">
        <f t="shared" si="220"/>
        <v>1</v>
      </c>
      <c r="AB730" s="36">
        <f t="shared" si="221"/>
        <v>0.14000000000000001</v>
      </c>
      <c r="AC730" s="11">
        <f t="shared" si="222"/>
        <v>0</v>
      </c>
      <c r="AD730" s="36">
        <f t="shared" si="214"/>
        <v>0</v>
      </c>
      <c r="AE730" s="36"/>
      <c r="AF730" s="36">
        <f>IFERROR(VLOOKUP(AE730,'Chemical Cost'!A:D,4,0),0)</f>
        <v>0</v>
      </c>
      <c r="AG730" s="114">
        <f t="shared" si="223"/>
        <v>0</v>
      </c>
      <c r="AH730" s="36">
        <f t="shared" si="226"/>
        <v>0</v>
      </c>
      <c r="AI730" s="36">
        <f t="shared" si="215"/>
        <v>0.14000000000000001</v>
      </c>
      <c r="AJ730" s="36">
        <f>IFERROR(VLOOKUP(A730,'All Products'!A:F,6,0),0)</f>
        <v>36.29</v>
      </c>
      <c r="AK730" s="36"/>
      <c r="AL730" s="23">
        <v>1</v>
      </c>
      <c r="AM730" s="23"/>
      <c r="AN730" s="54" t="e">
        <v>#N/A</v>
      </c>
      <c r="AO730" s="47"/>
      <c r="AP730" s="4">
        <v>1.25</v>
      </c>
      <c r="AQ730" s="111">
        <f t="shared" si="224"/>
        <v>0</v>
      </c>
      <c r="AR730">
        <f>_xlfn.XLOOKUP(F730,'RM Cost'!A:A,'RM Cost'!S:S)</f>
        <v>0</v>
      </c>
      <c r="AS730" t="str">
        <f>_xlfn.XLOOKUP(A730,[3]Sheet1!$B:$B,[3]Sheet1!$B:$B)</f>
        <v>Z019CS</v>
      </c>
      <c r="AT730" t="e">
        <f>_xlfn.XLOOKUP(H730,'Yield &amp; Time'!A:A,'Yield &amp; Time'!F:F)</f>
        <v>#N/A</v>
      </c>
    </row>
    <row r="731" spans="1:46" x14ac:dyDescent="0.25">
      <c r="A731" s="2" t="s">
        <v>826</v>
      </c>
      <c r="B731" s="2" t="s">
        <v>656</v>
      </c>
      <c r="C731" s="2" t="s">
        <v>827</v>
      </c>
      <c r="D731" s="2" t="s">
        <v>554</v>
      </c>
      <c r="E731" s="2">
        <v>1</v>
      </c>
      <c r="F731" s="1" t="str">
        <f>VLOOKUP(H731,'RM Used'!A:B,2,0)</f>
        <v>3867CS</v>
      </c>
      <c r="G731" s="1" t="str">
        <f>IFERROR(VLOOKUP(F731,'RM Cost'!A:B,2,0),"")</f>
        <v>RM - MUSHROOM SHITAKI 1.5KG</v>
      </c>
      <c r="H731" s="2" t="s">
        <v>1536</v>
      </c>
      <c r="I731" s="1" t="str">
        <f>VLOOKUP(F731,'RM Used'!B:D,3,0)</f>
        <v>RM-FOOD</v>
      </c>
      <c r="J731" s="66">
        <v>1</v>
      </c>
      <c r="K731" s="35">
        <f t="shared" si="210"/>
        <v>1</v>
      </c>
      <c r="L731" s="35">
        <f t="shared" si="216"/>
        <v>1</v>
      </c>
      <c r="M731" s="77" cm="1">
        <f t="array" ref="M731">_xlfn.IFS(BOM!I731="RM-PACKING","100%",B731="Reynolds",VLOOKUP(H731,'Yield &amp; Time'!A:V,22,0),BOM!B731="Dnata",VLOOKUP(BOM!H731,'Yield &amp; Time'!A:M,13,0),B731="NK",VLOOKUP(H731,'Yield &amp; Time'!A:X,24,0))</f>
        <v>0.91028037383177574</v>
      </c>
      <c r="N731" s="35">
        <f t="shared" si="209"/>
        <v>1.0985626283367556</v>
      </c>
      <c r="O731" s="1" t="str">
        <f>VLOOKUP(H731,'RM Used'!A:E,5,0)</f>
        <v>KG</v>
      </c>
      <c r="P731" s="11">
        <f>VLOOKUP(H731,'RM Used'!A:F,6,0)</f>
        <v>6.14</v>
      </c>
      <c r="Q731" s="11">
        <f t="shared" si="225"/>
        <v>6.7451745379876789</v>
      </c>
      <c r="R731" s="11">
        <f>IFERROR(IF(B731="Reynolds",VLOOKUP(H731,'Yield &amp; Time'!A:U,21,0),VLOOKUP(H731,'Yield &amp; Time'!A:L,12,0)),0)</f>
        <v>3.593429158110883</v>
      </c>
      <c r="S731" s="11">
        <f t="shared" si="217"/>
        <v>1.2163757700205338</v>
      </c>
      <c r="T731" s="11">
        <f t="shared" si="218"/>
        <v>5.989048596851472E-2</v>
      </c>
      <c r="U731" s="11">
        <f>IF(A730=A731,0,VLOOKUP(A731,'Packing Time'!A:F,6,0))</f>
        <v>0.64166666666666661</v>
      </c>
      <c r="V731" s="11">
        <f t="shared" si="211"/>
        <v>0.21720416666666661</v>
      </c>
      <c r="W731" s="11">
        <f t="shared" si="212"/>
        <v>1.0694444444444444E-2</v>
      </c>
      <c r="X731" s="11">
        <f t="shared" si="219"/>
        <v>2.2937278986995207</v>
      </c>
      <c r="Y731" s="11">
        <f t="shared" si="213"/>
        <v>2.2937278986995207</v>
      </c>
      <c r="Z731" s="37">
        <v>1</v>
      </c>
      <c r="AA731" s="36">
        <f t="shared" si="220"/>
        <v>1.0985626283367556</v>
      </c>
      <c r="AB731" s="36">
        <f t="shared" si="221"/>
        <v>6.7451745379876789</v>
      </c>
      <c r="AC731" s="11">
        <f t="shared" si="222"/>
        <v>0.11293588866073466</v>
      </c>
      <c r="AD731" s="36">
        <f t="shared" si="214"/>
        <v>2.2937278986995207</v>
      </c>
      <c r="AE731" s="36"/>
      <c r="AF731" s="36">
        <f>IFERROR(VLOOKUP(AE731,'Chemical Cost'!A:D,4,0),0)</f>
        <v>0</v>
      </c>
      <c r="AG731" s="114">
        <f t="shared" si="223"/>
        <v>0</v>
      </c>
      <c r="AH731" s="36">
        <f t="shared" si="226"/>
        <v>0</v>
      </c>
      <c r="AI731" s="36">
        <f t="shared" si="215"/>
        <v>9.0389024366871986</v>
      </c>
      <c r="AJ731" s="36">
        <f>IFERROR(VLOOKUP(A731,'All Products'!A:F,6,0),0)</f>
        <v>13.05</v>
      </c>
      <c r="AK731" s="36">
        <f>AJ731*Z731*J731</f>
        <v>13.05</v>
      </c>
      <c r="AL731" s="23">
        <v>1</v>
      </c>
      <c r="AM731" s="23"/>
      <c r="AN731" s="54" t="e">
        <v>#N/A</v>
      </c>
      <c r="AO731" s="47"/>
      <c r="AP731" s="4">
        <v>1.6</v>
      </c>
      <c r="AQ731" s="111">
        <f t="shared" si="224"/>
        <v>0.11293588866073466</v>
      </c>
      <c r="AR731">
        <f>_xlfn.XLOOKUP(F731,'RM Cost'!A:A,'RM Cost'!S:S)</f>
        <v>0</v>
      </c>
      <c r="AS731" t="str">
        <f>_xlfn.XLOOKUP(A731,[3]Sheet1!$B:$B,[3]Sheet1!$B:$B)</f>
        <v>Z016CS</v>
      </c>
      <c r="AT731">
        <f>_xlfn.XLOOKUP(H731,'Yield &amp; Time'!A:A,'Yield &amp; Time'!F:F)</f>
        <v>0</v>
      </c>
    </row>
    <row r="732" spans="1:46" x14ac:dyDescent="0.25">
      <c r="A732" s="2" t="s">
        <v>826</v>
      </c>
      <c r="B732" s="2" t="s">
        <v>656</v>
      </c>
      <c r="C732" s="2" t="s">
        <v>827</v>
      </c>
      <c r="D732" s="2" t="s">
        <v>554</v>
      </c>
      <c r="E732" s="2">
        <v>1</v>
      </c>
      <c r="F732" s="1" t="str">
        <f>VLOOKUP(H732,'RM Used'!A:B,2,0)</f>
        <v>P0008</v>
      </c>
      <c r="G732" s="1" t="str">
        <f>IFERROR(VLOOKUP(F732,'RM Cost'!A:B,2,0),"")</f>
        <v>PALE BLUE BAG 470X750MM</v>
      </c>
      <c r="H732" s="2" t="s">
        <v>1323</v>
      </c>
      <c r="I732" s="1" t="str">
        <f>VLOOKUP(F732,'RM Used'!B:D,3,0)</f>
        <v>RM-PACKING</v>
      </c>
      <c r="J732" s="66">
        <v>1</v>
      </c>
      <c r="K732" s="35" t="str">
        <f t="shared" si="210"/>
        <v/>
      </c>
      <c r="L732" s="35">
        <f t="shared" si="216"/>
        <v>0</v>
      </c>
      <c r="M732" s="77" t="str" cm="1">
        <f t="array" ref="M732">_xlfn.IFS(BOM!I732="RM-PACKING","100%",B732="Reynolds",VLOOKUP(H732,'Yield &amp; Time'!A:V,22,0),BOM!B732="Dnata",VLOOKUP(BOM!H732,'Yield &amp; Time'!A:M,13,0),B732="NK",VLOOKUP(H732,'Yield &amp; Time'!A:X,24,0))</f>
        <v>100%</v>
      </c>
      <c r="N732" s="35">
        <f t="shared" si="209"/>
        <v>1</v>
      </c>
      <c r="O732" s="1" t="str">
        <f>VLOOKUP(H732,'RM Used'!A:E,5,0)</f>
        <v>Count</v>
      </c>
      <c r="P732" s="11">
        <f>VLOOKUP(H732,'RM Used'!A:F,6,0)</f>
        <v>0.14000000000000001</v>
      </c>
      <c r="Q732" s="11">
        <f t="shared" si="225"/>
        <v>0.14000000000000001</v>
      </c>
      <c r="R732" s="11">
        <f>IFERROR(IF(B732="Reynolds",VLOOKUP(H732,'Yield &amp; Time'!A:U,21,0),VLOOKUP(H732,'Yield &amp; Time'!A:L,12,0)),0)</f>
        <v>0</v>
      </c>
      <c r="S732" s="11">
        <f t="shared" si="217"/>
        <v>0</v>
      </c>
      <c r="T732" s="11">
        <f t="shared" si="218"/>
        <v>0</v>
      </c>
      <c r="U732" s="11">
        <f>IF(A731=A732,0,VLOOKUP(A732,'Packing Time'!A:F,6,0))</f>
        <v>0</v>
      </c>
      <c r="V732" s="11">
        <f t="shared" si="211"/>
        <v>0</v>
      </c>
      <c r="W732" s="11">
        <f t="shared" si="212"/>
        <v>0</v>
      </c>
      <c r="X732" s="11">
        <f t="shared" si="219"/>
        <v>0</v>
      </c>
      <c r="Y732" s="11">
        <f t="shared" si="213"/>
        <v>0</v>
      </c>
      <c r="Z732" s="37">
        <v>1</v>
      </c>
      <c r="AA732" s="36">
        <f t="shared" si="220"/>
        <v>1</v>
      </c>
      <c r="AB732" s="36">
        <f t="shared" si="221"/>
        <v>0.14000000000000001</v>
      </c>
      <c r="AC732" s="11">
        <f t="shared" si="222"/>
        <v>0</v>
      </c>
      <c r="AD732" s="36">
        <f t="shared" si="214"/>
        <v>0</v>
      </c>
      <c r="AE732" s="36"/>
      <c r="AF732" s="36">
        <f>IFERROR(VLOOKUP(AE732,'Chemical Cost'!A:D,4,0),0)</f>
        <v>0</v>
      </c>
      <c r="AG732" s="114">
        <f t="shared" si="223"/>
        <v>0</v>
      </c>
      <c r="AH732" s="36">
        <f t="shared" si="226"/>
        <v>0</v>
      </c>
      <c r="AI732" s="36">
        <f t="shared" si="215"/>
        <v>0.14000000000000001</v>
      </c>
      <c r="AJ732" s="36">
        <f>IFERROR(VLOOKUP(A732,'All Products'!A:F,6,0),0)</f>
        <v>13.05</v>
      </c>
      <c r="AK732" s="36"/>
      <c r="AL732" s="23">
        <v>1</v>
      </c>
      <c r="AM732" s="23"/>
      <c r="AN732" s="54" t="e">
        <v>#N/A</v>
      </c>
      <c r="AO732" s="47"/>
      <c r="AP732" s="4">
        <v>1.6</v>
      </c>
      <c r="AQ732" s="111">
        <f t="shared" si="224"/>
        <v>0</v>
      </c>
      <c r="AR732">
        <f>_xlfn.XLOOKUP(F732,'RM Cost'!A:A,'RM Cost'!S:S)</f>
        <v>0</v>
      </c>
      <c r="AS732" t="str">
        <f>_xlfn.XLOOKUP(A732,[3]Sheet1!$B:$B,[3]Sheet1!$B:$B)</f>
        <v>Z016CS</v>
      </c>
      <c r="AT732" t="e">
        <f>_xlfn.XLOOKUP(H732,'Yield &amp; Time'!A:A,'Yield &amp; Time'!F:F)</f>
        <v>#N/A</v>
      </c>
    </row>
    <row r="733" spans="1:46" x14ac:dyDescent="0.25">
      <c r="A733" s="2" t="s">
        <v>235</v>
      </c>
      <c r="B733" s="2" t="s">
        <v>656</v>
      </c>
      <c r="C733" s="2" t="s">
        <v>828</v>
      </c>
      <c r="D733" s="2" t="s">
        <v>554</v>
      </c>
      <c r="E733" s="2">
        <v>2.5</v>
      </c>
      <c r="F733" s="1" t="str">
        <f>VLOOKUP(H733,'RM Used'!A:B,2,0)</f>
        <v>3867CS</v>
      </c>
      <c r="G733" s="1" t="str">
        <f>IFERROR(VLOOKUP(F733,'RM Cost'!A:B,2,0),"")</f>
        <v>RM - MUSHROOM SHITAKI 1.5KG</v>
      </c>
      <c r="H733" s="2" t="s">
        <v>1536</v>
      </c>
      <c r="I733" s="1" t="str">
        <f>VLOOKUP(F733,'RM Used'!B:D,3,0)</f>
        <v>RM-FOOD</v>
      </c>
      <c r="J733" s="66">
        <v>1</v>
      </c>
      <c r="K733" s="35">
        <f t="shared" si="210"/>
        <v>2.5</v>
      </c>
      <c r="L733" s="35">
        <f t="shared" si="216"/>
        <v>2.5</v>
      </c>
      <c r="M733" s="77" cm="1">
        <f t="array" ref="M733">_xlfn.IFS(BOM!I733="RM-PACKING","100%",B733="Reynolds",VLOOKUP(H733,'Yield &amp; Time'!A:V,22,0),BOM!B733="Dnata",VLOOKUP(BOM!H733,'Yield &amp; Time'!A:M,13,0),B733="NK",VLOOKUP(H733,'Yield &amp; Time'!A:X,24,0))</f>
        <v>0.91028037383177574</v>
      </c>
      <c r="N733" s="35">
        <f t="shared" si="209"/>
        <v>2.7464065708418892</v>
      </c>
      <c r="O733" s="1" t="str">
        <f>VLOOKUP(H733,'RM Used'!A:E,5,0)</f>
        <v>KG</v>
      </c>
      <c r="P733" s="11">
        <f>VLOOKUP(H733,'RM Used'!A:F,6,0)</f>
        <v>6.14</v>
      </c>
      <c r="Q733" s="11">
        <f t="shared" si="225"/>
        <v>16.862936344969199</v>
      </c>
      <c r="R733" s="11">
        <f>IFERROR(IF(B733="Reynolds",VLOOKUP(H733,'Yield &amp; Time'!A:U,21,0),VLOOKUP(H733,'Yield &amp; Time'!A:L,12,0)),0)</f>
        <v>3.593429158110883</v>
      </c>
      <c r="S733" s="11">
        <f t="shared" si="217"/>
        <v>3.0409394250513344</v>
      </c>
      <c r="T733" s="11">
        <f t="shared" si="218"/>
        <v>0.14972621492128679</v>
      </c>
      <c r="U733" s="11">
        <f>IF(A732=A733,0,VLOOKUP(A733,'Packing Time'!A:F,6,0))</f>
        <v>0.875</v>
      </c>
      <c r="V733" s="11">
        <f t="shared" si="211"/>
        <v>0.29618749999999999</v>
      </c>
      <c r="W733" s="11">
        <f t="shared" si="212"/>
        <v>1.4583333333333334E-2</v>
      </c>
      <c r="X733" s="11">
        <f t="shared" si="219"/>
        <v>4.1714086563141679</v>
      </c>
      <c r="Y733" s="11">
        <f t="shared" si="213"/>
        <v>4.1714086563141679</v>
      </c>
      <c r="Z733" s="37">
        <v>1</v>
      </c>
      <c r="AA733" s="36">
        <f t="shared" si="220"/>
        <v>2.7464065708418892</v>
      </c>
      <c r="AB733" s="36">
        <f t="shared" si="221"/>
        <v>16.862936344969199</v>
      </c>
      <c r="AC733" s="11">
        <f t="shared" si="222"/>
        <v>0.20538693531827518</v>
      </c>
      <c r="AD733" s="36">
        <f t="shared" si="214"/>
        <v>4.1714086563141688</v>
      </c>
      <c r="AE733" s="36"/>
      <c r="AF733" s="36">
        <f>IFERROR(VLOOKUP(AE733,'Chemical Cost'!A:D,4,0),0)</f>
        <v>0</v>
      </c>
      <c r="AG733" s="114">
        <f t="shared" si="223"/>
        <v>0</v>
      </c>
      <c r="AH733" s="36">
        <f t="shared" si="226"/>
        <v>0</v>
      </c>
      <c r="AI733" s="36">
        <f t="shared" si="215"/>
        <v>21.034345001283366</v>
      </c>
      <c r="AJ733" s="36">
        <f>IFERROR(VLOOKUP(A733,'All Products'!A:F,6,0),0)</f>
        <v>32.64</v>
      </c>
      <c r="AK733" s="36">
        <f>AJ733*Z733*J733</f>
        <v>32.64</v>
      </c>
      <c r="AL733" s="23">
        <v>1</v>
      </c>
      <c r="AM733" s="23"/>
      <c r="AN733" s="54" t="e">
        <v>#N/A</v>
      </c>
      <c r="AO733" s="47"/>
      <c r="AP733" s="4">
        <v>1.25</v>
      </c>
      <c r="AQ733" s="111">
        <f t="shared" si="224"/>
        <v>0.20538693531827518</v>
      </c>
      <c r="AR733">
        <f>_xlfn.XLOOKUP(F733,'RM Cost'!A:A,'RM Cost'!S:S)</f>
        <v>0</v>
      </c>
      <c r="AS733" t="str">
        <f>_xlfn.XLOOKUP(A733,[3]Sheet1!$B:$B,[3]Sheet1!$B:$B)</f>
        <v>Z015CS</v>
      </c>
      <c r="AT733">
        <f>_xlfn.XLOOKUP(H733,'Yield &amp; Time'!A:A,'Yield &amp; Time'!F:F)</f>
        <v>0</v>
      </c>
    </row>
    <row r="734" spans="1:46" x14ac:dyDescent="0.25">
      <c r="A734" s="2" t="s">
        <v>235</v>
      </c>
      <c r="B734" s="2" t="s">
        <v>656</v>
      </c>
      <c r="C734" s="2" t="s">
        <v>828</v>
      </c>
      <c r="D734" s="2" t="s">
        <v>554</v>
      </c>
      <c r="E734" s="2">
        <v>2.5</v>
      </c>
      <c r="F734" s="1" t="str">
        <f>VLOOKUP(H734,'RM Used'!A:B,2,0)</f>
        <v>P0008</v>
      </c>
      <c r="G734" s="1" t="str">
        <f>IFERROR(VLOOKUP(F734,'RM Cost'!A:B,2,0),"")</f>
        <v>PALE BLUE BAG 470X750MM</v>
      </c>
      <c r="H734" s="2" t="s">
        <v>1323</v>
      </c>
      <c r="I734" s="1" t="str">
        <f>VLOOKUP(F734,'RM Used'!B:D,3,0)</f>
        <v>RM-PACKING</v>
      </c>
      <c r="J734" s="66">
        <v>1</v>
      </c>
      <c r="K734" s="35" t="str">
        <f t="shared" si="210"/>
        <v/>
      </c>
      <c r="L734" s="35">
        <f t="shared" si="216"/>
        <v>0</v>
      </c>
      <c r="M734" s="77" t="str" cm="1">
        <f t="array" ref="M734">_xlfn.IFS(BOM!I734="RM-PACKING","100%",B734="Reynolds",VLOOKUP(H734,'Yield &amp; Time'!A:V,22,0),BOM!B734="Dnata",VLOOKUP(BOM!H734,'Yield &amp; Time'!A:M,13,0),B734="NK",VLOOKUP(H734,'Yield &amp; Time'!A:X,24,0))</f>
        <v>100%</v>
      </c>
      <c r="N734" s="35">
        <f t="shared" si="209"/>
        <v>1</v>
      </c>
      <c r="O734" s="1" t="str">
        <f>VLOOKUP(H734,'RM Used'!A:E,5,0)</f>
        <v>Count</v>
      </c>
      <c r="P734" s="11">
        <f>VLOOKUP(H734,'RM Used'!A:F,6,0)</f>
        <v>0.14000000000000001</v>
      </c>
      <c r="Q734" s="11">
        <f t="shared" si="225"/>
        <v>0.14000000000000001</v>
      </c>
      <c r="R734" s="11">
        <f>IFERROR(IF(B734="Reynolds",VLOOKUP(H734,'Yield &amp; Time'!A:U,21,0),VLOOKUP(H734,'Yield &amp; Time'!A:L,12,0)),0)</f>
        <v>0</v>
      </c>
      <c r="S734" s="11">
        <f t="shared" si="217"/>
        <v>0</v>
      </c>
      <c r="T734" s="11">
        <f t="shared" si="218"/>
        <v>0</v>
      </c>
      <c r="U734" s="11">
        <f>IF(A733=A734,0,VLOOKUP(A734,'Packing Time'!A:F,6,0))</f>
        <v>0</v>
      </c>
      <c r="V734" s="11">
        <f t="shared" si="211"/>
        <v>0</v>
      </c>
      <c r="W734" s="11">
        <f t="shared" si="212"/>
        <v>0</v>
      </c>
      <c r="X734" s="11">
        <f t="shared" si="219"/>
        <v>0</v>
      </c>
      <c r="Y734" s="11">
        <f t="shared" si="213"/>
        <v>0</v>
      </c>
      <c r="Z734" s="37">
        <v>1</v>
      </c>
      <c r="AA734" s="36">
        <f t="shared" si="220"/>
        <v>1</v>
      </c>
      <c r="AB734" s="36">
        <f t="shared" si="221"/>
        <v>0.14000000000000001</v>
      </c>
      <c r="AC734" s="11">
        <f t="shared" si="222"/>
        <v>0</v>
      </c>
      <c r="AD734" s="36">
        <f t="shared" si="214"/>
        <v>0</v>
      </c>
      <c r="AE734" s="36"/>
      <c r="AF734" s="36">
        <f>IFERROR(VLOOKUP(AE734,'Chemical Cost'!A:D,4,0),0)</f>
        <v>0</v>
      </c>
      <c r="AG734" s="114">
        <f t="shared" si="223"/>
        <v>0</v>
      </c>
      <c r="AH734" s="36">
        <f t="shared" si="226"/>
        <v>0</v>
      </c>
      <c r="AI734" s="36">
        <f t="shared" si="215"/>
        <v>0.14000000000000001</v>
      </c>
      <c r="AJ734" s="36">
        <f>IFERROR(VLOOKUP(A734,'All Products'!A:F,6,0),0)</f>
        <v>32.64</v>
      </c>
      <c r="AK734" s="36"/>
      <c r="AL734" s="23">
        <v>1</v>
      </c>
      <c r="AM734" s="23"/>
      <c r="AN734" s="54" t="e">
        <v>#N/A</v>
      </c>
      <c r="AO734" s="47"/>
      <c r="AP734" s="4">
        <v>1.25</v>
      </c>
      <c r="AQ734" s="111">
        <f t="shared" si="224"/>
        <v>0</v>
      </c>
      <c r="AR734">
        <f>_xlfn.XLOOKUP(F734,'RM Cost'!A:A,'RM Cost'!S:S)</f>
        <v>0</v>
      </c>
      <c r="AS734" t="str">
        <f>_xlfn.XLOOKUP(A734,[3]Sheet1!$B:$B,[3]Sheet1!$B:$B)</f>
        <v>Z015CS</v>
      </c>
      <c r="AT734" t="e">
        <f>_xlfn.XLOOKUP(H734,'Yield &amp; Time'!A:A,'Yield &amp; Time'!F:F)</f>
        <v>#N/A</v>
      </c>
    </row>
    <row r="735" spans="1:46" x14ac:dyDescent="0.25">
      <c r="A735" s="2" t="s">
        <v>829</v>
      </c>
      <c r="B735" s="2" t="s">
        <v>656</v>
      </c>
      <c r="C735" s="2" t="s">
        <v>830</v>
      </c>
      <c r="D735" s="2" t="s">
        <v>554</v>
      </c>
      <c r="E735" s="2">
        <v>1</v>
      </c>
      <c r="F735" s="1" t="str">
        <f>VLOOKUP(H735,'RM Used'!A:B,2,0)</f>
        <v>3867CS</v>
      </c>
      <c r="G735" s="1" t="str">
        <f>IFERROR(VLOOKUP(F735,'RM Cost'!A:B,2,0),"")</f>
        <v>RM - MUSHROOM SHITAKI 1.5KG</v>
      </c>
      <c r="H735" s="2" t="s">
        <v>1537</v>
      </c>
      <c r="I735" s="1" t="str">
        <f>VLOOKUP(F735,'RM Used'!B:D,3,0)</f>
        <v>RM-FOOD</v>
      </c>
      <c r="J735" s="66">
        <v>1</v>
      </c>
      <c r="K735" s="35">
        <f t="shared" si="210"/>
        <v>1</v>
      </c>
      <c r="L735" s="35">
        <f t="shared" si="216"/>
        <v>1</v>
      </c>
      <c r="M735" s="77" cm="1">
        <f t="array" ref="M735">_xlfn.IFS(BOM!I735="RM-PACKING","100%",B735="Reynolds",VLOOKUP(H735,'Yield &amp; Time'!A:V,22,0),BOM!B735="Dnata",VLOOKUP(BOM!H735,'Yield &amp; Time'!A:M,13,0),B735="NK",VLOOKUP(H735,'Yield &amp; Time'!A:X,24,0))</f>
        <v>0.91028037383177574</v>
      </c>
      <c r="N735" s="35">
        <f t="shared" ref="N735:N798" si="227">IFERROR(IF(I735="RM-FOOD",(E735*J735)/M735,1),0)</f>
        <v>1.0985626283367556</v>
      </c>
      <c r="O735" s="1" t="str">
        <f>VLOOKUP(H735,'RM Used'!A:E,5,0)</f>
        <v>KG</v>
      </c>
      <c r="P735" s="11">
        <f>VLOOKUP(H735,'RM Used'!A:F,6,0)</f>
        <v>6.14</v>
      </c>
      <c r="Q735" s="11">
        <f t="shared" si="225"/>
        <v>6.7451745379876789</v>
      </c>
      <c r="R735" s="11">
        <f>IFERROR(IF(B735="Reynolds",VLOOKUP(H735,'Yield &amp; Time'!A:U,21,0),VLOOKUP(H735,'Yield &amp; Time'!A:L,12,0)),0)</f>
        <v>3.593429158110883</v>
      </c>
      <c r="S735" s="11">
        <f t="shared" si="217"/>
        <v>1.2163757700205338</v>
      </c>
      <c r="T735" s="11">
        <f t="shared" si="218"/>
        <v>5.989048596851472E-2</v>
      </c>
      <c r="U735" s="11">
        <f>IF(A734=A735,0,VLOOKUP(A735,'Packing Time'!A:F,6,0))</f>
        <v>0.64166666666666661</v>
      </c>
      <c r="V735" s="11">
        <f t="shared" si="211"/>
        <v>0.21720416666666661</v>
      </c>
      <c r="W735" s="11">
        <f t="shared" si="212"/>
        <v>1.0694444444444444E-2</v>
      </c>
      <c r="X735" s="11">
        <f t="shared" si="219"/>
        <v>2.2937278986995207</v>
      </c>
      <c r="Y735" s="11">
        <f t="shared" si="213"/>
        <v>2.2937278986995207</v>
      </c>
      <c r="Z735" s="37">
        <v>1</v>
      </c>
      <c r="AA735" s="36">
        <f t="shared" si="220"/>
        <v>1.0985626283367556</v>
      </c>
      <c r="AB735" s="36">
        <f t="shared" si="221"/>
        <v>6.7451745379876789</v>
      </c>
      <c r="AC735" s="11">
        <f t="shared" si="222"/>
        <v>0.11293588866073466</v>
      </c>
      <c r="AD735" s="36">
        <f t="shared" si="214"/>
        <v>2.2937278986995207</v>
      </c>
      <c r="AE735" s="36"/>
      <c r="AF735" s="36">
        <f>IFERROR(VLOOKUP(AE735,'Chemical Cost'!A:D,4,0),0)</f>
        <v>0</v>
      </c>
      <c r="AG735" s="114">
        <f t="shared" si="223"/>
        <v>0</v>
      </c>
      <c r="AH735" s="36">
        <f t="shared" si="226"/>
        <v>0</v>
      </c>
      <c r="AI735" s="36">
        <f t="shared" si="215"/>
        <v>9.0389024366871986</v>
      </c>
      <c r="AJ735" s="36">
        <f>IFERROR(VLOOKUP(A735,'All Products'!A:F,6,0),0)</f>
        <v>13.05</v>
      </c>
      <c r="AK735" s="36">
        <f>AJ735*Z735*J735</f>
        <v>13.05</v>
      </c>
      <c r="AL735" s="23">
        <v>1</v>
      </c>
      <c r="AM735" s="23"/>
      <c r="AN735" s="54" t="e">
        <v>#N/A</v>
      </c>
      <c r="AO735" s="47"/>
      <c r="AP735" s="4">
        <v>1.6</v>
      </c>
      <c r="AQ735" s="111">
        <f t="shared" si="224"/>
        <v>0.11293588866073466</v>
      </c>
      <c r="AR735">
        <f>_xlfn.XLOOKUP(F735,'RM Cost'!A:A,'RM Cost'!S:S)</f>
        <v>0</v>
      </c>
      <c r="AS735" t="e">
        <f>_xlfn.XLOOKUP(A735,[3]Sheet1!$B:$B,[3]Sheet1!$B:$B)</f>
        <v>#N/A</v>
      </c>
    </row>
    <row r="736" spans="1:46" x14ac:dyDescent="0.25">
      <c r="A736" s="2" t="s">
        <v>829</v>
      </c>
      <c r="B736" s="2" t="s">
        <v>656</v>
      </c>
      <c r="C736" s="2" t="s">
        <v>830</v>
      </c>
      <c r="D736" s="2" t="s">
        <v>554</v>
      </c>
      <c r="E736" s="2">
        <v>1</v>
      </c>
      <c r="F736" s="1" t="str">
        <f>VLOOKUP(H736,'RM Used'!A:B,2,0)</f>
        <v>P0008</v>
      </c>
      <c r="G736" s="1" t="str">
        <f>IFERROR(VLOOKUP(F736,'RM Cost'!A:B,2,0),"")</f>
        <v>PALE BLUE BAG 470X750MM</v>
      </c>
      <c r="H736" s="2" t="s">
        <v>1323</v>
      </c>
      <c r="I736" s="1" t="str">
        <f>VLOOKUP(F736,'RM Used'!B:D,3,0)</f>
        <v>RM-PACKING</v>
      </c>
      <c r="J736" s="66">
        <v>1</v>
      </c>
      <c r="K736" s="35" t="str">
        <f t="shared" si="210"/>
        <v/>
      </c>
      <c r="L736" s="35">
        <f t="shared" si="216"/>
        <v>0</v>
      </c>
      <c r="M736" s="77" t="str" cm="1">
        <f t="array" ref="M736">_xlfn.IFS(BOM!I736="RM-PACKING","100%",B736="Reynolds",VLOOKUP(H736,'Yield &amp; Time'!A:V,22,0),BOM!B736="Dnata",VLOOKUP(BOM!H736,'Yield &amp; Time'!A:M,13,0),B736="NK",VLOOKUP(H736,'Yield &amp; Time'!A:X,24,0))</f>
        <v>100%</v>
      </c>
      <c r="N736" s="35">
        <f t="shared" si="227"/>
        <v>1</v>
      </c>
      <c r="O736" s="1" t="str">
        <f>VLOOKUP(H736,'RM Used'!A:E,5,0)</f>
        <v>Count</v>
      </c>
      <c r="P736" s="11">
        <f>VLOOKUP(H736,'RM Used'!A:F,6,0)</f>
        <v>0.14000000000000001</v>
      </c>
      <c r="Q736" s="11">
        <f t="shared" si="225"/>
        <v>0.14000000000000001</v>
      </c>
      <c r="R736" s="11">
        <f>IFERROR(IF(B736="Reynolds",VLOOKUP(H736,'Yield &amp; Time'!A:U,21,0),VLOOKUP(H736,'Yield &amp; Time'!A:L,12,0)),0)</f>
        <v>0</v>
      </c>
      <c r="S736" s="11">
        <f t="shared" si="217"/>
        <v>0</v>
      </c>
      <c r="T736" s="11">
        <f t="shared" si="218"/>
        <v>0</v>
      </c>
      <c r="U736" s="11">
        <f>IF(A735=A736,0,VLOOKUP(A736,'Packing Time'!A:F,6,0))</f>
        <v>0</v>
      </c>
      <c r="V736" s="11">
        <f t="shared" si="211"/>
        <v>0</v>
      </c>
      <c r="W736" s="11">
        <f t="shared" si="212"/>
        <v>0</v>
      </c>
      <c r="X736" s="11">
        <f t="shared" si="219"/>
        <v>0</v>
      </c>
      <c r="Y736" s="11">
        <f t="shared" si="213"/>
        <v>0</v>
      </c>
      <c r="Z736" s="37">
        <v>1</v>
      </c>
      <c r="AA736" s="36">
        <f t="shared" si="220"/>
        <v>1</v>
      </c>
      <c r="AB736" s="36">
        <f t="shared" si="221"/>
        <v>0.14000000000000001</v>
      </c>
      <c r="AC736" s="11">
        <f t="shared" si="222"/>
        <v>0</v>
      </c>
      <c r="AD736" s="36">
        <f t="shared" si="214"/>
        <v>0</v>
      </c>
      <c r="AE736" s="36"/>
      <c r="AF736" s="36">
        <f>IFERROR(VLOOKUP(AE736,'Chemical Cost'!A:D,4,0),0)</f>
        <v>0</v>
      </c>
      <c r="AG736" s="114">
        <f t="shared" si="223"/>
        <v>0</v>
      </c>
      <c r="AH736" s="36">
        <f t="shared" si="226"/>
        <v>0</v>
      </c>
      <c r="AI736" s="36">
        <f t="shared" si="215"/>
        <v>0.14000000000000001</v>
      </c>
      <c r="AJ736" s="36">
        <f>IFERROR(VLOOKUP(A736,'All Products'!A:F,6,0),0)</f>
        <v>13.05</v>
      </c>
      <c r="AK736" s="36"/>
      <c r="AL736" s="23">
        <v>1</v>
      </c>
      <c r="AM736" s="23"/>
      <c r="AN736" s="54" t="e">
        <v>#N/A</v>
      </c>
      <c r="AO736" s="47"/>
      <c r="AP736" s="4">
        <v>1.6</v>
      </c>
      <c r="AQ736" s="111">
        <f t="shared" si="224"/>
        <v>0</v>
      </c>
      <c r="AR736">
        <f>_xlfn.XLOOKUP(F736,'RM Cost'!A:A,'RM Cost'!S:S)</f>
        <v>0</v>
      </c>
      <c r="AS736" t="e">
        <f>_xlfn.XLOOKUP(A736,[3]Sheet1!$B:$B,[3]Sheet1!$B:$B)</f>
        <v>#N/A</v>
      </c>
    </row>
    <row r="737" spans="1:46" x14ac:dyDescent="0.25">
      <c r="A737" s="2" t="s">
        <v>831</v>
      </c>
      <c r="B737" s="2" t="s">
        <v>656</v>
      </c>
      <c r="C737" s="2" t="s">
        <v>832</v>
      </c>
      <c r="D737" s="2" t="s">
        <v>554</v>
      </c>
      <c r="E737" s="2">
        <v>2.5</v>
      </c>
      <c r="F737" s="1" t="str">
        <f>VLOOKUP(H737,'RM Used'!A:B,2,0)</f>
        <v>3867CS</v>
      </c>
      <c r="G737" s="1" t="str">
        <f>IFERROR(VLOOKUP(F737,'RM Cost'!A:B,2,0),"")</f>
        <v>RM - MUSHROOM SHITAKI 1.5KG</v>
      </c>
      <c r="H737" s="2" t="s">
        <v>1537</v>
      </c>
      <c r="I737" s="1" t="str">
        <f>VLOOKUP(F737,'RM Used'!B:D,3,0)</f>
        <v>RM-FOOD</v>
      </c>
      <c r="J737" s="66">
        <v>1</v>
      </c>
      <c r="K737" s="35">
        <f t="shared" ref="K737:K800" si="228">IF(I737="RM-FOOD",J737*E737,"")</f>
        <v>2.5</v>
      </c>
      <c r="L737" s="35">
        <f t="shared" si="216"/>
        <v>2.5</v>
      </c>
      <c r="M737" s="77" cm="1">
        <f t="array" ref="M737">_xlfn.IFS(BOM!I737="RM-PACKING","100%",B737="Reynolds",VLOOKUP(H737,'Yield &amp; Time'!A:V,22,0),BOM!B737="Dnata",VLOOKUP(BOM!H737,'Yield &amp; Time'!A:M,13,0),B737="NK",VLOOKUP(H737,'Yield &amp; Time'!A:X,24,0))</f>
        <v>0.91028037383177574</v>
      </c>
      <c r="N737" s="35">
        <f t="shared" si="227"/>
        <v>2.7464065708418892</v>
      </c>
      <c r="O737" s="1" t="str">
        <f>VLOOKUP(H737,'RM Used'!A:E,5,0)</f>
        <v>KG</v>
      </c>
      <c r="P737" s="11">
        <f>VLOOKUP(H737,'RM Used'!A:F,6,0)</f>
        <v>6.14</v>
      </c>
      <c r="Q737" s="11">
        <f t="shared" si="225"/>
        <v>16.862936344969199</v>
      </c>
      <c r="R737" s="11">
        <f>IFERROR(IF(B737="Reynolds",VLOOKUP(H737,'Yield &amp; Time'!A:U,21,0),VLOOKUP(H737,'Yield &amp; Time'!A:L,12,0)),0)</f>
        <v>3.593429158110883</v>
      </c>
      <c r="S737" s="11">
        <f t="shared" si="217"/>
        <v>3.0409394250513344</v>
      </c>
      <c r="T737" s="11">
        <f t="shared" si="218"/>
        <v>0.14972621492128679</v>
      </c>
      <c r="U737" s="11">
        <f>IF(A736=A737,0,VLOOKUP(A737,'Packing Time'!A:F,6,0))</f>
        <v>0.875</v>
      </c>
      <c r="V737" s="11">
        <f t="shared" si="211"/>
        <v>0.29618749999999999</v>
      </c>
      <c r="W737" s="11">
        <f t="shared" si="212"/>
        <v>1.4583333333333334E-2</v>
      </c>
      <c r="X737" s="11">
        <f t="shared" si="219"/>
        <v>5.3394030800821355</v>
      </c>
      <c r="Y737" s="11">
        <f t="shared" si="213"/>
        <v>5.3394030800821355</v>
      </c>
      <c r="Z737" s="37">
        <v>1</v>
      </c>
      <c r="AA737" s="36">
        <f t="shared" si="220"/>
        <v>2.7464065708418892</v>
      </c>
      <c r="AB737" s="36">
        <f t="shared" si="221"/>
        <v>16.862936344969199</v>
      </c>
      <c r="AC737" s="11">
        <f t="shared" si="222"/>
        <v>0.2628952772073922</v>
      </c>
      <c r="AD737" s="36">
        <f t="shared" si="214"/>
        <v>5.3394030800821355</v>
      </c>
      <c r="AE737" s="36"/>
      <c r="AF737" s="36">
        <f>IFERROR(VLOOKUP(AE737,'Chemical Cost'!A:D,4,0),0)</f>
        <v>0</v>
      </c>
      <c r="AG737" s="114">
        <f t="shared" si="223"/>
        <v>0</v>
      </c>
      <c r="AH737" s="36">
        <f t="shared" si="226"/>
        <v>0</v>
      </c>
      <c r="AI737" s="36">
        <f t="shared" si="215"/>
        <v>22.202339425051335</v>
      </c>
      <c r="AJ737" s="36">
        <f>IFERROR(VLOOKUP(A737,'All Products'!A:F,6,0),0)</f>
        <v>32.64</v>
      </c>
      <c r="AK737" s="36">
        <f>AJ737*Z737*J737</f>
        <v>32.64</v>
      </c>
      <c r="AL737" s="23">
        <v>1</v>
      </c>
      <c r="AM737" s="23"/>
      <c r="AN737" s="54" t="e">
        <v>#N/A</v>
      </c>
      <c r="AO737" s="47"/>
      <c r="AP737" s="4">
        <v>1.6</v>
      </c>
      <c r="AQ737" s="111">
        <f t="shared" si="224"/>
        <v>0.2628952772073922</v>
      </c>
      <c r="AR737">
        <f>_xlfn.XLOOKUP(F737,'RM Cost'!A:A,'RM Cost'!S:S)</f>
        <v>0</v>
      </c>
      <c r="AS737" t="e">
        <f>_xlfn.XLOOKUP(A737,[3]Sheet1!$B:$B,[3]Sheet1!$B:$B)</f>
        <v>#N/A</v>
      </c>
    </row>
    <row r="738" spans="1:46" x14ac:dyDescent="0.25">
      <c r="A738" s="2" t="s">
        <v>831</v>
      </c>
      <c r="B738" s="2" t="s">
        <v>656</v>
      </c>
      <c r="C738" s="2" t="s">
        <v>832</v>
      </c>
      <c r="D738" s="2" t="s">
        <v>554</v>
      </c>
      <c r="E738" s="2">
        <v>2.5</v>
      </c>
      <c r="F738" s="1" t="str">
        <f>VLOOKUP(H738,'RM Used'!A:B,2,0)</f>
        <v>P0008</v>
      </c>
      <c r="G738" s="1" t="str">
        <f>IFERROR(VLOOKUP(F738,'RM Cost'!A:B,2,0),"")</f>
        <v>PALE BLUE BAG 470X750MM</v>
      </c>
      <c r="H738" s="2" t="s">
        <v>1323</v>
      </c>
      <c r="I738" s="1" t="str">
        <f>VLOOKUP(F738,'RM Used'!B:D,3,0)</f>
        <v>RM-PACKING</v>
      </c>
      <c r="J738" s="66">
        <v>1</v>
      </c>
      <c r="K738" s="35" t="str">
        <f t="shared" si="228"/>
        <v/>
      </c>
      <c r="L738" s="35">
        <f t="shared" si="216"/>
        <v>0</v>
      </c>
      <c r="M738" s="77" t="str" cm="1">
        <f t="array" ref="M738">_xlfn.IFS(BOM!I738="RM-PACKING","100%",B738="Reynolds",VLOOKUP(H738,'Yield &amp; Time'!A:V,22,0),BOM!B738="Dnata",VLOOKUP(BOM!H738,'Yield &amp; Time'!A:M,13,0),B738="NK",VLOOKUP(H738,'Yield &amp; Time'!A:X,24,0))</f>
        <v>100%</v>
      </c>
      <c r="N738" s="35">
        <f t="shared" si="227"/>
        <v>1</v>
      </c>
      <c r="O738" s="1" t="str">
        <f>VLOOKUP(H738,'RM Used'!A:E,5,0)</f>
        <v>Count</v>
      </c>
      <c r="P738" s="11">
        <f>VLOOKUP(H738,'RM Used'!A:F,6,0)</f>
        <v>0.14000000000000001</v>
      </c>
      <c r="Q738" s="11">
        <f t="shared" si="225"/>
        <v>0.14000000000000001</v>
      </c>
      <c r="R738" s="11">
        <f>IFERROR(IF(B738="Reynolds",VLOOKUP(H738,'Yield &amp; Time'!A:U,21,0),VLOOKUP(H738,'Yield &amp; Time'!A:L,12,0)),0)</f>
        <v>0</v>
      </c>
      <c r="S738" s="11">
        <f t="shared" si="217"/>
        <v>0</v>
      </c>
      <c r="T738" s="11">
        <f t="shared" si="218"/>
        <v>0</v>
      </c>
      <c r="U738" s="11">
        <f>IF(A737=A738,0,VLOOKUP(A738,'Packing Time'!A:F,6,0))</f>
        <v>0</v>
      </c>
      <c r="V738" s="11">
        <f t="shared" ref="V738:V801" si="229">U738*AO$1</f>
        <v>0</v>
      </c>
      <c r="W738" s="11">
        <f t="shared" ref="W738:W801" si="230">(U738*Z738)/60</f>
        <v>0</v>
      </c>
      <c r="X738" s="11">
        <f t="shared" si="219"/>
        <v>0</v>
      </c>
      <c r="Y738" s="11">
        <f t="shared" ref="Y738:Y801" si="231">X738*Z738</f>
        <v>0</v>
      </c>
      <c r="Z738" s="37">
        <v>1</v>
      </c>
      <c r="AA738" s="36">
        <f t="shared" si="220"/>
        <v>1</v>
      </c>
      <c r="AB738" s="36">
        <f t="shared" si="221"/>
        <v>0.14000000000000001</v>
      </c>
      <c r="AC738" s="11">
        <f t="shared" si="222"/>
        <v>0</v>
      </c>
      <c r="AD738" s="36">
        <f t="shared" ref="AD738:AD801" si="232">AC738*60*AO$1</f>
        <v>0</v>
      </c>
      <c r="AE738" s="36"/>
      <c r="AF738" s="36">
        <f>IFERROR(VLOOKUP(AE738,'Chemical Cost'!A:D,4,0),0)</f>
        <v>0</v>
      </c>
      <c r="AG738" s="114">
        <f t="shared" si="223"/>
        <v>0</v>
      </c>
      <c r="AH738" s="36">
        <f t="shared" si="226"/>
        <v>0</v>
      </c>
      <c r="AI738" s="36">
        <f t="shared" ref="AI738:AI801" si="233">IFERROR((Q738*Z738)+(Z738*X738)+AH738,0)</f>
        <v>0.14000000000000001</v>
      </c>
      <c r="AJ738" s="36">
        <f>IFERROR(VLOOKUP(A738,'All Products'!A:F,6,0),0)</f>
        <v>32.64</v>
      </c>
      <c r="AK738" s="36"/>
      <c r="AL738" s="23">
        <v>1</v>
      </c>
      <c r="AM738" s="23"/>
      <c r="AN738" s="54" t="e">
        <v>#N/A</v>
      </c>
      <c r="AO738" s="47"/>
      <c r="AP738" s="4">
        <v>1.6</v>
      </c>
      <c r="AQ738" s="111">
        <f t="shared" si="224"/>
        <v>0</v>
      </c>
      <c r="AR738">
        <f>_xlfn.XLOOKUP(F738,'RM Cost'!A:A,'RM Cost'!S:S)</f>
        <v>0</v>
      </c>
      <c r="AS738" t="e">
        <f>_xlfn.XLOOKUP(A738,[3]Sheet1!$B:$B,[3]Sheet1!$B:$B)</f>
        <v>#N/A</v>
      </c>
    </row>
    <row r="739" spans="1:46" x14ac:dyDescent="0.25">
      <c r="A739" s="2" t="s">
        <v>833</v>
      </c>
      <c r="B739" s="2" t="s">
        <v>656</v>
      </c>
      <c r="C739" s="2" t="s">
        <v>834</v>
      </c>
      <c r="D739" s="2" t="s">
        <v>554</v>
      </c>
      <c r="E739" s="2">
        <v>1</v>
      </c>
      <c r="F739" s="1" t="str">
        <f>VLOOKUP(H739,'RM Used'!A:B,2,0)</f>
        <v>3867CS</v>
      </c>
      <c r="G739" s="1" t="str">
        <f>IFERROR(VLOOKUP(F739,'RM Cost'!A:B,2,0),"")</f>
        <v>RM - MUSHROOM SHITAKI 1.5KG</v>
      </c>
      <c r="H739" s="2" t="s">
        <v>1538</v>
      </c>
      <c r="I739" s="1" t="str">
        <f>VLOOKUP(F739,'RM Used'!B:D,3,0)</f>
        <v>RM-FOOD</v>
      </c>
      <c r="J739" s="66">
        <v>1</v>
      </c>
      <c r="K739" s="35">
        <f t="shared" si="228"/>
        <v>1</v>
      </c>
      <c r="L739" s="35">
        <f t="shared" si="216"/>
        <v>1</v>
      </c>
      <c r="M739" s="77" cm="1">
        <f t="array" ref="M739">_xlfn.IFS(BOM!I739="RM-PACKING","100%",B739="Reynolds",VLOOKUP(H739,'Yield &amp; Time'!A:V,22,0),BOM!B739="Dnata",VLOOKUP(BOM!H739,'Yield &amp; Time'!A:M,13,0),B739="NK",VLOOKUP(H739,'Yield &amp; Time'!A:X,24,0))</f>
        <v>0.91028037383177574</v>
      </c>
      <c r="N739" s="35">
        <f t="shared" si="227"/>
        <v>1.0985626283367556</v>
      </c>
      <c r="O739" s="1" t="str">
        <f>VLOOKUP(H739,'RM Used'!A:E,5,0)</f>
        <v>KG</v>
      </c>
      <c r="P739" s="11">
        <f>VLOOKUP(H739,'RM Used'!A:F,6,0)</f>
        <v>6.14</v>
      </c>
      <c r="Q739" s="11">
        <f t="shared" si="225"/>
        <v>6.7451745379876789</v>
      </c>
      <c r="R739" s="11">
        <f>IFERROR(IF(B739="Reynolds",VLOOKUP(H739,'Yield &amp; Time'!A:U,21,0),VLOOKUP(H739,'Yield &amp; Time'!A:L,12,0)),0)</f>
        <v>3.593429158110883</v>
      </c>
      <c r="S739" s="11">
        <f t="shared" si="217"/>
        <v>1.2163757700205338</v>
      </c>
      <c r="T739" s="11">
        <f t="shared" si="218"/>
        <v>5.989048596851472E-2</v>
      </c>
      <c r="U739" s="11">
        <f>IF(A738=A739,0,VLOOKUP(A739,'Packing Time'!A:F,6,0))</f>
        <v>0.64166666666666661</v>
      </c>
      <c r="V739" s="11">
        <f t="shared" si="229"/>
        <v>0.21720416666666661</v>
      </c>
      <c r="W739" s="11">
        <f t="shared" si="230"/>
        <v>1.0694444444444444E-2</v>
      </c>
      <c r="X739" s="11">
        <f t="shared" si="219"/>
        <v>2.2937278986995207</v>
      </c>
      <c r="Y739" s="11">
        <f t="shared" si="231"/>
        <v>2.2937278986995207</v>
      </c>
      <c r="Z739" s="37">
        <v>1</v>
      </c>
      <c r="AA739" s="36">
        <f t="shared" si="220"/>
        <v>1.0985626283367556</v>
      </c>
      <c r="AB739" s="36">
        <f t="shared" si="221"/>
        <v>6.7451745379876789</v>
      </c>
      <c r="AC739" s="11">
        <f t="shared" si="222"/>
        <v>0.11293588866073466</v>
      </c>
      <c r="AD739" s="36">
        <f t="shared" si="232"/>
        <v>2.2937278986995207</v>
      </c>
      <c r="AE739" s="36"/>
      <c r="AF739" s="36">
        <f>IFERROR(VLOOKUP(AE739,'Chemical Cost'!A:D,4,0),0)</f>
        <v>0</v>
      </c>
      <c r="AG739" s="114">
        <f t="shared" si="223"/>
        <v>0</v>
      </c>
      <c r="AH739" s="36">
        <f t="shared" si="226"/>
        <v>0</v>
      </c>
      <c r="AI739" s="36">
        <f t="shared" si="233"/>
        <v>9.0389024366871986</v>
      </c>
      <c r="AJ739" s="36">
        <f>IFERROR(VLOOKUP(A739,'All Products'!A:F,6,0),0)</f>
        <v>33.049999999999997</v>
      </c>
      <c r="AK739" s="36">
        <f>AJ739*Z739*J739</f>
        <v>33.049999999999997</v>
      </c>
      <c r="AL739" s="23">
        <v>1</v>
      </c>
      <c r="AM739" s="23"/>
      <c r="AN739" s="54" t="e">
        <v>#N/A</v>
      </c>
      <c r="AO739" s="47"/>
      <c r="AP739" s="4">
        <v>1.6</v>
      </c>
      <c r="AQ739" s="111">
        <f t="shared" si="224"/>
        <v>0.11293588866073466</v>
      </c>
      <c r="AR739">
        <f>_xlfn.XLOOKUP(F739,'RM Cost'!A:A,'RM Cost'!S:S)</f>
        <v>0</v>
      </c>
      <c r="AS739" t="str">
        <f>_xlfn.XLOOKUP(A739,[3]Sheet1!$B:$B,[3]Sheet1!$B:$B)</f>
        <v>Z387CS</v>
      </c>
      <c r="AT739">
        <f>_xlfn.XLOOKUP(H739,'Yield &amp; Time'!A:A,'Yield &amp; Time'!F:F)</f>
        <v>0</v>
      </c>
    </row>
    <row r="740" spans="1:46" x14ac:dyDescent="0.25">
      <c r="A740" s="2" t="s">
        <v>833</v>
      </c>
      <c r="B740" s="2" t="s">
        <v>656</v>
      </c>
      <c r="C740" s="2" t="s">
        <v>834</v>
      </c>
      <c r="D740" s="2" t="s">
        <v>554</v>
      </c>
      <c r="E740" s="2">
        <v>1</v>
      </c>
      <c r="F740" s="1" t="str">
        <f>VLOOKUP(H740,'RM Used'!A:B,2,0)</f>
        <v>P0008</v>
      </c>
      <c r="G740" s="1" t="str">
        <f>IFERROR(VLOOKUP(F740,'RM Cost'!A:B,2,0),"")</f>
        <v>PALE BLUE BAG 470X750MM</v>
      </c>
      <c r="H740" s="2" t="s">
        <v>1323</v>
      </c>
      <c r="I740" s="1" t="str">
        <f>VLOOKUP(F740,'RM Used'!B:D,3,0)</f>
        <v>RM-PACKING</v>
      </c>
      <c r="J740" s="66">
        <v>1</v>
      </c>
      <c r="K740" s="35" t="str">
        <f t="shared" si="228"/>
        <v/>
      </c>
      <c r="L740" s="35">
        <f t="shared" si="216"/>
        <v>0</v>
      </c>
      <c r="M740" s="77" t="str" cm="1">
        <f t="array" ref="M740">_xlfn.IFS(BOM!I740="RM-PACKING","100%",B740="Reynolds",VLOOKUP(H740,'Yield &amp; Time'!A:V,22,0),BOM!B740="Dnata",VLOOKUP(BOM!H740,'Yield &amp; Time'!A:M,13,0),B740="NK",VLOOKUP(H740,'Yield &amp; Time'!A:X,24,0))</f>
        <v>100%</v>
      </c>
      <c r="N740" s="35">
        <f t="shared" si="227"/>
        <v>1</v>
      </c>
      <c r="O740" s="1" t="str">
        <f>VLOOKUP(H740,'RM Used'!A:E,5,0)</f>
        <v>Count</v>
      </c>
      <c r="P740" s="11">
        <f>VLOOKUP(H740,'RM Used'!A:F,6,0)</f>
        <v>0.14000000000000001</v>
      </c>
      <c r="Q740" s="11">
        <f t="shared" si="225"/>
        <v>0.14000000000000001</v>
      </c>
      <c r="R740" s="11">
        <f>IFERROR(IF(B740="Reynolds",VLOOKUP(H740,'Yield &amp; Time'!A:U,21,0),VLOOKUP(H740,'Yield &amp; Time'!A:L,12,0)),0)</f>
        <v>0</v>
      </c>
      <c r="S740" s="11">
        <f t="shared" si="217"/>
        <v>0</v>
      </c>
      <c r="T740" s="11">
        <f t="shared" si="218"/>
        <v>0</v>
      </c>
      <c r="U740" s="11">
        <f>IF(A739=A740,0,VLOOKUP(A740,'Packing Time'!A:F,6,0))</f>
        <v>0</v>
      </c>
      <c r="V740" s="11">
        <f t="shared" si="229"/>
        <v>0</v>
      </c>
      <c r="W740" s="11">
        <f t="shared" si="230"/>
        <v>0</v>
      </c>
      <c r="X740" s="11">
        <f t="shared" si="219"/>
        <v>0</v>
      </c>
      <c r="Y740" s="11">
        <f t="shared" si="231"/>
        <v>0</v>
      </c>
      <c r="Z740" s="37">
        <v>1</v>
      </c>
      <c r="AA740" s="36">
        <f t="shared" si="220"/>
        <v>1</v>
      </c>
      <c r="AB740" s="36">
        <f t="shared" si="221"/>
        <v>0.14000000000000001</v>
      </c>
      <c r="AC740" s="11">
        <f t="shared" si="222"/>
        <v>0</v>
      </c>
      <c r="AD740" s="36">
        <f t="shared" si="232"/>
        <v>0</v>
      </c>
      <c r="AE740" s="36"/>
      <c r="AF740" s="36">
        <f>IFERROR(VLOOKUP(AE740,'Chemical Cost'!A:D,4,0),0)</f>
        <v>0</v>
      </c>
      <c r="AG740" s="114">
        <f t="shared" si="223"/>
        <v>0</v>
      </c>
      <c r="AH740" s="36">
        <f t="shared" si="226"/>
        <v>0</v>
      </c>
      <c r="AI740" s="36">
        <f t="shared" si="233"/>
        <v>0.14000000000000001</v>
      </c>
      <c r="AJ740" s="36">
        <f>IFERROR(VLOOKUP(A740,'All Products'!A:F,6,0),0)</f>
        <v>33.049999999999997</v>
      </c>
      <c r="AK740" s="36"/>
      <c r="AL740" s="23">
        <v>1</v>
      </c>
      <c r="AM740" s="23"/>
      <c r="AN740" s="54" t="e">
        <v>#N/A</v>
      </c>
      <c r="AO740" s="47"/>
      <c r="AP740" s="4">
        <v>1.6</v>
      </c>
      <c r="AQ740" s="111">
        <f t="shared" si="224"/>
        <v>0</v>
      </c>
      <c r="AR740">
        <f>_xlfn.XLOOKUP(F740,'RM Cost'!A:A,'RM Cost'!S:S)</f>
        <v>0</v>
      </c>
      <c r="AS740" t="str">
        <f>_xlfn.XLOOKUP(A740,[3]Sheet1!$B:$B,[3]Sheet1!$B:$B)</f>
        <v>Z387CS</v>
      </c>
      <c r="AT740" t="e">
        <f>_xlfn.XLOOKUP(H740,'Yield &amp; Time'!A:A,'Yield &amp; Time'!F:F)</f>
        <v>#N/A</v>
      </c>
    </row>
    <row r="741" spans="1:46" x14ac:dyDescent="0.25">
      <c r="A741" s="2" t="s">
        <v>835</v>
      </c>
      <c r="B741" s="2" t="s">
        <v>656</v>
      </c>
      <c r="C741" s="2" t="s">
        <v>836</v>
      </c>
      <c r="D741" s="2" t="s">
        <v>554</v>
      </c>
      <c r="E741" s="2">
        <v>2.5</v>
      </c>
      <c r="F741" s="1" t="str">
        <f>VLOOKUP(H741,'RM Used'!A:B,2,0)</f>
        <v>3867CS</v>
      </c>
      <c r="G741" s="1" t="str">
        <f>IFERROR(VLOOKUP(F741,'RM Cost'!A:B,2,0),"")</f>
        <v>RM - MUSHROOM SHITAKI 1.5KG</v>
      </c>
      <c r="H741" s="2" t="s">
        <v>1538</v>
      </c>
      <c r="I741" s="1" t="str">
        <f>VLOOKUP(F741,'RM Used'!B:D,3,0)</f>
        <v>RM-FOOD</v>
      </c>
      <c r="J741" s="66">
        <v>1</v>
      </c>
      <c r="K741" s="35">
        <f t="shared" si="228"/>
        <v>2.5</v>
      </c>
      <c r="L741" s="35">
        <f t="shared" si="216"/>
        <v>2.5</v>
      </c>
      <c r="M741" s="77" cm="1">
        <f t="array" ref="M741">_xlfn.IFS(BOM!I741="RM-PACKING","100%",B741="Reynolds",VLOOKUP(H741,'Yield &amp; Time'!A:V,22,0),BOM!B741="Dnata",VLOOKUP(BOM!H741,'Yield &amp; Time'!A:M,13,0),B741="NK",VLOOKUP(H741,'Yield &amp; Time'!A:X,24,0))</f>
        <v>0.91028037383177574</v>
      </c>
      <c r="N741" s="35">
        <f t="shared" si="227"/>
        <v>2.7464065708418892</v>
      </c>
      <c r="O741" s="1" t="str">
        <f>VLOOKUP(H741,'RM Used'!A:E,5,0)</f>
        <v>KG</v>
      </c>
      <c r="P741" s="11">
        <f>VLOOKUP(H741,'RM Used'!A:F,6,0)</f>
        <v>6.14</v>
      </c>
      <c r="Q741" s="11">
        <f t="shared" si="225"/>
        <v>16.862936344969199</v>
      </c>
      <c r="R741" s="11">
        <f>IFERROR(IF(B741="Reynolds",VLOOKUP(H741,'Yield &amp; Time'!A:U,21,0),VLOOKUP(H741,'Yield &amp; Time'!A:L,12,0)),0)</f>
        <v>3.593429158110883</v>
      </c>
      <c r="S741" s="11">
        <f t="shared" si="217"/>
        <v>3.0409394250513344</v>
      </c>
      <c r="T741" s="11">
        <f t="shared" si="218"/>
        <v>0.14972621492128679</v>
      </c>
      <c r="U741" s="11">
        <f>IF(A740=A741,0,VLOOKUP(A741,'Packing Time'!A:F,6,0))</f>
        <v>0.875</v>
      </c>
      <c r="V741" s="11">
        <f t="shared" si="229"/>
        <v>0.29618749999999999</v>
      </c>
      <c r="W741" s="11">
        <f t="shared" si="230"/>
        <v>1.4583333333333334E-2</v>
      </c>
      <c r="X741" s="11">
        <f t="shared" si="219"/>
        <v>5.3394030800821355</v>
      </c>
      <c r="Y741" s="11">
        <f t="shared" si="231"/>
        <v>5.3394030800821355</v>
      </c>
      <c r="Z741" s="37">
        <v>1</v>
      </c>
      <c r="AA741" s="36">
        <f t="shared" si="220"/>
        <v>2.7464065708418892</v>
      </c>
      <c r="AB741" s="36">
        <f t="shared" si="221"/>
        <v>16.862936344969199</v>
      </c>
      <c r="AC741" s="11">
        <f t="shared" si="222"/>
        <v>0.2628952772073922</v>
      </c>
      <c r="AD741" s="36">
        <f t="shared" si="232"/>
        <v>5.3394030800821355</v>
      </c>
      <c r="AE741" s="36"/>
      <c r="AF741" s="36">
        <f>IFERROR(VLOOKUP(AE741,'Chemical Cost'!A:D,4,0),0)</f>
        <v>0</v>
      </c>
      <c r="AG741" s="114">
        <f t="shared" si="223"/>
        <v>0</v>
      </c>
      <c r="AH741" s="36">
        <f t="shared" si="226"/>
        <v>0</v>
      </c>
      <c r="AI741" s="36">
        <f t="shared" si="233"/>
        <v>22.202339425051335</v>
      </c>
      <c r="AJ741" s="36">
        <f>IFERROR(VLOOKUP(A741,'All Products'!A:F,6,0),0)</f>
        <v>23.98</v>
      </c>
      <c r="AK741" s="36">
        <f>AJ741*Z741*J741</f>
        <v>23.98</v>
      </c>
      <c r="AL741" s="23">
        <v>1</v>
      </c>
      <c r="AM741" s="23"/>
      <c r="AN741" s="54" t="e">
        <v>#N/A</v>
      </c>
      <c r="AO741" s="47"/>
      <c r="AP741" s="4">
        <v>1.6</v>
      </c>
      <c r="AQ741" s="111">
        <f t="shared" si="224"/>
        <v>0.2628952772073922</v>
      </c>
      <c r="AR741">
        <f>_xlfn.XLOOKUP(F741,'RM Cost'!A:A,'RM Cost'!S:S)</f>
        <v>0</v>
      </c>
      <c r="AS741" t="e">
        <f>_xlfn.XLOOKUP(A741,[3]Sheet1!$B:$B,[3]Sheet1!$B:$B)</f>
        <v>#N/A</v>
      </c>
    </row>
    <row r="742" spans="1:46" x14ac:dyDescent="0.25">
      <c r="A742" s="2" t="s">
        <v>835</v>
      </c>
      <c r="B742" s="2" t="s">
        <v>656</v>
      </c>
      <c r="C742" s="2" t="s">
        <v>836</v>
      </c>
      <c r="D742" s="2" t="s">
        <v>554</v>
      </c>
      <c r="E742" s="2">
        <v>2.5</v>
      </c>
      <c r="F742" s="1" t="str">
        <f>VLOOKUP(H742,'RM Used'!A:B,2,0)</f>
        <v>P0008</v>
      </c>
      <c r="G742" s="1" t="str">
        <f>IFERROR(VLOOKUP(F742,'RM Cost'!A:B,2,0),"")</f>
        <v>PALE BLUE BAG 470X750MM</v>
      </c>
      <c r="H742" s="2" t="s">
        <v>1323</v>
      </c>
      <c r="I742" s="1" t="str">
        <f>VLOOKUP(F742,'RM Used'!B:D,3,0)</f>
        <v>RM-PACKING</v>
      </c>
      <c r="J742" s="66">
        <v>1</v>
      </c>
      <c r="K742" s="35" t="str">
        <f t="shared" si="228"/>
        <v/>
      </c>
      <c r="L742" s="35">
        <f t="shared" si="216"/>
        <v>0</v>
      </c>
      <c r="M742" s="77" t="str" cm="1">
        <f t="array" ref="M742">_xlfn.IFS(BOM!I742="RM-PACKING","100%",B742="Reynolds",VLOOKUP(H742,'Yield &amp; Time'!A:V,22,0),BOM!B742="Dnata",VLOOKUP(BOM!H742,'Yield &amp; Time'!A:M,13,0),B742="NK",VLOOKUP(H742,'Yield &amp; Time'!A:X,24,0))</f>
        <v>100%</v>
      </c>
      <c r="N742" s="35">
        <f t="shared" si="227"/>
        <v>1</v>
      </c>
      <c r="O742" s="1" t="str">
        <f>VLOOKUP(H742,'RM Used'!A:E,5,0)</f>
        <v>Count</v>
      </c>
      <c r="P742" s="11">
        <f>VLOOKUP(H742,'RM Used'!A:F,6,0)</f>
        <v>0.14000000000000001</v>
      </c>
      <c r="Q742" s="11">
        <f t="shared" si="225"/>
        <v>0.14000000000000001</v>
      </c>
      <c r="R742" s="11">
        <f>IFERROR(IF(B742="Reynolds",VLOOKUP(H742,'Yield &amp; Time'!A:U,21,0),VLOOKUP(H742,'Yield &amp; Time'!A:L,12,0)),0)</f>
        <v>0</v>
      </c>
      <c r="S742" s="11">
        <f t="shared" si="217"/>
        <v>0</v>
      </c>
      <c r="T742" s="11">
        <f t="shared" si="218"/>
        <v>0</v>
      </c>
      <c r="U742" s="11">
        <f>IF(A741=A742,0,VLOOKUP(A742,'Packing Time'!A:F,6,0))</f>
        <v>0</v>
      </c>
      <c r="V742" s="11">
        <f t="shared" si="229"/>
        <v>0</v>
      </c>
      <c r="W742" s="11">
        <f t="shared" si="230"/>
        <v>0</v>
      </c>
      <c r="X742" s="11">
        <f t="shared" si="219"/>
        <v>0</v>
      </c>
      <c r="Y742" s="11">
        <f t="shared" si="231"/>
        <v>0</v>
      </c>
      <c r="Z742" s="37">
        <v>1</v>
      </c>
      <c r="AA742" s="36">
        <f t="shared" si="220"/>
        <v>1</v>
      </c>
      <c r="AB742" s="36">
        <f t="shared" si="221"/>
        <v>0.14000000000000001</v>
      </c>
      <c r="AC742" s="11">
        <f t="shared" si="222"/>
        <v>0</v>
      </c>
      <c r="AD742" s="36">
        <f t="shared" si="232"/>
        <v>0</v>
      </c>
      <c r="AE742" s="36"/>
      <c r="AF742" s="36">
        <f>IFERROR(VLOOKUP(AE742,'Chemical Cost'!A:D,4,0),0)</f>
        <v>0</v>
      </c>
      <c r="AG742" s="114">
        <f t="shared" si="223"/>
        <v>0</v>
      </c>
      <c r="AH742" s="36">
        <f t="shared" si="226"/>
        <v>0</v>
      </c>
      <c r="AI742" s="36">
        <f t="shared" si="233"/>
        <v>0.14000000000000001</v>
      </c>
      <c r="AJ742" s="36">
        <f>IFERROR(VLOOKUP(A742,'All Products'!A:F,6,0),0)</f>
        <v>23.98</v>
      </c>
      <c r="AK742" s="36"/>
      <c r="AL742" s="23">
        <v>1</v>
      </c>
      <c r="AM742" s="23"/>
      <c r="AN742" s="54" t="e">
        <v>#N/A</v>
      </c>
      <c r="AO742" s="47"/>
      <c r="AP742" s="4">
        <v>1.6</v>
      </c>
      <c r="AQ742" s="111">
        <f t="shared" si="224"/>
        <v>0</v>
      </c>
      <c r="AR742">
        <f>_xlfn.XLOOKUP(F742,'RM Cost'!A:A,'RM Cost'!S:S)</f>
        <v>0</v>
      </c>
      <c r="AS742" t="e">
        <f>_xlfn.XLOOKUP(A742,[3]Sheet1!$B:$B,[3]Sheet1!$B:$B)</f>
        <v>#N/A</v>
      </c>
    </row>
    <row r="743" spans="1:46" x14ac:dyDescent="0.25">
      <c r="A743" s="2" t="s">
        <v>219</v>
      </c>
      <c r="B743" s="2" t="s">
        <v>656</v>
      </c>
      <c r="C743" s="2" t="s">
        <v>220</v>
      </c>
      <c r="D743" s="2" t="s">
        <v>554</v>
      </c>
      <c r="E743" s="2">
        <v>1</v>
      </c>
      <c r="F743" s="1" t="str">
        <f>VLOOKUP(H743,'RM Used'!A:B,2,0)</f>
        <v>206ACS</v>
      </c>
      <c r="G743" s="1" t="str">
        <f>IFERROR(VLOOKUP(F743,'RM Cost'!A:B,2,0),"")</f>
        <v>RM - PREP ONION WHOLE 10KG</v>
      </c>
      <c r="H743" s="2" t="s">
        <v>1367</v>
      </c>
      <c r="I743" s="1" t="str">
        <f>VLOOKUP(F743,'RM Used'!B:D,3,0)</f>
        <v>RM-FOOD</v>
      </c>
      <c r="J743" s="66">
        <v>1</v>
      </c>
      <c r="K743" s="35">
        <f t="shared" si="228"/>
        <v>1</v>
      </c>
      <c r="L743" s="35">
        <f t="shared" si="216"/>
        <v>1</v>
      </c>
      <c r="M743" s="77" cm="1">
        <f t="array" ref="M743">_xlfn.IFS(BOM!I743="RM-PACKING","100%",B743="Reynolds",VLOOKUP(H743,'Yield &amp; Time'!A:V,22,0),BOM!B743="Dnata",VLOOKUP(BOM!H743,'Yield &amp; Time'!A:M,13,0),B743="NK",VLOOKUP(H743,'Yield &amp; Time'!A:X,24,0))</f>
        <v>0.88753619980447496</v>
      </c>
      <c r="N743" s="35">
        <f t="shared" si="227"/>
        <v>1.1267146063679441</v>
      </c>
      <c r="O743" s="1" t="str">
        <f>VLOOKUP(H743,'RM Used'!A:E,5,0)</f>
        <v>KG</v>
      </c>
      <c r="P743" s="11">
        <f>VLOOKUP(H743,'RM Used'!A:F,6,0)</f>
        <v>0.87</v>
      </c>
      <c r="Q743" s="11">
        <f t="shared" si="225"/>
        <v>0.98024170754011131</v>
      </c>
      <c r="R743" s="11">
        <f>IFERROR(IF(B743="Reynolds",VLOOKUP(H743,'Yield &amp; Time'!A:U,21,0),VLOOKUP(H743,'Yield &amp; Time'!A:L,12,0)),0)</f>
        <v>0.54782608695652169</v>
      </c>
      <c r="S743" s="11">
        <f t="shared" si="217"/>
        <v>0.18543913043478258</v>
      </c>
      <c r="T743" s="11">
        <f t="shared" si="218"/>
        <v>9.1304347826086946E-3</v>
      </c>
      <c r="U743" s="11">
        <f>IF(A742=A743,0,VLOOKUP(A743,'Packing Time'!A:F,6,0))</f>
        <v>0.64166666666666661</v>
      </c>
      <c r="V743" s="11">
        <f t="shared" si="229"/>
        <v>0.21720416666666661</v>
      </c>
      <c r="W743" s="11">
        <f t="shared" si="230"/>
        <v>1.0694444444444444E-2</v>
      </c>
      <c r="X743" s="11">
        <f t="shared" si="219"/>
        <v>0.5637006159420288</v>
      </c>
      <c r="Y743" s="11">
        <f t="shared" si="231"/>
        <v>0.5637006159420288</v>
      </c>
      <c r="Z743" s="37">
        <v>1</v>
      </c>
      <c r="AA743" s="36">
        <f t="shared" si="220"/>
        <v>1.1267146063679441</v>
      </c>
      <c r="AB743" s="36">
        <f t="shared" si="221"/>
        <v>0.98024170754011131</v>
      </c>
      <c r="AC743" s="11">
        <f t="shared" si="222"/>
        <v>2.7754830917874389E-2</v>
      </c>
      <c r="AD743" s="36">
        <f t="shared" si="232"/>
        <v>0.5637006159420288</v>
      </c>
      <c r="AE743" s="36" t="str">
        <f>VLOOKUP(H743,'Yield &amp; Time'!A:I,9,0)</f>
        <v>CHLORINE</v>
      </c>
      <c r="AF743" s="36">
        <f>IFERROR(VLOOKUP(AE743,'Chemical Cost'!A:D,4,0),0)</f>
        <v>2.7756518066439469E-2</v>
      </c>
      <c r="AG743" s="114">
        <f t="shared" si="223"/>
        <v>1.0424558109124358E-2</v>
      </c>
      <c r="AH743" s="36">
        <f t="shared" si="226"/>
        <v>1.0424558109124358E-2</v>
      </c>
      <c r="AI743" s="36">
        <f t="shared" si="233"/>
        <v>1.5543668815912646</v>
      </c>
      <c r="AJ743" s="36">
        <f>IFERROR(VLOOKUP(A743,'All Products'!A:F,6,0),0)</f>
        <v>1.7</v>
      </c>
      <c r="AK743" s="36">
        <f>AJ743*Z743*J743</f>
        <v>1.7</v>
      </c>
      <c r="AL743" s="23">
        <v>1</v>
      </c>
      <c r="AM743" s="23"/>
      <c r="AN743" s="54" t="e">
        <v>#N/A</v>
      </c>
      <c r="AO743" s="47"/>
      <c r="AP743" s="4">
        <v>1.4</v>
      </c>
      <c r="AQ743" s="111">
        <f t="shared" si="224"/>
        <v>2.7754830917874389E-2</v>
      </c>
      <c r="AR743">
        <f>_xlfn.XLOOKUP(F743,'RM Cost'!A:A,'RM Cost'!S:S)</f>
        <v>0</v>
      </c>
      <c r="AS743" t="str">
        <f>_xlfn.XLOOKUP(A743,[3]Sheet1!$B:$B,[3]Sheet1!$B:$B)</f>
        <v>Z060CS</v>
      </c>
      <c r="AT743" t="str">
        <f>_xlfn.XLOOKUP(H743,'Yield &amp; Time'!A:A,'Yield &amp; Time'!F:F)</f>
        <v>Yes</v>
      </c>
    </row>
    <row r="744" spans="1:46" x14ac:dyDescent="0.25">
      <c r="A744" s="2" t="s">
        <v>219</v>
      </c>
      <c r="B744" s="2" t="s">
        <v>656</v>
      </c>
      <c r="C744" s="2" t="s">
        <v>220</v>
      </c>
      <c r="D744" s="2" t="s">
        <v>554</v>
      </c>
      <c r="E744" s="2">
        <v>1</v>
      </c>
      <c r="F744" s="1" t="str">
        <f>VLOOKUP(H744,'RM Used'!A:B,2,0)</f>
        <v>P0008</v>
      </c>
      <c r="G744" s="1" t="str">
        <f>IFERROR(VLOOKUP(F744,'RM Cost'!A:B,2,0),"")</f>
        <v>PALE BLUE BAG 470X750MM</v>
      </c>
      <c r="H744" s="2" t="s">
        <v>1323</v>
      </c>
      <c r="I744" s="1" t="str">
        <f>VLOOKUP(F744,'RM Used'!B:D,3,0)</f>
        <v>RM-PACKING</v>
      </c>
      <c r="J744" s="66">
        <v>1</v>
      </c>
      <c r="K744" s="35" t="str">
        <f t="shared" si="228"/>
        <v/>
      </c>
      <c r="L744" s="35">
        <f t="shared" si="216"/>
        <v>0</v>
      </c>
      <c r="M744" s="77" t="str" cm="1">
        <f t="array" ref="M744">_xlfn.IFS(BOM!I744="RM-PACKING","100%",B744="Reynolds",VLOOKUP(H744,'Yield &amp; Time'!A:V,22,0),BOM!B744="Dnata",VLOOKUP(BOM!H744,'Yield &amp; Time'!A:M,13,0),B744="NK",VLOOKUP(H744,'Yield &amp; Time'!A:X,24,0))</f>
        <v>100%</v>
      </c>
      <c r="N744" s="35">
        <f t="shared" si="227"/>
        <v>1</v>
      </c>
      <c r="O744" s="1" t="str">
        <f>VLOOKUP(H744,'RM Used'!A:E,5,0)</f>
        <v>Count</v>
      </c>
      <c r="P744" s="11">
        <f>VLOOKUP(H744,'RM Used'!A:F,6,0)</f>
        <v>0.14000000000000001</v>
      </c>
      <c r="Q744" s="11">
        <f t="shared" si="225"/>
        <v>0.14000000000000001</v>
      </c>
      <c r="R744" s="11">
        <f>IFERROR(IF(B744="Reynolds",VLOOKUP(H744,'Yield &amp; Time'!A:U,21,0),VLOOKUP(H744,'Yield &amp; Time'!A:L,12,0)),0)</f>
        <v>0</v>
      </c>
      <c r="S744" s="11">
        <f t="shared" si="217"/>
        <v>0</v>
      </c>
      <c r="T744" s="11">
        <f t="shared" si="218"/>
        <v>0</v>
      </c>
      <c r="U744" s="11">
        <f>IF(A743=A744,0,VLOOKUP(A744,'Packing Time'!A:F,6,0))</f>
        <v>0</v>
      </c>
      <c r="V744" s="11">
        <f t="shared" si="229"/>
        <v>0</v>
      </c>
      <c r="W744" s="11">
        <f t="shared" si="230"/>
        <v>0</v>
      </c>
      <c r="X744" s="11">
        <f t="shared" si="219"/>
        <v>0</v>
      </c>
      <c r="Y744" s="11">
        <f t="shared" si="231"/>
        <v>0</v>
      </c>
      <c r="Z744" s="37">
        <v>1</v>
      </c>
      <c r="AA744" s="36">
        <f t="shared" si="220"/>
        <v>1</v>
      </c>
      <c r="AB744" s="36">
        <f t="shared" si="221"/>
        <v>0.14000000000000001</v>
      </c>
      <c r="AC744" s="11">
        <f t="shared" si="222"/>
        <v>0</v>
      </c>
      <c r="AD744" s="36">
        <f t="shared" si="232"/>
        <v>0</v>
      </c>
      <c r="AE744" s="36"/>
      <c r="AF744" s="36">
        <f>IFERROR(VLOOKUP(AE744,'Chemical Cost'!A:D,4,0),0)</f>
        <v>0</v>
      </c>
      <c r="AG744" s="114">
        <f t="shared" si="223"/>
        <v>0</v>
      </c>
      <c r="AH744" s="36">
        <f t="shared" si="226"/>
        <v>0</v>
      </c>
      <c r="AI744" s="36">
        <f t="shared" si="233"/>
        <v>0.14000000000000001</v>
      </c>
      <c r="AJ744" s="36">
        <f>IFERROR(VLOOKUP(A744,'All Products'!A:F,6,0),0)</f>
        <v>1.7</v>
      </c>
      <c r="AK744" s="36"/>
      <c r="AL744" s="23">
        <v>1</v>
      </c>
      <c r="AM744" s="23"/>
      <c r="AN744" s="54" t="e">
        <v>#N/A</v>
      </c>
      <c r="AO744" s="47"/>
      <c r="AP744" s="4">
        <v>1.4</v>
      </c>
      <c r="AQ744" s="111">
        <f t="shared" si="224"/>
        <v>0</v>
      </c>
      <c r="AR744">
        <f>_xlfn.XLOOKUP(F744,'RM Cost'!A:A,'RM Cost'!S:S)</f>
        <v>0</v>
      </c>
      <c r="AS744" t="str">
        <f>_xlfn.XLOOKUP(A744,[3]Sheet1!$B:$B,[3]Sheet1!$B:$B)</f>
        <v>Z060CS</v>
      </c>
      <c r="AT744" t="e">
        <f>_xlfn.XLOOKUP(H744,'Yield &amp; Time'!A:A,'Yield &amp; Time'!F:F)</f>
        <v>#N/A</v>
      </c>
    </row>
    <row r="745" spans="1:46" x14ac:dyDescent="0.25">
      <c r="A745" s="2" t="s">
        <v>216</v>
      </c>
      <c r="B745" s="2" t="s">
        <v>656</v>
      </c>
      <c r="C745" s="2" t="s">
        <v>217</v>
      </c>
      <c r="D745" s="2" t="s">
        <v>554</v>
      </c>
      <c r="E745" s="2">
        <v>2.5</v>
      </c>
      <c r="F745" s="1" t="str">
        <f>VLOOKUP(H745,'RM Used'!A:B,2,0)</f>
        <v>206ACS</v>
      </c>
      <c r="G745" s="1" t="str">
        <f>IFERROR(VLOOKUP(F745,'RM Cost'!A:B,2,0),"")</f>
        <v>RM - PREP ONION WHOLE 10KG</v>
      </c>
      <c r="H745" s="2" t="s">
        <v>1367</v>
      </c>
      <c r="I745" s="1" t="str">
        <f>VLOOKUP(F745,'RM Used'!B:D,3,0)</f>
        <v>RM-FOOD</v>
      </c>
      <c r="J745" s="66">
        <v>1</v>
      </c>
      <c r="K745" s="35">
        <f t="shared" si="228"/>
        <v>2.5</v>
      </c>
      <c r="L745" s="35">
        <f t="shared" si="216"/>
        <v>2.5</v>
      </c>
      <c r="M745" s="77" cm="1">
        <f t="array" ref="M745">_xlfn.IFS(BOM!I745="RM-PACKING","100%",B745="Reynolds",VLOOKUP(H745,'Yield &amp; Time'!A:V,22,0),BOM!B745="Dnata",VLOOKUP(BOM!H745,'Yield &amp; Time'!A:M,13,0),B745="NK",VLOOKUP(H745,'Yield &amp; Time'!A:X,24,0))</f>
        <v>0.88753619980447496</v>
      </c>
      <c r="N745" s="35">
        <f t="shared" si="227"/>
        <v>2.8167865159198602</v>
      </c>
      <c r="O745" s="1" t="str">
        <f>VLOOKUP(H745,'RM Used'!A:E,5,0)</f>
        <v>KG</v>
      </c>
      <c r="P745" s="11">
        <f>VLOOKUP(H745,'RM Used'!A:F,6,0)</f>
        <v>0.87</v>
      </c>
      <c r="Q745" s="11">
        <f t="shared" si="225"/>
        <v>2.4506042688502783</v>
      </c>
      <c r="R745" s="11">
        <f>IFERROR(IF(B745="Reynolds",VLOOKUP(H745,'Yield &amp; Time'!A:U,21,0),VLOOKUP(H745,'Yield &amp; Time'!A:L,12,0)),0)</f>
        <v>0.54782608695652169</v>
      </c>
      <c r="S745" s="11">
        <f t="shared" si="217"/>
        <v>0.46359782608695643</v>
      </c>
      <c r="T745" s="11">
        <f t="shared" si="218"/>
        <v>2.2826086956521736E-2</v>
      </c>
      <c r="U745" s="11">
        <f>IF(A744=A745,0,VLOOKUP(A745,'Packing Time'!A:F,6,0))</f>
        <v>0.875</v>
      </c>
      <c r="V745" s="11">
        <f t="shared" si="229"/>
        <v>0.29618749999999999</v>
      </c>
      <c r="W745" s="11">
        <f t="shared" si="230"/>
        <v>1.4583333333333334E-2</v>
      </c>
      <c r="X745" s="11">
        <f t="shared" si="219"/>
        <v>0.83576385869565206</v>
      </c>
      <c r="Y745" s="11">
        <f t="shared" si="231"/>
        <v>0.83576385869565206</v>
      </c>
      <c r="Z745" s="37">
        <v>1</v>
      </c>
      <c r="AA745" s="36">
        <f t="shared" si="220"/>
        <v>2.8167865159198602</v>
      </c>
      <c r="AB745" s="36">
        <f t="shared" si="221"/>
        <v>2.4506042688502783</v>
      </c>
      <c r="AC745" s="11">
        <f t="shared" si="222"/>
        <v>4.1150362318840582E-2</v>
      </c>
      <c r="AD745" s="36">
        <f t="shared" si="232"/>
        <v>0.83576385869565206</v>
      </c>
      <c r="AE745" s="36" t="str">
        <f>VLOOKUP(H745,'Yield &amp; Time'!A:I,9,0)</f>
        <v>CHLORINE</v>
      </c>
      <c r="AF745" s="36">
        <f>IFERROR(VLOOKUP(AE745,'Chemical Cost'!A:D,4,0),0)</f>
        <v>2.7756518066439469E-2</v>
      </c>
      <c r="AG745" s="114">
        <f t="shared" si="223"/>
        <v>2.6061395272810896E-2</v>
      </c>
      <c r="AH745" s="36">
        <f t="shared" si="226"/>
        <v>2.6061395272810896E-2</v>
      </c>
      <c r="AI745" s="36">
        <f t="shared" si="233"/>
        <v>3.312429522818741</v>
      </c>
      <c r="AJ745" s="36">
        <f>IFERROR(VLOOKUP(A745,'All Products'!A:F,6,0),0)</f>
        <v>4.26</v>
      </c>
      <c r="AK745" s="36">
        <f>AJ745*Z745*J745</f>
        <v>4.26</v>
      </c>
      <c r="AL745" s="23">
        <v>1</v>
      </c>
      <c r="AM745" s="23"/>
      <c r="AN745" s="54" t="e">
        <v>#N/A</v>
      </c>
      <c r="AO745" s="47"/>
      <c r="AP745" s="4">
        <v>1.1000000000000001</v>
      </c>
      <c r="AQ745" s="111">
        <f t="shared" si="224"/>
        <v>4.1150362318840582E-2</v>
      </c>
      <c r="AR745">
        <f>_xlfn.XLOOKUP(F745,'RM Cost'!A:A,'RM Cost'!S:S)</f>
        <v>0</v>
      </c>
      <c r="AS745" t="str">
        <f>_xlfn.XLOOKUP(A745,[3]Sheet1!$B:$B,[3]Sheet1!$B:$B)</f>
        <v>Z059CS</v>
      </c>
      <c r="AT745" t="str">
        <f>_xlfn.XLOOKUP(H745,'Yield &amp; Time'!A:A,'Yield &amp; Time'!F:F)</f>
        <v>Yes</v>
      </c>
    </row>
    <row r="746" spans="1:46" x14ac:dyDescent="0.25">
      <c r="A746" s="2" t="s">
        <v>216</v>
      </c>
      <c r="B746" s="2" t="s">
        <v>656</v>
      </c>
      <c r="C746" s="2" t="s">
        <v>217</v>
      </c>
      <c r="D746" s="2" t="s">
        <v>554</v>
      </c>
      <c r="E746" s="2">
        <v>2.5</v>
      </c>
      <c r="F746" s="1" t="str">
        <f>VLOOKUP(H746,'RM Used'!A:B,2,0)</f>
        <v>P0008</v>
      </c>
      <c r="G746" s="1" t="str">
        <f>IFERROR(VLOOKUP(F746,'RM Cost'!A:B,2,0),"")</f>
        <v>PALE BLUE BAG 470X750MM</v>
      </c>
      <c r="H746" s="2" t="s">
        <v>1323</v>
      </c>
      <c r="I746" s="1" t="str">
        <f>VLOOKUP(F746,'RM Used'!B:D,3,0)</f>
        <v>RM-PACKING</v>
      </c>
      <c r="J746" s="66">
        <v>1</v>
      </c>
      <c r="K746" s="35" t="str">
        <f t="shared" si="228"/>
        <v/>
      </c>
      <c r="L746" s="35">
        <f t="shared" si="216"/>
        <v>0</v>
      </c>
      <c r="M746" s="77" t="str" cm="1">
        <f t="array" ref="M746">_xlfn.IFS(BOM!I746="RM-PACKING","100%",B746="Reynolds",VLOOKUP(H746,'Yield &amp; Time'!A:V,22,0),BOM!B746="Dnata",VLOOKUP(BOM!H746,'Yield &amp; Time'!A:M,13,0),B746="NK",VLOOKUP(H746,'Yield &amp; Time'!A:X,24,0))</f>
        <v>100%</v>
      </c>
      <c r="N746" s="35">
        <f t="shared" si="227"/>
        <v>1</v>
      </c>
      <c r="O746" s="1" t="str">
        <f>VLOOKUP(H746,'RM Used'!A:E,5,0)</f>
        <v>Count</v>
      </c>
      <c r="P746" s="11">
        <f>VLOOKUP(H746,'RM Used'!A:F,6,0)</f>
        <v>0.14000000000000001</v>
      </c>
      <c r="Q746" s="11">
        <f t="shared" si="225"/>
        <v>0.14000000000000001</v>
      </c>
      <c r="R746" s="11">
        <f>IFERROR(IF(B746="Reynolds",VLOOKUP(H746,'Yield &amp; Time'!A:U,21,0),VLOOKUP(H746,'Yield &amp; Time'!A:L,12,0)),0)</f>
        <v>0</v>
      </c>
      <c r="S746" s="11">
        <f t="shared" si="217"/>
        <v>0</v>
      </c>
      <c r="T746" s="11">
        <f t="shared" si="218"/>
        <v>0</v>
      </c>
      <c r="U746" s="11">
        <f>IF(A745=A746,0,VLOOKUP(A746,'Packing Time'!A:F,6,0))</f>
        <v>0</v>
      </c>
      <c r="V746" s="11">
        <f t="shared" si="229"/>
        <v>0</v>
      </c>
      <c r="W746" s="11">
        <f t="shared" si="230"/>
        <v>0</v>
      </c>
      <c r="X746" s="11">
        <f t="shared" si="219"/>
        <v>0</v>
      </c>
      <c r="Y746" s="11">
        <f t="shared" si="231"/>
        <v>0</v>
      </c>
      <c r="Z746" s="37">
        <v>1</v>
      </c>
      <c r="AA746" s="36">
        <f t="shared" si="220"/>
        <v>1</v>
      </c>
      <c r="AB746" s="36">
        <f t="shared" si="221"/>
        <v>0.14000000000000001</v>
      </c>
      <c r="AC746" s="11">
        <f t="shared" si="222"/>
        <v>0</v>
      </c>
      <c r="AD746" s="36">
        <f t="shared" si="232"/>
        <v>0</v>
      </c>
      <c r="AE746" s="36"/>
      <c r="AF746" s="36">
        <f>IFERROR(VLOOKUP(AE746,'Chemical Cost'!A:D,4,0),0)</f>
        <v>0</v>
      </c>
      <c r="AG746" s="114">
        <f t="shared" si="223"/>
        <v>0</v>
      </c>
      <c r="AH746" s="36">
        <f t="shared" si="226"/>
        <v>0</v>
      </c>
      <c r="AI746" s="36">
        <f t="shared" si="233"/>
        <v>0.14000000000000001</v>
      </c>
      <c r="AJ746" s="36">
        <f>IFERROR(VLOOKUP(A746,'All Products'!A:F,6,0),0)</f>
        <v>4.26</v>
      </c>
      <c r="AK746" s="36"/>
      <c r="AL746" s="23">
        <v>1</v>
      </c>
      <c r="AM746" s="23"/>
      <c r="AN746" s="54" t="e">
        <v>#N/A</v>
      </c>
      <c r="AO746" s="47"/>
      <c r="AP746" s="4">
        <v>1.1000000000000001</v>
      </c>
      <c r="AQ746" s="111">
        <f t="shared" si="224"/>
        <v>0</v>
      </c>
      <c r="AR746">
        <f>_xlfn.XLOOKUP(F746,'RM Cost'!A:A,'RM Cost'!S:S)</f>
        <v>0</v>
      </c>
      <c r="AS746" t="str">
        <f>_xlfn.XLOOKUP(A746,[3]Sheet1!$B:$B,[3]Sheet1!$B:$B)</f>
        <v>Z059CS</v>
      </c>
      <c r="AT746" t="e">
        <f>_xlfn.XLOOKUP(H746,'Yield &amp; Time'!A:A,'Yield &amp; Time'!F:F)</f>
        <v>#N/A</v>
      </c>
    </row>
    <row r="747" spans="1:46" x14ac:dyDescent="0.25">
      <c r="A747" s="2" t="s">
        <v>837</v>
      </c>
      <c r="B747" s="2" t="s">
        <v>656</v>
      </c>
      <c r="C747" s="2" t="s">
        <v>838</v>
      </c>
      <c r="D747" s="2" t="s">
        <v>554</v>
      </c>
      <c r="E747" s="2">
        <v>1</v>
      </c>
      <c r="F747" s="1" t="str">
        <f>VLOOKUP(H747,'RM Used'!A:B,2,0)</f>
        <v>206ACS</v>
      </c>
      <c r="G747" s="1" t="str">
        <f>IFERROR(VLOOKUP(F747,'RM Cost'!A:B,2,0),"")</f>
        <v>RM - PREP ONION WHOLE 10KG</v>
      </c>
      <c r="H747" s="2" t="s">
        <v>1435</v>
      </c>
      <c r="I747" s="1" t="str">
        <f>VLOOKUP(F747,'RM Used'!B:D,3,0)</f>
        <v>RM-FOOD</v>
      </c>
      <c r="J747" s="66">
        <v>1</v>
      </c>
      <c r="K747" s="35">
        <f t="shared" si="228"/>
        <v>1</v>
      </c>
      <c r="L747" s="35">
        <f t="shared" si="216"/>
        <v>1</v>
      </c>
      <c r="M747" s="77" cm="1">
        <f t="array" ref="M747">_xlfn.IFS(BOM!I747="RM-PACKING","100%",B747="Reynolds",VLOOKUP(H747,'Yield &amp; Time'!A:V,22,0),BOM!B747="Dnata",VLOOKUP(BOM!H747,'Yield &amp; Time'!A:M,13,0),B747="NK",VLOOKUP(H747,'Yield &amp; Time'!A:X,24,0))</f>
        <v>0.83519999999999994</v>
      </c>
      <c r="N747" s="35">
        <f t="shared" si="227"/>
        <v>1.1973180076628354</v>
      </c>
      <c r="O747" s="1" t="str">
        <f>VLOOKUP(H747,'RM Used'!A:E,5,0)</f>
        <v>KG</v>
      </c>
      <c r="P747" s="11">
        <f>VLOOKUP(H747,'RM Used'!A:F,6,0)</f>
        <v>0.87</v>
      </c>
      <c r="Q747" s="11">
        <f t="shared" si="225"/>
        <v>1.0416666666666667</v>
      </c>
      <c r="R747" s="11">
        <f>IFERROR(IF(B747="Reynolds",VLOOKUP(H747,'Yield &amp; Time'!A:U,21,0),VLOOKUP(H747,'Yield &amp; Time'!A:L,12,0)),0)</f>
        <v>0.52</v>
      </c>
      <c r="S747" s="11">
        <f t="shared" si="217"/>
        <v>0.17601999999999998</v>
      </c>
      <c r="T747" s="11">
        <f t="shared" si="218"/>
        <v>8.6666666666666663E-3</v>
      </c>
      <c r="U747" s="11">
        <f>IF(A746=A747,0,VLOOKUP(A747,'Packing Time'!A:F,6,0))</f>
        <v>0.64166666666666661</v>
      </c>
      <c r="V747" s="11">
        <f t="shared" si="229"/>
        <v>0.21720416666666661</v>
      </c>
      <c r="W747" s="11">
        <f t="shared" si="230"/>
        <v>1.0694444444444444E-2</v>
      </c>
      <c r="X747" s="11">
        <f t="shared" si="219"/>
        <v>0.62915866666666664</v>
      </c>
      <c r="Y747" s="11">
        <f t="shared" si="231"/>
        <v>0.62915866666666664</v>
      </c>
      <c r="Z747" s="37">
        <v>1</v>
      </c>
      <c r="AA747" s="36">
        <f t="shared" si="220"/>
        <v>1.1973180076628354</v>
      </c>
      <c r="AB747" s="36">
        <f t="shared" si="221"/>
        <v>1.0416666666666667</v>
      </c>
      <c r="AC747" s="11">
        <f t="shared" si="222"/>
        <v>3.0977777777777778E-2</v>
      </c>
      <c r="AD747" s="36">
        <f t="shared" si="232"/>
        <v>0.62915866666666664</v>
      </c>
      <c r="AE747" s="36" t="str">
        <f>VLOOKUP(H747,'Yield &amp; Time'!A:I,9,0)</f>
        <v>CHLORINE</v>
      </c>
      <c r="AF747" s="36">
        <f>IFERROR(VLOOKUP(AE747,'Chemical Cost'!A:D,4,0),0)</f>
        <v>2.7756518066439469E-2</v>
      </c>
      <c r="AG747" s="114">
        <f t="shared" si="223"/>
        <v>1.1077792970322268E-2</v>
      </c>
      <c r="AH747" s="36">
        <f t="shared" si="226"/>
        <v>1.1077792970322268E-2</v>
      </c>
      <c r="AI747" s="36">
        <f t="shared" si="233"/>
        <v>1.6819031263036557</v>
      </c>
      <c r="AJ747" s="36">
        <f>IFERROR(VLOOKUP(A747,'All Products'!A:F,6,0),0)</f>
        <v>2.0699999999999998</v>
      </c>
      <c r="AK747" s="36">
        <f>AJ747*Z747*J747</f>
        <v>2.0699999999999998</v>
      </c>
      <c r="AL747" s="23">
        <v>0.8</v>
      </c>
      <c r="AM747" s="23">
        <v>0.2</v>
      </c>
      <c r="AN747" s="54" t="e">
        <v>#N/A</v>
      </c>
      <c r="AO747" s="47"/>
      <c r="AP747" s="4">
        <v>1.6</v>
      </c>
      <c r="AQ747" s="111">
        <f t="shared" si="224"/>
        <v>3.0977777777777778E-2</v>
      </c>
      <c r="AR747">
        <f>_xlfn.XLOOKUP(F747,'RM Cost'!A:A,'RM Cost'!S:S)</f>
        <v>0</v>
      </c>
      <c r="AS747" t="str">
        <f>_xlfn.XLOOKUP(A747,[3]Sheet1!$B:$B,[3]Sheet1!$B:$B)</f>
        <v>Z062CS</v>
      </c>
      <c r="AT747" t="str">
        <f>_xlfn.XLOOKUP(H747,'Yield &amp; Time'!A:A,'Yield &amp; Time'!F:F)</f>
        <v>Yes</v>
      </c>
    </row>
    <row r="748" spans="1:46" x14ac:dyDescent="0.25">
      <c r="A748" s="2" t="s">
        <v>837</v>
      </c>
      <c r="B748" s="2" t="s">
        <v>656</v>
      </c>
      <c r="C748" s="2" t="s">
        <v>838</v>
      </c>
      <c r="D748" s="2" t="s">
        <v>554</v>
      </c>
      <c r="E748" s="2">
        <v>1</v>
      </c>
      <c r="F748" s="1" t="str">
        <f>VLOOKUP(H748,'RM Used'!A:B,2,0)</f>
        <v>P0008</v>
      </c>
      <c r="G748" s="1" t="str">
        <f>IFERROR(VLOOKUP(F748,'RM Cost'!A:B,2,0),"")</f>
        <v>PALE BLUE BAG 470X750MM</v>
      </c>
      <c r="H748" s="2" t="s">
        <v>1323</v>
      </c>
      <c r="I748" s="1" t="str">
        <f>VLOOKUP(F748,'RM Used'!B:D,3,0)</f>
        <v>RM-PACKING</v>
      </c>
      <c r="J748" s="66">
        <v>1</v>
      </c>
      <c r="K748" s="35" t="str">
        <f t="shared" si="228"/>
        <v/>
      </c>
      <c r="L748" s="35">
        <f t="shared" si="216"/>
        <v>0</v>
      </c>
      <c r="M748" s="77" t="str" cm="1">
        <f t="array" ref="M748">_xlfn.IFS(BOM!I748="RM-PACKING","100%",B748="Reynolds",VLOOKUP(H748,'Yield &amp; Time'!A:V,22,0),BOM!B748="Dnata",VLOOKUP(BOM!H748,'Yield &amp; Time'!A:M,13,0),B748="NK",VLOOKUP(H748,'Yield &amp; Time'!A:X,24,0))</f>
        <v>100%</v>
      </c>
      <c r="N748" s="35">
        <f t="shared" si="227"/>
        <v>1</v>
      </c>
      <c r="O748" s="1" t="str">
        <f>VLOOKUP(H748,'RM Used'!A:E,5,0)</f>
        <v>Count</v>
      </c>
      <c r="P748" s="11">
        <f>VLOOKUP(H748,'RM Used'!A:F,6,0)</f>
        <v>0.14000000000000001</v>
      </c>
      <c r="Q748" s="11">
        <f t="shared" si="225"/>
        <v>0.14000000000000001</v>
      </c>
      <c r="R748" s="11">
        <f>IFERROR(IF(B748="Reynolds",VLOOKUP(H748,'Yield &amp; Time'!A:U,21,0),VLOOKUP(H748,'Yield &amp; Time'!A:L,12,0)),0)</f>
        <v>0</v>
      </c>
      <c r="S748" s="11">
        <f t="shared" si="217"/>
        <v>0</v>
      </c>
      <c r="T748" s="11">
        <f t="shared" si="218"/>
        <v>0</v>
      </c>
      <c r="U748" s="11">
        <f>IF(A747=A748,0,VLOOKUP(A748,'Packing Time'!A:F,6,0))</f>
        <v>0</v>
      </c>
      <c r="V748" s="11">
        <f t="shared" si="229"/>
        <v>0</v>
      </c>
      <c r="W748" s="11">
        <f t="shared" si="230"/>
        <v>0</v>
      </c>
      <c r="X748" s="11">
        <f t="shared" si="219"/>
        <v>0</v>
      </c>
      <c r="Y748" s="11">
        <f t="shared" si="231"/>
        <v>0</v>
      </c>
      <c r="Z748" s="37">
        <v>1</v>
      </c>
      <c r="AA748" s="36">
        <f t="shared" si="220"/>
        <v>1</v>
      </c>
      <c r="AB748" s="36">
        <f t="shared" si="221"/>
        <v>0.14000000000000001</v>
      </c>
      <c r="AC748" s="11">
        <f t="shared" si="222"/>
        <v>0</v>
      </c>
      <c r="AD748" s="36">
        <f t="shared" si="232"/>
        <v>0</v>
      </c>
      <c r="AE748" s="36"/>
      <c r="AF748" s="36">
        <f>IFERROR(VLOOKUP(AE748,'Chemical Cost'!A:D,4,0),0)</f>
        <v>0</v>
      </c>
      <c r="AG748" s="114">
        <f t="shared" si="223"/>
        <v>0</v>
      </c>
      <c r="AH748" s="36">
        <f t="shared" si="226"/>
        <v>0</v>
      </c>
      <c r="AI748" s="36">
        <f t="shared" si="233"/>
        <v>0.14000000000000001</v>
      </c>
      <c r="AJ748" s="36">
        <f>IFERROR(VLOOKUP(A748,'All Products'!A:F,6,0),0)</f>
        <v>2.0699999999999998</v>
      </c>
      <c r="AK748" s="36"/>
      <c r="AL748" s="23">
        <v>0.8</v>
      </c>
      <c r="AM748" s="23">
        <v>0.2</v>
      </c>
      <c r="AN748" s="54" t="e">
        <v>#N/A</v>
      </c>
      <c r="AO748" s="47"/>
      <c r="AP748" s="4">
        <v>1.6</v>
      </c>
      <c r="AQ748" s="111">
        <f t="shared" si="224"/>
        <v>0</v>
      </c>
      <c r="AR748">
        <f>_xlfn.XLOOKUP(F748,'RM Cost'!A:A,'RM Cost'!S:S)</f>
        <v>0</v>
      </c>
      <c r="AS748" t="str">
        <f>_xlfn.XLOOKUP(A748,[3]Sheet1!$B:$B,[3]Sheet1!$B:$B)</f>
        <v>Z062CS</v>
      </c>
      <c r="AT748" t="e">
        <f>_xlfn.XLOOKUP(H748,'Yield &amp; Time'!A:A,'Yield &amp; Time'!F:F)</f>
        <v>#N/A</v>
      </c>
    </row>
    <row r="749" spans="1:46" x14ac:dyDescent="0.25">
      <c r="A749" s="2" t="s">
        <v>545</v>
      </c>
      <c r="B749" s="2" t="s">
        <v>656</v>
      </c>
      <c r="C749" s="2" t="s">
        <v>546</v>
      </c>
      <c r="D749" s="2" t="s">
        <v>554</v>
      </c>
      <c r="E749" s="2">
        <v>2.5</v>
      </c>
      <c r="F749" s="1" t="str">
        <f>VLOOKUP(H749,'RM Used'!A:B,2,0)</f>
        <v>206ACS</v>
      </c>
      <c r="G749" s="1" t="str">
        <f>IFERROR(VLOOKUP(F749,'RM Cost'!A:B,2,0),"")</f>
        <v>RM - PREP ONION WHOLE 10KG</v>
      </c>
      <c r="H749" s="2" t="s">
        <v>1435</v>
      </c>
      <c r="I749" s="1" t="str">
        <f>VLOOKUP(F749,'RM Used'!B:D,3,0)</f>
        <v>RM-FOOD</v>
      </c>
      <c r="J749" s="66">
        <v>1</v>
      </c>
      <c r="K749" s="35">
        <f t="shared" si="228"/>
        <v>2.5</v>
      </c>
      <c r="L749" s="35">
        <f t="shared" si="216"/>
        <v>2.5</v>
      </c>
      <c r="M749" s="77" cm="1">
        <f t="array" ref="M749">_xlfn.IFS(BOM!I749="RM-PACKING","100%",B749="Reynolds",VLOOKUP(H749,'Yield &amp; Time'!A:V,22,0),BOM!B749="Dnata",VLOOKUP(BOM!H749,'Yield &amp; Time'!A:M,13,0),B749="NK",VLOOKUP(H749,'Yield &amp; Time'!A:X,24,0))</f>
        <v>0.83519999999999994</v>
      </c>
      <c r="N749" s="35">
        <f t="shared" si="227"/>
        <v>2.9932950191570882</v>
      </c>
      <c r="O749" s="1" t="str">
        <f>VLOOKUP(H749,'RM Used'!A:E,5,0)</f>
        <v>KG</v>
      </c>
      <c r="P749" s="11">
        <f>VLOOKUP(H749,'RM Used'!A:F,6,0)</f>
        <v>0.87</v>
      </c>
      <c r="Q749" s="11">
        <f t="shared" si="225"/>
        <v>2.6041666666666665</v>
      </c>
      <c r="R749" s="11">
        <f>IFERROR(IF(B749="Reynolds",VLOOKUP(H749,'Yield &amp; Time'!A:U,21,0),VLOOKUP(H749,'Yield &amp; Time'!A:L,12,0)),0)</f>
        <v>0.52</v>
      </c>
      <c r="S749" s="11">
        <f t="shared" si="217"/>
        <v>0.44005</v>
      </c>
      <c r="T749" s="11">
        <f t="shared" si="218"/>
        <v>2.1666666666666667E-2</v>
      </c>
      <c r="U749" s="11">
        <f>IF(A748=A749,0,VLOOKUP(A749,'Packing Time'!A:F,6,0))</f>
        <v>0.875</v>
      </c>
      <c r="V749" s="11">
        <f t="shared" si="229"/>
        <v>0.29618749999999999</v>
      </c>
      <c r="W749" s="11">
        <f t="shared" si="230"/>
        <v>1.4583333333333334E-2</v>
      </c>
      <c r="X749" s="11">
        <f t="shared" si="219"/>
        <v>1.1779799999999998</v>
      </c>
      <c r="Y749" s="11">
        <f t="shared" si="231"/>
        <v>1.1779799999999998</v>
      </c>
      <c r="Z749" s="37">
        <v>1</v>
      </c>
      <c r="AA749" s="36">
        <f t="shared" si="220"/>
        <v>2.9932950191570882</v>
      </c>
      <c r="AB749" s="36">
        <f t="shared" si="221"/>
        <v>2.6041666666666665</v>
      </c>
      <c r="AC749" s="11">
        <f t="shared" si="222"/>
        <v>5.7999999999999996E-2</v>
      </c>
      <c r="AD749" s="36">
        <f t="shared" si="232"/>
        <v>1.1779799999999998</v>
      </c>
      <c r="AE749" s="36" t="str">
        <f>VLOOKUP(H749,'Yield &amp; Time'!A:I,9,0)</f>
        <v>CHLORINE</v>
      </c>
      <c r="AF749" s="36">
        <f>IFERROR(VLOOKUP(AE749,'Chemical Cost'!A:D,4,0),0)</f>
        <v>2.7756518066439469E-2</v>
      </c>
      <c r="AG749" s="114">
        <f t="shared" si="223"/>
        <v>2.7694482425805664E-2</v>
      </c>
      <c r="AH749" s="36">
        <f t="shared" si="226"/>
        <v>2.7694482425805664E-2</v>
      </c>
      <c r="AI749" s="36">
        <f t="shared" si="233"/>
        <v>3.8098411490924722</v>
      </c>
      <c r="AJ749" s="36">
        <f>IFERROR(VLOOKUP(A749,'All Products'!A:F,6,0),0)</f>
        <v>5.17</v>
      </c>
      <c r="AK749" s="36">
        <f>AJ749*Z749*J749</f>
        <v>5.17</v>
      </c>
      <c r="AL749" s="23">
        <v>0.8</v>
      </c>
      <c r="AM749" s="23">
        <v>0.2</v>
      </c>
      <c r="AN749" s="54" t="s">
        <v>545</v>
      </c>
      <c r="AO749" s="47"/>
      <c r="AP749" s="4">
        <v>1.6</v>
      </c>
      <c r="AQ749" s="111">
        <f t="shared" si="224"/>
        <v>5.7999999999999996E-2</v>
      </c>
      <c r="AR749">
        <f>_xlfn.XLOOKUP(F749,'RM Cost'!A:A,'RM Cost'!S:S)</f>
        <v>0</v>
      </c>
      <c r="AS749" t="str">
        <f>_xlfn.XLOOKUP(A749,[3]Sheet1!$B:$B,[3]Sheet1!$B:$B)</f>
        <v>Z061CS</v>
      </c>
      <c r="AT749" t="str">
        <f>_xlfn.XLOOKUP(H749,'Yield &amp; Time'!A:A,'Yield &amp; Time'!F:F)</f>
        <v>Yes</v>
      </c>
    </row>
    <row r="750" spans="1:46" x14ac:dyDescent="0.25">
      <c r="A750" s="2" t="s">
        <v>545</v>
      </c>
      <c r="B750" s="2" t="s">
        <v>656</v>
      </c>
      <c r="C750" s="2" t="s">
        <v>546</v>
      </c>
      <c r="D750" s="2" t="s">
        <v>554</v>
      </c>
      <c r="E750" s="2">
        <v>2.5</v>
      </c>
      <c r="F750" s="1" t="str">
        <f>VLOOKUP(H750,'RM Used'!A:B,2,0)</f>
        <v>P0008</v>
      </c>
      <c r="G750" s="1" t="str">
        <f>IFERROR(VLOOKUP(F750,'RM Cost'!A:B,2,0),"")</f>
        <v>PALE BLUE BAG 470X750MM</v>
      </c>
      <c r="H750" s="2" t="s">
        <v>1323</v>
      </c>
      <c r="I750" s="1" t="str">
        <f>VLOOKUP(F750,'RM Used'!B:D,3,0)</f>
        <v>RM-PACKING</v>
      </c>
      <c r="J750" s="66">
        <v>1</v>
      </c>
      <c r="K750" s="35" t="str">
        <f t="shared" si="228"/>
        <v/>
      </c>
      <c r="L750" s="35">
        <f t="shared" si="216"/>
        <v>0</v>
      </c>
      <c r="M750" s="77" t="str" cm="1">
        <f t="array" ref="M750">_xlfn.IFS(BOM!I750="RM-PACKING","100%",B750="Reynolds",VLOOKUP(H750,'Yield &amp; Time'!A:V,22,0),BOM!B750="Dnata",VLOOKUP(BOM!H750,'Yield &amp; Time'!A:M,13,0),B750="NK",VLOOKUP(H750,'Yield &amp; Time'!A:X,24,0))</f>
        <v>100%</v>
      </c>
      <c r="N750" s="35">
        <f t="shared" si="227"/>
        <v>1</v>
      </c>
      <c r="O750" s="1" t="str">
        <f>VLOOKUP(H750,'RM Used'!A:E,5,0)</f>
        <v>Count</v>
      </c>
      <c r="P750" s="11">
        <f>VLOOKUP(H750,'RM Used'!A:F,6,0)</f>
        <v>0.14000000000000001</v>
      </c>
      <c r="Q750" s="11">
        <f t="shared" si="225"/>
        <v>0.14000000000000001</v>
      </c>
      <c r="R750" s="11">
        <f>IFERROR(IF(B750="Reynolds",VLOOKUP(H750,'Yield &amp; Time'!A:U,21,0),VLOOKUP(H750,'Yield &amp; Time'!A:L,12,0)),0)</f>
        <v>0</v>
      </c>
      <c r="S750" s="11">
        <f t="shared" si="217"/>
        <v>0</v>
      </c>
      <c r="T750" s="11">
        <f t="shared" si="218"/>
        <v>0</v>
      </c>
      <c r="U750" s="11">
        <f>IF(A749=A750,0,VLOOKUP(A750,'Packing Time'!A:F,6,0))</f>
        <v>0</v>
      </c>
      <c r="V750" s="11">
        <f t="shared" si="229"/>
        <v>0</v>
      </c>
      <c r="W750" s="11">
        <f t="shared" si="230"/>
        <v>0</v>
      </c>
      <c r="X750" s="11">
        <f t="shared" si="219"/>
        <v>0</v>
      </c>
      <c r="Y750" s="11">
        <f t="shared" si="231"/>
        <v>0</v>
      </c>
      <c r="Z750" s="37">
        <v>1</v>
      </c>
      <c r="AA750" s="36">
        <f t="shared" si="220"/>
        <v>1</v>
      </c>
      <c r="AB750" s="36">
        <f t="shared" si="221"/>
        <v>0.14000000000000001</v>
      </c>
      <c r="AC750" s="11">
        <f t="shared" si="222"/>
        <v>0</v>
      </c>
      <c r="AD750" s="36">
        <f t="shared" si="232"/>
        <v>0</v>
      </c>
      <c r="AE750" s="36"/>
      <c r="AF750" s="36">
        <f>IFERROR(VLOOKUP(AE750,'Chemical Cost'!A:D,4,0),0)</f>
        <v>0</v>
      </c>
      <c r="AG750" s="114">
        <f t="shared" si="223"/>
        <v>0</v>
      </c>
      <c r="AH750" s="36">
        <f t="shared" si="226"/>
        <v>0</v>
      </c>
      <c r="AI750" s="36">
        <f t="shared" si="233"/>
        <v>0.14000000000000001</v>
      </c>
      <c r="AJ750" s="36">
        <f>IFERROR(VLOOKUP(A750,'All Products'!A:F,6,0),0)</f>
        <v>5.17</v>
      </c>
      <c r="AK750" s="36"/>
      <c r="AL750" s="23">
        <v>0.8</v>
      </c>
      <c r="AM750" s="23">
        <v>0.2</v>
      </c>
      <c r="AN750" s="54" t="s">
        <v>545</v>
      </c>
      <c r="AO750" s="47"/>
      <c r="AP750" s="4">
        <v>1.6</v>
      </c>
      <c r="AQ750" s="111">
        <f t="shared" si="224"/>
        <v>0</v>
      </c>
      <c r="AR750">
        <f>_xlfn.XLOOKUP(F750,'RM Cost'!A:A,'RM Cost'!S:S)</f>
        <v>0</v>
      </c>
      <c r="AS750" t="str">
        <f>_xlfn.XLOOKUP(A750,[3]Sheet1!$B:$B,[3]Sheet1!$B:$B)</f>
        <v>Z061CS</v>
      </c>
      <c r="AT750" t="e">
        <f>_xlfn.XLOOKUP(H750,'Yield &amp; Time'!A:A,'Yield &amp; Time'!F:F)</f>
        <v>#N/A</v>
      </c>
    </row>
    <row r="751" spans="1:46" x14ac:dyDescent="0.25">
      <c r="A751" s="2" t="s">
        <v>221</v>
      </c>
      <c r="B751" s="2" t="s">
        <v>656</v>
      </c>
      <c r="C751" s="2" t="s">
        <v>222</v>
      </c>
      <c r="D751" s="2" t="s">
        <v>554</v>
      </c>
      <c r="E751" s="2">
        <v>1</v>
      </c>
      <c r="F751" s="1" t="str">
        <f>VLOOKUP(H751,'RM Used'!A:B,2,0)</f>
        <v>206ACS</v>
      </c>
      <c r="G751" s="1" t="str">
        <f>IFERROR(VLOOKUP(F751,'RM Cost'!A:B,2,0),"")</f>
        <v>RM - PREP ONION WHOLE 10KG</v>
      </c>
      <c r="H751" s="2" t="s">
        <v>1367</v>
      </c>
      <c r="I751" s="1" t="str">
        <f>VLOOKUP(F751,'RM Used'!B:D,3,0)</f>
        <v>RM-FOOD</v>
      </c>
      <c r="J751" s="66">
        <v>1</v>
      </c>
      <c r="K751" s="35">
        <f t="shared" si="228"/>
        <v>1</v>
      </c>
      <c r="L751" s="35">
        <f t="shared" si="216"/>
        <v>1</v>
      </c>
      <c r="M751" s="77" cm="1">
        <f t="array" ref="M751">_xlfn.IFS(BOM!I751="RM-PACKING","100%",B751="Reynolds",VLOOKUP(H751,'Yield &amp; Time'!A:V,22,0),BOM!B751="Dnata",VLOOKUP(BOM!H751,'Yield &amp; Time'!A:M,13,0),B751="NK",VLOOKUP(H751,'Yield &amp; Time'!A:X,24,0))</f>
        <v>0.88753619980447496</v>
      </c>
      <c r="N751" s="35">
        <f t="shared" si="227"/>
        <v>1.1267146063679441</v>
      </c>
      <c r="O751" s="1" t="str">
        <f>VLOOKUP(H751,'RM Used'!A:E,5,0)</f>
        <v>KG</v>
      </c>
      <c r="P751" s="11">
        <f>VLOOKUP(H751,'RM Used'!A:F,6,0)</f>
        <v>0.87</v>
      </c>
      <c r="Q751" s="11">
        <f t="shared" si="225"/>
        <v>0.98024170754011131</v>
      </c>
      <c r="R751" s="11">
        <f>IFERROR(IF(B751="Reynolds",VLOOKUP(H751,'Yield &amp; Time'!A:U,21,0),VLOOKUP(H751,'Yield &amp; Time'!A:L,12,0)),0)</f>
        <v>0.54782608695652169</v>
      </c>
      <c r="S751" s="11">
        <f t="shared" si="217"/>
        <v>0.18543913043478258</v>
      </c>
      <c r="T751" s="11">
        <f t="shared" si="218"/>
        <v>9.1304347826086946E-3</v>
      </c>
      <c r="U751" s="11">
        <f>IF(A750=A751,0,VLOOKUP(A751,'Packing Time'!A:F,6,0))</f>
        <v>0.64166666666666661</v>
      </c>
      <c r="V751" s="11">
        <f t="shared" si="229"/>
        <v>0.21720416666666661</v>
      </c>
      <c r="W751" s="11">
        <f t="shared" si="230"/>
        <v>1.0694444444444444E-2</v>
      </c>
      <c r="X751" s="11">
        <f t="shared" si="219"/>
        <v>0.64422927536231878</v>
      </c>
      <c r="Y751" s="11">
        <f t="shared" si="231"/>
        <v>0.64422927536231878</v>
      </c>
      <c r="Z751" s="37">
        <v>1</v>
      </c>
      <c r="AA751" s="36">
        <f t="shared" si="220"/>
        <v>1.1267146063679441</v>
      </c>
      <c r="AB751" s="36">
        <f t="shared" si="221"/>
        <v>0.98024170754011131</v>
      </c>
      <c r="AC751" s="11">
        <f t="shared" si="222"/>
        <v>3.1719806763285022E-2</v>
      </c>
      <c r="AD751" s="36">
        <f t="shared" si="232"/>
        <v>0.64422927536231878</v>
      </c>
      <c r="AE751" s="36" t="str">
        <f>VLOOKUP(H751,'Yield &amp; Time'!A:I,9,0)</f>
        <v>CHLORINE</v>
      </c>
      <c r="AF751" s="36">
        <f>IFERROR(VLOOKUP(AE751,'Chemical Cost'!A:D,4,0),0)</f>
        <v>2.7756518066439469E-2</v>
      </c>
      <c r="AG751" s="114">
        <f t="shared" si="223"/>
        <v>1.0424558109124358E-2</v>
      </c>
      <c r="AH751" s="36">
        <f t="shared" si="226"/>
        <v>1.0424558109124358E-2</v>
      </c>
      <c r="AI751" s="36">
        <f t="shared" si="233"/>
        <v>1.6348955410115547</v>
      </c>
      <c r="AJ751" s="36">
        <f>IFERROR(VLOOKUP(A751,'All Products'!A:F,6,0),0)</f>
        <v>1.7</v>
      </c>
      <c r="AK751" s="36">
        <f>AJ751*Z751*J751</f>
        <v>1.7</v>
      </c>
      <c r="AL751" s="23">
        <v>1</v>
      </c>
      <c r="AM751" s="23"/>
      <c r="AN751" s="54" t="e">
        <v>#N/A</v>
      </c>
      <c r="AO751" s="47"/>
      <c r="AP751" s="4">
        <v>1.6</v>
      </c>
      <c r="AQ751" s="111">
        <f t="shared" si="224"/>
        <v>3.1719806763285022E-2</v>
      </c>
      <c r="AR751">
        <f>_xlfn.XLOOKUP(F751,'RM Cost'!A:A,'RM Cost'!S:S)</f>
        <v>0</v>
      </c>
      <c r="AS751" t="e">
        <f>_xlfn.XLOOKUP(A751,[3]Sheet1!$B:$B,[3]Sheet1!$B:$B)</f>
        <v>#N/A</v>
      </c>
    </row>
    <row r="752" spans="1:46" x14ac:dyDescent="0.25">
      <c r="A752" s="2" t="s">
        <v>221</v>
      </c>
      <c r="B752" s="2" t="s">
        <v>656</v>
      </c>
      <c r="C752" s="2" t="s">
        <v>222</v>
      </c>
      <c r="D752" s="2" t="s">
        <v>554</v>
      </c>
      <c r="E752" s="2">
        <v>1</v>
      </c>
      <c r="F752" s="1" t="str">
        <f>VLOOKUP(H752,'RM Used'!A:B,2,0)</f>
        <v>P0008</v>
      </c>
      <c r="G752" s="1" t="str">
        <f>IFERROR(VLOOKUP(F752,'RM Cost'!A:B,2,0),"")</f>
        <v>PALE BLUE BAG 470X750MM</v>
      </c>
      <c r="H752" s="2" t="s">
        <v>1323</v>
      </c>
      <c r="I752" s="1" t="str">
        <f>VLOOKUP(F752,'RM Used'!B:D,3,0)</f>
        <v>RM-PACKING</v>
      </c>
      <c r="J752" s="66">
        <v>1</v>
      </c>
      <c r="K752" s="35" t="str">
        <f t="shared" si="228"/>
        <v/>
      </c>
      <c r="L752" s="35">
        <f t="shared" si="216"/>
        <v>0</v>
      </c>
      <c r="M752" s="77" t="str" cm="1">
        <f t="array" ref="M752">_xlfn.IFS(BOM!I752="RM-PACKING","100%",B752="Reynolds",VLOOKUP(H752,'Yield &amp; Time'!A:V,22,0),BOM!B752="Dnata",VLOOKUP(BOM!H752,'Yield &amp; Time'!A:M,13,0),B752="NK",VLOOKUP(H752,'Yield &amp; Time'!A:X,24,0))</f>
        <v>100%</v>
      </c>
      <c r="N752" s="35">
        <f t="shared" si="227"/>
        <v>1</v>
      </c>
      <c r="O752" s="1" t="str">
        <f>VLOOKUP(H752,'RM Used'!A:E,5,0)</f>
        <v>Count</v>
      </c>
      <c r="P752" s="11">
        <f>VLOOKUP(H752,'RM Used'!A:F,6,0)</f>
        <v>0.14000000000000001</v>
      </c>
      <c r="Q752" s="11">
        <f t="shared" si="225"/>
        <v>0.14000000000000001</v>
      </c>
      <c r="R752" s="11">
        <f>IFERROR(IF(B752="Reynolds",VLOOKUP(H752,'Yield &amp; Time'!A:U,21,0),VLOOKUP(H752,'Yield &amp; Time'!A:L,12,0)),0)</f>
        <v>0</v>
      </c>
      <c r="S752" s="11">
        <f t="shared" si="217"/>
        <v>0</v>
      </c>
      <c r="T752" s="11">
        <f t="shared" si="218"/>
        <v>0</v>
      </c>
      <c r="U752" s="11">
        <f>IF(A751=A752,0,VLOOKUP(A752,'Packing Time'!A:F,6,0))</f>
        <v>0</v>
      </c>
      <c r="V752" s="11">
        <f t="shared" si="229"/>
        <v>0</v>
      </c>
      <c r="W752" s="11">
        <f t="shared" si="230"/>
        <v>0</v>
      </c>
      <c r="X752" s="11">
        <f t="shared" si="219"/>
        <v>0</v>
      </c>
      <c r="Y752" s="11">
        <f t="shared" si="231"/>
        <v>0</v>
      </c>
      <c r="Z752" s="37">
        <v>1</v>
      </c>
      <c r="AA752" s="36">
        <f t="shared" si="220"/>
        <v>1</v>
      </c>
      <c r="AB752" s="36">
        <f t="shared" si="221"/>
        <v>0.14000000000000001</v>
      </c>
      <c r="AC752" s="11">
        <f t="shared" si="222"/>
        <v>0</v>
      </c>
      <c r="AD752" s="36">
        <f t="shared" si="232"/>
        <v>0</v>
      </c>
      <c r="AE752" s="36"/>
      <c r="AF752" s="36">
        <f>IFERROR(VLOOKUP(AE752,'Chemical Cost'!A:D,4,0),0)</f>
        <v>0</v>
      </c>
      <c r="AG752" s="114">
        <f t="shared" si="223"/>
        <v>0</v>
      </c>
      <c r="AH752" s="36">
        <f t="shared" si="226"/>
        <v>0</v>
      </c>
      <c r="AI752" s="36">
        <f t="shared" si="233"/>
        <v>0.14000000000000001</v>
      </c>
      <c r="AJ752" s="36">
        <f>IFERROR(VLOOKUP(A752,'All Products'!A:F,6,0),0)</f>
        <v>1.7</v>
      </c>
      <c r="AK752" s="36"/>
      <c r="AL752" s="23">
        <v>1</v>
      </c>
      <c r="AM752" s="23"/>
      <c r="AN752" s="54" t="e">
        <v>#N/A</v>
      </c>
      <c r="AO752" s="47"/>
      <c r="AP752" s="4">
        <v>1.6</v>
      </c>
      <c r="AQ752" s="111">
        <f t="shared" si="224"/>
        <v>0</v>
      </c>
      <c r="AR752">
        <f>_xlfn.XLOOKUP(F752,'RM Cost'!A:A,'RM Cost'!S:S)</f>
        <v>0</v>
      </c>
      <c r="AS752" t="e">
        <f>_xlfn.XLOOKUP(A752,[3]Sheet1!$B:$B,[3]Sheet1!$B:$B)</f>
        <v>#N/A</v>
      </c>
    </row>
    <row r="753" spans="1:46" x14ac:dyDescent="0.25">
      <c r="A753" s="2" t="s">
        <v>218</v>
      </c>
      <c r="B753" s="2" t="s">
        <v>656</v>
      </c>
      <c r="C753" s="2" t="s">
        <v>839</v>
      </c>
      <c r="D753" s="2" t="s">
        <v>554</v>
      </c>
      <c r="E753" s="2">
        <v>2.5</v>
      </c>
      <c r="F753" s="1" t="str">
        <f>VLOOKUP(H753,'RM Used'!A:B,2,0)</f>
        <v>206ACS</v>
      </c>
      <c r="G753" s="1" t="str">
        <f>IFERROR(VLOOKUP(F753,'RM Cost'!A:B,2,0),"")</f>
        <v>RM - PREP ONION WHOLE 10KG</v>
      </c>
      <c r="H753" s="2" t="s">
        <v>1367</v>
      </c>
      <c r="I753" s="1" t="str">
        <f>VLOOKUP(F753,'RM Used'!B:D,3,0)</f>
        <v>RM-FOOD</v>
      </c>
      <c r="J753" s="66">
        <v>1</v>
      </c>
      <c r="K753" s="35">
        <f t="shared" si="228"/>
        <v>2.5</v>
      </c>
      <c r="L753" s="35">
        <f t="shared" si="216"/>
        <v>2.5</v>
      </c>
      <c r="M753" s="77" cm="1">
        <f t="array" ref="M753">_xlfn.IFS(BOM!I753="RM-PACKING","100%",B753="Reynolds",VLOOKUP(H753,'Yield &amp; Time'!A:V,22,0),BOM!B753="Dnata",VLOOKUP(BOM!H753,'Yield &amp; Time'!A:M,13,0),B753="NK",VLOOKUP(H753,'Yield &amp; Time'!A:X,24,0))</f>
        <v>0.88753619980447496</v>
      </c>
      <c r="N753" s="35">
        <f t="shared" si="227"/>
        <v>2.8167865159198602</v>
      </c>
      <c r="O753" s="1" t="str">
        <f>VLOOKUP(H753,'RM Used'!A:E,5,0)</f>
        <v>KG</v>
      </c>
      <c r="P753" s="11">
        <f>VLOOKUP(H753,'RM Used'!A:F,6,0)</f>
        <v>0.87</v>
      </c>
      <c r="Q753" s="11">
        <f t="shared" si="225"/>
        <v>2.4506042688502783</v>
      </c>
      <c r="R753" s="11">
        <f>IFERROR(IF(B753="Reynolds",VLOOKUP(H753,'Yield &amp; Time'!A:U,21,0),VLOOKUP(H753,'Yield &amp; Time'!A:L,12,0)),0)</f>
        <v>0.54782608695652169</v>
      </c>
      <c r="S753" s="11">
        <f t="shared" si="217"/>
        <v>0.46359782608695643</v>
      </c>
      <c r="T753" s="11">
        <f t="shared" si="218"/>
        <v>2.2826086956521736E-2</v>
      </c>
      <c r="U753" s="11">
        <f>IF(A752=A753,0,VLOOKUP(A753,'Packing Time'!A:F,6,0))</f>
        <v>0.875</v>
      </c>
      <c r="V753" s="11">
        <f t="shared" si="229"/>
        <v>0.29618749999999999</v>
      </c>
      <c r="W753" s="11">
        <f t="shared" si="230"/>
        <v>1.4583333333333334E-2</v>
      </c>
      <c r="X753" s="11">
        <f t="shared" si="219"/>
        <v>0.83576385869565206</v>
      </c>
      <c r="Y753" s="11">
        <f t="shared" si="231"/>
        <v>0.83576385869565206</v>
      </c>
      <c r="Z753" s="37">
        <v>1</v>
      </c>
      <c r="AA753" s="36">
        <f t="shared" si="220"/>
        <v>2.8167865159198602</v>
      </c>
      <c r="AB753" s="36">
        <f t="shared" si="221"/>
        <v>2.4506042688502783</v>
      </c>
      <c r="AC753" s="11">
        <f t="shared" si="222"/>
        <v>4.1150362318840582E-2</v>
      </c>
      <c r="AD753" s="36">
        <f t="shared" si="232"/>
        <v>0.83576385869565206</v>
      </c>
      <c r="AE753" s="36" t="str">
        <f>VLOOKUP(H753,'Yield &amp; Time'!A:I,9,0)</f>
        <v>CHLORINE</v>
      </c>
      <c r="AF753" s="36">
        <f>IFERROR(VLOOKUP(AE753,'Chemical Cost'!A:D,4,0),0)</f>
        <v>2.7756518066439469E-2</v>
      </c>
      <c r="AG753" s="114">
        <f t="shared" si="223"/>
        <v>2.6061395272810896E-2</v>
      </c>
      <c r="AH753" s="36">
        <f t="shared" si="226"/>
        <v>2.6061395272810896E-2</v>
      </c>
      <c r="AI753" s="36">
        <f t="shared" si="233"/>
        <v>3.312429522818741</v>
      </c>
      <c r="AJ753" s="36">
        <f>IFERROR(VLOOKUP(A753,'All Products'!A:F,6,0),0)</f>
        <v>4.26</v>
      </c>
      <c r="AK753" s="36">
        <f>AJ753*Z753*J753</f>
        <v>4.26</v>
      </c>
      <c r="AL753" s="23">
        <v>1</v>
      </c>
      <c r="AM753" s="23"/>
      <c r="AN753" s="54" t="e">
        <v>#N/A</v>
      </c>
      <c r="AO753" s="47"/>
      <c r="AP753" s="4">
        <v>1.1000000000000001</v>
      </c>
      <c r="AQ753" s="111">
        <f t="shared" si="224"/>
        <v>4.1150362318840582E-2</v>
      </c>
      <c r="AR753">
        <f>_xlfn.XLOOKUP(F753,'RM Cost'!A:A,'RM Cost'!S:S)</f>
        <v>0</v>
      </c>
      <c r="AS753" t="str">
        <f>_xlfn.XLOOKUP(A753,[3]Sheet1!$B:$B,[3]Sheet1!$B:$B)</f>
        <v>Z360CS</v>
      </c>
      <c r="AT753" t="str">
        <f>_xlfn.XLOOKUP(H753,'Yield &amp; Time'!A:A,'Yield &amp; Time'!F:F)</f>
        <v>Yes</v>
      </c>
    </row>
    <row r="754" spans="1:46" x14ac:dyDescent="0.25">
      <c r="A754" s="2" t="s">
        <v>218</v>
      </c>
      <c r="B754" s="2" t="s">
        <v>656</v>
      </c>
      <c r="C754" s="2" t="s">
        <v>839</v>
      </c>
      <c r="D754" s="2" t="s">
        <v>554</v>
      </c>
      <c r="E754" s="2">
        <v>2.5</v>
      </c>
      <c r="F754" s="1" t="str">
        <f>VLOOKUP(H754,'RM Used'!A:B,2,0)</f>
        <v>P0008</v>
      </c>
      <c r="G754" s="1" t="str">
        <f>IFERROR(VLOOKUP(F754,'RM Cost'!A:B,2,0),"")</f>
        <v>PALE BLUE BAG 470X750MM</v>
      </c>
      <c r="H754" s="2" t="s">
        <v>1323</v>
      </c>
      <c r="I754" s="1" t="str">
        <f>VLOOKUP(F754,'RM Used'!B:D,3,0)</f>
        <v>RM-PACKING</v>
      </c>
      <c r="J754" s="66">
        <v>1</v>
      </c>
      <c r="K754" s="35" t="str">
        <f t="shared" si="228"/>
        <v/>
      </c>
      <c r="L754" s="35">
        <f t="shared" si="216"/>
        <v>0</v>
      </c>
      <c r="M754" s="77" t="str" cm="1">
        <f t="array" ref="M754">_xlfn.IFS(BOM!I754="RM-PACKING","100%",B754="Reynolds",VLOOKUP(H754,'Yield &amp; Time'!A:V,22,0),BOM!B754="Dnata",VLOOKUP(BOM!H754,'Yield &amp; Time'!A:M,13,0),B754="NK",VLOOKUP(H754,'Yield &amp; Time'!A:X,24,0))</f>
        <v>100%</v>
      </c>
      <c r="N754" s="35">
        <f t="shared" si="227"/>
        <v>1</v>
      </c>
      <c r="O754" s="1" t="str">
        <f>VLOOKUP(H754,'RM Used'!A:E,5,0)</f>
        <v>Count</v>
      </c>
      <c r="P754" s="11">
        <f>VLOOKUP(H754,'RM Used'!A:F,6,0)</f>
        <v>0.14000000000000001</v>
      </c>
      <c r="Q754" s="11">
        <f t="shared" si="225"/>
        <v>0.14000000000000001</v>
      </c>
      <c r="R754" s="11">
        <f>IFERROR(IF(B754="Reynolds",VLOOKUP(H754,'Yield &amp; Time'!A:U,21,0),VLOOKUP(H754,'Yield &amp; Time'!A:L,12,0)),0)</f>
        <v>0</v>
      </c>
      <c r="S754" s="11">
        <f t="shared" si="217"/>
        <v>0</v>
      </c>
      <c r="T754" s="11">
        <f t="shared" si="218"/>
        <v>0</v>
      </c>
      <c r="U754" s="11">
        <f>IF(A753=A754,0,VLOOKUP(A754,'Packing Time'!A:F,6,0))</f>
        <v>0</v>
      </c>
      <c r="V754" s="11">
        <f t="shared" si="229"/>
        <v>0</v>
      </c>
      <c r="W754" s="11">
        <f t="shared" si="230"/>
        <v>0</v>
      </c>
      <c r="X754" s="11">
        <f t="shared" si="219"/>
        <v>0</v>
      </c>
      <c r="Y754" s="11">
        <f t="shared" si="231"/>
        <v>0</v>
      </c>
      <c r="Z754" s="37">
        <v>1</v>
      </c>
      <c r="AA754" s="36">
        <f t="shared" si="220"/>
        <v>1</v>
      </c>
      <c r="AB754" s="36">
        <f t="shared" si="221"/>
        <v>0.14000000000000001</v>
      </c>
      <c r="AC754" s="11">
        <f t="shared" si="222"/>
        <v>0</v>
      </c>
      <c r="AD754" s="36">
        <f t="shared" si="232"/>
        <v>0</v>
      </c>
      <c r="AE754" s="36"/>
      <c r="AF754" s="36">
        <f>IFERROR(VLOOKUP(AE754,'Chemical Cost'!A:D,4,0),0)</f>
        <v>0</v>
      </c>
      <c r="AG754" s="114">
        <f t="shared" si="223"/>
        <v>0</v>
      </c>
      <c r="AH754" s="36">
        <f t="shared" si="226"/>
        <v>0</v>
      </c>
      <c r="AI754" s="36">
        <f t="shared" si="233"/>
        <v>0.14000000000000001</v>
      </c>
      <c r="AJ754" s="36">
        <f>IFERROR(VLOOKUP(A754,'All Products'!A:F,6,0),0)</f>
        <v>4.26</v>
      </c>
      <c r="AK754" s="36"/>
      <c r="AL754" s="23">
        <v>1</v>
      </c>
      <c r="AM754" s="23"/>
      <c r="AN754" s="54" t="e">
        <v>#N/A</v>
      </c>
      <c r="AO754" s="47"/>
      <c r="AP754" s="4">
        <v>1.1000000000000001</v>
      </c>
      <c r="AQ754" s="111">
        <f t="shared" si="224"/>
        <v>0</v>
      </c>
      <c r="AR754">
        <f>_xlfn.XLOOKUP(F754,'RM Cost'!A:A,'RM Cost'!S:S)</f>
        <v>0</v>
      </c>
      <c r="AS754" t="str">
        <f>_xlfn.XLOOKUP(A754,[3]Sheet1!$B:$B,[3]Sheet1!$B:$B)</f>
        <v>Z360CS</v>
      </c>
      <c r="AT754" t="e">
        <f>_xlfn.XLOOKUP(H754,'Yield &amp; Time'!A:A,'Yield &amp; Time'!F:F)</f>
        <v>#N/A</v>
      </c>
    </row>
    <row r="755" spans="1:46" x14ac:dyDescent="0.25">
      <c r="A755" s="2" t="s">
        <v>840</v>
      </c>
      <c r="B755" s="2" t="s">
        <v>656</v>
      </c>
      <c r="C755" s="2" t="s">
        <v>841</v>
      </c>
      <c r="D755" s="2" t="s">
        <v>554</v>
      </c>
      <c r="E755" s="2">
        <v>1</v>
      </c>
      <c r="F755" s="1" t="str">
        <f>VLOOKUP(H755,'RM Used'!A:B,2,0)</f>
        <v>206ACS</v>
      </c>
      <c r="G755" s="1" t="str">
        <f>IFERROR(VLOOKUP(F755,'RM Cost'!A:B,2,0),"")</f>
        <v>RM - PREP ONION WHOLE 10KG</v>
      </c>
      <c r="H755" s="2" t="s">
        <v>1422</v>
      </c>
      <c r="I755" s="1" t="str">
        <f>VLOOKUP(F755,'RM Used'!B:D,3,0)</f>
        <v>RM-FOOD</v>
      </c>
      <c r="J755" s="66">
        <v>1</v>
      </c>
      <c r="K755" s="35">
        <f t="shared" si="228"/>
        <v>1</v>
      </c>
      <c r="L755" s="35">
        <f t="shared" si="216"/>
        <v>1</v>
      </c>
      <c r="M755" s="77" cm="1">
        <f t="array" ref="M755">_xlfn.IFS(BOM!I755="RM-PACKING","100%",B755="Reynolds",VLOOKUP(H755,'Yield &amp; Time'!A:V,22,0),BOM!B755="Dnata",VLOOKUP(BOM!H755,'Yield &amp; Time'!A:M,13,0),B755="NK",VLOOKUP(H755,'Yield &amp; Time'!A:X,24,0))</f>
        <v>0.85575816127528304</v>
      </c>
      <c r="N755" s="35">
        <f t="shared" si="227"/>
        <v>1.1685544412568176</v>
      </c>
      <c r="O755" s="1" t="str">
        <f>VLOOKUP(H755,'RM Used'!A:E,5,0)</f>
        <v>KG</v>
      </c>
      <c r="P755" s="11">
        <f>VLOOKUP(H755,'RM Used'!A:F,6,0)</f>
        <v>0.87</v>
      </c>
      <c r="Q755" s="11">
        <f t="shared" si="225"/>
        <v>1.0166423638934314</v>
      </c>
      <c r="R755" s="11">
        <f>IFERROR(IF(B755="Reynolds",VLOOKUP(H755,'Yield &amp; Time'!A:U,21,0),VLOOKUP(H755,'Yield &amp; Time'!A:L,12,0)),0)</f>
        <v>0.76797752808988762</v>
      </c>
      <c r="S755" s="11">
        <f t="shared" si="217"/>
        <v>0.25996039325842696</v>
      </c>
      <c r="T755" s="11">
        <f t="shared" si="218"/>
        <v>1.2799625468164794E-2</v>
      </c>
      <c r="U755" s="11">
        <f>IF(A754=A755,0,VLOOKUP(A755,'Packing Time'!A:F,6,0))</f>
        <v>0.64166666666666661</v>
      </c>
      <c r="V755" s="11">
        <f t="shared" si="229"/>
        <v>0.21720416666666661</v>
      </c>
      <c r="W755" s="11">
        <f t="shared" si="230"/>
        <v>1.0694444444444444E-2</v>
      </c>
      <c r="X755" s="11">
        <f t="shared" si="219"/>
        <v>0.76346329588014972</v>
      </c>
      <c r="Y755" s="11">
        <f t="shared" si="231"/>
        <v>0.76346329588014972</v>
      </c>
      <c r="Z755" s="37">
        <v>1</v>
      </c>
      <c r="AA755" s="36">
        <f t="shared" si="220"/>
        <v>1.1685544412568176</v>
      </c>
      <c r="AB755" s="36">
        <f t="shared" si="221"/>
        <v>1.0166423638934314</v>
      </c>
      <c r="AC755" s="11">
        <f t="shared" si="222"/>
        <v>3.7590511860174779E-2</v>
      </c>
      <c r="AD755" s="36">
        <f t="shared" si="232"/>
        <v>0.76346329588014961</v>
      </c>
      <c r="AE755" s="36" t="str">
        <f>VLOOKUP(H755,'Yield &amp; Time'!A:I,9,0)</f>
        <v>CHLORINE</v>
      </c>
      <c r="AF755" s="36">
        <f>IFERROR(VLOOKUP(AE755,'Chemical Cost'!A:D,4,0),0)</f>
        <v>2.7756518066439469E-2</v>
      </c>
      <c r="AG755" s="114">
        <f t="shared" si="223"/>
        <v>1.0811667486787647E-2</v>
      </c>
      <c r="AH755" s="36">
        <f t="shared" si="226"/>
        <v>1.0811667486787647E-2</v>
      </c>
      <c r="AI755" s="36">
        <f t="shared" si="233"/>
        <v>1.7909173272603689</v>
      </c>
      <c r="AJ755" s="36">
        <f>IFERROR(VLOOKUP(A755,'All Products'!A:F,6,0),0)</f>
        <v>2.48</v>
      </c>
      <c r="AK755" s="36">
        <f>AJ755*Z755*J755</f>
        <v>2.48</v>
      </c>
      <c r="AL755" s="23">
        <v>0.8</v>
      </c>
      <c r="AM755" s="23">
        <v>0.2</v>
      </c>
      <c r="AN755" s="54" t="e">
        <v>#N/A</v>
      </c>
      <c r="AO755" s="47"/>
      <c r="AP755" s="4">
        <v>1.6</v>
      </c>
      <c r="AQ755" s="111">
        <f t="shared" si="224"/>
        <v>3.7590511860174779E-2</v>
      </c>
      <c r="AR755">
        <f>_xlfn.XLOOKUP(F755,'RM Cost'!A:A,'RM Cost'!S:S)</f>
        <v>0</v>
      </c>
      <c r="AS755" t="str">
        <f>_xlfn.XLOOKUP(A755,[3]Sheet1!$B:$B,[3]Sheet1!$B:$B)</f>
        <v>Z068CS</v>
      </c>
      <c r="AT755" t="str">
        <f>_xlfn.XLOOKUP(H755,'Yield &amp; Time'!A:A,'Yield &amp; Time'!F:F)</f>
        <v>Yes</v>
      </c>
    </row>
    <row r="756" spans="1:46" x14ac:dyDescent="0.25">
      <c r="A756" s="2" t="s">
        <v>840</v>
      </c>
      <c r="B756" s="2" t="s">
        <v>656</v>
      </c>
      <c r="C756" s="2" t="s">
        <v>841</v>
      </c>
      <c r="D756" s="2" t="s">
        <v>554</v>
      </c>
      <c r="E756" s="2">
        <v>1</v>
      </c>
      <c r="F756" s="1" t="str">
        <f>VLOOKUP(H756,'RM Used'!A:B,2,0)</f>
        <v>P0008</v>
      </c>
      <c r="G756" s="1" t="str">
        <f>IFERROR(VLOOKUP(F756,'RM Cost'!A:B,2,0),"")</f>
        <v>PALE BLUE BAG 470X750MM</v>
      </c>
      <c r="H756" s="2" t="s">
        <v>1323</v>
      </c>
      <c r="I756" s="1" t="str">
        <f>VLOOKUP(F756,'RM Used'!B:D,3,0)</f>
        <v>RM-PACKING</v>
      </c>
      <c r="J756" s="66">
        <v>1</v>
      </c>
      <c r="K756" s="35" t="str">
        <f t="shared" si="228"/>
        <v/>
      </c>
      <c r="L756" s="35">
        <f t="shared" si="216"/>
        <v>0</v>
      </c>
      <c r="M756" s="77" t="str" cm="1">
        <f t="array" ref="M756">_xlfn.IFS(BOM!I756="RM-PACKING","100%",B756="Reynolds",VLOOKUP(H756,'Yield &amp; Time'!A:V,22,0),BOM!B756="Dnata",VLOOKUP(BOM!H756,'Yield &amp; Time'!A:M,13,0),B756="NK",VLOOKUP(H756,'Yield &amp; Time'!A:X,24,0))</f>
        <v>100%</v>
      </c>
      <c r="N756" s="35">
        <f t="shared" si="227"/>
        <v>1</v>
      </c>
      <c r="O756" s="1" t="str">
        <f>VLOOKUP(H756,'RM Used'!A:E,5,0)</f>
        <v>Count</v>
      </c>
      <c r="P756" s="11">
        <f>VLOOKUP(H756,'RM Used'!A:F,6,0)</f>
        <v>0.14000000000000001</v>
      </c>
      <c r="Q756" s="11">
        <f t="shared" si="225"/>
        <v>0.14000000000000001</v>
      </c>
      <c r="R756" s="11">
        <f>IFERROR(IF(B756="Reynolds",VLOOKUP(H756,'Yield &amp; Time'!A:U,21,0),VLOOKUP(H756,'Yield &amp; Time'!A:L,12,0)),0)</f>
        <v>0</v>
      </c>
      <c r="S756" s="11">
        <f t="shared" si="217"/>
        <v>0</v>
      </c>
      <c r="T756" s="11">
        <f t="shared" si="218"/>
        <v>0</v>
      </c>
      <c r="U756" s="11">
        <f>IF(A755=A756,0,VLOOKUP(A756,'Packing Time'!A:F,6,0))</f>
        <v>0</v>
      </c>
      <c r="V756" s="11">
        <f t="shared" si="229"/>
        <v>0</v>
      </c>
      <c r="W756" s="11">
        <f t="shared" si="230"/>
        <v>0</v>
      </c>
      <c r="X756" s="11">
        <f t="shared" si="219"/>
        <v>0</v>
      </c>
      <c r="Y756" s="11">
        <f t="shared" si="231"/>
        <v>0</v>
      </c>
      <c r="Z756" s="37">
        <v>1</v>
      </c>
      <c r="AA756" s="36">
        <f t="shared" si="220"/>
        <v>1</v>
      </c>
      <c r="AB756" s="36">
        <f t="shared" si="221"/>
        <v>0.14000000000000001</v>
      </c>
      <c r="AC756" s="11">
        <f t="shared" si="222"/>
        <v>0</v>
      </c>
      <c r="AD756" s="36">
        <f t="shared" si="232"/>
        <v>0</v>
      </c>
      <c r="AE756" s="36"/>
      <c r="AF756" s="36">
        <f>IFERROR(VLOOKUP(AE756,'Chemical Cost'!A:D,4,0),0)</f>
        <v>0</v>
      </c>
      <c r="AG756" s="114">
        <f t="shared" si="223"/>
        <v>0</v>
      </c>
      <c r="AH756" s="36">
        <f t="shared" si="226"/>
        <v>0</v>
      </c>
      <c r="AI756" s="36">
        <f t="shared" si="233"/>
        <v>0.14000000000000001</v>
      </c>
      <c r="AJ756" s="36">
        <f>IFERROR(VLOOKUP(A756,'All Products'!A:F,6,0),0)</f>
        <v>2.48</v>
      </c>
      <c r="AK756" s="36"/>
      <c r="AL756" s="23">
        <v>0.8</v>
      </c>
      <c r="AM756" s="23">
        <v>0.2</v>
      </c>
      <c r="AN756" s="54" t="e">
        <v>#N/A</v>
      </c>
      <c r="AO756" s="47"/>
      <c r="AP756" s="4">
        <v>1.6</v>
      </c>
      <c r="AQ756" s="111">
        <f t="shared" si="224"/>
        <v>0</v>
      </c>
      <c r="AR756">
        <f>_xlfn.XLOOKUP(F756,'RM Cost'!A:A,'RM Cost'!S:S)</f>
        <v>0</v>
      </c>
      <c r="AS756" t="str">
        <f>_xlfn.XLOOKUP(A756,[3]Sheet1!$B:$B,[3]Sheet1!$B:$B)</f>
        <v>Z068CS</v>
      </c>
      <c r="AT756" t="e">
        <f>_xlfn.XLOOKUP(H756,'Yield &amp; Time'!A:A,'Yield &amp; Time'!F:F)</f>
        <v>#N/A</v>
      </c>
    </row>
    <row r="757" spans="1:46" x14ac:dyDescent="0.25">
      <c r="A757" s="2" t="s">
        <v>842</v>
      </c>
      <c r="B757" s="2" t="s">
        <v>656</v>
      </c>
      <c r="C757" s="2" t="s">
        <v>843</v>
      </c>
      <c r="D757" s="2" t="s">
        <v>554</v>
      </c>
      <c r="E757" s="2">
        <v>2.5</v>
      </c>
      <c r="F757" s="1" t="str">
        <f>VLOOKUP(H757,'RM Used'!A:B,2,0)</f>
        <v>206ACS</v>
      </c>
      <c r="G757" s="1" t="str">
        <f>IFERROR(VLOOKUP(F757,'RM Cost'!A:B,2,0),"")</f>
        <v>RM - PREP ONION WHOLE 10KG</v>
      </c>
      <c r="H757" s="2" t="s">
        <v>1422</v>
      </c>
      <c r="I757" s="1" t="str">
        <f>VLOOKUP(F757,'RM Used'!B:D,3,0)</f>
        <v>RM-FOOD</v>
      </c>
      <c r="J757" s="66">
        <v>1</v>
      </c>
      <c r="K757" s="35">
        <f t="shared" si="228"/>
        <v>2.5</v>
      </c>
      <c r="L757" s="35">
        <f t="shared" si="216"/>
        <v>2.5</v>
      </c>
      <c r="M757" s="77" cm="1">
        <f t="array" ref="M757">_xlfn.IFS(BOM!I757="RM-PACKING","100%",B757="Reynolds",VLOOKUP(H757,'Yield &amp; Time'!A:V,22,0),BOM!B757="Dnata",VLOOKUP(BOM!H757,'Yield &amp; Time'!A:M,13,0),B757="NK",VLOOKUP(H757,'Yield &amp; Time'!A:X,24,0))</f>
        <v>0.85575816127528304</v>
      </c>
      <c r="N757" s="35">
        <f t="shared" si="227"/>
        <v>2.9213861031420443</v>
      </c>
      <c r="O757" s="1" t="str">
        <f>VLOOKUP(H757,'RM Used'!A:E,5,0)</f>
        <v>KG</v>
      </c>
      <c r="P757" s="11">
        <f>VLOOKUP(H757,'RM Used'!A:F,6,0)</f>
        <v>0.87</v>
      </c>
      <c r="Q757" s="11">
        <f t="shared" si="225"/>
        <v>2.5416059097335784</v>
      </c>
      <c r="R757" s="11">
        <f>IFERROR(IF(B757="Reynolds",VLOOKUP(H757,'Yield &amp; Time'!A:U,21,0),VLOOKUP(H757,'Yield &amp; Time'!A:L,12,0)),0)</f>
        <v>0.76797752808988762</v>
      </c>
      <c r="S757" s="11">
        <f t="shared" si="217"/>
        <v>0.64990098314606737</v>
      </c>
      <c r="T757" s="11">
        <f t="shared" si="218"/>
        <v>3.1999063670411984E-2</v>
      </c>
      <c r="U757" s="11">
        <f>IF(A756=A757,0,VLOOKUP(A757,'Packing Time'!A:F,6,0))</f>
        <v>0.875</v>
      </c>
      <c r="V757" s="11">
        <f t="shared" si="229"/>
        <v>0.29618749999999999</v>
      </c>
      <c r="W757" s="11">
        <f t="shared" si="230"/>
        <v>1.4583333333333334E-2</v>
      </c>
      <c r="X757" s="11">
        <f t="shared" si="219"/>
        <v>1.513741573033708</v>
      </c>
      <c r="Y757" s="11">
        <f t="shared" si="231"/>
        <v>1.513741573033708</v>
      </c>
      <c r="Z757" s="37">
        <v>1</v>
      </c>
      <c r="AA757" s="36">
        <f t="shared" si="220"/>
        <v>2.9213861031420443</v>
      </c>
      <c r="AB757" s="36">
        <f t="shared" si="221"/>
        <v>2.5416059097335784</v>
      </c>
      <c r="AC757" s="11">
        <f t="shared" si="222"/>
        <v>7.4531835205992519E-2</v>
      </c>
      <c r="AD757" s="36">
        <f t="shared" si="232"/>
        <v>1.513741573033708</v>
      </c>
      <c r="AE757" s="36" t="str">
        <f>VLOOKUP(H757,'Yield &amp; Time'!A:I,9,0)</f>
        <v>CHLORINE</v>
      </c>
      <c r="AF757" s="36">
        <f>IFERROR(VLOOKUP(AE757,'Chemical Cost'!A:D,4,0),0)</f>
        <v>2.7756518066439469E-2</v>
      </c>
      <c r="AG757" s="114">
        <f t="shared" si="223"/>
        <v>2.7029168716969115E-2</v>
      </c>
      <c r="AH757" s="36">
        <f t="shared" si="226"/>
        <v>2.7029168716969115E-2</v>
      </c>
      <c r="AI757" s="36">
        <f t="shared" si="233"/>
        <v>4.0823766514842559</v>
      </c>
      <c r="AJ757" s="36">
        <f>IFERROR(VLOOKUP(A757,'All Products'!A:F,6,0),0)</f>
        <v>6.2</v>
      </c>
      <c r="AK757" s="36">
        <f>AJ757*Z757*J757</f>
        <v>6.2</v>
      </c>
      <c r="AL757" s="23">
        <v>0.8</v>
      </c>
      <c r="AM757" s="23">
        <v>0.2</v>
      </c>
      <c r="AN757" s="54" t="e">
        <v>#N/A</v>
      </c>
      <c r="AO757" s="47"/>
      <c r="AP757" s="4">
        <v>1.6</v>
      </c>
      <c r="AQ757" s="111">
        <f t="shared" si="224"/>
        <v>7.4531835205992519E-2</v>
      </c>
      <c r="AR757">
        <f>_xlfn.XLOOKUP(F757,'RM Cost'!A:A,'RM Cost'!S:S)</f>
        <v>0</v>
      </c>
      <c r="AS757" t="str">
        <f>_xlfn.XLOOKUP(A757,[3]Sheet1!$B:$B,[3]Sheet1!$B:$B)</f>
        <v>Z067CS</v>
      </c>
      <c r="AT757" t="str">
        <f>_xlfn.XLOOKUP(H757,'Yield &amp; Time'!A:A,'Yield &amp; Time'!F:F)</f>
        <v>Yes</v>
      </c>
    </row>
    <row r="758" spans="1:46" x14ac:dyDescent="0.25">
      <c r="A758" s="2" t="s">
        <v>842</v>
      </c>
      <c r="B758" s="2" t="s">
        <v>656</v>
      </c>
      <c r="C758" s="2" t="s">
        <v>843</v>
      </c>
      <c r="D758" s="2" t="s">
        <v>554</v>
      </c>
      <c r="E758" s="2">
        <v>2.5</v>
      </c>
      <c r="F758" s="1" t="str">
        <f>VLOOKUP(H758,'RM Used'!A:B,2,0)</f>
        <v>P0008</v>
      </c>
      <c r="G758" s="1" t="str">
        <f>IFERROR(VLOOKUP(F758,'RM Cost'!A:B,2,0),"")</f>
        <v>PALE BLUE BAG 470X750MM</v>
      </c>
      <c r="H758" s="2" t="s">
        <v>1323</v>
      </c>
      <c r="I758" s="1" t="str">
        <f>VLOOKUP(F758,'RM Used'!B:D,3,0)</f>
        <v>RM-PACKING</v>
      </c>
      <c r="J758" s="66">
        <v>1</v>
      </c>
      <c r="K758" s="35" t="str">
        <f t="shared" si="228"/>
        <v/>
      </c>
      <c r="L758" s="35">
        <f t="shared" si="216"/>
        <v>0</v>
      </c>
      <c r="M758" s="77" t="str" cm="1">
        <f t="array" ref="M758">_xlfn.IFS(BOM!I758="RM-PACKING","100%",B758="Reynolds",VLOOKUP(H758,'Yield &amp; Time'!A:V,22,0),BOM!B758="Dnata",VLOOKUP(BOM!H758,'Yield &amp; Time'!A:M,13,0),B758="NK",VLOOKUP(H758,'Yield &amp; Time'!A:X,24,0))</f>
        <v>100%</v>
      </c>
      <c r="N758" s="35">
        <f t="shared" si="227"/>
        <v>1</v>
      </c>
      <c r="O758" s="1" t="str">
        <f>VLOOKUP(H758,'RM Used'!A:E,5,0)</f>
        <v>Count</v>
      </c>
      <c r="P758" s="11">
        <f>VLOOKUP(H758,'RM Used'!A:F,6,0)</f>
        <v>0.14000000000000001</v>
      </c>
      <c r="Q758" s="11">
        <f t="shared" si="225"/>
        <v>0.14000000000000001</v>
      </c>
      <c r="R758" s="11">
        <f>IFERROR(IF(B758="Reynolds",VLOOKUP(H758,'Yield &amp; Time'!A:U,21,0),VLOOKUP(H758,'Yield &amp; Time'!A:L,12,0)),0)</f>
        <v>0</v>
      </c>
      <c r="S758" s="11">
        <f t="shared" si="217"/>
        <v>0</v>
      </c>
      <c r="T758" s="11">
        <f t="shared" si="218"/>
        <v>0</v>
      </c>
      <c r="U758" s="11">
        <f>IF(A757=A758,0,VLOOKUP(A758,'Packing Time'!A:F,6,0))</f>
        <v>0</v>
      </c>
      <c r="V758" s="11">
        <f t="shared" si="229"/>
        <v>0</v>
      </c>
      <c r="W758" s="11">
        <f t="shared" si="230"/>
        <v>0</v>
      </c>
      <c r="X758" s="11">
        <f t="shared" si="219"/>
        <v>0</v>
      </c>
      <c r="Y758" s="11">
        <f t="shared" si="231"/>
        <v>0</v>
      </c>
      <c r="Z758" s="37">
        <v>1</v>
      </c>
      <c r="AA758" s="36">
        <f t="shared" si="220"/>
        <v>1</v>
      </c>
      <c r="AB758" s="36">
        <f t="shared" si="221"/>
        <v>0.14000000000000001</v>
      </c>
      <c r="AC758" s="11">
        <f t="shared" si="222"/>
        <v>0</v>
      </c>
      <c r="AD758" s="36">
        <f t="shared" si="232"/>
        <v>0</v>
      </c>
      <c r="AE758" s="36"/>
      <c r="AF758" s="36">
        <f>IFERROR(VLOOKUP(AE758,'Chemical Cost'!A:D,4,0),0)</f>
        <v>0</v>
      </c>
      <c r="AG758" s="114">
        <f t="shared" si="223"/>
        <v>0</v>
      </c>
      <c r="AH758" s="36">
        <f t="shared" si="226"/>
        <v>0</v>
      </c>
      <c r="AI758" s="36">
        <f t="shared" si="233"/>
        <v>0.14000000000000001</v>
      </c>
      <c r="AJ758" s="36">
        <f>IFERROR(VLOOKUP(A758,'All Products'!A:F,6,0),0)</f>
        <v>6.2</v>
      </c>
      <c r="AK758" s="36"/>
      <c r="AL758" s="23">
        <v>0.8</v>
      </c>
      <c r="AM758" s="23">
        <v>0.2</v>
      </c>
      <c r="AN758" s="54" t="e">
        <v>#N/A</v>
      </c>
      <c r="AO758" s="47"/>
      <c r="AP758" s="4">
        <v>1.6</v>
      </c>
      <c r="AQ758" s="111">
        <f t="shared" si="224"/>
        <v>0</v>
      </c>
      <c r="AR758">
        <f>_xlfn.XLOOKUP(F758,'RM Cost'!A:A,'RM Cost'!S:S)</f>
        <v>0</v>
      </c>
      <c r="AS758" t="str">
        <f>_xlfn.XLOOKUP(A758,[3]Sheet1!$B:$B,[3]Sheet1!$B:$B)</f>
        <v>Z067CS</v>
      </c>
      <c r="AT758" t="e">
        <f>_xlfn.XLOOKUP(H758,'Yield &amp; Time'!A:A,'Yield &amp; Time'!F:F)</f>
        <v>#N/A</v>
      </c>
    </row>
    <row r="759" spans="1:46" x14ac:dyDescent="0.25">
      <c r="A759" s="2" t="s">
        <v>844</v>
      </c>
      <c r="B759" s="2" t="s">
        <v>656</v>
      </c>
      <c r="C759" s="2" t="s">
        <v>845</v>
      </c>
      <c r="D759" s="2" t="s">
        <v>554</v>
      </c>
      <c r="E759" s="2">
        <v>1</v>
      </c>
      <c r="F759" s="1" t="str">
        <f>VLOOKUP(H759,'RM Used'!A:B,2,0)</f>
        <v>206ACS</v>
      </c>
      <c r="G759" s="1" t="str">
        <f>IFERROR(VLOOKUP(F759,'RM Cost'!A:B,2,0),"")</f>
        <v>RM - PREP ONION WHOLE 10KG</v>
      </c>
      <c r="H759" s="2" t="s">
        <v>1539</v>
      </c>
      <c r="I759" s="1" t="str">
        <f>VLOOKUP(F759,'RM Used'!B:D,3,0)</f>
        <v>RM-FOOD</v>
      </c>
      <c r="J759" s="66">
        <v>1</v>
      </c>
      <c r="K759" s="35">
        <f t="shared" si="228"/>
        <v>1</v>
      </c>
      <c r="L759" s="35">
        <f t="shared" si="216"/>
        <v>1</v>
      </c>
      <c r="M759" s="77" cm="1">
        <f t="array" ref="M759">_xlfn.IFS(BOM!I759="RM-PACKING","100%",B759="Reynolds",VLOOKUP(H759,'Yield &amp; Time'!A:V,22,0),BOM!B759="Dnata",VLOOKUP(BOM!H759,'Yield &amp; Time'!A:M,13,0),B759="NK",VLOOKUP(H759,'Yield &amp; Time'!A:X,24,0))</f>
        <v>0.85923028138661406</v>
      </c>
      <c r="N759" s="35">
        <f t="shared" si="227"/>
        <v>1.1638323528195651</v>
      </c>
      <c r="O759" s="1" t="str">
        <f>VLOOKUP(H759,'RM Used'!A:E,5,0)</f>
        <v>KG</v>
      </c>
      <c r="P759" s="11">
        <f>VLOOKUP(H759,'RM Used'!A:F,6,0)</f>
        <v>0.87</v>
      </c>
      <c r="Q759" s="11">
        <f t="shared" si="225"/>
        <v>1.0125341469530216</v>
      </c>
      <c r="R759" s="11">
        <f>IFERROR(IF(B759="Reynolds",VLOOKUP(H759,'Yield &amp; Time'!A:U,21,0),VLOOKUP(H759,'Yield &amp; Time'!A:L,12,0)),0)</f>
        <v>0.35</v>
      </c>
      <c r="S759" s="11">
        <f t="shared" si="217"/>
        <v>0.11847499999999998</v>
      </c>
      <c r="T759" s="11">
        <f t="shared" si="218"/>
        <v>5.8333333333333327E-3</v>
      </c>
      <c r="U759" s="11">
        <f>IF(A758=A759,0,VLOOKUP(A759,'Packing Time'!A:F,6,0))</f>
        <v>0.64166666666666661</v>
      </c>
      <c r="V759" s="11">
        <f t="shared" si="229"/>
        <v>0.21720416666666661</v>
      </c>
      <c r="W759" s="11">
        <f t="shared" si="230"/>
        <v>1.0694444444444444E-2</v>
      </c>
      <c r="X759" s="11">
        <f t="shared" si="219"/>
        <v>0.5370866666666666</v>
      </c>
      <c r="Y759" s="11">
        <f t="shared" si="231"/>
        <v>0.5370866666666666</v>
      </c>
      <c r="Z759" s="37">
        <v>1</v>
      </c>
      <c r="AA759" s="36">
        <f t="shared" si="220"/>
        <v>1.1638323528195651</v>
      </c>
      <c r="AB759" s="36">
        <f t="shared" si="221"/>
        <v>1.0125341469530216</v>
      </c>
      <c r="AC759" s="11">
        <f t="shared" si="222"/>
        <v>2.6444444444444444E-2</v>
      </c>
      <c r="AD759" s="36">
        <f t="shared" si="232"/>
        <v>0.5370866666666666</v>
      </c>
      <c r="AE759" s="36" t="str">
        <f>VLOOKUP(H759,'Yield &amp; Time'!A:I,9,0)</f>
        <v>CHLORINE</v>
      </c>
      <c r="AF759" s="36">
        <f>IFERROR(VLOOKUP(AE759,'Chemical Cost'!A:D,4,0),0)</f>
        <v>2.7756518066439469E-2</v>
      </c>
      <c r="AG759" s="114">
        <f t="shared" si="223"/>
        <v>1.0767977909114337E-2</v>
      </c>
      <c r="AH759" s="36">
        <f t="shared" si="226"/>
        <v>1.0767977909114337E-2</v>
      </c>
      <c r="AI759" s="36">
        <f t="shared" si="233"/>
        <v>1.5603887915288024</v>
      </c>
      <c r="AJ759" s="36">
        <f>IFERROR(VLOOKUP(A759,'All Products'!A:F,6,0),0)</f>
        <v>4.67</v>
      </c>
      <c r="AK759" s="36">
        <f>AJ759*Z759*J759</f>
        <v>4.67</v>
      </c>
      <c r="AL759" s="23">
        <v>0.8</v>
      </c>
      <c r="AM759" s="23">
        <v>0.2</v>
      </c>
      <c r="AN759" s="54" t="e">
        <v>#N/A</v>
      </c>
      <c r="AO759" s="47"/>
      <c r="AP759" s="4">
        <v>1.6</v>
      </c>
      <c r="AQ759" s="111">
        <f t="shared" si="224"/>
        <v>2.6444444444444444E-2</v>
      </c>
      <c r="AR759">
        <f>_xlfn.XLOOKUP(F759,'RM Cost'!A:A,'RM Cost'!S:S)</f>
        <v>0</v>
      </c>
      <c r="AS759" t="e">
        <f>_xlfn.XLOOKUP(A759,[3]Sheet1!$B:$B,[3]Sheet1!$B:$B)</f>
        <v>#N/A</v>
      </c>
    </row>
    <row r="760" spans="1:46" x14ac:dyDescent="0.25">
      <c r="A760" s="2" t="s">
        <v>844</v>
      </c>
      <c r="B760" s="2" t="s">
        <v>656</v>
      </c>
      <c r="C760" s="2" t="s">
        <v>845</v>
      </c>
      <c r="D760" s="2" t="s">
        <v>554</v>
      </c>
      <c r="E760" s="2">
        <v>1</v>
      </c>
      <c r="F760" s="1" t="str">
        <f>VLOOKUP(H760,'RM Used'!A:B,2,0)</f>
        <v>P0008</v>
      </c>
      <c r="G760" s="1" t="str">
        <f>IFERROR(VLOOKUP(F760,'RM Cost'!A:B,2,0),"")</f>
        <v>PALE BLUE BAG 470X750MM</v>
      </c>
      <c r="H760" s="2" t="s">
        <v>1323</v>
      </c>
      <c r="I760" s="1" t="str">
        <f>VLOOKUP(F760,'RM Used'!B:D,3,0)</f>
        <v>RM-PACKING</v>
      </c>
      <c r="J760" s="66">
        <v>1</v>
      </c>
      <c r="K760" s="35" t="str">
        <f t="shared" si="228"/>
        <v/>
      </c>
      <c r="L760" s="35">
        <f t="shared" si="216"/>
        <v>0</v>
      </c>
      <c r="M760" s="77" t="str" cm="1">
        <f t="array" ref="M760">_xlfn.IFS(BOM!I760="RM-PACKING","100%",B760="Reynolds",VLOOKUP(H760,'Yield &amp; Time'!A:V,22,0),BOM!B760="Dnata",VLOOKUP(BOM!H760,'Yield &amp; Time'!A:M,13,0),B760="NK",VLOOKUP(H760,'Yield &amp; Time'!A:X,24,0))</f>
        <v>100%</v>
      </c>
      <c r="N760" s="35">
        <f t="shared" si="227"/>
        <v>1</v>
      </c>
      <c r="O760" s="1" t="str">
        <f>VLOOKUP(H760,'RM Used'!A:E,5,0)</f>
        <v>Count</v>
      </c>
      <c r="P760" s="11">
        <f>VLOOKUP(H760,'RM Used'!A:F,6,0)</f>
        <v>0.14000000000000001</v>
      </c>
      <c r="Q760" s="11">
        <f t="shared" si="225"/>
        <v>0.14000000000000001</v>
      </c>
      <c r="R760" s="11">
        <f>IFERROR(IF(B760="Reynolds",VLOOKUP(H760,'Yield &amp; Time'!A:U,21,0),VLOOKUP(H760,'Yield &amp; Time'!A:L,12,0)),0)</f>
        <v>0</v>
      </c>
      <c r="S760" s="11">
        <f t="shared" si="217"/>
        <v>0</v>
      </c>
      <c r="T760" s="11">
        <f t="shared" si="218"/>
        <v>0</v>
      </c>
      <c r="U760" s="11">
        <f>IF(A759=A760,0,VLOOKUP(A760,'Packing Time'!A:F,6,0))</f>
        <v>0</v>
      </c>
      <c r="V760" s="11">
        <f t="shared" si="229"/>
        <v>0</v>
      </c>
      <c r="W760" s="11">
        <f t="shared" si="230"/>
        <v>0</v>
      </c>
      <c r="X760" s="11">
        <f t="shared" si="219"/>
        <v>0</v>
      </c>
      <c r="Y760" s="11">
        <f t="shared" si="231"/>
        <v>0</v>
      </c>
      <c r="Z760" s="37">
        <v>1</v>
      </c>
      <c r="AA760" s="36">
        <f t="shared" si="220"/>
        <v>1</v>
      </c>
      <c r="AB760" s="36">
        <f t="shared" si="221"/>
        <v>0.14000000000000001</v>
      </c>
      <c r="AC760" s="11">
        <f t="shared" si="222"/>
        <v>0</v>
      </c>
      <c r="AD760" s="36">
        <f t="shared" si="232"/>
        <v>0</v>
      </c>
      <c r="AE760" s="36"/>
      <c r="AF760" s="36">
        <f>IFERROR(VLOOKUP(AE760,'Chemical Cost'!A:D,4,0),0)</f>
        <v>0</v>
      </c>
      <c r="AG760" s="114">
        <f t="shared" si="223"/>
        <v>0</v>
      </c>
      <c r="AH760" s="36">
        <f t="shared" si="226"/>
        <v>0</v>
      </c>
      <c r="AI760" s="36">
        <f t="shared" si="233"/>
        <v>0.14000000000000001</v>
      </c>
      <c r="AJ760" s="36">
        <f>IFERROR(VLOOKUP(A760,'All Products'!A:F,6,0),0)</f>
        <v>4.67</v>
      </c>
      <c r="AK760" s="36"/>
      <c r="AL760" s="23">
        <v>0.8</v>
      </c>
      <c r="AM760" s="23">
        <v>0.2</v>
      </c>
      <c r="AN760" s="54" t="e">
        <v>#N/A</v>
      </c>
      <c r="AO760" s="47"/>
      <c r="AP760" s="4">
        <v>1.6</v>
      </c>
      <c r="AQ760" s="111">
        <f t="shared" si="224"/>
        <v>0</v>
      </c>
      <c r="AR760">
        <f>_xlfn.XLOOKUP(F760,'RM Cost'!A:A,'RM Cost'!S:S)</f>
        <v>0</v>
      </c>
      <c r="AS760" t="e">
        <f>_xlfn.XLOOKUP(A760,[3]Sheet1!$B:$B,[3]Sheet1!$B:$B)</f>
        <v>#N/A</v>
      </c>
    </row>
    <row r="761" spans="1:46" x14ac:dyDescent="0.25">
      <c r="A761" s="2" t="s">
        <v>525</v>
      </c>
      <c r="B761" s="2" t="s">
        <v>656</v>
      </c>
      <c r="C761" s="2" t="s">
        <v>846</v>
      </c>
      <c r="D761" s="2" t="s">
        <v>554</v>
      </c>
      <c r="E761" s="2">
        <v>2.5</v>
      </c>
      <c r="F761" s="1" t="str">
        <f>VLOOKUP(H761,'RM Used'!A:B,2,0)</f>
        <v>206ACS</v>
      </c>
      <c r="G761" s="1" t="str">
        <f>IFERROR(VLOOKUP(F761,'RM Cost'!A:B,2,0),"")</f>
        <v>RM - PREP ONION WHOLE 10KG</v>
      </c>
      <c r="H761" s="2" t="s">
        <v>1539</v>
      </c>
      <c r="I761" s="1" t="str">
        <f>VLOOKUP(F761,'RM Used'!B:D,3,0)</f>
        <v>RM-FOOD</v>
      </c>
      <c r="J761" s="66">
        <v>1</v>
      </c>
      <c r="K761" s="35">
        <f t="shared" si="228"/>
        <v>2.5</v>
      </c>
      <c r="L761" s="35">
        <f t="shared" si="216"/>
        <v>2.5</v>
      </c>
      <c r="M761" s="77" cm="1">
        <f t="array" ref="M761">_xlfn.IFS(BOM!I761="RM-PACKING","100%",B761="Reynolds",VLOOKUP(H761,'Yield &amp; Time'!A:V,22,0),BOM!B761="Dnata",VLOOKUP(BOM!H761,'Yield &amp; Time'!A:M,13,0),B761="NK",VLOOKUP(H761,'Yield &amp; Time'!A:X,24,0))</f>
        <v>0.85923028138661406</v>
      </c>
      <c r="N761" s="35">
        <f t="shared" si="227"/>
        <v>2.9095808820489126</v>
      </c>
      <c r="O761" s="1" t="str">
        <f>VLOOKUP(H761,'RM Used'!A:E,5,0)</f>
        <v>KG</v>
      </c>
      <c r="P761" s="11">
        <f>VLOOKUP(H761,'RM Used'!A:F,6,0)</f>
        <v>0.87</v>
      </c>
      <c r="Q761" s="11">
        <f t="shared" si="225"/>
        <v>2.531335367382554</v>
      </c>
      <c r="R761" s="11">
        <f>IFERROR(IF(B761="Reynolds",VLOOKUP(H761,'Yield &amp; Time'!A:U,21,0),VLOOKUP(H761,'Yield &amp; Time'!A:L,12,0)),0)</f>
        <v>0.35</v>
      </c>
      <c r="S761" s="11">
        <f t="shared" si="217"/>
        <v>0.29618749999999999</v>
      </c>
      <c r="T761" s="11">
        <f t="shared" si="218"/>
        <v>1.4583333333333334E-2</v>
      </c>
      <c r="U761" s="11">
        <f>IF(A760=A761,0,VLOOKUP(A761,'Packing Time'!A:F,6,0))</f>
        <v>0.875</v>
      </c>
      <c r="V761" s="11">
        <f t="shared" si="229"/>
        <v>0.29618749999999999</v>
      </c>
      <c r="W761" s="11">
        <f t="shared" si="230"/>
        <v>1.4583333333333334E-2</v>
      </c>
      <c r="X761" s="11">
        <f t="shared" si="219"/>
        <v>0.94779999999999998</v>
      </c>
      <c r="Y761" s="11">
        <f t="shared" si="231"/>
        <v>0.94779999999999998</v>
      </c>
      <c r="Z761" s="37">
        <v>1</v>
      </c>
      <c r="AA761" s="36">
        <f t="shared" si="220"/>
        <v>2.9095808820489126</v>
      </c>
      <c r="AB761" s="36">
        <f t="shared" si="221"/>
        <v>2.531335367382554</v>
      </c>
      <c r="AC761" s="11">
        <f t="shared" si="222"/>
        <v>4.6666666666666669E-2</v>
      </c>
      <c r="AD761" s="36">
        <f t="shared" si="232"/>
        <v>0.94779999999999998</v>
      </c>
      <c r="AE761" s="36" t="str">
        <f>VLOOKUP(H761,'Yield &amp; Time'!A:I,9,0)</f>
        <v>CHLORINE</v>
      </c>
      <c r="AF761" s="36">
        <f>IFERROR(VLOOKUP(AE761,'Chemical Cost'!A:D,4,0),0)</f>
        <v>2.7756518066439469E-2</v>
      </c>
      <c r="AG761" s="114">
        <f t="shared" si="223"/>
        <v>2.691994477278584E-2</v>
      </c>
      <c r="AH761" s="36">
        <f t="shared" si="226"/>
        <v>2.691994477278584E-2</v>
      </c>
      <c r="AI761" s="36">
        <f t="shared" si="233"/>
        <v>3.5060553121553397</v>
      </c>
      <c r="AJ761" s="36">
        <f>IFERROR(VLOOKUP(A761,'All Products'!A:F,6,0),0)</f>
        <v>11.67</v>
      </c>
      <c r="AK761" s="36">
        <f>AJ761*Z761*J761</f>
        <v>11.67</v>
      </c>
      <c r="AL761" s="23">
        <v>0.8</v>
      </c>
      <c r="AM761" s="23">
        <v>0.2</v>
      </c>
      <c r="AN761" s="54" t="e">
        <v>#N/A</v>
      </c>
      <c r="AO761" s="47"/>
      <c r="AP761" s="4">
        <v>1.6</v>
      </c>
      <c r="AQ761" s="111">
        <f t="shared" si="224"/>
        <v>4.6666666666666669E-2</v>
      </c>
      <c r="AR761">
        <f>_xlfn.XLOOKUP(F761,'RM Cost'!A:A,'RM Cost'!S:S)</f>
        <v>0</v>
      </c>
      <c r="AS761" t="e">
        <f>_xlfn.XLOOKUP(A761,[3]Sheet1!$B:$B,[3]Sheet1!$B:$B)</f>
        <v>#N/A</v>
      </c>
    </row>
    <row r="762" spans="1:46" x14ac:dyDescent="0.25">
      <c r="A762" s="2" t="s">
        <v>525</v>
      </c>
      <c r="B762" s="2" t="s">
        <v>656</v>
      </c>
      <c r="C762" s="2" t="s">
        <v>846</v>
      </c>
      <c r="D762" s="2" t="s">
        <v>554</v>
      </c>
      <c r="E762" s="2">
        <v>2.5</v>
      </c>
      <c r="F762" s="1" t="str">
        <f>VLOOKUP(H762,'RM Used'!A:B,2,0)</f>
        <v>P0008</v>
      </c>
      <c r="G762" s="1" t="str">
        <f>IFERROR(VLOOKUP(F762,'RM Cost'!A:B,2,0),"")</f>
        <v>PALE BLUE BAG 470X750MM</v>
      </c>
      <c r="H762" s="2" t="s">
        <v>1323</v>
      </c>
      <c r="I762" s="1" t="str">
        <f>VLOOKUP(F762,'RM Used'!B:D,3,0)</f>
        <v>RM-PACKING</v>
      </c>
      <c r="J762" s="66">
        <v>1</v>
      </c>
      <c r="K762" s="35" t="str">
        <f t="shared" si="228"/>
        <v/>
      </c>
      <c r="L762" s="35">
        <f t="shared" si="216"/>
        <v>0</v>
      </c>
      <c r="M762" s="77" t="str" cm="1">
        <f t="array" ref="M762">_xlfn.IFS(BOM!I762="RM-PACKING","100%",B762="Reynolds",VLOOKUP(H762,'Yield &amp; Time'!A:V,22,0),BOM!B762="Dnata",VLOOKUP(BOM!H762,'Yield &amp; Time'!A:M,13,0),B762="NK",VLOOKUP(H762,'Yield &amp; Time'!A:X,24,0))</f>
        <v>100%</v>
      </c>
      <c r="N762" s="35">
        <f t="shared" si="227"/>
        <v>1</v>
      </c>
      <c r="O762" s="1" t="str">
        <f>VLOOKUP(H762,'RM Used'!A:E,5,0)</f>
        <v>Count</v>
      </c>
      <c r="P762" s="11">
        <f>VLOOKUP(H762,'RM Used'!A:F,6,0)</f>
        <v>0.14000000000000001</v>
      </c>
      <c r="Q762" s="11">
        <f t="shared" si="225"/>
        <v>0.14000000000000001</v>
      </c>
      <c r="R762" s="11">
        <f>IFERROR(IF(B762="Reynolds",VLOOKUP(H762,'Yield &amp; Time'!A:U,21,0),VLOOKUP(H762,'Yield &amp; Time'!A:L,12,0)),0)</f>
        <v>0</v>
      </c>
      <c r="S762" s="11">
        <f t="shared" si="217"/>
        <v>0</v>
      </c>
      <c r="T762" s="11">
        <f t="shared" si="218"/>
        <v>0</v>
      </c>
      <c r="U762" s="11">
        <f>IF(A761=A762,0,VLOOKUP(A762,'Packing Time'!A:F,6,0))</f>
        <v>0</v>
      </c>
      <c r="V762" s="11">
        <f t="shared" si="229"/>
        <v>0</v>
      </c>
      <c r="W762" s="11">
        <f t="shared" si="230"/>
        <v>0</v>
      </c>
      <c r="X762" s="11">
        <f t="shared" si="219"/>
        <v>0</v>
      </c>
      <c r="Y762" s="11">
        <f t="shared" si="231"/>
        <v>0</v>
      </c>
      <c r="Z762" s="37">
        <v>1</v>
      </c>
      <c r="AA762" s="36">
        <f t="shared" si="220"/>
        <v>1</v>
      </c>
      <c r="AB762" s="36">
        <f t="shared" si="221"/>
        <v>0.14000000000000001</v>
      </c>
      <c r="AC762" s="11">
        <f t="shared" si="222"/>
        <v>0</v>
      </c>
      <c r="AD762" s="36">
        <f t="shared" si="232"/>
        <v>0</v>
      </c>
      <c r="AE762" s="36"/>
      <c r="AF762" s="36">
        <f>IFERROR(VLOOKUP(AE762,'Chemical Cost'!A:D,4,0),0)</f>
        <v>0</v>
      </c>
      <c r="AG762" s="114">
        <f t="shared" si="223"/>
        <v>0</v>
      </c>
      <c r="AH762" s="36">
        <f t="shared" si="226"/>
        <v>0</v>
      </c>
      <c r="AI762" s="36">
        <f t="shared" si="233"/>
        <v>0.14000000000000001</v>
      </c>
      <c r="AJ762" s="36">
        <f>IFERROR(VLOOKUP(A762,'All Products'!A:F,6,0),0)</f>
        <v>11.67</v>
      </c>
      <c r="AK762" s="36"/>
      <c r="AL762" s="23">
        <v>0.8</v>
      </c>
      <c r="AM762" s="23">
        <v>0.2</v>
      </c>
      <c r="AN762" s="54" t="e">
        <v>#N/A</v>
      </c>
      <c r="AO762" s="47"/>
      <c r="AP762" s="4">
        <v>1.6</v>
      </c>
      <c r="AQ762" s="111">
        <f t="shared" si="224"/>
        <v>0</v>
      </c>
      <c r="AR762">
        <f>_xlfn.XLOOKUP(F762,'RM Cost'!A:A,'RM Cost'!S:S)</f>
        <v>0</v>
      </c>
      <c r="AS762" t="e">
        <f>_xlfn.XLOOKUP(A762,[3]Sheet1!$B:$B,[3]Sheet1!$B:$B)</f>
        <v>#N/A</v>
      </c>
    </row>
    <row r="763" spans="1:46" x14ac:dyDescent="0.25">
      <c r="A763" s="2" t="s">
        <v>215</v>
      </c>
      <c r="B763" s="2" t="s">
        <v>656</v>
      </c>
      <c r="C763" s="2" t="s">
        <v>847</v>
      </c>
      <c r="D763" s="2" t="s">
        <v>554</v>
      </c>
      <c r="E763" s="2">
        <v>1</v>
      </c>
      <c r="F763" s="1" t="str">
        <f>VLOOKUP(H763,'RM Used'!A:B,2,0)</f>
        <v>206ACS</v>
      </c>
      <c r="G763" s="1" t="str">
        <f>IFERROR(VLOOKUP(F763,'RM Cost'!A:B,2,0),"")</f>
        <v>RM - PREP ONION WHOLE 10KG</v>
      </c>
      <c r="H763" s="2" t="s">
        <v>1540</v>
      </c>
      <c r="I763" s="1" t="str">
        <f>VLOOKUP(F763,'RM Used'!B:D,3,0)</f>
        <v>RM-FOOD</v>
      </c>
      <c r="J763" s="66">
        <v>1</v>
      </c>
      <c r="K763" s="35">
        <f t="shared" si="228"/>
        <v>1</v>
      </c>
      <c r="L763" s="35">
        <f t="shared" si="216"/>
        <v>1</v>
      </c>
      <c r="M763" s="77" cm="1">
        <f t="array" ref="M763">_xlfn.IFS(BOM!I763="RM-PACKING","100%",B763="Reynolds",VLOOKUP(H763,'Yield &amp; Time'!A:V,22,0),BOM!B763="Dnata",VLOOKUP(BOM!H763,'Yield &amp; Time'!A:M,13,0),B763="NK",VLOOKUP(H763,'Yield &amp; Time'!A:X,24,0))</f>
        <v>0.442</v>
      </c>
      <c r="N763" s="35">
        <f t="shared" si="227"/>
        <v>2.2624434389140271</v>
      </c>
      <c r="O763" s="1" t="str">
        <f>VLOOKUP(H763,'RM Used'!A:E,5,0)</f>
        <v>KG</v>
      </c>
      <c r="P763" s="11">
        <f>VLOOKUP(H763,'RM Used'!A:F,6,0)</f>
        <v>0.87</v>
      </c>
      <c r="Q763" s="11">
        <f t="shared" si="225"/>
        <v>1.9683257918552035</v>
      </c>
      <c r="R763" s="11">
        <f>IFERROR(IF(B763="Reynolds",VLOOKUP(H763,'Yield &amp; Time'!A:U,21,0),VLOOKUP(H763,'Yield &amp; Time'!A:L,12,0)),0)</f>
        <v>2.4076923076923076</v>
      </c>
      <c r="S763" s="11">
        <f t="shared" si="217"/>
        <v>0.81500384615384602</v>
      </c>
      <c r="T763" s="11">
        <f t="shared" si="218"/>
        <v>4.0128205128205127E-2</v>
      </c>
      <c r="U763" s="11">
        <f>IF(A762=A763,0,VLOOKUP(A763,'Packing Time'!A:F,6,0))</f>
        <v>0.64166666666666661</v>
      </c>
      <c r="V763" s="11">
        <f t="shared" si="229"/>
        <v>0.21720416666666661</v>
      </c>
      <c r="W763" s="11">
        <f t="shared" si="230"/>
        <v>1.0694444444444444E-2</v>
      </c>
      <c r="X763" s="11">
        <f t="shared" si="219"/>
        <v>1.6515328205128204</v>
      </c>
      <c r="Y763" s="11">
        <f t="shared" si="231"/>
        <v>1.6515328205128204</v>
      </c>
      <c r="Z763" s="37">
        <v>1</v>
      </c>
      <c r="AA763" s="36">
        <f t="shared" si="220"/>
        <v>2.2624434389140271</v>
      </c>
      <c r="AB763" s="36">
        <f t="shared" si="221"/>
        <v>1.9683257918552035</v>
      </c>
      <c r="AC763" s="11">
        <f t="shared" si="222"/>
        <v>8.1316239316239325E-2</v>
      </c>
      <c r="AD763" s="36">
        <f t="shared" si="232"/>
        <v>1.6515328205128204</v>
      </c>
      <c r="AE763" s="36" t="str">
        <f>VLOOKUP(H763,'Yield &amp; Time'!A:I,9,0)</f>
        <v>CHLORINE</v>
      </c>
      <c r="AF763" s="36">
        <f>IFERROR(VLOOKUP(AE763,'Chemical Cost'!A:D,4,0),0)</f>
        <v>2.7756518066439469E-2</v>
      </c>
      <c r="AG763" s="114">
        <f t="shared" si="223"/>
        <v>2.0932517395504877E-2</v>
      </c>
      <c r="AH763" s="36">
        <f t="shared" si="226"/>
        <v>2.0932517395504877E-2</v>
      </c>
      <c r="AI763" s="36">
        <f t="shared" si="233"/>
        <v>3.6407911297635285</v>
      </c>
      <c r="AJ763" s="36">
        <f>IFERROR(VLOOKUP(A763,'All Products'!A:F,6,0),0)</f>
        <v>4.71</v>
      </c>
      <c r="AK763" s="36">
        <f>AJ763*Z763*J763</f>
        <v>4.71</v>
      </c>
      <c r="AL763" s="23">
        <v>0</v>
      </c>
      <c r="AM763" s="23">
        <v>1</v>
      </c>
      <c r="AN763" s="54" t="e">
        <v>#N/A</v>
      </c>
      <c r="AO763" s="47"/>
      <c r="AP763" s="4">
        <v>1.6</v>
      </c>
      <c r="AQ763" s="111">
        <f t="shared" si="224"/>
        <v>8.1316239316239325E-2</v>
      </c>
      <c r="AR763">
        <f>_xlfn.XLOOKUP(F763,'RM Cost'!A:A,'RM Cost'!S:S)</f>
        <v>0</v>
      </c>
      <c r="AS763" t="str">
        <f>_xlfn.XLOOKUP(A763,[3]Sheet1!$B:$B,[3]Sheet1!$B:$B)</f>
        <v>Z078CS</v>
      </c>
      <c r="AT763">
        <f>_xlfn.XLOOKUP(H763,'Yield &amp; Time'!A:A,'Yield &amp; Time'!F:F)</f>
        <v>0</v>
      </c>
    </row>
    <row r="764" spans="1:46" x14ac:dyDescent="0.25">
      <c r="A764" s="2" t="s">
        <v>215</v>
      </c>
      <c r="B764" s="2" t="s">
        <v>656</v>
      </c>
      <c r="C764" s="2" t="s">
        <v>847</v>
      </c>
      <c r="D764" s="2" t="s">
        <v>554</v>
      </c>
      <c r="E764" s="2">
        <v>1</v>
      </c>
      <c r="F764" s="1" t="str">
        <f>VLOOKUP(H764,'RM Used'!A:B,2,0)</f>
        <v>P0008</v>
      </c>
      <c r="G764" s="1" t="str">
        <f>IFERROR(VLOOKUP(F764,'RM Cost'!A:B,2,0),"")</f>
        <v>PALE BLUE BAG 470X750MM</v>
      </c>
      <c r="H764" s="2" t="s">
        <v>1323</v>
      </c>
      <c r="I764" s="1" t="str">
        <f>VLOOKUP(F764,'RM Used'!B:D,3,0)</f>
        <v>RM-PACKING</v>
      </c>
      <c r="J764" s="66">
        <v>1</v>
      </c>
      <c r="K764" s="35" t="str">
        <f t="shared" si="228"/>
        <v/>
      </c>
      <c r="L764" s="35">
        <f t="shared" si="216"/>
        <v>0</v>
      </c>
      <c r="M764" s="77" t="str" cm="1">
        <f t="array" ref="M764">_xlfn.IFS(BOM!I764="RM-PACKING","100%",B764="Reynolds",VLOOKUP(H764,'Yield &amp; Time'!A:V,22,0),BOM!B764="Dnata",VLOOKUP(BOM!H764,'Yield &amp; Time'!A:M,13,0),B764="NK",VLOOKUP(H764,'Yield &amp; Time'!A:X,24,0))</f>
        <v>100%</v>
      </c>
      <c r="N764" s="35">
        <f t="shared" si="227"/>
        <v>1</v>
      </c>
      <c r="O764" s="1" t="str">
        <f>VLOOKUP(H764,'RM Used'!A:E,5,0)</f>
        <v>Count</v>
      </c>
      <c r="P764" s="11">
        <f>VLOOKUP(H764,'RM Used'!A:F,6,0)</f>
        <v>0.14000000000000001</v>
      </c>
      <c r="Q764" s="11">
        <f t="shared" si="225"/>
        <v>0.14000000000000001</v>
      </c>
      <c r="R764" s="11">
        <f>IFERROR(IF(B764="Reynolds",VLOOKUP(H764,'Yield &amp; Time'!A:U,21,0),VLOOKUP(H764,'Yield &amp; Time'!A:L,12,0)),0)</f>
        <v>0</v>
      </c>
      <c r="S764" s="11">
        <f t="shared" si="217"/>
        <v>0</v>
      </c>
      <c r="T764" s="11">
        <f t="shared" si="218"/>
        <v>0</v>
      </c>
      <c r="U764" s="11">
        <f>IF(A763=A764,0,VLOOKUP(A764,'Packing Time'!A:F,6,0))</f>
        <v>0</v>
      </c>
      <c r="V764" s="11">
        <f t="shared" si="229"/>
        <v>0</v>
      </c>
      <c r="W764" s="11">
        <f t="shared" si="230"/>
        <v>0</v>
      </c>
      <c r="X764" s="11">
        <f t="shared" si="219"/>
        <v>0</v>
      </c>
      <c r="Y764" s="11">
        <f t="shared" si="231"/>
        <v>0</v>
      </c>
      <c r="Z764" s="37">
        <v>1</v>
      </c>
      <c r="AA764" s="36">
        <f t="shared" si="220"/>
        <v>1</v>
      </c>
      <c r="AB764" s="36">
        <f t="shared" si="221"/>
        <v>0.14000000000000001</v>
      </c>
      <c r="AC764" s="11">
        <f t="shared" si="222"/>
        <v>0</v>
      </c>
      <c r="AD764" s="36">
        <f t="shared" si="232"/>
        <v>0</v>
      </c>
      <c r="AE764" s="36"/>
      <c r="AF764" s="36">
        <f>IFERROR(VLOOKUP(AE764,'Chemical Cost'!A:D,4,0),0)</f>
        <v>0</v>
      </c>
      <c r="AG764" s="114">
        <f t="shared" si="223"/>
        <v>0</v>
      </c>
      <c r="AH764" s="36">
        <f t="shared" si="226"/>
        <v>0</v>
      </c>
      <c r="AI764" s="36">
        <f t="shared" si="233"/>
        <v>0.14000000000000001</v>
      </c>
      <c r="AJ764" s="36">
        <f>IFERROR(VLOOKUP(A764,'All Products'!A:F,6,0),0)</f>
        <v>4.71</v>
      </c>
      <c r="AK764" s="36"/>
      <c r="AL764" s="23">
        <v>0</v>
      </c>
      <c r="AM764" s="23">
        <v>1</v>
      </c>
      <c r="AN764" s="54" t="e">
        <v>#N/A</v>
      </c>
      <c r="AO764" s="47"/>
      <c r="AP764" s="4">
        <v>1.6</v>
      </c>
      <c r="AQ764" s="111">
        <f t="shared" si="224"/>
        <v>0</v>
      </c>
      <c r="AR764">
        <f>_xlfn.XLOOKUP(F764,'RM Cost'!A:A,'RM Cost'!S:S)</f>
        <v>0</v>
      </c>
      <c r="AS764" t="str">
        <f>_xlfn.XLOOKUP(A764,[3]Sheet1!$B:$B,[3]Sheet1!$B:$B)</f>
        <v>Z078CS</v>
      </c>
      <c r="AT764" t="e">
        <f>_xlfn.XLOOKUP(H764,'Yield &amp; Time'!A:A,'Yield &amp; Time'!F:F)</f>
        <v>#N/A</v>
      </c>
    </row>
    <row r="765" spans="1:46" x14ac:dyDescent="0.25">
      <c r="A765" s="2" t="s">
        <v>214</v>
      </c>
      <c r="B765" s="2" t="s">
        <v>656</v>
      </c>
      <c r="C765" s="2" t="s">
        <v>848</v>
      </c>
      <c r="D765" s="2" t="s">
        <v>554</v>
      </c>
      <c r="E765" s="2">
        <v>2.5</v>
      </c>
      <c r="F765" s="1" t="str">
        <f>VLOOKUP(H765,'RM Used'!A:B,2,0)</f>
        <v>206ACS</v>
      </c>
      <c r="G765" s="1" t="str">
        <f>IFERROR(VLOOKUP(F765,'RM Cost'!A:B,2,0),"")</f>
        <v>RM - PREP ONION WHOLE 10KG</v>
      </c>
      <c r="H765" s="2" t="s">
        <v>1540</v>
      </c>
      <c r="I765" s="1" t="str">
        <f>VLOOKUP(F765,'RM Used'!B:D,3,0)</f>
        <v>RM-FOOD</v>
      </c>
      <c r="J765" s="66">
        <v>1</v>
      </c>
      <c r="K765" s="35">
        <f t="shared" si="228"/>
        <v>2.5</v>
      </c>
      <c r="L765" s="35">
        <f t="shared" si="216"/>
        <v>2.5</v>
      </c>
      <c r="M765" s="77" cm="1">
        <f t="array" ref="M765">_xlfn.IFS(BOM!I765="RM-PACKING","100%",B765="Reynolds",VLOOKUP(H765,'Yield &amp; Time'!A:V,22,0),BOM!B765="Dnata",VLOOKUP(BOM!H765,'Yield &amp; Time'!A:M,13,0),B765="NK",VLOOKUP(H765,'Yield &amp; Time'!A:X,24,0))</f>
        <v>0.442</v>
      </c>
      <c r="N765" s="35">
        <f t="shared" si="227"/>
        <v>5.6561085972850682</v>
      </c>
      <c r="O765" s="1" t="str">
        <f>VLOOKUP(H765,'RM Used'!A:E,5,0)</f>
        <v>KG</v>
      </c>
      <c r="P765" s="11">
        <f>VLOOKUP(H765,'RM Used'!A:F,6,0)</f>
        <v>0.87</v>
      </c>
      <c r="Q765" s="11">
        <f t="shared" si="225"/>
        <v>4.9208144796380093</v>
      </c>
      <c r="R765" s="11">
        <f>IFERROR(IF(B765="Reynolds",VLOOKUP(H765,'Yield &amp; Time'!A:U,21,0),VLOOKUP(H765,'Yield &amp; Time'!A:L,12,0)),0)</f>
        <v>2.4076923076923076</v>
      </c>
      <c r="S765" s="11">
        <f t="shared" si="217"/>
        <v>2.0375096153846153</v>
      </c>
      <c r="T765" s="11">
        <f t="shared" si="218"/>
        <v>0.10032051282051282</v>
      </c>
      <c r="U765" s="11">
        <f>IF(A764=A765,0,VLOOKUP(A765,'Packing Time'!A:F,6,0))</f>
        <v>0.875</v>
      </c>
      <c r="V765" s="11">
        <f t="shared" si="229"/>
        <v>0.29618749999999999</v>
      </c>
      <c r="W765" s="11">
        <f t="shared" si="230"/>
        <v>1.4583333333333334E-2</v>
      </c>
      <c r="X765" s="11">
        <f t="shared" si="219"/>
        <v>3.7339153846153845</v>
      </c>
      <c r="Y765" s="11">
        <f t="shared" si="231"/>
        <v>3.7339153846153845</v>
      </c>
      <c r="Z765" s="37">
        <v>1</v>
      </c>
      <c r="AA765" s="36">
        <f t="shared" si="220"/>
        <v>5.6561085972850682</v>
      </c>
      <c r="AB765" s="36">
        <f t="shared" si="221"/>
        <v>4.9208144796380093</v>
      </c>
      <c r="AC765" s="11">
        <f t="shared" si="222"/>
        <v>0.18384615384615385</v>
      </c>
      <c r="AD765" s="36">
        <f t="shared" si="232"/>
        <v>3.7339153846153841</v>
      </c>
      <c r="AE765" s="36" t="str">
        <f>VLOOKUP(H765,'Yield &amp; Time'!A:I,9,0)</f>
        <v>CHLORINE</v>
      </c>
      <c r="AF765" s="36">
        <f>IFERROR(VLOOKUP(AE765,'Chemical Cost'!A:D,4,0),0)</f>
        <v>2.7756518066439469E-2</v>
      </c>
      <c r="AG765" s="114">
        <f t="shared" si="223"/>
        <v>5.2331293488762198E-2</v>
      </c>
      <c r="AH765" s="36">
        <f t="shared" si="226"/>
        <v>5.2331293488762198E-2</v>
      </c>
      <c r="AI765" s="36">
        <f t="shared" si="233"/>
        <v>8.7070611577421566</v>
      </c>
      <c r="AJ765" s="36">
        <f>IFERROR(VLOOKUP(A765,'All Products'!A:F,6,0),0)</f>
        <v>11.75</v>
      </c>
      <c r="AK765" s="36">
        <f>AJ765*Z765*J765</f>
        <v>11.75</v>
      </c>
      <c r="AL765" s="23">
        <v>0</v>
      </c>
      <c r="AM765" s="23">
        <v>1</v>
      </c>
      <c r="AN765" s="54" t="e">
        <v>#N/A</v>
      </c>
      <c r="AO765" s="47"/>
      <c r="AP765" s="4">
        <v>1.6</v>
      </c>
      <c r="AQ765" s="111">
        <f t="shared" si="224"/>
        <v>0.18384615384615385</v>
      </c>
      <c r="AR765">
        <f>_xlfn.XLOOKUP(F765,'RM Cost'!A:A,'RM Cost'!S:S)</f>
        <v>0</v>
      </c>
      <c r="AS765" t="e">
        <f>_xlfn.XLOOKUP(A765,[3]Sheet1!$B:$B,[3]Sheet1!$B:$B)</f>
        <v>#N/A</v>
      </c>
    </row>
    <row r="766" spans="1:46" x14ac:dyDescent="0.25">
      <c r="A766" s="2" t="s">
        <v>214</v>
      </c>
      <c r="B766" s="2" t="s">
        <v>656</v>
      </c>
      <c r="C766" s="2" t="s">
        <v>848</v>
      </c>
      <c r="D766" s="2" t="s">
        <v>554</v>
      </c>
      <c r="E766" s="2">
        <v>2.5</v>
      </c>
      <c r="F766" s="1" t="str">
        <f>VLOOKUP(H766,'RM Used'!A:B,2,0)</f>
        <v>P0008</v>
      </c>
      <c r="G766" s="1" t="str">
        <f>IFERROR(VLOOKUP(F766,'RM Cost'!A:B,2,0),"")</f>
        <v>PALE BLUE BAG 470X750MM</v>
      </c>
      <c r="H766" s="2" t="s">
        <v>1323</v>
      </c>
      <c r="I766" s="1" t="str">
        <f>VLOOKUP(F766,'RM Used'!B:D,3,0)</f>
        <v>RM-PACKING</v>
      </c>
      <c r="J766" s="66">
        <v>1</v>
      </c>
      <c r="K766" s="35" t="str">
        <f t="shared" si="228"/>
        <v/>
      </c>
      <c r="L766" s="35">
        <f t="shared" si="216"/>
        <v>0</v>
      </c>
      <c r="M766" s="77" t="str" cm="1">
        <f t="array" ref="M766">_xlfn.IFS(BOM!I766="RM-PACKING","100%",B766="Reynolds",VLOOKUP(H766,'Yield &amp; Time'!A:V,22,0),BOM!B766="Dnata",VLOOKUP(BOM!H766,'Yield &amp; Time'!A:M,13,0),B766="NK",VLOOKUP(H766,'Yield &amp; Time'!A:X,24,0))</f>
        <v>100%</v>
      </c>
      <c r="N766" s="35">
        <f t="shared" si="227"/>
        <v>1</v>
      </c>
      <c r="O766" s="1" t="str">
        <f>VLOOKUP(H766,'RM Used'!A:E,5,0)</f>
        <v>Count</v>
      </c>
      <c r="P766" s="11">
        <f>VLOOKUP(H766,'RM Used'!A:F,6,0)</f>
        <v>0.14000000000000001</v>
      </c>
      <c r="Q766" s="11">
        <f t="shared" si="225"/>
        <v>0.14000000000000001</v>
      </c>
      <c r="R766" s="11">
        <f>IFERROR(IF(B766="Reynolds",VLOOKUP(H766,'Yield &amp; Time'!A:U,21,0),VLOOKUP(H766,'Yield &amp; Time'!A:L,12,0)),0)</f>
        <v>0</v>
      </c>
      <c r="S766" s="11">
        <f t="shared" si="217"/>
        <v>0</v>
      </c>
      <c r="T766" s="11">
        <f t="shared" si="218"/>
        <v>0</v>
      </c>
      <c r="U766" s="11">
        <f>IF(A765=A766,0,VLOOKUP(A766,'Packing Time'!A:F,6,0))</f>
        <v>0</v>
      </c>
      <c r="V766" s="11">
        <f t="shared" si="229"/>
        <v>0</v>
      </c>
      <c r="W766" s="11">
        <f t="shared" si="230"/>
        <v>0</v>
      </c>
      <c r="X766" s="11">
        <f t="shared" si="219"/>
        <v>0</v>
      </c>
      <c r="Y766" s="11">
        <f t="shared" si="231"/>
        <v>0</v>
      </c>
      <c r="Z766" s="37">
        <v>1</v>
      </c>
      <c r="AA766" s="36">
        <f t="shared" si="220"/>
        <v>1</v>
      </c>
      <c r="AB766" s="36">
        <f t="shared" si="221"/>
        <v>0.14000000000000001</v>
      </c>
      <c r="AC766" s="11">
        <f t="shared" si="222"/>
        <v>0</v>
      </c>
      <c r="AD766" s="36">
        <f t="shared" si="232"/>
        <v>0</v>
      </c>
      <c r="AE766" s="36"/>
      <c r="AF766" s="36">
        <f>IFERROR(VLOOKUP(AE766,'Chemical Cost'!A:D,4,0),0)</f>
        <v>0</v>
      </c>
      <c r="AG766" s="114">
        <f t="shared" si="223"/>
        <v>0</v>
      </c>
      <c r="AH766" s="36">
        <f t="shared" si="226"/>
        <v>0</v>
      </c>
      <c r="AI766" s="36">
        <f t="shared" si="233"/>
        <v>0.14000000000000001</v>
      </c>
      <c r="AJ766" s="36">
        <f>IFERROR(VLOOKUP(A766,'All Products'!A:F,6,0),0)</f>
        <v>11.75</v>
      </c>
      <c r="AK766" s="36"/>
      <c r="AL766" s="23">
        <v>0</v>
      </c>
      <c r="AM766" s="23">
        <v>1</v>
      </c>
      <c r="AN766" s="54" t="e">
        <v>#N/A</v>
      </c>
      <c r="AO766" s="47"/>
      <c r="AP766" s="4">
        <v>1.6</v>
      </c>
      <c r="AQ766" s="111">
        <f t="shared" si="224"/>
        <v>0</v>
      </c>
      <c r="AR766">
        <f>_xlfn.XLOOKUP(F766,'RM Cost'!A:A,'RM Cost'!S:S)</f>
        <v>0</v>
      </c>
      <c r="AS766" t="e">
        <f>_xlfn.XLOOKUP(A766,[3]Sheet1!$B:$B,[3]Sheet1!$B:$B)</f>
        <v>#N/A</v>
      </c>
    </row>
    <row r="767" spans="1:46" x14ac:dyDescent="0.25">
      <c r="A767" s="2" t="s">
        <v>213</v>
      </c>
      <c r="B767" s="2" t="s">
        <v>656</v>
      </c>
      <c r="C767" s="2" t="s">
        <v>849</v>
      </c>
      <c r="D767" s="2" t="s">
        <v>554</v>
      </c>
      <c r="E767" s="2">
        <v>0.25</v>
      </c>
      <c r="F767" s="1" t="str">
        <f>VLOOKUP(H767,'RM Used'!A:B,2,0)</f>
        <v>206ACS</v>
      </c>
      <c r="G767" s="1" t="str">
        <f>IFERROR(VLOOKUP(F767,'RM Cost'!A:B,2,0),"")</f>
        <v>RM - PREP ONION WHOLE 10KG</v>
      </c>
      <c r="H767" s="2" t="s">
        <v>1540</v>
      </c>
      <c r="I767" s="1" t="str">
        <f>VLOOKUP(F767,'RM Used'!B:D,3,0)</f>
        <v>RM-FOOD</v>
      </c>
      <c r="J767" s="66">
        <v>1</v>
      </c>
      <c r="K767" s="35">
        <f t="shared" si="228"/>
        <v>0.25</v>
      </c>
      <c r="L767" s="35">
        <f t="shared" si="216"/>
        <v>0.25</v>
      </c>
      <c r="M767" s="77" cm="1">
        <f t="array" ref="M767">_xlfn.IFS(BOM!I767="RM-PACKING","100%",B767="Reynolds",VLOOKUP(H767,'Yield &amp; Time'!A:V,22,0),BOM!B767="Dnata",VLOOKUP(BOM!H767,'Yield &amp; Time'!A:M,13,0),B767="NK",VLOOKUP(H767,'Yield &amp; Time'!A:X,24,0))</f>
        <v>0.442</v>
      </c>
      <c r="N767" s="35">
        <f t="shared" si="227"/>
        <v>0.56561085972850678</v>
      </c>
      <c r="O767" s="1" t="str">
        <f>VLOOKUP(H767,'RM Used'!A:E,5,0)</f>
        <v>KG</v>
      </c>
      <c r="P767" s="11">
        <f>VLOOKUP(H767,'RM Used'!A:F,6,0)</f>
        <v>0.87</v>
      </c>
      <c r="Q767" s="11">
        <f t="shared" si="225"/>
        <v>0.49208144796380088</v>
      </c>
      <c r="R767" s="11">
        <f>IFERROR(IF(B767="Reynolds",VLOOKUP(H767,'Yield &amp; Time'!A:U,21,0),VLOOKUP(H767,'Yield &amp; Time'!A:L,12,0)),0)</f>
        <v>2.4076923076923076</v>
      </c>
      <c r="S767" s="11">
        <f t="shared" si="217"/>
        <v>0.20375096153846151</v>
      </c>
      <c r="T767" s="11">
        <f t="shared" si="218"/>
        <v>1.0032051282051282E-2</v>
      </c>
      <c r="U767" s="11">
        <f>IF(A766=A767,0,VLOOKUP(A767,'Packing Time'!A:F,6,0))</f>
        <v>0.47499999999999998</v>
      </c>
      <c r="V767" s="11">
        <f t="shared" si="229"/>
        <v>0.16078749999999997</v>
      </c>
      <c r="W767" s="11">
        <f t="shared" si="230"/>
        <v>7.9166666666666656E-3</v>
      </c>
      <c r="X767" s="11">
        <f t="shared" si="219"/>
        <v>0.58326153846153839</v>
      </c>
      <c r="Y767" s="11">
        <f t="shared" si="231"/>
        <v>0.58326153846153839</v>
      </c>
      <c r="Z767" s="37">
        <v>1</v>
      </c>
      <c r="AA767" s="36">
        <f t="shared" si="220"/>
        <v>0.56561085972850678</v>
      </c>
      <c r="AB767" s="36">
        <f t="shared" si="221"/>
        <v>0.49208144796380088</v>
      </c>
      <c r="AC767" s="11">
        <f t="shared" si="222"/>
        <v>2.8717948717948718E-2</v>
      </c>
      <c r="AD767" s="36">
        <f t="shared" si="232"/>
        <v>0.58326153846153839</v>
      </c>
      <c r="AE767" s="36" t="str">
        <f>VLOOKUP(H767,'Yield &amp; Time'!A:I,9,0)</f>
        <v>CHLORINE</v>
      </c>
      <c r="AF767" s="36">
        <f>IFERROR(VLOOKUP(AE767,'Chemical Cost'!A:D,4,0),0)</f>
        <v>2.7756518066439469E-2</v>
      </c>
      <c r="AG767" s="114">
        <f t="shared" si="223"/>
        <v>5.2331293488762191E-3</v>
      </c>
      <c r="AH767" s="36">
        <f t="shared" si="226"/>
        <v>5.2331293488762191E-3</v>
      </c>
      <c r="AI767" s="36">
        <f t="shared" si="233"/>
        <v>1.0805761157742155</v>
      </c>
      <c r="AJ767" s="36">
        <f>IFERROR(VLOOKUP(A767,'All Products'!A:F,6,0),0)</f>
        <v>1.19</v>
      </c>
      <c r="AK767" s="36">
        <f>AJ767*Z767*J767</f>
        <v>1.19</v>
      </c>
      <c r="AL767" s="23">
        <v>0</v>
      </c>
      <c r="AM767" s="23">
        <v>1</v>
      </c>
      <c r="AN767" s="54" t="e">
        <v>#N/A</v>
      </c>
      <c r="AO767" s="47"/>
      <c r="AP767" s="4">
        <v>1.6</v>
      </c>
      <c r="AQ767" s="111">
        <f t="shared" si="224"/>
        <v>2.8717948717948718E-2</v>
      </c>
      <c r="AR767">
        <f>_xlfn.XLOOKUP(F767,'RM Cost'!A:A,'RM Cost'!S:S)</f>
        <v>0</v>
      </c>
      <c r="AS767" t="e">
        <f>_xlfn.XLOOKUP(A767,[3]Sheet1!$B:$B,[3]Sheet1!$B:$B)</f>
        <v>#N/A</v>
      </c>
    </row>
    <row r="768" spans="1:46" x14ac:dyDescent="0.25">
      <c r="A768" s="2" t="s">
        <v>213</v>
      </c>
      <c r="B768" s="2" t="s">
        <v>656</v>
      </c>
      <c r="C768" s="2" t="s">
        <v>849</v>
      </c>
      <c r="D768" s="2" t="s">
        <v>554</v>
      </c>
      <c r="E768" s="2">
        <v>0.25</v>
      </c>
      <c r="F768" s="1" t="str">
        <f>VLOOKUP(H768,'RM Used'!A:B,2,0)</f>
        <v>P0017</v>
      </c>
      <c r="G768" s="1" t="str">
        <f>IFERROR(VLOOKUP(F768,'RM Cost'!A:B,2,0),"")</f>
        <v>PALE BLUE BAG 250X300MM</v>
      </c>
      <c r="H768" s="2" t="s">
        <v>1334</v>
      </c>
      <c r="I768" s="1" t="str">
        <f>VLOOKUP(F768,'RM Used'!B:D,3,0)</f>
        <v>RM-PACKING</v>
      </c>
      <c r="J768" s="66">
        <v>1</v>
      </c>
      <c r="K768" s="35" t="str">
        <f t="shared" si="228"/>
        <v/>
      </c>
      <c r="L768" s="35">
        <f t="shared" si="216"/>
        <v>0</v>
      </c>
      <c r="M768" s="77" t="str" cm="1">
        <f t="array" ref="M768">_xlfn.IFS(BOM!I768="RM-PACKING","100%",B768="Reynolds",VLOOKUP(H768,'Yield &amp; Time'!A:V,22,0),BOM!B768="Dnata",VLOOKUP(BOM!H768,'Yield &amp; Time'!A:M,13,0),B768="NK",VLOOKUP(H768,'Yield &amp; Time'!A:X,24,0))</f>
        <v>100%</v>
      </c>
      <c r="N768" s="35">
        <f t="shared" si="227"/>
        <v>1</v>
      </c>
      <c r="O768" s="1" t="str">
        <f>VLOOKUP(H768,'RM Used'!A:E,5,0)</f>
        <v>Count</v>
      </c>
      <c r="P768" s="11">
        <f>VLOOKUP(H768,'RM Used'!A:F,6,0)</f>
        <v>0.05</v>
      </c>
      <c r="Q768" s="11">
        <f t="shared" si="225"/>
        <v>0.05</v>
      </c>
      <c r="R768" s="11">
        <f>IFERROR(IF(B768="Reynolds",VLOOKUP(H768,'Yield &amp; Time'!A:U,21,0),VLOOKUP(H768,'Yield &amp; Time'!A:L,12,0)),0)</f>
        <v>0</v>
      </c>
      <c r="S768" s="11">
        <f t="shared" si="217"/>
        <v>0</v>
      </c>
      <c r="T768" s="11">
        <f t="shared" si="218"/>
        <v>0</v>
      </c>
      <c r="U768" s="11">
        <f>IF(A767=A768,0,VLOOKUP(A768,'Packing Time'!A:F,6,0))</f>
        <v>0</v>
      </c>
      <c r="V768" s="11">
        <f t="shared" si="229"/>
        <v>0</v>
      </c>
      <c r="W768" s="11">
        <f t="shared" si="230"/>
        <v>0</v>
      </c>
      <c r="X768" s="11">
        <f t="shared" si="219"/>
        <v>0</v>
      </c>
      <c r="Y768" s="11">
        <f t="shared" si="231"/>
        <v>0</v>
      </c>
      <c r="Z768" s="37">
        <v>1</v>
      </c>
      <c r="AA768" s="36">
        <f t="shared" si="220"/>
        <v>1</v>
      </c>
      <c r="AB768" s="36">
        <f t="shared" si="221"/>
        <v>0.05</v>
      </c>
      <c r="AC768" s="11">
        <f t="shared" si="222"/>
        <v>0</v>
      </c>
      <c r="AD768" s="36">
        <f t="shared" si="232"/>
        <v>0</v>
      </c>
      <c r="AE768" s="36"/>
      <c r="AF768" s="36">
        <f>IFERROR(VLOOKUP(AE768,'Chemical Cost'!A:D,4,0),0)</f>
        <v>0</v>
      </c>
      <c r="AG768" s="114">
        <f t="shared" si="223"/>
        <v>0</v>
      </c>
      <c r="AH768" s="36">
        <f t="shared" si="226"/>
        <v>0</v>
      </c>
      <c r="AI768" s="36">
        <f t="shared" si="233"/>
        <v>0.05</v>
      </c>
      <c r="AJ768" s="36">
        <f>IFERROR(VLOOKUP(A768,'All Products'!A:F,6,0),0)</f>
        <v>1.19</v>
      </c>
      <c r="AK768" s="36"/>
      <c r="AL768" s="23">
        <v>0</v>
      </c>
      <c r="AM768" s="23">
        <v>1</v>
      </c>
      <c r="AN768" s="54" t="e">
        <v>#N/A</v>
      </c>
      <c r="AO768" s="47"/>
      <c r="AP768" s="4">
        <v>1.6</v>
      </c>
      <c r="AQ768" s="111">
        <f t="shared" si="224"/>
        <v>0</v>
      </c>
      <c r="AR768">
        <f>_xlfn.XLOOKUP(F768,'RM Cost'!A:A,'RM Cost'!S:S)</f>
        <v>0</v>
      </c>
      <c r="AS768" t="e">
        <f>_xlfn.XLOOKUP(A768,[3]Sheet1!$B:$B,[3]Sheet1!$B:$B)</f>
        <v>#N/A</v>
      </c>
    </row>
    <row r="769" spans="1:46" x14ac:dyDescent="0.25">
      <c r="A769" s="2" t="s">
        <v>211</v>
      </c>
      <c r="B769" s="2" t="s">
        <v>656</v>
      </c>
      <c r="C769" s="2" t="s">
        <v>212</v>
      </c>
      <c r="D769" s="2" t="s">
        <v>554</v>
      </c>
      <c r="E769" s="2">
        <v>1</v>
      </c>
      <c r="F769" s="1" t="str">
        <f>VLOOKUP(H769,'RM Used'!A:B,2,0)</f>
        <v>206ACS</v>
      </c>
      <c r="G769" s="1" t="str">
        <f>IFERROR(VLOOKUP(F769,'RM Cost'!A:B,2,0),"")</f>
        <v>RM - PREP ONION WHOLE 10KG</v>
      </c>
      <c r="H769" s="2" t="s">
        <v>1541</v>
      </c>
      <c r="I769" s="1" t="str">
        <f>VLOOKUP(F769,'RM Used'!B:D,3,0)</f>
        <v>RM-FOOD</v>
      </c>
      <c r="J769" s="66">
        <v>1</v>
      </c>
      <c r="K769" s="35">
        <f t="shared" si="228"/>
        <v>1</v>
      </c>
      <c r="L769" s="35">
        <f t="shared" si="216"/>
        <v>1</v>
      </c>
      <c r="M769" s="77" cm="1">
        <f t="array" ref="M769">_xlfn.IFS(BOM!I769="RM-PACKING","100%",B769="Reynolds",VLOOKUP(H769,'Yield &amp; Time'!A:V,22,0),BOM!B769="Dnata",VLOOKUP(BOM!H769,'Yield &amp; Time'!A:M,13,0),B769="NK",VLOOKUP(H769,'Yield &amp; Time'!A:X,24,0))</f>
        <v>0.91823899371069173</v>
      </c>
      <c r="N769" s="35">
        <f t="shared" si="227"/>
        <v>1.0890410958904111</v>
      </c>
      <c r="O769" s="1" t="str">
        <f>VLOOKUP(H769,'RM Used'!A:E,5,0)</f>
        <v>KG</v>
      </c>
      <c r="P769" s="11">
        <f>VLOOKUP(H769,'RM Used'!A:F,6,0)</f>
        <v>0.87</v>
      </c>
      <c r="Q769" s="11">
        <f t="shared" si="225"/>
        <v>0.94746575342465766</v>
      </c>
      <c r="R769" s="11">
        <f>IFERROR(IF(B769="Reynolds",VLOOKUP(H769,'Yield &amp; Time'!A:U,21,0),VLOOKUP(H769,'Yield &amp; Time'!A:L,12,0)),0)</f>
        <v>0.6</v>
      </c>
      <c r="S769" s="11">
        <f t="shared" si="217"/>
        <v>0.20309999999999997</v>
      </c>
      <c r="T769" s="11">
        <f t="shared" si="218"/>
        <v>0.01</v>
      </c>
      <c r="U769" s="11">
        <f>IF(A768=A769,0,VLOOKUP(A769,'Packing Time'!A:F,6,0))</f>
        <v>0.64166666666666661</v>
      </c>
      <c r="V769" s="11">
        <f t="shared" si="229"/>
        <v>0.21720416666666661</v>
      </c>
      <c r="W769" s="11">
        <f t="shared" si="230"/>
        <v>1.0694444444444444E-2</v>
      </c>
      <c r="X769" s="11">
        <f t="shared" si="219"/>
        <v>0.67248666666666668</v>
      </c>
      <c r="Y769" s="11">
        <f t="shared" si="231"/>
        <v>0.67248666666666668</v>
      </c>
      <c r="Z769" s="37">
        <v>1</v>
      </c>
      <c r="AA769" s="36">
        <f t="shared" si="220"/>
        <v>1.0890410958904111</v>
      </c>
      <c r="AB769" s="36">
        <f t="shared" si="221"/>
        <v>0.94746575342465766</v>
      </c>
      <c r="AC769" s="11">
        <f t="shared" si="222"/>
        <v>3.3111111111111112E-2</v>
      </c>
      <c r="AD769" s="36">
        <f t="shared" si="232"/>
        <v>0.67248666666666668</v>
      </c>
      <c r="AE769" s="36" t="str">
        <f>VLOOKUP(H769,'Yield &amp; Time'!A:I,9,0)</f>
        <v>CHLORINE</v>
      </c>
      <c r="AF769" s="36">
        <f>IFERROR(VLOOKUP(AE769,'Chemical Cost'!A:D,4,0),0)</f>
        <v>2.7756518066439469E-2</v>
      </c>
      <c r="AG769" s="114">
        <f t="shared" si="223"/>
        <v>1.0075996284392411E-2</v>
      </c>
      <c r="AH769" s="36">
        <f t="shared" si="226"/>
        <v>1.0075996284392411E-2</v>
      </c>
      <c r="AI769" s="36">
        <f t="shared" si="233"/>
        <v>1.6300284163757168</v>
      </c>
      <c r="AJ769" s="36">
        <f>IFERROR(VLOOKUP(A769,'All Products'!A:F,6,0),0)</f>
        <v>1.98</v>
      </c>
      <c r="AK769" s="36">
        <f>AJ769*Z769*J769</f>
        <v>1.98</v>
      </c>
      <c r="AL769" s="23">
        <v>0.8</v>
      </c>
      <c r="AM769" s="23">
        <v>0.2</v>
      </c>
      <c r="AN769" s="54" t="e">
        <v>#N/A</v>
      </c>
      <c r="AO769" s="47"/>
      <c r="AP769" s="4">
        <v>1.6</v>
      </c>
      <c r="AQ769" s="111">
        <f t="shared" si="224"/>
        <v>3.3111111111111112E-2</v>
      </c>
      <c r="AR769">
        <f>_xlfn.XLOOKUP(F769,'RM Cost'!A:A,'RM Cost'!S:S)</f>
        <v>0</v>
      </c>
      <c r="AS769" t="str">
        <f>_xlfn.XLOOKUP(A769,[3]Sheet1!$B:$B,[3]Sheet1!$B:$B)</f>
        <v>Z072CS</v>
      </c>
      <c r="AT769">
        <f>_xlfn.XLOOKUP(H769,'Yield &amp; Time'!A:A,'Yield &amp; Time'!F:F)</f>
        <v>0</v>
      </c>
    </row>
    <row r="770" spans="1:46" x14ac:dyDescent="0.25">
      <c r="A770" s="2" t="s">
        <v>211</v>
      </c>
      <c r="B770" s="2" t="s">
        <v>656</v>
      </c>
      <c r="C770" s="2" t="s">
        <v>212</v>
      </c>
      <c r="D770" s="2" t="s">
        <v>554</v>
      </c>
      <c r="E770" s="2">
        <v>1</v>
      </c>
      <c r="F770" s="1" t="str">
        <f>VLOOKUP(H770,'RM Used'!A:B,2,0)</f>
        <v>P0008</v>
      </c>
      <c r="G770" s="1" t="str">
        <f>IFERROR(VLOOKUP(F770,'RM Cost'!A:B,2,0),"")</f>
        <v>PALE BLUE BAG 470X750MM</v>
      </c>
      <c r="H770" s="2" t="s">
        <v>1323</v>
      </c>
      <c r="I770" s="1" t="str">
        <f>VLOOKUP(F770,'RM Used'!B:D,3,0)</f>
        <v>RM-PACKING</v>
      </c>
      <c r="J770" s="66">
        <v>1</v>
      </c>
      <c r="K770" s="35" t="str">
        <f t="shared" si="228"/>
        <v/>
      </c>
      <c r="L770" s="35">
        <f t="shared" ref="L770:L833" si="234">IFERROR(K770*Z770,0)</f>
        <v>0</v>
      </c>
      <c r="M770" s="77" t="str" cm="1">
        <f t="array" ref="M770">_xlfn.IFS(BOM!I770="RM-PACKING","100%",B770="Reynolds",VLOOKUP(H770,'Yield &amp; Time'!A:V,22,0),BOM!B770="Dnata",VLOOKUP(BOM!H770,'Yield &amp; Time'!A:M,13,0),B770="NK",VLOOKUP(H770,'Yield &amp; Time'!A:X,24,0))</f>
        <v>100%</v>
      </c>
      <c r="N770" s="35">
        <f t="shared" si="227"/>
        <v>1</v>
      </c>
      <c r="O770" s="1" t="str">
        <f>VLOOKUP(H770,'RM Used'!A:E,5,0)</f>
        <v>Count</v>
      </c>
      <c r="P770" s="11">
        <f>VLOOKUP(H770,'RM Used'!A:F,6,0)</f>
        <v>0.14000000000000001</v>
      </c>
      <c r="Q770" s="11">
        <f t="shared" si="225"/>
        <v>0.14000000000000001</v>
      </c>
      <c r="R770" s="11">
        <f>IFERROR(IF(B770="Reynolds",VLOOKUP(H770,'Yield &amp; Time'!A:U,21,0),VLOOKUP(H770,'Yield &amp; Time'!A:L,12,0)),0)</f>
        <v>0</v>
      </c>
      <c r="S770" s="11">
        <f t="shared" ref="S770:S833" si="235">R770*J770*E770*AO$1</f>
        <v>0</v>
      </c>
      <c r="T770" s="11">
        <f t="shared" ref="T770:T833" si="236">(R770*Z770*J770*E770)/60</f>
        <v>0</v>
      </c>
      <c r="U770" s="11">
        <f>IF(A769=A770,0,VLOOKUP(A770,'Packing Time'!A:F,6,0))</f>
        <v>0</v>
      </c>
      <c r="V770" s="11">
        <f t="shared" si="229"/>
        <v>0</v>
      </c>
      <c r="W770" s="11">
        <f t="shared" si="230"/>
        <v>0</v>
      </c>
      <c r="X770" s="11">
        <f t="shared" ref="X770:X833" si="237">((R770*J770*E770)+U770)*AO$1*AP770</f>
        <v>0</v>
      </c>
      <c r="Y770" s="11">
        <f t="shared" si="231"/>
        <v>0</v>
      </c>
      <c r="Z770" s="37">
        <v>1</v>
      </c>
      <c r="AA770" s="36">
        <f t="shared" ref="AA770:AA833" si="238">Z770*N770</f>
        <v>1</v>
      </c>
      <c r="AB770" s="36">
        <f t="shared" ref="AB770:AB833" si="239">AA770*P770</f>
        <v>0.14000000000000001</v>
      </c>
      <c r="AC770" s="11">
        <f t="shared" ref="AC770:AC833" si="240">(((R770*J770*E770)+U770)/60)*Z770*AP770</f>
        <v>0</v>
      </c>
      <c r="AD770" s="36">
        <f t="shared" si="232"/>
        <v>0</v>
      </c>
      <c r="AE770" s="36"/>
      <c r="AF770" s="36">
        <f>IFERROR(VLOOKUP(AE770,'Chemical Cost'!A:D,4,0),0)</f>
        <v>0</v>
      </c>
      <c r="AG770" s="114">
        <f t="shared" ref="AG770:AG833" si="241">AF770*N770/3</f>
        <v>0</v>
      </c>
      <c r="AH770" s="36">
        <f t="shared" si="226"/>
        <v>0</v>
      </c>
      <c r="AI770" s="36">
        <f t="shared" si="233"/>
        <v>0.14000000000000001</v>
      </c>
      <c r="AJ770" s="36">
        <f>IFERROR(VLOOKUP(A770,'All Products'!A:F,6,0),0)</f>
        <v>1.98</v>
      </c>
      <c r="AK770" s="36"/>
      <c r="AL770" s="23">
        <v>0.8</v>
      </c>
      <c r="AM770" s="23">
        <v>0.2</v>
      </c>
      <c r="AN770" s="54" t="e">
        <v>#N/A</v>
      </c>
      <c r="AO770" s="47"/>
      <c r="AP770" s="4">
        <v>1.6</v>
      </c>
      <c r="AQ770" s="111">
        <f t="shared" ref="AQ770:AQ833" si="242">(((R770*J770*E770)+U770)/60)*AP770</f>
        <v>0</v>
      </c>
      <c r="AR770">
        <f>_xlfn.XLOOKUP(F770,'RM Cost'!A:A,'RM Cost'!S:S)</f>
        <v>0</v>
      </c>
      <c r="AS770" t="str">
        <f>_xlfn.XLOOKUP(A770,[3]Sheet1!$B:$B,[3]Sheet1!$B:$B)</f>
        <v>Z072CS</v>
      </c>
      <c r="AT770" t="e">
        <f>_xlfn.XLOOKUP(H770,'Yield &amp; Time'!A:A,'Yield &amp; Time'!F:F)</f>
        <v>#N/A</v>
      </c>
    </row>
    <row r="771" spans="1:46" x14ac:dyDescent="0.25">
      <c r="A771" s="2" t="s">
        <v>209</v>
      </c>
      <c r="B771" s="2" t="s">
        <v>656</v>
      </c>
      <c r="C771" s="2" t="s">
        <v>210</v>
      </c>
      <c r="D771" s="2" t="s">
        <v>554</v>
      </c>
      <c r="E771" s="2">
        <v>2.5</v>
      </c>
      <c r="F771" s="1" t="str">
        <f>VLOOKUP(H771,'RM Used'!A:B,2,0)</f>
        <v>206ACS</v>
      </c>
      <c r="G771" s="1" t="str">
        <f>IFERROR(VLOOKUP(F771,'RM Cost'!A:B,2,0),"")</f>
        <v>RM - PREP ONION WHOLE 10KG</v>
      </c>
      <c r="H771" s="2" t="s">
        <v>1541</v>
      </c>
      <c r="I771" s="1" t="str">
        <f>VLOOKUP(F771,'RM Used'!B:D,3,0)</f>
        <v>RM-FOOD</v>
      </c>
      <c r="J771" s="66">
        <v>1</v>
      </c>
      <c r="K771" s="35">
        <f t="shared" si="228"/>
        <v>2.5</v>
      </c>
      <c r="L771" s="35">
        <f t="shared" si="234"/>
        <v>2.5</v>
      </c>
      <c r="M771" s="77" cm="1">
        <f t="array" ref="M771">_xlfn.IFS(BOM!I771="RM-PACKING","100%",B771="Reynolds",VLOOKUP(H771,'Yield &amp; Time'!A:V,22,0),BOM!B771="Dnata",VLOOKUP(BOM!H771,'Yield &amp; Time'!A:M,13,0),B771="NK",VLOOKUP(H771,'Yield &amp; Time'!A:X,24,0))</f>
        <v>0.91823899371069173</v>
      </c>
      <c r="N771" s="35">
        <f t="shared" si="227"/>
        <v>2.7226027397260277</v>
      </c>
      <c r="O771" s="1" t="str">
        <f>VLOOKUP(H771,'RM Used'!A:E,5,0)</f>
        <v>KG</v>
      </c>
      <c r="P771" s="11">
        <f>VLOOKUP(H771,'RM Used'!A:F,6,0)</f>
        <v>0.87</v>
      </c>
      <c r="Q771" s="11">
        <f t="shared" ref="Q771:Q834" si="243">P771*N771</f>
        <v>2.3686643835616441</v>
      </c>
      <c r="R771" s="11">
        <f>IFERROR(IF(B771="Reynolds",VLOOKUP(H771,'Yield &amp; Time'!A:U,21,0),VLOOKUP(H771,'Yield &amp; Time'!A:L,12,0)),0)</f>
        <v>0.6</v>
      </c>
      <c r="S771" s="11">
        <f t="shared" si="235"/>
        <v>0.50774999999999992</v>
      </c>
      <c r="T771" s="11">
        <f t="shared" si="236"/>
        <v>2.5000000000000001E-2</v>
      </c>
      <c r="U771" s="11">
        <f>IF(A770=A771,0,VLOOKUP(A771,'Packing Time'!A:F,6,0))</f>
        <v>0.875</v>
      </c>
      <c r="V771" s="11">
        <f t="shared" si="229"/>
        <v>0.29618749999999999</v>
      </c>
      <c r="W771" s="11">
        <f t="shared" si="230"/>
        <v>1.4583333333333334E-2</v>
      </c>
      <c r="X771" s="11">
        <f t="shared" si="237"/>
        <v>0.88433125000000001</v>
      </c>
      <c r="Y771" s="11">
        <f t="shared" si="231"/>
        <v>0.88433125000000001</v>
      </c>
      <c r="Z771" s="37">
        <v>1</v>
      </c>
      <c r="AA771" s="36">
        <f t="shared" si="238"/>
        <v>2.7226027397260277</v>
      </c>
      <c r="AB771" s="36">
        <f t="shared" si="239"/>
        <v>2.3686643835616441</v>
      </c>
      <c r="AC771" s="11">
        <f t="shared" si="240"/>
        <v>4.3541666666666666E-2</v>
      </c>
      <c r="AD771" s="36">
        <f t="shared" si="232"/>
        <v>0.8843312499999999</v>
      </c>
      <c r="AE771" s="36" t="str">
        <f>VLOOKUP(H771,'Yield &amp; Time'!A:I,9,0)</f>
        <v>CHLORINE</v>
      </c>
      <c r="AF771" s="36">
        <f>IFERROR(VLOOKUP(AE771,'Chemical Cost'!A:D,4,0),0)</f>
        <v>2.7756518066439469E-2</v>
      </c>
      <c r="AG771" s="114">
        <f t="shared" si="241"/>
        <v>2.518999071098103E-2</v>
      </c>
      <c r="AH771" s="36">
        <f t="shared" si="226"/>
        <v>2.518999071098103E-2</v>
      </c>
      <c r="AI771" s="36">
        <f t="shared" si="233"/>
        <v>3.2781856242726253</v>
      </c>
      <c r="AJ771" s="36">
        <f>IFERROR(VLOOKUP(A771,'All Products'!A:F,6,0),0)</f>
        <v>4.95</v>
      </c>
      <c r="AK771" s="36">
        <f>AJ771*Z771*J771</f>
        <v>4.95</v>
      </c>
      <c r="AL771" s="23">
        <v>0.8</v>
      </c>
      <c r="AM771" s="23">
        <v>0.2</v>
      </c>
      <c r="AN771" s="54" t="s">
        <v>209</v>
      </c>
      <c r="AO771" s="47"/>
      <c r="AP771" s="4">
        <v>1.1000000000000001</v>
      </c>
      <c r="AQ771" s="111">
        <f t="shared" si="242"/>
        <v>4.3541666666666666E-2</v>
      </c>
      <c r="AR771">
        <f>_xlfn.XLOOKUP(F771,'RM Cost'!A:A,'RM Cost'!S:S)</f>
        <v>0</v>
      </c>
      <c r="AS771" t="str">
        <f>_xlfn.XLOOKUP(A771,[3]Sheet1!$B:$B,[3]Sheet1!$B:$B)</f>
        <v>Z071CS</v>
      </c>
      <c r="AT771">
        <f>_xlfn.XLOOKUP(H771,'Yield &amp; Time'!A:A,'Yield &amp; Time'!F:F)</f>
        <v>0</v>
      </c>
    </row>
    <row r="772" spans="1:46" x14ac:dyDescent="0.25">
      <c r="A772" s="2" t="s">
        <v>209</v>
      </c>
      <c r="B772" s="2" t="s">
        <v>656</v>
      </c>
      <c r="C772" s="2" t="s">
        <v>210</v>
      </c>
      <c r="D772" s="2" t="s">
        <v>554</v>
      </c>
      <c r="E772" s="2">
        <v>2.5</v>
      </c>
      <c r="F772" s="1" t="str">
        <f>VLOOKUP(H772,'RM Used'!A:B,2,0)</f>
        <v>P0008</v>
      </c>
      <c r="G772" s="1" t="str">
        <f>IFERROR(VLOOKUP(F772,'RM Cost'!A:B,2,0),"")</f>
        <v>PALE BLUE BAG 470X750MM</v>
      </c>
      <c r="H772" s="2" t="s">
        <v>1323</v>
      </c>
      <c r="I772" s="1" t="str">
        <f>VLOOKUP(F772,'RM Used'!B:D,3,0)</f>
        <v>RM-PACKING</v>
      </c>
      <c r="J772" s="66">
        <v>1</v>
      </c>
      <c r="K772" s="35" t="str">
        <f t="shared" si="228"/>
        <v/>
      </c>
      <c r="L772" s="35">
        <f t="shared" si="234"/>
        <v>0</v>
      </c>
      <c r="M772" s="77" t="str" cm="1">
        <f t="array" ref="M772">_xlfn.IFS(BOM!I772="RM-PACKING","100%",B772="Reynolds",VLOOKUP(H772,'Yield &amp; Time'!A:V,22,0),BOM!B772="Dnata",VLOOKUP(BOM!H772,'Yield &amp; Time'!A:M,13,0),B772="NK",VLOOKUP(H772,'Yield &amp; Time'!A:X,24,0))</f>
        <v>100%</v>
      </c>
      <c r="N772" s="35">
        <f t="shared" si="227"/>
        <v>1</v>
      </c>
      <c r="O772" s="1" t="str">
        <f>VLOOKUP(H772,'RM Used'!A:E,5,0)</f>
        <v>Count</v>
      </c>
      <c r="P772" s="11">
        <f>VLOOKUP(H772,'RM Used'!A:F,6,0)</f>
        <v>0.14000000000000001</v>
      </c>
      <c r="Q772" s="11">
        <f t="shared" si="243"/>
        <v>0.14000000000000001</v>
      </c>
      <c r="R772" s="11">
        <f>IFERROR(IF(B772="Reynolds",VLOOKUP(H772,'Yield &amp; Time'!A:U,21,0),VLOOKUP(H772,'Yield &amp; Time'!A:L,12,0)),0)</f>
        <v>0</v>
      </c>
      <c r="S772" s="11">
        <f t="shared" si="235"/>
        <v>0</v>
      </c>
      <c r="T772" s="11">
        <f t="shared" si="236"/>
        <v>0</v>
      </c>
      <c r="U772" s="11">
        <f>IF(A771=A772,0,VLOOKUP(A772,'Packing Time'!A:F,6,0))</f>
        <v>0</v>
      </c>
      <c r="V772" s="11">
        <f t="shared" si="229"/>
        <v>0</v>
      </c>
      <c r="W772" s="11">
        <f t="shared" si="230"/>
        <v>0</v>
      </c>
      <c r="X772" s="11">
        <f t="shared" si="237"/>
        <v>0</v>
      </c>
      <c r="Y772" s="11">
        <f t="shared" si="231"/>
        <v>0</v>
      </c>
      <c r="Z772" s="37">
        <v>1</v>
      </c>
      <c r="AA772" s="36">
        <f t="shared" si="238"/>
        <v>1</v>
      </c>
      <c r="AB772" s="36">
        <f t="shared" si="239"/>
        <v>0.14000000000000001</v>
      </c>
      <c r="AC772" s="11">
        <f t="shared" si="240"/>
        <v>0</v>
      </c>
      <c r="AD772" s="36">
        <f t="shared" si="232"/>
        <v>0</v>
      </c>
      <c r="AE772" s="36"/>
      <c r="AF772" s="36">
        <f>IFERROR(VLOOKUP(AE772,'Chemical Cost'!A:D,4,0),0)</f>
        <v>0</v>
      </c>
      <c r="AG772" s="114">
        <f t="shared" si="241"/>
        <v>0</v>
      </c>
      <c r="AH772" s="36">
        <f t="shared" si="226"/>
        <v>0</v>
      </c>
      <c r="AI772" s="36">
        <f t="shared" si="233"/>
        <v>0.14000000000000001</v>
      </c>
      <c r="AJ772" s="36">
        <f>IFERROR(VLOOKUP(A772,'All Products'!A:F,6,0),0)</f>
        <v>4.95</v>
      </c>
      <c r="AK772" s="36"/>
      <c r="AL772" s="23">
        <v>0.8</v>
      </c>
      <c r="AM772" s="23">
        <v>0.2</v>
      </c>
      <c r="AN772" s="54" t="s">
        <v>209</v>
      </c>
      <c r="AO772" s="47"/>
      <c r="AP772" s="4">
        <v>1.1000000000000001</v>
      </c>
      <c r="AQ772" s="111">
        <f t="shared" si="242"/>
        <v>0</v>
      </c>
      <c r="AR772">
        <f>_xlfn.XLOOKUP(F772,'RM Cost'!A:A,'RM Cost'!S:S)</f>
        <v>0</v>
      </c>
      <c r="AS772" t="str">
        <f>_xlfn.XLOOKUP(A772,[3]Sheet1!$B:$B,[3]Sheet1!$B:$B)</f>
        <v>Z071CS</v>
      </c>
      <c r="AT772" t="e">
        <f>_xlfn.XLOOKUP(H772,'Yield &amp; Time'!A:A,'Yield &amp; Time'!F:F)</f>
        <v>#N/A</v>
      </c>
    </row>
    <row r="773" spans="1:46" x14ac:dyDescent="0.25">
      <c r="A773" s="2" t="s">
        <v>207</v>
      </c>
      <c r="B773" s="2" t="s">
        <v>656</v>
      </c>
      <c r="C773" s="2" t="s">
        <v>208</v>
      </c>
      <c r="D773" s="2" t="s">
        <v>554</v>
      </c>
      <c r="E773" s="2">
        <v>1</v>
      </c>
      <c r="F773" s="1" t="str">
        <f>VLOOKUP(H773,'RM Used'!A:B,2,0)</f>
        <v>206ACS</v>
      </c>
      <c r="G773" s="1" t="str">
        <f>IFERROR(VLOOKUP(F773,'RM Cost'!A:B,2,0),"")</f>
        <v>RM - PREP ONION WHOLE 10KG</v>
      </c>
      <c r="H773" s="2" t="s">
        <v>1393</v>
      </c>
      <c r="I773" s="1" t="str">
        <f>VLOOKUP(F773,'RM Used'!B:D,3,0)</f>
        <v>RM-FOOD</v>
      </c>
      <c r="J773" s="66">
        <v>1</v>
      </c>
      <c r="K773" s="35">
        <f t="shared" si="228"/>
        <v>1</v>
      </c>
      <c r="L773" s="35">
        <f t="shared" si="234"/>
        <v>1</v>
      </c>
      <c r="M773" s="77" cm="1">
        <f t="array" ref="M773">_xlfn.IFS(BOM!I773="RM-PACKING","100%",B773="Reynolds",VLOOKUP(H773,'Yield &amp; Time'!A:V,22,0),BOM!B773="Dnata",VLOOKUP(BOM!H773,'Yield &amp; Time'!A:M,13,0),B773="NK",VLOOKUP(H773,'Yield &amp; Time'!A:X,24,0))</f>
        <v>0.89645254074784275</v>
      </c>
      <c r="N773" s="35">
        <f t="shared" si="227"/>
        <v>1.1155080213903743</v>
      </c>
      <c r="O773" s="1" t="str">
        <f>VLOOKUP(H773,'RM Used'!A:E,5,0)</f>
        <v>KG</v>
      </c>
      <c r="P773" s="11">
        <f>VLOOKUP(H773,'RM Used'!A:F,6,0)</f>
        <v>0.87</v>
      </c>
      <c r="Q773" s="11">
        <f t="shared" si="243"/>
        <v>0.97049197860962566</v>
      </c>
      <c r="R773" s="11">
        <f>IFERROR(IF(B773="Reynolds",VLOOKUP(H773,'Yield &amp; Time'!A:U,21,0),VLOOKUP(H773,'Yield &amp; Time'!A:L,12,0)),0)</f>
        <v>1.6166666666666667</v>
      </c>
      <c r="S773" s="11">
        <f t="shared" si="235"/>
        <v>0.54724166666666663</v>
      </c>
      <c r="T773" s="11">
        <f t="shared" si="236"/>
        <v>2.6944444444444444E-2</v>
      </c>
      <c r="U773" s="11">
        <f>IF(A772=A773,0,VLOOKUP(A773,'Packing Time'!A:F,6,0))</f>
        <v>0.64166666666666661</v>
      </c>
      <c r="V773" s="11">
        <f t="shared" si="229"/>
        <v>0.21720416666666661</v>
      </c>
      <c r="W773" s="11">
        <f t="shared" si="230"/>
        <v>1.0694444444444444E-2</v>
      </c>
      <c r="X773" s="11">
        <f t="shared" si="237"/>
        <v>1.2231133333333333</v>
      </c>
      <c r="Y773" s="11">
        <f t="shared" si="231"/>
        <v>1.2231133333333333</v>
      </c>
      <c r="Z773" s="37">
        <v>1</v>
      </c>
      <c r="AA773" s="36">
        <f t="shared" si="238"/>
        <v>1.1155080213903743</v>
      </c>
      <c r="AB773" s="36">
        <f t="shared" si="239"/>
        <v>0.97049197860962566</v>
      </c>
      <c r="AC773" s="11">
        <f t="shared" si="240"/>
        <v>6.0222222222222226E-2</v>
      </c>
      <c r="AD773" s="36">
        <f t="shared" si="232"/>
        <v>1.2231133333333333</v>
      </c>
      <c r="AE773" s="36" t="str">
        <f>VLOOKUP(H773,'Yield &amp; Time'!A:I,9,0)</f>
        <v>CHLORINE</v>
      </c>
      <c r="AF773" s="36">
        <f>IFERROR(VLOOKUP(AE773,'Chemical Cost'!A:D,4,0),0)</f>
        <v>2.7756518066439469E-2</v>
      </c>
      <c r="AG773" s="114">
        <f t="shared" si="241"/>
        <v>1.0320872849660023E-2</v>
      </c>
      <c r="AH773" s="36">
        <f t="shared" si="226"/>
        <v>1.0320872849660023E-2</v>
      </c>
      <c r="AI773" s="36">
        <f t="shared" si="233"/>
        <v>2.203926184792619</v>
      </c>
      <c r="AJ773" s="36">
        <f>IFERROR(VLOOKUP(A773,'All Products'!A:F,6,0),0)</f>
        <v>2.7</v>
      </c>
      <c r="AK773" s="36">
        <f>AJ773*Z773*J773</f>
        <v>2.7</v>
      </c>
      <c r="AL773" s="23">
        <v>0.8</v>
      </c>
      <c r="AM773" s="23">
        <v>0.2</v>
      </c>
      <c r="AN773" s="54" t="e">
        <v>#N/A</v>
      </c>
      <c r="AO773" s="47"/>
      <c r="AP773" s="4">
        <v>1.6</v>
      </c>
      <c r="AQ773" s="111">
        <f t="shared" si="242"/>
        <v>6.0222222222222226E-2</v>
      </c>
      <c r="AR773">
        <f>_xlfn.XLOOKUP(F773,'RM Cost'!A:A,'RM Cost'!S:S)</f>
        <v>0</v>
      </c>
      <c r="AS773" t="str">
        <f>_xlfn.XLOOKUP(A773,[3]Sheet1!$B:$B,[3]Sheet1!$B:$B)</f>
        <v>Z066CS</v>
      </c>
      <c r="AT773" t="str">
        <f>_xlfn.XLOOKUP(H773,'Yield &amp; Time'!A:A,'Yield &amp; Time'!F:F)</f>
        <v>Yes</v>
      </c>
    </row>
    <row r="774" spans="1:46" x14ac:dyDescent="0.25">
      <c r="A774" s="2" t="s">
        <v>207</v>
      </c>
      <c r="B774" s="2" t="s">
        <v>656</v>
      </c>
      <c r="C774" s="2" t="s">
        <v>208</v>
      </c>
      <c r="D774" s="2" t="s">
        <v>554</v>
      </c>
      <c r="E774" s="2">
        <v>1</v>
      </c>
      <c r="F774" s="1" t="str">
        <f>VLOOKUP(H774,'RM Used'!A:B,2,0)</f>
        <v>P0008</v>
      </c>
      <c r="G774" s="1" t="str">
        <f>IFERROR(VLOOKUP(F774,'RM Cost'!A:B,2,0),"")</f>
        <v>PALE BLUE BAG 470X750MM</v>
      </c>
      <c r="H774" s="2" t="s">
        <v>1323</v>
      </c>
      <c r="I774" s="1" t="str">
        <f>VLOOKUP(F774,'RM Used'!B:D,3,0)</f>
        <v>RM-PACKING</v>
      </c>
      <c r="J774" s="66">
        <v>1</v>
      </c>
      <c r="K774" s="35" t="str">
        <f t="shared" si="228"/>
        <v/>
      </c>
      <c r="L774" s="35">
        <f t="shared" si="234"/>
        <v>0</v>
      </c>
      <c r="M774" s="77" t="str" cm="1">
        <f t="array" ref="M774">_xlfn.IFS(BOM!I774="RM-PACKING","100%",B774="Reynolds",VLOOKUP(H774,'Yield &amp; Time'!A:V,22,0),BOM!B774="Dnata",VLOOKUP(BOM!H774,'Yield &amp; Time'!A:M,13,0),B774="NK",VLOOKUP(H774,'Yield &amp; Time'!A:X,24,0))</f>
        <v>100%</v>
      </c>
      <c r="N774" s="35">
        <f t="shared" si="227"/>
        <v>1</v>
      </c>
      <c r="O774" s="1" t="str">
        <f>VLOOKUP(H774,'RM Used'!A:E,5,0)</f>
        <v>Count</v>
      </c>
      <c r="P774" s="11">
        <f>VLOOKUP(H774,'RM Used'!A:F,6,0)</f>
        <v>0.14000000000000001</v>
      </c>
      <c r="Q774" s="11">
        <f t="shared" si="243"/>
        <v>0.14000000000000001</v>
      </c>
      <c r="R774" s="11">
        <f>IFERROR(IF(B774="Reynolds",VLOOKUP(H774,'Yield &amp; Time'!A:U,21,0),VLOOKUP(H774,'Yield &amp; Time'!A:L,12,0)),0)</f>
        <v>0</v>
      </c>
      <c r="S774" s="11">
        <f t="shared" si="235"/>
        <v>0</v>
      </c>
      <c r="T774" s="11">
        <f t="shared" si="236"/>
        <v>0</v>
      </c>
      <c r="U774" s="11">
        <f>IF(A773=A774,0,VLOOKUP(A774,'Packing Time'!A:F,6,0))</f>
        <v>0</v>
      </c>
      <c r="V774" s="11">
        <f t="shared" si="229"/>
        <v>0</v>
      </c>
      <c r="W774" s="11">
        <f t="shared" si="230"/>
        <v>0</v>
      </c>
      <c r="X774" s="11">
        <f t="shared" si="237"/>
        <v>0</v>
      </c>
      <c r="Y774" s="11">
        <f t="shared" si="231"/>
        <v>0</v>
      </c>
      <c r="Z774" s="37">
        <v>1</v>
      </c>
      <c r="AA774" s="36">
        <f t="shared" si="238"/>
        <v>1</v>
      </c>
      <c r="AB774" s="36">
        <f t="shared" si="239"/>
        <v>0.14000000000000001</v>
      </c>
      <c r="AC774" s="11">
        <f t="shared" si="240"/>
        <v>0</v>
      </c>
      <c r="AD774" s="36">
        <f t="shared" si="232"/>
        <v>0</v>
      </c>
      <c r="AE774" s="36"/>
      <c r="AF774" s="36">
        <f>IFERROR(VLOOKUP(AE774,'Chemical Cost'!A:D,4,0),0)</f>
        <v>0</v>
      </c>
      <c r="AG774" s="114">
        <f t="shared" si="241"/>
        <v>0</v>
      </c>
      <c r="AH774" s="36">
        <f t="shared" si="226"/>
        <v>0</v>
      </c>
      <c r="AI774" s="36">
        <f t="shared" si="233"/>
        <v>0.14000000000000001</v>
      </c>
      <c r="AJ774" s="36">
        <f>IFERROR(VLOOKUP(A774,'All Products'!A:F,6,0),0)</f>
        <v>2.7</v>
      </c>
      <c r="AK774" s="36"/>
      <c r="AL774" s="23">
        <v>0.8</v>
      </c>
      <c r="AM774" s="23">
        <v>0.2</v>
      </c>
      <c r="AN774" s="54" t="e">
        <v>#N/A</v>
      </c>
      <c r="AO774" s="47"/>
      <c r="AP774" s="4">
        <v>1.6</v>
      </c>
      <c r="AQ774" s="111">
        <f t="shared" si="242"/>
        <v>0</v>
      </c>
      <c r="AR774">
        <f>_xlfn.XLOOKUP(F774,'RM Cost'!A:A,'RM Cost'!S:S)</f>
        <v>0</v>
      </c>
      <c r="AS774" t="str">
        <f>_xlfn.XLOOKUP(A774,[3]Sheet1!$B:$B,[3]Sheet1!$B:$B)</f>
        <v>Z066CS</v>
      </c>
      <c r="AT774" t="e">
        <f>_xlfn.XLOOKUP(H774,'Yield &amp; Time'!A:A,'Yield &amp; Time'!F:F)</f>
        <v>#N/A</v>
      </c>
    </row>
    <row r="775" spans="1:46" x14ac:dyDescent="0.25">
      <c r="A775" s="2" t="s">
        <v>206</v>
      </c>
      <c r="B775" s="2" t="s">
        <v>656</v>
      </c>
      <c r="C775" s="2" t="s">
        <v>850</v>
      </c>
      <c r="D775" s="2" t="s">
        <v>554</v>
      </c>
      <c r="E775" s="2">
        <v>2.5</v>
      </c>
      <c r="F775" s="1" t="str">
        <f>VLOOKUP(H775,'RM Used'!A:B,2,0)</f>
        <v>206ACS</v>
      </c>
      <c r="G775" s="1" t="str">
        <f>IFERROR(VLOOKUP(F775,'RM Cost'!A:B,2,0),"")</f>
        <v>RM - PREP ONION WHOLE 10KG</v>
      </c>
      <c r="H775" s="2" t="s">
        <v>1393</v>
      </c>
      <c r="I775" s="1" t="str">
        <f>VLOOKUP(F775,'RM Used'!B:D,3,0)</f>
        <v>RM-FOOD</v>
      </c>
      <c r="J775" s="66">
        <v>1</v>
      </c>
      <c r="K775" s="35">
        <f t="shared" si="228"/>
        <v>2.5</v>
      </c>
      <c r="L775" s="35">
        <f t="shared" si="234"/>
        <v>2.5</v>
      </c>
      <c r="M775" s="77" cm="1">
        <f t="array" ref="M775">_xlfn.IFS(BOM!I775="RM-PACKING","100%",B775="Reynolds",VLOOKUP(H775,'Yield &amp; Time'!A:V,22,0),BOM!B775="Dnata",VLOOKUP(BOM!H775,'Yield &amp; Time'!A:M,13,0),B775="NK",VLOOKUP(H775,'Yield &amp; Time'!A:X,24,0))</f>
        <v>0.89645254074784275</v>
      </c>
      <c r="N775" s="35">
        <f t="shared" si="227"/>
        <v>2.7887700534759357</v>
      </c>
      <c r="O775" s="1" t="str">
        <f>VLOOKUP(H775,'RM Used'!A:E,5,0)</f>
        <v>KG</v>
      </c>
      <c r="P775" s="11">
        <f>VLOOKUP(H775,'RM Used'!A:F,6,0)</f>
        <v>0.87</v>
      </c>
      <c r="Q775" s="11">
        <f t="shared" si="243"/>
        <v>2.4262299465240642</v>
      </c>
      <c r="R775" s="11">
        <f>IFERROR(IF(B775="Reynolds",VLOOKUP(H775,'Yield &amp; Time'!A:U,21,0),VLOOKUP(H775,'Yield &amp; Time'!A:L,12,0)),0)</f>
        <v>1.6166666666666667</v>
      </c>
      <c r="S775" s="11">
        <f t="shared" si="235"/>
        <v>1.3681041666666667</v>
      </c>
      <c r="T775" s="11">
        <f t="shared" si="236"/>
        <v>6.7361111111111122E-2</v>
      </c>
      <c r="U775" s="11">
        <f>IF(A774=A775,0,VLOOKUP(A775,'Packing Time'!A:F,6,0))</f>
        <v>0.875</v>
      </c>
      <c r="V775" s="11">
        <f t="shared" si="229"/>
        <v>0.29618749999999999</v>
      </c>
      <c r="W775" s="11">
        <f t="shared" si="230"/>
        <v>1.4583333333333334E-2</v>
      </c>
      <c r="X775" s="11">
        <f t="shared" si="237"/>
        <v>1.8307208333333334</v>
      </c>
      <c r="Y775" s="11">
        <f t="shared" si="231"/>
        <v>1.8307208333333334</v>
      </c>
      <c r="Z775" s="37">
        <v>1</v>
      </c>
      <c r="AA775" s="36">
        <f t="shared" si="238"/>
        <v>2.7887700534759357</v>
      </c>
      <c r="AB775" s="36">
        <f t="shared" si="239"/>
        <v>2.4262299465240642</v>
      </c>
      <c r="AC775" s="11">
        <f t="shared" si="240"/>
        <v>9.0138888888888893E-2</v>
      </c>
      <c r="AD775" s="36">
        <f t="shared" si="232"/>
        <v>1.8307208333333331</v>
      </c>
      <c r="AE775" s="36" t="str">
        <f>VLOOKUP(H775,'Yield &amp; Time'!A:I,9,0)</f>
        <v>CHLORINE</v>
      </c>
      <c r="AF775" s="36">
        <f>IFERROR(VLOOKUP(AE775,'Chemical Cost'!A:D,4,0),0)</f>
        <v>2.7756518066439469E-2</v>
      </c>
      <c r="AG775" s="114">
        <f t="shared" si="241"/>
        <v>2.5802182124150058E-2</v>
      </c>
      <c r="AH775" s="36">
        <f t="shared" si="226"/>
        <v>2.5802182124150058E-2</v>
      </c>
      <c r="AI775" s="36">
        <f t="shared" si="233"/>
        <v>4.2827529619815481</v>
      </c>
      <c r="AJ775" s="36">
        <f>IFERROR(VLOOKUP(A775,'All Products'!A:F,6,0),0)</f>
        <v>6.74</v>
      </c>
      <c r="AK775" s="36">
        <f>AJ775*Z775*J775</f>
        <v>6.74</v>
      </c>
      <c r="AL775" s="23">
        <v>0.8</v>
      </c>
      <c r="AM775" s="23">
        <v>0.2</v>
      </c>
      <c r="AN775" s="54" t="e">
        <v>#N/A</v>
      </c>
      <c r="AO775" s="47"/>
      <c r="AP775" s="4">
        <v>1.1000000000000001</v>
      </c>
      <c r="AQ775" s="111">
        <f t="shared" si="242"/>
        <v>9.0138888888888893E-2</v>
      </c>
      <c r="AR775">
        <f>_xlfn.XLOOKUP(F775,'RM Cost'!A:A,'RM Cost'!S:S)</f>
        <v>0</v>
      </c>
      <c r="AS775" t="str">
        <f>_xlfn.XLOOKUP(A775,[3]Sheet1!$B:$B,[3]Sheet1!$B:$B)</f>
        <v>Z065CS</v>
      </c>
      <c r="AT775" t="str">
        <f>_xlfn.XLOOKUP(H775,'Yield &amp; Time'!A:A,'Yield &amp; Time'!F:F)</f>
        <v>Yes</v>
      </c>
    </row>
    <row r="776" spans="1:46" x14ac:dyDescent="0.25">
      <c r="A776" s="2" t="s">
        <v>206</v>
      </c>
      <c r="B776" s="2" t="s">
        <v>656</v>
      </c>
      <c r="C776" s="2" t="s">
        <v>850</v>
      </c>
      <c r="D776" s="2" t="s">
        <v>554</v>
      </c>
      <c r="E776" s="2">
        <v>2.5</v>
      </c>
      <c r="F776" s="1" t="str">
        <f>VLOOKUP(H776,'RM Used'!A:B,2,0)</f>
        <v>P0008</v>
      </c>
      <c r="G776" s="1" t="str">
        <f>IFERROR(VLOOKUP(F776,'RM Cost'!A:B,2,0),"")</f>
        <v>PALE BLUE BAG 470X750MM</v>
      </c>
      <c r="H776" s="2" t="s">
        <v>1323</v>
      </c>
      <c r="I776" s="1" t="str">
        <f>VLOOKUP(F776,'RM Used'!B:D,3,0)</f>
        <v>RM-PACKING</v>
      </c>
      <c r="J776" s="66">
        <v>1</v>
      </c>
      <c r="K776" s="35" t="str">
        <f t="shared" si="228"/>
        <v/>
      </c>
      <c r="L776" s="35">
        <f t="shared" si="234"/>
        <v>0</v>
      </c>
      <c r="M776" s="77" t="str" cm="1">
        <f t="array" ref="M776">_xlfn.IFS(BOM!I776="RM-PACKING","100%",B776="Reynolds",VLOOKUP(H776,'Yield &amp; Time'!A:V,22,0),BOM!B776="Dnata",VLOOKUP(BOM!H776,'Yield &amp; Time'!A:M,13,0),B776="NK",VLOOKUP(H776,'Yield &amp; Time'!A:X,24,0))</f>
        <v>100%</v>
      </c>
      <c r="N776" s="35">
        <f t="shared" si="227"/>
        <v>1</v>
      </c>
      <c r="O776" s="1" t="str">
        <f>VLOOKUP(H776,'RM Used'!A:E,5,0)</f>
        <v>Count</v>
      </c>
      <c r="P776" s="11">
        <f>VLOOKUP(H776,'RM Used'!A:F,6,0)</f>
        <v>0.14000000000000001</v>
      </c>
      <c r="Q776" s="11">
        <f t="shared" si="243"/>
        <v>0.14000000000000001</v>
      </c>
      <c r="R776" s="11">
        <f>IFERROR(IF(B776="Reynolds",VLOOKUP(H776,'Yield &amp; Time'!A:U,21,0),VLOOKUP(H776,'Yield &amp; Time'!A:L,12,0)),0)</f>
        <v>0</v>
      </c>
      <c r="S776" s="11">
        <f t="shared" si="235"/>
        <v>0</v>
      </c>
      <c r="T776" s="11">
        <f t="shared" si="236"/>
        <v>0</v>
      </c>
      <c r="U776" s="11">
        <f>IF(A775=A776,0,VLOOKUP(A776,'Packing Time'!A:F,6,0))</f>
        <v>0</v>
      </c>
      <c r="V776" s="11">
        <f t="shared" si="229"/>
        <v>0</v>
      </c>
      <c r="W776" s="11">
        <f t="shared" si="230"/>
        <v>0</v>
      </c>
      <c r="X776" s="11">
        <f t="shared" si="237"/>
        <v>0</v>
      </c>
      <c r="Y776" s="11">
        <f t="shared" si="231"/>
        <v>0</v>
      </c>
      <c r="Z776" s="37">
        <v>1</v>
      </c>
      <c r="AA776" s="36">
        <f t="shared" si="238"/>
        <v>1</v>
      </c>
      <c r="AB776" s="36">
        <f t="shared" si="239"/>
        <v>0.14000000000000001</v>
      </c>
      <c r="AC776" s="11">
        <f t="shared" si="240"/>
        <v>0</v>
      </c>
      <c r="AD776" s="36">
        <f t="shared" si="232"/>
        <v>0</v>
      </c>
      <c r="AE776" s="36"/>
      <c r="AF776" s="36">
        <f>IFERROR(VLOOKUP(AE776,'Chemical Cost'!A:D,4,0),0)</f>
        <v>0</v>
      </c>
      <c r="AG776" s="114">
        <f t="shared" si="241"/>
        <v>0</v>
      </c>
      <c r="AH776" s="36">
        <f t="shared" si="226"/>
        <v>0</v>
      </c>
      <c r="AI776" s="36">
        <f t="shared" si="233"/>
        <v>0.14000000000000001</v>
      </c>
      <c r="AJ776" s="36">
        <f>IFERROR(VLOOKUP(A776,'All Products'!A:F,6,0),0)</f>
        <v>6.74</v>
      </c>
      <c r="AK776" s="36"/>
      <c r="AL776" s="23">
        <v>0.8</v>
      </c>
      <c r="AM776" s="23">
        <v>0.2</v>
      </c>
      <c r="AN776" s="54" t="e">
        <v>#N/A</v>
      </c>
      <c r="AO776" s="47"/>
      <c r="AP776" s="4">
        <v>1.1000000000000001</v>
      </c>
      <c r="AQ776" s="111">
        <f t="shared" si="242"/>
        <v>0</v>
      </c>
      <c r="AR776">
        <f>_xlfn.XLOOKUP(F776,'RM Cost'!A:A,'RM Cost'!S:S)</f>
        <v>0</v>
      </c>
      <c r="AS776" t="str">
        <f>_xlfn.XLOOKUP(A776,[3]Sheet1!$B:$B,[3]Sheet1!$B:$B)</f>
        <v>Z065CS</v>
      </c>
      <c r="AT776" t="e">
        <f>_xlfn.XLOOKUP(H776,'Yield &amp; Time'!A:A,'Yield &amp; Time'!F:F)</f>
        <v>#N/A</v>
      </c>
    </row>
    <row r="777" spans="1:46" x14ac:dyDescent="0.25">
      <c r="A777" s="2" t="s">
        <v>205</v>
      </c>
      <c r="B777" s="2" t="s">
        <v>656</v>
      </c>
      <c r="C777" s="2" t="s">
        <v>851</v>
      </c>
      <c r="D777" s="2" t="s">
        <v>554</v>
      </c>
      <c r="E777" s="2">
        <v>1</v>
      </c>
      <c r="F777" s="1" t="str">
        <f>VLOOKUP(H777,'RM Used'!A:B,2,0)</f>
        <v>206ACS</v>
      </c>
      <c r="G777" s="1" t="str">
        <f>IFERROR(VLOOKUP(F777,'RM Cost'!A:B,2,0),"")</f>
        <v>RM - PREP ONION WHOLE 10KG</v>
      </c>
      <c r="H777" s="2" t="s">
        <v>1406</v>
      </c>
      <c r="I777" s="1" t="str">
        <f>VLOOKUP(F777,'RM Used'!B:D,3,0)</f>
        <v>RM-FOOD</v>
      </c>
      <c r="J777" s="66">
        <v>1</v>
      </c>
      <c r="K777" s="35">
        <f t="shared" si="228"/>
        <v>1</v>
      </c>
      <c r="L777" s="35">
        <f t="shared" si="234"/>
        <v>1</v>
      </c>
      <c r="M777" s="77" cm="1">
        <f t="array" ref="M777">_xlfn.IFS(BOM!I777="RM-PACKING","100%",B777="Reynolds",VLOOKUP(H777,'Yield &amp; Time'!A:V,22,0),BOM!B777="Dnata",VLOOKUP(BOM!H777,'Yield &amp; Time'!A:M,13,0),B777="NK",VLOOKUP(H777,'Yield &amp; Time'!A:X,24,0))</f>
        <v>0.90806063628959444</v>
      </c>
      <c r="N777" s="35">
        <f t="shared" si="227"/>
        <v>1.1012480444985226</v>
      </c>
      <c r="O777" s="1" t="str">
        <f>VLOOKUP(H777,'RM Used'!A:E,5,0)</f>
        <v>KG</v>
      </c>
      <c r="P777" s="11">
        <f>VLOOKUP(H777,'RM Used'!A:F,6,0)</f>
        <v>0.87</v>
      </c>
      <c r="Q777" s="11">
        <f t="shared" si="243"/>
        <v>0.95808579871371469</v>
      </c>
      <c r="R777" s="11">
        <f>IFERROR(IF(B777="Reynolds",VLOOKUP(H777,'Yield &amp; Time'!A:U,21,0),VLOOKUP(H777,'Yield &amp; Time'!A:L,12,0)),0)</f>
        <v>1.25</v>
      </c>
      <c r="S777" s="11">
        <f t="shared" si="235"/>
        <v>0.42312499999999997</v>
      </c>
      <c r="T777" s="11">
        <f t="shared" si="236"/>
        <v>2.0833333333333332E-2</v>
      </c>
      <c r="U777" s="11">
        <f>IF(A776=A777,0,VLOOKUP(A777,'Packing Time'!A:F,6,0))</f>
        <v>0.64166666666666661</v>
      </c>
      <c r="V777" s="11">
        <f t="shared" si="229"/>
        <v>0.21720416666666661</v>
      </c>
      <c r="W777" s="11">
        <f t="shared" si="230"/>
        <v>1.0694444444444444E-2</v>
      </c>
      <c r="X777" s="11">
        <f t="shared" si="237"/>
        <v>0.89646083333333315</v>
      </c>
      <c r="Y777" s="11">
        <f t="shared" si="231"/>
        <v>0.89646083333333315</v>
      </c>
      <c r="Z777" s="37">
        <v>1</v>
      </c>
      <c r="AA777" s="36">
        <f t="shared" si="238"/>
        <v>1.1012480444985226</v>
      </c>
      <c r="AB777" s="36">
        <f t="shared" si="239"/>
        <v>0.95808579871371469</v>
      </c>
      <c r="AC777" s="11">
        <f t="shared" si="240"/>
        <v>4.4138888888888887E-2</v>
      </c>
      <c r="AD777" s="36">
        <f t="shared" si="232"/>
        <v>0.89646083333333326</v>
      </c>
      <c r="AE777" s="36" t="str">
        <f>VLOOKUP(H777,'Yield &amp; Time'!A:I,9,0)</f>
        <v>CHLORINE</v>
      </c>
      <c r="AF777" s="36">
        <f>IFERROR(VLOOKUP(AE777,'Chemical Cost'!A:D,4,0),0)</f>
        <v>2.7756518066439469E-2</v>
      </c>
      <c r="AG777" s="114">
        <f t="shared" si="241"/>
        <v>1.0188937080918127E-2</v>
      </c>
      <c r="AH777" s="36">
        <f t="shared" si="226"/>
        <v>1.0188937080918127E-2</v>
      </c>
      <c r="AI777" s="36">
        <f t="shared" si="233"/>
        <v>1.8647355691279659</v>
      </c>
      <c r="AJ777" s="36">
        <f>IFERROR(VLOOKUP(A777,'All Products'!A:F,6,0),0)</f>
        <v>1.95</v>
      </c>
      <c r="AK777" s="36">
        <f>AJ777*Z777*J777</f>
        <v>1.95</v>
      </c>
      <c r="AL777" s="23">
        <v>0.8</v>
      </c>
      <c r="AM777" s="23">
        <v>0.2</v>
      </c>
      <c r="AN777" s="54" t="e">
        <v>#N/A</v>
      </c>
      <c r="AO777" s="47"/>
      <c r="AP777" s="4">
        <v>1.4</v>
      </c>
      <c r="AQ777" s="111">
        <f t="shared" si="242"/>
        <v>4.4138888888888887E-2</v>
      </c>
      <c r="AR777">
        <f>_xlfn.XLOOKUP(F777,'RM Cost'!A:A,'RM Cost'!S:S)</f>
        <v>0</v>
      </c>
      <c r="AS777" t="str">
        <f>_xlfn.XLOOKUP(A777,[3]Sheet1!$B:$B,[3]Sheet1!$B:$B)</f>
        <v>Z064CS</v>
      </c>
      <c r="AT777" t="str">
        <f>_xlfn.XLOOKUP(H777,'Yield &amp; Time'!A:A,'Yield &amp; Time'!F:F)</f>
        <v>Yes</v>
      </c>
    </row>
    <row r="778" spans="1:46" x14ac:dyDescent="0.25">
      <c r="A778" s="2" t="s">
        <v>205</v>
      </c>
      <c r="B778" s="2" t="s">
        <v>656</v>
      </c>
      <c r="C778" s="2" t="s">
        <v>851</v>
      </c>
      <c r="D778" s="2" t="s">
        <v>554</v>
      </c>
      <c r="E778" s="2">
        <v>1</v>
      </c>
      <c r="F778" s="1" t="str">
        <f>VLOOKUP(H778,'RM Used'!A:B,2,0)</f>
        <v>P0008</v>
      </c>
      <c r="G778" s="1" t="str">
        <f>IFERROR(VLOOKUP(F778,'RM Cost'!A:B,2,0),"")</f>
        <v>PALE BLUE BAG 470X750MM</v>
      </c>
      <c r="H778" s="2" t="s">
        <v>1323</v>
      </c>
      <c r="I778" s="1" t="str">
        <f>VLOOKUP(F778,'RM Used'!B:D,3,0)</f>
        <v>RM-PACKING</v>
      </c>
      <c r="J778" s="66">
        <v>1</v>
      </c>
      <c r="K778" s="35" t="str">
        <f t="shared" si="228"/>
        <v/>
      </c>
      <c r="L778" s="35">
        <f t="shared" si="234"/>
        <v>0</v>
      </c>
      <c r="M778" s="77" t="str" cm="1">
        <f t="array" ref="M778">_xlfn.IFS(BOM!I778="RM-PACKING","100%",B778="Reynolds",VLOOKUP(H778,'Yield &amp; Time'!A:V,22,0),BOM!B778="Dnata",VLOOKUP(BOM!H778,'Yield &amp; Time'!A:M,13,0),B778="NK",VLOOKUP(H778,'Yield &amp; Time'!A:X,24,0))</f>
        <v>100%</v>
      </c>
      <c r="N778" s="35">
        <f t="shared" si="227"/>
        <v>1</v>
      </c>
      <c r="O778" s="1" t="str">
        <f>VLOOKUP(H778,'RM Used'!A:E,5,0)</f>
        <v>Count</v>
      </c>
      <c r="P778" s="11">
        <f>VLOOKUP(H778,'RM Used'!A:F,6,0)</f>
        <v>0.14000000000000001</v>
      </c>
      <c r="Q778" s="11">
        <f t="shared" si="243"/>
        <v>0.14000000000000001</v>
      </c>
      <c r="R778" s="11">
        <f>IFERROR(IF(B778="Reynolds",VLOOKUP(H778,'Yield &amp; Time'!A:U,21,0),VLOOKUP(H778,'Yield &amp; Time'!A:L,12,0)),0)</f>
        <v>0</v>
      </c>
      <c r="S778" s="11">
        <f t="shared" si="235"/>
        <v>0</v>
      </c>
      <c r="T778" s="11">
        <f t="shared" si="236"/>
        <v>0</v>
      </c>
      <c r="U778" s="11">
        <f>IF(A777=A778,0,VLOOKUP(A778,'Packing Time'!A:F,6,0))</f>
        <v>0</v>
      </c>
      <c r="V778" s="11">
        <f t="shared" si="229"/>
        <v>0</v>
      </c>
      <c r="W778" s="11">
        <f t="shared" si="230"/>
        <v>0</v>
      </c>
      <c r="X778" s="11">
        <f t="shared" si="237"/>
        <v>0</v>
      </c>
      <c r="Y778" s="11">
        <f t="shared" si="231"/>
        <v>0</v>
      </c>
      <c r="Z778" s="37">
        <v>1</v>
      </c>
      <c r="AA778" s="36">
        <f t="shared" si="238"/>
        <v>1</v>
      </c>
      <c r="AB778" s="36">
        <f t="shared" si="239"/>
        <v>0.14000000000000001</v>
      </c>
      <c r="AC778" s="11">
        <f t="shared" si="240"/>
        <v>0</v>
      </c>
      <c r="AD778" s="36">
        <f t="shared" si="232"/>
        <v>0</v>
      </c>
      <c r="AE778" s="36"/>
      <c r="AF778" s="36">
        <f>IFERROR(VLOOKUP(AE778,'Chemical Cost'!A:D,4,0),0)</f>
        <v>0</v>
      </c>
      <c r="AG778" s="114">
        <f t="shared" si="241"/>
        <v>0</v>
      </c>
      <c r="AH778" s="36">
        <f t="shared" si="226"/>
        <v>0</v>
      </c>
      <c r="AI778" s="36">
        <f t="shared" si="233"/>
        <v>0.14000000000000001</v>
      </c>
      <c r="AJ778" s="36">
        <f>IFERROR(VLOOKUP(A778,'All Products'!A:F,6,0),0)</f>
        <v>1.95</v>
      </c>
      <c r="AK778" s="36"/>
      <c r="AL778" s="23">
        <v>0.8</v>
      </c>
      <c r="AM778" s="23">
        <v>0.2</v>
      </c>
      <c r="AN778" s="54" t="e">
        <v>#N/A</v>
      </c>
      <c r="AO778" s="47"/>
      <c r="AP778" s="4">
        <v>1.4</v>
      </c>
      <c r="AQ778" s="111">
        <f t="shared" si="242"/>
        <v>0</v>
      </c>
      <c r="AR778">
        <f>_xlfn.XLOOKUP(F778,'RM Cost'!A:A,'RM Cost'!S:S)</f>
        <v>0</v>
      </c>
      <c r="AS778" t="str">
        <f>_xlfn.XLOOKUP(A778,[3]Sheet1!$B:$B,[3]Sheet1!$B:$B)</f>
        <v>Z064CS</v>
      </c>
      <c r="AT778" t="e">
        <f>_xlfn.XLOOKUP(H778,'Yield &amp; Time'!A:A,'Yield &amp; Time'!F:F)</f>
        <v>#N/A</v>
      </c>
    </row>
    <row r="779" spans="1:46" x14ac:dyDescent="0.25">
      <c r="A779" s="2" t="s">
        <v>204</v>
      </c>
      <c r="B779" s="2" t="s">
        <v>656</v>
      </c>
      <c r="C779" s="2" t="s">
        <v>852</v>
      </c>
      <c r="D779" s="2" t="s">
        <v>554</v>
      </c>
      <c r="E779" s="2">
        <v>2.5</v>
      </c>
      <c r="F779" s="1" t="str">
        <f>VLOOKUP(H779,'RM Used'!A:B,2,0)</f>
        <v>206ACS</v>
      </c>
      <c r="G779" s="1" t="str">
        <f>IFERROR(VLOOKUP(F779,'RM Cost'!A:B,2,0),"")</f>
        <v>RM - PREP ONION WHOLE 10KG</v>
      </c>
      <c r="H779" s="2" t="s">
        <v>1406</v>
      </c>
      <c r="I779" s="1" t="str">
        <f>VLOOKUP(F779,'RM Used'!B:D,3,0)</f>
        <v>RM-FOOD</v>
      </c>
      <c r="J779" s="66">
        <v>1</v>
      </c>
      <c r="K779" s="35">
        <f t="shared" si="228"/>
        <v>2.5</v>
      </c>
      <c r="L779" s="35">
        <f t="shared" si="234"/>
        <v>2.5</v>
      </c>
      <c r="M779" s="77" cm="1">
        <f t="array" ref="M779">_xlfn.IFS(BOM!I779="RM-PACKING","100%",B779="Reynolds",VLOOKUP(H779,'Yield &amp; Time'!A:V,22,0),BOM!B779="Dnata",VLOOKUP(BOM!H779,'Yield &amp; Time'!A:M,13,0),B779="NK",VLOOKUP(H779,'Yield &amp; Time'!A:X,24,0))</f>
        <v>0.90806063628959444</v>
      </c>
      <c r="N779" s="35">
        <f t="shared" si="227"/>
        <v>2.7531201112463064</v>
      </c>
      <c r="O779" s="1" t="str">
        <f>VLOOKUP(H779,'RM Used'!A:E,5,0)</f>
        <v>KG</v>
      </c>
      <c r="P779" s="11">
        <f>VLOOKUP(H779,'RM Used'!A:F,6,0)</f>
        <v>0.87</v>
      </c>
      <c r="Q779" s="11">
        <f t="shared" si="243"/>
        <v>2.3952144967842868</v>
      </c>
      <c r="R779" s="11">
        <f>IFERROR(IF(B779="Reynolds",VLOOKUP(H779,'Yield &amp; Time'!A:U,21,0),VLOOKUP(H779,'Yield &amp; Time'!A:L,12,0)),0)</f>
        <v>1.25</v>
      </c>
      <c r="S779" s="11">
        <f t="shared" si="235"/>
        <v>1.0578124999999998</v>
      </c>
      <c r="T779" s="11">
        <f t="shared" si="236"/>
        <v>5.2083333333333336E-2</v>
      </c>
      <c r="U779" s="11">
        <f>IF(A778=A779,0,VLOOKUP(A779,'Packing Time'!A:F,6,0))</f>
        <v>0.875</v>
      </c>
      <c r="V779" s="11">
        <f t="shared" si="229"/>
        <v>0.29618749999999999</v>
      </c>
      <c r="W779" s="11">
        <f t="shared" si="230"/>
        <v>1.4583333333333334E-2</v>
      </c>
      <c r="X779" s="11">
        <f t="shared" si="237"/>
        <v>1.4894000000000001</v>
      </c>
      <c r="Y779" s="11">
        <f t="shared" si="231"/>
        <v>1.4894000000000001</v>
      </c>
      <c r="Z779" s="37">
        <v>1</v>
      </c>
      <c r="AA779" s="36">
        <f t="shared" si="238"/>
        <v>2.7531201112463064</v>
      </c>
      <c r="AB779" s="36">
        <f t="shared" si="239"/>
        <v>2.3952144967842868</v>
      </c>
      <c r="AC779" s="11">
        <f t="shared" si="240"/>
        <v>7.3333333333333334E-2</v>
      </c>
      <c r="AD779" s="36">
        <f t="shared" si="232"/>
        <v>1.4894000000000001</v>
      </c>
      <c r="AE779" s="36" t="str">
        <f>VLOOKUP(H779,'Yield &amp; Time'!A:I,9,0)</f>
        <v>CHLORINE</v>
      </c>
      <c r="AF779" s="36">
        <f>IFERROR(VLOOKUP(AE779,'Chemical Cost'!A:D,4,0),0)</f>
        <v>2.7756518066439469E-2</v>
      </c>
      <c r="AG779" s="114">
        <f t="shared" si="241"/>
        <v>2.5472342702295314E-2</v>
      </c>
      <c r="AH779" s="36">
        <f t="shared" si="226"/>
        <v>2.5472342702295314E-2</v>
      </c>
      <c r="AI779" s="36">
        <f t="shared" si="233"/>
        <v>3.9100868394865818</v>
      </c>
      <c r="AJ779" s="36">
        <f>IFERROR(VLOOKUP(A779,'All Products'!A:F,6,0),0)</f>
        <v>4.8600000000000003</v>
      </c>
      <c r="AK779" s="36">
        <f>AJ779*Z779*J779</f>
        <v>4.8600000000000003</v>
      </c>
      <c r="AL779" s="23">
        <v>0.8</v>
      </c>
      <c r="AM779" s="23">
        <v>0.2</v>
      </c>
      <c r="AN779" s="54" t="e">
        <v>#N/A</v>
      </c>
      <c r="AO779" s="47"/>
      <c r="AP779" s="4">
        <v>1.1000000000000001</v>
      </c>
      <c r="AQ779" s="111">
        <f t="shared" si="242"/>
        <v>7.3333333333333334E-2</v>
      </c>
      <c r="AR779">
        <f>_xlfn.XLOOKUP(F779,'RM Cost'!A:A,'RM Cost'!S:S)</f>
        <v>0</v>
      </c>
      <c r="AS779" t="str">
        <f>_xlfn.XLOOKUP(A779,[3]Sheet1!$B:$B,[3]Sheet1!$B:$B)</f>
        <v>Z063CS</v>
      </c>
      <c r="AT779" t="str">
        <f>_xlfn.XLOOKUP(H779,'Yield &amp; Time'!A:A,'Yield &amp; Time'!F:F)</f>
        <v>Yes</v>
      </c>
    </row>
    <row r="780" spans="1:46" x14ac:dyDescent="0.25">
      <c r="A780" s="2" t="s">
        <v>204</v>
      </c>
      <c r="B780" s="2" t="s">
        <v>656</v>
      </c>
      <c r="C780" s="2" t="s">
        <v>852</v>
      </c>
      <c r="D780" s="2" t="s">
        <v>554</v>
      </c>
      <c r="E780" s="2">
        <v>2.5</v>
      </c>
      <c r="F780" s="1" t="str">
        <f>VLOOKUP(H780,'RM Used'!A:B,2,0)</f>
        <v>P0008</v>
      </c>
      <c r="G780" s="1" t="str">
        <f>IFERROR(VLOOKUP(F780,'RM Cost'!A:B,2,0),"")</f>
        <v>PALE BLUE BAG 470X750MM</v>
      </c>
      <c r="H780" s="2" t="s">
        <v>1323</v>
      </c>
      <c r="I780" s="1" t="str">
        <f>VLOOKUP(F780,'RM Used'!B:D,3,0)</f>
        <v>RM-PACKING</v>
      </c>
      <c r="J780" s="66">
        <v>1</v>
      </c>
      <c r="K780" s="35" t="str">
        <f t="shared" si="228"/>
        <v/>
      </c>
      <c r="L780" s="35">
        <f t="shared" si="234"/>
        <v>0</v>
      </c>
      <c r="M780" s="77" t="str" cm="1">
        <f t="array" ref="M780">_xlfn.IFS(BOM!I780="RM-PACKING","100%",B780="Reynolds",VLOOKUP(H780,'Yield &amp; Time'!A:V,22,0),BOM!B780="Dnata",VLOOKUP(BOM!H780,'Yield &amp; Time'!A:M,13,0),B780="NK",VLOOKUP(H780,'Yield &amp; Time'!A:X,24,0))</f>
        <v>100%</v>
      </c>
      <c r="N780" s="35">
        <f t="shared" si="227"/>
        <v>1</v>
      </c>
      <c r="O780" s="1" t="str">
        <f>VLOOKUP(H780,'RM Used'!A:E,5,0)</f>
        <v>Count</v>
      </c>
      <c r="P780" s="11">
        <f>VLOOKUP(H780,'RM Used'!A:F,6,0)</f>
        <v>0.14000000000000001</v>
      </c>
      <c r="Q780" s="11">
        <f t="shared" si="243"/>
        <v>0.14000000000000001</v>
      </c>
      <c r="R780" s="11">
        <f>IFERROR(IF(B780="Reynolds",VLOOKUP(H780,'Yield &amp; Time'!A:U,21,0),VLOOKUP(H780,'Yield &amp; Time'!A:L,12,0)),0)</f>
        <v>0</v>
      </c>
      <c r="S780" s="11">
        <f t="shared" si="235"/>
        <v>0</v>
      </c>
      <c r="T780" s="11">
        <f t="shared" si="236"/>
        <v>0</v>
      </c>
      <c r="U780" s="11">
        <f>IF(A779=A780,0,VLOOKUP(A780,'Packing Time'!A:F,6,0))</f>
        <v>0</v>
      </c>
      <c r="V780" s="11">
        <f t="shared" si="229"/>
        <v>0</v>
      </c>
      <c r="W780" s="11">
        <f t="shared" si="230"/>
        <v>0</v>
      </c>
      <c r="X780" s="11">
        <f t="shared" si="237"/>
        <v>0</v>
      </c>
      <c r="Y780" s="11">
        <f t="shared" si="231"/>
        <v>0</v>
      </c>
      <c r="Z780" s="37">
        <v>1</v>
      </c>
      <c r="AA780" s="36">
        <f t="shared" si="238"/>
        <v>1</v>
      </c>
      <c r="AB780" s="36">
        <f t="shared" si="239"/>
        <v>0.14000000000000001</v>
      </c>
      <c r="AC780" s="11">
        <f t="shared" si="240"/>
        <v>0</v>
      </c>
      <c r="AD780" s="36">
        <f t="shared" si="232"/>
        <v>0</v>
      </c>
      <c r="AE780" s="36"/>
      <c r="AF780" s="36">
        <f>IFERROR(VLOOKUP(AE780,'Chemical Cost'!A:D,4,0),0)</f>
        <v>0</v>
      </c>
      <c r="AG780" s="114">
        <f t="shared" si="241"/>
        <v>0</v>
      </c>
      <c r="AH780" s="36">
        <f t="shared" si="226"/>
        <v>0</v>
      </c>
      <c r="AI780" s="36">
        <f t="shared" si="233"/>
        <v>0.14000000000000001</v>
      </c>
      <c r="AJ780" s="36">
        <f>IFERROR(VLOOKUP(A780,'All Products'!A:F,6,0),0)</f>
        <v>4.8600000000000003</v>
      </c>
      <c r="AK780" s="36"/>
      <c r="AL780" s="23">
        <v>0.8</v>
      </c>
      <c r="AM780" s="23">
        <v>0.2</v>
      </c>
      <c r="AN780" s="54" t="e">
        <v>#N/A</v>
      </c>
      <c r="AO780" s="47"/>
      <c r="AP780" s="4">
        <v>1.1000000000000001</v>
      </c>
      <c r="AQ780" s="111">
        <f t="shared" si="242"/>
        <v>0</v>
      </c>
      <c r="AR780">
        <f>_xlfn.XLOOKUP(F780,'RM Cost'!A:A,'RM Cost'!S:S)</f>
        <v>0</v>
      </c>
      <c r="AS780" t="str">
        <f>_xlfn.XLOOKUP(A780,[3]Sheet1!$B:$B,[3]Sheet1!$B:$B)</f>
        <v>Z063CS</v>
      </c>
      <c r="AT780" t="e">
        <f>_xlfn.XLOOKUP(H780,'Yield &amp; Time'!A:A,'Yield &amp; Time'!F:F)</f>
        <v>#N/A</v>
      </c>
    </row>
    <row r="781" spans="1:46" x14ac:dyDescent="0.25">
      <c r="A781" s="2" t="s">
        <v>202</v>
      </c>
      <c r="B781" s="2" t="s">
        <v>656</v>
      </c>
      <c r="C781" s="2" t="s">
        <v>203</v>
      </c>
      <c r="D781" s="2" t="s">
        <v>554</v>
      </c>
      <c r="E781" s="2">
        <v>1</v>
      </c>
      <c r="F781" s="1" t="str">
        <f>VLOOKUP(H781,'RM Used'!A:B,2,0)</f>
        <v>3194CS</v>
      </c>
      <c r="G781" s="1" t="str">
        <f>IFERROR(VLOOKUP(F781,'RM Cost'!A:B,2,0),"")</f>
        <v>RM - ONION BUTTON   X5KG</v>
      </c>
      <c r="H781" s="2" t="s">
        <v>1542</v>
      </c>
      <c r="I781" s="1" t="str">
        <f>VLOOKUP(F781,'RM Used'!B:D,3,0)</f>
        <v>RM-FOOD</v>
      </c>
      <c r="J781" s="66">
        <v>1</v>
      </c>
      <c r="K781" s="35">
        <f t="shared" si="228"/>
        <v>1</v>
      </c>
      <c r="L781" s="35">
        <f t="shared" si="234"/>
        <v>1</v>
      </c>
      <c r="M781" s="77" cm="1">
        <f t="array" ref="M781">_xlfn.IFS(BOM!I781="RM-PACKING","100%",B781="Reynolds",VLOOKUP(H781,'Yield &amp; Time'!A:V,22,0),BOM!B781="Dnata",VLOOKUP(BOM!H781,'Yield &amp; Time'!A:M,13,0),B781="NK",VLOOKUP(H781,'Yield &amp; Time'!A:X,24,0))</f>
        <v>0.49375000000000002</v>
      </c>
      <c r="N781" s="35">
        <f t="shared" si="227"/>
        <v>2.0253164556962022</v>
      </c>
      <c r="O781" s="1" t="str">
        <f>VLOOKUP(H781,'RM Used'!A:E,5,0)</f>
        <v>KG</v>
      </c>
      <c r="P781" s="11">
        <f>VLOOKUP(H781,'RM Used'!A:F,6,0)</f>
        <v>0</v>
      </c>
      <c r="Q781" s="11">
        <f t="shared" si="243"/>
        <v>0</v>
      </c>
      <c r="R781" s="11">
        <f>IFERROR(IF(B781="Reynolds",VLOOKUP(H781,'Yield &amp; Time'!A:U,21,0),VLOOKUP(H781,'Yield &amp; Time'!A:L,12,0)),0)</f>
        <v>10.021097046413502</v>
      </c>
      <c r="S781" s="11">
        <f t="shared" si="235"/>
        <v>3.3921413502109701</v>
      </c>
      <c r="T781" s="11">
        <f t="shared" si="236"/>
        <v>0.16701828410689171</v>
      </c>
      <c r="U781" s="11">
        <f>IF(A780=A781,0,VLOOKUP(A781,'Packing Time'!A:F,6,0))</f>
        <v>0.64166666666666661</v>
      </c>
      <c r="V781" s="11">
        <f t="shared" si="229"/>
        <v>0.21720416666666661</v>
      </c>
      <c r="W781" s="11">
        <f t="shared" si="230"/>
        <v>1.0694444444444444E-2</v>
      </c>
      <c r="X781" s="11">
        <f t="shared" si="237"/>
        <v>5.7749528270042187</v>
      </c>
      <c r="Y781" s="11">
        <f t="shared" si="231"/>
        <v>5.7749528270042187</v>
      </c>
      <c r="Z781" s="37">
        <v>1</v>
      </c>
      <c r="AA781" s="36">
        <f t="shared" si="238"/>
        <v>2.0253164556962022</v>
      </c>
      <c r="AB781" s="36">
        <f t="shared" si="239"/>
        <v>0</v>
      </c>
      <c r="AC781" s="11">
        <f t="shared" si="240"/>
        <v>0.28434036568213783</v>
      </c>
      <c r="AD781" s="36">
        <f t="shared" si="232"/>
        <v>5.7749528270042187</v>
      </c>
      <c r="AE781" s="36"/>
      <c r="AF781" s="36">
        <f>IFERROR(VLOOKUP(AE781,'Chemical Cost'!A:D,4,0),0)</f>
        <v>0</v>
      </c>
      <c r="AG781" s="114">
        <f t="shared" si="241"/>
        <v>0</v>
      </c>
      <c r="AH781" s="36">
        <f t="shared" si="226"/>
        <v>0</v>
      </c>
      <c r="AI781" s="36">
        <f t="shared" si="233"/>
        <v>5.7749528270042187</v>
      </c>
      <c r="AJ781" s="36">
        <f>IFERROR(VLOOKUP(A781,'All Products'!A:F,6,0),0)</f>
        <v>10.26</v>
      </c>
      <c r="AK781" s="36">
        <f>AJ781*Z781*J781</f>
        <v>10.26</v>
      </c>
      <c r="AL781" s="23">
        <v>1</v>
      </c>
      <c r="AM781" s="23"/>
      <c r="AN781" s="54" t="e">
        <v>#N/A</v>
      </c>
      <c r="AO781" s="47"/>
      <c r="AP781" s="4">
        <v>1.6</v>
      </c>
      <c r="AQ781" s="111">
        <f t="shared" si="242"/>
        <v>0.28434036568213783</v>
      </c>
      <c r="AR781">
        <f>_xlfn.XLOOKUP(F781,'RM Cost'!A:A,'RM Cost'!S:S)</f>
        <v>0</v>
      </c>
      <c r="AS781" t="e">
        <f>_xlfn.XLOOKUP(A781,[3]Sheet1!$B:$B,[3]Sheet1!$B:$B)</f>
        <v>#N/A</v>
      </c>
    </row>
    <row r="782" spans="1:46" x14ac:dyDescent="0.25">
      <c r="A782" s="2" t="s">
        <v>202</v>
      </c>
      <c r="B782" s="2" t="s">
        <v>656</v>
      </c>
      <c r="C782" s="2" t="s">
        <v>203</v>
      </c>
      <c r="D782" s="2" t="s">
        <v>554</v>
      </c>
      <c r="E782" s="2">
        <v>1</v>
      </c>
      <c r="F782" s="1" t="str">
        <f>VLOOKUP(H782,'RM Used'!A:B,2,0)</f>
        <v>P0008</v>
      </c>
      <c r="G782" s="1" t="str">
        <f>IFERROR(VLOOKUP(F782,'RM Cost'!A:B,2,0),"")</f>
        <v>PALE BLUE BAG 470X750MM</v>
      </c>
      <c r="H782" s="2" t="s">
        <v>1323</v>
      </c>
      <c r="I782" s="1" t="str">
        <f>VLOOKUP(F782,'RM Used'!B:D,3,0)</f>
        <v>RM-PACKING</v>
      </c>
      <c r="J782" s="66">
        <v>1</v>
      </c>
      <c r="K782" s="35" t="str">
        <f t="shared" si="228"/>
        <v/>
      </c>
      <c r="L782" s="35">
        <f t="shared" si="234"/>
        <v>0</v>
      </c>
      <c r="M782" s="77" t="str" cm="1">
        <f t="array" ref="M782">_xlfn.IFS(BOM!I782="RM-PACKING","100%",B782="Reynolds",VLOOKUP(H782,'Yield &amp; Time'!A:V,22,0),BOM!B782="Dnata",VLOOKUP(BOM!H782,'Yield &amp; Time'!A:M,13,0),B782="NK",VLOOKUP(H782,'Yield &amp; Time'!A:X,24,0))</f>
        <v>100%</v>
      </c>
      <c r="N782" s="35">
        <f t="shared" si="227"/>
        <v>1</v>
      </c>
      <c r="O782" s="1" t="str">
        <f>VLOOKUP(H782,'RM Used'!A:E,5,0)</f>
        <v>Count</v>
      </c>
      <c r="P782" s="11">
        <f>VLOOKUP(H782,'RM Used'!A:F,6,0)</f>
        <v>0.14000000000000001</v>
      </c>
      <c r="Q782" s="11">
        <f t="shared" si="243"/>
        <v>0.14000000000000001</v>
      </c>
      <c r="R782" s="11">
        <f>IFERROR(IF(B782="Reynolds",VLOOKUP(H782,'Yield &amp; Time'!A:U,21,0),VLOOKUP(H782,'Yield &amp; Time'!A:L,12,0)),0)</f>
        <v>0</v>
      </c>
      <c r="S782" s="11">
        <f t="shared" si="235"/>
        <v>0</v>
      </c>
      <c r="T782" s="11">
        <f t="shared" si="236"/>
        <v>0</v>
      </c>
      <c r="U782" s="11">
        <f>IF(A781=A782,0,VLOOKUP(A782,'Packing Time'!A:F,6,0))</f>
        <v>0</v>
      </c>
      <c r="V782" s="11">
        <f t="shared" si="229"/>
        <v>0</v>
      </c>
      <c r="W782" s="11">
        <f t="shared" si="230"/>
        <v>0</v>
      </c>
      <c r="X782" s="11">
        <f t="shared" si="237"/>
        <v>0</v>
      </c>
      <c r="Y782" s="11">
        <f t="shared" si="231"/>
        <v>0</v>
      </c>
      <c r="Z782" s="37">
        <v>1</v>
      </c>
      <c r="AA782" s="36">
        <f t="shared" si="238"/>
        <v>1</v>
      </c>
      <c r="AB782" s="36">
        <f t="shared" si="239"/>
        <v>0.14000000000000001</v>
      </c>
      <c r="AC782" s="11">
        <f t="shared" si="240"/>
        <v>0</v>
      </c>
      <c r="AD782" s="36">
        <f t="shared" si="232"/>
        <v>0</v>
      </c>
      <c r="AE782" s="36"/>
      <c r="AF782" s="36">
        <f>IFERROR(VLOOKUP(AE782,'Chemical Cost'!A:D,4,0),0)</f>
        <v>0</v>
      </c>
      <c r="AG782" s="114">
        <f t="shared" si="241"/>
        <v>0</v>
      </c>
      <c r="AH782" s="36">
        <f t="shared" si="226"/>
        <v>0</v>
      </c>
      <c r="AI782" s="36">
        <f t="shared" si="233"/>
        <v>0.14000000000000001</v>
      </c>
      <c r="AJ782" s="36">
        <f>IFERROR(VLOOKUP(A782,'All Products'!A:F,6,0),0)</f>
        <v>10.26</v>
      </c>
      <c r="AK782" s="36"/>
      <c r="AL782" s="23">
        <v>1</v>
      </c>
      <c r="AM782" s="23"/>
      <c r="AN782" s="54" t="e">
        <v>#N/A</v>
      </c>
      <c r="AO782" s="47"/>
      <c r="AP782" s="4">
        <v>1.6</v>
      </c>
      <c r="AQ782" s="111">
        <f t="shared" si="242"/>
        <v>0</v>
      </c>
      <c r="AR782">
        <f>_xlfn.XLOOKUP(F782,'RM Cost'!A:A,'RM Cost'!S:S)</f>
        <v>0</v>
      </c>
      <c r="AS782" t="e">
        <f>_xlfn.XLOOKUP(A782,[3]Sheet1!$B:$B,[3]Sheet1!$B:$B)</f>
        <v>#N/A</v>
      </c>
    </row>
    <row r="783" spans="1:46" x14ac:dyDescent="0.25">
      <c r="A783" s="2" t="s">
        <v>853</v>
      </c>
      <c r="B783" s="2" t="s">
        <v>656</v>
      </c>
      <c r="C783" s="2" t="s">
        <v>854</v>
      </c>
      <c r="D783" s="2" t="s">
        <v>554</v>
      </c>
      <c r="E783" s="2">
        <v>2.5</v>
      </c>
      <c r="F783" s="1" t="str">
        <f>VLOOKUP(H783,'RM Used'!A:B,2,0)</f>
        <v>3194CS</v>
      </c>
      <c r="G783" s="1" t="str">
        <f>IFERROR(VLOOKUP(F783,'RM Cost'!A:B,2,0),"")</f>
        <v>RM - ONION BUTTON   X5KG</v>
      </c>
      <c r="H783" s="2" t="s">
        <v>1542</v>
      </c>
      <c r="I783" s="1" t="str">
        <f>VLOOKUP(F783,'RM Used'!B:D,3,0)</f>
        <v>RM-FOOD</v>
      </c>
      <c r="J783" s="66">
        <v>1</v>
      </c>
      <c r="K783" s="35">
        <f t="shared" si="228"/>
        <v>2.5</v>
      </c>
      <c r="L783" s="35">
        <f t="shared" si="234"/>
        <v>2.5</v>
      </c>
      <c r="M783" s="77" cm="1">
        <f t="array" ref="M783">_xlfn.IFS(BOM!I783="RM-PACKING","100%",B783="Reynolds",VLOOKUP(H783,'Yield &amp; Time'!A:V,22,0),BOM!B783="Dnata",VLOOKUP(BOM!H783,'Yield &amp; Time'!A:M,13,0),B783="NK",VLOOKUP(H783,'Yield &amp; Time'!A:X,24,0))</f>
        <v>0.49375000000000002</v>
      </c>
      <c r="N783" s="35">
        <f t="shared" si="227"/>
        <v>5.0632911392405058</v>
      </c>
      <c r="O783" s="1" t="str">
        <f>VLOOKUP(H783,'RM Used'!A:E,5,0)</f>
        <v>KG</v>
      </c>
      <c r="P783" s="11">
        <f>VLOOKUP(H783,'RM Used'!A:F,6,0)</f>
        <v>0</v>
      </c>
      <c r="Q783" s="11">
        <f t="shared" si="243"/>
        <v>0</v>
      </c>
      <c r="R783" s="11">
        <f>IFERROR(IF(B783="Reynolds",VLOOKUP(H783,'Yield &amp; Time'!A:U,21,0),VLOOKUP(H783,'Yield &amp; Time'!A:L,12,0)),0)</f>
        <v>10.021097046413502</v>
      </c>
      <c r="S783" s="11">
        <f t="shared" si="235"/>
        <v>8.4803533755274252</v>
      </c>
      <c r="T783" s="11">
        <f t="shared" si="236"/>
        <v>0.41754571026722925</v>
      </c>
      <c r="U783" s="11">
        <f>IF(A782=A783,0,VLOOKUP(A783,'Packing Time'!A:F,6,0))</f>
        <v>0.875</v>
      </c>
      <c r="V783" s="11">
        <f t="shared" si="229"/>
        <v>0.29618749999999999</v>
      </c>
      <c r="W783" s="11">
        <f t="shared" si="230"/>
        <v>1.4583333333333334E-2</v>
      </c>
      <c r="X783" s="11">
        <f t="shared" si="237"/>
        <v>10.970676094409281</v>
      </c>
      <c r="Y783" s="11">
        <f t="shared" si="231"/>
        <v>10.970676094409281</v>
      </c>
      <c r="Z783" s="37">
        <v>1</v>
      </c>
      <c r="AA783" s="36">
        <f t="shared" si="238"/>
        <v>5.0632911392405058</v>
      </c>
      <c r="AB783" s="36">
        <f t="shared" si="239"/>
        <v>0</v>
      </c>
      <c r="AC783" s="11">
        <f t="shared" si="240"/>
        <v>0.54016130450070321</v>
      </c>
      <c r="AD783" s="36">
        <f t="shared" si="232"/>
        <v>10.970676094409281</v>
      </c>
      <c r="AE783" s="36"/>
      <c r="AF783" s="36">
        <f>IFERROR(VLOOKUP(AE783,'Chemical Cost'!A:D,4,0),0)</f>
        <v>0</v>
      </c>
      <c r="AG783" s="114">
        <f t="shared" si="241"/>
        <v>0</v>
      </c>
      <c r="AH783" s="36">
        <f t="shared" si="226"/>
        <v>0</v>
      </c>
      <c r="AI783" s="36">
        <f t="shared" si="233"/>
        <v>10.970676094409281</v>
      </c>
      <c r="AJ783" s="36">
        <f>IFERROR(VLOOKUP(A783,'All Products'!A:F,6,0),0)</f>
        <v>25.65</v>
      </c>
      <c r="AK783" s="36">
        <f>AJ783*Z783*J783</f>
        <v>25.65</v>
      </c>
      <c r="AL783" s="23">
        <v>1</v>
      </c>
      <c r="AM783" s="23"/>
      <c r="AN783" s="54" t="e">
        <v>#N/A</v>
      </c>
      <c r="AO783" s="47"/>
      <c r="AP783" s="4">
        <v>1.25</v>
      </c>
      <c r="AQ783" s="111">
        <f t="shared" si="242"/>
        <v>0.54016130450070321</v>
      </c>
      <c r="AR783">
        <f>_xlfn.XLOOKUP(F783,'RM Cost'!A:A,'RM Cost'!S:S)</f>
        <v>0</v>
      </c>
      <c r="AS783" t="e">
        <f>_xlfn.XLOOKUP(A783,[3]Sheet1!$B:$B,[3]Sheet1!$B:$B)</f>
        <v>#N/A</v>
      </c>
    </row>
    <row r="784" spans="1:46" x14ac:dyDescent="0.25">
      <c r="A784" s="2" t="s">
        <v>853</v>
      </c>
      <c r="B784" s="2" t="s">
        <v>656</v>
      </c>
      <c r="C784" s="2" t="s">
        <v>854</v>
      </c>
      <c r="D784" s="2" t="s">
        <v>554</v>
      </c>
      <c r="E784" s="2">
        <v>2.5</v>
      </c>
      <c r="F784" s="1" t="str">
        <f>VLOOKUP(H784,'RM Used'!A:B,2,0)</f>
        <v>P0008</v>
      </c>
      <c r="G784" s="1" t="str">
        <f>IFERROR(VLOOKUP(F784,'RM Cost'!A:B,2,0),"")</f>
        <v>PALE BLUE BAG 470X750MM</v>
      </c>
      <c r="H784" s="2" t="s">
        <v>1323</v>
      </c>
      <c r="I784" s="1" t="str">
        <f>VLOOKUP(F784,'RM Used'!B:D,3,0)</f>
        <v>RM-PACKING</v>
      </c>
      <c r="J784" s="66">
        <v>1</v>
      </c>
      <c r="K784" s="35" t="str">
        <f t="shared" si="228"/>
        <v/>
      </c>
      <c r="L784" s="35">
        <f t="shared" si="234"/>
        <v>0</v>
      </c>
      <c r="M784" s="77" t="str" cm="1">
        <f t="array" ref="M784">_xlfn.IFS(BOM!I784="RM-PACKING","100%",B784="Reynolds",VLOOKUP(H784,'Yield &amp; Time'!A:V,22,0),BOM!B784="Dnata",VLOOKUP(BOM!H784,'Yield &amp; Time'!A:M,13,0),B784="NK",VLOOKUP(H784,'Yield &amp; Time'!A:X,24,0))</f>
        <v>100%</v>
      </c>
      <c r="N784" s="35">
        <f t="shared" si="227"/>
        <v>1</v>
      </c>
      <c r="O784" s="1" t="str">
        <f>VLOOKUP(H784,'RM Used'!A:E,5,0)</f>
        <v>Count</v>
      </c>
      <c r="P784" s="11">
        <f>VLOOKUP(H784,'RM Used'!A:F,6,0)</f>
        <v>0.14000000000000001</v>
      </c>
      <c r="Q784" s="11">
        <f t="shared" si="243"/>
        <v>0.14000000000000001</v>
      </c>
      <c r="R784" s="11">
        <f>IFERROR(IF(B784="Reynolds",VLOOKUP(H784,'Yield &amp; Time'!A:U,21,0),VLOOKUP(H784,'Yield &amp; Time'!A:L,12,0)),0)</f>
        <v>0</v>
      </c>
      <c r="S784" s="11">
        <f t="shared" si="235"/>
        <v>0</v>
      </c>
      <c r="T784" s="11">
        <f t="shared" si="236"/>
        <v>0</v>
      </c>
      <c r="U784" s="11">
        <f>IF(A783=A784,0,VLOOKUP(A784,'Packing Time'!A:F,6,0))</f>
        <v>0</v>
      </c>
      <c r="V784" s="11">
        <f t="shared" si="229"/>
        <v>0</v>
      </c>
      <c r="W784" s="11">
        <f t="shared" si="230"/>
        <v>0</v>
      </c>
      <c r="X784" s="11">
        <f t="shared" si="237"/>
        <v>0</v>
      </c>
      <c r="Y784" s="11">
        <f t="shared" si="231"/>
        <v>0</v>
      </c>
      <c r="Z784" s="37">
        <v>1</v>
      </c>
      <c r="AA784" s="36">
        <f t="shared" si="238"/>
        <v>1</v>
      </c>
      <c r="AB784" s="36">
        <f t="shared" si="239"/>
        <v>0.14000000000000001</v>
      </c>
      <c r="AC784" s="11">
        <f t="shared" si="240"/>
        <v>0</v>
      </c>
      <c r="AD784" s="36">
        <f t="shared" si="232"/>
        <v>0</v>
      </c>
      <c r="AE784" s="36"/>
      <c r="AF784" s="36">
        <f>IFERROR(VLOOKUP(AE784,'Chemical Cost'!A:D,4,0),0)</f>
        <v>0</v>
      </c>
      <c r="AG784" s="114">
        <f t="shared" si="241"/>
        <v>0</v>
      </c>
      <c r="AH784" s="36">
        <f t="shared" si="226"/>
        <v>0</v>
      </c>
      <c r="AI784" s="36">
        <f t="shared" si="233"/>
        <v>0.14000000000000001</v>
      </c>
      <c r="AJ784" s="36">
        <f>IFERROR(VLOOKUP(A784,'All Products'!A:F,6,0),0)</f>
        <v>25.65</v>
      </c>
      <c r="AK784" s="36"/>
      <c r="AL784" s="23">
        <v>1</v>
      </c>
      <c r="AM784" s="23"/>
      <c r="AN784" s="54" t="e">
        <v>#N/A</v>
      </c>
      <c r="AO784" s="47"/>
      <c r="AP784" s="4">
        <v>1.25</v>
      </c>
      <c r="AQ784" s="111">
        <f t="shared" si="242"/>
        <v>0</v>
      </c>
      <c r="AR784">
        <f>_xlfn.XLOOKUP(F784,'RM Cost'!A:A,'RM Cost'!S:S)</f>
        <v>0</v>
      </c>
      <c r="AS784" t="e">
        <f>_xlfn.XLOOKUP(A784,[3]Sheet1!$B:$B,[3]Sheet1!$B:$B)</f>
        <v>#N/A</v>
      </c>
    </row>
    <row r="785" spans="1:46" x14ac:dyDescent="0.25">
      <c r="A785" s="2" t="s">
        <v>407</v>
      </c>
      <c r="B785" s="2" t="s">
        <v>656</v>
      </c>
      <c r="C785" s="2" t="s">
        <v>408</v>
      </c>
      <c r="D785" s="2" t="s">
        <v>554</v>
      </c>
      <c r="E785" s="2">
        <v>1</v>
      </c>
      <c r="F785" s="1" t="str">
        <f>VLOOKUP(H785,'RM Used'!A:B,2,0)</f>
        <v>3191CS</v>
      </c>
      <c r="G785" s="1" t="str">
        <f>IFERROR(VLOOKUP(F785,'RM Cost'!A:B,2,0),"")</f>
        <v>RM - PARSNIPS 10KG</v>
      </c>
      <c r="H785" s="2" t="s">
        <v>1376</v>
      </c>
      <c r="I785" s="1" t="str">
        <f>VLOOKUP(F785,'RM Used'!B:D,3,0)</f>
        <v>RM-FOOD</v>
      </c>
      <c r="J785" s="66">
        <v>1</v>
      </c>
      <c r="K785" s="35">
        <f t="shared" si="228"/>
        <v>1</v>
      </c>
      <c r="L785" s="35">
        <f t="shared" si="234"/>
        <v>1</v>
      </c>
      <c r="M785" s="77" cm="1">
        <f t="array" ref="M785">_xlfn.IFS(BOM!I785="RM-PACKING","100%",B785="Reynolds",VLOOKUP(H785,'Yield &amp; Time'!A:V,22,0),BOM!B785="Dnata",VLOOKUP(BOM!H785,'Yield &amp; Time'!A:M,13,0),B785="NK",VLOOKUP(H785,'Yield &amp; Time'!A:X,24,0))</f>
        <v>0.56310679611650483</v>
      </c>
      <c r="N785" s="35">
        <f t="shared" si="227"/>
        <v>1.7758620689655173</v>
      </c>
      <c r="O785" s="1" t="str">
        <f>VLOOKUP(H785,'RM Used'!A:E,5,0)</f>
        <v>KG</v>
      </c>
      <c r="P785" s="11">
        <f>VLOOKUP(H785,'RM Used'!A:F,6,0)</f>
        <v>0.76</v>
      </c>
      <c r="Q785" s="11">
        <f t="shared" si="243"/>
        <v>1.3496551724137933</v>
      </c>
      <c r="R785" s="11">
        <f>IFERROR(IF(B785="Reynolds",VLOOKUP(H785,'Yield &amp; Time'!A:U,21,0),VLOOKUP(H785,'Yield &amp; Time'!A:L,12,0)),0)</f>
        <v>7.63448275862069</v>
      </c>
      <c r="S785" s="11">
        <f t="shared" si="235"/>
        <v>2.5842724137931032</v>
      </c>
      <c r="T785" s="11">
        <f t="shared" si="236"/>
        <v>0.12724137931034482</v>
      </c>
      <c r="U785" s="11">
        <f>IF(A784=A785,0,VLOOKUP(A785,'Packing Time'!A:F,6,0))</f>
        <v>0.64166666666666661</v>
      </c>
      <c r="V785" s="11">
        <f t="shared" si="229"/>
        <v>0.21720416666666661</v>
      </c>
      <c r="W785" s="11">
        <f t="shared" si="230"/>
        <v>1.0694444444444444E-2</v>
      </c>
      <c r="X785" s="11">
        <f t="shared" si="237"/>
        <v>3.922067212643678</v>
      </c>
      <c r="Y785" s="11">
        <f t="shared" si="231"/>
        <v>3.922067212643678</v>
      </c>
      <c r="Z785" s="37">
        <v>1</v>
      </c>
      <c r="AA785" s="36">
        <f t="shared" si="238"/>
        <v>1.7758620689655173</v>
      </c>
      <c r="AB785" s="36">
        <f t="shared" si="239"/>
        <v>1.3496551724137933</v>
      </c>
      <c r="AC785" s="11">
        <f t="shared" si="240"/>
        <v>0.193110153256705</v>
      </c>
      <c r="AD785" s="36">
        <f t="shared" si="232"/>
        <v>3.922067212643678</v>
      </c>
      <c r="AE785" s="36" t="str">
        <f>VLOOKUP(H785,'Yield &amp; Time'!A:I,9,0)</f>
        <v>SODIUM METABISULPHITE</v>
      </c>
      <c r="AF785" s="36">
        <f>IFERROR(VLOOKUP(AE785,'Chemical Cost'!A:D,4,0),0)</f>
        <v>9.7586225455882462E-3</v>
      </c>
      <c r="AG785" s="114">
        <f t="shared" si="241"/>
        <v>5.776655874687296E-3</v>
      </c>
      <c r="AH785" s="36">
        <f t="shared" si="226"/>
        <v>5.776655874687296E-3</v>
      </c>
      <c r="AI785" s="36">
        <f t="shared" si="233"/>
        <v>5.2774990409321578</v>
      </c>
      <c r="AJ785" s="36">
        <f>IFERROR(VLOOKUP(A785,'All Products'!A:F,6,0),0)</f>
        <v>4.74</v>
      </c>
      <c r="AK785" s="36">
        <f>AJ785*Z785*J785</f>
        <v>4.74</v>
      </c>
      <c r="AL785" s="23">
        <v>1</v>
      </c>
      <c r="AM785" s="23"/>
      <c r="AN785" s="54" t="e">
        <v>#N/A</v>
      </c>
      <c r="AO785" s="47"/>
      <c r="AP785" s="4">
        <v>1.4</v>
      </c>
      <c r="AQ785" s="111">
        <f t="shared" si="242"/>
        <v>0.193110153256705</v>
      </c>
      <c r="AR785">
        <f>_xlfn.XLOOKUP(F785,'RM Cost'!A:A,'RM Cost'!S:S)</f>
        <v>0</v>
      </c>
      <c r="AS785" t="e">
        <f>_xlfn.XLOOKUP(A785,[3]Sheet1!$B:$B,[3]Sheet1!$B:$B)</f>
        <v>#N/A</v>
      </c>
    </row>
    <row r="786" spans="1:46" x14ac:dyDescent="0.25">
      <c r="A786" s="2" t="s">
        <v>407</v>
      </c>
      <c r="B786" s="2" t="s">
        <v>656</v>
      </c>
      <c r="C786" s="2" t="s">
        <v>408</v>
      </c>
      <c r="D786" s="2" t="s">
        <v>554</v>
      </c>
      <c r="E786" s="2">
        <v>1</v>
      </c>
      <c r="F786" s="1" t="str">
        <f>VLOOKUP(H786,'RM Used'!A:B,2,0)</f>
        <v>P0008</v>
      </c>
      <c r="G786" s="1" t="str">
        <f>IFERROR(VLOOKUP(F786,'RM Cost'!A:B,2,0),"")</f>
        <v>PALE BLUE BAG 470X750MM</v>
      </c>
      <c r="H786" s="2" t="s">
        <v>1323</v>
      </c>
      <c r="I786" s="1" t="str">
        <f>VLOOKUP(F786,'RM Used'!B:D,3,0)</f>
        <v>RM-PACKING</v>
      </c>
      <c r="J786" s="66">
        <v>1</v>
      </c>
      <c r="K786" s="35" t="str">
        <f t="shared" si="228"/>
        <v/>
      </c>
      <c r="L786" s="35">
        <f t="shared" si="234"/>
        <v>0</v>
      </c>
      <c r="M786" s="77" t="str" cm="1">
        <f t="array" ref="M786">_xlfn.IFS(BOM!I786="RM-PACKING","100%",B786="Reynolds",VLOOKUP(H786,'Yield &amp; Time'!A:V,22,0),BOM!B786="Dnata",VLOOKUP(BOM!H786,'Yield &amp; Time'!A:M,13,0),B786="NK",VLOOKUP(H786,'Yield &amp; Time'!A:X,24,0))</f>
        <v>100%</v>
      </c>
      <c r="N786" s="35">
        <f t="shared" si="227"/>
        <v>1</v>
      </c>
      <c r="O786" s="1" t="str">
        <f>VLOOKUP(H786,'RM Used'!A:E,5,0)</f>
        <v>Count</v>
      </c>
      <c r="P786" s="11">
        <f>VLOOKUP(H786,'RM Used'!A:F,6,0)</f>
        <v>0.14000000000000001</v>
      </c>
      <c r="Q786" s="11">
        <f t="shared" si="243"/>
        <v>0.14000000000000001</v>
      </c>
      <c r="R786" s="11">
        <f>IFERROR(IF(B786="Reynolds",VLOOKUP(H786,'Yield &amp; Time'!A:U,21,0),VLOOKUP(H786,'Yield &amp; Time'!A:L,12,0)),0)</f>
        <v>0</v>
      </c>
      <c r="S786" s="11">
        <f t="shared" si="235"/>
        <v>0</v>
      </c>
      <c r="T786" s="11">
        <f t="shared" si="236"/>
        <v>0</v>
      </c>
      <c r="U786" s="11">
        <f>IF(A785=A786,0,VLOOKUP(A786,'Packing Time'!A:F,6,0))</f>
        <v>0</v>
      </c>
      <c r="V786" s="11">
        <f t="shared" si="229"/>
        <v>0</v>
      </c>
      <c r="W786" s="11">
        <f t="shared" si="230"/>
        <v>0</v>
      </c>
      <c r="X786" s="11">
        <f t="shared" si="237"/>
        <v>0</v>
      </c>
      <c r="Y786" s="11">
        <f t="shared" si="231"/>
        <v>0</v>
      </c>
      <c r="Z786" s="37">
        <v>1</v>
      </c>
      <c r="AA786" s="36">
        <f t="shared" si="238"/>
        <v>1</v>
      </c>
      <c r="AB786" s="36">
        <f t="shared" si="239"/>
        <v>0.14000000000000001</v>
      </c>
      <c r="AC786" s="11">
        <f t="shared" si="240"/>
        <v>0</v>
      </c>
      <c r="AD786" s="36">
        <f t="shared" si="232"/>
        <v>0</v>
      </c>
      <c r="AE786" s="36"/>
      <c r="AF786" s="36">
        <f>IFERROR(VLOOKUP(AE786,'Chemical Cost'!A:D,4,0),0)</f>
        <v>0</v>
      </c>
      <c r="AG786" s="114">
        <f t="shared" si="241"/>
        <v>0</v>
      </c>
      <c r="AH786" s="36">
        <f t="shared" si="226"/>
        <v>0</v>
      </c>
      <c r="AI786" s="36">
        <f t="shared" si="233"/>
        <v>0.14000000000000001</v>
      </c>
      <c r="AJ786" s="36">
        <f>IFERROR(VLOOKUP(A786,'All Products'!A:F,6,0),0)</f>
        <v>4.74</v>
      </c>
      <c r="AK786" s="36"/>
      <c r="AL786" s="23">
        <v>1</v>
      </c>
      <c r="AM786" s="23"/>
      <c r="AN786" s="54" t="e">
        <v>#N/A</v>
      </c>
      <c r="AO786" s="47"/>
      <c r="AP786" s="4">
        <v>1.4</v>
      </c>
      <c r="AQ786" s="111">
        <f t="shared" si="242"/>
        <v>0</v>
      </c>
      <c r="AR786">
        <f>_xlfn.XLOOKUP(F786,'RM Cost'!A:A,'RM Cost'!S:S)</f>
        <v>0</v>
      </c>
      <c r="AS786" t="e">
        <f>_xlfn.XLOOKUP(A786,[3]Sheet1!$B:$B,[3]Sheet1!$B:$B)</f>
        <v>#N/A</v>
      </c>
    </row>
    <row r="787" spans="1:46" x14ac:dyDescent="0.25">
      <c r="A787" s="2" t="s">
        <v>198</v>
      </c>
      <c r="B787" s="2" t="s">
        <v>656</v>
      </c>
      <c r="C787" s="2" t="s">
        <v>199</v>
      </c>
      <c r="D787" s="2" t="s">
        <v>554</v>
      </c>
      <c r="E787" s="2">
        <v>2.5</v>
      </c>
      <c r="F787" s="1" t="str">
        <f>VLOOKUP(H787,'RM Used'!A:B,2,0)</f>
        <v>3191CS</v>
      </c>
      <c r="G787" s="1" t="str">
        <f>IFERROR(VLOOKUP(F787,'RM Cost'!A:B,2,0),"")</f>
        <v>RM - PARSNIPS 10KG</v>
      </c>
      <c r="H787" s="2" t="s">
        <v>1376</v>
      </c>
      <c r="I787" s="1" t="str">
        <f>VLOOKUP(F787,'RM Used'!B:D,3,0)</f>
        <v>RM-FOOD</v>
      </c>
      <c r="J787" s="66">
        <v>1</v>
      </c>
      <c r="K787" s="35">
        <f t="shared" si="228"/>
        <v>2.5</v>
      </c>
      <c r="L787" s="35">
        <f t="shared" si="234"/>
        <v>2.5</v>
      </c>
      <c r="M787" s="77" cm="1">
        <f t="array" ref="M787">_xlfn.IFS(BOM!I787="RM-PACKING","100%",B787="Reynolds",VLOOKUP(H787,'Yield &amp; Time'!A:V,22,0),BOM!B787="Dnata",VLOOKUP(BOM!H787,'Yield &amp; Time'!A:M,13,0),B787="NK",VLOOKUP(H787,'Yield &amp; Time'!A:X,24,0))</f>
        <v>0.56310679611650483</v>
      </c>
      <c r="N787" s="35">
        <f t="shared" si="227"/>
        <v>4.4396551724137936</v>
      </c>
      <c r="O787" s="1" t="str">
        <f>VLOOKUP(H787,'RM Used'!A:E,5,0)</f>
        <v>KG</v>
      </c>
      <c r="P787" s="11">
        <f>VLOOKUP(H787,'RM Used'!A:F,6,0)</f>
        <v>0.76</v>
      </c>
      <c r="Q787" s="11">
        <f t="shared" si="243"/>
        <v>3.374137931034483</v>
      </c>
      <c r="R787" s="11">
        <f>IFERROR(IF(B787="Reynolds",VLOOKUP(H787,'Yield &amp; Time'!A:U,21,0),VLOOKUP(H787,'Yield &amp; Time'!A:L,12,0)),0)</f>
        <v>7.63448275862069</v>
      </c>
      <c r="S787" s="11">
        <f t="shared" si="235"/>
        <v>6.460681034482759</v>
      </c>
      <c r="T787" s="11">
        <f t="shared" si="236"/>
        <v>0.31810344827586212</v>
      </c>
      <c r="U787" s="11">
        <f>IF(A786=A787,0,VLOOKUP(A787,'Packing Time'!A:F,6,0))</f>
        <v>0.875</v>
      </c>
      <c r="V787" s="11">
        <f t="shared" si="229"/>
        <v>0.29618749999999999</v>
      </c>
      <c r="W787" s="11">
        <f t="shared" si="230"/>
        <v>1.4583333333333334E-2</v>
      </c>
      <c r="X787" s="11">
        <f t="shared" si="237"/>
        <v>7.4325553879310347</v>
      </c>
      <c r="Y787" s="11">
        <f t="shared" si="231"/>
        <v>7.4325553879310347</v>
      </c>
      <c r="Z787" s="37">
        <v>1</v>
      </c>
      <c r="AA787" s="36">
        <f t="shared" si="238"/>
        <v>4.4396551724137936</v>
      </c>
      <c r="AB787" s="36">
        <f t="shared" si="239"/>
        <v>3.374137931034483</v>
      </c>
      <c r="AC787" s="11">
        <f t="shared" si="240"/>
        <v>0.36595545977011501</v>
      </c>
      <c r="AD787" s="36">
        <f t="shared" si="232"/>
        <v>7.4325553879310355</v>
      </c>
      <c r="AE787" s="36" t="str">
        <f>VLOOKUP(H787,'Yield &amp; Time'!A:I,9,0)</f>
        <v>SODIUM METABISULPHITE</v>
      </c>
      <c r="AF787" s="36">
        <f>IFERROR(VLOOKUP(AE787,'Chemical Cost'!A:D,4,0),0)</f>
        <v>9.7586225455882462E-3</v>
      </c>
      <c r="AG787" s="114">
        <f t="shared" si="241"/>
        <v>1.4441639686718239E-2</v>
      </c>
      <c r="AH787" s="36">
        <f t="shared" si="226"/>
        <v>1.4441639686718239E-2</v>
      </c>
      <c r="AI787" s="36">
        <f t="shared" si="233"/>
        <v>10.821134958652236</v>
      </c>
      <c r="AJ787" s="36">
        <f>IFERROR(VLOOKUP(A787,'All Products'!A:F,6,0),0)</f>
        <v>11.85</v>
      </c>
      <c r="AK787" s="36">
        <f>AJ787*Z787*J787</f>
        <v>11.85</v>
      </c>
      <c r="AL787" s="23">
        <v>1</v>
      </c>
      <c r="AM787" s="23"/>
      <c r="AN787" s="54" t="e">
        <v>#N/A</v>
      </c>
      <c r="AO787" s="47"/>
      <c r="AP787" s="4">
        <v>1.1000000000000001</v>
      </c>
      <c r="AQ787" s="111">
        <f t="shared" si="242"/>
        <v>0.36595545977011501</v>
      </c>
      <c r="AR787">
        <f>_xlfn.XLOOKUP(F787,'RM Cost'!A:A,'RM Cost'!S:S)</f>
        <v>0</v>
      </c>
      <c r="AS787" t="e">
        <f>_xlfn.XLOOKUP(A787,[3]Sheet1!$B:$B,[3]Sheet1!$B:$B)</f>
        <v>#N/A</v>
      </c>
    </row>
    <row r="788" spans="1:46" x14ac:dyDescent="0.25">
      <c r="A788" s="2" t="s">
        <v>198</v>
      </c>
      <c r="B788" s="2" t="s">
        <v>656</v>
      </c>
      <c r="C788" s="2" t="s">
        <v>199</v>
      </c>
      <c r="D788" s="2" t="s">
        <v>554</v>
      </c>
      <c r="E788" s="2">
        <v>2.5</v>
      </c>
      <c r="F788" s="1" t="str">
        <f>VLOOKUP(H788,'RM Used'!A:B,2,0)</f>
        <v>P0008</v>
      </c>
      <c r="G788" s="1" t="str">
        <f>IFERROR(VLOOKUP(F788,'RM Cost'!A:B,2,0),"")</f>
        <v>PALE BLUE BAG 470X750MM</v>
      </c>
      <c r="H788" s="2" t="s">
        <v>1323</v>
      </c>
      <c r="I788" s="1" t="str">
        <f>VLOOKUP(F788,'RM Used'!B:D,3,0)</f>
        <v>RM-PACKING</v>
      </c>
      <c r="J788" s="66">
        <v>1</v>
      </c>
      <c r="K788" s="35" t="str">
        <f t="shared" si="228"/>
        <v/>
      </c>
      <c r="L788" s="35">
        <f t="shared" si="234"/>
        <v>0</v>
      </c>
      <c r="M788" s="77" t="str" cm="1">
        <f t="array" ref="M788">_xlfn.IFS(BOM!I788="RM-PACKING","100%",B788="Reynolds",VLOOKUP(H788,'Yield &amp; Time'!A:V,22,0),BOM!B788="Dnata",VLOOKUP(BOM!H788,'Yield &amp; Time'!A:M,13,0),B788="NK",VLOOKUP(H788,'Yield &amp; Time'!A:X,24,0))</f>
        <v>100%</v>
      </c>
      <c r="N788" s="35">
        <f t="shared" si="227"/>
        <v>1</v>
      </c>
      <c r="O788" s="1" t="str">
        <f>VLOOKUP(H788,'RM Used'!A:E,5,0)</f>
        <v>Count</v>
      </c>
      <c r="P788" s="11">
        <f>VLOOKUP(H788,'RM Used'!A:F,6,0)</f>
        <v>0.14000000000000001</v>
      </c>
      <c r="Q788" s="11">
        <f t="shared" si="243"/>
        <v>0.14000000000000001</v>
      </c>
      <c r="R788" s="11">
        <f>IFERROR(IF(B788="Reynolds",VLOOKUP(H788,'Yield &amp; Time'!A:U,21,0),VLOOKUP(H788,'Yield &amp; Time'!A:L,12,0)),0)</f>
        <v>0</v>
      </c>
      <c r="S788" s="11">
        <f t="shared" si="235"/>
        <v>0</v>
      </c>
      <c r="T788" s="11">
        <f t="shared" si="236"/>
        <v>0</v>
      </c>
      <c r="U788" s="11">
        <f>IF(A787=A788,0,VLOOKUP(A788,'Packing Time'!A:F,6,0))</f>
        <v>0</v>
      </c>
      <c r="V788" s="11">
        <f t="shared" si="229"/>
        <v>0</v>
      </c>
      <c r="W788" s="11">
        <f t="shared" si="230"/>
        <v>0</v>
      </c>
      <c r="X788" s="11">
        <f t="shared" si="237"/>
        <v>0</v>
      </c>
      <c r="Y788" s="11">
        <f t="shared" si="231"/>
        <v>0</v>
      </c>
      <c r="Z788" s="37">
        <v>1</v>
      </c>
      <c r="AA788" s="36">
        <f t="shared" si="238"/>
        <v>1</v>
      </c>
      <c r="AB788" s="36">
        <f t="shared" si="239"/>
        <v>0.14000000000000001</v>
      </c>
      <c r="AC788" s="11">
        <f t="shared" si="240"/>
        <v>0</v>
      </c>
      <c r="AD788" s="36">
        <f t="shared" si="232"/>
        <v>0</v>
      </c>
      <c r="AE788" s="36"/>
      <c r="AF788" s="36">
        <f>IFERROR(VLOOKUP(AE788,'Chemical Cost'!A:D,4,0),0)</f>
        <v>0</v>
      </c>
      <c r="AG788" s="114">
        <f t="shared" si="241"/>
        <v>0</v>
      </c>
      <c r="AH788" s="36">
        <f t="shared" si="226"/>
        <v>0</v>
      </c>
      <c r="AI788" s="36">
        <f t="shared" si="233"/>
        <v>0.14000000000000001</v>
      </c>
      <c r="AJ788" s="36">
        <f>IFERROR(VLOOKUP(A788,'All Products'!A:F,6,0),0)</f>
        <v>11.85</v>
      </c>
      <c r="AK788" s="36"/>
      <c r="AL788" s="23">
        <v>1</v>
      </c>
      <c r="AM788" s="23"/>
      <c r="AN788" s="54" t="e">
        <v>#N/A</v>
      </c>
      <c r="AO788" s="47"/>
      <c r="AP788" s="4">
        <v>1.1000000000000001</v>
      </c>
      <c r="AQ788" s="111">
        <f t="shared" si="242"/>
        <v>0</v>
      </c>
      <c r="AR788">
        <f>_xlfn.XLOOKUP(F788,'RM Cost'!A:A,'RM Cost'!S:S)</f>
        <v>0</v>
      </c>
      <c r="AS788" t="e">
        <f>_xlfn.XLOOKUP(A788,[3]Sheet1!$B:$B,[3]Sheet1!$B:$B)</f>
        <v>#N/A</v>
      </c>
    </row>
    <row r="789" spans="1:46" x14ac:dyDescent="0.25">
      <c r="A789" s="2" t="s">
        <v>196</v>
      </c>
      <c r="B789" s="2" t="s">
        <v>656</v>
      </c>
      <c r="C789" s="2" t="s">
        <v>197</v>
      </c>
      <c r="D789" s="2" t="s">
        <v>554</v>
      </c>
      <c r="E789" s="2">
        <v>1</v>
      </c>
      <c r="F789" s="1" t="str">
        <f>VLOOKUP(H789,'RM Used'!A:B,2,0)</f>
        <v>3191CS</v>
      </c>
      <c r="G789" s="1" t="str">
        <f>IFERROR(VLOOKUP(F789,'RM Cost'!A:B,2,0),"")</f>
        <v>RM - PARSNIPS 10KG</v>
      </c>
      <c r="H789" s="2" t="s">
        <v>1543</v>
      </c>
      <c r="I789" s="1" t="str">
        <f>VLOOKUP(F789,'RM Used'!B:D,3,0)</f>
        <v>RM-FOOD</v>
      </c>
      <c r="J789" s="66">
        <v>1</v>
      </c>
      <c r="K789" s="35">
        <f t="shared" si="228"/>
        <v>1</v>
      </c>
      <c r="L789" s="35">
        <f t="shared" si="234"/>
        <v>1</v>
      </c>
      <c r="M789" s="77" cm="1">
        <f t="array" ref="M789">_xlfn.IFS(BOM!I789="RM-PACKING","100%",B789="Reynolds",VLOOKUP(H789,'Yield &amp; Time'!A:V,22,0),BOM!B789="Dnata",VLOOKUP(BOM!H789,'Yield &amp; Time'!A:M,13,0),B789="NK",VLOOKUP(H789,'Yield &amp; Time'!A:X,24,0))</f>
        <v>0.67961165048543681</v>
      </c>
      <c r="N789" s="35">
        <f t="shared" si="227"/>
        <v>1.4714285714285715</v>
      </c>
      <c r="O789" s="1" t="str">
        <f>VLOOKUP(H789,'RM Used'!A:E,5,0)</f>
        <v>KG</v>
      </c>
      <c r="P789" s="11">
        <f>VLOOKUP(H789,'RM Used'!A:F,6,0)</f>
        <v>0.76</v>
      </c>
      <c r="Q789" s="11">
        <f t="shared" si="243"/>
        <v>1.1182857142857143</v>
      </c>
      <c r="R789" s="11">
        <f>IFERROR(IF(B789="Reynolds",VLOOKUP(H789,'Yield &amp; Time'!A:U,21,0),VLOOKUP(H789,'Yield &amp; Time'!A:L,12,0)),0)</f>
        <v>2.7071428571428573</v>
      </c>
      <c r="S789" s="11">
        <f t="shared" si="235"/>
        <v>0.91636785714285707</v>
      </c>
      <c r="T789" s="11">
        <f t="shared" si="236"/>
        <v>4.5119047619047621E-2</v>
      </c>
      <c r="U789" s="11">
        <f>IF(A788=A789,0,VLOOKUP(A789,'Packing Time'!A:F,6,0))</f>
        <v>0.64166666666666661</v>
      </c>
      <c r="V789" s="11">
        <f t="shared" si="229"/>
        <v>0.21720416666666661</v>
      </c>
      <c r="W789" s="11">
        <f t="shared" si="230"/>
        <v>1.0694444444444444E-2</v>
      </c>
      <c r="X789" s="11">
        <f t="shared" si="237"/>
        <v>1.8137152380952379</v>
      </c>
      <c r="Y789" s="11">
        <f t="shared" si="231"/>
        <v>1.8137152380952379</v>
      </c>
      <c r="Z789" s="37">
        <v>1</v>
      </c>
      <c r="AA789" s="36">
        <f t="shared" si="238"/>
        <v>1.4714285714285715</v>
      </c>
      <c r="AB789" s="36">
        <f t="shared" si="239"/>
        <v>1.1182857142857143</v>
      </c>
      <c r="AC789" s="11">
        <f t="shared" si="240"/>
        <v>8.9301587301587312E-2</v>
      </c>
      <c r="AD789" s="36">
        <f t="shared" si="232"/>
        <v>1.8137152380952384</v>
      </c>
      <c r="AE789" s="36" t="str">
        <f>VLOOKUP(H789,'Yield &amp; Time'!A:I,9,0)</f>
        <v>SODIUM METABISULPHITE</v>
      </c>
      <c r="AF789" s="36">
        <f>IFERROR(VLOOKUP(AE789,'Chemical Cost'!A:D,4,0),0)</f>
        <v>9.7586225455882462E-3</v>
      </c>
      <c r="AG789" s="114">
        <f t="shared" si="241"/>
        <v>4.7863720104551876E-3</v>
      </c>
      <c r="AH789" s="36">
        <f t="shared" si="226"/>
        <v>4.7863720104551876E-3</v>
      </c>
      <c r="AI789" s="36">
        <f t="shared" si="233"/>
        <v>2.9367873243914073</v>
      </c>
      <c r="AJ789" s="36">
        <f>IFERROR(VLOOKUP(A789,'All Products'!A:F,6,0),0)</f>
        <v>3.04</v>
      </c>
      <c r="AK789" s="36">
        <f>AJ789*Z789*J789</f>
        <v>3.04</v>
      </c>
      <c r="AL789" s="23">
        <v>1</v>
      </c>
      <c r="AM789" s="23"/>
      <c r="AN789" s="54" t="e">
        <v>#N/A</v>
      </c>
      <c r="AO789" s="47"/>
      <c r="AP789" s="4">
        <v>1.6</v>
      </c>
      <c r="AQ789" s="111">
        <f t="shared" si="242"/>
        <v>8.9301587301587312E-2</v>
      </c>
      <c r="AR789">
        <f>_xlfn.XLOOKUP(F789,'RM Cost'!A:A,'RM Cost'!S:S)</f>
        <v>0</v>
      </c>
      <c r="AS789" t="e">
        <f>_xlfn.XLOOKUP(A789,[3]Sheet1!$B:$B,[3]Sheet1!$B:$B)</f>
        <v>#N/A</v>
      </c>
    </row>
    <row r="790" spans="1:46" x14ac:dyDescent="0.25">
      <c r="A790" s="2" t="s">
        <v>196</v>
      </c>
      <c r="B790" s="2" t="s">
        <v>656</v>
      </c>
      <c r="C790" s="2" t="s">
        <v>197</v>
      </c>
      <c r="D790" s="2" t="s">
        <v>554</v>
      </c>
      <c r="E790" s="2">
        <v>1</v>
      </c>
      <c r="F790" s="1" t="str">
        <f>VLOOKUP(H790,'RM Used'!A:B,2,0)</f>
        <v>P0008</v>
      </c>
      <c r="G790" s="1" t="str">
        <f>IFERROR(VLOOKUP(F790,'RM Cost'!A:B,2,0),"")</f>
        <v>PALE BLUE BAG 470X750MM</v>
      </c>
      <c r="H790" s="2" t="s">
        <v>1323</v>
      </c>
      <c r="I790" s="1" t="str">
        <f>VLOOKUP(F790,'RM Used'!B:D,3,0)</f>
        <v>RM-PACKING</v>
      </c>
      <c r="J790" s="66">
        <v>1</v>
      </c>
      <c r="K790" s="35" t="str">
        <f t="shared" si="228"/>
        <v/>
      </c>
      <c r="L790" s="35">
        <f t="shared" si="234"/>
        <v>0</v>
      </c>
      <c r="M790" s="77" t="str" cm="1">
        <f t="array" ref="M790">_xlfn.IFS(BOM!I790="RM-PACKING","100%",B790="Reynolds",VLOOKUP(H790,'Yield &amp; Time'!A:V,22,0),BOM!B790="Dnata",VLOOKUP(BOM!H790,'Yield &amp; Time'!A:M,13,0),B790="NK",VLOOKUP(H790,'Yield &amp; Time'!A:X,24,0))</f>
        <v>100%</v>
      </c>
      <c r="N790" s="35">
        <f t="shared" si="227"/>
        <v>1</v>
      </c>
      <c r="O790" s="1" t="str">
        <f>VLOOKUP(H790,'RM Used'!A:E,5,0)</f>
        <v>Count</v>
      </c>
      <c r="P790" s="11">
        <f>VLOOKUP(H790,'RM Used'!A:F,6,0)</f>
        <v>0.14000000000000001</v>
      </c>
      <c r="Q790" s="11">
        <f t="shared" si="243"/>
        <v>0.14000000000000001</v>
      </c>
      <c r="R790" s="11">
        <f>IFERROR(IF(B790="Reynolds",VLOOKUP(H790,'Yield &amp; Time'!A:U,21,0),VLOOKUP(H790,'Yield &amp; Time'!A:L,12,0)),0)</f>
        <v>0</v>
      </c>
      <c r="S790" s="11">
        <f t="shared" si="235"/>
        <v>0</v>
      </c>
      <c r="T790" s="11">
        <f t="shared" si="236"/>
        <v>0</v>
      </c>
      <c r="U790" s="11">
        <f>IF(A789=A790,0,VLOOKUP(A790,'Packing Time'!A:F,6,0))</f>
        <v>0</v>
      </c>
      <c r="V790" s="11">
        <f t="shared" si="229"/>
        <v>0</v>
      </c>
      <c r="W790" s="11">
        <f t="shared" si="230"/>
        <v>0</v>
      </c>
      <c r="X790" s="11">
        <f t="shared" si="237"/>
        <v>0</v>
      </c>
      <c r="Y790" s="11">
        <f t="shared" si="231"/>
        <v>0</v>
      </c>
      <c r="Z790" s="37">
        <v>1</v>
      </c>
      <c r="AA790" s="36">
        <f t="shared" si="238"/>
        <v>1</v>
      </c>
      <c r="AB790" s="36">
        <f t="shared" si="239"/>
        <v>0.14000000000000001</v>
      </c>
      <c r="AC790" s="11">
        <f t="shared" si="240"/>
        <v>0</v>
      </c>
      <c r="AD790" s="36">
        <f t="shared" si="232"/>
        <v>0</v>
      </c>
      <c r="AE790" s="36"/>
      <c r="AF790" s="36">
        <f>IFERROR(VLOOKUP(AE790,'Chemical Cost'!A:D,4,0),0)</f>
        <v>0</v>
      </c>
      <c r="AG790" s="114">
        <f t="shared" si="241"/>
        <v>0</v>
      </c>
      <c r="AH790" s="36">
        <f t="shared" ref="AH790:AH853" si="244">AF790*AA790/3</f>
        <v>0</v>
      </c>
      <c r="AI790" s="36">
        <f t="shared" si="233"/>
        <v>0.14000000000000001</v>
      </c>
      <c r="AJ790" s="36">
        <f>IFERROR(VLOOKUP(A790,'All Products'!A:F,6,0),0)</f>
        <v>3.04</v>
      </c>
      <c r="AK790" s="36"/>
      <c r="AL790" s="23">
        <v>1</v>
      </c>
      <c r="AM790" s="23"/>
      <c r="AN790" s="54" t="e">
        <v>#N/A</v>
      </c>
      <c r="AO790" s="47"/>
      <c r="AP790" s="4">
        <v>1.6</v>
      </c>
      <c r="AQ790" s="111">
        <f t="shared" si="242"/>
        <v>0</v>
      </c>
      <c r="AR790">
        <f>_xlfn.XLOOKUP(F790,'RM Cost'!A:A,'RM Cost'!S:S)</f>
        <v>0</v>
      </c>
      <c r="AS790" t="e">
        <f>_xlfn.XLOOKUP(A790,[3]Sheet1!$B:$B,[3]Sheet1!$B:$B)</f>
        <v>#N/A</v>
      </c>
    </row>
    <row r="791" spans="1:46" x14ac:dyDescent="0.25">
      <c r="A791" s="2" t="s">
        <v>503</v>
      </c>
      <c r="B791" s="2" t="s">
        <v>656</v>
      </c>
      <c r="C791" s="2" t="s">
        <v>504</v>
      </c>
      <c r="D791" s="2" t="s">
        <v>554</v>
      </c>
      <c r="E791" s="2">
        <v>2.5</v>
      </c>
      <c r="F791" s="1" t="str">
        <f>VLOOKUP(H791,'RM Used'!A:B,2,0)</f>
        <v>3191CS</v>
      </c>
      <c r="G791" s="1" t="str">
        <f>IFERROR(VLOOKUP(F791,'RM Cost'!A:B,2,0),"")</f>
        <v>RM - PARSNIPS 10KG</v>
      </c>
      <c r="H791" s="2" t="s">
        <v>1543</v>
      </c>
      <c r="I791" s="1" t="str">
        <f>VLOOKUP(F791,'RM Used'!B:D,3,0)</f>
        <v>RM-FOOD</v>
      </c>
      <c r="J791" s="66">
        <v>1</v>
      </c>
      <c r="K791" s="35">
        <f t="shared" si="228"/>
        <v>2.5</v>
      </c>
      <c r="L791" s="35">
        <f t="shared" si="234"/>
        <v>2.5</v>
      </c>
      <c r="M791" s="77" cm="1">
        <f t="array" ref="M791">_xlfn.IFS(BOM!I791="RM-PACKING","100%",B791="Reynolds",VLOOKUP(H791,'Yield &amp; Time'!A:V,22,0),BOM!B791="Dnata",VLOOKUP(BOM!H791,'Yield &amp; Time'!A:M,13,0),B791="NK",VLOOKUP(H791,'Yield &amp; Time'!A:X,24,0))</f>
        <v>0.67961165048543681</v>
      </c>
      <c r="N791" s="35">
        <f t="shared" si="227"/>
        <v>3.6785714285714288</v>
      </c>
      <c r="O791" s="1" t="str">
        <f>VLOOKUP(H791,'RM Used'!A:E,5,0)</f>
        <v>KG</v>
      </c>
      <c r="P791" s="11">
        <f>VLOOKUP(H791,'RM Used'!A:F,6,0)</f>
        <v>0.76</v>
      </c>
      <c r="Q791" s="11">
        <f t="shared" si="243"/>
        <v>2.7957142857142858</v>
      </c>
      <c r="R791" s="11">
        <f>IFERROR(IF(B791="Reynolds",VLOOKUP(H791,'Yield &amp; Time'!A:U,21,0),VLOOKUP(H791,'Yield &amp; Time'!A:L,12,0)),0)</f>
        <v>2.7071428571428573</v>
      </c>
      <c r="S791" s="11">
        <f t="shared" si="235"/>
        <v>2.2909196428571428</v>
      </c>
      <c r="T791" s="11">
        <f t="shared" si="236"/>
        <v>0.11279761904761905</v>
      </c>
      <c r="U791" s="11">
        <f>IF(A790=A791,0,VLOOKUP(A791,'Packing Time'!A:F,6,0))</f>
        <v>0.875</v>
      </c>
      <c r="V791" s="11">
        <f t="shared" si="229"/>
        <v>0.29618749999999999</v>
      </c>
      <c r="W791" s="11">
        <f t="shared" si="230"/>
        <v>1.4583333333333334E-2</v>
      </c>
      <c r="X791" s="11">
        <f t="shared" si="237"/>
        <v>4.1393714285714287</v>
      </c>
      <c r="Y791" s="11">
        <f t="shared" si="231"/>
        <v>4.1393714285714287</v>
      </c>
      <c r="Z791" s="37">
        <v>1</v>
      </c>
      <c r="AA791" s="36">
        <f t="shared" si="238"/>
        <v>3.6785714285714288</v>
      </c>
      <c r="AB791" s="36">
        <f t="shared" si="239"/>
        <v>2.7957142857142858</v>
      </c>
      <c r="AC791" s="11">
        <f t="shared" si="240"/>
        <v>0.20380952380952386</v>
      </c>
      <c r="AD791" s="36">
        <f t="shared" si="232"/>
        <v>4.1393714285714287</v>
      </c>
      <c r="AE791" s="36" t="str">
        <f>VLOOKUP(H791,'Yield &amp; Time'!A:I,9,0)</f>
        <v>SODIUM METABISULPHITE</v>
      </c>
      <c r="AF791" s="36">
        <f>IFERROR(VLOOKUP(AE791,'Chemical Cost'!A:D,4,0),0)</f>
        <v>9.7586225455882462E-3</v>
      </c>
      <c r="AG791" s="114">
        <f t="shared" si="241"/>
        <v>1.1965930026137968E-2</v>
      </c>
      <c r="AH791" s="36">
        <f t="shared" si="244"/>
        <v>1.1965930026137968E-2</v>
      </c>
      <c r="AI791" s="36">
        <f t="shared" si="233"/>
        <v>6.947051644311852</v>
      </c>
      <c r="AJ791" s="36">
        <f>IFERROR(VLOOKUP(A791,'All Products'!A:F,6,0),0)</f>
        <v>7.59</v>
      </c>
      <c r="AK791" s="36">
        <f>AJ791*Z791*J791</f>
        <v>7.59</v>
      </c>
      <c r="AL791" s="23">
        <v>1</v>
      </c>
      <c r="AM791" s="23"/>
      <c r="AN791" s="54" t="e">
        <v>#N/A</v>
      </c>
      <c r="AO791" s="47"/>
      <c r="AP791" s="4">
        <v>1.6</v>
      </c>
      <c r="AQ791" s="111">
        <f t="shared" si="242"/>
        <v>0.20380952380952386</v>
      </c>
      <c r="AR791">
        <f>_xlfn.XLOOKUP(F791,'RM Cost'!A:A,'RM Cost'!S:S)</f>
        <v>0</v>
      </c>
      <c r="AS791" t="e">
        <f>_xlfn.XLOOKUP(A791,[3]Sheet1!$B:$B,[3]Sheet1!$B:$B)</f>
        <v>#N/A</v>
      </c>
    </row>
    <row r="792" spans="1:46" x14ac:dyDescent="0.25">
      <c r="A792" s="2" t="s">
        <v>503</v>
      </c>
      <c r="B792" s="2" t="s">
        <v>656</v>
      </c>
      <c r="C792" s="2" t="s">
        <v>504</v>
      </c>
      <c r="D792" s="2" t="s">
        <v>554</v>
      </c>
      <c r="E792" s="2">
        <v>2.5</v>
      </c>
      <c r="F792" s="1" t="str">
        <f>VLOOKUP(H792,'RM Used'!A:B,2,0)</f>
        <v>P0008</v>
      </c>
      <c r="G792" s="1" t="str">
        <f>IFERROR(VLOOKUP(F792,'RM Cost'!A:B,2,0),"")</f>
        <v>PALE BLUE BAG 470X750MM</v>
      </c>
      <c r="H792" s="2" t="s">
        <v>1323</v>
      </c>
      <c r="I792" s="1" t="str">
        <f>VLOOKUP(F792,'RM Used'!B:D,3,0)</f>
        <v>RM-PACKING</v>
      </c>
      <c r="J792" s="66">
        <v>1</v>
      </c>
      <c r="K792" s="35" t="str">
        <f t="shared" si="228"/>
        <v/>
      </c>
      <c r="L792" s="35">
        <f t="shared" si="234"/>
        <v>0</v>
      </c>
      <c r="M792" s="77" t="str" cm="1">
        <f t="array" ref="M792">_xlfn.IFS(BOM!I792="RM-PACKING","100%",B792="Reynolds",VLOOKUP(H792,'Yield &amp; Time'!A:V,22,0),BOM!B792="Dnata",VLOOKUP(BOM!H792,'Yield &amp; Time'!A:M,13,0),B792="NK",VLOOKUP(H792,'Yield &amp; Time'!A:X,24,0))</f>
        <v>100%</v>
      </c>
      <c r="N792" s="35">
        <f t="shared" si="227"/>
        <v>1</v>
      </c>
      <c r="O792" s="1" t="str">
        <f>VLOOKUP(H792,'RM Used'!A:E,5,0)</f>
        <v>Count</v>
      </c>
      <c r="P792" s="11">
        <f>VLOOKUP(H792,'RM Used'!A:F,6,0)</f>
        <v>0.14000000000000001</v>
      </c>
      <c r="Q792" s="11">
        <f t="shared" si="243"/>
        <v>0.14000000000000001</v>
      </c>
      <c r="R792" s="11">
        <f>IFERROR(IF(B792="Reynolds",VLOOKUP(H792,'Yield &amp; Time'!A:U,21,0),VLOOKUP(H792,'Yield &amp; Time'!A:L,12,0)),0)</f>
        <v>0</v>
      </c>
      <c r="S792" s="11">
        <f t="shared" si="235"/>
        <v>0</v>
      </c>
      <c r="T792" s="11">
        <f t="shared" si="236"/>
        <v>0</v>
      </c>
      <c r="U792" s="11">
        <f>IF(A791=A792,0,VLOOKUP(A792,'Packing Time'!A:F,6,0))</f>
        <v>0</v>
      </c>
      <c r="V792" s="11">
        <f t="shared" si="229"/>
        <v>0</v>
      </c>
      <c r="W792" s="11">
        <f t="shared" si="230"/>
        <v>0</v>
      </c>
      <c r="X792" s="11">
        <f t="shared" si="237"/>
        <v>0</v>
      </c>
      <c r="Y792" s="11">
        <f t="shared" si="231"/>
        <v>0</v>
      </c>
      <c r="Z792" s="37">
        <v>1</v>
      </c>
      <c r="AA792" s="36">
        <f t="shared" si="238"/>
        <v>1</v>
      </c>
      <c r="AB792" s="36">
        <f t="shared" si="239"/>
        <v>0.14000000000000001</v>
      </c>
      <c r="AC792" s="11">
        <f t="shared" si="240"/>
        <v>0</v>
      </c>
      <c r="AD792" s="36">
        <f t="shared" si="232"/>
        <v>0</v>
      </c>
      <c r="AE792" s="36"/>
      <c r="AF792" s="36">
        <f>IFERROR(VLOOKUP(AE792,'Chemical Cost'!A:D,4,0),0)</f>
        <v>0</v>
      </c>
      <c r="AG792" s="114">
        <f t="shared" si="241"/>
        <v>0</v>
      </c>
      <c r="AH792" s="36">
        <f t="shared" si="244"/>
        <v>0</v>
      </c>
      <c r="AI792" s="36">
        <f t="shared" si="233"/>
        <v>0.14000000000000001</v>
      </c>
      <c r="AJ792" s="36">
        <f>IFERROR(VLOOKUP(A792,'All Products'!A:F,6,0),0)</f>
        <v>7.59</v>
      </c>
      <c r="AK792" s="36"/>
      <c r="AL792" s="23">
        <v>1</v>
      </c>
      <c r="AM792" s="23"/>
      <c r="AN792" s="54" t="e">
        <v>#N/A</v>
      </c>
      <c r="AO792" s="47"/>
      <c r="AP792" s="4">
        <v>1.6</v>
      </c>
      <c r="AQ792" s="111">
        <f t="shared" si="242"/>
        <v>0</v>
      </c>
      <c r="AR792">
        <f>_xlfn.XLOOKUP(F792,'RM Cost'!A:A,'RM Cost'!S:S)</f>
        <v>0</v>
      </c>
      <c r="AS792" t="e">
        <f>_xlfn.XLOOKUP(A792,[3]Sheet1!$B:$B,[3]Sheet1!$B:$B)</f>
        <v>#N/A</v>
      </c>
    </row>
    <row r="793" spans="1:46" x14ac:dyDescent="0.25">
      <c r="A793" s="2" t="s">
        <v>194</v>
      </c>
      <c r="B793" s="2" t="s">
        <v>656</v>
      </c>
      <c r="C793" s="2" t="s">
        <v>195</v>
      </c>
      <c r="D793" s="2" t="s">
        <v>554</v>
      </c>
      <c r="E793" s="2">
        <v>1</v>
      </c>
      <c r="F793" s="1" t="str">
        <f>VLOOKUP(H793,'RM Used'!A:B,2,0)</f>
        <v>3565CS</v>
      </c>
      <c r="G793" s="1" t="str">
        <f>IFERROR(VLOOKUP(F793,'RM Cost'!A:B,2,0),"")</f>
        <v>RM - PEPPERS GREEN  X 5KG</v>
      </c>
      <c r="H793" s="2" t="s">
        <v>1544</v>
      </c>
      <c r="I793" s="1" t="str">
        <f>VLOOKUP(F793,'RM Used'!B:D,3,0)</f>
        <v>RM-FOOD</v>
      </c>
      <c r="J793" s="66">
        <v>1</v>
      </c>
      <c r="K793" s="35">
        <f t="shared" si="228"/>
        <v>1</v>
      </c>
      <c r="L793" s="35">
        <f t="shared" si="234"/>
        <v>1</v>
      </c>
      <c r="M793" s="77" cm="1">
        <f t="array" ref="M793">_xlfn.IFS(BOM!I793="RM-PACKING","100%",B793="Reynolds",VLOOKUP(H793,'Yield &amp; Time'!A:V,22,0),BOM!B793="Dnata",VLOOKUP(BOM!H793,'Yield &amp; Time'!A:M,13,0),B793="NK",VLOOKUP(H793,'Yield &amp; Time'!A:X,24,0))</f>
        <v>0.76564953810623559</v>
      </c>
      <c r="N793" s="35">
        <f t="shared" si="227"/>
        <v>1.306080589395259</v>
      </c>
      <c r="O793" s="1" t="str">
        <f>VLOOKUP(H793,'RM Used'!A:E,5,0)</f>
        <v>KG</v>
      </c>
      <c r="P793" s="11">
        <f>VLOOKUP(H793,'RM Used'!A:F,6,0)</f>
        <v>1.76</v>
      </c>
      <c r="Q793" s="11">
        <f t="shared" si="243"/>
        <v>2.2987018373356558</v>
      </c>
      <c r="R793" s="11">
        <f>IFERROR(IF(B793="Reynolds",VLOOKUP(H793,'Yield &amp; Time'!A:U,21,0),VLOOKUP(H793,'Yield &amp; Time'!A:L,12,0)),0)</f>
        <v>1.2728961960025789</v>
      </c>
      <c r="S793" s="11">
        <f t="shared" si="235"/>
        <v>0.4308753623468729</v>
      </c>
      <c r="T793" s="11">
        <f t="shared" si="236"/>
        <v>2.1214936600042981E-2</v>
      </c>
      <c r="U793" s="11">
        <f>IF(A792=A793,0,VLOOKUP(A793,'Packing Time'!A:F,6,0))</f>
        <v>0.64166666666666661</v>
      </c>
      <c r="V793" s="11">
        <f t="shared" si="229"/>
        <v>0.21720416666666661</v>
      </c>
      <c r="W793" s="11">
        <f t="shared" si="230"/>
        <v>1.0694444444444444E-2</v>
      </c>
      <c r="X793" s="11">
        <f t="shared" si="237"/>
        <v>1.0369272464216632</v>
      </c>
      <c r="Y793" s="11">
        <f t="shared" si="231"/>
        <v>1.0369272464216632</v>
      </c>
      <c r="Z793" s="37">
        <v>1</v>
      </c>
      <c r="AA793" s="36">
        <f t="shared" si="238"/>
        <v>1.306080589395259</v>
      </c>
      <c r="AB793" s="36">
        <f t="shared" si="239"/>
        <v>2.2987018373356558</v>
      </c>
      <c r="AC793" s="11">
        <f t="shared" si="240"/>
        <v>5.1055009671179874E-2</v>
      </c>
      <c r="AD793" s="36">
        <f t="shared" si="232"/>
        <v>1.036927246421663</v>
      </c>
      <c r="AE793" s="36" t="str">
        <f>VLOOKUP(H793,'Yield &amp; Time'!A:I,9,0)</f>
        <v>CHLORINE</v>
      </c>
      <c r="AF793" s="36">
        <f>IFERROR(VLOOKUP(AE793,'Chemical Cost'!A:D,4,0),0)</f>
        <v>2.7756518066439469E-2</v>
      </c>
      <c r="AG793" s="114">
        <f t="shared" si="241"/>
        <v>1.2084083158591804E-2</v>
      </c>
      <c r="AH793" s="36">
        <f t="shared" si="244"/>
        <v>1.2084083158591804E-2</v>
      </c>
      <c r="AI793" s="36">
        <f t="shared" si="233"/>
        <v>3.347713166915911</v>
      </c>
      <c r="AJ793" s="36">
        <f>IFERROR(VLOOKUP(A793,'All Products'!A:F,6,0),0)</f>
        <v>5.29</v>
      </c>
      <c r="AK793" s="36">
        <f>AJ793*Z793*J793</f>
        <v>5.29</v>
      </c>
      <c r="AL793" s="23">
        <v>0.8</v>
      </c>
      <c r="AM793" s="23">
        <v>0.2</v>
      </c>
      <c r="AN793" s="54" t="e">
        <v>#N/A</v>
      </c>
      <c r="AO793" s="47"/>
      <c r="AP793" s="4">
        <v>1.6</v>
      </c>
      <c r="AQ793" s="111">
        <f t="shared" si="242"/>
        <v>5.1055009671179874E-2</v>
      </c>
      <c r="AR793">
        <f>_xlfn.XLOOKUP(F793,'RM Cost'!A:A,'RM Cost'!S:S)</f>
        <v>0</v>
      </c>
      <c r="AS793" t="str">
        <f>_xlfn.XLOOKUP(A793,[3]Sheet1!$B:$B,[3]Sheet1!$B:$B)</f>
        <v>Z185CS</v>
      </c>
      <c r="AT793">
        <f>_xlfn.XLOOKUP(H793,'Yield &amp; Time'!A:A,'Yield &amp; Time'!F:F)</f>
        <v>0</v>
      </c>
    </row>
    <row r="794" spans="1:46" x14ac:dyDescent="0.25">
      <c r="A794" s="2" t="s">
        <v>194</v>
      </c>
      <c r="B794" s="2" t="s">
        <v>656</v>
      </c>
      <c r="C794" s="2" t="s">
        <v>195</v>
      </c>
      <c r="D794" s="2" t="s">
        <v>554</v>
      </c>
      <c r="E794" s="2">
        <v>1</v>
      </c>
      <c r="F794" s="1" t="str">
        <f>VLOOKUP(H794,'RM Used'!A:B,2,0)</f>
        <v>P0008</v>
      </c>
      <c r="G794" s="1" t="str">
        <f>IFERROR(VLOOKUP(F794,'RM Cost'!A:B,2,0),"")</f>
        <v>PALE BLUE BAG 470X750MM</v>
      </c>
      <c r="H794" s="2" t="s">
        <v>1323</v>
      </c>
      <c r="I794" s="1" t="str">
        <f>VLOOKUP(F794,'RM Used'!B:D,3,0)</f>
        <v>RM-PACKING</v>
      </c>
      <c r="J794" s="66">
        <v>1</v>
      </c>
      <c r="K794" s="35" t="str">
        <f t="shared" si="228"/>
        <v/>
      </c>
      <c r="L794" s="35">
        <f t="shared" si="234"/>
        <v>0</v>
      </c>
      <c r="M794" s="77" t="str" cm="1">
        <f t="array" ref="M794">_xlfn.IFS(BOM!I794="RM-PACKING","100%",B794="Reynolds",VLOOKUP(H794,'Yield &amp; Time'!A:V,22,0),BOM!B794="Dnata",VLOOKUP(BOM!H794,'Yield &amp; Time'!A:M,13,0),B794="NK",VLOOKUP(H794,'Yield &amp; Time'!A:X,24,0))</f>
        <v>100%</v>
      </c>
      <c r="N794" s="35">
        <f t="shared" si="227"/>
        <v>1</v>
      </c>
      <c r="O794" s="1" t="str">
        <f>VLOOKUP(H794,'RM Used'!A:E,5,0)</f>
        <v>Count</v>
      </c>
      <c r="P794" s="11">
        <f>VLOOKUP(H794,'RM Used'!A:F,6,0)</f>
        <v>0.14000000000000001</v>
      </c>
      <c r="Q794" s="11">
        <f t="shared" si="243"/>
        <v>0.14000000000000001</v>
      </c>
      <c r="R794" s="11">
        <f>IFERROR(IF(B794="Reynolds",VLOOKUP(H794,'Yield &amp; Time'!A:U,21,0),VLOOKUP(H794,'Yield &amp; Time'!A:L,12,0)),0)</f>
        <v>0</v>
      </c>
      <c r="S794" s="11">
        <f t="shared" si="235"/>
        <v>0</v>
      </c>
      <c r="T794" s="11">
        <f t="shared" si="236"/>
        <v>0</v>
      </c>
      <c r="U794" s="11">
        <f>IF(A793=A794,0,VLOOKUP(A794,'Packing Time'!A:F,6,0))</f>
        <v>0</v>
      </c>
      <c r="V794" s="11">
        <f t="shared" si="229"/>
        <v>0</v>
      </c>
      <c r="W794" s="11">
        <f t="shared" si="230"/>
        <v>0</v>
      </c>
      <c r="X794" s="11">
        <f t="shared" si="237"/>
        <v>0</v>
      </c>
      <c r="Y794" s="11">
        <f t="shared" si="231"/>
        <v>0</v>
      </c>
      <c r="Z794" s="37">
        <v>1</v>
      </c>
      <c r="AA794" s="36">
        <f t="shared" si="238"/>
        <v>1</v>
      </c>
      <c r="AB794" s="36">
        <f t="shared" si="239"/>
        <v>0.14000000000000001</v>
      </c>
      <c r="AC794" s="11">
        <f t="shared" si="240"/>
        <v>0</v>
      </c>
      <c r="AD794" s="36">
        <f t="shared" si="232"/>
        <v>0</v>
      </c>
      <c r="AE794" s="36"/>
      <c r="AF794" s="36">
        <f>IFERROR(VLOOKUP(AE794,'Chemical Cost'!A:D,4,0),0)</f>
        <v>0</v>
      </c>
      <c r="AG794" s="114">
        <f t="shared" si="241"/>
        <v>0</v>
      </c>
      <c r="AH794" s="36">
        <f t="shared" si="244"/>
        <v>0</v>
      </c>
      <c r="AI794" s="36">
        <f t="shared" si="233"/>
        <v>0.14000000000000001</v>
      </c>
      <c r="AJ794" s="36">
        <f>IFERROR(VLOOKUP(A794,'All Products'!A:F,6,0),0)</f>
        <v>5.29</v>
      </c>
      <c r="AK794" s="36"/>
      <c r="AL794" s="23">
        <v>0.8</v>
      </c>
      <c r="AM794" s="23">
        <v>0.2</v>
      </c>
      <c r="AN794" s="54" t="e">
        <v>#N/A</v>
      </c>
      <c r="AO794" s="47"/>
      <c r="AP794" s="4">
        <v>1.6</v>
      </c>
      <c r="AQ794" s="111">
        <f t="shared" si="242"/>
        <v>0</v>
      </c>
      <c r="AR794">
        <f>_xlfn.XLOOKUP(F794,'RM Cost'!A:A,'RM Cost'!S:S)</f>
        <v>0</v>
      </c>
      <c r="AS794" t="str">
        <f>_xlfn.XLOOKUP(A794,[3]Sheet1!$B:$B,[3]Sheet1!$B:$B)</f>
        <v>Z185CS</v>
      </c>
      <c r="AT794" t="e">
        <f>_xlfn.XLOOKUP(H794,'Yield &amp; Time'!A:A,'Yield &amp; Time'!F:F)</f>
        <v>#N/A</v>
      </c>
    </row>
    <row r="795" spans="1:46" x14ac:dyDescent="0.25">
      <c r="A795" s="2" t="s">
        <v>192</v>
      </c>
      <c r="B795" s="2" t="s">
        <v>656</v>
      </c>
      <c r="C795" s="2" t="s">
        <v>193</v>
      </c>
      <c r="D795" s="2" t="s">
        <v>554</v>
      </c>
      <c r="E795" s="2">
        <v>2.5</v>
      </c>
      <c r="F795" s="1" t="str">
        <f>VLOOKUP(H795,'RM Used'!A:B,2,0)</f>
        <v>3565CS</v>
      </c>
      <c r="G795" s="1" t="str">
        <f>IFERROR(VLOOKUP(F795,'RM Cost'!A:B,2,0),"")</f>
        <v>RM - PEPPERS GREEN  X 5KG</v>
      </c>
      <c r="H795" s="2" t="s">
        <v>1544</v>
      </c>
      <c r="I795" s="1" t="str">
        <f>VLOOKUP(F795,'RM Used'!B:D,3,0)</f>
        <v>RM-FOOD</v>
      </c>
      <c r="J795" s="66">
        <v>1</v>
      </c>
      <c r="K795" s="35">
        <f t="shared" si="228"/>
        <v>2.5</v>
      </c>
      <c r="L795" s="35">
        <f t="shared" si="234"/>
        <v>2.5</v>
      </c>
      <c r="M795" s="77" cm="1">
        <f t="array" ref="M795">_xlfn.IFS(BOM!I795="RM-PACKING","100%",B795="Reynolds",VLOOKUP(H795,'Yield &amp; Time'!A:V,22,0),BOM!B795="Dnata",VLOOKUP(BOM!H795,'Yield &amp; Time'!A:M,13,0),B795="NK",VLOOKUP(H795,'Yield &amp; Time'!A:X,24,0))</f>
        <v>0.76564953810623559</v>
      </c>
      <c r="N795" s="35">
        <f t="shared" si="227"/>
        <v>3.2652014734881476</v>
      </c>
      <c r="O795" s="1" t="str">
        <f>VLOOKUP(H795,'RM Used'!A:E,5,0)</f>
        <v>KG</v>
      </c>
      <c r="P795" s="11">
        <f>VLOOKUP(H795,'RM Used'!A:F,6,0)</f>
        <v>1.76</v>
      </c>
      <c r="Q795" s="11">
        <f t="shared" si="243"/>
        <v>5.7467545933391397</v>
      </c>
      <c r="R795" s="11">
        <f>IFERROR(IF(B795="Reynolds",VLOOKUP(H795,'Yield &amp; Time'!A:U,21,0),VLOOKUP(H795,'Yield &amp; Time'!A:L,12,0)),0)</f>
        <v>1.2728961960025789</v>
      </c>
      <c r="S795" s="11">
        <f t="shared" si="235"/>
        <v>1.0771884058671823</v>
      </c>
      <c r="T795" s="11">
        <f t="shared" si="236"/>
        <v>5.303734150010745E-2</v>
      </c>
      <c r="U795" s="11">
        <f>IF(A794=A795,0,VLOOKUP(A795,'Packing Time'!A:F,6,0))</f>
        <v>0.875</v>
      </c>
      <c r="V795" s="11">
        <f t="shared" si="229"/>
        <v>0.29618749999999999</v>
      </c>
      <c r="W795" s="11">
        <f t="shared" si="230"/>
        <v>1.4583333333333334E-2</v>
      </c>
      <c r="X795" s="11">
        <f t="shared" si="237"/>
        <v>1.7167198823339778</v>
      </c>
      <c r="Y795" s="11">
        <f t="shared" si="231"/>
        <v>1.7167198823339778</v>
      </c>
      <c r="Z795" s="37">
        <v>1</v>
      </c>
      <c r="AA795" s="36">
        <f t="shared" si="238"/>
        <v>3.2652014734881476</v>
      </c>
      <c r="AB795" s="36">
        <f t="shared" si="239"/>
        <v>5.7467545933391397</v>
      </c>
      <c r="AC795" s="11">
        <f t="shared" si="240"/>
        <v>8.4525843541800982E-2</v>
      </c>
      <c r="AD795" s="36">
        <f t="shared" si="232"/>
        <v>1.7167198823339778</v>
      </c>
      <c r="AE795" s="36" t="str">
        <f>VLOOKUP(H795,'Yield &amp; Time'!A:I,9,0)</f>
        <v>CHLORINE</v>
      </c>
      <c r="AF795" s="36">
        <f>IFERROR(VLOOKUP(AE795,'Chemical Cost'!A:D,4,0),0)</f>
        <v>2.7756518066439469E-2</v>
      </c>
      <c r="AG795" s="114">
        <f t="shared" si="241"/>
        <v>3.0210207896479515E-2</v>
      </c>
      <c r="AH795" s="36">
        <f t="shared" si="244"/>
        <v>3.0210207896479515E-2</v>
      </c>
      <c r="AI795" s="36">
        <f t="shared" si="233"/>
        <v>7.4936846835695974</v>
      </c>
      <c r="AJ795" s="36">
        <f>IFERROR(VLOOKUP(A795,'All Products'!A:F,6,0),0)</f>
        <v>13.22</v>
      </c>
      <c r="AK795" s="36">
        <f>AJ795*Z795*J795</f>
        <v>13.22</v>
      </c>
      <c r="AL795" s="23">
        <v>0.8</v>
      </c>
      <c r="AM795" s="23">
        <v>0.2</v>
      </c>
      <c r="AN795" s="54" t="e">
        <v>#N/A</v>
      </c>
      <c r="AO795" s="47"/>
      <c r="AP795" s="4">
        <v>1.25</v>
      </c>
      <c r="AQ795" s="111">
        <f t="shared" si="242"/>
        <v>8.4525843541800982E-2</v>
      </c>
      <c r="AR795">
        <f>_xlfn.XLOOKUP(F795,'RM Cost'!A:A,'RM Cost'!S:S)</f>
        <v>0</v>
      </c>
      <c r="AS795" t="str">
        <f>_xlfn.XLOOKUP(A795,[3]Sheet1!$B:$B,[3]Sheet1!$B:$B)</f>
        <v>Z184CS</v>
      </c>
      <c r="AT795">
        <f>_xlfn.XLOOKUP(H795,'Yield &amp; Time'!A:A,'Yield &amp; Time'!F:F)</f>
        <v>0</v>
      </c>
    </row>
    <row r="796" spans="1:46" x14ac:dyDescent="0.25">
      <c r="A796" s="2" t="s">
        <v>192</v>
      </c>
      <c r="B796" s="2" t="s">
        <v>656</v>
      </c>
      <c r="C796" s="2" t="s">
        <v>193</v>
      </c>
      <c r="D796" s="2" t="s">
        <v>554</v>
      </c>
      <c r="E796" s="2">
        <v>2.5</v>
      </c>
      <c r="F796" s="1" t="str">
        <f>VLOOKUP(H796,'RM Used'!A:B,2,0)</f>
        <v>P0008</v>
      </c>
      <c r="G796" s="1" t="str">
        <f>IFERROR(VLOOKUP(F796,'RM Cost'!A:B,2,0),"")</f>
        <v>PALE BLUE BAG 470X750MM</v>
      </c>
      <c r="H796" s="2" t="s">
        <v>1323</v>
      </c>
      <c r="I796" s="1" t="str">
        <f>VLOOKUP(F796,'RM Used'!B:D,3,0)</f>
        <v>RM-PACKING</v>
      </c>
      <c r="J796" s="66">
        <v>1</v>
      </c>
      <c r="K796" s="35" t="str">
        <f t="shared" si="228"/>
        <v/>
      </c>
      <c r="L796" s="35">
        <f t="shared" si="234"/>
        <v>0</v>
      </c>
      <c r="M796" s="77" t="str" cm="1">
        <f t="array" ref="M796">_xlfn.IFS(BOM!I796="RM-PACKING","100%",B796="Reynolds",VLOOKUP(H796,'Yield &amp; Time'!A:V,22,0),BOM!B796="Dnata",VLOOKUP(BOM!H796,'Yield &amp; Time'!A:M,13,0),B796="NK",VLOOKUP(H796,'Yield &amp; Time'!A:X,24,0))</f>
        <v>100%</v>
      </c>
      <c r="N796" s="35">
        <f t="shared" si="227"/>
        <v>1</v>
      </c>
      <c r="O796" s="1" t="str">
        <f>VLOOKUP(H796,'RM Used'!A:E,5,0)</f>
        <v>Count</v>
      </c>
      <c r="P796" s="11">
        <f>VLOOKUP(H796,'RM Used'!A:F,6,0)</f>
        <v>0.14000000000000001</v>
      </c>
      <c r="Q796" s="11">
        <f t="shared" si="243"/>
        <v>0.14000000000000001</v>
      </c>
      <c r="R796" s="11">
        <f>IFERROR(IF(B796="Reynolds",VLOOKUP(H796,'Yield &amp; Time'!A:U,21,0),VLOOKUP(H796,'Yield &amp; Time'!A:L,12,0)),0)</f>
        <v>0</v>
      </c>
      <c r="S796" s="11">
        <f t="shared" si="235"/>
        <v>0</v>
      </c>
      <c r="T796" s="11">
        <f t="shared" si="236"/>
        <v>0</v>
      </c>
      <c r="U796" s="11">
        <f>IF(A795=A796,0,VLOOKUP(A796,'Packing Time'!A:F,6,0))</f>
        <v>0</v>
      </c>
      <c r="V796" s="11">
        <f t="shared" si="229"/>
        <v>0</v>
      </c>
      <c r="W796" s="11">
        <f t="shared" si="230"/>
        <v>0</v>
      </c>
      <c r="X796" s="11">
        <f t="shared" si="237"/>
        <v>0</v>
      </c>
      <c r="Y796" s="11">
        <f t="shared" si="231"/>
        <v>0</v>
      </c>
      <c r="Z796" s="37">
        <v>1</v>
      </c>
      <c r="AA796" s="36">
        <f t="shared" si="238"/>
        <v>1</v>
      </c>
      <c r="AB796" s="36">
        <f t="shared" si="239"/>
        <v>0.14000000000000001</v>
      </c>
      <c r="AC796" s="11">
        <f t="shared" si="240"/>
        <v>0</v>
      </c>
      <c r="AD796" s="36">
        <f t="shared" si="232"/>
        <v>0</v>
      </c>
      <c r="AE796" s="36"/>
      <c r="AF796" s="36">
        <f>IFERROR(VLOOKUP(AE796,'Chemical Cost'!A:D,4,0),0)</f>
        <v>0</v>
      </c>
      <c r="AG796" s="114">
        <f t="shared" si="241"/>
        <v>0</v>
      </c>
      <c r="AH796" s="36">
        <f t="shared" si="244"/>
        <v>0</v>
      </c>
      <c r="AI796" s="36">
        <f t="shared" si="233"/>
        <v>0.14000000000000001</v>
      </c>
      <c r="AJ796" s="36">
        <f>IFERROR(VLOOKUP(A796,'All Products'!A:F,6,0),0)</f>
        <v>13.22</v>
      </c>
      <c r="AK796" s="36"/>
      <c r="AL796" s="23">
        <v>0.8</v>
      </c>
      <c r="AM796" s="23">
        <v>0.2</v>
      </c>
      <c r="AN796" s="54" t="e">
        <v>#N/A</v>
      </c>
      <c r="AO796" s="47"/>
      <c r="AP796" s="4">
        <v>1.25</v>
      </c>
      <c r="AQ796" s="111">
        <f t="shared" si="242"/>
        <v>0</v>
      </c>
      <c r="AR796">
        <f>_xlfn.XLOOKUP(F796,'RM Cost'!A:A,'RM Cost'!S:S)</f>
        <v>0</v>
      </c>
      <c r="AS796" t="str">
        <f>_xlfn.XLOOKUP(A796,[3]Sheet1!$B:$B,[3]Sheet1!$B:$B)</f>
        <v>Z184CS</v>
      </c>
      <c r="AT796" t="e">
        <f>_xlfn.XLOOKUP(H796,'Yield &amp; Time'!A:A,'Yield &amp; Time'!F:F)</f>
        <v>#N/A</v>
      </c>
    </row>
    <row r="797" spans="1:46" x14ac:dyDescent="0.25">
      <c r="A797" s="2" t="s">
        <v>190</v>
      </c>
      <c r="B797" s="2" t="s">
        <v>656</v>
      </c>
      <c r="C797" s="2" t="s">
        <v>191</v>
      </c>
      <c r="D797" s="2" t="s">
        <v>554</v>
      </c>
      <c r="E797" s="2">
        <v>1</v>
      </c>
      <c r="F797" s="1" t="str">
        <f>VLOOKUP(H797,'RM Used'!A:B,2,0)</f>
        <v>3565CS</v>
      </c>
      <c r="G797" s="1" t="str">
        <f>IFERROR(VLOOKUP(F797,'RM Cost'!A:B,2,0),"")</f>
        <v>RM - PEPPERS GREEN  X 5KG</v>
      </c>
      <c r="H797" s="2" t="s">
        <v>1412</v>
      </c>
      <c r="I797" s="1" t="str">
        <f>VLOOKUP(F797,'RM Used'!B:D,3,0)</f>
        <v>RM-FOOD</v>
      </c>
      <c r="J797" s="66">
        <v>1</v>
      </c>
      <c r="K797" s="35">
        <f t="shared" si="228"/>
        <v>1</v>
      </c>
      <c r="L797" s="35">
        <f t="shared" si="234"/>
        <v>1</v>
      </c>
      <c r="M797" s="77" cm="1">
        <f t="array" ref="M797">_xlfn.IFS(BOM!I797="RM-PACKING","100%",B797="Reynolds",VLOOKUP(H797,'Yield &amp; Time'!A:V,22,0),BOM!B797="Dnata",VLOOKUP(BOM!H797,'Yield &amp; Time'!A:M,13,0),B797="NK",VLOOKUP(H797,'Yield &amp; Time'!A:X,24,0))</f>
        <v>0.44</v>
      </c>
      <c r="N797" s="35">
        <f t="shared" si="227"/>
        <v>2.2727272727272729</v>
      </c>
      <c r="O797" s="1" t="str">
        <f>VLOOKUP(H797,'RM Used'!A:E,5,0)</f>
        <v>KG</v>
      </c>
      <c r="P797" s="11">
        <f>VLOOKUP(H797,'RM Used'!A:F,6,0)</f>
        <v>1.76</v>
      </c>
      <c r="Q797" s="11">
        <f t="shared" si="243"/>
        <v>4</v>
      </c>
      <c r="R797" s="11">
        <f>IFERROR(IF(B797="Reynolds",VLOOKUP(H797,'Yield &amp; Time'!A:U,21,0),VLOOKUP(H797,'Yield &amp; Time'!A:L,12,0)),0)</f>
        <v>6.25</v>
      </c>
      <c r="S797" s="11">
        <f t="shared" si="235"/>
        <v>2.1156249999999996</v>
      </c>
      <c r="T797" s="11">
        <f t="shared" si="236"/>
        <v>0.10416666666666667</v>
      </c>
      <c r="U797" s="11">
        <f>IF(A796=A797,0,VLOOKUP(A797,'Packing Time'!A:F,6,0))</f>
        <v>0.64166666666666661</v>
      </c>
      <c r="V797" s="11">
        <f t="shared" si="229"/>
        <v>0.21720416666666661</v>
      </c>
      <c r="W797" s="11">
        <f t="shared" si="230"/>
        <v>1.0694444444444444E-2</v>
      </c>
      <c r="X797" s="11">
        <f t="shared" si="237"/>
        <v>3.7325266666666668</v>
      </c>
      <c r="Y797" s="11">
        <f t="shared" si="231"/>
        <v>3.7325266666666668</v>
      </c>
      <c r="Z797" s="37">
        <v>1</v>
      </c>
      <c r="AA797" s="36">
        <f t="shared" si="238"/>
        <v>2.2727272727272729</v>
      </c>
      <c r="AB797" s="36">
        <f t="shared" si="239"/>
        <v>4</v>
      </c>
      <c r="AC797" s="11">
        <f t="shared" si="240"/>
        <v>0.18377777777777779</v>
      </c>
      <c r="AD797" s="36">
        <f t="shared" si="232"/>
        <v>3.7325266666666663</v>
      </c>
      <c r="AE797" s="36"/>
      <c r="AF797" s="36">
        <f>IFERROR(VLOOKUP(AE797,'Chemical Cost'!A:D,4,0),0)</f>
        <v>0</v>
      </c>
      <c r="AG797" s="114">
        <f t="shared" si="241"/>
        <v>0</v>
      </c>
      <c r="AH797" s="36">
        <f t="shared" si="244"/>
        <v>0</v>
      </c>
      <c r="AI797" s="36">
        <f t="shared" si="233"/>
        <v>7.7325266666666668</v>
      </c>
      <c r="AJ797" s="36">
        <f>IFERROR(VLOOKUP(A797,'All Products'!A:F,6,0),0)</f>
        <v>7.95</v>
      </c>
      <c r="AK797" s="36">
        <f>AJ797*Z797*J797</f>
        <v>7.95</v>
      </c>
      <c r="AL797" s="23">
        <v>1</v>
      </c>
      <c r="AM797" s="23"/>
      <c r="AN797" s="54" t="e">
        <v>#N/A</v>
      </c>
      <c r="AO797" s="47"/>
      <c r="AP797" s="4">
        <v>1.6</v>
      </c>
      <c r="AQ797" s="111">
        <f t="shared" si="242"/>
        <v>0.18377777777777779</v>
      </c>
      <c r="AR797">
        <f>_xlfn.XLOOKUP(F797,'RM Cost'!A:A,'RM Cost'!S:S)</f>
        <v>0</v>
      </c>
      <c r="AS797" t="e">
        <f>_xlfn.XLOOKUP(A797,[3]Sheet1!$B:$B,[3]Sheet1!$B:$B)</f>
        <v>#N/A</v>
      </c>
    </row>
    <row r="798" spans="1:46" x14ac:dyDescent="0.25">
      <c r="A798" s="2" t="s">
        <v>190</v>
      </c>
      <c r="B798" s="2" t="s">
        <v>656</v>
      </c>
      <c r="C798" s="2" t="s">
        <v>191</v>
      </c>
      <c r="D798" s="2" t="s">
        <v>554</v>
      </c>
      <c r="E798" s="2">
        <v>1</v>
      </c>
      <c r="F798" s="1" t="str">
        <f>VLOOKUP(H798,'RM Used'!A:B,2,0)</f>
        <v>P0008</v>
      </c>
      <c r="G798" s="1" t="str">
        <f>IFERROR(VLOOKUP(F798,'RM Cost'!A:B,2,0),"")</f>
        <v>PALE BLUE BAG 470X750MM</v>
      </c>
      <c r="H798" s="2" t="s">
        <v>1323</v>
      </c>
      <c r="I798" s="1" t="str">
        <f>VLOOKUP(F798,'RM Used'!B:D,3,0)</f>
        <v>RM-PACKING</v>
      </c>
      <c r="J798" s="66">
        <v>1</v>
      </c>
      <c r="K798" s="35" t="str">
        <f t="shared" si="228"/>
        <v/>
      </c>
      <c r="L798" s="35">
        <f t="shared" si="234"/>
        <v>0</v>
      </c>
      <c r="M798" s="77" t="str" cm="1">
        <f t="array" ref="M798">_xlfn.IFS(BOM!I798="RM-PACKING","100%",B798="Reynolds",VLOOKUP(H798,'Yield &amp; Time'!A:V,22,0),BOM!B798="Dnata",VLOOKUP(BOM!H798,'Yield &amp; Time'!A:M,13,0),B798="NK",VLOOKUP(H798,'Yield &amp; Time'!A:X,24,0))</f>
        <v>100%</v>
      </c>
      <c r="N798" s="35">
        <f t="shared" si="227"/>
        <v>1</v>
      </c>
      <c r="O798" s="1" t="str">
        <f>VLOOKUP(H798,'RM Used'!A:E,5,0)</f>
        <v>Count</v>
      </c>
      <c r="P798" s="11">
        <f>VLOOKUP(H798,'RM Used'!A:F,6,0)</f>
        <v>0.14000000000000001</v>
      </c>
      <c r="Q798" s="11">
        <f t="shared" si="243"/>
        <v>0.14000000000000001</v>
      </c>
      <c r="R798" s="11">
        <f>IFERROR(IF(B798="Reynolds",VLOOKUP(H798,'Yield &amp; Time'!A:U,21,0),VLOOKUP(H798,'Yield &amp; Time'!A:L,12,0)),0)</f>
        <v>0</v>
      </c>
      <c r="S798" s="11">
        <f t="shared" si="235"/>
        <v>0</v>
      </c>
      <c r="T798" s="11">
        <f t="shared" si="236"/>
        <v>0</v>
      </c>
      <c r="U798" s="11">
        <f>IF(A797=A798,0,VLOOKUP(A798,'Packing Time'!A:F,6,0))</f>
        <v>0</v>
      </c>
      <c r="V798" s="11">
        <f t="shared" si="229"/>
        <v>0</v>
      </c>
      <c r="W798" s="11">
        <f t="shared" si="230"/>
        <v>0</v>
      </c>
      <c r="X798" s="11">
        <f t="shared" si="237"/>
        <v>0</v>
      </c>
      <c r="Y798" s="11">
        <f t="shared" si="231"/>
        <v>0</v>
      </c>
      <c r="Z798" s="37">
        <v>1</v>
      </c>
      <c r="AA798" s="36">
        <f t="shared" si="238"/>
        <v>1</v>
      </c>
      <c r="AB798" s="36">
        <f t="shared" si="239"/>
        <v>0.14000000000000001</v>
      </c>
      <c r="AC798" s="11">
        <f t="shared" si="240"/>
        <v>0</v>
      </c>
      <c r="AD798" s="36">
        <f t="shared" si="232"/>
        <v>0</v>
      </c>
      <c r="AE798" s="36"/>
      <c r="AF798" s="36">
        <f>IFERROR(VLOOKUP(AE798,'Chemical Cost'!A:D,4,0),0)</f>
        <v>0</v>
      </c>
      <c r="AG798" s="114">
        <f t="shared" si="241"/>
        <v>0</v>
      </c>
      <c r="AH798" s="36">
        <f t="shared" si="244"/>
        <v>0</v>
      </c>
      <c r="AI798" s="36">
        <f t="shared" si="233"/>
        <v>0.14000000000000001</v>
      </c>
      <c r="AJ798" s="36">
        <f>IFERROR(VLOOKUP(A798,'All Products'!A:F,6,0),0)</f>
        <v>7.95</v>
      </c>
      <c r="AK798" s="36"/>
      <c r="AL798" s="23">
        <v>1</v>
      </c>
      <c r="AM798" s="23"/>
      <c r="AN798" s="54" t="e">
        <v>#N/A</v>
      </c>
      <c r="AO798" s="47"/>
      <c r="AP798" s="4">
        <v>1.6</v>
      </c>
      <c r="AQ798" s="111">
        <f t="shared" si="242"/>
        <v>0</v>
      </c>
      <c r="AR798">
        <f>_xlfn.XLOOKUP(F798,'RM Cost'!A:A,'RM Cost'!S:S)</f>
        <v>0</v>
      </c>
      <c r="AS798" t="e">
        <f>_xlfn.XLOOKUP(A798,[3]Sheet1!$B:$B,[3]Sheet1!$B:$B)</f>
        <v>#N/A</v>
      </c>
    </row>
    <row r="799" spans="1:46" x14ac:dyDescent="0.25">
      <c r="A799" s="2" t="s">
        <v>855</v>
      </c>
      <c r="B799" s="2" t="s">
        <v>656</v>
      </c>
      <c r="C799" s="2" t="s">
        <v>856</v>
      </c>
      <c r="D799" s="2" t="s">
        <v>554</v>
      </c>
      <c r="E799" s="2">
        <v>2.5</v>
      </c>
      <c r="F799" s="1" t="str">
        <f>VLOOKUP(H799,'RM Used'!A:B,2,0)</f>
        <v>3565CS</v>
      </c>
      <c r="G799" s="1" t="str">
        <f>IFERROR(VLOOKUP(F799,'RM Cost'!A:B,2,0),"")</f>
        <v>RM - PEPPERS GREEN  X 5KG</v>
      </c>
      <c r="H799" s="2" t="s">
        <v>1412</v>
      </c>
      <c r="I799" s="1" t="str">
        <f>VLOOKUP(F799,'RM Used'!B:D,3,0)</f>
        <v>RM-FOOD</v>
      </c>
      <c r="J799" s="66">
        <v>1</v>
      </c>
      <c r="K799" s="35">
        <f t="shared" si="228"/>
        <v>2.5</v>
      </c>
      <c r="L799" s="35">
        <f t="shared" si="234"/>
        <v>2.5</v>
      </c>
      <c r="M799" s="77" cm="1">
        <f t="array" ref="M799">_xlfn.IFS(BOM!I799="RM-PACKING","100%",B799="Reynolds",VLOOKUP(H799,'Yield &amp; Time'!A:V,22,0),BOM!B799="Dnata",VLOOKUP(BOM!H799,'Yield &amp; Time'!A:M,13,0),B799="NK",VLOOKUP(H799,'Yield &amp; Time'!A:X,24,0))</f>
        <v>0.44</v>
      </c>
      <c r="N799" s="35">
        <f t="shared" ref="N799:N862" si="245">IFERROR(IF(I799="RM-FOOD",(E799*J799)/M799,1),0)</f>
        <v>5.6818181818181817</v>
      </c>
      <c r="O799" s="1" t="str">
        <f>VLOOKUP(H799,'RM Used'!A:E,5,0)</f>
        <v>KG</v>
      </c>
      <c r="P799" s="11">
        <f>VLOOKUP(H799,'RM Used'!A:F,6,0)</f>
        <v>1.76</v>
      </c>
      <c r="Q799" s="11">
        <f t="shared" si="243"/>
        <v>10</v>
      </c>
      <c r="R799" s="11">
        <f>IFERROR(IF(B799="Reynolds",VLOOKUP(H799,'Yield &amp; Time'!A:U,21,0),VLOOKUP(H799,'Yield &amp; Time'!A:L,12,0)),0)</f>
        <v>6.25</v>
      </c>
      <c r="S799" s="11">
        <f t="shared" si="235"/>
        <v>5.2890624999999991</v>
      </c>
      <c r="T799" s="11">
        <f t="shared" si="236"/>
        <v>0.26041666666666669</v>
      </c>
      <c r="U799" s="11">
        <f>IF(A798=A799,0,VLOOKUP(A799,'Packing Time'!A:F,6,0))</f>
        <v>0.875</v>
      </c>
      <c r="V799" s="11">
        <f t="shared" si="229"/>
        <v>0.29618749999999999</v>
      </c>
      <c r="W799" s="11">
        <f t="shared" si="230"/>
        <v>1.4583333333333334E-2</v>
      </c>
      <c r="X799" s="11">
        <f t="shared" si="237"/>
        <v>8.936399999999999</v>
      </c>
      <c r="Y799" s="11">
        <f t="shared" si="231"/>
        <v>8.936399999999999</v>
      </c>
      <c r="Z799" s="37">
        <v>1</v>
      </c>
      <c r="AA799" s="36">
        <f t="shared" si="238"/>
        <v>5.6818181818181817</v>
      </c>
      <c r="AB799" s="36">
        <f t="shared" si="239"/>
        <v>10</v>
      </c>
      <c r="AC799" s="11">
        <f t="shared" si="240"/>
        <v>0.44000000000000006</v>
      </c>
      <c r="AD799" s="36">
        <f t="shared" si="232"/>
        <v>8.936399999999999</v>
      </c>
      <c r="AE799" s="36"/>
      <c r="AF799" s="36">
        <f>IFERROR(VLOOKUP(AE799,'Chemical Cost'!A:D,4,0),0)</f>
        <v>0</v>
      </c>
      <c r="AG799" s="114">
        <f t="shared" si="241"/>
        <v>0</v>
      </c>
      <c r="AH799" s="36">
        <f t="shared" si="244"/>
        <v>0</v>
      </c>
      <c r="AI799" s="36">
        <f t="shared" si="233"/>
        <v>18.936399999999999</v>
      </c>
      <c r="AJ799" s="36">
        <f>IFERROR(VLOOKUP(A799,'All Products'!A:F,6,0),0)</f>
        <v>19.559999999999999</v>
      </c>
      <c r="AK799" s="36">
        <f>AJ799*Z799*J799</f>
        <v>19.559999999999999</v>
      </c>
      <c r="AL799" s="23">
        <v>1</v>
      </c>
      <c r="AM799" s="23"/>
      <c r="AN799" s="54" t="e">
        <v>#N/A</v>
      </c>
      <c r="AO799" s="47"/>
      <c r="AP799" s="4">
        <v>1.6</v>
      </c>
      <c r="AQ799" s="111">
        <f t="shared" si="242"/>
        <v>0.44000000000000006</v>
      </c>
      <c r="AR799">
        <f>_xlfn.XLOOKUP(F799,'RM Cost'!A:A,'RM Cost'!S:S)</f>
        <v>0</v>
      </c>
      <c r="AS799" t="e">
        <f>_xlfn.XLOOKUP(A799,[3]Sheet1!$B:$B,[3]Sheet1!$B:$B)</f>
        <v>#N/A</v>
      </c>
    </row>
    <row r="800" spans="1:46" x14ac:dyDescent="0.25">
      <c r="A800" s="2" t="s">
        <v>855</v>
      </c>
      <c r="B800" s="2" t="s">
        <v>656</v>
      </c>
      <c r="C800" s="2" t="s">
        <v>856</v>
      </c>
      <c r="D800" s="2" t="s">
        <v>554</v>
      </c>
      <c r="E800" s="2">
        <v>2.5</v>
      </c>
      <c r="F800" s="1" t="str">
        <f>VLOOKUP(H800,'RM Used'!A:B,2,0)</f>
        <v>P0008</v>
      </c>
      <c r="G800" s="1" t="str">
        <f>IFERROR(VLOOKUP(F800,'RM Cost'!A:B,2,0),"")</f>
        <v>PALE BLUE BAG 470X750MM</v>
      </c>
      <c r="H800" s="2" t="s">
        <v>1323</v>
      </c>
      <c r="I800" s="1" t="str">
        <f>VLOOKUP(F800,'RM Used'!B:D,3,0)</f>
        <v>RM-PACKING</v>
      </c>
      <c r="J800" s="66">
        <v>1</v>
      </c>
      <c r="K800" s="35" t="str">
        <f t="shared" si="228"/>
        <v/>
      </c>
      <c r="L800" s="35">
        <f t="shared" si="234"/>
        <v>0</v>
      </c>
      <c r="M800" s="77" t="str" cm="1">
        <f t="array" ref="M800">_xlfn.IFS(BOM!I800="RM-PACKING","100%",B800="Reynolds",VLOOKUP(H800,'Yield &amp; Time'!A:V,22,0),BOM!B800="Dnata",VLOOKUP(BOM!H800,'Yield &amp; Time'!A:M,13,0),B800="NK",VLOOKUP(H800,'Yield &amp; Time'!A:X,24,0))</f>
        <v>100%</v>
      </c>
      <c r="N800" s="35">
        <f t="shared" si="245"/>
        <v>1</v>
      </c>
      <c r="O800" s="1" t="str">
        <f>VLOOKUP(H800,'RM Used'!A:E,5,0)</f>
        <v>Count</v>
      </c>
      <c r="P800" s="11">
        <f>VLOOKUP(H800,'RM Used'!A:F,6,0)</f>
        <v>0.14000000000000001</v>
      </c>
      <c r="Q800" s="11">
        <f t="shared" si="243"/>
        <v>0.14000000000000001</v>
      </c>
      <c r="R800" s="11">
        <f>IFERROR(IF(B800="Reynolds",VLOOKUP(H800,'Yield &amp; Time'!A:U,21,0),VLOOKUP(H800,'Yield &amp; Time'!A:L,12,0)),0)</f>
        <v>0</v>
      </c>
      <c r="S800" s="11">
        <f t="shared" si="235"/>
        <v>0</v>
      </c>
      <c r="T800" s="11">
        <f t="shared" si="236"/>
        <v>0</v>
      </c>
      <c r="U800" s="11">
        <f>IF(A799=A800,0,VLOOKUP(A800,'Packing Time'!A:F,6,0))</f>
        <v>0</v>
      </c>
      <c r="V800" s="11">
        <f t="shared" si="229"/>
        <v>0</v>
      </c>
      <c r="W800" s="11">
        <f t="shared" si="230"/>
        <v>0</v>
      </c>
      <c r="X800" s="11">
        <f t="shared" si="237"/>
        <v>0</v>
      </c>
      <c r="Y800" s="11">
        <f t="shared" si="231"/>
        <v>0</v>
      </c>
      <c r="Z800" s="37">
        <v>1</v>
      </c>
      <c r="AA800" s="36">
        <f t="shared" si="238"/>
        <v>1</v>
      </c>
      <c r="AB800" s="36">
        <f t="shared" si="239"/>
        <v>0.14000000000000001</v>
      </c>
      <c r="AC800" s="11">
        <f t="shared" si="240"/>
        <v>0</v>
      </c>
      <c r="AD800" s="36">
        <f t="shared" si="232"/>
        <v>0</v>
      </c>
      <c r="AE800" s="36"/>
      <c r="AF800" s="36">
        <f>IFERROR(VLOOKUP(AE800,'Chemical Cost'!A:D,4,0),0)</f>
        <v>0</v>
      </c>
      <c r="AG800" s="114">
        <f t="shared" si="241"/>
        <v>0</v>
      </c>
      <c r="AH800" s="36">
        <f t="shared" si="244"/>
        <v>0</v>
      </c>
      <c r="AI800" s="36">
        <f t="shared" si="233"/>
        <v>0.14000000000000001</v>
      </c>
      <c r="AJ800" s="36">
        <f>IFERROR(VLOOKUP(A800,'All Products'!A:F,6,0),0)</f>
        <v>19.559999999999999</v>
      </c>
      <c r="AK800" s="36"/>
      <c r="AL800" s="23">
        <v>1</v>
      </c>
      <c r="AM800" s="23"/>
      <c r="AN800" s="54" t="e">
        <v>#N/A</v>
      </c>
      <c r="AO800" s="47"/>
      <c r="AP800" s="4">
        <v>1.6</v>
      </c>
      <c r="AQ800" s="111">
        <f t="shared" si="242"/>
        <v>0</v>
      </c>
      <c r="AR800">
        <f>_xlfn.XLOOKUP(F800,'RM Cost'!A:A,'RM Cost'!S:S)</f>
        <v>0</v>
      </c>
      <c r="AS800" t="e">
        <f>_xlfn.XLOOKUP(A800,[3]Sheet1!$B:$B,[3]Sheet1!$B:$B)</f>
        <v>#N/A</v>
      </c>
    </row>
    <row r="801" spans="1:46" x14ac:dyDescent="0.25">
      <c r="A801" s="2" t="s">
        <v>857</v>
      </c>
      <c r="B801" s="2" t="s">
        <v>656</v>
      </c>
      <c r="C801" s="2" t="s">
        <v>858</v>
      </c>
      <c r="D801" s="2" t="s">
        <v>554</v>
      </c>
      <c r="E801" s="2">
        <v>1</v>
      </c>
      <c r="F801" s="1" t="str">
        <f>VLOOKUP(H801,'RM Used'!A:B,2,0)</f>
        <v>3565CS</v>
      </c>
      <c r="G801" s="1" t="str">
        <f>IFERROR(VLOOKUP(F801,'RM Cost'!A:B,2,0),"")</f>
        <v>RM - PEPPERS GREEN  X 5KG</v>
      </c>
      <c r="H801" s="2" t="s">
        <v>1414</v>
      </c>
      <c r="I801" s="1" t="str">
        <f>VLOOKUP(F801,'RM Used'!B:D,3,0)</f>
        <v>RM-FOOD</v>
      </c>
      <c r="J801" s="66">
        <v>0.33</v>
      </c>
      <c r="K801" s="35">
        <f t="shared" ref="K801:K864" si="246">IF(I801="RM-FOOD",J801*E801,"")</f>
        <v>0.33</v>
      </c>
      <c r="L801" s="35">
        <f t="shared" si="234"/>
        <v>0.33</v>
      </c>
      <c r="M801" s="77" cm="1">
        <f t="array" ref="M801">_xlfn.IFS(BOM!I801="RM-PACKING","100%",B801="Reynolds",VLOOKUP(H801,'Yield &amp; Time'!A:V,22,0),BOM!B801="Dnata",VLOOKUP(BOM!H801,'Yield &amp; Time'!A:M,13,0),B801="NK",VLOOKUP(H801,'Yield &amp; Time'!A:X,24,0))</f>
        <v>0.77697478991596647</v>
      </c>
      <c r="N801" s="35">
        <f t="shared" si="245"/>
        <v>0.42472420506164826</v>
      </c>
      <c r="O801" s="1" t="str">
        <f>VLOOKUP(H801,'RM Used'!A:E,5,0)</f>
        <v>KG</v>
      </c>
      <c r="P801" s="11">
        <f>VLOOKUP(H801,'RM Used'!A:F,6,0)</f>
        <v>1.76</v>
      </c>
      <c r="Q801" s="11">
        <f t="shared" si="243"/>
        <v>0.74751460090850097</v>
      </c>
      <c r="R801" s="11">
        <f>IFERROR(IF(B801="Reynolds",VLOOKUP(H801,'Yield &amp; Time'!A:U,21,0),VLOOKUP(H801,'Yield &amp; Time'!A:L,12,0)),0)</f>
        <v>0.89676616915422891</v>
      </c>
      <c r="S801" s="11">
        <f t="shared" si="235"/>
        <v>0.10017326492537314</v>
      </c>
      <c r="T801" s="11">
        <f t="shared" si="236"/>
        <v>4.9322139303482598E-3</v>
      </c>
      <c r="U801" s="11">
        <f>IF(A800=A801,0,VLOOKUP(A801,'Packing Time'!A:F,6,0))</f>
        <v>0.64166666666666661</v>
      </c>
      <c r="V801" s="11">
        <f t="shared" si="229"/>
        <v>0.21720416666666661</v>
      </c>
      <c r="W801" s="11">
        <f t="shared" si="230"/>
        <v>1.0694444444444444E-2</v>
      </c>
      <c r="X801" s="11">
        <f t="shared" si="237"/>
        <v>0.50780389054726371</v>
      </c>
      <c r="Y801" s="11">
        <f t="shared" si="231"/>
        <v>0.50780389054726371</v>
      </c>
      <c r="Z801" s="37">
        <v>1</v>
      </c>
      <c r="AA801" s="36">
        <f t="shared" si="238"/>
        <v>0.42472420506164826</v>
      </c>
      <c r="AB801" s="36">
        <f t="shared" si="239"/>
        <v>0.74751460090850097</v>
      </c>
      <c r="AC801" s="11">
        <f t="shared" si="240"/>
        <v>2.5002653399668326E-2</v>
      </c>
      <c r="AD801" s="36">
        <f t="shared" si="232"/>
        <v>0.5078038905472636</v>
      </c>
      <c r="AE801" s="36" t="str">
        <f>VLOOKUP(H801,'Yield &amp; Time'!A:I,9,0)</f>
        <v>CHLORINE</v>
      </c>
      <c r="AF801" s="36">
        <f>IFERROR(VLOOKUP(AE801,'Chemical Cost'!A:D,4,0),0)</f>
        <v>2.7756518066439469E-2</v>
      </c>
      <c r="AG801" s="114">
        <f t="shared" si="241"/>
        <v>3.9296216903492607E-3</v>
      </c>
      <c r="AH801" s="36">
        <f t="shared" si="244"/>
        <v>3.9296216903492607E-3</v>
      </c>
      <c r="AI801" s="36">
        <f t="shared" si="233"/>
        <v>1.259248113146114</v>
      </c>
      <c r="AJ801" s="36">
        <f>IFERROR(VLOOKUP(A801,'All Products'!A:F,6,0),0)</f>
        <v>6.5</v>
      </c>
      <c r="AK801" s="36">
        <f>AJ801*Z801*J801</f>
        <v>2.145</v>
      </c>
      <c r="AL801" s="23">
        <v>0.8</v>
      </c>
      <c r="AM801" s="23">
        <v>0.2</v>
      </c>
      <c r="AN801" s="54" t="e">
        <v>#N/A</v>
      </c>
      <c r="AO801" s="47"/>
      <c r="AP801" s="4">
        <v>1.6</v>
      </c>
      <c r="AQ801" s="111">
        <f t="shared" si="242"/>
        <v>2.5002653399668326E-2</v>
      </c>
      <c r="AR801">
        <f>_xlfn.XLOOKUP(F801,'RM Cost'!A:A,'RM Cost'!S:S)</f>
        <v>0</v>
      </c>
      <c r="AS801" t="str">
        <f>_xlfn.XLOOKUP(A801,[3]Sheet1!$B:$B,[3]Sheet1!$B:$B)</f>
        <v>Z191CS</v>
      </c>
      <c r="AT801">
        <f>_xlfn.XLOOKUP(H801,'Yield &amp; Time'!A:A,'Yield &amp; Time'!F:F)</f>
        <v>0</v>
      </c>
    </row>
    <row r="802" spans="1:46" x14ac:dyDescent="0.25">
      <c r="A802" s="2" t="s">
        <v>857</v>
      </c>
      <c r="B802" s="2" t="s">
        <v>656</v>
      </c>
      <c r="C802" s="2" t="s">
        <v>858</v>
      </c>
      <c r="D802" s="2" t="s">
        <v>554</v>
      </c>
      <c r="E802" s="2">
        <v>1</v>
      </c>
      <c r="F802" s="1" t="str">
        <f>VLOOKUP(H802,'RM Used'!A:B,2,0)</f>
        <v>3566CS</v>
      </c>
      <c r="G802" s="1" t="str">
        <f>IFERROR(VLOOKUP(F802,'RM Cost'!A:B,2,0),"")</f>
        <v>PEPPERS RED X 5KG</v>
      </c>
      <c r="H802" s="2" t="s">
        <v>1415</v>
      </c>
      <c r="I802" s="1" t="str">
        <f>VLOOKUP(F802,'RM Used'!B:D,3,0)</f>
        <v>RM-FOOD</v>
      </c>
      <c r="J802" s="66">
        <v>0.34</v>
      </c>
      <c r="K802" s="35">
        <f t="shared" si="246"/>
        <v>0.34</v>
      </c>
      <c r="L802" s="35">
        <f t="shared" si="234"/>
        <v>0.34</v>
      </c>
      <c r="M802" s="77" cm="1">
        <f t="array" ref="M802">_xlfn.IFS(BOM!I802="RM-PACKING","100%",B802="Reynolds",VLOOKUP(H802,'Yield &amp; Time'!A:V,22,0),BOM!B802="Dnata",VLOOKUP(BOM!H802,'Yield &amp; Time'!A:M,13,0),B802="NK",VLOOKUP(H802,'Yield &amp; Time'!A:X,24,0))</f>
        <v>0.72359999999999991</v>
      </c>
      <c r="N802" s="35">
        <f t="shared" si="245"/>
        <v>0.46987285793255951</v>
      </c>
      <c r="O802" s="1" t="str">
        <f>VLOOKUP(H802,'RM Used'!A:E,5,0)</f>
        <v>KG</v>
      </c>
      <c r="P802" s="11">
        <f>VLOOKUP(H802,'RM Used'!A:F,6,0)</f>
        <v>1.72</v>
      </c>
      <c r="Q802" s="11">
        <f t="shared" si="243"/>
        <v>0.80818131564400231</v>
      </c>
      <c r="R802" s="11">
        <f>IFERROR(IF(B802="Reynolds",VLOOKUP(H802,'Yield &amp; Time'!A:U,21,0),VLOOKUP(H802,'Yield &amp; Time'!A:L,12,0)),0)</f>
        <v>1.0211442786069653</v>
      </c>
      <c r="S802" s="11">
        <f t="shared" si="235"/>
        <v>0.11752349502487563</v>
      </c>
      <c r="T802" s="11">
        <f t="shared" si="236"/>
        <v>5.7864842454394706E-3</v>
      </c>
      <c r="U802" s="11">
        <f>IF(A801=A802,0,VLOOKUP(A802,'Packing Time'!A:F,6,0))</f>
        <v>0</v>
      </c>
      <c r="V802" s="11">
        <f t="shared" ref="V802:V865" si="247">U802*AO$1</f>
        <v>0</v>
      </c>
      <c r="W802" s="11">
        <f t="shared" ref="W802:W865" si="248">(U802*Z802)/60</f>
        <v>0</v>
      </c>
      <c r="X802" s="11">
        <f t="shared" si="237"/>
        <v>0.18803759203980103</v>
      </c>
      <c r="Y802" s="11">
        <f t="shared" ref="Y802:Y865" si="249">X802*Z802</f>
        <v>0.18803759203980103</v>
      </c>
      <c r="Z802" s="37">
        <v>1</v>
      </c>
      <c r="AA802" s="36">
        <f t="shared" si="238"/>
        <v>0.46987285793255951</v>
      </c>
      <c r="AB802" s="36">
        <f t="shared" si="239"/>
        <v>0.80818131564400231</v>
      </c>
      <c r="AC802" s="11">
        <f t="shared" si="240"/>
        <v>9.2583747927031529E-3</v>
      </c>
      <c r="AD802" s="36">
        <f t="shared" ref="AD802:AD865" si="250">AC802*60*AO$1</f>
        <v>0.18803759203980103</v>
      </c>
      <c r="AE802" s="36" t="str">
        <f>VLOOKUP(H802,'Yield &amp; Time'!A:I,9,0)</f>
        <v>CHLORINE</v>
      </c>
      <c r="AF802" s="36">
        <f>IFERROR(VLOOKUP(AE802,'Chemical Cost'!A:D,4,0),0)</f>
        <v>2.7756518066439469E-2</v>
      </c>
      <c r="AG802" s="114">
        <f t="shared" si="241"/>
        <v>4.3473448233782115E-3</v>
      </c>
      <c r="AH802" s="36">
        <f t="shared" si="244"/>
        <v>4.3473448233782115E-3</v>
      </c>
      <c r="AI802" s="36">
        <f t="shared" ref="AI802:AI865" si="251">IFERROR((Q802*Z802)+(Z802*X802)+AH802,0)</f>
        <v>1.0005662525071815</v>
      </c>
      <c r="AJ802" s="36">
        <f>IFERROR(VLOOKUP(A802,'All Products'!A:F,6,0),0)</f>
        <v>6.5</v>
      </c>
      <c r="AK802" s="36">
        <f>AJ802*Z802*J802</f>
        <v>2.21</v>
      </c>
      <c r="AL802" s="23">
        <v>0.8</v>
      </c>
      <c r="AM802" s="23">
        <v>0.2</v>
      </c>
      <c r="AN802" s="54" t="e">
        <v>#N/A</v>
      </c>
      <c r="AO802" s="47"/>
      <c r="AP802" s="4">
        <v>1.6</v>
      </c>
      <c r="AQ802" s="111">
        <f t="shared" si="242"/>
        <v>9.2583747927031529E-3</v>
      </c>
      <c r="AR802">
        <f>_xlfn.XLOOKUP(F802,'RM Cost'!A:A,'RM Cost'!S:S)</f>
        <v>0</v>
      </c>
      <c r="AS802" t="str">
        <f>_xlfn.XLOOKUP(A802,[3]Sheet1!$B:$B,[3]Sheet1!$B:$B)</f>
        <v>Z191CS</v>
      </c>
      <c r="AT802">
        <f>_xlfn.XLOOKUP(H802,'Yield &amp; Time'!A:A,'Yield &amp; Time'!F:F)</f>
        <v>0</v>
      </c>
    </row>
    <row r="803" spans="1:46" x14ac:dyDescent="0.25">
      <c r="A803" s="2" t="s">
        <v>857</v>
      </c>
      <c r="B803" s="2" t="s">
        <v>656</v>
      </c>
      <c r="C803" s="2" t="s">
        <v>858</v>
      </c>
      <c r="D803" s="2" t="s">
        <v>554</v>
      </c>
      <c r="E803" s="2">
        <v>1</v>
      </c>
      <c r="F803" s="1" t="str">
        <f>VLOOKUP(H803,'RM Used'!A:B,2,0)</f>
        <v>3567CS</v>
      </c>
      <c r="G803" s="1" t="str">
        <f>IFERROR(VLOOKUP(F803,'RM Cost'!A:B,2,0),"")</f>
        <v>RM - PEPPERS YELLOW  X 5KG</v>
      </c>
      <c r="H803" s="2" t="s">
        <v>1416</v>
      </c>
      <c r="I803" s="1" t="str">
        <f>VLOOKUP(F803,'RM Used'!B:D,3,0)</f>
        <v>RM-FOOD</v>
      </c>
      <c r="J803" s="66">
        <v>0.33</v>
      </c>
      <c r="K803" s="35">
        <f t="shared" si="246"/>
        <v>0.33</v>
      </c>
      <c r="L803" s="35">
        <f t="shared" si="234"/>
        <v>0.33</v>
      </c>
      <c r="M803" s="77" cm="1">
        <f t="array" ref="M803">_xlfn.IFS(BOM!I803="RM-PACKING","100%",B803="Reynolds",VLOOKUP(H803,'Yield &amp; Time'!A:V,22,0),BOM!B803="Dnata",VLOOKUP(BOM!H803,'Yield &amp; Time'!A:M,13,0),B803="NK",VLOOKUP(H803,'Yield &amp; Time'!A:X,24,0))</f>
        <v>0.77697478991596647</v>
      </c>
      <c r="N803" s="35">
        <f t="shared" si="245"/>
        <v>0.42472420506164826</v>
      </c>
      <c r="O803" s="1" t="str">
        <f>VLOOKUP(H803,'RM Used'!A:E,5,0)</f>
        <v>KG</v>
      </c>
      <c r="P803" s="11">
        <f>VLOOKUP(H803,'RM Used'!A:F,6,0)</f>
        <v>1.68</v>
      </c>
      <c r="Q803" s="11">
        <f t="shared" si="243"/>
        <v>0.71353666450356901</v>
      </c>
      <c r="R803" s="11">
        <f>IFERROR(IF(B803="Reynolds",VLOOKUP(H803,'Yield &amp; Time'!A:U,21,0),VLOOKUP(H803,'Yield &amp; Time'!A:L,12,0)),0)</f>
        <v>0.89676616915422891</v>
      </c>
      <c r="S803" s="11">
        <f t="shared" si="235"/>
        <v>0.10017326492537314</v>
      </c>
      <c r="T803" s="11">
        <f t="shared" si="236"/>
        <v>4.9322139303482598E-3</v>
      </c>
      <c r="U803" s="11">
        <f>IF(A802=A803,0,VLOOKUP(A803,'Packing Time'!A:F,6,0))</f>
        <v>0</v>
      </c>
      <c r="V803" s="11">
        <f t="shared" si="247"/>
        <v>0</v>
      </c>
      <c r="W803" s="11">
        <f t="shared" si="248"/>
        <v>0</v>
      </c>
      <c r="X803" s="11">
        <f t="shared" si="237"/>
        <v>0.16027722388059704</v>
      </c>
      <c r="Y803" s="11">
        <f t="shared" si="249"/>
        <v>0.16027722388059704</v>
      </c>
      <c r="Z803" s="37">
        <v>1</v>
      </c>
      <c r="AA803" s="36">
        <f t="shared" si="238"/>
        <v>0.42472420506164826</v>
      </c>
      <c r="AB803" s="36">
        <f t="shared" si="239"/>
        <v>0.71353666450356901</v>
      </c>
      <c r="AC803" s="11">
        <f t="shared" si="240"/>
        <v>7.891542288557216E-3</v>
      </c>
      <c r="AD803" s="36">
        <f t="shared" si="250"/>
        <v>0.16027722388059704</v>
      </c>
      <c r="AE803" s="36" t="str">
        <f>VLOOKUP(H803,'Yield &amp; Time'!A:I,9,0)</f>
        <v>CHLORINE</v>
      </c>
      <c r="AF803" s="36">
        <f>IFERROR(VLOOKUP(AE803,'Chemical Cost'!A:D,4,0),0)</f>
        <v>2.7756518066439469E-2</v>
      </c>
      <c r="AG803" s="114">
        <f t="shared" si="241"/>
        <v>3.9296216903492607E-3</v>
      </c>
      <c r="AH803" s="36">
        <f t="shared" si="244"/>
        <v>3.9296216903492607E-3</v>
      </c>
      <c r="AI803" s="36">
        <f t="shared" si="251"/>
        <v>0.87774351007451534</v>
      </c>
      <c r="AJ803" s="36">
        <f>IFERROR(VLOOKUP(A803,'All Products'!A:F,6,0),0)</f>
        <v>6.5</v>
      </c>
      <c r="AK803" s="36">
        <f>AJ803*Z803*J803</f>
        <v>2.145</v>
      </c>
      <c r="AL803" s="23">
        <v>0.8</v>
      </c>
      <c r="AM803" s="23">
        <v>0.2</v>
      </c>
      <c r="AN803" s="54" t="e">
        <v>#N/A</v>
      </c>
      <c r="AO803" s="47"/>
      <c r="AP803" s="4">
        <v>1.6</v>
      </c>
      <c r="AQ803" s="111">
        <f t="shared" si="242"/>
        <v>7.891542288557216E-3</v>
      </c>
      <c r="AR803">
        <f>_xlfn.XLOOKUP(F803,'RM Cost'!A:A,'RM Cost'!S:S)</f>
        <v>0</v>
      </c>
      <c r="AS803" t="str">
        <f>_xlfn.XLOOKUP(A803,[3]Sheet1!$B:$B,[3]Sheet1!$B:$B)</f>
        <v>Z191CS</v>
      </c>
      <c r="AT803">
        <f>_xlfn.XLOOKUP(H803,'Yield &amp; Time'!A:A,'Yield &amp; Time'!F:F)</f>
        <v>0</v>
      </c>
    </row>
    <row r="804" spans="1:46" x14ac:dyDescent="0.25">
      <c r="A804" s="2" t="s">
        <v>857</v>
      </c>
      <c r="B804" s="2" t="s">
        <v>656</v>
      </c>
      <c r="C804" s="2" t="s">
        <v>858</v>
      </c>
      <c r="D804" s="2" t="s">
        <v>554</v>
      </c>
      <c r="E804" s="2">
        <v>1</v>
      </c>
      <c r="F804" s="1" t="str">
        <f>VLOOKUP(H804,'RM Used'!A:B,2,0)</f>
        <v>P0008</v>
      </c>
      <c r="G804" s="1" t="str">
        <f>IFERROR(VLOOKUP(F804,'RM Cost'!A:B,2,0),"")</f>
        <v>PALE BLUE BAG 470X750MM</v>
      </c>
      <c r="H804" s="2" t="s">
        <v>1323</v>
      </c>
      <c r="I804" s="1" t="str">
        <f>VLOOKUP(F804,'RM Used'!B:D,3,0)</f>
        <v>RM-PACKING</v>
      </c>
      <c r="J804" s="66">
        <v>1</v>
      </c>
      <c r="K804" s="35" t="str">
        <f t="shared" si="246"/>
        <v/>
      </c>
      <c r="L804" s="35">
        <f t="shared" si="234"/>
        <v>0</v>
      </c>
      <c r="M804" s="77" t="str" cm="1">
        <f t="array" ref="M804">_xlfn.IFS(BOM!I804="RM-PACKING","100%",B804="Reynolds",VLOOKUP(H804,'Yield &amp; Time'!A:V,22,0),BOM!B804="Dnata",VLOOKUP(BOM!H804,'Yield &amp; Time'!A:M,13,0),B804="NK",VLOOKUP(H804,'Yield &amp; Time'!A:X,24,0))</f>
        <v>100%</v>
      </c>
      <c r="N804" s="35">
        <f t="shared" si="245"/>
        <v>1</v>
      </c>
      <c r="O804" s="1" t="str">
        <f>VLOOKUP(H804,'RM Used'!A:E,5,0)</f>
        <v>Count</v>
      </c>
      <c r="P804" s="11">
        <f>VLOOKUP(H804,'RM Used'!A:F,6,0)</f>
        <v>0.14000000000000001</v>
      </c>
      <c r="Q804" s="11">
        <f t="shared" si="243"/>
        <v>0.14000000000000001</v>
      </c>
      <c r="R804" s="11">
        <f>IFERROR(IF(B804="Reynolds",VLOOKUP(H804,'Yield &amp; Time'!A:U,21,0),VLOOKUP(H804,'Yield &amp; Time'!A:L,12,0)),0)</f>
        <v>0</v>
      </c>
      <c r="S804" s="11">
        <f t="shared" si="235"/>
        <v>0</v>
      </c>
      <c r="T804" s="11">
        <f t="shared" si="236"/>
        <v>0</v>
      </c>
      <c r="U804" s="11">
        <f>IF(A803=A804,0,VLOOKUP(A804,'Packing Time'!A:F,6,0))</f>
        <v>0</v>
      </c>
      <c r="V804" s="11">
        <f t="shared" si="247"/>
        <v>0</v>
      </c>
      <c r="W804" s="11">
        <f t="shared" si="248"/>
        <v>0</v>
      </c>
      <c r="X804" s="11">
        <f t="shared" si="237"/>
        <v>0</v>
      </c>
      <c r="Y804" s="11">
        <f t="shared" si="249"/>
        <v>0</v>
      </c>
      <c r="Z804" s="37">
        <v>1</v>
      </c>
      <c r="AA804" s="36">
        <f t="shared" si="238"/>
        <v>1</v>
      </c>
      <c r="AB804" s="36">
        <f t="shared" si="239"/>
        <v>0.14000000000000001</v>
      </c>
      <c r="AC804" s="11">
        <f t="shared" si="240"/>
        <v>0</v>
      </c>
      <c r="AD804" s="36">
        <f t="shared" si="250"/>
        <v>0</v>
      </c>
      <c r="AE804" s="36"/>
      <c r="AF804" s="36">
        <f>IFERROR(VLOOKUP(AE804,'Chemical Cost'!A:D,4,0),0)</f>
        <v>0</v>
      </c>
      <c r="AG804" s="114">
        <f t="shared" si="241"/>
        <v>0</v>
      </c>
      <c r="AH804" s="36">
        <f t="shared" si="244"/>
        <v>0</v>
      </c>
      <c r="AI804" s="36">
        <f t="shared" si="251"/>
        <v>0.14000000000000001</v>
      </c>
      <c r="AJ804" s="36">
        <f>IFERROR(VLOOKUP(A804,'All Products'!A:F,6,0),0)</f>
        <v>6.5</v>
      </c>
      <c r="AK804" s="36"/>
      <c r="AL804" s="23">
        <v>0.8</v>
      </c>
      <c r="AM804" s="23">
        <v>0.2</v>
      </c>
      <c r="AN804" s="54" t="e">
        <v>#N/A</v>
      </c>
      <c r="AO804" s="47"/>
      <c r="AP804" s="4">
        <v>1.6</v>
      </c>
      <c r="AQ804" s="111">
        <f t="shared" si="242"/>
        <v>0</v>
      </c>
      <c r="AR804">
        <f>_xlfn.XLOOKUP(F804,'RM Cost'!A:A,'RM Cost'!S:S)</f>
        <v>0</v>
      </c>
      <c r="AS804" t="str">
        <f>_xlfn.XLOOKUP(A804,[3]Sheet1!$B:$B,[3]Sheet1!$B:$B)</f>
        <v>Z191CS</v>
      </c>
      <c r="AT804" t="e">
        <f>_xlfn.XLOOKUP(H804,'Yield &amp; Time'!A:A,'Yield &amp; Time'!F:F)</f>
        <v>#N/A</v>
      </c>
    </row>
    <row r="805" spans="1:46" x14ac:dyDescent="0.25">
      <c r="A805" s="2" t="s">
        <v>859</v>
      </c>
      <c r="B805" s="2" t="s">
        <v>656</v>
      </c>
      <c r="C805" s="2" t="s">
        <v>860</v>
      </c>
      <c r="D805" s="2" t="s">
        <v>554</v>
      </c>
      <c r="E805" s="2">
        <v>2.5</v>
      </c>
      <c r="F805" s="1" t="str">
        <f>VLOOKUP(H805,'RM Used'!A:B,2,0)</f>
        <v>3565CS</v>
      </c>
      <c r="G805" s="1" t="str">
        <f>IFERROR(VLOOKUP(F805,'RM Cost'!A:B,2,0),"")</f>
        <v>RM - PEPPERS GREEN  X 5KG</v>
      </c>
      <c r="H805" s="2" t="s">
        <v>1414</v>
      </c>
      <c r="I805" s="1" t="str">
        <f>VLOOKUP(F805,'RM Used'!B:D,3,0)</f>
        <v>RM-FOOD</v>
      </c>
      <c r="J805" s="66">
        <v>0.33</v>
      </c>
      <c r="K805" s="35">
        <f t="shared" si="246"/>
        <v>0.82500000000000007</v>
      </c>
      <c r="L805" s="35">
        <f t="shared" si="234"/>
        <v>0.82500000000000007</v>
      </c>
      <c r="M805" s="77" cm="1">
        <f t="array" ref="M805">_xlfn.IFS(BOM!I805="RM-PACKING","100%",B805="Reynolds",VLOOKUP(H805,'Yield &amp; Time'!A:V,22,0),BOM!B805="Dnata",VLOOKUP(BOM!H805,'Yield &amp; Time'!A:M,13,0),B805="NK",VLOOKUP(H805,'Yield &amp; Time'!A:X,24,0))</f>
        <v>0.77697478991596647</v>
      </c>
      <c r="N805" s="35">
        <f t="shared" si="245"/>
        <v>1.0618105126541206</v>
      </c>
      <c r="O805" s="1" t="str">
        <f>VLOOKUP(H805,'RM Used'!A:E,5,0)</f>
        <v>KG</v>
      </c>
      <c r="P805" s="11">
        <f>VLOOKUP(H805,'RM Used'!A:F,6,0)</f>
        <v>1.76</v>
      </c>
      <c r="Q805" s="11">
        <f t="shared" si="243"/>
        <v>1.8687865022712524</v>
      </c>
      <c r="R805" s="11">
        <f>IFERROR(IF(B805="Reynolds",VLOOKUP(H805,'Yield &amp; Time'!A:U,21,0),VLOOKUP(H805,'Yield &amp; Time'!A:L,12,0)),0)</f>
        <v>0.89676616915422891</v>
      </c>
      <c r="S805" s="11">
        <f t="shared" si="235"/>
        <v>0.25043316231343288</v>
      </c>
      <c r="T805" s="11">
        <f t="shared" si="236"/>
        <v>1.233053482587065E-2</v>
      </c>
      <c r="U805" s="11">
        <f>IF(A804=A805,0,VLOOKUP(A805,'Packing Time'!A:F,6,0))</f>
        <v>0.875</v>
      </c>
      <c r="V805" s="11">
        <f t="shared" si="247"/>
        <v>0.29618749999999999</v>
      </c>
      <c r="W805" s="11">
        <f t="shared" si="248"/>
        <v>1.4583333333333334E-2</v>
      </c>
      <c r="X805" s="11">
        <f t="shared" si="237"/>
        <v>0.87459305970149259</v>
      </c>
      <c r="Y805" s="11">
        <f t="shared" si="249"/>
        <v>0.87459305970149259</v>
      </c>
      <c r="Z805" s="37">
        <v>1</v>
      </c>
      <c r="AA805" s="36">
        <f t="shared" si="238"/>
        <v>1.0618105126541206</v>
      </c>
      <c r="AB805" s="36">
        <f t="shared" si="239"/>
        <v>1.8687865022712524</v>
      </c>
      <c r="AC805" s="11">
        <f t="shared" si="240"/>
        <v>4.3062189054726377E-2</v>
      </c>
      <c r="AD805" s="36">
        <f t="shared" si="250"/>
        <v>0.8745930597014927</v>
      </c>
      <c r="AE805" s="36" t="str">
        <f>VLOOKUP(H805,'Yield &amp; Time'!A:I,9,0)</f>
        <v>CHLORINE</v>
      </c>
      <c r="AF805" s="36">
        <f>IFERROR(VLOOKUP(AE805,'Chemical Cost'!A:D,4,0),0)</f>
        <v>2.7756518066439469E-2</v>
      </c>
      <c r="AG805" s="114">
        <f t="shared" si="241"/>
        <v>9.8240542258731505E-3</v>
      </c>
      <c r="AH805" s="36">
        <f t="shared" si="244"/>
        <v>9.8240542258731505E-3</v>
      </c>
      <c r="AI805" s="36">
        <f t="shared" si="251"/>
        <v>2.753203616198618</v>
      </c>
      <c r="AJ805" s="36">
        <f>IFERROR(VLOOKUP(A805,'All Products'!A:F,6,0),0)</f>
        <v>16.23</v>
      </c>
      <c r="AK805" s="36">
        <f>AJ805*Z805*J805</f>
        <v>5.3559000000000001</v>
      </c>
      <c r="AL805" s="23">
        <v>0.8</v>
      </c>
      <c r="AM805" s="23">
        <v>0.2</v>
      </c>
      <c r="AN805" s="54" t="e">
        <v>#N/A</v>
      </c>
      <c r="AO805" s="47"/>
      <c r="AP805" s="4">
        <v>1.6</v>
      </c>
      <c r="AQ805" s="111">
        <f t="shared" si="242"/>
        <v>4.3062189054726377E-2</v>
      </c>
      <c r="AR805">
        <f>_xlfn.XLOOKUP(F805,'RM Cost'!A:A,'RM Cost'!S:S)</f>
        <v>0</v>
      </c>
      <c r="AS805" t="e">
        <f>_xlfn.XLOOKUP(A805,[3]Sheet1!$B:$B,[3]Sheet1!$B:$B)</f>
        <v>#N/A</v>
      </c>
    </row>
    <row r="806" spans="1:46" x14ac:dyDescent="0.25">
      <c r="A806" s="2" t="s">
        <v>859</v>
      </c>
      <c r="B806" s="2" t="s">
        <v>656</v>
      </c>
      <c r="C806" s="2" t="s">
        <v>860</v>
      </c>
      <c r="D806" s="2" t="s">
        <v>554</v>
      </c>
      <c r="E806" s="2">
        <v>2.5</v>
      </c>
      <c r="F806" s="1" t="str">
        <f>VLOOKUP(H806,'RM Used'!A:B,2,0)</f>
        <v>3566CS</v>
      </c>
      <c r="G806" s="1" t="str">
        <f>IFERROR(VLOOKUP(F806,'RM Cost'!A:B,2,0),"")</f>
        <v>PEPPERS RED X 5KG</v>
      </c>
      <c r="H806" s="2" t="s">
        <v>1415</v>
      </c>
      <c r="I806" s="1" t="str">
        <f>VLOOKUP(F806,'RM Used'!B:D,3,0)</f>
        <v>RM-FOOD</v>
      </c>
      <c r="J806" s="66">
        <v>0.34</v>
      </c>
      <c r="K806" s="35">
        <f t="shared" si="246"/>
        <v>0.85000000000000009</v>
      </c>
      <c r="L806" s="35">
        <f t="shared" si="234"/>
        <v>0.85000000000000009</v>
      </c>
      <c r="M806" s="77" cm="1">
        <f t="array" ref="M806">_xlfn.IFS(BOM!I806="RM-PACKING","100%",B806="Reynolds",VLOOKUP(H806,'Yield &amp; Time'!A:V,22,0),BOM!B806="Dnata",VLOOKUP(BOM!H806,'Yield &amp; Time'!A:M,13,0),B806="NK",VLOOKUP(H806,'Yield &amp; Time'!A:X,24,0))</f>
        <v>0.72359999999999991</v>
      </c>
      <c r="N806" s="35">
        <f t="shared" si="245"/>
        <v>1.1746821448313989</v>
      </c>
      <c r="O806" s="1" t="str">
        <f>VLOOKUP(H806,'RM Used'!A:E,5,0)</f>
        <v>KG</v>
      </c>
      <c r="P806" s="11">
        <f>VLOOKUP(H806,'RM Used'!A:F,6,0)</f>
        <v>1.72</v>
      </c>
      <c r="Q806" s="11">
        <f t="shared" si="243"/>
        <v>2.020453289110006</v>
      </c>
      <c r="R806" s="11">
        <f>IFERROR(IF(B806="Reynolds",VLOOKUP(H806,'Yield &amp; Time'!A:U,21,0),VLOOKUP(H806,'Yield &amp; Time'!A:L,12,0)),0)</f>
        <v>1.0211442786069653</v>
      </c>
      <c r="S806" s="11">
        <f t="shared" si="235"/>
        <v>0.29380873756218912</v>
      </c>
      <c r="T806" s="11">
        <f t="shared" si="236"/>
        <v>1.4466210613598677E-2</v>
      </c>
      <c r="U806" s="11">
        <f>IF(A805=A806,0,VLOOKUP(A806,'Packing Time'!A:F,6,0))</f>
        <v>0</v>
      </c>
      <c r="V806" s="11">
        <f t="shared" si="247"/>
        <v>0</v>
      </c>
      <c r="W806" s="11">
        <f t="shared" si="248"/>
        <v>0</v>
      </c>
      <c r="X806" s="11">
        <f t="shared" si="237"/>
        <v>0.4700939800995026</v>
      </c>
      <c r="Y806" s="11">
        <f t="shared" si="249"/>
        <v>0.4700939800995026</v>
      </c>
      <c r="Z806" s="37">
        <v>1</v>
      </c>
      <c r="AA806" s="36">
        <f t="shared" si="238"/>
        <v>1.1746821448313989</v>
      </c>
      <c r="AB806" s="36">
        <f t="shared" si="239"/>
        <v>2.020453289110006</v>
      </c>
      <c r="AC806" s="11">
        <f t="shared" si="240"/>
        <v>2.3145936981757886E-2</v>
      </c>
      <c r="AD806" s="36">
        <f t="shared" si="250"/>
        <v>0.47009398009950265</v>
      </c>
      <c r="AE806" s="36" t="str">
        <f>VLOOKUP(H806,'Yield &amp; Time'!A:I,9,0)</f>
        <v>CHLORINE</v>
      </c>
      <c r="AF806" s="36">
        <f>IFERROR(VLOOKUP(AE806,'Chemical Cost'!A:D,4,0),0)</f>
        <v>2.7756518066439469E-2</v>
      </c>
      <c r="AG806" s="114">
        <f t="shared" si="241"/>
        <v>1.0868362058445531E-2</v>
      </c>
      <c r="AH806" s="36">
        <f t="shared" si="244"/>
        <v>1.0868362058445531E-2</v>
      </c>
      <c r="AI806" s="36">
        <f t="shared" si="251"/>
        <v>2.5014156312679541</v>
      </c>
      <c r="AJ806" s="36">
        <f>IFERROR(VLOOKUP(A806,'All Products'!A:F,6,0),0)</f>
        <v>16.23</v>
      </c>
      <c r="AK806" s="36">
        <f>AJ806*Z806*J806</f>
        <v>5.5182000000000002</v>
      </c>
      <c r="AL806" s="23">
        <v>0.8</v>
      </c>
      <c r="AM806" s="23">
        <v>0.2</v>
      </c>
      <c r="AN806" s="54" t="e">
        <v>#N/A</v>
      </c>
      <c r="AO806" s="47"/>
      <c r="AP806" s="4">
        <v>1.6</v>
      </c>
      <c r="AQ806" s="111">
        <f t="shared" si="242"/>
        <v>2.3145936981757886E-2</v>
      </c>
      <c r="AR806">
        <f>_xlfn.XLOOKUP(F806,'RM Cost'!A:A,'RM Cost'!S:S)</f>
        <v>0</v>
      </c>
      <c r="AS806" t="e">
        <f>_xlfn.XLOOKUP(A806,[3]Sheet1!$B:$B,[3]Sheet1!$B:$B)</f>
        <v>#N/A</v>
      </c>
    </row>
    <row r="807" spans="1:46" x14ac:dyDescent="0.25">
      <c r="A807" s="2" t="s">
        <v>859</v>
      </c>
      <c r="B807" s="2" t="s">
        <v>656</v>
      </c>
      <c r="C807" s="2" t="s">
        <v>860</v>
      </c>
      <c r="D807" s="2" t="s">
        <v>554</v>
      </c>
      <c r="E807" s="2">
        <v>2.5</v>
      </c>
      <c r="F807" s="1" t="str">
        <f>VLOOKUP(H807,'RM Used'!A:B,2,0)</f>
        <v>3567CS</v>
      </c>
      <c r="G807" s="1" t="str">
        <f>IFERROR(VLOOKUP(F807,'RM Cost'!A:B,2,0),"")</f>
        <v>RM - PEPPERS YELLOW  X 5KG</v>
      </c>
      <c r="H807" s="2" t="s">
        <v>1416</v>
      </c>
      <c r="I807" s="1" t="str">
        <f>VLOOKUP(F807,'RM Used'!B:D,3,0)</f>
        <v>RM-FOOD</v>
      </c>
      <c r="J807" s="66">
        <v>0.33</v>
      </c>
      <c r="K807" s="35">
        <f t="shared" si="246"/>
        <v>0.82500000000000007</v>
      </c>
      <c r="L807" s="35">
        <f t="shared" si="234"/>
        <v>0.82500000000000007</v>
      </c>
      <c r="M807" s="77" cm="1">
        <f t="array" ref="M807">_xlfn.IFS(BOM!I807="RM-PACKING","100%",B807="Reynolds",VLOOKUP(H807,'Yield &amp; Time'!A:V,22,0),BOM!B807="Dnata",VLOOKUP(BOM!H807,'Yield &amp; Time'!A:M,13,0),B807="NK",VLOOKUP(H807,'Yield &amp; Time'!A:X,24,0))</f>
        <v>0.77697478991596647</v>
      </c>
      <c r="N807" s="35">
        <f t="shared" si="245"/>
        <v>1.0618105126541206</v>
      </c>
      <c r="O807" s="1" t="str">
        <f>VLOOKUP(H807,'RM Used'!A:E,5,0)</f>
        <v>KG</v>
      </c>
      <c r="P807" s="11">
        <f>VLOOKUP(H807,'RM Used'!A:F,6,0)</f>
        <v>1.68</v>
      </c>
      <c r="Q807" s="11">
        <f t="shared" si="243"/>
        <v>1.7838416612589225</v>
      </c>
      <c r="R807" s="11">
        <f>IFERROR(IF(B807="Reynolds",VLOOKUP(H807,'Yield &amp; Time'!A:U,21,0),VLOOKUP(H807,'Yield &amp; Time'!A:L,12,0)),0)</f>
        <v>0.89676616915422891</v>
      </c>
      <c r="S807" s="11">
        <f t="shared" si="235"/>
        <v>0.25043316231343288</v>
      </c>
      <c r="T807" s="11">
        <f t="shared" si="236"/>
        <v>1.233053482587065E-2</v>
      </c>
      <c r="U807" s="11">
        <f>IF(A806=A807,0,VLOOKUP(A807,'Packing Time'!A:F,6,0))</f>
        <v>0</v>
      </c>
      <c r="V807" s="11">
        <f t="shared" si="247"/>
        <v>0</v>
      </c>
      <c r="W807" s="11">
        <f t="shared" si="248"/>
        <v>0</v>
      </c>
      <c r="X807" s="11">
        <f t="shared" si="237"/>
        <v>0.4006930597014926</v>
      </c>
      <c r="Y807" s="11">
        <f t="shared" si="249"/>
        <v>0.4006930597014926</v>
      </c>
      <c r="Z807" s="37">
        <v>1</v>
      </c>
      <c r="AA807" s="36">
        <f t="shared" si="238"/>
        <v>1.0618105126541206</v>
      </c>
      <c r="AB807" s="36">
        <f t="shared" si="239"/>
        <v>1.7838416612589225</v>
      </c>
      <c r="AC807" s="11">
        <f t="shared" si="240"/>
        <v>1.9728855721393043E-2</v>
      </c>
      <c r="AD807" s="36">
        <f t="shared" si="250"/>
        <v>0.40069305970149266</v>
      </c>
      <c r="AE807" s="36" t="str">
        <f>VLOOKUP(H807,'Yield &amp; Time'!A:I,9,0)</f>
        <v>CHLORINE</v>
      </c>
      <c r="AF807" s="36">
        <f>IFERROR(VLOOKUP(AE807,'Chemical Cost'!A:D,4,0),0)</f>
        <v>2.7756518066439469E-2</v>
      </c>
      <c r="AG807" s="114">
        <f t="shared" si="241"/>
        <v>9.8240542258731505E-3</v>
      </c>
      <c r="AH807" s="36">
        <f t="shared" si="244"/>
        <v>9.8240542258731505E-3</v>
      </c>
      <c r="AI807" s="36">
        <f t="shared" si="251"/>
        <v>2.1943587751862883</v>
      </c>
      <c r="AJ807" s="36">
        <f>IFERROR(VLOOKUP(A807,'All Products'!A:F,6,0),0)</f>
        <v>16.23</v>
      </c>
      <c r="AK807" s="36">
        <f>AJ807*Z807*J807</f>
        <v>5.3559000000000001</v>
      </c>
      <c r="AL807" s="23">
        <v>0.8</v>
      </c>
      <c r="AM807" s="23">
        <v>0.2</v>
      </c>
      <c r="AN807" s="54" t="e">
        <v>#N/A</v>
      </c>
      <c r="AO807" s="47"/>
      <c r="AP807" s="4">
        <v>1.6</v>
      </c>
      <c r="AQ807" s="111">
        <f t="shared" si="242"/>
        <v>1.9728855721393043E-2</v>
      </c>
      <c r="AR807">
        <f>_xlfn.XLOOKUP(F807,'RM Cost'!A:A,'RM Cost'!S:S)</f>
        <v>0</v>
      </c>
      <c r="AS807" t="e">
        <f>_xlfn.XLOOKUP(A807,[3]Sheet1!$B:$B,[3]Sheet1!$B:$B)</f>
        <v>#N/A</v>
      </c>
    </row>
    <row r="808" spans="1:46" x14ac:dyDescent="0.25">
      <c r="A808" s="2" t="s">
        <v>859</v>
      </c>
      <c r="B808" s="2" t="s">
        <v>656</v>
      </c>
      <c r="C808" s="2" t="s">
        <v>860</v>
      </c>
      <c r="D808" s="2" t="s">
        <v>554</v>
      </c>
      <c r="E808" s="2">
        <v>2.5</v>
      </c>
      <c r="F808" s="1" t="str">
        <f>VLOOKUP(H808,'RM Used'!A:B,2,0)</f>
        <v>P0008</v>
      </c>
      <c r="G808" s="1" t="str">
        <f>IFERROR(VLOOKUP(F808,'RM Cost'!A:B,2,0),"")</f>
        <v>PALE BLUE BAG 470X750MM</v>
      </c>
      <c r="H808" s="2" t="s">
        <v>1323</v>
      </c>
      <c r="I808" s="1" t="str">
        <f>VLOOKUP(F808,'RM Used'!B:D,3,0)</f>
        <v>RM-PACKING</v>
      </c>
      <c r="J808" s="66">
        <v>1</v>
      </c>
      <c r="K808" s="35" t="str">
        <f t="shared" si="246"/>
        <v/>
      </c>
      <c r="L808" s="35">
        <f t="shared" si="234"/>
        <v>0</v>
      </c>
      <c r="M808" s="77" t="str" cm="1">
        <f t="array" ref="M808">_xlfn.IFS(BOM!I808="RM-PACKING","100%",B808="Reynolds",VLOOKUP(H808,'Yield &amp; Time'!A:V,22,0),BOM!B808="Dnata",VLOOKUP(BOM!H808,'Yield &amp; Time'!A:M,13,0),B808="NK",VLOOKUP(H808,'Yield &amp; Time'!A:X,24,0))</f>
        <v>100%</v>
      </c>
      <c r="N808" s="35">
        <f t="shared" si="245"/>
        <v>1</v>
      </c>
      <c r="O808" s="1" t="str">
        <f>VLOOKUP(H808,'RM Used'!A:E,5,0)</f>
        <v>Count</v>
      </c>
      <c r="P808" s="11">
        <f>VLOOKUP(H808,'RM Used'!A:F,6,0)</f>
        <v>0.14000000000000001</v>
      </c>
      <c r="Q808" s="11">
        <f t="shared" si="243"/>
        <v>0.14000000000000001</v>
      </c>
      <c r="R808" s="11">
        <f>IFERROR(IF(B808="Reynolds",VLOOKUP(H808,'Yield &amp; Time'!A:U,21,0),VLOOKUP(H808,'Yield &amp; Time'!A:L,12,0)),0)</f>
        <v>0</v>
      </c>
      <c r="S808" s="11">
        <f t="shared" si="235"/>
        <v>0</v>
      </c>
      <c r="T808" s="11">
        <f t="shared" si="236"/>
        <v>0</v>
      </c>
      <c r="U808" s="11">
        <f>IF(A807=A808,0,VLOOKUP(A808,'Packing Time'!A:F,6,0))</f>
        <v>0</v>
      </c>
      <c r="V808" s="11">
        <f t="shared" si="247"/>
        <v>0</v>
      </c>
      <c r="W808" s="11">
        <f t="shared" si="248"/>
        <v>0</v>
      </c>
      <c r="X808" s="11">
        <f t="shared" si="237"/>
        <v>0</v>
      </c>
      <c r="Y808" s="11">
        <f t="shared" si="249"/>
        <v>0</v>
      </c>
      <c r="Z808" s="37">
        <v>1</v>
      </c>
      <c r="AA808" s="36">
        <f t="shared" si="238"/>
        <v>1</v>
      </c>
      <c r="AB808" s="36">
        <f t="shared" si="239"/>
        <v>0.14000000000000001</v>
      </c>
      <c r="AC808" s="11">
        <f t="shared" si="240"/>
        <v>0</v>
      </c>
      <c r="AD808" s="36">
        <f t="shared" si="250"/>
        <v>0</v>
      </c>
      <c r="AE808" s="36"/>
      <c r="AF808" s="36">
        <f>IFERROR(VLOOKUP(AE808,'Chemical Cost'!A:D,4,0),0)</f>
        <v>0</v>
      </c>
      <c r="AG808" s="114">
        <f t="shared" si="241"/>
        <v>0</v>
      </c>
      <c r="AH808" s="36">
        <f t="shared" si="244"/>
        <v>0</v>
      </c>
      <c r="AI808" s="36">
        <f t="shared" si="251"/>
        <v>0.14000000000000001</v>
      </c>
      <c r="AJ808" s="36">
        <f>IFERROR(VLOOKUP(A808,'All Products'!A:F,6,0),0)</f>
        <v>16.23</v>
      </c>
      <c r="AK808" s="36"/>
      <c r="AL808" s="23">
        <v>0.8</v>
      </c>
      <c r="AM808" s="23">
        <v>0.2</v>
      </c>
      <c r="AN808" s="54" t="e">
        <v>#N/A</v>
      </c>
      <c r="AO808" s="47"/>
      <c r="AP808" s="4">
        <v>1.6</v>
      </c>
      <c r="AQ808" s="111">
        <f t="shared" si="242"/>
        <v>0</v>
      </c>
      <c r="AR808">
        <f>_xlfn.XLOOKUP(F808,'RM Cost'!A:A,'RM Cost'!S:S)</f>
        <v>0</v>
      </c>
      <c r="AS808" t="e">
        <f>_xlfn.XLOOKUP(A808,[3]Sheet1!$B:$B,[3]Sheet1!$B:$B)</f>
        <v>#N/A</v>
      </c>
    </row>
    <row r="809" spans="1:46" x14ac:dyDescent="0.25">
      <c r="A809" s="2" t="s">
        <v>861</v>
      </c>
      <c r="B809" s="2" t="s">
        <v>656</v>
      </c>
      <c r="C809" s="2" t="s">
        <v>862</v>
      </c>
      <c r="D809" s="2" t="s">
        <v>554</v>
      </c>
      <c r="E809" s="2">
        <v>1</v>
      </c>
      <c r="F809" s="1" t="str">
        <f>VLOOKUP(H809,'RM Used'!A:B,2,0)</f>
        <v>3565CS</v>
      </c>
      <c r="G809" s="1" t="str">
        <f>IFERROR(VLOOKUP(F809,'RM Cost'!A:B,2,0),"")</f>
        <v>RM - PEPPERS GREEN  X 5KG</v>
      </c>
      <c r="H809" s="2" t="s">
        <v>1417</v>
      </c>
      <c r="I809" s="1" t="str">
        <f>VLOOKUP(F809,'RM Used'!B:D,3,0)</f>
        <v>RM-FOOD</v>
      </c>
      <c r="J809" s="66">
        <v>0.33</v>
      </c>
      <c r="K809" s="35">
        <f t="shared" si="246"/>
        <v>0.33</v>
      </c>
      <c r="L809" s="35">
        <f t="shared" si="234"/>
        <v>0.33</v>
      </c>
      <c r="M809" s="77" cm="1">
        <f t="array" ref="M809">_xlfn.IFS(BOM!I809="RM-PACKING","100%",B809="Reynolds",VLOOKUP(H809,'Yield &amp; Time'!A:V,22,0),BOM!B809="Dnata",VLOOKUP(BOM!H809,'Yield &amp; Time'!A:M,13,0),B809="NK",VLOOKUP(H809,'Yield &amp; Time'!A:X,24,0))</f>
        <v>0.45254779411764695</v>
      </c>
      <c r="N809" s="35">
        <f t="shared" si="245"/>
        <v>0.72920474762984111</v>
      </c>
      <c r="O809" s="1" t="str">
        <f>VLOOKUP(H809,'RM Used'!A:E,5,0)</f>
        <v>KG</v>
      </c>
      <c r="P809" s="11">
        <f>VLOOKUP(H809,'RM Used'!A:F,6,0)</f>
        <v>1.76</v>
      </c>
      <c r="Q809" s="11">
        <f t="shared" si="243"/>
        <v>1.2834003558285203</v>
      </c>
      <c r="R809" s="11">
        <f>IFERROR(IF(B809="Reynolds",VLOOKUP(H809,'Yield &amp; Time'!A:U,21,0),VLOOKUP(H809,'Yield &amp; Time'!A:L,12,0)),0)</f>
        <v>4.505319148936171</v>
      </c>
      <c r="S809" s="11">
        <f t="shared" si="235"/>
        <v>0.50326667553191495</v>
      </c>
      <c r="T809" s="11">
        <f t="shared" si="236"/>
        <v>2.477925531914894E-2</v>
      </c>
      <c r="U809" s="11">
        <f>IF(A808=A809,0,VLOOKUP(A809,'Packing Time'!A:F,6,0))</f>
        <v>0.64166666666666661</v>
      </c>
      <c r="V809" s="11">
        <f t="shared" si="247"/>
        <v>0.21720416666666661</v>
      </c>
      <c r="W809" s="11">
        <f t="shared" si="248"/>
        <v>1.0694444444444444E-2</v>
      </c>
      <c r="X809" s="11">
        <f t="shared" si="237"/>
        <v>1.1527533475177305</v>
      </c>
      <c r="Y809" s="11">
        <f t="shared" si="249"/>
        <v>1.1527533475177305</v>
      </c>
      <c r="Z809" s="37">
        <v>1</v>
      </c>
      <c r="AA809" s="36">
        <f t="shared" si="238"/>
        <v>0.72920474762984111</v>
      </c>
      <c r="AB809" s="36">
        <f t="shared" si="239"/>
        <v>1.2834003558285203</v>
      </c>
      <c r="AC809" s="11">
        <f t="shared" si="240"/>
        <v>5.6757919621749413E-2</v>
      </c>
      <c r="AD809" s="36">
        <f t="shared" si="250"/>
        <v>1.1527533475177305</v>
      </c>
      <c r="AE809" s="36" t="str">
        <f>VLOOKUP(H809,'Yield &amp; Time'!A:I,9,0)</f>
        <v>CHLORINE</v>
      </c>
      <c r="AF809" s="36">
        <f>IFERROR(VLOOKUP(AE809,'Chemical Cost'!A:D,4,0),0)</f>
        <v>2.7756518066439469E-2</v>
      </c>
      <c r="AG809" s="114">
        <f t="shared" si="241"/>
        <v>6.7467282505737055E-3</v>
      </c>
      <c r="AH809" s="36">
        <f t="shared" si="244"/>
        <v>6.7467282505737055E-3</v>
      </c>
      <c r="AI809" s="36">
        <f t="shared" si="251"/>
        <v>2.4429004315968244</v>
      </c>
      <c r="AJ809" s="36">
        <f>IFERROR(VLOOKUP(A809,'All Products'!A:F,6,0),0)</f>
        <v>8.44</v>
      </c>
      <c r="AK809" s="36">
        <f>AJ809*Z809*J809</f>
        <v>2.7852000000000001</v>
      </c>
      <c r="AL809" s="23">
        <v>0.8</v>
      </c>
      <c r="AM809" s="23">
        <v>0.2</v>
      </c>
      <c r="AN809" s="54" t="e">
        <v>#N/A</v>
      </c>
      <c r="AO809" s="47"/>
      <c r="AP809" s="4">
        <v>1.6</v>
      </c>
      <c r="AQ809" s="111">
        <f t="shared" si="242"/>
        <v>5.6757919621749413E-2</v>
      </c>
      <c r="AR809">
        <f>_xlfn.XLOOKUP(F809,'RM Cost'!A:A,'RM Cost'!S:S)</f>
        <v>0</v>
      </c>
      <c r="AS809" t="str">
        <f>_xlfn.XLOOKUP(A809,[3]Sheet1!$B:$B,[3]Sheet1!$B:$B)</f>
        <v>Z189CS</v>
      </c>
      <c r="AT809">
        <f>_xlfn.XLOOKUP(H809,'Yield &amp; Time'!A:A,'Yield &amp; Time'!F:F)</f>
        <v>0</v>
      </c>
    </row>
    <row r="810" spans="1:46" x14ac:dyDescent="0.25">
      <c r="A810" s="2" t="s">
        <v>861</v>
      </c>
      <c r="B810" s="2" t="s">
        <v>656</v>
      </c>
      <c r="C810" s="2" t="s">
        <v>862</v>
      </c>
      <c r="D810" s="2" t="s">
        <v>554</v>
      </c>
      <c r="E810" s="2">
        <v>1</v>
      </c>
      <c r="F810" s="1" t="str">
        <f>VLOOKUP(H810,'RM Used'!A:B,2,0)</f>
        <v>3566CS</v>
      </c>
      <c r="G810" s="1" t="str">
        <f>IFERROR(VLOOKUP(F810,'RM Cost'!A:B,2,0),"")</f>
        <v>PEPPERS RED X 5KG</v>
      </c>
      <c r="H810" s="2" t="s">
        <v>1418</v>
      </c>
      <c r="I810" s="1" t="str">
        <f>VLOOKUP(F810,'RM Used'!B:D,3,0)</f>
        <v>RM-FOOD</v>
      </c>
      <c r="J810" s="66">
        <v>0.34</v>
      </c>
      <c r="K810" s="35">
        <f t="shared" si="246"/>
        <v>0.34</v>
      </c>
      <c r="L810" s="35">
        <f t="shared" si="234"/>
        <v>0.34</v>
      </c>
      <c r="M810" s="77" cm="1">
        <f t="array" ref="M810">_xlfn.IFS(BOM!I810="RM-PACKING","100%",B810="Reynolds",VLOOKUP(H810,'Yield &amp; Time'!A:V,22,0),BOM!B810="Dnata",VLOOKUP(BOM!H810,'Yield &amp; Time'!A:M,13,0),B810="NK",VLOOKUP(H810,'Yield &amp; Time'!A:X,24,0))</f>
        <v>0.45254779411764695</v>
      </c>
      <c r="N810" s="35">
        <f t="shared" si="245"/>
        <v>0.75130186119438169</v>
      </c>
      <c r="O810" s="1" t="str">
        <f>VLOOKUP(H810,'RM Used'!A:E,5,0)</f>
        <v>KG</v>
      </c>
      <c r="P810" s="11">
        <f>VLOOKUP(H810,'RM Used'!A:F,6,0)</f>
        <v>1.72</v>
      </c>
      <c r="Q810" s="11">
        <f t="shared" si="243"/>
        <v>1.2922392012543364</v>
      </c>
      <c r="R810" s="11">
        <f>IFERROR(IF(B810="Reynolds",VLOOKUP(H810,'Yield &amp; Time'!A:U,21,0),VLOOKUP(H810,'Yield &amp; Time'!A:L,12,0)),0)</f>
        <v>4.505319148936171</v>
      </c>
      <c r="S810" s="11">
        <f t="shared" si="235"/>
        <v>0.51851718085106391</v>
      </c>
      <c r="T810" s="11">
        <f t="shared" si="236"/>
        <v>2.5530141843971635E-2</v>
      </c>
      <c r="U810" s="11">
        <f>IF(A809=A810,0,VLOOKUP(A810,'Packing Time'!A:F,6,0))</f>
        <v>0</v>
      </c>
      <c r="V810" s="11">
        <f t="shared" si="247"/>
        <v>0</v>
      </c>
      <c r="W810" s="11">
        <f t="shared" si="248"/>
        <v>0</v>
      </c>
      <c r="X810" s="11">
        <f t="shared" si="237"/>
        <v>0.82962748936170227</v>
      </c>
      <c r="Y810" s="11">
        <f t="shared" si="249"/>
        <v>0.82962748936170227</v>
      </c>
      <c r="Z810" s="37">
        <v>1</v>
      </c>
      <c r="AA810" s="36">
        <f t="shared" si="238"/>
        <v>0.75130186119438169</v>
      </c>
      <c r="AB810" s="36">
        <f t="shared" si="239"/>
        <v>1.2922392012543364</v>
      </c>
      <c r="AC810" s="11">
        <f t="shared" si="240"/>
        <v>4.0848226950354616E-2</v>
      </c>
      <c r="AD810" s="36">
        <f t="shared" si="250"/>
        <v>0.82962748936170216</v>
      </c>
      <c r="AE810" s="36" t="str">
        <f>VLOOKUP(H810,'Yield &amp; Time'!A:I,9,0)</f>
        <v>CHLORINE</v>
      </c>
      <c r="AF810" s="36">
        <f>IFERROR(VLOOKUP(AE810,'Chemical Cost'!A:D,4,0),0)</f>
        <v>2.7756518066439469E-2</v>
      </c>
      <c r="AG810" s="114">
        <f t="shared" si="241"/>
        <v>6.9511745611971513E-3</v>
      </c>
      <c r="AH810" s="36">
        <f t="shared" si="244"/>
        <v>6.9511745611971513E-3</v>
      </c>
      <c r="AI810" s="36">
        <f t="shared" si="251"/>
        <v>2.1288178651772358</v>
      </c>
      <c r="AJ810" s="36">
        <f>IFERROR(VLOOKUP(A810,'All Products'!A:F,6,0),0)</f>
        <v>8.44</v>
      </c>
      <c r="AK810" s="36">
        <f>AJ810*Z810*J810</f>
        <v>2.8696000000000002</v>
      </c>
      <c r="AL810" s="23">
        <v>0.8</v>
      </c>
      <c r="AM810" s="23">
        <v>0.2</v>
      </c>
      <c r="AN810" s="54" t="e">
        <v>#N/A</v>
      </c>
      <c r="AO810" s="47"/>
      <c r="AP810" s="4">
        <v>1.6</v>
      </c>
      <c r="AQ810" s="111">
        <f t="shared" si="242"/>
        <v>4.0848226950354616E-2</v>
      </c>
      <c r="AR810">
        <f>_xlfn.XLOOKUP(F810,'RM Cost'!A:A,'RM Cost'!S:S)</f>
        <v>0</v>
      </c>
      <c r="AS810" t="str">
        <f>_xlfn.XLOOKUP(A810,[3]Sheet1!$B:$B,[3]Sheet1!$B:$B)</f>
        <v>Z189CS</v>
      </c>
      <c r="AT810">
        <f>_xlfn.XLOOKUP(H810,'Yield &amp; Time'!A:A,'Yield &amp; Time'!F:F)</f>
        <v>0</v>
      </c>
    </row>
    <row r="811" spans="1:46" x14ac:dyDescent="0.25">
      <c r="A811" s="2" t="s">
        <v>861</v>
      </c>
      <c r="B811" s="2" t="s">
        <v>656</v>
      </c>
      <c r="C811" s="2" t="s">
        <v>862</v>
      </c>
      <c r="D811" s="2" t="s">
        <v>554</v>
      </c>
      <c r="E811" s="2">
        <v>1</v>
      </c>
      <c r="F811" s="1" t="str">
        <f>VLOOKUP(H811,'RM Used'!A:B,2,0)</f>
        <v>3567CS</v>
      </c>
      <c r="G811" s="1" t="str">
        <f>IFERROR(VLOOKUP(F811,'RM Cost'!A:B,2,0),"")</f>
        <v>RM - PEPPERS YELLOW  X 5KG</v>
      </c>
      <c r="H811" s="2" t="s">
        <v>1419</v>
      </c>
      <c r="I811" s="1" t="str">
        <f>VLOOKUP(F811,'RM Used'!B:D,3,0)</f>
        <v>RM-FOOD</v>
      </c>
      <c r="J811" s="66">
        <v>0.33</v>
      </c>
      <c r="K811" s="35">
        <f t="shared" si="246"/>
        <v>0.33</v>
      </c>
      <c r="L811" s="35">
        <f t="shared" si="234"/>
        <v>0.33</v>
      </c>
      <c r="M811" s="77" cm="1">
        <f t="array" ref="M811">_xlfn.IFS(BOM!I811="RM-PACKING","100%",B811="Reynolds",VLOOKUP(H811,'Yield &amp; Time'!A:V,22,0),BOM!B811="Dnata",VLOOKUP(BOM!H811,'Yield &amp; Time'!A:M,13,0),B811="NK",VLOOKUP(H811,'Yield &amp; Time'!A:X,24,0))</f>
        <v>0.45254779411764695</v>
      </c>
      <c r="N811" s="35">
        <f t="shared" si="245"/>
        <v>0.72920474762984111</v>
      </c>
      <c r="O811" s="1" t="str">
        <f>VLOOKUP(H811,'RM Used'!A:E,5,0)</f>
        <v>KG</v>
      </c>
      <c r="P811" s="11">
        <f>VLOOKUP(H811,'RM Used'!A:F,6,0)</f>
        <v>1.68</v>
      </c>
      <c r="Q811" s="11">
        <f t="shared" si="243"/>
        <v>1.225063976018133</v>
      </c>
      <c r="R811" s="11">
        <f>IFERROR(IF(B811="Reynolds",VLOOKUP(H811,'Yield &amp; Time'!A:U,21,0),VLOOKUP(H811,'Yield &amp; Time'!A:L,12,0)),0)</f>
        <v>4.505319148936171</v>
      </c>
      <c r="S811" s="11">
        <f t="shared" si="235"/>
        <v>0.50326667553191495</v>
      </c>
      <c r="T811" s="11">
        <f t="shared" si="236"/>
        <v>2.477925531914894E-2</v>
      </c>
      <c r="U811" s="11">
        <f>IF(A810=A811,0,VLOOKUP(A811,'Packing Time'!A:F,6,0))</f>
        <v>0</v>
      </c>
      <c r="V811" s="11">
        <f t="shared" si="247"/>
        <v>0</v>
      </c>
      <c r="W811" s="11">
        <f t="shared" si="248"/>
        <v>0</v>
      </c>
      <c r="X811" s="11">
        <f t="shared" si="237"/>
        <v>0.80522668085106397</v>
      </c>
      <c r="Y811" s="11">
        <f t="shared" si="249"/>
        <v>0.80522668085106397</v>
      </c>
      <c r="Z811" s="37">
        <v>1</v>
      </c>
      <c r="AA811" s="36">
        <f t="shared" si="238"/>
        <v>0.72920474762984111</v>
      </c>
      <c r="AB811" s="36">
        <f t="shared" si="239"/>
        <v>1.225063976018133</v>
      </c>
      <c r="AC811" s="11">
        <f t="shared" si="240"/>
        <v>3.9646808510638308E-2</v>
      </c>
      <c r="AD811" s="36">
        <f t="shared" si="250"/>
        <v>0.80522668085106397</v>
      </c>
      <c r="AE811" s="36" t="str">
        <f>VLOOKUP(H811,'Yield &amp; Time'!A:I,9,0)</f>
        <v>CHLORINE</v>
      </c>
      <c r="AF811" s="36">
        <f>IFERROR(VLOOKUP(AE811,'Chemical Cost'!A:D,4,0),0)</f>
        <v>2.7756518066439469E-2</v>
      </c>
      <c r="AG811" s="114">
        <f t="shared" si="241"/>
        <v>6.7467282505737055E-3</v>
      </c>
      <c r="AH811" s="36">
        <f t="shared" si="244"/>
        <v>6.7467282505737055E-3</v>
      </c>
      <c r="AI811" s="36">
        <f t="shared" si="251"/>
        <v>2.0370373851197709</v>
      </c>
      <c r="AJ811" s="36">
        <f>IFERROR(VLOOKUP(A811,'All Products'!A:F,6,0),0)</f>
        <v>8.44</v>
      </c>
      <c r="AK811" s="36">
        <f>AJ811*Z811*J811</f>
        <v>2.7852000000000001</v>
      </c>
      <c r="AL811" s="23">
        <v>0.8</v>
      </c>
      <c r="AM811" s="23">
        <v>0.2</v>
      </c>
      <c r="AN811" s="54" t="e">
        <v>#N/A</v>
      </c>
      <c r="AO811" s="47"/>
      <c r="AP811" s="4">
        <v>1.6</v>
      </c>
      <c r="AQ811" s="111">
        <f t="shared" si="242"/>
        <v>3.9646808510638308E-2</v>
      </c>
      <c r="AR811">
        <f>_xlfn.XLOOKUP(F811,'RM Cost'!A:A,'RM Cost'!S:S)</f>
        <v>0</v>
      </c>
      <c r="AS811" t="str">
        <f>_xlfn.XLOOKUP(A811,[3]Sheet1!$B:$B,[3]Sheet1!$B:$B)</f>
        <v>Z189CS</v>
      </c>
      <c r="AT811">
        <f>_xlfn.XLOOKUP(H811,'Yield &amp; Time'!A:A,'Yield &amp; Time'!F:F)</f>
        <v>0</v>
      </c>
    </row>
    <row r="812" spans="1:46" x14ac:dyDescent="0.25">
      <c r="A812" s="2" t="s">
        <v>861</v>
      </c>
      <c r="B812" s="2" t="s">
        <v>656</v>
      </c>
      <c r="C812" s="2" t="s">
        <v>862</v>
      </c>
      <c r="D812" s="2" t="s">
        <v>554</v>
      </c>
      <c r="E812" s="2">
        <v>1</v>
      </c>
      <c r="F812" s="1" t="str">
        <f>VLOOKUP(H812,'RM Used'!A:B,2,0)</f>
        <v>P0008</v>
      </c>
      <c r="G812" s="1" t="str">
        <f>IFERROR(VLOOKUP(F812,'RM Cost'!A:B,2,0),"")</f>
        <v>PALE BLUE BAG 470X750MM</v>
      </c>
      <c r="H812" s="2" t="s">
        <v>1323</v>
      </c>
      <c r="I812" s="1" t="str">
        <f>VLOOKUP(F812,'RM Used'!B:D,3,0)</f>
        <v>RM-PACKING</v>
      </c>
      <c r="J812" s="66">
        <v>1</v>
      </c>
      <c r="K812" s="35" t="str">
        <f t="shared" si="246"/>
        <v/>
      </c>
      <c r="L812" s="35">
        <f t="shared" si="234"/>
        <v>0</v>
      </c>
      <c r="M812" s="77" t="str" cm="1">
        <f t="array" ref="M812">_xlfn.IFS(BOM!I812="RM-PACKING","100%",B812="Reynolds",VLOOKUP(H812,'Yield &amp; Time'!A:V,22,0),BOM!B812="Dnata",VLOOKUP(BOM!H812,'Yield &amp; Time'!A:M,13,0),B812="NK",VLOOKUP(H812,'Yield &amp; Time'!A:X,24,0))</f>
        <v>100%</v>
      </c>
      <c r="N812" s="35">
        <f t="shared" si="245"/>
        <v>1</v>
      </c>
      <c r="O812" s="1" t="str">
        <f>VLOOKUP(H812,'RM Used'!A:E,5,0)</f>
        <v>Count</v>
      </c>
      <c r="P812" s="11">
        <f>VLOOKUP(H812,'RM Used'!A:F,6,0)</f>
        <v>0.14000000000000001</v>
      </c>
      <c r="Q812" s="11">
        <f t="shared" si="243"/>
        <v>0.14000000000000001</v>
      </c>
      <c r="R812" s="11">
        <f>IFERROR(IF(B812="Reynolds",VLOOKUP(H812,'Yield &amp; Time'!A:U,21,0),VLOOKUP(H812,'Yield &amp; Time'!A:L,12,0)),0)</f>
        <v>0</v>
      </c>
      <c r="S812" s="11">
        <f t="shared" si="235"/>
        <v>0</v>
      </c>
      <c r="T812" s="11">
        <f t="shared" si="236"/>
        <v>0</v>
      </c>
      <c r="U812" s="11">
        <f>IF(A811=A812,0,VLOOKUP(A812,'Packing Time'!A:F,6,0))</f>
        <v>0</v>
      </c>
      <c r="V812" s="11">
        <f t="shared" si="247"/>
        <v>0</v>
      </c>
      <c r="W812" s="11">
        <f t="shared" si="248"/>
        <v>0</v>
      </c>
      <c r="X812" s="11">
        <f t="shared" si="237"/>
        <v>0</v>
      </c>
      <c r="Y812" s="11">
        <f t="shared" si="249"/>
        <v>0</v>
      </c>
      <c r="Z812" s="37">
        <v>1</v>
      </c>
      <c r="AA812" s="36">
        <f t="shared" si="238"/>
        <v>1</v>
      </c>
      <c r="AB812" s="36">
        <f t="shared" si="239"/>
        <v>0.14000000000000001</v>
      </c>
      <c r="AC812" s="11">
        <f t="shared" si="240"/>
        <v>0</v>
      </c>
      <c r="AD812" s="36">
        <f t="shared" si="250"/>
        <v>0</v>
      </c>
      <c r="AE812" s="36"/>
      <c r="AF812" s="36">
        <f>IFERROR(VLOOKUP(AE812,'Chemical Cost'!A:D,4,0),0)</f>
        <v>0</v>
      </c>
      <c r="AG812" s="114">
        <f t="shared" si="241"/>
        <v>0</v>
      </c>
      <c r="AH812" s="36">
        <f t="shared" si="244"/>
        <v>0</v>
      </c>
      <c r="AI812" s="36">
        <f t="shared" si="251"/>
        <v>0.14000000000000001</v>
      </c>
      <c r="AJ812" s="36">
        <f>IFERROR(VLOOKUP(A812,'All Products'!A:F,6,0),0)</f>
        <v>8.44</v>
      </c>
      <c r="AK812" s="36"/>
      <c r="AL812" s="23">
        <v>0.8</v>
      </c>
      <c r="AM812" s="23">
        <v>0.2</v>
      </c>
      <c r="AN812" s="54" t="e">
        <v>#N/A</v>
      </c>
      <c r="AO812" s="47"/>
      <c r="AP812" s="4">
        <v>1.6</v>
      </c>
      <c r="AQ812" s="111">
        <f t="shared" si="242"/>
        <v>0</v>
      </c>
      <c r="AR812">
        <f>_xlfn.XLOOKUP(F812,'RM Cost'!A:A,'RM Cost'!S:S)</f>
        <v>0</v>
      </c>
      <c r="AS812" t="str">
        <f>_xlfn.XLOOKUP(A812,[3]Sheet1!$B:$B,[3]Sheet1!$B:$B)</f>
        <v>Z189CS</v>
      </c>
      <c r="AT812" t="e">
        <f>_xlfn.XLOOKUP(H812,'Yield &amp; Time'!A:A,'Yield &amp; Time'!F:F)</f>
        <v>#N/A</v>
      </c>
    </row>
    <row r="813" spans="1:46" x14ac:dyDescent="0.25">
      <c r="A813" s="2" t="s">
        <v>863</v>
      </c>
      <c r="B813" s="2" t="s">
        <v>656</v>
      </c>
      <c r="C813" s="2" t="s">
        <v>864</v>
      </c>
      <c r="D813" s="2" t="s">
        <v>554</v>
      </c>
      <c r="E813" s="2">
        <v>2.5</v>
      </c>
      <c r="F813" s="1" t="str">
        <f>VLOOKUP(H813,'RM Used'!A:B,2,0)</f>
        <v>3565CS</v>
      </c>
      <c r="G813" s="1" t="str">
        <f>IFERROR(VLOOKUP(F813,'RM Cost'!A:B,2,0),"")</f>
        <v>RM - PEPPERS GREEN  X 5KG</v>
      </c>
      <c r="H813" s="2" t="s">
        <v>1417</v>
      </c>
      <c r="I813" s="1" t="str">
        <f>VLOOKUP(F813,'RM Used'!B:D,3,0)</f>
        <v>RM-FOOD</v>
      </c>
      <c r="J813" s="66">
        <v>0.33</v>
      </c>
      <c r="K813" s="35">
        <f t="shared" si="246"/>
        <v>0.82500000000000007</v>
      </c>
      <c r="L813" s="35">
        <f t="shared" si="234"/>
        <v>0.82500000000000007</v>
      </c>
      <c r="M813" s="77" cm="1">
        <f t="array" ref="M813">_xlfn.IFS(BOM!I813="RM-PACKING","100%",B813="Reynolds",VLOOKUP(H813,'Yield &amp; Time'!A:V,22,0),BOM!B813="Dnata",VLOOKUP(BOM!H813,'Yield &amp; Time'!A:M,13,0),B813="NK",VLOOKUP(H813,'Yield &amp; Time'!A:X,24,0))</f>
        <v>0.45254779411764695</v>
      </c>
      <c r="N813" s="35">
        <f t="shared" si="245"/>
        <v>1.8230118690746027</v>
      </c>
      <c r="O813" s="1" t="str">
        <f>VLOOKUP(H813,'RM Used'!A:E,5,0)</f>
        <v>KG</v>
      </c>
      <c r="P813" s="11">
        <f>VLOOKUP(H813,'RM Used'!A:F,6,0)</f>
        <v>1.76</v>
      </c>
      <c r="Q813" s="11">
        <f t="shared" si="243"/>
        <v>3.2085008895713005</v>
      </c>
      <c r="R813" s="11">
        <f>IFERROR(IF(B813="Reynolds",VLOOKUP(H813,'Yield &amp; Time'!A:U,21,0),VLOOKUP(H813,'Yield &amp; Time'!A:L,12,0)),0)</f>
        <v>4.505319148936171</v>
      </c>
      <c r="S813" s="11">
        <f t="shared" si="235"/>
        <v>1.2581666888297873</v>
      </c>
      <c r="T813" s="11">
        <f t="shared" si="236"/>
        <v>6.1948138297872352E-2</v>
      </c>
      <c r="U813" s="11">
        <f>IF(A812=A813,0,VLOOKUP(A813,'Packing Time'!A:F,6,0))</f>
        <v>0.875</v>
      </c>
      <c r="V813" s="11">
        <f t="shared" si="247"/>
        <v>0.29618749999999999</v>
      </c>
      <c r="W813" s="11">
        <f t="shared" si="248"/>
        <v>1.4583333333333334E-2</v>
      </c>
      <c r="X813" s="11">
        <f t="shared" si="237"/>
        <v>2.4869667021276598</v>
      </c>
      <c r="Y813" s="11">
        <f t="shared" si="249"/>
        <v>2.4869667021276598</v>
      </c>
      <c r="Z813" s="37">
        <v>1</v>
      </c>
      <c r="AA813" s="36">
        <f t="shared" si="238"/>
        <v>1.8230118690746027</v>
      </c>
      <c r="AB813" s="36">
        <f t="shared" si="239"/>
        <v>3.2085008895713005</v>
      </c>
      <c r="AC813" s="11">
        <f t="shared" si="240"/>
        <v>0.1224503546099291</v>
      </c>
      <c r="AD813" s="36">
        <f t="shared" si="250"/>
        <v>2.4869667021276598</v>
      </c>
      <c r="AE813" s="36" t="str">
        <f>VLOOKUP(H813,'Yield &amp; Time'!A:I,9,0)</f>
        <v>CHLORINE</v>
      </c>
      <c r="AF813" s="36">
        <f>IFERROR(VLOOKUP(AE813,'Chemical Cost'!A:D,4,0),0)</f>
        <v>2.7756518066439469E-2</v>
      </c>
      <c r="AG813" s="114">
        <f t="shared" si="241"/>
        <v>1.6866820626434267E-2</v>
      </c>
      <c r="AH813" s="36">
        <f t="shared" si="244"/>
        <v>1.6866820626434267E-2</v>
      </c>
      <c r="AI813" s="36">
        <f t="shared" si="251"/>
        <v>5.7123344123253954</v>
      </c>
      <c r="AJ813" s="36">
        <f>IFERROR(VLOOKUP(A813,'All Products'!A:F,6,0),0)</f>
        <v>21.1</v>
      </c>
      <c r="AK813" s="36">
        <f>AJ813*Z813*J813</f>
        <v>6.963000000000001</v>
      </c>
      <c r="AL813" s="23">
        <v>0.8</v>
      </c>
      <c r="AM813" s="23">
        <v>0.2</v>
      </c>
      <c r="AN813" s="54" t="e">
        <v>#N/A</v>
      </c>
      <c r="AO813" s="47"/>
      <c r="AP813" s="4">
        <v>1.6</v>
      </c>
      <c r="AQ813" s="111">
        <f t="shared" si="242"/>
        <v>0.1224503546099291</v>
      </c>
      <c r="AR813">
        <f>_xlfn.XLOOKUP(F813,'RM Cost'!A:A,'RM Cost'!S:S)</f>
        <v>0</v>
      </c>
      <c r="AS813" t="e">
        <f>_xlfn.XLOOKUP(A813,[3]Sheet1!$B:$B,[3]Sheet1!$B:$B)</f>
        <v>#N/A</v>
      </c>
    </row>
    <row r="814" spans="1:46" x14ac:dyDescent="0.25">
      <c r="A814" s="2" t="s">
        <v>863</v>
      </c>
      <c r="B814" s="2" t="s">
        <v>656</v>
      </c>
      <c r="C814" s="2" t="s">
        <v>864</v>
      </c>
      <c r="D814" s="2" t="s">
        <v>554</v>
      </c>
      <c r="E814" s="2">
        <v>2.5</v>
      </c>
      <c r="F814" s="1" t="str">
        <f>VLOOKUP(H814,'RM Used'!A:B,2,0)</f>
        <v>3566CS</v>
      </c>
      <c r="G814" s="1" t="str">
        <f>IFERROR(VLOOKUP(F814,'RM Cost'!A:B,2,0),"")</f>
        <v>PEPPERS RED X 5KG</v>
      </c>
      <c r="H814" s="2" t="s">
        <v>1418</v>
      </c>
      <c r="I814" s="1" t="str">
        <f>VLOOKUP(F814,'RM Used'!B:D,3,0)</f>
        <v>RM-FOOD</v>
      </c>
      <c r="J814" s="66">
        <v>0.34</v>
      </c>
      <c r="K814" s="35">
        <f t="shared" si="246"/>
        <v>0.85000000000000009</v>
      </c>
      <c r="L814" s="35">
        <f t="shared" si="234"/>
        <v>0.85000000000000009</v>
      </c>
      <c r="M814" s="77" cm="1">
        <f t="array" ref="M814">_xlfn.IFS(BOM!I814="RM-PACKING","100%",B814="Reynolds",VLOOKUP(H814,'Yield &amp; Time'!A:V,22,0),BOM!B814="Dnata",VLOOKUP(BOM!H814,'Yield &amp; Time'!A:M,13,0),B814="NK",VLOOKUP(H814,'Yield &amp; Time'!A:X,24,0))</f>
        <v>0.45254779411764695</v>
      </c>
      <c r="N814" s="35">
        <f t="shared" si="245"/>
        <v>1.8782546529859543</v>
      </c>
      <c r="O814" s="1" t="str">
        <f>VLOOKUP(H814,'RM Used'!A:E,5,0)</f>
        <v>KG</v>
      </c>
      <c r="P814" s="11">
        <f>VLOOKUP(H814,'RM Used'!A:F,6,0)</f>
        <v>1.72</v>
      </c>
      <c r="Q814" s="11">
        <f t="shared" si="243"/>
        <v>3.2305980031358414</v>
      </c>
      <c r="R814" s="11">
        <f>IFERROR(IF(B814="Reynolds",VLOOKUP(H814,'Yield &amp; Time'!A:U,21,0),VLOOKUP(H814,'Yield &amp; Time'!A:L,12,0)),0)</f>
        <v>4.505319148936171</v>
      </c>
      <c r="S814" s="11">
        <f t="shared" si="235"/>
        <v>1.2962929521276596</v>
      </c>
      <c r="T814" s="11">
        <f t="shared" si="236"/>
        <v>6.382535460992908E-2</v>
      </c>
      <c r="U814" s="11">
        <f>IF(A813=A814,0,VLOOKUP(A814,'Packing Time'!A:F,6,0))</f>
        <v>0</v>
      </c>
      <c r="V814" s="11">
        <f t="shared" si="247"/>
        <v>0</v>
      </c>
      <c r="W814" s="11">
        <f t="shared" si="248"/>
        <v>0</v>
      </c>
      <c r="X814" s="11">
        <f t="shared" si="237"/>
        <v>2.0740687234042556</v>
      </c>
      <c r="Y814" s="11">
        <f t="shared" si="249"/>
        <v>2.0740687234042556</v>
      </c>
      <c r="Z814" s="37">
        <v>1</v>
      </c>
      <c r="AA814" s="36">
        <f t="shared" si="238"/>
        <v>1.8782546529859543</v>
      </c>
      <c r="AB814" s="36">
        <f t="shared" si="239"/>
        <v>3.2305980031358414</v>
      </c>
      <c r="AC814" s="11">
        <f t="shared" si="240"/>
        <v>0.10212056737588654</v>
      </c>
      <c r="AD814" s="36">
        <f t="shared" si="250"/>
        <v>2.0740687234042556</v>
      </c>
      <c r="AE814" s="36" t="str">
        <f>VLOOKUP(H814,'Yield &amp; Time'!A:I,9,0)</f>
        <v>CHLORINE</v>
      </c>
      <c r="AF814" s="36">
        <f>IFERROR(VLOOKUP(AE814,'Chemical Cost'!A:D,4,0),0)</f>
        <v>2.7756518066439469E-2</v>
      </c>
      <c r="AG814" s="114">
        <f t="shared" si="241"/>
        <v>1.7377936402992879E-2</v>
      </c>
      <c r="AH814" s="36">
        <f t="shared" si="244"/>
        <v>1.7377936402992879E-2</v>
      </c>
      <c r="AI814" s="36">
        <f t="shared" si="251"/>
        <v>5.3220446629430898</v>
      </c>
      <c r="AJ814" s="36">
        <f>IFERROR(VLOOKUP(A814,'All Products'!A:F,6,0),0)</f>
        <v>21.1</v>
      </c>
      <c r="AK814" s="36">
        <f>AJ814*Z814*J814</f>
        <v>7.1740000000000013</v>
      </c>
      <c r="AL814" s="23">
        <v>0.8</v>
      </c>
      <c r="AM814" s="23">
        <v>0.2</v>
      </c>
      <c r="AN814" s="54" t="e">
        <v>#N/A</v>
      </c>
      <c r="AO814" s="47"/>
      <c r="AP814" s="4">
        <v>1.6</v>
      </c>
      <c r="AQ814" s="111">
        <f t="shared" si="242"/>
        <v>0.10212056737588654</v>
      </c>
      <c r="AR814">
        <f>_xlfn.XLOOKUP(F814,'RM Cost'!A:A,'RM Cost'!S:S)</f>
        <v>0</v>
      </c>
      <c r="AS814" t="e">
        <f>_xlfn.XLOOKUP(A814,[3]Sheet1!$B:$B,[3]Sheet1!$B:$B)</f>
        <v>#N/A</v>
      </c>
    </row>
    <row r="815" spans="1:46" x14ac:dyDescent="0.25">
      <c r="A815" s="2" t="s">
        <v>863</v>
      </c>
      <c r="B815" s="2" t="s">
        <v>656</v>
      </c>
      <c r="C815" s="2" t="s">
        <v>864</v>
      </c>
      <c r="D815" s="2" t="s">
        <v>554</v>
      </c>
      <c r="E815" s="2">
        <v>2.5</v>
      </c>
      <c r="F815" s="1" t="str">
        <f>VLOOKUP(H815,'RM Used'!A:B,2,0)</f>
        <v>3567CS</v>
      </c>
      <c r="G815" s="1" t="str">
        <f>IFERROR(VLOOKUP(F815,'RM Cost'!A:B,2,0),"")</f>
        <v>RM - PEPPERS YELLOW  X 5KG</v>
      </c>
      <c r="H815" s="2" t="s">
        <v>1419</v>
      </c>
      <c r="I815" s="1" t="str">
        <f>VLOOKUP(F815,'RM Used'!B:D,3,0)</f>
        <v>RM-FOOD</v>
      </c>
      <c r="J815" s="66">
        <v>0.33</v>
      </c>
      <c r="K815" s="35">
        <f t="shared" si="246"/>
        <v>0.82500000000000007</v>
      </c>
      <c r="L815" s="35">
        <f t="shared" si="234"/>
        <v>0.82500000000000007</v>
      </c>
      <c r="M815" s="77" cm="1">
        <f t="array" ref="M815">_xlfn.IFS(BOM!I815="RM-PACKING","100%",B815="Reynolds",VLOOKUP(H815,'Yield &amp; Time'!A:V,22,0),BOM!B815="Dnata",VLOOKUP(BOM!H815,'Yield &amp; Time'!A:M,13,0),B815="NK",VLOOKUP(H815,'Yield &amp; Time'!A:X,24,0))</f>
        <v>0.45254779411764695</v>
      </c>
      <c r="N815" s="35">
        <f t="shared" si="245"/>
        <v>1.8230118690746027</v>
      </c>
      <c r="O815" s="1" t="str">
        <f>VLOOKUP(H815,'RM Used'!A:E,5,0)</f>
        <v>KG</v>
      </c>
      <c r="P815" s="11">
        <f>VLOOKUP(H815,'RM Used'!A:F,6,0)</f>
        <v>1.68</v>
      </c>
      <c r="Q815" s="11">
        <f t="shared" si="243"/>
        <v>3.0626599400453323</v>
      </c>
      <c r="R815" s="11">
        <f>IFERROR(IF(B815="Reynolds",VLOOKUP(H815,'Yield &amp; Time'!A:U,21,0),VLOOKUP(H815,'Yield &amp; Time'!A:L,12,0)),0)</f>
        <v>4.505319148936171</v>
      </c>
      <c r="S815" s="11">
        <f t="shared" si="235"/>
        <v>1.2581666888297873</v>
      </c>
      <c r="T815" s="11">
        <f t="shared" si="236"/>
        <v>6.1948138297872352E-2</v>
      </c>
      <c r="U815" s="11">
        <f>IF(A814=A815,0,VLOOKUP(A815,'Packing Time'!A:F,6,0))</f>
        <v>0</v>
      </c>
      <c r="V815" s="11">
        <f t="shared" si="247"/>
        <v>0</v>
      </c>
      <c r="W815" s="11">
        <f t="shared" si="248"/>
        <v>0</v>
      </c>
      <c r="X815" s="11">
        <f t="shared" si="237"/>
        <v>2.0130667021276598</v>
      </c>
      <c r="Y815" s="11">
        <f t="shared" si="249"/>
        <v>2.0130667021276598</v>
      </c>
      <c r="Z815" s="37">
        <v>1</v>
      </c>
      <c r="AA815" s="36">
        <f t="shared" si="238"/>
        <v>1.8230118690746027</v>
      </c>
      <c r="AB815" s="36">
        <f t="shared" si="239"/>
        <v>3.0626599400453323</v>
      </c>
      <c r="AC815" s="11">
        <f t="shared" si="240"/>
        <v>9.9117021276595774E-2</v>
      </c>
      <c r="AD815" s="36">
        <f t="shared" si="250"/>
        <v>2.0130667021276603</v>
      </c>
      <c r="AE815" s="36" t="str">
        <f>VLOOKUP(H815,'Yield &amp; Time'!A:I,9,0)</f>
        <v>CHLORINE</v>
      </c>
      <c r="AF815" s="36">
        <f>IFERROR(VLOOKUP(AE815,'Chemical Cost'!A:D,4,0),0)</f>
        <v>2.7756518066439469E-2</v>
      </c>
      <c r="AG815" s="114">
        <f t="shared" si="241"/>
        <v>1.6866820626434267E-2</v>
      </c>
      <c r="AH815" s="36">
        <f t="shared" si="244"/>
        <v>1.6866820626434267E-2</v>
      </c>
      <c r="AI815" s="36">
        <f t="shared" si="251"/>
        <v>5.0925934627994263</v>
      </c>
      <c r="AJ815" s="36">
        <f>IFERROR(VLOOKUP(A815,'All Products'!A:F,6,0),0)</f>
        <v>21.1</v>
      </c>
      <c r="AK815" s="36">
        <f>AJ815*Z815*J815</f>
        <v>6.963000000000001</v>
      </c>
      <c r="AL815" s="23">
        <v>0.8</v>
      </c>
      <c r="AM815" s="23">
        <v>0.2</v>
      </c>
      <c r="AN815" s="54" t="e">
        <v>#N/A</v>
      </c>
      <c r="AO815" s="47"/>
      <c r="AP815" s="4">
        <v>1.6</v>
      </c>
      <c r="AQ815" s="111">
        <f t="shared" si="242"/>
        <v>9.9117021276595774E-2</v>
      </c>
      <c r="AR815">
        <f>_xlfn.XLOOKUP(F815,'RM Cost'!A:A,'RM Cost'!S:S)</f>
        <v>0</v>
      </c>
      <c r="AS815" t="e">
        <f>_xlfn.XLOOKUP(A815,[3]Sheet1!$B:$B,[3]Sheet1!$B:$B)</f>
        <v>#N/A</v>
      </c>
    </row>
    <row r="816" spans="1:46" x14ac:dyDescent="0.25">
      <c r="A816" s="2" t="s">
        <v>863</v>
      </c>
      <c r="B816" s="2" t="s">
        <v>656</v>
      </c>
      <c r="C816" s="2" t="s">
        <v>864</v>
      </c>
      <c r="D816" s="2" t="s">
        <v>554</v>
      </c>
      <c r="E816" s="2">
        <v>2.5</v>
      </c>
      <c r="F816" s="1" t="str">
        <f>VLOOKUP(H816,'RM Used'!A:B,2,0)</f>
        <v>P0008</v>
      </c>
      <c r="G816" s="1" t="str">
        <f>IFERROR(VLOOKUP(F816,'RM Cost'!A:B,2,0),"")</f>
        <v>PALE BLUE BAG 470X750MM</v>
      </c>
      <c r="H816" s="2" t="s">
        <v>1323</v>
      </c>
      <c r="I816" s="1" t="str">
        <f>VLOOKUP(F816,'RM Used'!B:D,3,0)</f>
        <v>RM-PACKING</v>
      </c>
      <c r="J816" s="66">
        <v>1</v>
      </c>
      <c r="K816" s="35" t="str">
        <f t="shared" si="246"/>
        <v/>
      </c>
      <c r="L816" s="35">
        <f t="shared" si="234"/>
        <v>0</v>
      </c>
      <c r="M816" s="77" t="str" cm="1">
        <f t="array" ref="M816">_xlfn.IFS(BOM!I816="RM-PACKING","100%",B816="Reynolds",VLOOKUP(H816,'Yield &amp; Time'!A:V,22,0),BOM!B816="Dnata",VLOOKUP(BOM!H816,'Yield &amp; Time'!A:M,13,0),B816="NK",VLOOKUP(H816,'Yield &amp; Time'!A:X,24,0))</f>
        <v>100%</v>
      </c>
      <c r="N816" s="35">
        <f t="shared" si="245"/>
        <v>1</v>
      </c>
      <c r="O816" s="1" t="str">
        <f>VLOOKUP(H816,'RM Used'!A:E,5,0)</f>
        <v>Count</v>
      </c>
      <c r="P816" s="11">
        <f>VLOOKUP(H816,'RM Used'!A:F,6,0)</f>
        <v>0.14000000000000001</v>
      </c>
      <c r="Q816" s="11">
        <f t="shared" si="243"/>
        <v>0.14000000000000001</v>
      </c>
      <c r="R816" s="11">
        <f>IFERROR(IF(B816="Reynolds",VLOOKUP(H816,'Yield &amp; Time'!A:U,21,0),VLOOKUP(H816,'Yield &amp; Time'!A:L,12,0)),0)</f>
        <v>0</v>
      </c>
      <c r="S816" s="11">
        <f t="shared" si="235"/>
        <v>0</v>
      </c>
      <c r="T816" s="11">
        <f t="shared" si="236"/>
        <v>0</v>
      </c>
      <c r="U816" s="11">
        <f>IF(A815=A816,0,VLOOKUP(A816,'Packing Time'!A:F,6,0))</f>
        <v>0</v>
      </c>
      <c r="V816" s="11">
        <f t="shared" si="247"/>
        <v>0</v>
      </c>
      <c r="W816" s="11">
        <f t="shared" si="248"/>
        <v>0</v>
      </c>
      <c r="X816" s="11">
        <f t="shared" si="237"/>
        <v>0</v>
      </c>
      <c r="Y816" s="11">
        <f t="shared" si="249"/>
        <v>0</v>
      </c>
      <c r="Z816" s="37">
        <v>1</v>
      </c>
      <c r="AA816" s="36">
        <f t="shared" si="238"/>
        <v>1</v>
      </c>
      <c r="AB816" s="36">
        <f t="shared" si="239"/>
        <v>0.14000000000000001</v>
      </c>
      <c r="AC816" s="11">
        <f t="shared" si="240"/>
        <v>0</v>
      </c>
      <c r="AD816" s="36">
        <f t="shared" si="250"/>
        <v>0</v>
      </c>
      <c r="AE816" s="36"/>
      <c r="AF816" s="36">
        <f>IFERROR(VLOOKUP(AE816,'Chemical Cost'!A:D,4,0),0)</f>
        <v>0</v>
      </c>
      <c r="AG816" s="114">
        <f t="shared" si="241"/>
        <v>0</v>
      </c>
      <c r="AH816" s="36">
        <f t="shared" si="244"/>
        <v>0</v>
      </c>
      <c r="AI816" s="36">
        <f t="shared" si="251"/>
        <v>0.14000000000000001</v>
      </c>
      <c r="AJ816" s="36">
        <f>IFERROR(VLOOKUP(A816,'All Products'!A:F,6,0),0)</f>
        <v>21.1</v>
      </c>
      <c r="AK816" s="36"/>
      <c r="AL816" s="23">
        <v>0.8</v>
      </c>
      <c r="AM816" s="23">
        <v>0.2</v>
      </c>
      <c r="AN816" s="54" t="e">
        <v>#N/A</v>
      </c>
      <c r="AO816" s="47"/>
      <c r="AP816" s="4">
        <v>1.6</v>
      </c>
      <c r="AQ816" s="111">
        <f t="shared" si="242"/>
        <v>0</v>
      </c>
      <c r="AR816">
        <f>_xlfn.XLOOKUP(F816,'RM Cost'!A:A,'RM Cost'!S:S)</f>
        <v>0</v>
      </c>
      <c r="AS816" t="e">
        <f>_xlfn.XLOOKUP(A816,[3]Sheet1!$B:$B,[3]Sheet1!$B:$B)</f>
        <v>#N/A</v>
      </c>
    </row>
    <row r="817" spans="1:46" x14ac:dyDescent="0.25">
      <c r="A817" s="2" t="s">
        <v>865</v>
      </c>
      <c r="B817" s="2" t="s">
        <v>656</v>
      </c>
      <c r="C817" s="2" t="s">
        <v>866</v>
      </c>
      <c r="D817" s="2" t="s">
        <v>554</v>
      </c>
      <c r="E817" s="2">
        <v>1</v>
      </c>
      <c r="F817" s="1" t="str">
        <f>VLOOKUP(H817,'RM Used'!A:B,2,0)</f>
        <v>3566CS</v>
      </c>
      <c r="G817" s="1" t="str">
        <f>IFERROR(VLOOKUP(F817,'RM Cost'!A:B,2,0),"")</f>
        <v>PEPPERS RED X 5KG</v>
      </c>
      <c r="H817" s="2" t="s">
        <v>1545</v>
      </c>
      <c r="I817" s="1" t="str">
        <f>VLOOKUP(F817,'RM Used'!B:D,3,0)</f>
        <v>RM-FOOD</v>
      </c>
      <c r="J817" s="66">
        <v>1</v>
      </c>
      <c r="K817" s="35">
        <f t="shared" si="246"/>
        <v>1</v>
      </c>
      <c r="L817" s="35">
        <f t="shared" si="234"/>
        <v>1</v>
      </c>
      <c r="M817" s="77" cm="1">
        <f t="array" ref="M817">_xlfn.IFS(BOM!I817="RM-PACKING","100%",B817="Reynolds",VLOOKUP(H817,'Yield &amp; Time'!A:V,22,0),BOM!B817="Dnata",VLOOKUP(BOM!H817,'Yield &amp; Time'!A:M,13,0),B817="NK",VLOOKUP(H817,'Yield &amp; Time'!A:X,24,0))</f>
        <v>0.48507628676470577</v>
      </c>
      <c r="N817" s="35">
        <f t="shared" si="245"/>
        <v>2.0615314070899253</v>
      </c>
      <c r="O817" s="1" t="str">
        <f>VLOOKUP(H817,'RM Used'!A:E,5,0)</f>
        <v>KG</v>
      </c>
      <c r="P817" s="11">
        <f>VLOOKUP(H817,'RM Used'!A:F,6,0)</f>
        <v>1.72</v>
      </c>
      <c r="Q817" s="11">
        <f t="shared" si="243"/>
        <v>3.5458340201946714</v>
      </c>
      <c r="R817" s="11">
        <f>IFERROR(IF(B817="Reynolds",VLOOKUP(H817,'Yield &amp; Time'!A:U,21,0),VLOOKUP(H817,'Yield &amp; Time'!A:L,12,0)),0)</f>
        <v>4.9481315476833352</v>
      </c>
      <c r="S817" s="11">
        <f t="shared" si="235"/>
        <v>1.6749425288908089</v>
      </c>
      <c r="T817" s="11">
        <f t="shared" si="236"/>
        <v>8.2468859128055585E-2</v>
      </c>
      <c r="U817" s="11">
        <f>IF(A816=A817,0,VLOOKUP(A817,'Packing Time'!A:F,6,0))</f>
        <v>0.64166666666666661</v>
      </c>
      <c r="V817" s="11">
        <f t="shared" si="247"/>
        <v>0.21720416666666661</v>
      </c>
      <c r="W817" s="11">
        <f t="shared" si="248"/>
        <v>1.0694444444444444E-2</v>
      </c>
      <c r="X817" s="11">
        <f t="shared" si="237"/>
        <v>3.027434712891961</v>
      </c>
      <c r="Y817" s="11">
        <f t="shared" si="249"/>
        <v>3.027434712891961</v>
      </c>
      <c r="Z817" s="37">
        <v>1</v>
      </c>
      <c r="AA817" s="36">
        <f t="shared" si="238"/>
        <v>2.0615314070899253</v>
      </c>
      <c r="AB817" s="36">
        <f t="shared" si="239"/>
        <v>3.5458340201946714</v>
      </c>
      <c r="AC817" s="11">
        <f t="shared" si="240"/>
        <v>0.14906128571600005</v>
      </c>
      <c r="AD817" s="36">
        <f t="shared" si="250"/>
        <v>3.027434712891961</v>
      </c>
      <c r="AE817" s="36" t="str">
        <f>VLOOKUP(H817,'Yield &amp; Time'!A:I,9,0)</f>
        <v>CHLORINE</v>
      </c>
      <c r="AF817" s="36">
        <f>IFERROR(VLOOKUP(AE817,'Chemical Cost'!A:D,4,0),0)</f>
        <v>2.7756518066439469E-2</v>
      </c>
      <c r="AG817" s="114">
        <f t="shared" si="241"/>
        <v>1.9073644581807964E-2</v>
      </c>
      <c r="AH817" s="36">
        <f t="shared" si="244"/>
        <v>1.9073644581807964E-2</v>
      </c>
      <c r="AI817" s="36">
        <f t="shared" si="251"/>
        <v>6.59234237766844</v>
      </c>
      <c r="AJ817" s="36">
        <f>IFERROR(VLOOKUP(A817,'All Products'!A:F,6,0),0)</f>
        <v>6.3</v>
      </c>
      <c r="AK817" s="36">
        <f>AJ817*Z817*J817</f>
        <v>6.3</v>
      </c>
      <c r="AL817" s="23">
        <v>0.8</v>
      </c>
      <c r="AM817" s="23">
        <v>0.2</v>
      </c>
      <c r="AN817" s="54" t="e">
        <v>#N/A</v>
      </c>
      <c r="AO817" s="47"/>
      <c r="AP817" s="4">
        <v>1.6</v>
      </c>
      <c r="AQ817" s="111">
        <f t="shared" si="242"/>
        <v>0.14906128571600005</v>
      </c>
      <c r="AR817">
        <f>_xlfn.XLOOKUP(F817,'RM Cost'!A:A,'RM Cost'!S:S)</f>
        <v>0</v>
      </c>
      <c r="AS817" t="str">
        <f>_xlfn.XLOOKUP(A817,[3]Sheet1!$B:$B,[3]Sheet1!$B:$B)</f>
        <v>Z175CS</v>
      </c>
      <c r="AT817">
        <f>_xlfn.XLOOKUP(H817,'Yield &amp; Time'!A:A,'Yield &amp; Time'!F:F)</f>
        <v>0</v>
      </c>
    </row>
    <row r="818" spans="1:46" x14ac:dyDescent="0.25">
      <c r="A818" s="2" t="s">
        <v>865</v>
      </c>
      <c r="B818" s="2" t="s">
        <v>656</v>
      </c>
      <c r="C818" s="2" t="s">
        <v>866</v>
      </c>
      <c r="D818" s="2" t="s">
        <v>554</v>
      </c>
      <c r="E818" s="2">
        <v>1</v>
      </c>
      <c r="F818" s="1" t="str">
        <f>VLOOKUP(H818,'RM Used'!A:B,2,0)</f>
        <v>P0008</v>
      </c>
      <c r="G818" s="1" t="str">
        <f>IFERROR(VLOOKUP(F818,'RM Cost'!A:B,2,0),"")</f>
        <v>PALE BLUE BAG 470X750MM</v>
      </c>
      <c r="H818" s="2" t="s">
        <v>1323</v>
      </c>
      <c r="I818" s="1" t="str">
        <f>VLOOKUP(F818,'RM Used'!B:D,3,0)</f>
        <v>RM-PACKING</v>
      </c>
      <c r="J818" s="66">
        <v>1</v>
      </c>
      <c r="K818" s="35" t="str">
        <f t="shared" si="246"/>
        <v/>
      </c>
      <c r="L818" s="35">
        <f t="shared" si="234"/>
        <v>0</v>
      </c>
      <c r="M818" s="77" t="str" cm="1">
        <f t="array" ref="M818">_xlfn.IFS(BOM!I818="RM-PACKING","100%",B818="Reynolds",VLOOKUP(H818,'Yield &amp; Time'!A:V,22,0),BOM!B818="Dnata",VLOOKUP(BOM!H818,'Yield &amp; Time'!A:M,13,0),B818="NK",VLOOKUP(H818,'Yield &amp; Time'!A:X,24,0))</f>
        <v>100%</v>
      </c>
      <c r="N818" s="35">
        <f t="shared" si="245"/>
        <v>1</v>
      </c>
      <c r="O818" s="1" t="str">
        <f>VLOOKUP(H818,'RM Used'!A:E,5,0)</f>
        <v>Count</v>
      </c>
      <c r="P818" s="11">
        <f>VLOOKUP(H818,'RM Used'!A:F,6,0)</f>
        <v>0.14000000000000001</v>
      </c>
      <c r="Q818" s="11">
        <f t="shared" si="243"/>
        <v>0.14000000000000001</v>
      </c>
      <c r="R818" s="11">
        <f>IFERROR(IF(B818="Reynolds",VLOOKUP(H818,'Yield &amp; Time'!A:U,21,0),VLOOKUP(H818,'Yield &amp; Time'!A:L,12,0)),0)</f>
        <v>0</v>
      </c>
      <c r="S818" s="11">
        <f t="shared" si="235"/>
        <v>0</v>
      </c>
      <c r="T818" s="11">
        <f t="shared" si="236"/>
        <v>0</v>
      </c>
      <c r="U818" s="11">
        <f>IF(A817=A818,0,VLOOKUP(A818,'Packing Time'!A:F,6,0))</f>
        <v>0</v>
      </c>
      <c r="V818" s="11">
        <f t="shared" si="247"/>
        <v>0</v>
      </c>
      <c r="W818" s="11">
        <f t="shared" si="248"/>
        <v>0</v>
      </c>
      <c r="X818" s="11">
        <f t="shared" si="237"/>
        <v>0</v>
      </c>
      <c r="Y818" s="11">
        <f t="shared" si="249"/>
        <v>0</v>
      </c>
      <c r="Z818" s="37">
        <v>1</v>
      </c>
      <c r="AA818" s="36">
        <f t="shared" si="238"/>
        <v>1</v>
      </c>
      <c r="AB818" s="36">
        <f t="shared" si="239"/>
        <v>0.14000000000000001</v>
      </c>
      <c r="AC818" s="11">
        <f t="shared" si="240"/>
        <v>0</v>
      </c>
      <c r="AD818" s="36">
        <f t="shared" si="250"/>
        <v>0</v>
      </c>
      <c r="AE818" s="36"/>
      <c r="AF818" s="36">
        <f>IFERROR(VLOOKUP(AE818,'Chemical Cost'!A:D,4,0),0)</f>
        <v>0</v>
      </c>
      <c r="AG818" s="114">
        <f t="shared" si="241"/>
        <v>0</v>
      </c>
      <c r="AH818" s="36">
        <f t="shared" si="244"/>
        <v>0</v>
      </c>
      <c r="AI818" s="36">
        <f t="shared" si="251"/>
        <v>0.14000000000000001</v>
      </c>
      <c r="AJ818" s="36">
        <f>IFERROR(VLOOKUP(A818,'All Products'!A:F,6,0),0)</f>
        <v>6.3</v>
      </c>
      <c r="AK818" s="36"/>
      <c r="AL818" s="23">
        <v>0.8</v>
      </c>
      <c r="AM818" s="23">
        <v>0.2</v>
      </c>
      <c r="AN818" s="54" t="e">
        <v>#N/A</v>
      </c>
      <c r="AO818" s="47"/>
      <c r="AP818" s="4">
        <v>1.6</v>
      </c>
      <c r="AQ818" s="111">
        <f t="shared" si="242"/>
        <v>0</v>
      </c>
      <c r="AR818">
        <f>_xlfn.XLOOKUP(F818,'RM Cost'!A:A,'RM Cost'!S:S)</f>
        <v>0</v>
      </c>
      <c r="AS818" t="str">
        <f>_xlfn.XLOOKUP(A818,[3]Sheet1!$B:$B,[3]Sheet1!$B:$B)</f>
        <v>Z175CS</v>
      </c>
      <c r="AT818" t="e">
        <f>_xlfn.XLOOKUP(H818,'Yield &amp; Time'!A:A,'Yield &amp; Time'!F:F)</f>
        <v>#N/A</v>
      </c>
    </row>
    <row r="819" spans="1:46" x14ac:dyDescent="0.25">
      <c r="A819" s="2" t="s">
        <v>867</v>
      </c>
      <c r="B819" s="2" t="s">
        <v>656</v>
      </c>
      <c r="C819" s="2" t="s">
        <v>868</v>
      </c>
      <c r="D819" s="2" t="s">
        <v>554</v>
      </c>
      <c r="E819" s="2">
        <v>2.5</v>
      </c>
      <c r="F819" s="1" t="str">
        <f>VLOOKUP(H819,'RM Used'!A:B,2,0)</f>
        <v>3566CS</v>
      </c>
      <c r="G819" s="1" t="str">
        <f>IFERROR(VLOOKUP(F819,'RM Cost'!A:B,2,0),"")</f>
        <v>PEPPERS RED X 5KG</v>
      </c>
      <c r="H819" s="2" t="s">
        <v>1545</v>
      </c>
      <c r="I819" s="1" t="str">
        <f>VLOOKUP(F819,'RM Used'!B:D,3,0)</f>
        <v>RM-FOOD</v>
      </c>
      <c r="J819" s="66">
        <v>1</v>
      </c>
      <c r="K819" s="35">
        <f t="shared" si="246"/>
        <v>2.5</v>
      </c>
      <c r="L819" s="35">
        <f t="shared" si="234"/>
        <v>2.5</v>
      </c>
      <c r="M819" s="77" cm="1">
        <f t="array" ref="M819">_xlfn.IFS(BOM!I819="RM-PACKING","100%",B819="Reynolds",VLOOKUP(H819,'Yield &amp; Time'!A:V,22,0),BOM!B819="Dnata",VLOOKUP(BOM!H819,'Yield &amp; Time'!A:M,13,0),B819="NK",VLOOKUP(H819,'Yield &amp; Time'!A:X,24,0))</f>
        <v>0.48507628676470577</v>
      </c>
      <c r="N819" s="35">
        <f t="shared" si="245"/>
        <v>5.1538285177248131</v>
      </c>
      <c r="O819" s="1" t="str">
        <f>VLOOKUP(H819,'RM Used'!A:E,5,0)</f>
        <v>KG</v>
      </c>
      <c r="P819" s="11">
        <f>VLOOKUP(H819,'RM Used'!A:F,6,0)</f>
        <v>1.72</v>
      </c>
      <c r="Q819" s="11">
        <f t="shared" si="243"/>
        <v>8.8645850504866779</v>
      </c>
      <c r="R819" s="11">
        <f>IFERROR(IF(B819="Reynolds",VLOOKUP(H819,'Yield &amp; Time'!A:U,21,0),VLOOKUP(H819,'Yield &amp; Time'!A:L,12,0)),0)</f>
        <v>4.9481315476833352</v>
      </c>
      <c r="S819" s="11">
        <f t="shared" si="235"/>
        <v>4.1873563222270223</v>
      </c>
      <c r="T819" s="11">
        <f t="shared" si="236"/>
        <v>0.20617214782013896</v>
      </c>
      <c r="U819" s="11">
        <f>IF(A818=A819,0,VLOOKUP(A819,'Packing Time'!A:F,6,0))</f>
        <v>0.875</v>
      </c>
      <c r="V819" s="11">
        <f t="shared" si="247"/>
        <v>0.29618749999999999</v>
      </c>
      <c r="W819" s="11">
        <f t="shared" si="248"/>
        <v>1.4583333333333334E-2</v>
      </c>
      <c r="X819" s="11">
        <f t="shared" si="237"/>
        <v>7.173670115563235</v>
      </c>
      <c r="Y819" s="11">
        <f t="shared" si="249"/>
        <v>7.173670115563235</v>
      </c>
      <c r="Z819" s="37">
        <v>1</v>
      </c>
      <c r="AA819" s="36">
        <f t="shared" si="238"/>
        <v>5.1538285177248131</v>
      </c>
      <c r="AB819" s="36">
        <f t="shared" si="239"/>
        <v>8.8645850504866779</v>
      </c>
      <c r="AC819" s="11">
        <f t="shared" si="240"/>
        <v>0.35320876984555571</v>
      </c>
      <c r="AD819" s="36">
        <f t="shared" si="250"/>
        <v>7.1736701155632359</v>
      </c>
      <c r="AE819" s="36" t="str">
        <f>VLOOKUP(H819,'Yield &amp; Time'!A:I,9,0)</f>
        <v>CHLORINE</v>
      </c>
      <c r="AF819" s="36">
        <f>IFERROR(VLOOKUP(AE819,'Chemical Cost'!A:D,4,0),0)</f>
        <v>2.7756518066439469E-2</v>
      </c>
      <c r="AG819" s="114">
        <f t="shared" si="241"/>
        <v>4.7684111454519902E-2</v>
      </c>
      <c r="AH819" s="36">
        <f t="shared" si="244"/>
        <v>4.7684111454519902E-2</v>
      </c>
      <c r="AI819" s="36">
        <f t="shared" si="251"/>
        <v>16.085939277504433</v>
      </c>
      <c r="AJ819" s="36">
        <f>IFERROR(VLOOKUP(A819,'All Products'!A:F,6,0),0)</f>
        <v>15.44</v>
      </c>
      <c r="AK819" s="36">
        <f>AJ819*Z819*J819</f>
        <v>15.44</v>
      </c>
      <c r="AL819" s="23">
        <v>0.8</v>
      </c>
      <c r="AM819" s="23">
        <v>0.2</v>
      </c>
      <c r="AN819" s="54" t="e">
        <v>#N/A</v>
      </c>
      <c r="AO819" s="47"/>
      <c r="AP819" s="4">
        <v>1.6</v>
      </c>
      <c r="AQ819" s="111">
        <f t="shared" si="242"/>
        <v>0.35320876984555571</v>
      </c>
      <c r="AR819">
        <f>_xlfn.XLOOKUP(F819,'RM Cost'!A:A,'RM Cost'!S:S)</f>
        <v>0</v>
      </c>
      <c r="AS819" t="str">
        <f>_xlfn.XLOOKUP(A819,[3]Sheet1!$B:$B,[3]Sheet1!$B:$B)</f>
        <v>Z174CS</v>
      </c>
      <c r="AT819">
        <f>_xlfn.XLOOKUP(H819,'Yield &amp; Time'!A:A,'Yield &amp; Time'!F:F)</f>
        <v>0</v>
      </c>
    </row>
    <row r="820" spans="1:46" x14ac:dyDescent="0.25">
      <c r="A820" s="2" t="s">
        <v>867</v>
      </c>
      <c r="B820" s="2" t="s">
        <v>656</v>
      </c>
      <c r="C820" s="2" t="s">
        <v>868</v>
      </c>
      <c r="D820" s="2" t="s">
        <v>554</v>
      </c>
      <c r="E820" s="2">
        <v>2.5</v>
      </c>
      <c r="F820" s="1" t="str">
        <f>VLOOKUP(H820,'RM Used'!A:B,2,0)</f>
        <v>P0008</v>
      </c>
      <c r="G820" s="1" t="str">
        <f>IFERROR(VLOOKUP(F820,'RM Cost'!A:B,2,0),"")</f>
        <v>PALE BLUE BAG 470X750MM</v>
      </c>
      <c r="H820" s="2" t="s">
        <v>1323</v>
      </c>
      <c r="I820" s="1" t="str">
        <f>VLOOKUP(F820,'RM Used'!B:D,3,0)</f>
        <v>RM-PACKING</v>
      </c>
      <c r="J820" s="66">
        <v>1</v>
      </c>
      <c r="K820" s="35" t="str">
        <f t="shared" si="246"/>
        <v/>
      </c>
      <c r="L820" s="35">
        <f t="shared" si="234"/>
        <v>0</v>
      </c>
      <c r="M820" s="77" t="str" cm="1">
        <f t="array" ref="M820">_xlfn.IFS(BOM!I820="RM-PACKING","100%",B820="Reynolds",VLOOKUP(H820,'Yield &amp; Time'!A:V,22,0),BOM!B820="Dnata",VLOOKUP(BOM!H820,'Yield &amp; Time'!A:M,13,0),B820="NK",VLOOKUP(H820,'Yield &amp; Time'!A:X,24,0))</f>
        <v>100%</v>
      </c>
      <c r="N820" s="35">
        <f t="shared" si="245"/>
        <v>1</v>
      </c>
      <c r="O820" s="1" t="str">
        <f>VLOOKUP(H820,'RM Used'!A:E,5,0)</f>
        <v>Count</v>
      </c>
      <c r="P820" s="11">
        <f>VLOOKUP(H820,'RM Used'!A:F,6,0)</f>
        <v>0.14000000000000001</v>
      </c>
      <c r="Q820" s="11">
        <f t="shared" si="243"/>
        <v>0.14000000000000001</v>
      </c>
      <c r="R820" s="11">
        <f>IFERROR(IF(B820="Reynolds",VLOOKUP(H820,'Yield &amp; Time'!A:U,21,0),VLOOKUP(H820,'Yield &amp; Time'!A:L,12,0)),0)</f>
        <v>0</v>
      </c>
      <c r="S820" s="11">
        <f t="shared" si="235"/>
        <v>0</v>
      </c>
      <c r="T820" s="11">
        <f t="shared" si="236"/>
        <v>0</v>
      </c>
      <c r="U820" s="11">
        <f>IF(A819=A820,0,VLOOKUP(A820,'Packing Time'!A:F,6,0))</f>
        <v>0</v>
      </c>
      <c r="V820" s="11">
        <f t="shared" si="247"/>
        <v>0</v>
      </c>
      <c r="W820" s="11">
        <f t="shared" si="248"/>
        <v>0</v>
      </c>
      <c r="X820" s="11">
        <f t="shared" si="237"/>
        <v>0</v>
      </c>
      <c r="Y820" s="11">
        <f t="shared" si="249"/>
        <v>0</v>
      </c>
      <c r="Z820" s="37">
        <v>1</v>
      </c>
      <c r="AA820" s="36">
        <f t="shared" si="238"/>
        <v>1</v>
      </c>
      <c r="AB820" s="36">
        <f t="shared" si="239"/>
        <v>0.14000000000000001</v>
      </c>
      <c r="AC820" s="11">
        <f t="shared" si="240"/>
        <v>0</v>
      </c>
      <c r="AD820" s="36">
        <f t="shared" si="250"/>
        <v>0</v>
      </c>
      <c r="AE820" s="36"/>
      <c r="AF820" s="36">
        <f>IFERROR(VLOOKUP(AE820,'Chemical Cost'!A:D,4,0),0)</f>
        <v>0</v>
      </c>
      <c r="AG820" s="114">
        <f t="shared" si="241"/>
        <v>0</v>
      </c>
      <c r="AH820" s="36">
        <f t="shared" si="244"/>
        <v>0</v>
      </c>
      <c r="AI820" s="36">
        <f t="shared" si="251"/>
        <v>0.14000000000000001</v>
      </c>
      <c r="AJ820" s="36">
        <f>IFERROR(VLOOKUP(A820,'All Products'!A:F,6,0),0)</f>
        <v>15.44</v>
      </c>
      <c r="AK820" s="36"/>
      <c r="AL820" s="23">
        <v>0.8</v>
      </c>
      <c r="AM820" s="23">
        <v>0.2</v>
      </c>
      <c r="AN820" s="54" t="e">
        <v>#N/A</v>
      </c>
      <c r="AO820" s="47"/>
      <c r="AP820" s="4">
        <v>1.6</v>
      </c>
      <c r="AQ820" s="111">
        <f t="shared" si="242"/>
        <v>0</v>
      </c>
      <c r="AR820">
        <f>_xlfn.XLOOKUP(F820,'RM Cost'!A:A,'RM Cost'!S:S)</f>
        <v>0</v>
      </c>
      <c r="AS820" t="str">
        <f>_xlfn.XLOOKUP(A820,[3]Sheet1!$B:$B,[3]Sheet1!$B:$B)</f>
        <v>Z174CS</v>
      </c>
      <c r="AT820" t="e">
        <f>_xlfn.XLOOKUP(H820,'Yield &amp; Time'!A:A,'Yield &amp; Time'!F:F)</f>
        <v>#N/A</v>
      </c>
    </row>
    <row r="821" spans="1:46" x14ac:dyDescent="0.25">
      <c r="A821" s="2" t="s">
        <v>470</v>
      </c>
      <c r="B821" s="2" t="s">
        <v>656</v>
      </c>
      <c r="C821" s="2" t="s">
        <v>471</v>
      </c>
      <c r="D821" s="2" t="s">
        <v>554</v>
      </c>
      <c r="E821" s="2">
        <v>1</v>
      </c>
      <c r="F821" s="1" t="str">
        <f>VLOOKUP(H821,'RM Used'!A:B,2,0)</f>
        <v>3566CS</v>
      </c>
      <c r="G821" s="1" t="str">
        <f>IFERROR(VLOOKUP(F821,'RM Cost'!A:B,2,0),"")</f>
        <v>PEPPERS RED X 5KG</v>
      </c>
      <c r="H821" s="2" t="s">
        <v>1546</v>
      </c>
      <c r="I821" s="1" t="str">
        <f>VLOOKUP(F821,'RM Used'!B:D,3,0)</f>
        <v>RM-FOOD</v>
      </c>
      <c r="J821" s="66">
        <v>1</v>
      </c>
      <c r="K821" s="35">
        <f t="shared" si="246"/>
        <v>1</v>
      </c>
      <c r="L821" s="35">
        <f t="shared" si="234"/>
        <v>1</v>
      </c>
      <c r="M821" s="77" cm="1">
        <f t="array" ref="M821">_xlfn.IFS(BOM!I821="RM-PACKING","100%",B821="Reynolds",VLOOKUP(H821,'Yield &amp; Time'!A:V,22,0),BOM!B821="Dnata",VLOOKUP(BOM!H821,'Yield &amp; Time'!A:M,13,0),B821="NK",VLOOKUP(H821,'Yield &amp; Time'!A:X,24,0))</f>
        <v>0.51060661764705872</v>
      </c>
      <c r="N821" s="35">
        <f t="shared" si="245"/>
        <v>1.9584548367354289</v>
      </c>
      <c r="O821" s="1" t="str">
        <f>VLOOKUP(H821,'RM Used'!A:E,5,0)</f>
        <v>KG</v>
      </c>
      <c r="P821" s="11">
        <f>VLOOKUP(H821,'RM Used'!A:F,6,0)</f>
        <v>1.72</v>
      </c>
      <c r="Q821" s="11">
        <f t="shared" si="243"/>
        <v>3.3685423191849377</v>
      </c>
      <c r="R821" s="11">
        <f>IFERROR(IF(B821="Reynolds",VLOOKUP(H821,'Yield &amp; Time'!A:U,21,0),VLOOKUP(H821,'Yield &amp; Time'!A:L,12,0)),0)</f>
        <v>4.6981315476833352</v>
      </c>
      <c r="S821" s="11">
        <f t="shared" si="235"/>
        <v>1.5903175288908089</v>
      </c>
      <c r="T821" s="11">
        <f t="shared" si="236"/>
        <v>7.830219246138892E-2</v>
      </c>
      <c r="U821" s="11">
        <f>IF(A820=A821,0,VLOOKUP(A821,'Packing Time'!A:F,6,0))</f>
        <v>0.64166666666666661</v>
      </c>
      <c r="V821" s="11">
        <f t="shared" si="247"/>
        <v>0.21720416666666661</v>
      </c>
      <c r="W821" s="11">
        <f t="shared" si="248"/>
        <v>1.0694444444444444E-2</v>
      </c>
      <c r="X821" s="11">
        <f t="shared" si="237"/>
        <v>2.8920347128919608</v>
      </c>
      <c r="Y821" s="11">
        <f t="shared" si="249"/>
        <v>2.8920347128919608</v>
      </c>
      <c r="Z821" s="37">
        <v>1</v>
      </c>
      <c r="AA821" s="36">
        <f t="shared" si="238"/>
        <v>1.9584548367354289</v>
      </c>
      <c r="AB821" s="36">
        <f t="shared" si="239"/>
        <v>3.3685423191849377</v>
      </c>
      <c r="AC821" s="11">
        <f t="shared" si="240"/>
        <v>0.14239461904933337</v>
      </c>
      <c r="AD821" s="36">
        <f t="shared" si="250"/>
        <v>2.8920347128919603</v>
      </c>
      <c r="AE821" s="36"/>
      <c r="AF821" s="36">
        <f>IFERROR(VLOOKUP(AE821,'Chemical Cost'!A:D,4,0),0)</f>
        <v>0</v>
      </c>
      <c r="AG821" s="114">
        <f t="shared" si="241"/>
        <v>0</v>
      </c>
      <c r="AH821" s="36">
        <f t="shared" si="244"/>
        <v>0</v>
      </c>
      <c r="AI821" s="36">
        <f t="shared" si="251"/>
        <v>6.260577032076899</v>
      </c>
      <c r="AJ821" s="36">
        <f>IFERROR(VLOOKUP(A821,'All Products'!A:F,6,0),0)</f>
        <v>6.2</v>
      </c>
      <c r="AK821" s="36">
        <f>AJ821*Z821*J821</f>
        <v>6.2</v>
      </c>
      <c r="AL821" s="23">
        <v>1</v>
      </c>
      <c r="AM821" s="23"/>
      <c r="AN821" s="54" t="e">
        <v>#N/A</v>
      </c>
      <c r="AO821" s="47"/>
      <c r="AP821" s="4">
        <v>1.6</v>
      </c>
      <c r="AQ821" s="111">
        <f t="shared" si="242"/>
        <v>0.14239461904933337</v>
      </c>
      <c r="AR821">
        <f>_xlfn.XLOOKUP(F821,'RM Cost'!A:A,'RM Cost'!S:S)</f>
        <v>0</v>
      </c>
      <c r="AS821" t="e">
        <f>_xlfn.XLOOKUP(A821,[3]Sheet1!$B:$B,[3]Sheet1!$B:$B)</f>
        <v>#N/A</v>
      </c>
    </row>
    <row r="822" spans="1:46" x14ac:dyDescent="0.25">
      <c r="A822" s="2" t="s">
        <v>470</v>
      </c>
      <c r="B822" s="2" t="s">
        <v>656</v>
      </c>
      <c r="C822" s="2" t="s">
        <v>471</v>
      </c>
      <c r="D822" s="2" t="s">
        <v>554</v>
      </c>
      <c r="E822" s="2">
        <v>1</v>
      </c>
      <c r="F822" s="1" t="str">
        <f>VLOOKUP(H822,'RM Used'!A:B,2,0)</f>
        <v>P0008</v>
      </c>
      <c r="G822" s="1" t="str">
        <f>IFERROR(VLOOKUP(F822,'RM Cost'!A:B,2,0),"")</f>
        <v>PALE BLUE BAG 470X750MM</v>
      </c>
      <c r="H822" s="2" t="s">
        <v>1323</v>
      </c>
      <c r="I822" s="1" t="str">
        <f>VLOOKUP(F822,'RM Used'!B:D,3,0)</f>
        <v>RM-PACKING</v>
      </c>
      <c r="J822" s="66">
        <v>1</v>
      </c>
      <c r="K822" s="35" t="str">
        <f t="shared" si="246"/>
        <v/>
      </c>
      <c r="L822" s="35">
        <f t="shared" si="234"/>
        <v>0</v>
      </c>
      <c r="M822" s="77" t="str" cm="1">
        <f t="array" ref="M822">_xlfn.IFS(BOM!I822="RM-PACKING","100%",B822="Reynolds",VLOOKUP(H822,'Yield &amp; Time'!A:V,22,0),BOM!B822="Dnata",VLOOKUP(BOM!H822,'Yield &amp; Time'!A:M,13,0),B822="NK",VLOOKUP(H822,'Yield &amp; Time'!A:X,24,0))</f>
        <v>100%</v>
      </c>
      <c r="N822" s="35">
        <f t="shared" si="245"/>
        <v>1</v>
      </c>
      <c r="O822" s="1" t="str">
        <f>VLOOKUP(H822,'RM Used'!A:E,5,0)</f>
        <v>Count</v>
      </c>
      <c r="P822" s="11">
        <f>VLOOKUP(H822,'RM Used'!A:F,6,0)</f>
        <v>0.14000000000000001</v>
      </c>
      <c r="Q822" s="11">
        <f t="shared" si="243"/>
        <v>0.14000000000000001</v>
      </c>
      <c r="R822" s="11">
        <f>IFERROR(IF(B822="Reynolds",VLOOKUP(H822,'Yield &amp; Time'!A:U,21,0),VLOOKUP(H822,'Yield &amp; Time'!A:L,12,0)),0)</f>
        <v>0</v>
      </c>
      <c r="S822" s="11">
        <f t="shared" si="235"/>
        <v>0</v>
      </c>
      <c r="T822" s="11">
        <f t="shared" si="236"/>
        <v>0</v>
      </c>
      <c r="U822" s="11">
        <f>IF(A821=A822,0,VLOOKUP(A822,'Packing Time'!A:F,6,0))</f>
        <v>0</v>
      </c>
      <c r="V822" s="11">
        <f t="shared" si="247"/>
        <v>0</v>
      </c>
      <c r="W822" s="11">
        <f t="shared" si="248"/>
        <v>0</v>
      </c>
      <c r="X822" s="11">
        <f t="shared" si="237"/>
        <v>0</v>
      </c>
      <c r="Y822" s="11">
        <f t="shared" si="249"/>
        <v>0</v>
      </c>
      <c r="Z822" s="37">
        <v>1</v>
      </c>
      <c r="AA822" s="36">
        <f t="shared" si="238"/>
        <v>1</v>
      </c>
      <c r="AB822" s="36">
        <f t="shared" si="239"/>
        <v>0.14000000000000001</v>
      </c>
      <c r="AC822" s="11">
        <f t="shared" si="240"/>
        <v>0</v>
      </c>
      <c r="AD822" s="36">
        <f t="shared" si="250"/>
        <v>0</v>
      </c>
      <c r="AE822" s="36"/>
      <c r="AF822" s="36">
        <f>IFERROR(VLOOKUP(AE822,'Chemical Cost'!A:D,4,0),0)</f>
        <v>0</v>
      </c>
      <c r="AG822" s="114">
        <f t="shared" si="241"/>
        <v>0</v>
      </c>
      <c r="AH822" s="36">
        <f t="shared" si="244"/>
        <v>0</v>
      </c>
      <c r="AI822" s="36">
        <f t="shared" si="251"/>
        <v>0.14000000000000001</v>
      </c>
      <c r="AJ822" s="36">
        <f>IFERROR(VLOOKUP(A822,'All Products'!A:F,6,0),0)</f>
        <v>6.2</v>
      </c>
      <c r="AK822" s="36"/>
      <c r="AL822" s="23">
        <v>1</v>
      </c>
      <c r="AM822" s="23"/>
      <c r="AN822" s="54" t="e">
        <v>#N/A</v>
      </c>
      <c r="AO822" s="47"/>
      <c r="AP822" s="4">
        <v>1.6</v>
      </c>
      <c r="AQ822" s="111">
        <f t="shared" si="242"/>
        <v>0</v>
      </c>
      <c r="AR822">
        <f>_xlfn.XLOOKUP(F822,'RM Cost'!A:A,'RM Cost'!S:S)</f>
        <v>0</v>
      </c>
      <c r="AS822" t="e">
        <f>_xlfn.XLOOKUP(A822,[3]Sheet1!$B:$B,[3]Sheet1!$B:$B)</f>
        <v>#N/A</v>
      </c>
    </row>
    <row r="823" spans="1:46" x14ac:dyDescent="0.25">
      <c r="A823" s="2" t="s">
        <v>188</v>
      </c>
      <c r="B823" s="2" t="s">
        <v>656</v>
      </c>
      <c r="C823" s="2" t="s">
        <v>189</v>
      </c>
      <c r="D823" s="2" t="s">
        <v>554</v>
      </c>
      <c r="E823" s="2">
        <v>2.5</v>
      </c>
      <c r="F823" s="1" t="str">
        <f>VLOOKUP(H823,'RM Used'!A:B,2,0)</f>
        <v>3566CS</v>
      </c>
      <c r="G823" s="1" t="str">
        <f>IFERROR(VLOOKUP(F823,'RM Cost'!A:B,2,0),"")</f>
        <v>PEPPERS RED X 5KG</v>
      </c>
      <c r="H823" s="2" t="s">
        <v>1546</v>
      </c>
      <c r="I823" s="1" t="str">
        <f>VLOOKUP(F823,'RM Used'!B:D,3,0)</f>
        <v>RM-FOOD</v>
      </c>
      <c r="J823" s="66">
        <v>1</v>
      </c>
      <c r="K823" s="35">
        <f t="shared" si="246"/>
        <v>2.5</v>
      </c>
      <c r="L823" s="35">
        <f t="shared" si="234"/>
        <v>2.5</v>
      </c>
      <c r="M823" s="77" cm="1">
        <f t="array" ref="M823">_xlfn.IFS(BOM!I823="RM-PACKING","100%",B823="Reynolds",VLOOKUP(H823,'Yield &amp; Time'!A:V,22,0),BOM!B823="Dnata",VLOOKUP(BOM!H823,'Yield &amp; Time'!A:M,13,0),B823="NK",VLOOKUP(H823,'Yield &amp; Time'!A:X,24,0))</f>
        <v>0.51060661764705872</v>
      </c>
      <c r="N823" s="35">
        <f t="shared" si="245"/>
        <v>4.8961370918385727</v>
      </c>
      <c r="O823" s="1" t="str">
        <f>VLOOKUP(H823,'RM Used'!A:E,5,0)</f>
        <v>KG</v>
      </c>
      <c r="P823" s="11">
        <f>VLOOKUP(H823,'RM Used'!A:F,6,0)</f>
        <v>1.72</v>
      </c>
      <c r="Q823" s="11">
        <f t="shared" si="243"/>
        <v>8.4213557979623452</v>
      </c>
      <c r="R823" s="11">
        <f>IFERROR(IF(B823="Reynolds",VLOOKUP(H823,'Yield &amp; Time'!A:U,21,0),VLOOKUP(H823,'Yield &amp; Time'!A:L,12,0)),0)</f>
        <v>4.6981315476833352</v>
      </c>
      <c r="S823" s="11">
        <f t="shared" si="235"/>
        <v>3.9757938222270219</v>
      </c>
      <c r="T823" s="11">
        <f t="shared" si="236"/>
        <v>0.1957554811534723</v>
      </c>
      <c r="U823" s="11">
        <f>IF(A822=A823,0,VLOOKUP(A823,'Packing Time'!A:F,6,0))</f>
        <v>0.875</v>
      </c>
      <c r="V823" s="11">
        <f t="shared" si="247"/>
        <v>0.29618749999999999</v>
      </c>
      <c r="W823" s="11">
        <f t="shared" si="248"/>
        <v>1.4583333333333334E-2</v>
      </c>
      <c r="X823" s="11">
        <f t="shared" si="237"/>
        <v>5.9807738511178306</v>
      </c>
      <c r="Y823" s="11">
        <f t="shared" si="249"/>
        <v>5.9807738511178306</v>
      </c>
      <c r="Z823" s="37">
        <v>1</v>
      </c>
      <c r="AA823" s="36">
        <f t="shared" si="238"/>
        <v>4.8961370918385727</v>
      </c>
      <c r="AB823" s="36">
        <f t="shared" si="239"/>
        <v>8.4213557979623452</v>
      </c>
      <c r="AC823" s="11">
        <f t="shared" si="240"/>
        <v>0.29447434028152786</v>
      </c>
      <c r="AD823" s="36">
        <f t="shared" si="250"/>
        <v>5.9807738511178306</v>
      </c>
      <c r="AE823" s="36"/>
      <c r="AF823" s="36">
        <f>IFERROR(VLOOKUP(AE823,'Chemical Cost'!A:D,4,0),0)</f>
        <v>0</v>
      </c>
      <c r="AG823" s="114">
        <f t="shared" si="241"/>
        <v>0</v>
      </c>
      <c r="AH823" s="36">
        <f t="shared" si="244"/>
        <v>0</v>
      </c>
      <c r="AI823" s="36">
        <f t="shared" si="251"/>
        <v>14.402129649080177</v>
      </c>
      <c r="AJ823" s="36">
        <f>IFERROR(VLOOKUP(A823,'All Products'!A:F,6,0),0)</f>
        <v>15.36</v>
      </c>
      <c r="AK823" s="36">
        <f>AJ823*Z823*J823</f>
        <v>15.36</v>
      </c>
      <c r="AL823" s="23">
        <v>1</v>
      </c>
      <c r="AM823" s="23"/>
      <c r="AN823" s="54" t="e">
        <v>#N/A</v>
      </c>
      <c r="AO823" s="47"/>
      <c r="AP823" s="4">
        <v>1.4</v>
      </c>
      <c r="AQ823" s="111">
        <f t="shared" si="242"/>
        <v>0.29447434028152786</v>
      </c>
      <c r="AR823">
        <f>_xlfn.XLOOKUP(F823,'RM Cost'!A:A,'RM Cost'!S:S)</f>
        <v>0</v>
      </c>
      <c r="AS823" t="e">
        <f>_xlfn.XLOOKUP(A823,[3]Sheet1!$B:$B,[3]Sheet1!$B:$B)</f>
        <v>#N/A</v>
      </c>
    </row>
    <row r="824" spans="1:46" x14ac:dyDescent="0.25">
      <c r="A824" s="2" t="s">
        <v>188</v>
      </c>
      <c r="B824" s="2" t="s">
        <v>656</v>
      </c>
      <c r="C824" s="2" t="s">
        <v>189</v>
      </c>
      <c r="D824" s="2" t="s">
        <v>554</v>
      </c>
      <c r="E824" s="2">
        <v>2.5</v>
      </c>
      <c r="F824" s="1" t="str">
        <f>VLOOKUP(H824,'RM Used'!A:B,2,0)</f>
        <v>P0008</v>
      </c>
      <c r="G824" s="1" t="str">
        <f>IFERROR(VLOOKUP(F824,'RM Cost'!A:B,2,0),"")</f>
        <v>PALE BLUE BAG 470X750MM</v>
      </c>
      <c r="H824" s="2" t="s">
        <v>1323</v>
      </c>
      <c r="I824" s="1" t="str">
        <f>VLOOKUP(F824,'RM Used'!B:D,3,0)</f>
        <v>RM-PACKING</v>
      </c>
      <c r="J824" s="66">
        <v>1</v>
      </c>
      <c r="K824" s="35" t="str">
        <f t="shared" si="246"/>
        <v/>
      </c>
      <c r="L824" s="35">
        <f t="shared" si="234"/>
        <v>0</v>
      </c>
      <c r="M824" s="77" t="str" cm="1">
        <f t="array" ref="M824">_xlfn.IFS(BOM!I824="RM-PACKING","100%",B824="Reynolds",VLOOKUP(H824,'Yield &amp; Time'!A:V,22,0),BOM!B824="Dnata",VLOOKUP(BOM!H824,'Yield &amp; Time'!A:M,13,0),B824="NK",VLOOKUP(H824,'Yield &amp; Time'!A:X,24,0))</f>
        <v>100%</v>
      </c>
      <c r="N824" s="35">
        <f t="shared" si="245"/>
        <v>1</v>
      </c>
      <c r="O824" s="1" t="str">
        <f>VLOOKUP(H824,'RM Used'!A:E,5,0)</f>
        <v>Count</v>
      </c>
      <c r="P824" s="11">
        <f>VLOOKUP(H824,'RM Used'!A:F,6,0)</f>
        <v>0.14000000000000001</v>
      </c>
      <c r="Q824" s="11">
        <f t="shared" si="243"/>
        <v>0.14000000000000001</v>
      </c>
      <c r="R824" s="11">
        <f>IFERROR(IF(B824="Reynolds",VLOOKUP(H824,'Yield &amp; Time'!A:U,21,0),VLOOKUP(H824,'Yield &amp; Time'!A:L,12,0)),0)</f>
        <v>0</v>
      </c>
      <c r="S824" s="11">
        <f t="shared" si="235"/>
        <v>0</v>
      </c>
      <c r="T824" s="11">
        <f t="shared" si="236"/>
        <v>0</v>
      </c>
      <c r="U824" s="11">
        <f>IF(A823=A824,0,VLOOKUP(A824,'Packing Time'!A:F,6,0))</f>
        <v>0</v>
      </c>
      <c r="V824" s="11">
        <f t="shared" si="247"/>
        <v>0</v>
      </c>
      <c r="W824" s="11">
        <f t="shared" si="248"/>
        <v>0</v>
      </c>
      <c r="X824" s="11">
        <f t="shared" si="237"/>
        <v>0</v>
      </c>
      <c r="Y824" s="11">
        <f t="shared" si="249"/>
        <v>0</v>
      </c>
      <c r="Z824" s="37">
        <v>1</v>
      </c>
      <c r="AA824" s="36">
        <f t="shared" si="238"/>
        <v>1</v>
      </c>
      <c r="AB824" s="36">
        <f t="shared" si="239"/>
        <v>0.14000000000000001</v>
      </c>
      <c r="AC824" s="11">
        <f t="shared" si="240"/>
        <v>0</v>
      </c>
      <c r="AD824" s="36">
        <f t="shared" si="250"/>
        <v>0</v>
      </c>
      <c r="AE824" s="36"/>
      <c r="AF824" s="36">
        <f>IFERROR(VLOOKUP(AE824,'Chemical Cost'!A:D,4,0),0)</f>
        <v>0</v>
      </c>
      <c r="AG824" s="114">
        <f t="shared" si="241"/>
        <v>0</v>
      </c>
      <c r="AH824" s="36">
        <f t="shared" si="244"/>
        <v>0</v>
      </c>
      <c r="AI824" s="36">
        <f t="shared" si="251"/>
        <v>0.14000000000000001</v>
      </c>
      <c r="AJ824" s="36">
        <f>IFERROR(VLOOKUP(A824,'All Products'!A:F,6,0),0)</f>
        <v>15.36</v>
      </c>
      <c r="AK824" s="36"/>
      <c r="AL824" s="23">
        <v>1</v>
      </c>
      <c r="AM824" s="23"/>
      <c r="AN824" s="54" t="e">
        <v>#N/A</v>
      </c>
      <c r="AO824" s="47"/>
      <c r="AP824" s="4">
        <v>1.4</v>
      </c>
      <c r="AQ824" s="111">
        <f t="shared" si="242"/>
        <v>0</v>
      </c>
      <c r="AR824">
        <f>_xlfn.XLOOKUP(F824,'RM Cost'!A:A,'RM Cost'!S:S)</f>
        <v>0</v>
      </c>
      <c r="AS824" t="e">
        <f>_xlfn.XLOOKUP(A824,[3]Sheet1!$B:$B,[3]Sheet1!$B:$B)</f>
        <v>#N/A</v>
      </c>
    </row>
    <row r="825" spans="1:46" x14ac:dyDescent="0.25">
      <c r="A825" s="2" t="s">
        <v>186</v>
      </c>
      <c r="B825" s="2" t="s">
        <v>656</v>
      </c>
      <c r="C825" s="2" t="s">
        <v>187</v>
      </c>
      <c r="D825" s="2" t="s">
        <v>554</v>
      </c>
      <c r="E825" s="2">
        <v>1</v>
      </c>
      <c r="F825" s="1" t="str">
        <f>VLOOKUP(H825,'RM Used'!A:B,2,0)</f>
        <v>3566CS</v>
      </c>
      <c r="G825" s="1" t="str">
        <f>IFERROR(VLOOKUP(F825,'RM Cost'!A:B,2,0),"")</f>
        <v>PEPPERS RED X 5KG</v>
      </c>
      <c r="H825" s="2" t="s">
        <v>1436</v>
      </c>
      <c r="I825" s="1" t="str">
        <f>VLOOKUP(F825,'RM Used'!B:D,3,0)</f>
        <v>RM-FOOD</v>
      </c>
      <c r="J825" s="66">
        <v>1</v>
      </c>
      <c r="K825" s="35">
        <f t="shared" si="246"/>
        <v>1</v>
      </c>
      <c r="L825" s="35">
        <f t="shared" si="234"/>
        <v>1</v>
      </c>
      <c r="M825" s="77" cm="1">
        <f t="array" ref="M825">_xlfn.IFS(BOM!I825="RM-PACKING","100%",B825="Reynolds",VLOOKUP(H825,'Yield &amp; Time'!A:V,22,0),BOM!B825="Dnata",VLOOKUP(BOM!H825,'Yield &amp; Time'!A:M,13,0),B825="NK",VLOOKUP(H825,'Yield &amp; Time'!A:X,24,0))</f>
        <v>0.75439999999999996</v>
      </c>
      <c r="N825" s="35">
        <f t="shared" si="245"/>
        <v>1.3255567338282079</v>
      </c>
      <c r="O825" s="1" t="str">
        <f>VLOOKUP(H825,'RM Used'!A:E,5,0)</f>
        <v>KG</v>
      </c>
      <c r="P825" s="11">
        <f>VLOOKUP(H825,'RM Used'!A:F,6,0)</f>
        <v>1.72</v>
      </c>
      <c r="Q825" s="11">
        <f t="shared" si="243"/>
        <v>2.2799575821845175</v>
      </c>
      <c r="R825" s="11">
        <f>IFERROR(IF(B825="Reynolds",VLOOKUP(H825,'Yield &amp; Time'!A:U,21,0),VLOOKUP(H825,'Yield &amp; Time'!A:L,12,0)),0)</f>
        <v>1.0310410921812989</v>
      </c>
      <c r="S825" s="11">
        <f t="shared" si="235"/>
        <v>0.34900740970336963</v>
      </c>
      <c r="T825" s="11">
        <f t="shared" si="236"/>
        <v>1.7184018203021647E-2</v>
      </c>
      <c r="U825" s="11">
        <f>IF(A824=A825,0,VLOOKUP(A825,'Packing Time'!A:F,6,0))</f>
        <v>0.64166666666666661</v>
      </c>
      <c r="V825" s="11">
        <f t="shared" si="247"/>
        <v>0.21720416666666661</v>
      </c>
      <c r="W825" s="11">
        <f t="shared" si="248"/>
        <v>1.0694444444444444E-2</v>
      </c>
      <c r="X825" s="11">
        <f t="shared" si="237"/>
        <v>0.90593852219205806</v>
      </c>
      <c r="Y825" s="11">
        <f t="shared" si="249"/>
        <v>0.90593852219205806</v>
      </c>
      <c r="Z825" s="37">
        <v>1</v>
      </c>
      <c r="AA825" s="36">
        <f t="shared" si="238"/>
        <v>1.3255567338282079</v>
      </c>
      <c r="AB825" s="36">
        <f t="shared" si="239"/>
        <v>2.2799575821845175</v>
      </c>
      <c r="AC825" s="11">
        <f t="shared" si="240"/>
        <v>4.4605540235945748E-2</v>
      </c>
      <c r="AD825" s="36">
        <f t="shared" si="250"/>
        <v>0.90593852219205806</v>
      </c>
      <c r="AE825" s="36" t="str">
        <f>VLOOKUP(H825,'Yield &amp; Time'!A:I,9,0)</f>
        <v>CHLORINE</v>
      </c>
      <c r="AF825" s="36">
        <f>IFERROR(VLOOKUP(AE825,'Chemical Cost'!A:D,4,0),0)</f>
        <v>2.7756518066439469E-2</v>
      </c>
      <c r="AG825" s="114">
        <f t="shared" si="241"/>
        <v>1.2264279810197716E-2</v>
      </c>
      <c r="AH825" s="36">
        <f t="shared" si="244"/>
        <v>1.2264279810197716E-2</v>
      </c>
      <c r="AI825" s="36">
        <f t="shared" si="251"/>
        <v>3.1981603841867732</v>
      </c>
      <c r="AJ825" s="36">
        <f>IFERROR(VLOOKUP(A825,'All Products'!A:F,6,0),0)</f>
        <v>5.43</v>
      </c>
      <c r="AK825" s="36">
        <f>AJ825*Z825*J825</f>
        <v>5.43</v>
      </c>
      <c r="AL825" s="23">
        <v>0.8</v>
      </c>
      <c r="AM825" s="23">
        <v>0.2</v>
      </c>
      <c r="AN825" s="54" t="e">
        <v>#N/A</v>
      </c>
      <c r="AO825" s="47"/>
      <c r="AP825" s="4">
        <v>1.6</v>
      </c>
      <c r="AQ825" s="111">
        <f t="shared" si="242"/>
        <v>4.4605540235945748E-2</v>
      </c>
      <c r="AR825">
        <f>_xlfn.XLOOKUP(F825,'RM Cost'!A:A,'RM Cost'!S:S)</f>
        <v>0</v>
      </c>
      <c r="AS825" t="str">
        <f>_xlfn.XLOOKUP(A825,[3]Sheet1!$B:$B,[3]Sheet1!$B:$B)</f>
        <v>Z169CS</v>
      </c>
      <c r="AT825" t="str">
        <f>_xlfn.XLOOKUP(H825,'Yield &amp; Time'!A:A,'Yield &amp; Time'!F:F)</f>
        <v>Yes</v>
      </c>
    </row>
    <row r="826" spans="1:46" x14ac:dyDescent="0.25">
      <c r="A826" s="2" t="s">
        <v>186</v>
      </c>
      <c r="B826" s="2" t="s">
        <v>656</v>
      </c>
      <c r="C826" s="2" t="s">
        <v>187</v>
      </c>
      <c r="D826" s="2" t="s">
        <v>554</v>
      </c>
      <c r="E826" s="2">
        <v>1</v>
      </c>
      <c r="F826" s="1" t="str">
        <f>VLOOKUP(H826,'RM Used'!A:B,2,0)</f>
        <v>P0008</v>
      </c>
      <c r="G826" s="1" t="str">
        <f>IFERROR(VLOOKUP(F826,'RM Cost'!A:B,2,0),"")</f>
        <v>PALE BLUE BAG 470X750MM</v>
      </c>
      <c r="H826" s="2" t="s">
        <v>1323</v>
      </c>
      <c r="I826" s="1" t="str">
        <f>VLOOKUP(F826,'RM Used'!B:D,3,0)</f>
        <v>RM-PACKING</v>
      </c>
      <c r="J826" s="66">
        <v>1</v>
      </c>
      <c r="K826" s="35" t="str">
        <f t="shared" si="246"/>
        <v/>
      </c>
      <c r="L826" s="35">
        <f t="shared" si="234"/>
        <v>0</v>
      </c>
      <c r="M826" s="77" t="str" cm="1">
        <f t="array" ref="M826">_xlfn.IFS(BOM!I826="RM-PACKING","100%",B826="Reynolds",VLOOKUP(H826,'Yield &amp; Time'!A:V,22,0),BOM!B826="Dnata",VLOOKUP(BOM!H826,'Yield &amp; Time'!A:M,13,0),B826="NK",VLOOKUP(H826,'Yield &amp; Time'!A:X,24,0))</f>
        <v>100%</v>
      </c>
      <c r="N826" s="35">
        <f t="shared" si="245"/>
        <v>1</v>
      </c>
      <c r="O826" s="1" t="str">
        <f>VLOOKUP(H826,'RM Used'!A:E,5,0)</f>
        <v>Count</v>
      </c>
      <c r="P826" s="11">
        <f>VLOOKUP(H826,'RM Used'!A:F,6,0)</f>
        <v>0.14000000000000001</v>
      </c>
      <c r="Q826" s="11">
        <f t="shared" si="243"/>
        <v>0.14000000000000001</v>
      </c>
      <c r="R826" s="11">
        <f>IFERROR(IF(B826="Reynolds",VLOOKUP(H826,'Yield &amp; Time'!A:U,21,0),VLOOKUP(H826,'Yield &amp; Time'!A:L,12,0)),0)</f>
        <v>0</v>
      </c>
      <c r="S826" s="11">
        <f t="shared" si="235"/>
        <v>0</v>
      </c>
      <c r="T826" s="11">
        <f t="shared" si="236"/>
        <v>0</v>
      </c>
      <c r="U826" s="11">
        <f>IF(A825=A826,0,VLOOKUP(A826,'Packing Time'!A:F,6,0))</f>
        <v>0</v>
      </c>
      <c r="V826" s="11">
        <f t="shared" si="247"/>
        <v>0</v>
      </c>
      <c r="W826" s="11">
        <f t="shared" si="248"/>
        <v>0</v>
      </c>
      <c r="X826" s="11">
        <f t="shared" si="237"/>
        <v>0</v>
      </c>
      <c r="Y826" s="11">
        <f t="shared" si="249"/>
        <v>0</v>
      </c>
      <c r="Z826" s="37">
        <v>1</v>
      </c>
      <c r="AA826" s="36">
        <f t="shared" si="238"/>
        <v>1</v>
      </c>
      <c r="AB826" s="36">
        <f t="shared" si="239"/>
        <v>0.14000000000000001</v>
      </c>
      <c r="AC826" s="11">
        <f t="shared" si="240"/>
        <v>0</v>
      </c>
      <c r="AD826" s="36">
        <f t="shared" si="250"/>
        <v>0</v>
      </c>
      <c r="AE826" s="36"/>
      <c r="AF826" s="36">
        <f>IFERROR(VLOOKUP(AE826,'Chemical Cost'!A:D,4,0),0)</f>
        <v>0</v>
      </c>
      <c r="AG826" s="114">
        <f t="shared" si="241"/>
        <v>0</v>
      </c>
      <c r="AH826" s="36">
        <f t="shared" si="244"/>
        <v>0</v>
      </c>
      <c r="AI826" s="36">
        <f t="shared" si="251"/>
        <v>0.14000000000000001</v>
      </c>
      <c r="AJ826" s="36">
        <f>IFERROR(VLOOKUP(A826,'All Products'!A:F,6,0),0)</f>
        <v>5.43</v>
      </c>
      <c r="AK826" s="36"/>
      <c r="AL826" s="23">
        <v>0.8</v>
      </c>
      <c r="AM826" s="23">
        <v>0.2</v>
      </c>
      <c r="AN826" s="54" t="e">
        <v>#N/A</v>
      </c>
      <c r="AO826" s="47"/>
      <c r="AP826" s="4">
        <v>1.6</v>
      </c>
      <c r="AQ826" s="111">
        <f t="shared" si="242"/>
        <v>0</v>
      </c>
      <c r="AR826">
        <f>_xlfn.XLOOKUP(F826,'RM Cost'!A:A,'RM Cost'!S:S)</f>
        <v>0</v>
      </c>
      <c r="AS826" t="str">
        <f>_xlfn.XLOOKUP(A826,[3]Sheet1!$B:$B,[3]Sheet1!$B:$B)</f>
        <v>Z169CS</v>
      </c>
      <c r="AT826" t="e">
        <f>_xlfn.XLOOKUP(H826,'Yield &amp; Time'!A:A,'Yield &amp; Time'!F:F)</f>
        <v>#N/A</v>
      </c>
    </row>
    <row r="827" spans="1:46" x14ac:dyDescent="0.25">
      <c r="A827" s="2" t="s">
        <v>184</v>
      </c>
      <c r="B827" s="2" t="s">
        <v>656</v>
      </c>
      <c r="C827" s="2" t="s">
        <v>185</v>
      </c>
      <c r="D827" s="2" t="s">
        <v>554</v>
      </c>
      <c r="E827" s="2">
        <v>2.5</v>
      </c>
      <c r="F827" s="1" t="str">
        <f>VLOOKUP(H827,'RM Used'!A:B,2,0)</f>
        <v>3566CS</v>
      </c>
      <c r="G827" s="1" t="str">
        <f>IFERROR(VLOOKUP(F827,'RM Cost'!A:B,2,0),"")</f>
        <v>PEPPERS RED X 5KG</v>
      </c>
      <c r="H827" s="2" t="s">
        <v>1436</v>
      </c>
      <c r="I827" s="1" t="str">
        <f>VLOOKUP(F827,'RM Used'!B:D,3,0)</f>
        <v>RM-FOOD</v>
      </c>
      <c r="J827" s="66">
        <v>1</v>
      </c>
      <c r="K827" s="35">
        <f t="shared" si="246"/>
        <v>2.5</v>
      </c>
      <c r="L827" s="35">
        <f t="shared" si="234"/>
        <v>2.5</v>
      </c>
      <c r="M827" s="77" cm="1">
        <f t="array" ref="M827">_xlfn.IFS(BOM!I827="RM-PACKING","100%",B827="Reynolds",VLOOKUP(H827,'Yield &amp; Time'!A:V,22,0),BOM!B827="Dnata",VLOOKUP(BOM!H827,'Yield &amp; Time'!A:M,13,0),B827="NK",VLOOKUP(H827,'Yield &amp; Time'!A:X,24,0))</f>
        <v>0.75439999999999996</v>
      </c>
      <c r="N827" s="35">
        <f t="shared" si="245"/>
        <v>3.3138918345705197</v>
      </c>
      <c r="O827" s="1" t="str">
        <f>VLOOKUP(H827,'RM Used'!A:E,5,0)</f>
        <v>KG</v>
      </c>
      <c r="P827" s="11">
        <f>VLOOKUP(H827,'RM Used'!A:F,6,0)</f>
        <v>1.72</v>
      </c>
      <c r="Q827" s="11">
        <f t="shared" si="243"/>
        <v>5.6998939554612935</v>
      </c>
      <c r="R827" s="11">
        <f>IFERROR(IF(B827="Reynolds",VLOOKUP(H827,'Yield &amp; Time'!A:U,21,0),VLOOKUP(H827,'Yield &amp; Time'!A:L,12,0)),0)</f>
        <v>1.0310410921812989</v>
      </c>
      <c r="S827" s="11">
        <f t="shared" si="235"/>
        <v>0.87251852425842413</v>
      </c>
      <c r="T827" s="11">
        <f t="shared" si="236"/>
        <v>4.2960045507554126E-2</v>
      </c>
      <c r="U827" s="11">
        <f>IF(A826=A827,0,VLOOKUP(A827,'Packing Time'!A:F,6,0))</f>
        <v>0.875</v>
      </c>
      <c r="V827" s="11">
        <f t="shared" si="247"/>
        <v>0.29618749999999999</v>
      </c>
      <c r="W827" s="11">
        <f t="shared" si="248"/>
        <v>1.4583333333333334E-2</v>
      </c>
      <c r="X827" s="11">
        <f t="shared" si="237"/>
        <v>1.4608825303230302</v>
      </c>
      <c r="Y827" s="11">
        <f t="shared" si="249"/>
        <v>1.4608825303230302</v>
      </c>
      <c r="Z827" s="37">
        <v>1</v>
      </c>
      <c r="AA827" s="36">
        <f t="shared" si="238"/>
        <v>3.3138918345705197</v>
      </c>
      <c r="AB827" s="36">
        <f t="shared" si="239"/>
        <v>5.6998939554612935</v>
      </c>
      <c r="AC827" s="11">
        <f t="shared" si="240"/>
        <v>7.1929223551109325E-2</v>
      </c>
      <c r="AD827" s="36">
        <f t="shared" si="250"/>
        <v>1.4608825303230302</v>
      </c>
      <c r="AE827" s="36" t="str">
        <f>VLOOKUP(H827,'Yield &amp; Time'!A:I,9,0)</f>
        <v>CHLORINE</v>
      </c>
      <c r="AF827" s="36">
        <f>IFERROR(VLOOKUP(AE827,'Chemical Cost'!A:D,4,0),0)</f>
        <v>2.7756518066439469E-2</v>
      </c>
      <c r="AG827" s="114">
        <f t="shared" si="241"/>
        <v>3.066069952549429E-2</v>
      </c>
      <c r="AH827" s="36">
        <f t="shared" si="244"/>
        <v>3.066069952549429E-2</v>
      </c>
      <c r="AI827" s="36">
        <f t="shared" si="251"/>
        <v>7.1914371853098178</v>
      </c>
      <c r="AJ827" s="36">
        <f>IFERROR(VLOOKUP(A827,'All Products'!A:F,6,0),0)</f>
        <v>13.57</v>
      </c>
      <c r="AK827" s="36">
        <f>AJ827*Z827*J827</f>
        <v>13.57</v>
      </c>
      <c r="AL827" s="23">
        <v>0.8</v>
      </c>
      <c r="AM827" s="23">
        <v>0.2</v>
      </c>
      <c r="AN827" s="54" t="e">
        <v>#N/A</v>
      </c>
      <c r="AO827" s="47"/>
      <c r="AP827" s="4">
        <v>1.25</v>
      </c>
      <c r="AQ827" s="111">
        <f t="shared" si="242"/>
        <v>7.1929223551109325E-2</v>
      </c>
      <c r="AR827">
        <f>_xlfn.XLOOKUP(F827,'RM Cost'!A:A,'RM Cost'!S:S)</f>
        <v>0</v>
      </c>
      <c r="AS827" t="str">
        <f>_xlfn.XLOOKUP(A827,[3]Sheet1!$B:$B,[3]Sheet1!$B:$B)</f>
        <v>Z168CS</v>
      </c>
      <c r="AT827" t="str">
        <f>_xlfn.XLOOKUP(H827,'Yield &amp; Time'!A:A,'Yield &amp; Time'!F:F)</f>
        <v>Yes</v>
      </c>
    </row>
    <row r="828" spans="1:46" x14ac:dyDescent="0.25">
      <c r="A828" s="2" t="s">
        <v>184</v>
      </c>
      <c r="B828" s="2" t="s">
        <v>656</v>
      </c>
      <c r="C828" s="2" t="s">
        <v>185</v>
      </c>
      <c r="D828" s="2" t="s">
        <v>554</v>
      </c>
      <c r="E828" s="2">
        <v>2.5</v>
      </c>
      <c r="F828" s="1" t="str">
        <f>VLOOKUP(H828,'RM Used'!A:B,2,0)</f>
        <v>P0008</v>
      </c>
      <c r="G828" s="1" t="str">
        <f>IFERROR(VLOOKUP(F828,'RM Cost'!A:B,2,0),"")</f>
        <v>PALE BLUE BAG 470X750MM</v>
      </c>
      <c r="H828" s="2" t="s">
        <v>1323</v>
      </c>
      <c r="I828" s="1" t="str">
        <f>VLOOKUP(F828,'RM Used'!B:D,3,0)</f>
        <v>RM-PACKING</v>
      </c>
      <c r="J828" s="66">
        <v>1</v>
      </c>
      <c r="K828" s="35" t="str">
        <f t="shared" si="246"/>
        <v/>
      </c>
      <c r="L828" s="35">
        <f t="shared" si="234"/>
        <v>0</v>
      </c>
      <c r="M828" s="77" t="str" cm="1">
        <f t="array" ref="M828">_xlfn.IFS(BOM!I828="RM-PACKING","100%",B828="Reynolds",VLOOKUP(H828,'Yield &amp; Time'!A:V,22,0),BOM!B828="Dnata",VLOOKUP(BOM!H828,'Yield &amp; Time'!A:M,13,0),B828="NK",VLOOKUP(H828,'Yield &amp; Time'!A:X,24,0))</f>
        <v>100%</v>
      </c>
      <c r="N828" s="35">
        <f t="shared" si="245"/>
        <v>1</v>
      </c>
      <c r="O828" s="1" t="str">
        <f>VLOOKUP(H828,'RM Used'!A:E,5,0)</f>
        <v>Count</v>
      </c>
      <c r="P828" s="11">
        <f>VLOOKUP(H828,'RM Used'!A:F,6,0)</f>
        <v>0.14000000000000001</v>
      </c>
      <c r="Q828" s="11">
        <f t="shared" si="243"/>
        <v>0.14000000000000001</v>
      </c>
      <c r="R828" s="11">
        <f>IFERROR(IF(B828="Reynolds",VLOOKUP(H828,'Yield &amp; Time'!A:U,21,0),VLOOKUP(H828,'Yield &amp; Time'!A:L,12,0)),0)</f>
        <v>0</v>
      </c>
      <c r="S828" s="11">
        <f t="shared" si="235"/>
        <v>0</v>
      </c>
      <c r="T828" s="11">
        <f t="shared" si="236"/>
        <v>0</v>
      </c>
      <c r="U828" s="11">
        <f>IF(A827=A828,0,VLOOKUP(A828,'Packing Time'!A:F,6,0))</f>
        <v>0</v>
      </c>
      <c r="V828" s="11">
        <f t="shared" si="247"/>
        <v>0</v>
      </c>
      <c r="W828" s="11">
        <f t="shared" si="248"/>
        <v>0</v>
      </c>
      <c r="X828" s="11">
        <f t="shared" si="237"/>
        <v>0</v>
      </c>
      <c r="Y828" s="11">
        <f t="shared" si="249"/>
        <v>0</v>
      </c>
      <c r="Z828" s="37">
        <v>1</v>
      </c>
      <c r="AA828" s="36">
        <f t="shared" si="238"/>
        <v>1</v>
      </c>
      <c r="AB828" s="36">
        <f t="shared" si="239"/>
        <v>0.14000000000000001</v>
      </c>
      <c r="AC828" s="11">
        <f t="shared" si="240"/>
        <v>0</v>
      </c>
      <c r="AD828" s="36">
        <f t="shared" si="250"/>
        <v>0</v>
      </c>
      <c r="AE828" s="36"/>
      <c r="AF828" s="36">
        <f>IFERROR(VLOOKUP(AE828,'Chemical Cost'!A:D,4,0),0)</f>
        <v>0</v>
      </c>
      <c r="AG828" s="114">
        <f t="shared" si="241"/>
        <v>0</v>
      </c>
      <c r="AH828" s="36">
        <f t="shared" si="244"/>
        <v>0</v>
      </c>
      <c r="AI828" s="36">
        <f t="shared" si="251"/>
        <v>0.14000000000000001</v>
      </c>
      <c r="AJ828" s="36">
        <f>IFERROR(VLOOKUP(A828,'All Products'!A:F,6,0),0)</f>
        <v>13.57</v>
      </c>
      <c r="AK828" s="36"/>
      <c r="AL828" s="23">
        <v>0.8</v>
      </c>
      <c r="AM828" s="23">
        <v>0.2</v>
      </c>
      <c r="AN828" s="54" t="e">
        <v>#N/A</v>
      </c>
      <c r="AO828" s="47"/>
      <c r="AP828" s="4">
        <v>1.25</v>
      </c>
      <c r="AQ828" s="111">
        <f t="shared" si="242"/>
        <v>0</v>
      </c>
      <c r="AR828">
        <f>_xlfn.XLOOKUP(F828,'RM Cost'!A:A,'RM Cost'!S:S)</f>
        <v>0</v>
      </c>
      <c r="AS828" t="str">
        <f>_xlfn.XLOOKUP(A828,[3]Sheet1!$B:$B,[3]Sheet1!$B:$B)</f>
        <v>Z168CS</v>
      </c>
      <c r="AT828" t="e">
        <f>_xlfn.XLOOKUP(H828,'Yield &amp; Time'!A:A,'Yield &amp; Time'!F:F)</f>
        <v>#N/A</v>
      </c>
    </row>
    <row r="829" spans="1:46" x14ac:dyDescent="0.25">
      <c r="A829" s="2" t="s">
        <v>523</v>
      </c>
      <c r="B829" s="2" t="s">
        <v>656</v>
      </c>
      <c r="C829" s="2" t="s">
        <v>524</v>
      </c>
      <c r="D829" s="2" t="s">
        <v>554</v>
      </c>
      <c r="E829" s="2">
        <v>1</v>
      </c>
      <c r="F829" s="1" t="str">
        <f>VLOOKUP(H829,'RM Used'!A:B,2,0)</f>
        <v>3566CS</v>
      </c>
      <c r="G829" s="1" t="str">
        <f>IFERROR(VLOOKUP(F829,'RM Cost'!A:B,2,0),"")</f>
        <v>PEPPERS RED X 5KG</v>
      </c>
      <c r="H829" s="2" t="s">
        <v>1411</v>
      </c>
      <c r="I829" s="1" t="str">
        <f>VLOOKUP(F829,'RM Used'!B:D,3,0)</f>
        <v>RM-FOOD</v>
      </c>
      <c r="J829" s="66">
        <v>1</v>
      </c>
      <c r="K829" s="35">
        <f t="shared" si="246"/>
        <v>1</v>
      </c>
      <c r="L829" s="35">
        <f t="shared" si="234"/>
        <v>1</v>
      </c>
      <c r="M829" s="77" cm="1">
        <f t="array" ref="M829">_xlfn.IFS(BOM!I829="RM-PACKING","100%",B829="Reynolds",VLOOKUP(H829,'Yield &amp; Time'!A:V,22,0),BOM!B829="Dnata",VLOOKUP(BOM!H829,'Yield &amp; Time'!A:M,13,0),B829="NK",VLOOKUP(H829,'Yield &amp; Time'!A:X,24,0))</f>
        <v>0.44</v>
      </c>
      <c r="N829" s="35">
        <f t="shared" si="245"/>
        <v>2.2727272727272729</v>
      </c>
      <c r="O829" s="1" t="str">
        <f>VLOOKUP(H829,'RM Used'!A:E,5,0)</f>
        <v>KG</v>
      </c>
      <c r="P829" s="11">
        <f>VLOOKUP(H829,'RM Used'!A:F,6,0)</f>
        <v>1.72</v>
      </c>
      <c r="Q829" s="11">
        <f t="shared" si="243"/>
        <v>3.9090909090909092</v>
      </c>
      <c r="R829" s="11">
        <f>IFERROR(IF(B829="Reynolds",VLOOKUP(H829,'Yield &amp; Time'!A:U,21,0),VLOOKUP(H829,'Yield &amp; Time'!A:L,12,0)),0)</f>
        <v>6</v>
      </c>
      <c r="S829" s="11">
        <f t="shared" si="235"/>
        <v>2.0309999999999997</v>
      </c>
      <c r="T829" s="11">
        <f t="shared" si="236"/>
        <v>0.1</v>
      </c>
      <c r="U829" s="11">
        <f>IF(A828=A829,0,VLOOKUP(A829,'Packing Time'!A:F,6,0))</f>
        <v>0.64166666666666661</v>
      </c>
      <c r="V829" s="11">
        <f t="shared" si="247"/>
        <v>0.21720416666666661</v>
      </c>
      <c r="W829" s="11">
        <f t="shared" si="248"/>
        <v>1.0694444444444444E-2</v>
      </c>
      <c r="X829" s="11">
        <f t="shared" si="237"/>
        <v>3.5971266666666666</v>
      </c>
      <c r="Y829" s="11">
        <f t="shared" si="249"/>
        <v>3.5971266666666666</v>
      </c>
      <c r="Z829" s="37">
        <v>1</v>
      </c>
      <c r="AA829" s="36">
        <f t="shared" si="238"/>
        <v>2.2727272727272729</v>
      </c>
      <c r="AB829" s="36">
        <f t="shared" si="239"/>
        <v>3.9090909090909092</v>
      </c>
      <c r="AC829" s="11">
        <f t="shared" si="240"/>
        <v>0.17711111111111111</v>
      </c>
      <c r="AD829" s="36">
        <f t="shared" si="250"/>
        <v>3.5971266666666666</v>
      </c>
      <c r="AE829" s="36"/>
      <c r="AF829" s="36">
        <f>IFERROR(VLOOKUP(AE829,'Chemical Cost'!A:D,4,0),0)</f>
        <v>0</v>
      </c>
      <c r="AG829" s="114">
        <f t="shared" si="241"/>
        <v>0</v>
      </c>
      <c r="AH829" s="36">
        <f t="shared" si="244"/>
        <v>0</v>
      </c>
      <c r="AI829" s="36">
        <f t="shared" si="251"/>
        <v>7.5062175757575762</v>
      </c>
      <c r="AJ829" s="36">
        <f>IFERROR(VLOOKUP(A829,'All Products'!A:F,6,0),0)</f>
        <v>8.66</v>
      </c>
      <c r="AK829" s="36">
        <f>AJ829*Z829*J829</f>
        <v>8.66</v>
      </c>
      <c r="AL829" s="23">
        <v>1</v>
      </c>
      <c r="AM829" s="23"/>
      <c r="AN829" s="54" t="s">
        <v>523</v>
      </c>
      <c r="AO829" s="47"/>
      <c r="AP829" s="4">
        <v>1.6</v>
      </c>
      <c r="AQ829" s="111">
        <f t="shared" si="242"/>
        <v>0.17711111111111111</v>
      </c>
      <c r="AR829">
        <f>_xlfn.XLOOKUP(F829,'RM Cost'!A:A,'RM Cost'!S:S)</f>
        <v>0</v>
      </c>
      <c r="AS829" t="e">
        <f>_xlfn.XLOOKUP(A829,[3]Sheet1!$B:$B,[3]Sheet1!$B:$B)</f>
        <v>#N/A</v>
      </c>
    </row>
    <row r="830" spans="1:46" x14ac:dyDescent="0.25">
      <c r="A830" s="2" t="s">
        <v>523</v>
      </c>
      <c r="B830" s="2" t="s">
        <v>656</v>
      </c>
      <c r="C830" s="2" t="s">
        <v>524</v>
      </c>
      <c r="D830" s="2" t="s">
        <v>554</v>
      </c>
      <c r="E830" s="2">
        <v>1</v>
      </c>
      <c r="F830" s="1" t="str">
        <f>VLOOKUP(H830,'RM Used'!A:B,2,0)</f>
        <v>P0008</v>
      </c>
      <c r="G830" s="1" t="str">
        <f>IFERROR(VLOOKUP(F830,'RM Cost'!A:B,2,0),"")</f>
        <v>PALE BLUE BAG 470X750MM</v>
      </c>
      <c r="H830" s="2" t="s">
        <v>1323</v>
      </c>
      <c r="I830" s="1" t="str">
        <f>VLOOKUP(F830,'RM Used'!B:D,3,0)</f>
        <v>RM-PACKING</v>
      </c>
      <c r="J830" s="66">
        <v>1</v>
      </c>
      <c r="K830" s="35" t="str">
        <f t="shared" si="246"/>
        <v/>
      </c>
      <c r="L830" s="35">
        <f t="shared" si="234"/>
        <v>0</v>
      </c>
      <c r="M830" s="77" t="str" cm="1">
        <f t="array" ref="M830">_xlfn.IFS(BOM!I830="RM-PACKING","100%",B830="Reynolds",VLOOKUP(H830,'Yield &amp; Time'!A:V,22,0),BOM!B830="Dnata",VLOOKUP(BOM!H830,'Yield &amp; Time'!A:M,13,0),B830="NK",VLOOKUP(H830,'Yield &amp; Time'!A:X,24,0))</f>
        <v>100%</v>
      </c>
      <c r="N830" s="35">
        <f t="shared" si="245"/>
        <v>1</v>
      </c>
      <c r="O830" s="1" t="str">
        <f>VLOOKUP(H830,'RM Used'!A:E,5,0)</f>
        <v>Count</v>
      </c>
      <c r="P830" s="11">
        <f>VLOOKUP(H830,'RM Used'!A:F,6,0)</f>
        <v>0.14000000000000001</v>
      </c>
      <c r="Q830" s="11">
        <f t="shared" si="243"/>
        <v>0.14000000000000001</v>
      </c>
      <c r="R830" s="11">
        <f>IFERROR(IF(B830="Reynolds",VLOOKUP(H830,'Yield &amp; Time'!A:U,21,0),VLOOKUP(H830,'Yield &amp; Time'!A:L,12,0)),0)</f>
        <v>0</v>
      </c>
      <c r="S830" s="11">
        <f t="shared" si="235"/>
        <v>0</v>
      </c>
      <c r="T830" s="11">
        <f t="shared" si="236"/>
        <v>0</v>
      </c>
      <c r="U830" s="11">
        <f>IF(A829=A830,0,VLOOKUP(A830,'Packing Time'!A:F,6,0))</f>
        <v>0</v>
      </c>
      <c r="V830" s="11">
        <f t="shared" si="247"/>
        <v>0</v>
      </c>
      <c r="W830" s="11">
        <f t="shared" si="248"/>
        <v>0</v>
      </c>
      <c r="X830" s="11">
        <f t="shared" si="237"/>
        <v>0</v>
      </c>
      <c r="Y830" s="11">
        <f t="shared" si="249"/>
        <v>0</v>
      </c>
      <c r="Z830" s="37">
        <v>1</v>
      </c>
      <c r="AA830" s="36">
        <f t="shared" si="238"/>
        <v>1</v>
      </c>
      <c r="AB830" s="36">
        <f t="shared" si="239"/>
        <v>0.14000000000000001</v>
      </c>
      <c r="AC830" s="11">
        <f t="shared" si="240"/>
        <v>0</v>
      </c>
      <c r="AD830" s="36">
        <f t="shared" si="250"/>
        <v>0</v>
      </c>
      <c r="AE830" s="36"/>
      <c r="AF830" s="36">
        <f>IFERROR(VLOOKUP(AE830,'Chemical Cost'!A:D,4,0),0)</f>
        <v>0</v>
      </c>
      <c r="AG830" s="114">
        <f t="shared" si="241"/>
        <v>0</v>
      </c>
      <c r="AH830" s="36">
        <f t="shared" si="244"/>
        <v>0</v>
      </c>
      <c r="AI830" s="36">
        <f t="shared" si="251"/>
        <v>0.14000000000000001</v>
      </c>
      <c r="AJ830" s="36">
        <f>IFERROR(VLOOKUP(A830,'All Products'!A:F,6,0),0)</f>
        <v>8.66</v>
      </c>
      <c r="AK830" s="36"/>
      <c r="AL830" s="23">
        <v>1</v>
      </c>
      <c r="AM830" s="23"/>
      <c r="AN830" s="54" t="s">
        <v>523</v>
      </c>
      <c r="AO830" s="47"/>
      <c r="AP830" s="4">
        <v>1.6</v>
      </c>
      <c r="AQ830" s="111">
        <f t="shared" si="242"/>
        <v>0</v>
      </c>
      <c r="AR830">
        <f>_xlfn.XLOOKUP(F830,'RM Cost'!A:A,'RM Cost'!S:S)</f>
        <v>0</v>
      </c>
      <c r="AS830" t="e">
        <f>_xlfn.XLOOKUP(A830,[3]Sheet1!$B:$B,[3]Sheet1!$B:$B)</f>
        <v>#N/A</v>
      </c>
    </row>
    <row r="831" spans="1:46" x14ac:dyDescent="0.25">
      <c r="A831" s="2" t="s">
        <v>183</v>
      </c>
      <c r="B831" s="2" t="s">
        <v>656</v>
      </c>
      <c r="C831" s="2" t="s">
        <v>869</v>
      </c>
      <c r="D831" s="2" t="s">
        <v>554</v>
      </c>
      <c r="E831" s="2">
        <v>2.5</v>
      </c>
      <c r="F831" s="1" t="str">
        <f>VLOOKUP(H831,'RM Used'!A:B,2,0)</f>
        <v>3566CS</v>
      </c>
      <c r="G831" s="1" t="str">
        <f>IFERROR(VLOOKUP(F831,'RM Cost'!A:B,2,0),"")</f>
        <v>PEPPERS RED X 5KG</v>
      </c>
      <c r="H831" s="2" t="s">
        <v>1411</v>
      </c>
      <c r="I831" s="1" t="str">
        <f>VLOOKUP(F831,'RM Used'!B:D,3,0)</f>
        <v>RM-FOOD</v>
      </c>
      <c r="J831" s="66">
        <v>1</v>
      </c>
      <c r="K831" s="35">
        <f t="shared" si="246"/>
        <v>2.5</v>
      </c>
      <c r="L831" s="35">
        <f t="shared" si="234"/>
        <v>2.5</v>
      </c>
      <c r="M831" s="77" cm="1">
        <f t="array" ref="M831">_xlfn.IFS(BOM!I831="RM-PACKING","100%",B831="Reynolds",VLOOKUP(H831,'Yield &amp; Time'!A:V,22,0),BOM!B831="Dnata",VLOOKUP(BOM!H831,'Yield &amp; Time'!A:M,13,0),B831="NK",VLOOKUP(H831,'Yield &amp; Time'!A:X,24,0))</f>
        <v>0.44</v>
      </c>
      <c r="N831" s="35">
        <f t="shared" si="245"/>
        <v>5.6818181818181817</v>
      </c>
      <c r="O831" s="1" t="str">
        <f>VLOOKUP(H831,'RM Used'!A:E,5,0)</f>
        <v>KG</v>
      </c>
      <c r="P831" s="11">
        <f>VLOOKUP(H831,'RM Used'!A:F,6,0)</f>
        <v>1.72</v>
      </c>
      <c r="Q831" s="11">
        <f t="shared" si="243"/>
        <v>9.7727272727272716</v>
      </c>
      <c r="R831" s="11">
        <f>IFERROR(IF(B831="Reynolds",VLOOKUP(H831,'Yield &amp; Time'!A:U,21,0),VLOOKUP(H831,'Yield &amp; Time'!A:L,12,0)),0)</f>
        <v>6</v>
      </c>
      <c r="S831" s="11">
        <f t="shared" si="235"/>
        <v>5.0774999999999997</v>
      </c>
      <c r="T831" s="11">
        <f t="shared" si="236"/>
        <v>0.25</v>
      </c>
      <c r="U831" s="11">
        <f>IF(A830=A831,0,VLOOKUP(A831,'Packing Time'!A:F,6,0))</f>
        <v>0.875</v>
      </c>
      <c r="V831" s="11">
        <f t="shared" si="247"/>
        <v>0.29618749999999999</v>
      </c>
      <c r="W831" s="11">
        <f t="shared" si="248"/>
        <v>1.4583333333333334E-2</v>
      </c>
      <c r="X831" s="11">
        <f t="shared" si="237"/>
        <v>6.7171093749999988</v>
      </c>
      <c r="Y831" s="11">
        <f t="shared" si="249"/>
        <v>6.7171093749999988</v>
      </c>
      <c r="Z831" s="37">
        <v>1</v>
      </c>
      <c r="AA831" s="36">
        <f t="shared" si="238"/>
        <v>5.6818181818181817</v>
      </c>
      <c r="AB831" s="36">
        <f t="shared" si="239"/>
        <v>9.7727272727272716</v>
      </c>
      <c r="AC831" s="11">
        <f t="shared" si="240"/>
        <v>0.33072916666666669</v>
      </c>
      <c r="AD831" s="36">
        <f t="shared" si="250"/>
        <v>6.7171093749999997</v>
      </c>
      <c r="AE831" s="36"/>
      <c r="AF831" s="36">
        <f>IFERROR(VLOOKUP(AE831,'Chemical Cost'!A:D,4,0),0)</f>
        <v>0</v>
      </c>
      <c r="AG831" s="114">
        <f t="shared" si="241"/>
        <v>0</v>
      </c>
      <c r="AH831" s="36">
        <f t="shared" si="244"/>
        <v>0</v>
      </c>
      <c r="AI831" s="36">
        <f t="shared" si="251"/>
        <v>16.48983664772727</v>
      </c>
      <c r="AJ831" s="36">
        <f>IFERROR(VLOOKUP(A831,'All Products'!A:F,6,0),0)</f>
        <v>21.33</v>
      </c>
      <c r="AK831" s="36">
        <f>AJ831*Z831*J831</f>
        <v>21.33</v>
      </c>
      <c r="AL831" s="23">
        <v>1</v>
      </c>
      <c r="AM831" s="23"/>
      <c r="AN831" s="54" t="e">
        <v>#N/A</v>
      </c>
      <c r="AO831" s="47"/>
      <c r="AP831" s="4">
        <v>1.25</v>
      </c>
      <c r="AQ831" s="111">
        <f t="shared" si="242"/>
        <v>0.33072916666666669</v>
      </c>
      <c r="AR831">
        <f>_xlfn.XLOOKUP(F831,'RM Cost'!A:A,'RM Cost'!S:S)</f>
        <v>0</v>
      </c>
      <c r="AS831" t="e">
        <f>_xlfn.XLOOKUP(A831,[3]Sheet1!$B:$B,[3]Sheet1!$B:$B)</f>
        <v>#N/A</v>
      </c>
    </row>
    <row r="832" spans="1:46" x14ac:dyDescent="0.25">
      <c r="A832" s="2" t="s">
        <v>183</v>
      </c>
      <c r="B832" s="2" t="s">
        <v>656</v>
      </c>
      <c r="C832" s="2" t="s">
        <v>869</v>
      </c>
      <c r="D832" s="2" t="s">
        <v>554</v>
      </c>
      <c r="E832" s="2">
        <v>2.5</v>
      </c>
      <c r="F832" s="1" t="str">
        <f>VLOOKUP(H832,'RM Used'!A:B,2,0)</f>
        <v>P0008</v>
      </c>
      <c r="G832" s="1" t="str">
        <f>IFERROR(VLOOKUP(F832,'RM Cost'!A:B,2,0),"")</f>
        <v>PALE BLUE BAG 470X750MM</v>
      </c>
      <c r="H832" s="2" t="s">
        <v>1323</v>
      </c>
      <c r="I832" s="1" t="str">
        <f>VLOOKUP(F832,'RM Used'!B:D,3,0)</f>
        <v>RM-PACKING</v>
      </c>
      <c r="J832" s="66">
        <v>1</v>
      </c>
      <c r="K832" s="35" t="str">
        <f t="shared" si="246"/>
        <v/>
      </c>
      <c r="L832" s="35">
        <f t="shared" si="234"/>
        <v>0</v>
      </c>
      <c r="M832" s="77" t="str" cm="1">
        <f t="array" ref="M832">_xlfn.IFS(BOM!I832="RM-PACKING","100%",B832="Reynolds",VLOOKUP(H832,'Yield &amp; Time'!A:V,22,0),BOM!B832="Dnata",VLOOKUP(BOM!H832,'Yield &amp; Time'!A:M,13,0),B832="NK",VLOOKUP(H832,'Yield &amp; Time'!A:X,24,0))</f>
        <v>100%</v>
      </c>
      <c r="N832" s="35">
        <f t="shared" si="245"/>
        <v>1</v>
      </c>
      <c r="O832" s="1" t="str">
        <f>VLOOKUP(H832,'RM Used'!A:E,5,0)</f>
        <v>Count</v>
      </c>
      <c r="P832" s="11">
        <f>VLOOKUP(H832,'RM Used'!A:F,6,0)</f>
        <v>0.14000000000000001</v>
      </c>
      <c r="Q832" s="11">
        <f t="shared" si="243"/>
        <v>0.14000000000000001</v>
      </c>
      <c r="R832" s="11">
        <f>IFERROR(IF(B832="Reynolds",VLOOKUP(H832,'Yield &amp; Time'!A:U,21,0),VLOOKUP(H832,'Yield &amp; Time'!A:L,12,0)),0)</f>
        <v>0</v>
      </c>
      <c r="S832" s="11">
        <f t="shared" si="235"/>
        <v>0</v>
      </c>
      <c r="T832" s="11">
        <f t="shared" si="236"/>
        <v>0</v>
      </c>
      <c r="U832" s="11">
        <f>IF(A831=A832,0,VLOOKUP(A832,'Packing Time'!A:F,6,0))</f>
        <v>0</v>
      </c>
      <c r="V832" s="11">
        <f t="shared" si="247"/>
        <v>0</v>
      </c>
      <c r="W832" s="11">
        <f t="shared" si="248"/>
        <v>0</v>
      </c>
      <c r="X832" s="11">
        <f t="shared" si="237"/>
        <v>0</v>
      </c>
      <c r="Y832" s="11">
        <f t="shared" si="249"/>
        <v>0</v>
      </c>
      <c r="Z832" s="37">
        <v>1</v>
      </c>
      <c r="AA832" s="36">
        <f t="shared" si="238"/>
        <v>1</v>
      </c>
      <c r="AB832" s="36">
        <f t="shared" si="239"/>
        <v>0.14000000000000001</v>
      </c>
      <c r="AC832" s="11">
        <f t="shared" si="240"/>
        <v>0</v>
      </c>
      <c r="AD832" s="36">
        <f t="shared" si="250"/>
        <v>0</v>
      </c>
      <c r="AE832" s="36"/>
      <c r="AF832" s="36">
        <f>IFERROR(VLOOKUP(AE832,'Chemical Cost'!A:D,4,0),0)</f>
        <v>0</v>
      </c>
      <c r="AG832" s="114">
        <f t="shared" si="241"/>
        <v>0</v>
      </c>
      <c r="AH832" s="36">
        <f t="shared" si="244"/>
        <v>0</v>
      </c>
      <c r="AI832" s="36">
        <f t="shared" si="251"/>
        <v>0.14000000000000001</v>
      </c>
      <c r="AJ832" s="36">
        <f>IFERROR(VLOOKUP(A832,'All Products'!A:F,6,0),0)</f>
        <v>21.33</v>
      </c>
      <c r="AK832" s="36"/>
      <c r="AL832" s="23">
        <v>1</v>
      </c>
      <c r="AM832" s="23"/>
      <c r="AN832" s="54" t="e">
        <v>#N/A</v>
      </c>
      <c r="AO832" s="47"/>
      <c r="AP832" s="4">
        <v>1.25</v>
      </c>
      <c r="AQ832" s="111">
        <f t="shared" si="242"/>
        <v>0</v>
      </c>
      <c r="AR832">
        <f>_xlfn.XLOOKUP(F832,'RM Cost'!A:A,'RM Cost'!S:S)</f>
        <v>0</v>
      </c>
      <c r="AS832" t="e">
        <f>_xlfn.XLOOKUP(A832,[3]Sheet1!$B:$B,[3]Sheet1!$B:$B)</f>
        <v>#N/A</v>
      </c>
    </row>
    <row r="833" spans="1:46" x14ac:dyDescent="0.25">
      <c r="A833" s="2" t="s">
        <v>181</v>
      </c>
      <c r="B833" s="2" t="s">
        <v>656</v>
      </c>
      <c r="C833" s="2" t="s">
        <v>182</v>
      </c>
      <c r="D833" s="2" t="s">
        <v>554</v>
      </c>
      <c r="E833" s="2">
        <v>1</v>
      </c>
      <c r="F833" s="1" t="str">
        <f>VLOOKUP(H833,'RM Used'!A:B,2,0)</f>
        <v>3566CS</v>
      </c>
      <c r="G833" s="1" t="str">
        <f>IFERROR(VLOOKUP(F833,'RM Cost'!A:B,2,0),"")</f>
        <v>PEPPERS RED X 5KG</v>
      </c>
      <c r="H833" s="2" t="s">
        <v>1415</v>
      </c>
      <c r="I833" s="1" t="str">
        <f>VLOOKUP(F833,'RM Used'!B:D,3,0)</f>
        <v>RM-FOOD</v>
      </c>
      <c r="J833" s="66">
        <v>1</v>
      </c>
      <c r="K833" s="35">
        <f t="shared" si="246"/>
        <v>1</v>
      </c>
      <c r="L833" s="35">
        <f t="shared" si="234"/>
        <v>1</v>
      </c>
      <c r="M833" s="77" cm="1">
        <f t="array" ref="M833">_xlfn.IFS(BOM!I833="RM-PACKING","100%",B833="Reynolds",VLOOKUP(H833,'Yield &amp; Time'!A:V,22,0),BOM!B833="Dnata",VLOOKUP(BOM!H833,'Yield &amp; Time'!A:M,13,0),B833="NK",VLOOKUP(H833,'Yield &amp; Time'!A:X,24,0))</f>
        <v>0.72359999999999991</v>
      </c>
      <c r="N833" s="35">
        <f t="shared" si="245"/>
        <v>1.3819789939192926</v>
      </c>
      <c r="O833" s="1" t="str">
        <f>VLOOKUP(H833,'RM Used'!A:E,5,0)</f>
        <v>KG</v>
      </c>
      <c r="P833" s="11">
        <f>VLOOKUP(H833,'RM Used'!A:F,6,0)</f>
        <v>1.72</v>
      </c>
      <c r="Q833" s="11">
        <f t="shared" si="243"/>
        <v>2.3770038695411833</v>
      </c>
      <c r="R833" s="11">
        <f>IFERROR(IF(B833="Reynolds",VLOOKUP(H833,'Yield &amp; Time'!A:U,21,0),VLOOKUP(H833,'Yield &amp; Time'!A:L,12,0)),0)</f>
        <v>1.0211442786069653</v>
      </c>
      <c r="S833" s="11">
        <f t="shared" si="235"/>
        <v>0.34565733830845774</v>
      </c>
      <c r="T833" s="11">
        <f t="shared" si="236"/>
        <v>1.7019071310116089E-2</v>
      </c>
      <c r="U833" s="11">
        <f>IF(A832=A833,0,VLOOKUP(A833,'Packing Time'!A:F,6,0))</f>
        <v>0.64166666666666661</v>
      </c>
      <c r="V833" s="11">
        <f t="shared" si="247"/>
        <v>0.21720416666666661</v>
      </c>
      <c r="W833" s="11">
        <f t="shared" si="248"/>
        <v>1.0694444444444444E-2</v>
      </c>
      <c r="X833" s="11">
        <f t="shared" si="237"/>
        <v>0.90057840796019895</v>
      </c>
      <c r="Y833" s="11">
        <f t="shared" si="249"/>
        <v>0.90057840796019895</v>
      </c>
      <c r="Z833" s="37">
        <v>1</v>
      </c>
      <c r="AA833" s="36">
        <f t="shared" si="238"/>
        <v>1.3819789939192926</v>
      </c>
      <c r="AB833" s="36">
        <f t="shared" si="239"/>
        <v>2.3770038695411833</v>
      </c>
      <c r="AC833" s="11">
        <f t="shared" si="240"/>
        <v>4.4341625207296856E-2</v>
      </c>
      <c r="AD833" s="36">
        <f t="shared" si="250"/>
        <v>0.90057840796019895</v>
      </c>
      <c r="AE833" s="36" t="str">
        <f>VLOOKUP(H833,'Yield &amp; Time'!A:I,9,0)</f>
        <v>CHLORINE</v>
      </c>
      <c r="AF833" s="36">
        <f>IFERROR(VLOOKUP(AE833,'Chemical Cost'!A:D,4,0),0)</f>
        <v>2.7756518066439469E-2</v>
      </c>
      <c r="AG833" s="114">
        <f t="shared" si="241"/>
        <v>1.2786308304053562E-2</v>
      </c>
      <c r="AH833" s="36">
        <f t="shared" si="244"/>
        <v>1.2786308304053562E-2</v>
      </c>
      <c r="AI833" s="36">
        <f t="shared" si="251"/>
        <v>3.2903685858054357</v>
      </c>
      <c r="AJ833" s="36">
        <f>IFERROR(VLOOKUP(A833,'All Products'!A:F,6,0),0)</f>
        <v>5.69</v>
      </c>
      <c r="AK833" s="36">
        <f>AJ833*Z833*J833</f>
        <v>5.69</v>
      </c>
      <c r="AL833" s="23">
        <v>0.8</v>
      </c>
      <c r="AM833" s="23">
        <v>0.2</v>
      </c>
      <c r="AN833" s="54" t="e">
        <v>#N/A</v>
      </c>
      <c r="AO833" s="47"/>
      <c r="AP833" s="4">
        <v>1.6</v>
      </c>
      <c r="AQ833" s="111">
        <f t="shared" si="242"/>
        <v>4.4341625207296856E-2</v>
      </c>
      <c r="AR833">
        <f>_xlfn.XLOOKUP(F833,'RM Cost'!A:A,'RM Cost'!S:S)</f>
        <v>0</v>
      </c>
      <c r="AS833" t="str">
        <f>_xlfn.XLOOKUP(A833,[3]Sheet1!$B:$B,[3]Sheet1!$B:$B)</f>
        <v>Z167CS</v>
      </c>
      <c r="AT833">
        <f>_xlfn.XLOOKUP(H833,'Yield &amp; Time'!A:A,'Yield &amp; Time'!F:F)</f>
        <v>0</v>
      </c>
    </row>
    <row r="834" spans="1:46" x14ac:dyDescent="0.25">
      <c r="A834" s="2" t="s">
        <v>181</v>
      </c>
      <c r="B834" s="2" t="s">
        <v>656</v>
      </c>
      <c r="C834" s="2" t="s">
        <v>182</v>
      </c>
      <c r="D834" s="2" t="s">
        <v>554</v>
      </c>
      <c r="E834" s="2">
        <v>1</v>
      </c>
      <c r="F834" s="1" t="str">
        <f>VLOOKUP(H834,'RM Used'!A:B,2,0)</f>
        <v>P0008</v>
      </c>
      <c r="G834" s="1" t="str">
        <f>IFERROR(VLOOKUP(F834,'RM Cost'!A:B,2,0),"")</f>
        <v>PALE BLUE BAG 470X750MM</v>
      </c>
      <c r="H834" s="2" t="s">
        <v>1323</v>
      </c>
      <c r="I834" s="1" t="str">
        <f>VLOOKUP(F834,'RM Used'!B:D,3,0)</f>
        <v>RM-PACKING</v>
      </c>
      <c r="J834" s="66">
        <v>1</v>
      </c>
      <c r="K834" s="35" t="str">
        <f t="shared" si="246"/>
        <v/>
      </c>
      <c r="L834" s="35">
        <f t="shared" ref="L834:L897" si="252">IFERROR(K834*Z834,0)</f>
        <v>0</v>
      </c>
      <c r="M834" s="77" t="str" cm="1">
        <f t="array" ref="M834">_xlfn.IFS(BOM!I834="RM-PACKING","100%",B834="Reynolds",VLOOKUP(H834,'Yield &amp; Time'!A:V,22,0),BOM!B834="Dnata",VLOOKUP(BOM!H834,'Yield &amp; Time'!A:M,13,0),B834="NK",VLOOKUP(H834,'Yield &amp; Time'!A:X,24,0))</f>
        <v>100%</v>
      </c>
      <c r="N834" s="35">
        <f t="shared" si="245"/>
        <v>1</v>
      </c>
      <c r="O834" s="1" t="str">
        <f>VLOOKUP(H834,'RM Used'!A:E,5,0)</f>
        <v>Count</v>
      </c>
      <c r="P834" s="11">
        <f>VLOOKUP(H834,'RM Used'!A:F,6,0)</f>
        <v>0.14000000000000001</v>
      </c>
      <c r="Q834" s="11">
        <f t="shared" si="243"/>
        <v>0.14000000000000001</v>
      </c>
      <c r="R834" s="11">
        <f>IFERROR(IF(B834="Reynolds",VLOOKUP(H834,'Yield &amp; Time'!A:U,21,0),VLOOKUP(H834,'Yield &amp; Time'!A:L,12,0)),0)</f>
        <v>0</v>
      </c>
      <c r="S834" s="11">
        <f t="shared" ref="S834:S897" si="253">R834*J834*E834*AO$1</f>
        <v>0</v>
      </c>
      <c r="T834" s="11">
        <f t="shared" ref="T834:T897" si="254">(R834*Z834*J834*E834)/60</f>
        <v>0</v>
      </c>
      <c r="U834" s="11">
        <f>IF(A833=A834,0,VLOOKUP(A834,'Packing Time'!A:F,6,0))</f>
        <v>0</v>
      </c>
      <c r="V834" s="11">
        <f t="shared" si="247"/>
        <v>0</v>
      </c>
      <c r="W834" s="11">
        <f t="shared" si="248"/>
        <v>0</v>
      </c>
      <c r="X834" s="11">
        <f t="shared" ref="X834:X897" si="255">((R834*J834*E834)+U834)*AO$1*AP834</f>
        <v>0</v>
      </c>
      <c r="Y834" s="11">
        <f t="shared" si="249"/>
        <v>0</v>
      </c>
      <c r="Z834" s="37">
        <v>1</v>
      </c>
      <c r="AA834" s="36">
        <f t="shared" ref="AA834:AA897" si="256">Z834*N834</f>
        <v>1</v>
      </c>
      <c r="AB834" s="36">
        <f t="shared" ref="AB834:AB897" si="257">AA834*P834</f>
        <v>0.14000000000000001</v>
      </c>
      <c r="AC834" s="11">
        <f t="shared" ref="AC834:AC897" si="258">(((R834*J834*E834)+U834)/60)*Z834*AP834</f>
        <v>0</v>
      </c>
      <c r="AD834" s="36">
        <f t="shared" si="250"/>
        <v>0</v>
      </c>
      <c r="AE834" s="36"/>
      <c r="AF834" s="36">
        <f>IFERROR(VLOOKUP(AE834,'Chemical Cost'!A:D,4,0),0)</f>
        <v>0</v>
      </c>
      <c r="AG834" s="114">
        <f t="shared" ref="AG834:AG897" si="259">AF834*N834/3</f>
        <v>0</v>
      </c>
      <c r="AH834" s="36">
        <f t="shared" si="244"/>
        <v>0</v>
      </c>
      <c r="AI834" s="36">
        <f t="shared" si="251"/>
        <v>0.14000000000000001</v>
      </c>
      <c r="AJ834" s="36">
        <f>IFERROR(VLOOKUP(A834,'All Products'!A:F,6,0),0)</f>
        <v>5.69</v>
      </c>
      <c r="AK834" s="36"/>
      <c r="AL834" s="23">
        <v>0.8</v>
      </c>
      <c r="AM834" s="23">
        <v>0.2</v>
      </c>
      <c r="AN834" s="54" t="e">
        <v>#N/A</v>
      </c>
      <c r="AO834" s="47"/>
      <c r="AP834" s="4">
        <v>1.6</v>
      </c>
      <c r="AQ834" s="111">
        <f t="shared" ref="AQ834:AQ897" si="260">(((R834*J834*E834)+U834)/60)*AP834</f>
        <v>0</v>
      </c>
      <c r="AR834">
        <f>_xlfn.XLOOKUP(F834,'RM Cost'!A:A,'RM Cost'!S:S)</f>
        <v>0</v>
      </c>
      <c r="AS834" t="str">
        <f>_xlfn.XLOOKUP(A834,[3]Sheet1!$B:$B,[3]Sheet1!$B:$B)</f>
        <v>Z167CS</v>
      </c>
      <c r="AT834" t="e">
        <f>_xlfn.XLOOKUP(H834,'Yield &amp; Time'!A:A,'Yield &amp; Time'!F:F)</f>
        <v>#N/A</v>
      </c>
    </row>
    <row r="835" spans="1:46" x14ac:dyDescent="0.25">
      <c r="A835" s="2" t="s">
        <v>468</v>
      </c>
      <c r="B835" s="2" t="s">
        <v>656</v>
      </c>
      <c r="C835" s="2" t="s">
        <v>469</v>
      </c>
      <c r="D835" s="2" t="s">
        <v>554</v>
      </c>
      <c r="E835" s="2">
        <v>2.5</v>
      </c>
      <c r="F835" s="1" t="str">
        <f>VLOOKUP(H835,'RM Used'!A:B,2,0)</f>
        <v>3566CS</v>
      </c>
      <c r="G835" s="1" t="str">
        <f>IFERROR(VLOOKUP(F835,'RM Cost'!A:B,2,0),"")</f>
        <v>PEPPERS RED X 5KG</v>
      </c>
      <c r="H835" s="2" t="s">
        <v>1415</v>
      </c>
      <c r="I835" s="1" t="str">
        <f>VLOOKUP(F835,'RM Used'!B:D,3,0)</f>
        <v>RM-FOOD</v>
      </c>
      <c r="J835" s="66">
        <v>1</v>
      </c>
      <c r="K835" s="35">
        <f t="shared" si="246"/>
        <v>2.5</v>
      </c>
      <c r="L835" s="35">
        <f t="shared" si="252"/>
        <v>2.5</v>
      </c>
      <c r="M835" s="77" cm="1">
        <f t="array" ref="M835">_xlfn.IFS(BOM!I835="RM-PACKING","100%",B835="Reynolds",VLOOKUP(H835,'Yield &amp; Time'!A:V,22,0),BOM!B835="Dnata",VLOOKUP(BOM!H835,'Yield &amp; Time'!A:M,13,0),B835="NK",VLOOKUP(H835,'Yield &amp; Time'!A:X,24,0))</f>
        <v>0.72359999999999991</v>
      </c>
      <c r="N835" s="35">
        <f t="shared" si="245"/>
        <v>3.4549474847982315</v>
      </c>
      <c r="O835" s="1" t="str">
        <f>VLOOKUP(H835,'RM Used'!A:E,5,0)</f>
        <v>KG</v>
      </c>
      <c r="P835" s="11">
        <f>VLOOKUP(H835,'RM Used'!A:F,6,0)</f>
        <v>1.72</v>
      </c>
      <c r="Q835" s="11">
        <f t="shared" ref="Q835:Q898" si="261">P835*N835</f>
        <v>5.9425096738529586</v>
      </c>
      <c r="R835" s="11">
        <f>IFERROR(IF(B835="Reynolds",VLOOKUP(H835,'Yield &amp; Time'!A:U,21,0),VLOOKUP(H835,'Yield &amp; Time'!A:L,12,0)),0)</f>
        <v>1.0211442786069653</v>
      </c>
      <c r="S835" s="11">
        <f t="shared" si="253"/>
        <v>0.86414334577114438</v>
      </c>
      <c r="T835" s="11">
        <f t="shared" si="254"/>
        <v>4.2547678275290227E-2</v>
      </c>
      <c r="U835" s="11">
        <f>IF(A834=A835,0,VLOOKUP(A835,'Packing Time'!A:F,6,0))</f>
        <v>0.875</v>
      </c>
      <c r="V835" s="11">
        <f t="shared" si="247"/>
        <v>0.29618749999999999</v>
      </c>
      <c r="W835" s="11">
        <f t="shared" si="248"/>
        <v>1.4583333333333334E-2</v>
      </c>
      <c r="X835" s="11">
        <f t="shared" si="255"/>
        <v>1.8565293532338309</v>
      </c>
      <c r="Y835" s="11">
        <f t="shared" si="249"/>
        <v>1.8565293532338309</v>
      </c>
      <c r="Z835" s="37">
        <v>1</v>
      </c>
      <c r="AA835" s="36">
        <f t="shared" si="256"/>
        <v>3.4549474847982315</v>
      </c>
      <c r="AB835" s="36">
        <f t="shared" si="257"/>
        <v>5.9425096738529586</v>
      </c>
      <c r="AC835" s="11">
        <f t="shared" si="258"/>
        <v>9.1409618573797702E-2</v>
      </c>
      <c r="AD835" s="36">
        <f t="shared" si="250"/>
        <v>1.8565293532338314</v>
      </c>
      <c r="AE835" s="36" t="str">
        <f>VLOOKUP(H835,'Yield &amp; Time'!A:I,9,0)</f>
        <v>CHLORINE</v>
      </c>
      <c r="AF835" s="36">
        <f>IFERROR(VLOOKUP(AE835,'Chemical Cost'!A:D,4,0),0)</f>
        <v>2.7756518066439469E-2</v>
      </c>
      <c r="AG835" s="114">
        <f t="shared" si="259"/>
        <v>3.1965770760133905E-2</v>
      </c>
      <c r="AH835" s="36">
        <f t="shared" si="244"/>
        <v>3.1965770760133905E-2</v>
      </c>
      <c r="AI835" s="36">
        <f t="shared" si="251"/>
        <v>7.8310047978469228</v>
      </c>
      <c r="AJ835" s="36">
        <f>IFERROR(VLOOKUP(A835,'All Products'!A:F,6,0),0)</f>
        <v>14.21</v>
      </c>
      <c r="AK835" s="36">
        <f>AJ835*Z835*J835</f>
        <v>14.21</v>
      </c>
      <c r="AL835" s="23">
        <v>0.8</v>
      </c>
      <c r="AM835" s="23">
        <v>0.2</v>
      </c>
      <c r="AN835" s="54" t="e">
        <v>#N/A</v>
      </c>
      <c r="AO835" s="47"/>
      <c r="AP835" s="4">
        <v>1.6</v>
      </c>
      <c r="AQ835" s="111">
        <f t="shared" si="260"/>
        <v>9.1409618573797702E-2</v>
      </c>
      <c r="AR835">
        <f>_xlfn.XLOOKUP(F835,'RM Cost'!A:A,'RM Cost'!S:S)</f>
        <v>0</v>
      </c>
      <c r="AS835" t="str">
        <f>_xlfn.XLOOKUP(A835,[3]Sheet1!$B:$B,[3]Sheet1!$B:$B)</f>
        <v>Z166CS</v>
      </c>
      <c r="AT835">
        <f>_xlfn.XLOOKUP(H835,'Yield &amp; Time'!A:A,'Yield &amp; Time'!F:F)</f>
        <v>0</v>
      </c>
    </row>
    <row r="836" spans="1:46" x14ac:dyDescent="0.25">
      <c r="A836" s="2" t="s">
        <v>468</v>
      </c>
      <c r="B836" s="2" t="s">
        <v>656</v>
      </c>
      <c r="C836" s="2" t="s">
        <v>469</v>
      </c>
      <c r="D836" s="2" t="s">
        <v>554</v>
      </c>
      <c r="E836" s="2">
        <v>2.5</v>
      </c>
      <c r="F836" s="1" t="str">
        <f>VLOOKUP(H836,'RM Used'!A:B,2,0)</f>
        <v>P0008</v>
      </c>
      <c r="G836" s="1" t="str">
        <f>IFERROR(VLOOKUP(F836,'RM Cost'!A:B,2,0),"")</f>
        <v>PALE BLUE BAG 470X750MM</v>
      </c>
      <c r="H836" s="2" t="s">
        <v>1323</v>
      </c>
      <c r="I836" s="1" t="str">
        <f>VLOOKUP(F836,'RM Used'!B:D,3,0)</f>
        <v>RM-PACKING</v>
      </c>
      <c r="J836" s="66">
        <v>1</v>
      </c>
      <c r="K836" s="35" t="str">
        <f t="shared" si="246"/>
        <v/>
      </c>
      <c r="L836" s="35">
        <f t="shared" si="252"/>
        <v>0</v>
      </c>
      <c r="M836" s="77" t="str" cm="1">
        <f t="array" ref="M836">_xlfn.IFS(BOM!I836="RM-PACKING","100%",B836="Reynolds",VLOOKUP(H836,'Yield &amp; Time'!A:V,22,0),BOM!B836="Dnata",VLOOKUP(BOM!H836,'Yield &amp; Time'!A:M,13,0),B836="NK",VLOOKUP(H836,'Yield &amp; Time'!A:X,24,0))</f>
        <v>100%</v>
      </c>
      <c r="N836" s="35">
        <f t="shared" si="245"/>
        <v>1</v>
      </c>
      <c r="O836" s="1" t="str">
        <f>VLOOKUP(H836,'RM Used'!A:E,5,0)</f>
        <v>Count</v>
      </c>
      <c r="P836" s="11">
        <f>VLOOKUP(H836,'RM Used'!A:F,6,0)</f>
        <v>0.14000000000000001</v>
      </c>
      <c r="Q836" s="11">
        <f t="shared" si="261"/>
        <v>0.14000000000000001</v>
      </c>
      <c r="R836" s="11">
        <f>IFERROR(IF(B836="Reynolds",VLOOKUP(H836,'Yield &amp; Time'!A:U,21,0),VLOOKUP(H836,'Yield &amp; Time'!A:L,12,0)),0)</f>
        <v>0</v>
      </c>
      <c r="S836" s="11">
        <f t="shared" si="253"/>
        <v>0</v>
      </c>
      <c r="T836" s="11">
        <f t="shared" si="254"/>
        <v>0</v>
      </c>
      <c r="U836" s="11">
        <f>IF(A835=A836,0,VLOOKUP(A836,'Packing Time'!A:F,6,0))</f>
        <v>0</v>
      </c>
      <c r="V836" s="11">
        <f t="shared" si="247"/>
        <v>0</v>
      </c>
      <c r="W836" s="11">
        <f t="shared" si="248"/>
        <v>0</v>
      </c>
      <c r="X836" s="11">
        <f t="shared" si="255"/>
        <v>0</v>
      </c>
      <c r="Y836" s="11">
        <f t="shared" si="249"/>
        <v>0</v>
      </c>
      <c r="Z836" s="37">
        <v>1</v>
      </c>
      <c r="AA836" s="36">
        <f t="shared" si="256"/>
        <v>1</v>
      </c>
      <c r="AB836" s="36">
        <f t="shared" si="257"/>
        <v>0.14000000000000001</v>
      </c>
      <c r="AC836" s="11">
        <f t="shared" si="258"/>
        <v>0</v>
      </c>
      <c r="AD836" s="36">
        <f t="shared" si="250"/>
        <v>0</v>
      </c>
      <c r="AE836" s="36"/>
      <c r="AF836" s="36">
        <f>IFERROR(VLOOKUP(AE836,'Chemical Cost'!A:D,4,0),0)</f>
        <v>0</v>
      </c>
      <c r="AG836" s="114">
        <f t="shared" si="259"/>
        <v>0</v>
      </c>
      <c r="AH836" s="36">
        <f t="shared" si="244"/>
        <v>0</v>
      </c>
      <c r="AI836" s="36">
        <f t="shared" si="251"/>
        <v>0.14000000000000001</v>
      </c>
      <c r="AJ836" s="36">
        <f>IFERROR(VLOOKUP(A836,'All Products'!A:F,6,0),0)</f>
        <v>14.21</v>
      </c>
      <c r="AK836" s="36"/>
      <c r="AL836" s="23">
        <v>0.8</v>
      </c>
      <c r="AM836" s="23">
        <v>0.2</v>
      </c>
      <c r="AN836" s="54" t="e">
        <v>#N/A</v>
      </c>
      <c r="AO836" s="47"/>
      <c r="AP836" s="4">
        <v>1.6</v>
      </c>
      <c r="AQ836" s="111">
        <f t="shared" si="260"/>
        <v>0</v>
      </c>
      <c r="AR836">
        <f>_xlfn.XLOOKUP(F836,'RM Cost'!A:A,'RM Cost'!S:S)</f>
        <v>0</v>
      </c>
      <c r="AS836" t="str">
        <f>_xlfn.XLOOKUP(A836,[3]Sheet1!$B:$B,[3]Sheet1!$B:$B)</f>
        <v>Z166CS</v>
      </c>
      <c r="AT836" t="e">
        <f>_xlfn.XLOOKUP(H836,'Yield &amp; Time'!A:A,'Yield &amp; Time'!F:F)</f>
        <v>#N/A</v>
      </c>
    </row>
    <row r="837" spans="1:46" x14ac:dyDescent="0.25">
      <c r="A837" s="2" t="s">
        <v>467</v>
      </c>
      <c r="B837" s="2" t="s">
        <v>656</v>
      </c>
      <c r="C837" s="2" t="s">
        <v>870</v>
      </c>
      <c r="D837" s="2" t="s">
        <v>554</v>
      </c>
      <c r="E837" s="2">
        <v>1</v>
      </c>
      <c r="F837" s="1" t="str">
        <f>VLOOKUP(H837,'RM Used'!A:B,2,0)</f>
        <v>3566CS</v>
      </c>
      <c r="G837" s="1" t="str">
        <f>IFERROR(VLOOKUP(F837,'RM Cost'!A:B,2,0),"")</f>
        <v>PEPPERS RED X 5KG</v>
      </c>
      <c r="H837" s="2" t="s">
        <v>1418</v>
      </c>
      <c r="I837" s="1" t="str">
        <f>VLOOKUP(F837,'RM Used'!B:D,3,0)</f>
        <v>RM-FOOD</v>
      </c>
      <c r="J837" s="66">
        <v>1</v>
      </c>
      <c r="K837" s="35">
        <f t="shared" si="246"/>
        <v>1</v>
      </c>
      <c r="L837" s="35">
        <f t="shared" si="252"/>
        <v>1</v>
      </c>
      <c r="M837" s="77" cm="1">
        <f t="array" ref="M837">_xlfn.IFS(BOM!I837="RM-PACKING","100%",B837="Reynolds",VLOOKUP(H837,'Yield &amp; Time'!A:V,22,0),BOM!B837="Dnata",VLOOKUP(BOM!H837,'Yield &amp; Time'!A:M,13,0),B837="NK",VLOOKUP(H837,'Yield &amp; Time'!A:X,24,0))</f>
        <v>0.45254779411764695</v>
      </c>
      <c r="N837" s="35">
        <f t="shared" si="245"/>
        <v>2.2097113564540636</v>
      </c>
      <c r="O837" s="1" t="str">
        <f>VLOOKUP(H837,'RM Used'!A:E,5,0)</f>
        <v>KG</v>
      </c>
      <c r="P837" s="11">
        <f>VLOOKUP(H837,'RM Used'!A:F,6,0)</f>
        <v>1.72</v>
      </c>
      <c r="Q837" s="11">
        <f t="shared" si="261"/>
        <v>3.8007035331009895</v>
      </c>
      <c r="R837" s="11">
        <f>IFERROR(IF(B837="Reynolds",VLOOKUP(H837,'Yield &amp; Time'!A:U,21,0),VLOOKUP(H837,'Yield &amp; Time'!A:L,12,0)),0)</f>
        <v>4.505319148936171</v>
      </c>
      <c r="S837" s="11">
        <f t="shared" si="253"/>
        <v>1.5250505319148937</v>
      </c>
      <c r="T837" s="11">
        <f t="shared" si="254"/>
        <v>7.5088652482269522E-2</v>
      </c>
      <c r="U837" s="11">
        <f>IF(A836=A837,0,VLOOKUP(A837,'Packing Time'!A:F,6,0))</f>
        <v>0.64166666666666661</v>
      </c>
      <c r="V837" s="11">
        <f t="shared" si="247"/>
        <v>0.21720416666666661</v>
      </c>
      <c r="W837" s="11">
        <f t="shared" si="248"/>
        <v>1.0694444444444444E-2</v>
      </c>
      <c r="X837" s="11">
        <f t="shared" si="255"/>
        <v>2.7876075177304966</v>
      </c>
      <c r="Y837" s="11">
        <f t="shared" si="249"/>
        <v>2.7876075177304966</v>
      </c>
      <c r="Z837" s="37">
        <v>1</v>
      </c>
      <c r="AA837" s="36">
        <f t="shared" si="256"/>
        <v>2.2097113564540636</v>
      </c>
      <c r="AB837" s="36">
        <f t="shared" si="257"/>
        <v>3.8007035331009895</v>
      </c>
      <c r="AC837" s="11">
        <f t="shared" si="258"/>
        <v>0.13725295508274235</v>
      </c>
      <c r="AD837" s="36">
        <f t="shared" si="250"/>
        <v>2.7876075177304966</v>
      </c>
      <c r="AE837" s="36" t="str">
        <f>VLOOKUP(H837,'Yield &amp; Time'!A:I,9,0)</f>
        <v>CHLORINE</v>
      </c>
      <c r="AF837" s="36">
        <f>IFERROR(VLOOKUP(AE837,'Chemical Cost'!A:D,4,0),0)</f>
        <v>2.7756518066439469E-2</v>
      </c>
      <c r="AG837" s="114">
        <f t="shared" si="259"/>
        <v>2.0444631062344561E-2</v>
      </c>
      <c r="AH837" s="36">
        <f t="shared" si="244"/>
        <v>2.0444631062344561E-2</v>
      </c>
      <c r="AI837" s="36">
        <f t="shared" si="251"/>
        <v>6.6087556818938307</v>
      </c>
      <c r="AJ837" s="36">
        <f>IFERROR(VLOOKUP(A837,'All Products'!A:F,6,0),0)</f>
        <v>8.42</v>
      </c>
      <c r="AK837" s="36">
        <f>AJ837*Z837*J837</f>
        <v>8.42</v>
      </c>
      <c r="AL837" s="23">
        <v>0.8</v>
      </c>
      <c r="AM837" s="23">
        <v>0.2</v>
      </c>
      <c r="AN837" s="54" t="e">
        <v>#N/A</v>
      </c>
      <c r="AO837" s="47"/>
      <c r="AP837" s="4">
        <v>1.6</v>
      </c>
      <c r="AQ837" s="111">
        <f t="shared" si="260"/>
        <v>0.13725295508274235</v>
      </c>
      <c r="AR837">
        <f>_xlfn.XLOOKUP(F837,'RM Cost'!A:A,'RM Cost'!S:S)</f>
        <v>0</v>
      </c>
      <c r="AS837" t="str">
        <f>_xlfn.XLOOKUP(A837,[3]Sheet1!$B:$B,[3]Sheet1!$B:$B)</f>
        <v>Z177CS</v>
      </c>
      <c r="AT837">
        <f>_xlfn.XLOOKUP(H837,'Yield &amp; Time'!A:A,'Yield &amp; Time'!F:F)</f>
        <v>0</v>
      </c>
    </row>
    <row r="838" spans="1:46" x14ac:dyDescent="0.25">
      <c r="A838" s="2" t="s">
        <v>467</v>
      </c>
      <c r="B838" s="2" t="s">
        <v>656</v>
      </c>
      <c r="C838" s="2" t="s">
        <v>870</v>
      </c>
      <c r="D838" s="2" t="s">
        <v>554</v>
      </c>
      <c r="E838" s="2">
        <v>1</v>
      </c>
      <c r="F838" s="1" t="str">
        <f>VLOOKUP(H838,'RM Used'!A:B,2,0)</f>
        <v>P0008</v>
      </c>
      <c r="G838" s="1" t="str">
        <f>IFERROR(VLOOKUP(F838,'RM Cost'!A:B,2,0),"")</f>
        <v>PALE BLUE BAG 470X750MM</v>
      </c>
      <c r="H838" s="2" t="s">
        <v>1323</v>
      </c>
      <c r="I838" s="1" t="str">
        <f>VLOOKUP(F838,'RM Used'!B:D,3,0)</f>
        <v>RM-PACKING</v>
      </c>
      <c r="J838" s="66">
        <v>1</v>
      </c>
      <c r="K838" s="35" t="str">
        <f t="shared" si="246"/>
        <v/>
      </c>
      <c r="L838" s="35">
        <f t="shared" si="252"/>
        <v>0</v>
      </c>
      <c r="M838" s="77" t="str" cm="1">
        <f t="array" ref="M838">_xlfn.IFS(BOM!I838="RM-PACKING","100%",B838="Reynolds",VLOOKUP(H838,'Yield &amp; Time'!A:V,22,0),BOM!B838="Dnata",VLOOKUP(BOM!H838,'Yield &amp; Time'!A:M,13,0),B838="NK",VLOOKUP(H838,'Yield &amp; Time'!A:X,24,0))</f>
        <v>100%</v>
      </c>
      <c r="N838" s="35">
        <f t="shared" si="245"/>
        <v>1</v>
      </c>
      <c r="O838" s="1" t="str">
        <f>VLOOKUP(H838,'RM Used'!A:E,5,0)</f>
        <v>Count</v>
      </c>
      <c r="P838" s="11">
        <f>VLOOKUP(H838,'RM Used'!A:F,6,0)</f>
        <v>0.14000000000000001</v>
      </c>
      <c r="Q838" s="11">
        <f t="shared" si="261"/>
        <v>0.14000000000000001</v>
      </c>
      <c r="R838" s="11">
        <f>IFERROR(IF(B838="Reynolds",VLOOKUP(H838,'Yield &amp; Time'!A:U,21,0),VLOOKUP(H838,'Yield &amp; Time'!A:L,12,0)),0)</f>
        <v>0</v>
      </c>
      <c r="S838" s="11">
        <f t="shared" si="253"/>
        <v>0</v>
      </c>
      <c r="T838" s="11">
        <f t="shared" si="254"/>
        <v>0</v>
      </c>
      <c r="U838" s="11">
        <f>IF(A837=A838,0,VLOOKUP(A838,'Packing Time'!A:F,6,0))</f>
        <v>0</v>
      </c>
      <c r="V838" s="11">
        <f t="shared" si="247"/>
        <v>0</v>
      </c>
      <c r="W838" s="11">
        <f t="shared" si="248"/>
        <v>0</v>
      </c>
      <c r="X838" s="11">
        <f t="shared" si="255"/>
        <v>0</v>
      </c>
      <c r="Y838" s="11">
        <f t="shared" si="249"/>
        <v>0</v>
      </c>
      <c r="Z838" s="37">
        <v>1</v>
      </c>
      <c r="AA838" s="36">
        <f t="shared" si="256"/>
        <v>1</v>
      </c>
      <c r="AB838" s="36">
        <f t="shared" si="257"/>
        <v>0.14000000000000001</v>
      </c>
      <c r="AC838" s="11">
        <f t="shared" si="258"/>
        <v>0</v>
      </c>
      <c r="AD838" s="36">
        <f t="shared" si="250"/>
        <v>0</v>
      </c>
      <c r="AE838" s="36"/>
      <c r="AF838" s="36">
        <f>IFERROR(VLOOKUP(AE838,'Chemical Cost'!A:D,4,0),0)</f>
        <v>0</v>
      </c>
      <c r="AG838" s="114">
        <f t="shared" si="259"/>
        <v>0</v>
      </c>
      <c r="AH838" s="36">
        <f t="shared" si="244"/>
        <v>0</v>
      </c>
      <c r="AI838" s="36">
        <f t="shared" si="251"/>
        <v>0.14000000000000001</v>
      </c>
      <c r="AJ838" s="36">
        <f>IFERROR(VLOOKUP(A838,'All Products'!A:F,6,0),0)</f>
        <v>8.42</v>
      </c>
      <c r="AK838" s="36"/>
      <c r="AL838" s="23">
        <v>0.8</v>
      </c>
      <c r="AM838" s="23">
        <v>0.2</v>
      </c>
      <c r="AN838" s="54" t="e">
        <v>#N/A</v>
      </c>
      <c r="AO838" s="47"/>
      <c r="AP838" s="4">
        <v>1.6</v>
      </c>
      <c r="AQ838" s="111">
        <f t="shared" si="260"/>
        <v>0</v>
      </c>
      <c r="AR838">
        <f>_xlfn.XLOOKUP(F838,'RM Cost'!A:A,'RM Cost'!S:S)</f>
        <v>0</v>
      </c>
      <c r="AS838" t="str">
        <f>_xlfn.XLOOKUP(A838,[3]Sheet1!$B:$B,[3]Sheet1!$B:$B)</f>
        <v>Z177CS</v>
      </c>
      <c r="AT838" t="e">
        <f>_xlfn.XLOOKUP(H838,'Yield &amp; Time'!A:A,'Yield &amp; Time'!F:F)</f>
        <v>#N/A</v>
      </c>
    </row>
    <row r="839" spans="1:46" x14ac:dyDescent="0.25">
      <c r="A839" s="2" t="s">
        <v>180</v>
      </c>
      <c r="B839" s="2" t="s">
        <v>656</v>
      </c>
      <c r="C839" s="2" t="s">
        <v>871</v>
      </c>
      <c r="D839" s="2" t="s">
        <v>554</v>
      </c>
      <c r="E839" s="2">
        <v>2.5</v>
      </c>
      <c r="F839" s="1" t="str">
        <f>VLOOKUP(H839,'RM Used'!A:B,2,0)</f>
        <v>3566CS</v>
      </c>
      <c r="G839" s="1" t="str">
        <f>IFERROR(VLOOKUP(F839,'RM Cost'!A:B,2,0),"")</f>
        <v>PEPPERS RED X 5KG</v>
      </c>
      <c r="H839" s="2" t="s">
        <v>1418</v>
      </c>
      <c r="I839" s="1" t="str">
        <f>VLOOKUP(F839,'RM Used'!B:D,3,0)</f>
        <v>RM-FOOD</v>
      </c>
      <c r="J839" s="66">
        <v>1</v>
      </c>
      <c r="K839" s="35">
        <f t="shared" si="246"/>
        <v>2.5</v>
      </c>
      <c r="L839" s="35">
        <f t="shared" si="252"/>
        <v>2.5</v>
      </c>
      <c r="M839" s="77" cm="1">
        <f t="array" ref="M839">_xlfn.IFS(BOM!I839="RM-PACKING","100%",B839="Reynolds",VLOOKUP(H839,'Yield &amp; Time'!A:V,22,0),BOM!B839="Dnata",VLOOKUP(BOM!H839,'Yield &amp; Time'!A:M,13,0),B839="NK",VLOOKUP(H839,'Yield &amp; Time'!A:X,24,0))</f>
        <v>0.45254779411764695</v>
      </c>
      <c r="N839" s="35">
        <f t="shared" si="245"/>
        <v>5.5242783911351596</v>
      </c>
      <c r="O839" s="1" t="str">
        <f>VLOOKUP(H839,'RM Used'!A:E,5,0)</f>
        <v>KG</v>
      </c>
      <c r="P839" s="11">
        <f>VLOOKUP(H839,'RM Used'!A:F,6,0)</f>
        <v>1.72</v>
      </c>
      <c r="Q839" s="11">
        <f t="shared" si="261"/>
        <v>9.5017588327524738</v>
      </c>
      <c r="R839" s="11">
        <f>IFERROR(IF(B839="Reynolds",VLOOKUP(H839,'Yield &amp; Time'!A:U,21,0),VLOOKUP(H839,'Yield &amp; Time'!A:L,12,0)),0)</f>
        <v>4.505319148936171</v>
      </c>
      <c r="S839" s="11">
        <f t="shared" si="253"/>
        <v>3.8126263297872343</v>
      </c>
      <c r="T839" s="11">
        <f t="shared" si="254"/>
        <v>0.18772163120567378</v>
      </c>
      <c r="U839" s="11">
        <f>IF(A838=A839,0,VLOOKUP(A839,'Packing Time'!A:F,6,0))</f>
        <v>0.875</v>
      </c>
      <c r="V839" s="11">
        <f t="shared" si="247"/>
        <v>0.29618749999999999</v>
      </c>
      <c r="W839" s="11">
        <f t="shared" si="248"/>
        <v>1.4583333333333334E-2</v>
      </c>
      <c r="X839" s="11">
        <f t="shared" si="255"/>
        <v>4.5196952127659582</v>
      </c>
      <c r="Y839" s="11">
        <f t="shared" si="249"/>
        <v>4.5196952127659582</v>
      </c>
      <c r="Z839" s="37">
        <v>1</v>
      </c>
      <c r="AA839" s="36">
        <f t="shared" si="256"/>
        <v>5.5242783911351596</v>
      </c>
      <c r="AB839" s="36">
        <f t="shared" si="257"/>
        <v>9.5017588327524738</v>
      </c>
      <c r="AC839" s="11">
        <f t="shared" si="258"/>
        <v>0.22253546099290786</v>
      </c>
      <c r="AD839" s="36">
        <f t="shared" si="250"/>
        <v>4.5196952127659582</v>
      </c>
      <c r="AE839" s="36" t="str">
        <f>VLOOKUP(H839,'Yield &amp; Time'!A:I,9,0)</f>
        <v>CHLORINE</v>
      </c>
      <c r="AF839" s="36">
        <f>IFERROR(VLOOKUP(AE839,'Chemical Cost'!A:D,4,0),0)</f>
        <v>2.7756518066439469E-2</v>
      </c>
      <c r="AG839" s="114">
        <f t="shared" si="259"/>
        <v>5.1111577655861412E-2</v>
      </c>
      <c r="AH839" s="36">
        <f t="shared" si="244"/>
        <v>5.1111577655861412E-2</v>
      </c>
      <c r="AI839" s="36">
        <f t="shared" si="251"/>
        <v>14.072565623174293</v>
      </c>
      <c r="AJ839" s="36">
        <f>IFERROR(VLOOKUP(A839,'All Products'!A:F,6,0),0)</f>
        <v>21.04</v>
      </c>
      <c r="AK839" s="36">
        <f>AJ839*Z839*J839</f>
        <v>21.04</v>
      </c>
      <c r="AL839" s="23">
        <v>0.8</v>
      </c>
      <c r="AM839" s="23">
        <v>0.2</v>
      </c>
      <c r="AN839" s="54" t="e">
        <v>#N/A</v>
      </c>
      <c r="AO839" s="47"/>
      <c r="AP839" s="4">
        <v>1.1000000000000001</v>
      </c>
      <c r="AQ839" s="111">
        <f t="shared" si="260"/>
        <v>0.22253546099290786</v>
      </c>
      <c r="AR839">
        <f>_xlfn.XLOOKUP(F839,'RM Cost'!A:A,'RM Cost'!S:S)</f>
        <v>0</v>
      </c>
      <c r="AS839" t="str">
        <f>_xlfn.XLOOKUP(A839,[3]Sheet1!$B:$B,[3]Sheet1!$B:$B)</f>
        <v>Z176CS</v>
      </c>
      <c r="AT839">
        <f>_xlfn.XLOOKUP(H839,'Yield &amp; Time'!A:A,'Yield &amp; Time'!F:F)</f>
        <v>0</v>
      </c>
    </row>
    <row r="840" spans="1:46" x14ac:dyDescent="0.25">
      <c r="A840" s="2" t="s">
        <v>180</v>
      </c>
      <c r="B840" s="2" t="s">
        <v>656</v>
      </c>
      <c r="C840" s="2" t="s">
        <v>871</v>
      </c>
      <c r="D840" s="2" t="s">
        <v>554</v>
      </c>
      <c r="E840" s="2">
        <v>2.5</v>
      </c>
      <c r="F840" s="1" t="str">
        <f>VLOOKUP(H840,'RM Used'!A:B,2,0)</f>
        <v>P0008</v>
      </c>
      <c r="G840" s="1" t="str">
        <f>IFERROR(VLOOKUP(F840,'RM Cost'!A:B,2,0),"")</f>
        <v>PALE BLUE BAG 470X750MM</v>
      </c>
      <c r="H840" s="2" t="s">
        <v>1323</v>
      </c>
      <c r="I840" s="1" t="str">
        <f>VLOOKUP(F840,'RM Used'!B:D,3,0)</f>
        <v>RM-PACKING</v>
      </c>
      <c r="J840" s="66">
        <v>1</v>
      </c>
      <c r="K840" s="35" t="str">
        <f t="shared" si="246"/>
        <v/>
      </c>
      <c r="L840" s="35">
        <f t="shared" si="252"/>
        <v>0</v>
      </c>
      <c r="M840" s="77" t="str" cm="1">
        <f t="array" ref="M840">_xlfn.IFS(BOM!I840="RM-PACKING","100%",B840="Reynolds",VLOOKUP(H840,'Yield &amp; Time'!A:V,22,0),BOM!B840="Dnata",VLOOKUP(BOM!H840,'Yield &amp; Time'!A:M,13,0),B840="NK",VLOOKUP(H840,'Yield &amp; Time'!A:X,24,0))</f>
        <v>100%</v>
      </c>
      <c r="N840" s="35">
        <f t="shared" si="245"/>
        <v>1</v>
      </c>
      <c r="O840" s="1" t="str">
        <f>VLOOKUP(H840,'RM Used'!A:E,5,0)</f>
        <v>Count</v>
      </c>
      <c r="P840" s="11">
        <f>VLOOKUP(H840,'RM Used'!A:F,6,0)</f>
        <v>0.14000000000000001</v>
      </c>
      <c r="Q840" s="11">
        <f t="shared" si="261"/>
        <v>0.14000000000000001</v>
      </c>
      <c r="R840" s="11">
        <f>IFERROR(IF(B840="Reynolds",VLOOKUP(H840,'Yield &amp; Time'!A:U,21,0),VLOOKUP(H840,'Yield &amp; Time'!A:L,12,0)),0)</f>
        <v>0</v>
      </c>
      <c r="S840" s="11">
        <f t="shared" si="253"/>
        <v>0</v>
      </c>
      <c r="T840" s="11">
        <f t="shared" si="254"/>
        <v>0</v>
      </c>
      <c r="U840" s="11">
        <f>IF(A839=A840,0,VLOOKUP(A840,'Packing Time'!A:F,6,0))</f>
        <v>0</v>
      </c>
      <c r="V840" s="11">
        <f t="shared" si="247"/>
        <v>0</v>
      </c>
      <c r="W840" s="11">
        <f t="shared" si="248"/>
        <v>0</v>
      </c>
      <c r="X840" s="11">
        <f t="shared" si="255"/>
        <v>0</v>
      </c>
      <c r="Y840" s="11">
        <f t="shared" si="249"/>
        <v>0</v>
      </c>
      <c r="Z840" s="37">
        <v>1</v>
      </c>
      <c r="AA840" s="36">
        <f t="shared" si="256"/>
        <v>1</v>
      </c>
      <c r="AB840" s="36">
        <f t="shared" si="257"/>
        <v>0.14000000000000001</v>
      </c>
      <c r="AC840" s="11">
        <f t="shared" si="258"/>
        <v>0</v>
      </c>
      <c r="AD840" s="36">
        <f t="shared" si="250"/>
        <v>0</v>
      </c>
      <c r="AE840" s="36"/>
      <c r="AF840" s="36">
        <f>IFERROR(VLOOKUP(AE840,'Chemical Cost'!A:D,4,0),0)</f>
        <v>0</v>
      </c>
      <c r="AG840" s="114">
        <f t="shared" si="259"/>
        <v>0</v>
      </c>
      <c r="AH840" s="36">
        <f t="shared" si="244"/>
        <v>0</v>
      </c>
      <c r="AI840" s="36">
        <f t="shared" si="251"/>
        <v>0.14000000000000001</v>
      </c>
      <c r="AJ840" s="36">
        <f>IFERROR(VLOOKUP(A840,'All Products'!A:F,6,0),0)</f>
        <v>21.04</v>
      </c>
      <c r="AK840" s="36"/>
      <c r="AL840" s="23">
        <v>0.8</v>
      </c>
      <c r="AM840" s="23">
        <v>0.2</v>
      </c>
      <c r="AN840" s="54" t="e">
        <v>#N/A</v>
      </c>
      <c r="AO840" s="47"/>
      <c r="AP840" s="4">
        <v>1.1000000000000001</v>
      </c>
      <c r="AQ840" s="111">
        <f t="shared" si="260"/>
        <v>0</v>
      </c>
      <c r="AR840">
        <f>_xlfn.XLOOKUP(F840,'RM Cost'!A:A,'RM Cost'!S:S)</f>
        <v>0</v>
      </c>
      <c r="AS840" t="str">
        <f>_xlfn.XLOOKUP(A840,[3]Sheet1!$B:$B,[3]Sheet1!$B:$B)</f>
        <v>Z176CS</v>
      </c>
      <c r="AT840" t="e">
        <f>_xlfn.XLOOKUP(H840,'Yield &amp; Time'!A:A,'Yield &amp; Time'!F:F)</f>
        <v>#N/A</v>
      </c>
    </row>
    <row r="841" spans="1:46" x14ac:dyDescent="0.25">
      <c r="A841" s="2" t="s">
        <v>466</v>
      </c>
      <c r="B841" s="2" t="s">
        <v>656</v>
      </c>
      <c r="C841" s="2" t="s">
        <v>872</v>
      </c>
      <c r="D841" s="2" t="s">
        <v>554</v>
      </c>
      <c r="E841" s="2">
        <v>1</v>
      </c>
      <c r="F841" s="1" t="str">
        <f>VLOOKUP(H841,'RM Used'!A:B,2,0)</f>
        <v>3567CS</v>
      </c>
      <c r="G841" s="1" t="str">
        <f>IFERROR(VLOOKUP(F841,'RM Cost'!A:B,2,0),"")</f>
        <v>RM - PEPPERS YELLOW  X 5KG</v>
      </c>
      <c r="H841" s="2" t="s">
        <v>1419</v>
      </c>
      <c r="I841" s="1" t="str">
        <f>VLOOKUP(F841,'RM Used'!B:D,3,0)</f>
        <v>RM-FOOD</v>
      </c>
      <c r="J841" s="66">
        <v>1</v>
      </c>
      <c r="K841" s="35">
        <f t="shared" si="246"/>
        <v>1</v>
      </c>
      <c r="L841" s="35">
        <f t="shared" si="252"/>
        <v>1</v>
      </c>
      <c r="M841" s="77" cm="1">
        <f t="array" ref="M841">_xlfn.IFS(BOM!I841="RM-PACKING","100%",B841="Reynolds",VLOOKUP(H841,'Yield &amp; Time'!A:V,22,0),BOM!B841="Dnata",VLOOKUP(BOM!H841,'Yield &amp; Time'!A:M,13,0),B841="NK",VLOOKUP(H841,'Yield &amp; Time'!A:X,24,0))</f>
        <v>0.45254779411764695</v>
      </c>
      <c r="N841" s="35">
        <f t="shared" si="245"/>
        <v>2.2097113564540636</v>
      </c>
      <c r="O841" s="1" t="str">
        <f>VLOOKUP(H841,'RM Used'!A:E,5,0)</f>
        <v>KG</v>
      </c>
      <c r="P841" s="11">
        <f>VLOOKUP(H841,'RM Used'!A:F,6,0)</f>
        <v>1.68</v>
      </c>
      <c r="Q841" s="11">
        <f t="shared" si="261"/>
        <v>3.7123150788428267</v>
      </c>
      <c r="R841" s="11">
        <f>IFERROR(IF(B841="Reynolds",VLOOKUP(H841,'Yield &amp; Time'!A:U,21,0),VLOOKUP(H841,'Yield &amp; Time'!A:L,12,0)),0)</f>
        <v>4.505319148936171</v>
      </c>
      <c r="S841" s="11">
        <f t="shared" si="253"/>
        <v>1.5250505319148937</v>
      </c>
      <c r="T841" s="11">
        <f t="shared" si="254"/>
        <v>7.5088652482269522E-2</v>
      </c>
      <c r="U841" s="11">
        <f>IF(A840=A841,0,VLOOKUP(A841,'Packing Time'!A:F,6,0))</f>
        <v>0.64166666666666661</v>
      </c>
      <c r="V841" s="11">
        <f t="shared" si="247"/>
        <v>0.21720416666666661</v>
      </c>
      <c r="W841" s="11">
        <f t="shared" si="248"/>
        <v>1.0694444444444444E-2</v>
      </c>
      <c r="X841" s="11">
        <f t="shared" si="255"/>
        <v>2.7876075177304966</v>
      </c>
      <c r="Y841" s="11">
        <f t="shared" si="249"/>
        <v>2.7876075177304966</v>
      </c>
      <c r="Z841" s="37">
        <v>1</v>
      </c>
      <c r="AA841" s="36">
        <f t="shared" si="256"/>
        <v>2.2097113564540636</v>
      </c>
      <c r="AB841" s="36">
        <f t="shared" si="257"/>
        <v>3.7123150788428267</v>
      </c>
      <c r="AC841" s="11">
        <f t="shared" si="258"/>
        <v>0.13725295508274235</v>
      </c>
      <c r="AD841" s="36">
        <f t="shared" si="250"/>
        <v>2.7876075177304966</v>
      </c>
      <c r="AE841" s="36" t="str">
        <f>VLOOKUP(H841,'Yield &amp; Time'!A:I,9,0)</f>
        <v>CHLORINE</v>
      </c>
      <c r="AF841" s="36">
        <f>IFERROR(VLOOKUP(AE841,'Chemical Cost'!A:D,4,0),0)</f>
        <v>2.7756518066439469E-2</v>
      </c>
      <c r="AG841" s="114">
        <f t="shared" si="259"/>
        <v>2.0444631062344561E-2</v>
      </c>
      <c r="AH841" s="36">
        <f t="shared" si="244"/>
        <v>2.0444631062344561E-2</v>
      </c>
      <c r="AI841" s="36">
        <f t="shared" si="251"/>
        <v>6.5203672276356688</v>
      </c>
      <c r="AJ841" s="36">
        <f>IFERROR(VLOOKUP(A841,'All Products'!A:F,6,0),0)</f>
        <v>8.69</v>
      </c>
      <c r="AK841" s="36">
        <f>AJ841*Z841*J841</f>
        <v>8.69</v>
      </c>
      <c r="AL841" s="23">
        <v>0.8</v>
      </c>
      <c r="AM841" s="23">
        <v>0.2</v>
      </c>
      <c r="AN841" s="54" t="e">
        <v>#N/A</v>
      </c>
      <c r="AO841" s="47"/>
      <c r="AP841" s="4">
        <v>1.6</v>
      </c>
      <c r="AQ841" s="111">
        <f t="shared" si="260"/>
        <v>0.13725295508274235</v>
      </c>
      <c r="AR841">
        <f>_xlfn.XLOOKUP(F841,'RM Cost'!A:A,'RM Cost'!S:S)</f>
        <v>0</v>
      </c>
      <c r="AS841" t="str">
        <f>_xlfn.XLOOKUP(A841,[3]Sheet1!$B:$B,[3]Sheet1!$B:$B)</f>
        <v>Z181CS</v>
      </c>
      <c r="AT841">
        <f>_xlfn.XLOOKUP(H841,'Yield &amp; Time'!A:A,'Yield &amp; Time'!F:F)</f>
        <v>0</v>
      </c>
    </row>
    <row r="842" spans="1:46" x14ac:dyDescent="0.25">
      <c r="A842" s="2" t="s">
        <v>466</v>
      </c>
      <c r="B842" s="2" t="s">
        <v>656</v>
      </c>
      <c r="C842" s="2" t="s">
        <v>872</v>
      </c>
      <c r="D842" s="2" t="s">
        <v>554</v>
      </c>
      <c r="E842" s="2">
        <v>1</v>
      </c>
      <c r="F842" s="1" t="str">
        <f>VLOOKUP(H842,'RM Used'!A:B,2,0)</f>
        <v>P0008</v>
      </c>
      <c r="G842" s="1" t="str">
        <f>IFERROR(VLOOKUP(F842,'RM Cost'!A:B,2,0),"")</f>
        <v>PALE BLUE BAG 470X750MM</v>
      </c>
      <c r="H842" s="2" t="s">
        <v>1323</v>
      </c>
      <c r="I842" s="1" t="str">
        <f>VLOOKUP(F842,'RM Used'!B:D,3,0)</f>
        <v>RM-PACKING</v>
      </c>
      <c r="J842" s="66">
        <v>1</v>
      </c>
      <c r="K842" s="35" t="str">
        <f t="shared" si="246"/>
        <v/>
      </c>
      <c r="L842" s="35">
        <f t="shared" si="252"/>
        <v>0</v>
      </c>
      <c r="M842" s="77" t="str" cm="1">
        <f t="array" ref="M842">_xlfn.IFS(BOM!I842="RM-PACKING","100%",B842="Reynolds",VLOOKUP(H842,'Yield &amp; Time'!A:V,22,0),BOM!B842="Dnata",VLOOKUP(BOM!H842,'Yield &amp; Time'!A:M,13,0),B842="NK",VLOOKUP(H842,'Yield &amp; Time'!A:X,24,0))</f>
        <v>100%</v>
      </c>
      <c r="N842" s="35">
        <f t="shared" si="245"/>
        <v>1</v>
      </c>
      <c r="O842" s="1" t="str">
        <f>VLOOKUP(H842,'RM Used'!A:E,5,0)</f>
        <v>Count</v>
      </c>
      <c r="P842" s="11">
        <f>VLOOKUP(H842,'RM Used'!A:F,6,0)</f>
        <v>0.14000000000000001</v>
      </c>
      <c r="Q842" s="11">
        <f t="shared" si="261"/>
        <v>0.14000000000000001</v>
      </c>
      <c r="R842" s="11">
        <f>IFERROR(IF(B842="Reynolds",VLOOKUP(H842,'Yield &amp; Time'!A:U,21,0),VLOOKUP(H842,'Yield &amp; Time'!A:L,12,0)),0)</f>
        <v>0</v>
      </c>
      <c r="S842" s="11">
        <f t="shared" si="253"/>
        <v>0</v>
      </c>
      <c r="T842" s="11">
        <f t="shared" si="254"/>
        <v>0</v>
      </c>
      <c r="U842" s="11">
        <f>IF(A841=A842,0,VLOOKUP(A842,'Packing Time'!A:F,6,0))</f>
        <v>0</v>
      </c>
      <c r="V842" s="11">
        <f t="shared" si="247"/>
        <v>0</v>
      </c>
      <c r="W842" s="11">
        <f t="shared" si="248"/>
        <v>0</v>
      </c>
      <c r="X842" s="11">
        <f t="shared" si="255"/>
        <v>0</v>
      </c>
      <c r="Y842" s="11">
        <f t="shared" si="249"/>
        <v>0</v>
      </c>
      <c r="Z842" s="37">
        <v>1</v>
      </c>
      <c r="AA842" s="36">
        <f t="shared" si="256"/>
        <v>1</v>
      </c>
      <c r="AB842" s="36">
        <f t="shared" si="257"/>
        <v>0.14000000000000001</v>
      </c>
      <c r="AC842" s="11">
        <f t="shared" si="258"/>
        <v>0</v>
      </c>
      <c r="AD842" s="36">
        <f t="shared" si="250"/>
        <v>0</v>
      </c>
      <c r="AE842" s="36"/>
      <c r="AF842" s="36">
        <f>IFERROR(VLOOKUP(AE842,'Chemical Cost'!A:D,4,0),0)</f>
        <v>0</v>
      </c>
      <c r="AG842" s="114">
        <f t="shared" si="259"/>
        <v>0</v>
      </c>
      <c r="AH842" s="36">
        <f t="shared" si="244"/>
        <v>0</v>
      </c>
      <c r="AI842" s="36">
        <f t="shared" si="251"/>
        <v>0.14000000000000001</v>
      </c>
      <c r="AJ842" s="36">
        <f>IFERROR(VLOOKUP(A842,'All Products'!A:F,6,0),0)</f>
        <v>8.69</v>
      </c>
      <c r="AK842" s="36"/>
      <c r="AL842" s="23">
        <v>0.8</v>
      </c>
      <c r="AM842" s="23">
        <v>0.2</v>
      </c>
      <c r="AN842" s="54" t="e">
        <v>#N/A</v>
      </c>
      <c r="AO842" s="47"/>
      <c r="AP842" s="4">
        <v>1.6</v>
      </c>
      <c r="AQ842" s="111">
        <f t="shared" si="260"/>
        <v>0</v>
      </c>
      <c r="AR842">
        <f>_xlfn.XLOOKUP(F842,'RM Cost'!A:A,'RM Cost'!S:S)</f>
        <v>0</v>
      </c>
      <c r="AS842" t="str">
        <f>_xlfn.XLOOKUP(A842,[3]Sheet1!$B:$B,[3]Sheet1!$B:$B)</f>
        <v>Z181CS</v>
      </c>
      <c r="AT842" t="e">
        <f>_xlfn.XLOOKUP(H842,'Yield &amp; Time'!A:A,'Yield &amp; Time'!F:F)</f>
        <v>#N/A</v>
      </c>
    </row>
    <row r="843" spans="1:46" x14ac:dyDescent="0.25">
      <c r="A843" s="2" t="s">
        <v>522</v>
      </c>
      <c r="B843" s="2" t="s">
        <v>656</v>
      </c>
      <c r="C843" s="2" t="s">
        <v>873</v>
      </c>
      <c r="D843" s="2" t="s">
        <v>554</v>
      </c>
      <c r="E843" s="2">
        <v>2.5</v>
      </c>
      <c r="F843" s="1" t="str">
        <f>VLOOKUP(H843,'RM Used'!A:B,2,0)</f>
        <v>3567CS</v>
      </c>
      <c r="G843" s="1" t="str">
        <f>IFERROR(VLOOKUP(F843,'RM Cost'!A:B,2,0),"")</f>
        <v>RM - PEPPERS YELLOW  X 5KG</v>
      </c>
      <c r="H843" s="2" t="s">
        <v>1419</v>
      </c>
      <c r="I843" s="1" t="str">
        <f>VLOOKUP(F843,'RM Used'!B:D,3,0)</f>
        <v>RM-FOOD</v>
      </c>
      <c r="J843" s="66">
        <v>1</v>
      </c>
      <c r="K843" s="35">
        <f t="shared" si="246"/>
        <v>2.5</v>
      </c>
      <c r="L843" s="35">
        <f t="shared" si="252"/>
        <v>2.5</v>
      </c>
      <c r="M843" s="77" cm="1">
        <f t="array" ref="M843">_xlfn.IFS(BOM!I843="RM-PACKING","100%",B843="Reynolds",VLOOKUP(H843,'Yield &amp; Time'!A:V,22,0),BOM!B843="Dnata",VLOOKUP(BOM!H843,'Yield &amp; Time'!A:M,13,0),B843="NK",VLOOKUP(H843,'Yield &amp; Time'!A:X,24,0))</f>
        <v>0.45254779411764695</v>
      </c>
      <c r="N843" s="35">
        <f t="shared" si="245"/>
        <v>5.5242783911351596</v>
      </c>
      <c r="O843" s="1" t="str">
        <f>VLOOKUP(H843,'RM Used'!A:E,5,0)</f>
        <v>KG</v>
      </c>
      <c r="P843" s="11">
        <f>VLOOKUP(H843,'RM Used'!A:F,6,0)</f>
        <v>1.68</v>
      </c>
      <c r="Q843" s="11">
        <f t="shared" si="261"/>
        <v>9.2807876971070673</v>
      </c>
      <c r="R843" s="11">
        <f>IFERROR(IF(B843="Reynolds",VLOOKUP(H843,'Yield &amp; Time'!A:U,21,0),VLOOKUP(H843,'Yield &amp; Time'!A:L,12,0)),0)</f>
        <v>4.505319148936171</v>
      </c>
      <c r="S843" s="11">
        <f t="shared" si="253"/>
        <v>3.8126263297872343</v>
      </c>
      <c r="T843" s="11">
        <f t="shared" si="254"/>
        <v>0.18772163120567378</v>
      </c>
      <c r="U843" s="11">
        <f>IF(A842=A843,0,VLOOKUP(A843,'Packing Time'!A:F,6,0))</f>
        <v>0.875</v>
      </c>
      <c r="V843" s="11">
        <f t="shared" si="247"/>
        <v>0.29618749999999999</v>
      </c>
      <c r="W843" s="11">
        <f t="shared" si="248"/>
        <v>1.4583333333333334E-2</v>
      </c>
      <c r="X843" s="11">
        <f t="shared" si="255"/>
        <v>5.1360172872340426</v>
      </c>
      <c r="Y843" s="11">
        <f t="shared" si="249"/>
        <v>5.1360172872340426</v>
      </c>
      <c r="Z843" s="37">
        <v>1</v>
      </c>
      <c r="AA843" s="36">
        <f t="shared" si="256"/>
        <v>5.5242783911351596</v>
      </c>
      <c r="AB843" s="36">
        <f t="shared" si="257"/>
        <v>9.2807876971070673</v>
      </c>
      <c r="AC843" s="11">
        <f t="shared" si="258"/>
        <v>0.25288120567375888</v>
      </c>
      <c r="AD843" s="36">
        <f t="shared" si="250"/>
        <v>5.1360172872340426</v>
      </c>
      <c r="AE843" s="36" t="str">
        <f>VLOOKUP(H843,'Yield &amp; Time'!A:I,9,0)</f>
        <v>CHLORINE</v>
      </c>
      <c r="AF843" s="36">
        <f>IFERROR(VLOOKUP(AE843,'Chemical Cost'!A:D,4,0),0)</f>
        <v>2.7756518066439469E-2</v>
      </c>
      <c r="AG843" s="114">
        <f t="shared" si="259"/>
        <v>5.1111577655861412E-2</v>
      </c>
      <c r="AH843" s="36">
        <f t="shared" si="244"/>
        <v>5.1111577655861412E-2</v>
      </c>
      <c r="AI843" s="36">
        <f t="shared" si="251"/>
        <v>14.467916561996971</v>
      </c>
      <c r="AJ843" s="36">
        <f>IFERROR(VLOOKUP(A843,'All Products'!A:F,6,0),0)</f>
        <v>21.73</v>
      </c>
      <c r="AK843" s="36">
        <f>AJ843*Z843*J843</f>
        <v>21.73</v>
      </c>
      <c r="AL843" s="23">
        <v>0.8</v>
      </c>
      <c r="AM843" s="23">
        <v>0.2</v>
      </c>
      <c r="AN843" s="54" t="e">
        <v>#N/A</v>
      </c>
      <c r="AO843" s="47"/>
      <c r="AP843" s="4">
        <v>1.25</v>
      </c>
      <c r="AQ843" s="111">
        <f t="shared" si="260"/>
        <v>0.25288120567375888</v>
      </c>
      <c r="AR843">
        <f>_xlfn.XLOOKUP(F843,'RM Cost'!A:A,'RM Cost'!S:S)</f>
        <v>0</v>
      </c>
      <c r="AS843" t="str">
        <f>_xlfn.XLOOKUP(A843,[3]Sheet1!$B:$B,[3]Sheet1!$B:$B)</f>
        <v>Z180CS</v>
      </c>
      <c r="AT843">
        <f>_xlfn.XLOOKUP(H843,'Yield &amp; Time'!A:A,'Yield &amp; Time'!F:F)</f>
        <v>0</v>
      </c>
    </row>
    <row r="844" spans="1:46" x14ac:dyDescent="0.25">
      <c r="A844" s="2" t="s">
        <v>522</v>
      </c>
      <c r="B844" s="2" t="s">
        <v>656</v>
      </c>
      <c r="C844" s="2" t="s">
        <v>873</v>
      </c>
      <c r="D844" s="2" t="s">
        <v>554</v>
      </c>
      <c r="E844" s="2">
        <v>2.5</v>
      </c>
      <c r="F844" s="1" t="str">
        <f>VLOOKUP(H844,'RM Used'!A:B,2,0)</f>
        <v>P0008</v>
      </c>
      <c r="G844" s="1" t="str">
        <f>IFERROR(VLOOKUP(F844,'RM Cost'!A:B,2,0),"")</f>
        <v>PALE BLUE BAG 470X750MM</v>
      </c>
      <c r="H844" s="2" t="s">
        <v>1323</v>
      </c>
      <c r="I844" s="1" t="str">
        <f>VLOOKUP(F844,'RM Used'!B:D,3,0)</f>
        <v>RM-PACKING</v>
      </c>
      <c r="J844" s="66">
        <v>1</v>
      </c>
      <c r="K844" s="35" t="str">
        <f t="shared" si="246"/>
        <v/>
      </c>
      <c r="L844" s="35">
        <f t="shared" si="252"/>
        <v>0</v>
      </c>
      <c r="M844" s="77" t="str" cm="1">
        <f t="array" ref="M844">_xlfn.IFS(BOM!I844="RM-PACKING","100%",B844="Reynolds",VLOOKUP(H844,'Yield &amp; Time'!A:V,22,0),BOM!B844="Dnata",VLOOKUP(BOM!H844,'Yield &amp; Time'!A:M,13,0),B844="NK",VLOOKUP(H844,'Yield &amp; Time'!A:X,24,0))</f>
        <v>100%</v>
      </c>
      <c r="N844" s="35">
        <f t="shared" si="245"/>
        <v>1</v>
      </c>
      <c r="O844" s="1" t="str">
        <f>VLOOKUP(H844,'RM Used'!A:E,5,0)</f>
        <v>Count</v>
      </c>
      <c r="P844" s="11">
        <f>VLOOKUP(H844,'RM Used'!A:F,6,0)</f>
        <v>0.14000000000000001</v>
      </c>
      <c r="Q844" s="11">
        <f t="shared" si="261"/>
        <v>0.14000000000000001</v>
      </c>
      <c r="R844" s="11">
        <f>IFERROR(IF(B844="Reynolds",VLOOKUP(H844,'Yield &amp; Time'!A:U,21,0),VLOOKUP(H844,'Yield &amp; Time'!A:L,12,0)),0)</f>
        <v>0</v>
      </c>
      <c r="S844" s="11">
        <f t="shared" si="253"/>
        <v>0</v>
      </c>
      <c r="T844" s="11">
        <f t="shared" si="254"/>
        <v>0</v>
      </c>
      <c r="U844" s="11">
        <f>IF(A843=A844,0,VLOOKUP(A844,'Packing Time'!A:F,6,0))</f>
        <v>0</v>
      </c>
      <c r="V844" s="11">
        <f t="shared" si="247"/>
        <v>0</v>
      </c>
      <c r="W844" s="11">
        <f t="shared" si="248"/>
        <v>0</v>
      </c>
      <c r="X844" s="11">
        <f t="shared" si="255"/>
        <v>0</v>
      </c>
      <c r="Y844" s="11">
        <f t="shared" si="249"/>
        <v>0</v>
      </c>
      <c r="Z844" s="37">
        <v>1</v>
      </c>
      <c r="AA844" s="36">
        <f t="shared" si="256"/>
        <v>1</v>
      </c>
      <c r="AB844" s="36">
        <f t="shared" si="257"/>
        <v>0.14000000000000001</v>
      </c>
      <c r="AC844" s="11">
        <f t="shared" si="258"/>
        <v>0</v>
      </c>
      <c r="AD844" s="36">
        <f t="shared" si="250"/>
        <v>0</v>
      </c>
      <c r="AE844" s="36"/>
      <c r="AF844" s="36">
        <f>IFERROR(VLOOKUP(AE844,'Chemical Cost'!A:D,4,0),0)</f>
        <v>0</v>
      </c>
      <c r="AG844" s="114">
        <f t="shared" si="259"/>
        <v>0</v>
      </c>
      <c r="AH844" s="36">
        <f t="shared" si="244"/>
        <v>0</v>
      </c>
      <c r="AI844" s="36">
        <f t="shared" si="251"/>
        <v>0.14000000000000001</v>
      </c>
      <c r="AJ844" s="36">
        <f>IFERROR(VLOOKUP(A844,'All Products'!A:F,6,0),0)</f>
        <v>21.73</v>
      </c>
      <c r="AK844" s="36"/>
      <c r="AL844" s="23">
        <v>0.8</v>
      </c>
      <c r="AM844" s="23">
        <v>0.2</v>
      </c>
      <c r="AN844" s="54" t="e">
        <v>#N/A</v>
      </c>
      <c r="AO844" s="47"/>
      <c r="AP844" s="4">
        <v>1.25</v>
      </c>
      <c r="AQ844" s="111">
        <f t="shared" si="260"/>
        <v>0</v>
      </c>
      <c r="AR844">
        <f>_xlfn.XLOOKUP(F844,'RM Cost'!A:A,'RM Cost'!S:S)</f>
        <v>0</v>
      </c>
      <c r="AS844" t="str">
        <f>_xlfn.XLOOKUP(A844,[3]Sheet1!$B:$B,[3]Sheet1!$B:$B)</f>
        <v>Z180CS</v>
      </c>
      <c r="AT844" t="e">
        <f>_xlfn.XLOOKUP(H844,'Yield &amp; Time'!A:A,'Yield &amp; Time'!F:F)</f>
        <v>#N/A</v>
      </c>
    </row>
    <row r="845" spans="1:46" x14ac:dyDescent="0.25">
      <c r="A845" s="2" t="s">
        <v>464</v>
      </c>
      <c r="B845" s="2" t="s">
        <v>656</v>
      </c>
      <c r="C845" s="2" t="s">
        <v>465</v>
      </c>
      <c r="D845" s="2" t="s">
        <v>554</v>
      </c>
      <c r="E845" s="2">
        <v>1</v>
      </c>
      <c r="F845" s="1" t="str">
        <f>VLOOKUP(H845,'RM Used'!A:B,2,0)</f>
        <v>3567CS</v>
      </c>
      <c r="G845" s="1" t="str">
        <f>IFERROR(VLOOKUP(F845,'RM Cost'!A:B,2,0),"")</f>
        <v>RM - PEPPERS YELLOW  X 5KG</v>
      </c>
      <c r="H845" s="2" t="s">
        <v>1547</v>
      </c>
      <c r="I845" s="1" t="str">
        <f>VLOOKUP(F845,'RM Used'!B:D,3,0)</f>
        <v>RM-FOOD</v>
      </c>
      <c r="J845" s="66">
        <v>1</v>
      </c>
      <c r="K845" s="35">
        <f t="shared" si="246"/>
        <v>1</v>
      </c>
      <c r="L845" s="35">
        <f t="shared" si="252"/>
        <v>1</v>
      </c>
      <c r="M845" s="77" cm="1">
        <f t="array" ref="M845">_xlfn.IFS(BOM!I845="RM-PACKING","100%",B845="Reynolds",VLOOKUP(H845,'Yield &amp; Time'!A:V,22,0),BOM!B845="Dnata",VLOOKUP(BOM!H845,'Yield &amp; Time'!A:M,13,0),B845="NK",VLOOKUP(H845,'Yield &amp; Time'!A:X,24,0))</f>
        <v>0.48507628676470577</v>
      </c>
      <c r="N845" s="35">
        <f t="shared" si="245"/>
        <v>2.0615314070899253</v>
      </c>
      <c r="O845" s="1" t="str">
        <f>VLOOKUP(H845,'RM Used'!A:E,5,0)</f>
        <v>KG</v>
      </c>
      <c r="P845" s="11">
        <f>VLOOKUP(H845,'RM Used'!A:F,6,0)</f>
        <v>1.68</v>
      </c>
      <c r="Q845" s="11">
        <f t="shared" si="261"/>
        <v>3.4633727639110745</v>
      </c>
      <c r="R845" s="11">
        <f>IFERROR(IF(B845="Reynolds",VLOOKUP(H845,'Yield &amp; Time'!A:U,21,0),VLOOKUP(H845,'Yield &amp; Time'!A:L,12,0)),0)</f>
        <v>4.9481315476833352</v>
      </c>
      <c r="S845" s="11">
        <f t="shared" si="253"/>
        <v>1.6749425288908089</v>
      </c>
      <c r="T845" s="11">
        <f t="shared" si="254"/>
        <v>8.2468859128055585E-2</v>
      </c>
      <c r="U845" s="11">
        <f>IF(A844=A845,0,VLOOKUP(A845,'Packing Time'!A:F,6,0))</f>
        <v>0.64166666666666661</v>
      </c>
      <c r="V845" s="11">
        <f t="shared" si="247"/>
        <v>0.21720416666666661</v>
      </c>
      <c r="W845" s="11">
        <f t="shared" si="248"/>
        <v>1.0694444444444444E-2</v>
      </c>
      <c r="X845" s="11">
        <f t="shared" si="255"/>
        <v>3.027434712891961</v>
      </c>
      <c r="Y845" s="11">
        <f t="shared" si="249"/>
        <v>3.027434712891961</v>
      </c>
      <c r="Z845" s="37">
        <v>1</v>
      </c>
      <c r="AA845" s="36">
        <f t="shared" si="256"/>
        <v>2.0615314070899253</v>
      </c>
      <c r="AB845" s="36">
        <f t="shared" si="257"/>
        <v>3.4633727639110745</v>
      </c>
      <c r="AC845" s="11">
        <f t="shared" si="258"/>
        <v>0.14906128571600005</v>
      </c>
      <c r="AD845" s="36">
        <f t="shared" si="250"/>
        <v>3.027434712891961</v>
      </c>
      <c r="AE845" s="36" t="str">
        <f>VLOOKUP(H845,'Yield &amp; Time'!A:I,9,0)</f>
        <v>CHLORINE</v>
      </c>
      <c r="AF845" s="36">
        <f>IFERROR(VLOOKUP(AE845,'Chemical Cost'!A:D,4,0),0)</f>
        <v>2.7756518066439469E-2</v>
      </c>
      <c r="AG845" s="114">
        <f t="shared" si="259"/>
        <v>1.9073644581807964E-2</v>
      </c>
      <c r="AH845" s="36">
        <f t="shared" si="244"/>
        <v>1.9073644581807964E-2</v>
      </c>
      <c r="AI845" s="36">
        <f t="shared" si="251"/>
        <v>6.5098811213848435</v>
      </c>
      <c r="AJ845" s="36">
        <f>IFERROR(VLOOKUP(A845,'All Products'!A:F,6,0),0)</f>
        <v>8.3000000000000007</v>
      </c>
      <c r="AK845" s="36">
        <f>AJ845*Z845*J845</f>
        <v>8.3000000000000007</v>
      </c>
      <c r="AL845" s="23">
        <v>0.8</v>
      </c>
      <c r="AM845" s="23">
        <v>0.2</v>
      </c>
      <c r="AN845" s="54" t="e">
        <v>#N/A</v>
      </c>
      <c r="AO845" s="47"/>
      <c r="AP845" s="4">
        <v>1.6</v>
      </c>
      <c r="AQ845" s="111">
        <f t="shared" si="260"/>
        <v>0.14906128571600005</v>
      </c>
      <c r="AR845">
        <f>_xlfn.XLOOKUP(F845,'RM Cost'!A:A,'RM Cost'!S:S)</f>
        <v>0</v>
      </c>
      <c r="AS845" t="str">
        <f>_xlfn.XLOOKUP(A845,[3]Sheet1!$B:$B,[3]Sheet1!$B:$B)</f>
        <v>Z183CS</v>
      </c>
      <c r="AT845">
        <f>_xlfn.XLOOKUP(H845,'Yield &amp; Time'!A:A,'Yield &amp; Time'!F:F)</f>
        <v>0</v>
      </c>
    </row>
    <row r="846" spans="1:46" x14ac:dyDescent="0.25">
      <c r="A846" s="2" t="s">
        <v>464</v>
      </c>
      <c r="B846" s="2" t="s">
        <v>656</v>
      </c>
      <c r="C846" s="2" t="s">
        <v>465</v>
      </c>
      <c r="D846" s="2" t="s">
        <v>554</v>
      </c>
      <c r="E846" s="2">
        <v>1</v>
      </c>
      <c r="F846" s="1" t="str">
        <f>VLOOKUP(H846,'RM Used'!A:B,2,0)</f>
        <v>P0008</v>
      </c>
      <c r="G846" s="1" t="str">
        <f>IFERROR(VLOOKUP(F846,'RM Cost'!A:B,2,0),"")</f>
        <v>PALE BLUE BAG 470X750MM</v>
      </c>
      <c r="H846" s="2" t="s">
        <v>1323</v>
      </c>
      <c r="I846" s="1" t="str">
        <f>VLOOKUP(F846,'RM Used'!B:D,3,0)</f>
        <v>RM-PACKING</v>
      </c>
      <c r="J846" s="66">
        <v>1</v>
      </c>
      <c r="K846" s="35" t="str">
        <f t="shared" si="246"/>
        <v/>
      </c>
      <c r="L846" s="35">
        <f t="shared" si="252"/>
        <v>0</v>
      </c>
      <c r="M846" s="77" t="str" cm="1">
        <f t="array" ref="M846">_xlfn.IFS(BOM!I846="RM-PACKING","100%",B846="Reynolds",VLOOKUP(H846,'Yield &amp; Time'!A:V,22,0),BOM!B846="Dnata",VLOOKUP(BOM!H846,'Yield &amp; Time'!A:M,13,0),B846="NK",VLOOKUP(H846,'Yield &amp; Time'!A:X,24,0))</f>
        <v>100%</v>
      </c>
      <c r="N846" s="35">
        <f t="shared" si="245"/>
        <v>1</v>
      </c>
      <c r="O846" s="1" t="str">
        <f>VLOOKUP(H846,'RM Used'!A:E,5,0)</f>
        <v>Count</v>
      </c>
      <c r="P846" s="11">
        <f>VLOOKUP(H846,'RM Used'!A:F,6,0)</f>
        <v>0.14000000000000001</v>
      </c>
      <c r="Q846" s="11">
        <f t="shared" si="261"/>
        <v>0.14000000000000001</v>
      </c>
      <c r="R846" s="11">
        <f>IFERROR(IF(B846="Reynolds",VLOOKUP(H846,'Yield &amp; Time'!A:U,21,0),VLOOKUP(H846,'Yield &amp; Time'!A:L,12,0)),0)</f>
        <v>0</v>
      </c>
      <c r="S846" s="11">
        <f t="shared" si="253"/>
        <v>0</v>
      </c>
      <c r="T846" s="11">
        <f t="shared" si="254"/>
        <v>0</v>
      </c>
      <c r="U846" s="11">
        <f>IF(A845=A846,0,VLOOKUP(A846,'Packing Time'!A:F,6,0))</f>
        <v>0</v>
      </c>
      <c r="V846" s="11">
        <f t="shared" si="247"/>
        <v>0</v>
      </c>
      <c r="W846" s="11">
        <f t="shared" si="248"/>
        <v>0</v>
      </c>
      <c r="X846" s="11">
        <f t="shared" si="255"/>
        <v>0</v>
      </c>
      <c r="Y846" s="11">
        <f t="shared" si="249"/>
        <v>0</v>
      </c>
      <c r="Z846" s="37">
        <v>1</v>
      </c>
      <c r="AA846" s="36">
        <f t="shared" si="256"/>
        <v>1</v>
      </c>
      <c r="AB846" s="36">
        <f t="shared" si="257"/>
        <v>0.14000000000000001</v>
      </c>
      <c r="AC846" s="11">
        <f t="shared" si="258"/>
        <v>0</v>
      </c>
      <c r="AD846" s="36">
        <f t="shared" si="250"/>
        <v>0</v>
      </c>
      <c r="AE846" s="36"/>
      <c r="AF846" s="36">
        <f>IFERROR(VLOOKUP(AE846,'Chemical Cost'!A:D,4,0),0)</f>
        <v>0</v>
      </c>
      <c r="AG846" s="114">
        <f t="shared" si="259"/>
        <v>0</v>
      </c>
      <c r="AH846" s="36">
        <f t="shared" si="244"/>
        <v>0</v>
      </c>
      <c r="AI846" s="36">
        <f t="shared" si="251"/>
        <v>0.14000000000000001</v>
      </c>
      <c r="AJ846" s="36">
        <f>IFERROR(VLOOKUP(A846,'All Products'!A:F,6,0),0)</f>
        <v>8.3000000000000007</v>
      </c>
      <c r="AK846" s="36"/>
      <c r="AL846" s="23">
        <v>0.8</v>
      </c>
      <c r="AM846" s="23">
        <v>0.2</v>
      </c>
      <c r="AN846" s="54" t="e">
        <v>#N/A</v>
      </c>
      <c r="AO846" s="47"/>
      <c r="AP846" s="4">
        <v>1.6</v>
      </c>
      <c r="AQ846" s="111">
        <f t="shared" si="260"/>
        <v>0</v>
      </c>
      <c r="AR846">
        <f>_xlfn.XLOOKUP(F846,'RM Cost'!A:A,'RM Cost'!S:S)</f>
        <v>0</v>
      </c>
      <c r="AS846" t="str">
        <f>_xlfn.XLOOKUP(A846,[3]Sheet1!$B:$B,[3]Sheet1!$B:$B)</f>
        <v>Z183CS</v>
      </c>
      <c r="AT846" t="e">
        <f>_xlfn.XLOOKUP(H846,'Yield &amp; Time'!A:A,'Yield &amp; Time'!F:F)</f>
        <v>#N/A</v>
      </c>
    </row>
    <row r="847" spans="1:46" x14ac:dyDescent="0.25">
      <c r="A847" s="2" t="s">
        <v>177</v>
      </c>
      <c r="B847" s="2" t="s">
        <v>656</v>
      </c>
      <c r="C847" s="2" t="s">
        <v>178</v>
      </c>
      <c r="D847" s="2" t="s">
        <v>554</v>
      </c>
      <c r="E847" s="2">
        <v>2.5</v>
      </c>
      <c r="F847" s="1" t="str">
        <f>VLOOKUP(H847,'RM Used'!A:B,2,0)</f>
        <v>3567CS</v>
      </c>
      <c r="G847" s="1" t="str">
        <f>IFERROR(VLOOKUP(F847,'RM Cost'!A:B,2,0),"")</f>
        <v>RM - PEPPERS YELLOW  X 5KG</v>
      </c>
      <c r="H847" s="2" t="s">
        <v>1547</v>
      </c>
      <c r="I847" s="1" t="str">
        <f>VLOOKUP(F847,'RM Used'!B:D,3,0)</f>
        <v>RM-FOOD</v>
      </c>
      <c r="J847" s="66">
        <v>1</v>
      </c>
      <c r="K847" s="35">
        <f t="shared" si="246"/>
        <v>2.5</v>
      </c>
      <c r="L847" s="35">
        <f t="shared" si="252"/>
        <v>2.5</v>
      </c>
      <c r="M847" s="77" cm="1">
        <f t="array" ref="M847">_xlfn.IFS(BOM!I847="RM-PACKING","100%",B847="Reynolds",VLOOKUP(H847,'Yield &amp; Time'!A:V,22,0),BOM!B847="Dnata",VLOOKUP(BOM!H847,'Yield &amp; Time'!A:M,13,0),B847="NK",VLOOKUP(H847,'Yield &amp; Time'!A:X,24,0))</f>
        <v>0.48507628676470577</v>
      </c>
      <c r="N847" s="35">
        <f t="shared" si="245"/>
        <v>5.1538285177248131</v>
      </c>
      <c r="O847" s="1" t="str">
        <f>VLOOKUP(H847,'RM Used'!A:E,5,0)</f>
        <v>KG</v>
      </c>
      <c r="P847" s="11">
        <f>VLOOKUP(H847,'RM Used'!A:F,6,0)</f>
        <v>1.68</v>
      </c>
      <c r="Q847" s="11">
        <f t="shared" si="261"/>
        <v>8.6584319097776863</v>
      </c>
      <c r="R847" s="11">
        <f>IFERROR(IF(B847="Reynolds",VLOOKUP(H847,'Yield &amp; Time'!A:U,21,0),VLOOKUP(H847,'Yield &amp; Time'!A:L,12,0)),0)</f>
        <v>4.9481315476833352</v>
      </c>
      <c r="S847" s="11">
        <f t="shared" si="253"/>
        <v>4.1873563222270223</v>
      </c>
      <c r="T847" s="11">
        <f t="shared" si="254"/>
        <v>0.20617214782013896</v>
      </c>
      <c r="U847" s="11">
        <f>IF(A846=A847,0,VLOOKUP(A847,'Packing Time'!A:F,6,0))</f>
        <v>0.875</v>
      </c>
      <c r="V847" s="11">
        <f t="shared" si="247"/>
        <v>0.29618749999999999</v>
      </c>
      <c r="W847" s="11">
        <f t="shared" si="248"/>
        <v>1.4583333333333334E-2</v>
      </c>
      <c r="X847" s="11">
        <f t="shared" si="255"/>
        <v>5.6044297777837766</v>
      </c>
      <c r="Y847" s="11">
        <f t="shared" si="249"/>
        <v>5.6044297777837766</v>
      </c>
      <c r="Z847" s="37">
        <v>1</v>
      </c>
      <c r="AA847" s="36">
        <f t="shared" si="256"/>
        <v>5.1538285177248131</v>
      </c>
      <c r="AB847" s="36">
        <f t="shared" si="257"/>
        <v>8.6584319097776863</v>
      </c>
      <c r="AC847" s="11">
        <f t="shared" si="258"/>
        <v>0.27594435144184037</v>
      </c>
      <c r="AD847" s="36">
        <f t="shared" si="250"/>
        <v>5.6044297777837775</v>
      </c>
      <c r="AE847" s="36" t="str">
        <f>VLOOKUP(H847,'Yield &amp; Time'!A:I,9,0)</f>
        <v>CHLORINE</v>
      </c>
      <c r="AF847" s="36">
        <f>IFERROR(VLOOKUP(AE847,'Chemical Cost'!A:D,4,0),0)</f>
        <v>2.7756518066439469E-2</v>
      </c>
      <c r="AG847" s="114">
        <f t="shared" si="259"/>
        <v>4.7684111454519902E-2</v>
      </c>
      <c r="AH847" s="36">
        <f t="shared" si="244"/>
        <v>4.7684111454519902E-2</v>
      </c>
      <c r="AI847" s="36">
        <f t="shared" si="251"/>
        <v>14.310545799015983</v>
      </c>
      <c r="AJ847" s="36">
        <f>IFERROR(VLOOKUP(A847,'All Products'!A:F,6,0),0)</f>
        <v>20.74</v>
      </c>
      <c r="AK847" s="36">
        <f>AJ847*Z847*J847</f>
        <v>20.74</v>
      </c>
      <c r="AL847" s="23">
        <v>0.8</v>
      </c>
      <c r="AM847" s="23">
        <v>0.2</v>
      </c>
      <c r="AN847" s="54" t="e">
        <v>#N/A</v>
      </c>
      <c r="AO847" s="47"/>
      <c r="AP847" s="4">
        <v>1.25</v>
      </c>
      <c r="AQ847" s="111">
        <f t="shared" si="260"/>
        <v>0.27594435144184037</v>
      </c>
      <c r="AR847">
        <f>_xlfn.XLOOKUP(F847,'RM Cost'!A:A,'RM Cost'!S:S)</f>
        <v>0</v>
      </c>
      <c r="AS847" t="str">
        <f>_xlfn.XLOOKUP(A847,[3]Sheet1!$B:$B,[3]Sheet1!$B:$B)</f>
        <v>Z182CS</v>
      </c>
      <c r="AT847">
        <f>_xlfn.XLOOKUP(H847,'Yield &amp; Time'!A:A,'Yield &amp; Time'!F:F)</f>
        <v>0</v>
      </c>
    </row>
    <row r="848" spans="1:46" x14ac:dyDescent="0.25">
      <c r="A848" s="2" t="s">
        <v>177</v>
      </c>
      <c r="B848" s="2" t="s">
        <v>656</v>
      </c>
      <c r="C848" s="2" t="s">
        <v>178</v>
      </c>
      <c r="D848" s="2" t="s">
        <v>554</v>
      </c>
      <c r="E848" s="2">
        <v>2.5</v>
      </c>
      <c r="F848" s="1" t="str">
        <f>VLOOKUP(H848,'RM Used'!A:B,2,0)</f>
        <v>P0008</v>
      </c>
      <c r="G848" s="1" t="str">
        <f>IFERROR(VLOOKUP(F848,'RM Cost'!A:B,2,0),"")</f>
        <v>PALE BLUE BAG 470X750MM</v>
      </c>
      <c r="H848" s="2" t="s">
        <v>1323</v>
      </c>
      <c r="I848" s="1" t="str">
        <f>VLOOKUP(F848,'RM Used'!B:D,3,0)</f>
        <v>RM-PACKING</v>
      </c>
      <c r="J848" s="66">
        <v>1</v>
      </c>
      <c r="K848" s="35" t="str">
        <f t="shared" si="246"/>
        <v/>
      </c>
      <c r="L848" s="35">
        <f t="shared" si="252"/>
        <v>0</v>
      </c>
      <c r="M848" s="77" t="str" cm="1">
        <f t="array" ref="M848">_xlfn.IFS(BOM!I848="RM-PACKING","100%",B848="Reynolds",VLOOKUP(H848,'Yield &amp; Time'!A:V,22,0),BOM!B848="Dnata",VLOOKUP(BOM!H848,'Yield &amp; Time'!A:M,13,0),B848="NK",VLOOKUP(H848,'Yield &amp; Time'!A:X,24,0))</f>
        <v>100%</v>
      </c>
      <c r="N848" s="35">
        <f t="shared" si="245"/>
        <v>1</v>
      </c>
      <c r="O848" s="1" t="str">
        <f>VLOOKUP(H848,'RM Used'!A:E,5,0)</f>
        <v>Count</v>
      </c>
      <c r="P848" s="11">
        <f>VLOOKUP(H848,'RM Used'!A:F,6,0)</f>
        <v>0.14000000000000001</v>
      </c>
      <c r="Q848" s="11">
        <f t="shared" si="261"/>
        <v>0.14000000000000001</v>
      </c>
      <c r="R848" s="11">
        <f>IFERROR(IF(B848="Reynolds",VLOOKUP(H848,'Yield &amp; Time'!A:U,21,0),VLOOKUP(H848,'Yield &amp; Time'!A:L,12,0)),0)</f>
        <v>0</v>
      </c>
      <c r="S848" s="11">
        <f t="shared" si="253"/>
        <v>0</v>
      </c>
      <c r="T848" s="11">
        <f t="shared" si="254"/>
        <v>0</v>
      </c>
      <c r="U848" s="11">
        <f>IF(A847=A848,0,VLOOKUP(A848,'Packing Time'!A:F,6,0))</f>
        <v>0</v>
      </c>
      <c r="V848" s="11">
        <f t="shared" si="247"/>
        <v>0</v>
      </c>
      <c r="W848" s="11">
        <f t="shared" si="248"/>
        <v>0</v>
      </c>
      <c r="X848" s="11">
        <f t="shared" si="255"/>
        <v>0</v>
      </c>
      <c r="Y848" s="11">
        <f t="shared" si="249"/>
        <v>0</v>
      </c>
      <c r="Z848" s="37">
        <v>1</v>
      </c>
      <c r="AA848" s="36">
        <f t="shared" si="256"/>
        <v>1</v>
      </c>
      <c r="AB848" s="36">
        <f t="shared" si="257"/>
        <v>0.14000000000000001</v>
      </c>
      <c r="AC848" s="11">
        <f t="shared" si="258"/>
        <v>0</v>
      </c>
      <c r="AD848" s="36">
        <f t="shared" si="250"/>
        <v>0</v>
      </c>
      <c r="AE848" s="36"/>
      <c r="AF848" s="36">
        <f>IFERROR(VLOOKUP(AE848,'Chemical Cost'!A:D,4,0),0)</f>
        <v>0</v>
      </c>
      <c r="AG848" s="114">
        <f t="shared" si="259"/>
        <v>0</v>
      </c>
      <c r="AH848" s="36">
        <f t="shared" si="244"/>
        <v>0</v>
      </c>
      <c r="AI848" s="36">
        <f t="shared" si="251"/>
        <v>0.14000000000000001</v>
      </c>
      <c r="AJ848" s="36">
        <f>IFERROR(VLOOKUP(A848,'All Products'!A:F,6,0),0)</f>
        <v>20.74</v>
      </c>
      <c r="AK848" s="36"/>
      <c r="AL848" s="23">
        <v>0.8</v>
      </c>
      <c r="AM848" s="23">
        <v>0.2</v>
      </c>
      <c r="AN848" s="54" t="e">
        <v>#N/A</v>
      </c>
      <c r="AO848" s="47"/>
      <c r="AP848" s="4">
        <v>1.25</v>
      </c>
      <c r="AQ848" s="111">
        <f t="shared" si="260"/>
        <v>0</v>
      </c>
      <c r="AR848">
        <f>_xlfn.XLOOKUP(F848,'RM Cost'!A:A,'RM Cost'!S:S)</f>
        <v>0</v>
      </c>
      <c r="AS848" t="str">
        <f>_xlfn.XLOOKUP(A848,[3]Sheet1!$B:$B,[3]Sheet1!$B:$B)</f>
        <v>Z182CS</v>
      </c>
      <c r="AT848" t="e">
        <f>_xlfn.XLOOKUP(H848,'Yield &amp; Time'!A:A,'Yield &amp; Time'!F:F)</f>
        <v>#N/A</v>
      </c>
    </row>
    <row r="849" spans="1:46" x14ac:dyDescent="0.25">
      <c r="A849" s="2" t="s">
        <v>874</v>
      </c>
      <c r="B849" s="2" t="s">
        <v>656</v>
      </c>
      <c r="C849" s="2" t="s">
        <v>875</v>
      </c>
      <c r="D849" s="2" t="s">
        <v>554</v>
      </c>
      <c r="E849" s="2">
        <v>1</v>
      </c>
      <c r="F849" s="1" t="str">
        <f>VLOOKUP(H849,'RM Used'!A:B,2,0)</f>
        <v>3567CS</v>
      </c>
      <c r="G849" s="1" t="str">
        <f>IFERROR(VLOOKUP(F849,'RM Cost'!A:B,2,0),"")</f>
        <v>RM - PEPPERS YELLOW  X 5KG</v>
      </c>
      <c r="H849" s="2" t="s">
        <v>1399</v>
      </c>
      <c r="I849" s="1" t="str">
        <f>VLOOKUP(F849,'RM Used'!B:D,3,0)</f>
        <v>RM-FOOD</v>
      </c>
      <c r="J849" s="66">
        <v>1</v>
      </c>
      <c r="K849" s="35">
        <f t="shared" si="246"/>
        <v>1</v>
      </c>
      <c r="L849" s="35">
        <f t="shared" si="252"/>
        <v>1</v>
      </c>
      <c r="M849" s="77" cm="1">
        <f t="array" ref="M849">_xlfn.IFS(BOM!I849="RM-PACKING","100%",B849="Reynolds",VLOOKUP(H849,'Yield &amp; Time'!A:V,22,0),BOM!B849="Dnata",VLOOKUP(BOM!H849,'Yield &amp; Time'!A:M,13,0),B849="NK",VLOOKUP(H849,'Yield &amp; Time'!A:X,24,0))</f>
        <v>0.45454545454545459</v>
      </c>
      <c r="N849" s="35">
        <f t="shared" si="245"/>
        <v>2.1999999999999997</v>
      </c>
      <c r="O849" s="1" t="str">
        <f>VLOOKUP(H849,'RM Used'!A:E,5,0)</f>
        <v>KG</v>
      </c>
      <c r="P849" s="11">
        <f>VLOOKUP(H849,'RM Used'!A:F,6,0)</f>
        <v>1.68</v>
      </c>
      <c r="Q849" s="11">
        <f t="shared" si="261"/>
        <v>3.6959999999999993</v>
      </c>
      <c r="R849" s="11">
        <f>IFERROR(IF(B849="Reynolds",VLOOKUP(H849,'Yield &amp; Time'!A:U,21,0),VLOOKUP(H849,'Yield &amp; Time'!A:L,12,0)),0)</f>
        <v>6.75</v>
      </c>
      <c r="S849" s="11">
        <f t="shared" si="253"/>
        <v>2.284875</v>
      </c>
      <c r="T849" s="11">
        <f t="shared" si="254"/>
        <v>0.1125</v>
      </c>
      <c r="U849" s="11">
        <f>IF(A848=A849,0,VLOOKUP(A849,'Packing Time'!A:F,6,0))</f>
        <v>0.64166666666666661</v>
      </c>
      <c r="V849" s="11">
        <f t="shared" si="247"/>
        <v>0.21720416666666661</v>
      </c>
      <c r="W849" s="11">
        <f t="shared" si="248"/>
        <v>1.0694444444444444E-2</v>
      </c>
      <c r="X849" s="11">
        <f t="shared" si="255"/>
        <v>4.0033266666666663</v>
      </c>
      <c r="Y849" s="11">
        <f t="shared" si="249"/>
        <v>4.0033266666666663</v>
      </c>
      <c r="Z849" s="37">
        <v>1</v>
      </c>
      <c r="AA849" s="36">
        <f t="shared" si="256"/>
        <v>2.1999999999999997</v>
      </c>
      <c r="AB849" s="36">
        <f t="shared" si="257"/>
        <v>3.6959999999999993</v>
      </c>
      <c r="AC849" s="11">
        <f t="shared" si="258"/>
        <v>0.19711111111111113</v>
      </c>
      <c r="AD849" s="36">
        <f t="shared" si="250"/>
        <v>4.0033266666666671</v>
      </c>
      <c r="AE849" s="36"/>
      <c r="AF849" s="36">
        <f>IFERROR(VLOOKUP(AE849,'Chemical Cost'!A:D,4,0),0)</f>
        <v>0</v>
      </c>
      <c r="AG849" s="114">
        <f t="shared" si="259"/>
        <v>0</v>
      </c>
      <c r="AH849" s="36">
        <f t="shared" si="244"/>
        <v>0</v>
      </c>
      <c r="AI849" s="36">
        <f t="shared" si="251"/>
        <v>7.699326666666666</v>
      </c>
      <c r="AJ849" s="36">
        <f>IFERROR(VLOOKUP(A849,'All Products'!A:F,6,0),0)</f>
        <v>7.15</v>
      </c>
      <c r="AK849" s="36">
        <f>AJ849*Z849*J849</f>
        <v>7.15</v>
      </c>
      <c r="AL849" s="23">
        <v>1</v>
      </c>
      <c r="AM849" s="23"/>
      <c r="AN849" s="54" t="e">
        <v>#N/A</v>
      </c>
      <c r="AO849" s="47"/>
      <c r="AP849" s="4">
        <v>1.6</v>
      </c>
      <c r="AQ849" s="111">
        <f t="shared" si="260"/>
        <v>0.19711111111111113</v>
      </c>
      <c r="AR849">
        <f>_xlfn.XLOOKUP(F849,'RM Cost'!A:A,'RM Cost'!S:S)</f>
        <v>0</v>
      </c>
      <c r="AS849" t="e">
        <f>_xlfn.XLOOKUP(A849,[3]Sheet1!$B:$B,[3]Sheet1!$B:$B)</f>
        <v>#N/A</v>
      </c>
    </row>
    <row r="850" spans="1:46" x14ac:dyDescent="0.25">
      <c r="A850" s="2" t="s">
        <v>874</v>
      </c>
      <c r="B850" s="2" t="s">
        <v>656</v>
      </c>
      <c r="C850" s="2" t="s">
        <v>875</v>
      </c>
      <c r="D850" s="2" t="s">
        <v>554</v>
      </c>
      <c r="E850" s="2">
        <v>1</v>
      </c>
      <c r="F850" s="1" t="str">
        <f>VLOOKUP(H850,'RM Used'!A:B,2,0)</f>
        <v>P0008</v>
      </c>
      <c r="G850" s="1" t="str">
        <f>IFERROR(VLOOKUP(F850,'RM Cost'!A:B,2,0),"")</f>
        <v>PALE BLUE BAG 470X750MM</v>
      </c>
      <c r="H850" s="2" t="s">
        <v>1323</v>
      </c>
      <c r="I850" s="1" t="str">
        <f>VLOOKUP(F850,'RM Used'!B:D,3,0)</f>
        <v>RM-PACKING</v>
      </c>
      <c r="J850" s="66">
        <v>1</v>
      </c>
      <c r="K850" s="35" t="str">
        <f t="shared" si="246"/>
        <v/>
      </c>
      <c r="L850" s="35">
        <f t="shared" si="252"/>
        <v>0</v>
      </c>
      <c r="M850" s="77" t="str" cm="1">
        <f t="array" ref="M850">_xlfn.IFS(BOM!I850="RM-PACKING","100%",B850="Reynolds",VLOOKUP(H850,'Yield &amp; Time'!A:V,22,0),BOM!B850="Dnata",VLOOKUP(BOM!H850,'Yield &amp; Time'!A:M,13,0),B850="NK",VLOOKUP(H850,'Yield &amp; Time'!A:X,24,0))</f>
        <v>100%</v>
      </c>
      <c r="N850" s="35">
        <f t="shared" si="245"/>
        <v>1</v>
      </c>
      <c r="O850" s="1" t="str">
        <f>VLOOKUP(H850,'RM Used'!A:E,5,0)</f>
        <v>Count</v>
      </c>
      <c r="P850" s="11">
        <f>VLOOKUP(H850,'RM Used'!A:F,6,0)</f>
        <v>0.14000000000000001</v>
      </c>
      <c r="Q850" s="11">
        <f t="shared" si="261"/>
        <v>0.14000000000000001</v>
      </c>
      <c r="R850" s="11">
        <f>IFERROR(IF(B850="Reynolds",VLOOKUP(H850,'Yield &amp; Time'!A:U,21,0),VLOOKUP(H850,'Yield &amp; Time'!A:L,12,0)),0)</f>
        <v>0</v>
      </c>
      <c r="S850" s="11">
        <f t="shared" si="253"/>
        <v>0</v>
      </c>
      <c r="T850" s="11">
        <f t="shared" si="254"/>
        <v>0</v>
      </c>
      <c r="U850" s="11">
        <f>IF(A849=A850,0,VLOOKUP(A850,'Packing Time'!A:F,6,0))</f>
        <v>0</v>
      </c>
      <c r="V850" s="11">
        <f t="shared" si="247"/>
        <v>0</v>
      </c>
      <c r="W850" s="11">
        <f t="shared" si="248"/>
        <v>0</v>
      </c>
      <c r="X850" s="11">
        <f t="shared" si="255"/>
        <v>0</v>
      </c>
      <c r="Y850" s="11">
        <f t="shared" si="249"/>
        <v>0</v>
      </c>
      <c r="Z850" s="37">
        <v>1</v>
      </c>
      <c r="AA850" s="36">
        <f t="shared" si="256"/>
        <v>1</v>
      </c>
      <c r="AB850" s="36">
        <f t="shared" si="257"/>
        <v>0.14000000000000001</v>
      </c>
      <c r="AC850" s="11">
        <f t="shared" si="258"/>
        <v>0</v>
      </c>
      <c r="AD850" s="36">
        <f t="shared" si="250"/>
        <v>0</v>
      </c>
      <c r="AE850" s="36"/>
      <c r="AF850" s="36">
        <f>IFERROR(VLOOKUP(AE850,'Chemical Cost'!A:D,4,0),0)</f>
        <v>0</v>
      </c>
      <c r="AG850" s="114">
        <f t="shared" si="259"/>
        <v>0</v>
      </c>
      <c r="AH850" s="36">
        <f t="shared" si="244"/>
        <v>0</v>
      </c>
      <c r="AI850" s="36">
        <f t="shared" si="251"/>
        <v>0.14000000000000001</v>
      </c>
      <c r="AJ850" s="36">
        <f>IFERROR(VLOOKUP(A850,'All Products'!A:F,6,0),0)</f>
        <v>7.15</v>
      </c>
      <c r="AK850" s="36"/>
      <c r="AL850" s="23">
        <v>1</v>
      </c>
      <c r="AM850" s="23"/>
      <c r="AN850" s="54" t="e">
        <v>#N/A</v>
      </c>
      <c r="AO850" s="47"/>
      <c r="AP850" s="4">
        <v>1.6</v>
      </c>
      <c r="AQ850" s="111">
        <f t="shared" si="260"/>
        <v>0</v>
      </c>
      <c r="AR850">
        <f>_xlfn.XLOOKUP(F850,'RM Cost'!A:A,'RM Cost'!S:S)</f>
        <v>0</v>
      </c>
      <c r="AS850" t="e">
        <f>_xlfn.XLOOKUP(A850,[3]Sheet1!$B:$B,[3]Sheet1!$B:$B)</f>
        <v>#N/A</v>
      </c>
    </row>
    <row r="851" spans="1:46" x14ac:dyDescent="0.25">
      <c r="A851" s="2" t="s">
        <v>443</v>
      </c>
      <c r="B851" s="2" t="s">
        <v>656</v>
      </c>
      <c r="C851" s="2" t="s">
        <v>444</v>
      </c>
      <c r="D851" s="2" t="s">
        <v>554</v>
      </c>
      <c r="E851" s="2">
        <v>2.5</v>
      </c>
      <c r="F851" s="1" t="str">
        <f>VLOOKUP(H851,'RM Used'!A:B,2,0)</f>
        <v>3567CS</v>
      </c>
      <c r="G851" s="1" t="str">
        <f>IFERROR(VLOOKUP(F851,'RM Cost'!A:B,2,0),"")</f>
        <v>RM - PEPPERS YELLOW  X 5KG</v>
      </c>
      <c r="H851" s="2" t="s">
        <v>1399</v>
      </c>
      <c r="I851" s="1" t="str">
        <f>VLOOKUP(F851,'RM Used'!B:D,3,0)</f>
        <v>RM-FOOD</v>
      </c>
      <c r="J851" s="66">
        <v>1</v>
      </c>
      <c r="K851" s="35">
        <f t="shared" si="246"/>
        <v>2.5</v>
      </c>
      <c r="L851" s="35">
        <f t="shared" si="252"/>
        <v>2.5</v>
      </c>
      <c r="M851" s="77" cm="1">
        <f t="array" ref="M851">_xlfn.IFS(BOM!I851="RM-PACKING","100%",B851="Reynolds",VLOOKUP(H851,'Yield &amp; Time'!A:V,22,0),BOM!B851="Dnata",VLOOKUP(BOM!H851,'Yield &amp; Time'!A:M,13,0),B851="NK",VLOOKUP(H851,'Yield &amp; Time'!A:X,24,0))</f>
        <v>0.45454545454545459</v>
      </c>
      <c r="N851" s="35">
        <f t="shared" si="245"/>
        <v>5.4999999999999991</v>
      </c>
      <c r="O851" s="1" t="str">
        <f>VLOOKUP(H851,'RM Used'!A:E,5,0)</f>
        <v>KG</v>
      </c>
      <c r="P851" s="11">
        <f>VLOOKUP(H851,'RM Used'!A:F,6,0)</f>
        <v>1.68</v>
      </c>
      <c r="Q851" s="11">
        <f t="shared" si="261"/>
        <v>9.2399999999999984</v>
      </c>
      <c r="R851" s="11">
        <f>IFERROR(IF(B851="Reynolds",VLOOKUP(H851,'Yield &amp; Time'!A:U,21,0),VLOOKUP(H851,'Yield &amp; Time'!A:L,12,0)),0)</f>
        <v>6.75</v>
      </c>
      <c r="S851" s="11">
        <f t="shared" si="253"/>
        <v>5.7121874999999998</v>
      </c>
      <c r="T851" s="11">
        <f t="shared" si="254"/>
        <v>0.28125</v>
      </c>
      <c r="U851" s="11">
        <f>IF(A850=A851,0,VLOOKUP(A851,'Packing Time'!A:F,6,0))</f>
        <v>0.875</v>
      </c>
      <c r="V851" s="11">
        <f t="shared" si="247"/>
        <v>0.29618749999999999</v>
      </c>
      <c r="W851" s="11">
        <f t="shared" si="248"/>
        <v>1.4583333333333334E-2</v>
      </c>
      <c r="X851" s="11">
        <f t="shared" si="255"/>
        <v>8.4117249999999988</v>
      </c>
      <c r="Y851" s="11">
        <f t="shared" si="249"/>
        <v>8.4117249999999988</v>
      </c>
      <c r="Z851" s="37">
        <v>1</v>
      </c>
      <c r="AA851" s="36">
        <f t="shared" si="256"/>
        <v>5.4999999999999991</v>
      </c>
      <c r="AB851" s="36">
        <f t="shared" si="257"/>
        <v>9.2399999999999984</v>
      </c>
      <c r="AC851" s="11">
        <f t="shared" si="258"/>
        <v>0.41416666666666663</v>
      </c>
      <c r="AD851" s="36">
        <f t="shared" si="250"/>
        <v>8.4117249999999988</v>
      </c>
      <c r="AE851" s="36"/>
      <c r="AF851" s="36">
        <f>IFERROR(VLOOKUP(AE851,'Chemical Cost'!A:D,4,0),0)</f>
        <v>0</v>
      </c>
      <c r="AG851" s="114">
        <f t="shared" si="259"/>
        <v>0</v>
      </c>
      <c r="AH851" s="36">
        <f t="shared" si="244"/>
        <v>0</v>
      </c>
      <c r="AI851" s="36">
        <f t="shared" si="251"/>
        <v>17.651724999999999</v>
      </c>
      <c r="AJ851" s="36">
        <f>IFERROR(VLOOKUP(A851,'All Products'!A:F,6,0),0)</f>
        <v>17.559999999999999</v>
      </c>
      <c r="AK851" s="36">
        <f>AJ851*Z851*J851</f>
        <v>17.559999999999999</v>
      </c>
      <c r="AL851" s="23">
        <v>1</v>
      </c>
      <c r="AM851" s="23"/>
      <c r="AN851" s="54" t="e">
        <v>#N/A</v>
      </c>
      <c r="AO851" s="47"/>
      <c r="AP851" s="4">
        <v>1.4</v>
      </c>
      <c r="AQ851" s="111">
        <f t="shared" si="260"/>
        <v>0.41416666666666663</v>
      </c>
      <c r="AR851">
        <f>_xlfn.XLOOKUP(F851,'RM Cost'!A:A,'RM Cost'!S:S)</f>
        <v>0</v>
      </c>
      <c r="AS851" t="e">
        <f>_xlfn.XLOOKUP(A851,[3]Sheet1!$B:$B,[3]Sheet1!$B:$B)</f>
        <v>#N/A</v>
      </c>
    </row>
    <row r="852" spans="1:46" x14ac:dyDescent="0.25">
      <c r="A852" s="2" t="s">
        <v>443</v>
      </c>
      <c r="B852" s="2" t="s">
        <v>656</v>
      </c>
      <c r="C852" s="2" t="s">
        <v>444</v>
      </c>
      <c r="D852" s="2" t="s">
        <v>554</v>
      </c>
      <c r="E852" s="2">
        <v>2.5</v>
      </c>
      <c r="F852" s="1" t="str">
        <f>VLOOKUP(H852,'RM Used'!A:B,2,0)</f>
        <v>P0008</v>
      </c>
      <c r="G852" s="1" t="str">
        <f>IFERROR(VLOOKUP(F852,'RM Cost'!A:B,2,0),"")</f>
        <v>PALE BLUE BAG 470X750MM</v>
      </c>
      <c r="H852" s="2" t="s">
        <v>1323</v>
      </c>
      <c r="I852" s="1" t="str">
        <f>VLOOKUP(F852,'RM Used'!B:D,3,0)</f>
        <v>RM-PACKING</v>
      </c>
      <c r="J852" s="66">
        <v>1</v>
      </c>
      <c r="K852" s="35" t="str">
        <f t="shared" si="246"/>
        <v/>
      </c>
      <c r="L852" s="35">
        <f t="shared" si="252"/>
        <v>0</v>
      </c>
      <c r="M852" s="77" t="str" cm="1">
        <f t="array" ref="M852">_xlfn.IFS(BOM!I852="RM-PACKING","100%",B852="Reynolds",VLOOKUP(H852,'Yield &amp; Time'!A:V,22,0),BOM!B852="Dnata",VLOOKUP(BOM!H852,'Yield &amp; Time'!A:M,13,0),B852="NK",VLOOKUP(H852,'Yield &amp; Time'!A:X,24,0))</f>
        <v>100%</v>
      </c>
      <c r="N852" s="35">
        <f t="shared" si="245"/>
        <v>1</v>
      </c>
      <c r="O852" s="1" t="str">
        <f>VLOOKUP(H852,'RM Used'!A:E,5,0)</f>
        <v>Count</v>
      </c>
      <c r="P852" s="11">
        <f>VLOOKUP(H852,'RM Used'!A:F,6,0)</f>
        <v>0.14000000000000001</v>
      </c>
      <c r="Q852" s="11">
        <f t="shared" si="261"/>
        <v>0.14000000000000001</v>
      </c>
      <c r="R852" s="11">
        <f>IFERROR(IF(B852="Reynolds",VLOOKUP(H852,'Yield &amp; Time'!A:U,21,0),VLOOKUP(H852,'Yield &amp; Time'!A:L,12,0)),0)</f>
        <v>0</v>
      </c>
      <c r="S852" s="11">
        <f t="shared" si="253"/>
        <v>0</v>
      </c>
      <c r="T852" s="11">
        <f t="shared" si="254"/>
        <v>0</v>
      </c>
      <c r="U852" s="11">
        <f>IF(A851=A852,0,VLOOKUP(A852,'Packing Time'!A:F,6,0))</f>
        <v>0</v>
      </c>
      <c r="V852" s="11">
        <f t="shared" si="247"/>
        <v>0</v>
      </c>
      <c r="W852" s="11">
        <f t="shared" si="248"/>
        <v>0</v>
      </c>
      <c r="X852" s="11">
        <f t="shared" si="255"/>
        <v>0</v>
      </c>
      <c r="Y852" s="11">
        <f t="shared" si="249"/>
        <v>0</v>
      </c>
      <c r="Z852" s="37">
        <v>1</v>
      </c>
      <c r="AA852" s="36">
        <f t="shared" si="256"/>
        <v>1</v>
      </c>
      <c r="AB852" s="36">
        <f t="shared" si="257"/>
        <v>0.14000000000000001</v>
      </c>
      <c r="AC852" s="11">
        <f t="shared" si="258"/>
        <v>0</v>
      </c>
      <c r="AD852" s="36">
        <f t="shared" si="250"/>
        <v>0</v>
      </c>
      <c r="AE852" s="36"/>
      <c r="AF852" s="36">
        <f>IFERROR(VLOOKUP(AE852,'Chemical Cost'!A:D,4,0),0)</f>
        <v>0</v>
      </c>
      <c r="AG852" s="114">
        <f t="shared" si="259"/>
        <v>0</v>
      </c>
      <c r="AH852" s="36">
        <f t="shared" si="244"/>
        <v>0</v>
      </c>
      <c r="AI852" s="36">
        <f t="shared" si="251"/>
        <v>0.14000000000000001</v>
      </c>
      <c r="AJ852" s="36">
        <f>IFERROR(VLOOKUP(A852,'All Products'!A:F,6,0),0)</f>
        <v>17.559999999999999</v>
      </c>
      <c r="AK852" s="36"/>
      <c r="AL852" s="23">
        <v>1</v>
      </c>
      <c r="AM852" s="23"/>
      <c r="AN852" s="54" t="e">
        <v>#N/A</v>
      </c>
      <c r="AO852" s="47"/>
      <c r="AP852" s="4">
        <v>1.4</v>
      </c>
      <c r="AQ852" s="111">
        <f t="shared" si="260"/>
        <v>0</v>
      </c>
      <c r="AR852">
        <f>_xlfn.XLOOKUP(F852,'RM Cost'!A:A,'RM Cost'!S:S)</f>
        <v>0</v>
      </c>
      <c r="AS852" t="e">
        <f>_xlfn.XLOOKUP(A852,[3]Sheet1!$B:$B,[3]Sheet1!$B:$B)</f>
        <v>#N/A</v>
      </c>
    </row>
    <row r="853" spans="1:46" x14ac:dyDescent="0.25">
      <c r="A853" s="2" t="s">
        <v>876</v>
      </c>
      <c r="B853" s="2" t="s">
        <v>656</v>
      </c>
      <c r="C853" s="2" t="s">
        <v>877</v>
      </c>
      <c r="D853" s="2" t="s">
        <v>554</v>
      </c>
      <c r="E853" s="2">
        <v>1</v>
      </c>
      <c r="F853" s="1" t="str">
        <f>VLOOKUP(H853,'RM Used'!A:B,2,0)</f>
        <v>3565CS</v>
      </c>
      <c r="G853" s="1" t="str">
        <f>IFERROR(VLOOKUP(F853,'RM Cost'!A:B,2,0),"")</f>
        <v>RM - PEPPERS GREEN  X 5KG</v>
      </c>
      <c r="H853" s="2" t="s">
        <v>1417</v>
      </c>
      <c r="I853" s="1" t="str">
        <f>VLOOKUP(F853,'RM Used'!B:D,3,0)</f>
        <v>RM-FOOD</v>
      </c>
      <c r="J853" s="66">
        <v>1</v>
      </c>
      <c r="K853" s="35">
        <f t="shared" si="246"/>
        <v>1</v>
      </c>
      <c r="L853" s="35">
        <f t="shared" si="252"/>
        <v>1</v>
      </c>
      <c r="M853" s="77" cm="1">
        <f t="array" ref="M853">_xlfn.IFS(BOM!I853="RM-PACKING","100%",B853="Reynolds",VLOOKUP(H853,'Yield &amp; Time'!A:V,22,0),BOM!B853="Dnata",VLOOKUP(BOM!H853,'Yield &amp; Time'!A:M,13,0),B853="NK",VLOOKUP(H853,'Yield &amp; Time'!A:X,24,0))</f>
        <v>0.45254779411764695</v>
      </c>
      <c r="N853" s="35">
        <f t="shared" si="245"/>
        <v>2.2097113564540636</v>
      </c>
      <c r="O853" s="1" t="str">
        <f>VLOOKUP(H853,'RM Used'!A:E,5,0)</f>
        <v>KG</v>
      </c>
      <c r="P853" s="11">
        <f>VLOOKUP(H853,'RM Used'!A:F,6,0)</f>
        <v>1.76</v>
      </c>
      <c r="Q853" s="11">
        <f t="shared" si="261"/>
        <v>3.8890919873591518</v>
      </c>
      <c r="R853" s="11">
        <f>IFERROR(IF(B853="Reynolds",VLOOKUP(H853,'Yield &amp; Time'!A:U,21,0),VLOOKUP(H853,'Yield &amp; Time'!A:L,12,0)),0)</f>
        <v>4.505319148936171</v>
      </c>
      <c r="S853" s="11">
        <f t="shared" si="253"/>
        <v>1.5250505319148937</v>
      </c>
      <c r="T853" s="11">
        <f t="shared" si="254"/>
        <v>7.5088652482269522E-2</v>
      </c>
      <c r="U853" s="11">
        <f>IF(A852=A853,0,VLOOKUP(A853,'Packing Time'!A:F,6,0))</f>
        <v>0.64166666666666661</v>
      </c>
      <c r="V853" s="11">
        <f t="shared" si="247"/>
        <v>0.21720416666666661</v>
      </c>
      <c r="W853" s="11">
        <f t="shared" si="248"/>
        <v>1.0694444444444444E-2</v>
      </c>
      <c r="X853" s="11">
        <f t="shared" si="255"/>
        <v>2.7876075177304966</v>
      </c>
      <c r="Y853" s="11">
        <f t="shared" si="249"/>
        <v>2.7876075177304966</v>
      </c>
      <c r="Z853" s="37">
        <v>1</v>
      </c>
      <c r="AA853" s="36">
        <f t="shared" si="256"/>
        <v>2.2097113564540636</v>
      </c>
      <c r="AB853" s="36">
        <f t="shared" si="257"/>
        <v>3.8890919873591518</v>
      </c>
      <c r="AC853" s="11">
        <f t="shared" si="258"/>
        <v>0.13725295508274235</v>
      </c>
      <c r="AD853" s="36">
        <f t="shared" si="250"/>
        <v>2.7876075177304966</v>
      </c>
      <c r="AE853" s="36" t="str">
        <f>VLOOKUP(H853,'Yield &amp; Time'!A:I,9,0)</f>
        <v>CHLORINE</v>
      </c>
      <c r="AF853" s="36">
        <f>IFERROR(VLOOKUP(AE853,'Chemical Cost'!A:D,4,0),0)</f>
        <v>2.7756518066439469E-2</v>
      </c>
      <c r="AG853" s="114">
        <f t="shared" si="259"/>
        <v>2.0444631062344561E-2</v>
      </c>
      <c r="AH853" s="36">
        <f t="shared" si="244"/>
        <v>2.0444631062344561E-2</v>
      </c>
      <c r="AI853" s="36">
        <f t="shared" si="251"/>
        <v>6.6971441361519934</v>
      </c>
      <c r="AJ853" s="36">
        <f>IFERROR(VLOOKUP(A853,'All Products'!A:F,6,0),0)</f>
        <v>12.55</v>
      </c>
      <c r="AK853" s="36">
        <f>AJ853*Z853*J853</f>
        <v>12.55</v>
      </c>
      <c r="AL853" s="23">
        <v>0.8</v>
      </c>
      <c r="AM853" s="23">
        <v>0.2</v>
      </c>
      <c r="AN853" s="54" t="e">
        <v>#N/A</v>
      </c>
      <c r="AO853" s="47"/>
      <c r="AP853" s="4">
        <v>1.6</v>
      </c>
      <c r="AQ853" s="111">
        <f t="shared" si="260"/>
        <v>0.13725295508274235</v>
      </c>
      <c r="AR853">
        <f>_xlfn.XLOOKUP(F853,'RM Cost'!A:A,'RM Cost'!S:S)</f>
        <v>0</v>
      </c>
      <c r="AS853" t="str">
        <f>_xlfn.XLOOKUP(A853,[3]Sheet1!$B:$B,[3]Sheet1!$B:$B)</f>
        <v>Z330CS</v>
      </c>
      <c r="AT853">
        <f>_xlfn.XLOOKUP(H853,'Yield &amp; Time'!A:A,'Yield &amp; Time'!F:F)</f>
        <v>0</v>
      </c>
    </row>
    <row r="854" spans="1:46" x14ac:dyDescent="0.25">
      <c r="A854" s="2" t="s">
        <v>876</v>
      </c>
      <c r="B854" s="2" t="s">
        <v>656</v>
      </c>
      <c r="C854" s="2" t="s">
        <v>877</v>
      </c>
      <c r="D854" s="2" t="s">
        <v>554</v>
      </c>
      <c r="E854" s="2">
        <v>1</v>
      </c>
      <c r="F854" s="1" t="str">
        <f>VLOOKUP(H854,'RM Used'!A:B,2,0)</f>
        <v>P0008</v>
      </c>
      <c r="G854" s="1" t="str">
        <f>IFERROR(VLOOKUP(F854,'RM Cost'!A:B,2,0),"")</f>
        <v>PALE BLUE BAG 470X750MM</v>
      </c>
      <c r="H854" s="2" t="s">
        <v>1323</v>
      </c>
      <c r="I854" s="1" t="str">
        <f>VLOOKUP(F854,'RM Used'!B:D,3,0)</f>
        <v>RM-PACKING</v>
      </c>
      <c r="J854" s="66">
        <v>1</v>
      </c>
      <c r="K854" s="35" t="str">
        <f t="shared" si="246"/>
        <v/>
      </c>
      <c r="L854" s="35">
        <f t="shared" si="252"/>
        <v>0</v>
      </c>
      <c r="M854" s="77" t="str" cm="1">
        <f t="array" ref="M854">_xlfn.IFS(BOM!I854="RM-PACKING","100%",B854="Reynolds",VLOOKUP(H854,'Yield &amp; Time'!A:V,22,0),BOM!B854="Dnata",VLOOKUP(BOM!H854,'Yield &amp; Time'!A:M,13,0),B854="NK",VLOOKUP(H854,'Yield &amp; Time'!A:X,24,0))</f>
        <v>100%</v>
      </c>
      <c r="N854" s="35">
        <f t="shared" si="245"/>
        <v>1</v>
      </c>
      <c r="O854" s="1" t="str">
        <f>VLOOKUP(H854,'RM Used'!A:E,5,0)</f>
        <v>Count</v>
      </c>
      <c r="P854" s="11">
        <f>VLOOKUP(H854,'RM Used'!A:F,6,0)</f>
        <v>0.14000000000000001</v>
      </c>
      <c r="Q854" s="11">
        <f t="shared" si="261"/>
        <v>0.14000000000000001</v>
      </c>
      <c r="R854" s="11">
        <f>IFERROR(IF(B854="Reynolds",VLOOKUP(H854,'Yield &amp; Time'!A:U,21,0),VLOOKUP(H854,'Yield &amp; Time'!A:L,12,0)),0)</f>
        <v>0</v>
      </c>
      <c r="S854" s="11">
        <f t="shared" si="253"/>
        <v>0</v>
      </c>
      <c r="T854" s="11">
        <f t="shared" si="254"/>
        <v>0</v>
      </c>
      <c r="U854" s="11">
        <f>IF(A853=A854,0,VLOOKUP(A854,'Packing Time'!A:F,6,0))</f>
        <v>0</v>
      </c>
      <c r="V854" s="11">
        <f t="shared" si="247"/>
        <v>0</v>
      </c>
      <c r="W854" s="11">
        <f t="shared" si="248"/>
        <v>0</v>
      </c>
      <c r="X854" s="11">
        <f t="shared" si="255"/>
        <v>0</v>
      </c>
      <c r="Y854" s="11">
        <f t="shared" si="249"/>
        <v>0</v>
      </c>
      <c r="Z854" s="37">
        <v>1</v>
      </c>
      <c r="AA854" s="36">
        <f t="shared" si="256"/>
        <v>1</v>
      </c>
      <c r="AB854" s="36">
        <f t="shared" si="257"/>
        <v>0.14000000000000001</v>
      </c>
      <c r="AC854" s="11">
        <f t="shared" si="258"/>
        <v>0</v>
      </c>
      <c r="AD854" s="36">
        <f t="shared" si="250"/>
        <v>0</v>
      </c>
      <c r="AE854" s="36"/>
      <c r="AF854" s="36">
        <f>IFERROR(VLOOKUP(AE854,'Chemical Cost'!A:D,4,0),0)</f>
        <v>0</v>
      </c>
      <c r="AG854" s="114">
        <f t="shared" si="259"/>
        <v>0</v>
      </c>
      <c r="AH854" s="36">
        <f t="shared" ref="AH854:AH917" si="262">AF854*AA854/3</f>
        <v>0</v>
      </c>
      <c r="AI854" s="36">
        <f t="shared" si="251"/>
        <v>0.14000000000000001</v>
      </c>
      <c r="AJ854" s="36">
        <f>IFERROR(VLOOKUP(A854,'All Products'!A:F,6,0),0)</f>
        <v>12.55</v>
      </c>
      <c r="AK854" s="36"/>
      <c r="AL854" s="23">
        <v>0.8</v>
      </c>
      <c r="AM854" s="23">
        <v>0.2</v>
      </c>
      <c r="AN854" s="54" t="e">
        <v>#N/A</v>
      </c>
      <c r="AO854" s="47"/>
      <c r="AP854" s="4">
        <v>1.6</v>
      </c>
      <c r="AQ854" s="111">
        <f t="shared" si="260"/>
        <v>0</v>
      </c>
      <c r="AR854">
        <f>_xlfn.XLOOKUP(F854,'RM Cost'!A:A,'RM Cost'!S:S)</f>
        <v>0</v>
      </c>
      <c r="AS854" t="str">
        <f>_xlfn.XLOOKUP(A854,[3]Sheet1!$B:$B,[3]Sheet1!$B:$B)</f>
        <v>Z330CS</v>
      </c>
      <c r="AT854" t="e">
        <f>_xlfn.XLOOKUP(H854,'Yield &amp; Time'!A:A,'Yield &amp; Time'!F:F)</f>
        <v>#N/A</v>
      </c>
    </row>
    <row r="855" spans="1:46" x14ac:dyDescent="0.25">
      <c r="A855" s="2" t="s">
        <v>878</v>
      </c>
      <c r="B855" s="2" t="s">
        <v>656</v>
      </c>
      <c r="C855" s="2" t="s">
        <v>879</v>
      </c>
      <c r="D855" s="2" t="s">
        <v>554</v>
      </c>
      <c r="E855" s="2">
        <v>2.5</v>
      </c>
      <c r="F855" s="1" t="str">
        <f>VLOOKUP(H855,'RM Used'!A:B,2,0)</f>
        <v>3565CS</v>
      </c>
      <c r="G855" s="1" t="str">
        <f>IFERROR(VLOOKUP(F855,'RM Cost'!A:B,2,0),"")</f>
        <v>RM - PEPPERS GREEN  X 5KG</v>
      </c>
      <c r="H855" s="2" t="s">
        <v>1417</v>
      </c>
      <c r="I855" s="1" t="str">
        <f>VLOOKUP(F855,'RM Used'!B:D,3,0)</f>
        <v>RM-FOOD</v>
      </c>
      <c r="J855" s="66">
        <v>1</v>
      </c>
      <c r="K855" s="35">
        <f t="shared" si="246"/>
        <v>2.5</v>
      </c>
      <c r="L855" s="35">
        <f t="shared" si="252"/>
        <v>2.5</v>
      </c>
      <c r="M855" s="77" cm="1">
        <f t="array" ref="M855">_xlfn.IFS(BOM!I855="RM-PACKING","100%",B855="Reynolds",VLOOKUP(H855,'Yield &amp; Time'!A:V,22,0),BOM!B855="Dnata",VLOOKUP(BOM!H855,'Yield &amp; Time'!A:M,13,0),B855="NK",VLOOKUP(H855,'Yield &amp; Time'!A:X,24,0))</f>
        <v>0.45254779411764695</v>
      </c>
      <c r="N855" s="35">
        <f t="shared" si="245"/>
        <v>5.5242783911351596</v>
      </c>
      <c r="O855" s="1" t="str">
        <f>VLOOKUP(H855,'RM Used'!A:E,5,0)</f>
        <v>KG</v>
      </c>
      <c r="P855" s="11">
        <f>VLOOKUP(H855,'RM Used'!A:F,6,0)</f>
        <v>1.76</v>
      </c>
      <c r="Q855" s="11">
        <f t="shared" si="261"/>
        <v>9.7227299683978803</v>
      </c>
      <c r="R855" s="11">
        <f>IFERROR(IF(B855="Reynolds",VLOOKUP(H855,'Yield &amp; Time'!A:U,21,0),VLOOKUP(H855,'Yield &amp; Time'!A:L,12,0)),0)</f>
        <v>4.505319148936171</v>
      </c>
      <c r="S855" s="11">
        <f t="shared" si="253"/>
        <v>3.8126263297872343</v>
      </c>
      <c r="T855" s="11">
        <f t="shared" si="254"/>
        <v>0.18772163120567378</v>
      </c>
      <c r="U855" s="11">
        <f>IF(A854=A855,0,VLOOKUP(A855,'Packing Time'!A:F,6,0))</f>
        <v>0.875</v>
      </c>
      <c r="V855" s="11">
        <f t="shared" si="247"/>
        <v>0.29618749999999999</v>
      </c>
      <c r="W855" s="11">
        <f t="shared" si="248"/>
        <v>1.4583333333333334E-2</v>
      </c>
      <c r="X855" s="11">
        <f t="shared" si="255"/>
        <v>6.5741021276595752</v>
      </c>
      <c r="Y855" s="11">
        <f t="shared" si="249"/>
        <v>6.5741021276595752</v>
      </c>
      <c r="Z855" s="37">
        <v>1</v>
      </c>
      <c r="AA855" s="36">
        <f t="shared" si="256"/>
        <v>5.5242783911351596</v>
      </c>
      <c r="AB855" s="36">
        <f t="shared" si="257"/>
        <v>9.7227299683978803</v>
      </c>
      <c r="AC855" s="11">
        <f t="shared" si="258"/>
        <v>0.3236879432624114</v>
      </c>
      <c r="AD855" s="36">
        <f t="shared" si="250"/>
        <v>6.5741021276595744</v>
      </c>
      <c r="AE855" s="36" t="str">
        <f>VLOOKUP(H855,'Yield &amp; Time'!A:I,9,0)</f>
        <v>CHLORINE</v>
      </c>
      <c r="AF855" s="36">
        <f>IFERROR(VLOOKUP(AE855,'Chemical Cost'!A:D,4,0),0)</f>
        <v>2.7756518066439469E-2</v>
      </c>
      <c r="AG855" s="114">
        <f t="shared" si="259"/>
        <v>5.1111577655861412E-2</v>
      </c>
      <c r="AH855" s="36">
        <f t="shared" si="262"/>
        <v>5.1111577655861412E-2</v>
      </c>
      <c r="AI855" s="36">
        <f t="shared" si="251"/>
        <v>16.347943673713317</v>
      </c>
      <c r="AJ855" s="36">
        <f>IFERROR(VLOOKUP(A855,'All Products'!A:F,6,0),0)</f>
        <v>25.41</v>
      </c>
      <c r="AK855" s="36">
        <f>AJ855*Z855*J855</f>
        <v>25.41</v>
      </c>
      <c r="AL855" s="23">
        <v>0.8</v>
      </c>
      <c r="AM855" s="23">
        <v>0.2</v>
      </c>
      <c r="AN855" s="54" t="e">
        <v>#N/A</v>
      </c>
      <c r="AO855" s="47"/>
      <c r="AP855" s="4">
        <v>1.6</v>
      </c>
      <c r="AQ855" s="111">
        <f t="shared" si="260"/>
        <v>0.3236879432624114</v>
      </c>
      <c r="AR855">
        <f>_xlfn.XLOOKUP(F855,'RM Cost'!A:A,'RM Cost'!S:S)</f>
        <v>0</v>
      </c>
      <c r="AS855" t="str">
        <f>_xlfn.XLOOKUP(A855,[3]Sheet1!$B:$B,[3]Sheet1!$B:$B)</f>
        <v>Z329CS</v>
      </c>
      <c r="AT855">
        <f>_xlfn.XLOOKUP(H855,'Yield &amp; Time'!A:A,'Yield &amp; Time'!F:F)</f>
        <v>0</v>
      </c>
    </row>
    <row r="856" spans="1:46" x14ac:dyDescent="0.25">
      <c r="A856" s="2" t="s">
        <v>878</v>
      </c>
      <c r="B856" s="2" t="s">
        <v>656</v>
      </c>
      <c r="C856" s="2" t="s">
        <v>879</v>
      </c>
      <c r="D856" s="2" t="s">
        <v>554</v>
      </c>
      <c r="E856" s="2">
        <v>2.5</v>
      </c>
      <c r="F856" s="1" t="str">
        <f>VLOOKUP(H856,'RM Used'!A:B,2,0)</f>
        <v>P0008</v>
      </c>
      <c r="G856" s="1" t="str">
        <f>IFERROR(VLOOKUP(F856,'RM Cost'!A:B,2,0),"")</f>
        <v>PALE BLUE BAG 470X750MM</v>
      </c>
      <c r="H856" s="2" t="s">
        <v>1323</v>
      </c>
      <c r="I856" s="1" t="str">
        <f>VLOOKUP(F856,'RM Used'!B:D,3,0)</f>
        <v>RM-PACKING</v>
      </c>
      <c r="J856" s="66">
        <v>1</v>
      </c>
      <c r="K856" s="35" t="str">
        <f t="shared" si="246"/>
        <v/>
      </c>
      <c r="L856" s="35">
        <f t="shared" si="252"/>
        <v>0</v>
      </c>
      <c r="M856" s="77" t="str" cm="1">
        <f t="array" ref="M856">_xlfn.IFS(BOM!I856="RM-PACKING","100%",B856="Reynolds",VLOOKUP(H856,'Yield &amp; Time'!A:V,22,0),BOM!B856="Dnata",VLOOKUP(BOM!H856,'Yield &amp; Time'!A:M,13,0),B856="NK",VLOOKUP(H856,'Yield &amp; Time'!A:X,24,0))</f>
        <v>100%</v>
      </c>
      <c r="N856" s="35">
        <f t="shared" si="245"/>
        <v>1</v>
      </c>
      <c r="O856" s="1" t="str">
        <f>VLOOKUP(H856,'RM Used'!A:E,5,0)</f>
        <v>Count</v>
      </c>
      <c r="P856" s="11">
        <f>VLOOKUP(H856,'RM Used'!A:F,6,0)</f>
        <v>0.14000000000000001</v>
      </c>
      <c r="Q856" s="11">
        <f t="shared" si="261"/>
        <v>0.14000000000000001</v>
      </c>
      <c r="R856" s="11">
        <f>IFERROR(IF(B856="Reynolds",VLOOKUP(H856,'Yield &amp; Time'!A:U,21,0),VLOOKUP(H856,'Yield &amp; Time'!A:L,12,0)),0)</f>
        <v>0</v>
      </c>
      <c r="S856" s="11">
        <f t="shared" si="253"/>
        <v>0</v>
      </c>
      <c r="T856" s="11">
        <f t="shared" si="254"/>
        <v>0</v>
      </c>
      <c r="U856" s="11">
        <f>IF(A855=A856,0,VLOOKUP(A856,'Packing Time'!A:F,6,0))</f>
        <v>0</v>
      </c>
      <c r="V856" s="11">
        <f t="shared" si="247"/>
        <v>0</v>
      </c>
      <c r="W856" s="11">
        <f t="shared" si="248"/>
        <v>0</v>
      </c>
      <c r="X856" s="11">
        <f t="shared" si="255"/>
        <v>0</v>
      </c>
      <c r="Y856" s="11">
        <f t="shared" si="249"/>
        <v>0</v>
      </c>
      <c r="Z856" s="37">
        <v>1</v>
      </c>
      <c r="AA856" s="36">
        <f t="shared" si="256"/>
        <v>1</v>
      </c>
      <c r="AB856" s="36">
        <f t="shared" si="257"/>
        <v>0.14000000000000001</v>
      </c>
      <c r="AC856" s="11">
        <f t="shared" si="258"/>
        <v>0</v>
      </c>
      <c r="AD856" s="36">
        <f t="shared" si="250"/>
        <v>0</v>
      </c>
      <c r="AE856" s="36"/>
      <c r="AF856" s="36">
        <f>IFERROR(VLOOKUP(AE856,'Chemical Cost'!A:D,4,0),0)</f>
        <v>0</v>
      </c>
      <c r="AG856" s="114">
        <f t="shared" si="259"/>
        <v>0</v>
      </c>
      <c r="AH856" s="36">
        <f t="shared" si="262"/>
        <v>0</v>
      </c>
      <c r="AI856" s="36">
        <f t="shared" si="251"/>
        <v>0.14000000000000001</v>
      </c>
      <c r="AJ856" s="36">
        <f>IFERROR(VLOOKUP(A856,'All Products'!A:F,6,0),0)</f>
        <v>25.41</v>
      </c>
      <c r="AK856" s="36"/>
      <c r="AL856" s="23">
        <v>0.8</v>
      </c>
      <c r="AM856" s="23">
        <v>0.2</v>
      </c>
      <c r="AN856" s="54" t="e">
        <v>#N/A</v>
      </c>
      <c r="AO856" s="47"/>
      <c r="AP856" s="4">
        <v>1.6</v>
      </c>
      <c r="AQ856" s="111">
        <f t="shared" si="260"/>
        <v>0</v>
      </c>
      <c r="AR856">
        <f>_xlfn.XLOOKUP(F856,'RM Cost'!A:A,'RM Cost'!S:S)</f>
        <v>0</v>
      </c>
      <c r="AS856" t="str">
        <f>_xlfn.XLOOKUP(A856,[3]Sheet1!$B:$B,[3]Sheet1!$B:$B)</f>
        <v>Z329CS</v>
      </c>
      <c r="AT856" t="e">
        <f>_xlfn.XLOOKUP(H856,'Yield &amp; Time'!A:A,'Yield &amp; Time'!F:F)</f>
        <v>#N/A</v>
      </c>
    </row>
    <row r="857" spans="1:46" x14ac:dyDescent="0.25">
      <c r="A857" s="2" t="s">
        <v>179</v>
      </c>
      <c r="B857" s="2" t="s">
        <v>656</v>
      </c>
      <c r="C857" s="2" t="s">
        <v>880</v>
      </c>
      <c r="D857" s="2" t="s">
        <v>554</v>
      </c>
      <c r="E857" s="2">
        <v>2.5</v>
      </c>
      <c r="F857" s="1" t="str">
        <f>VLOOKUP(H857,'RM Used'!A:B,2,0)</f>
        <v>3567CS</v>
      </c>
      <c r="G857" s="1" t="str">
        <f>IFERROR(VLOOKUP(F857,'RM Cost'!A:B,2,0),"")</f>
        <v>RM - PEPPERS YELLOW  X 5KG</v>
      </c>
      <c r="H857" s="2" t="s">
        <v>1428</v>
      </c>
      <c r="I857" s="1" t="str">
        <f>VLOOKUP(F857,'RM Used'!B:D,3,0)</f>
        <v>RM-FOOD</v>
      </c>
      <c r="J857" s="66">
        <v>1</v>
      </c>
      <c r="K857" s="35">
        <f t="shared" si="246"/>
        <v>2.5</v>
      </c>
      <c r="L857" s="35">
        <f t="shared" si="252"/>
        <v>2.5</v>
      </c>
      <c r="M857" s="77" cm="1">
        <f t="array" ref="M857">_xlfn.IFS(BOM!I857="RM-PACKING","100%",B857="Reynolds",VLOOKUP(H857,'Yield &amp; Time'!A:V,22,0),BOM!B857="Dnata",VLOOKUP(BOM!H857,'Yield &amp; Time'!A:M,13,0),B857="NK",VLOOKUP(H857,'Yield &amp; Time'!A:X,24,0))</f>
        <v>0.73404294023197036</v>
      </c>
      <c r="N857" s="35">
        <f t="shared" si="245"/>
        <v>3.4057953056669361</v>
      </c>
      <c r="O857" s="1" t="str">
        <f>VLOOKUP(H857,'RM Used'!A:E,5,0)</f>
        <v>KG</v>
      </c>
      <c r="P857" s="11">
        <f>VLOOKUP(H857,'RM Used'!A:F,6,0)</f>
        <v>1.68</v>
      </c>
      <c r="Q857" s="11">
        <f t="shared" si="261"/>
        <v>5.7217361135204525</v>
      </c>
      <c r="R857" s="11">
        <f>IFERROR(IF(B857="Reynolds",VLOOKUP(H857,'Yield &amp; Time'!A:U,21,0),VLOOKUP(H857,'Yield &amp; Time'!A:L,12,0)),0)</f>
        <v>1.4664882652687532</v>
      </c>
      <c r="S857" s="11">
        <f t="shared" si="253"/>
        <v>1.2410156944836821</v>
      </c>
      <c r="T857" s="11">
        <f t="shared" si="254"/>
        <v>6.1103677719531381E-2</v>
      </c>
      <c r="U857" s="11">
        <f>IF(A856=A857,0,VLOOKUP(A857,'Packing Time'!A:F,6,0))</f>
        <v>0.875</v>
      </c>
      <c r="V857" s="11">
        <f t="shared" si="247"/>
        <v>0.29618749999999999</v>
      </c>
      <c r="W857" s="11">
        <f t="shared" si="248"/>
        <v>1.4583333333333334E-2</v>
      </c>
      <c r="X857" s="11">
        <f t="shared" si="255"/>
        <v>2.152084472277155</v>
      </c>
      <c r="Y857" s="11">
        <f t="shared" si="249"/>
        <v>2.152084472277155</v>
      </c>
      <c r="Z857" s="37">
        <v>1</v>
      </c>
      <c r="AA857" s="36">
        <f t="shared" si="256"/>
        <v>3.4057953056669361</v>
      </c>
      <c r="AB857" s="36">
        <f t="shared" si="257"/>
        <v>5.7217361135204525</v>
      </c>
      <c r="AC857" s="11">
        <f t="shared" si="258"/>
        <v>0.1059618154740106</v>
      </c>
      <c r="AD857" s="36">
        <f t="shared" si="250"/>
        <v>2.152084472277155</v>
      </c>
      <c r="AE857" s="36" t="str">
        <f>VLOOKUP(H857,'Yield &amp; Time'!A:I,9,0)</f>
        <v>CHLORINE</v>
      </c>
      <c r="AF857" s="36">
        <f>IFERROR(VLOOKUP(AE857,'Chemical Cost'!A:D,4,0),0)</f>
        <v>2.7756518066439469E-2</v>
      </c>
      <c r="AG857" s="114">
        <f t="shared" si="259"/>
        <v>3.1511006310779681E-2</v>
      </c>
      <c r="AH857" s="36">
        <f t="shared" si="262"/>
        <v>3.1511006310779681E-2</v>
      </c>
      <c r="AI857" s="36">
        <f t="shared" si="251"/>
        <v>7.9053315921083875</v>
      </c>
      <c r="AJ857" s="36">
        <f>IFERROR(VLOOKUP(A857,'All Products'!A:F,6,0),0)</f>
        <v>39.020000000000003</v>
      </c>
      <c r="AK857" s="36">
        <f>AJ857*Z857*J857</f>
        <v>39.020000000000003</v>
      </c>
      <c r="AL857" s="23">
        <v>0.8</v>
      </c>
      <c r="AM857" s="23">
        <v>0.2</v>
      </c>
      <c r="AN857" s="54" t="e">
        <v>#N/A</v>
      </c>
      <c r="AO857" s="47"/>
      <c r="AP857" s="4">
        <v>1.4</v>
      </c>
      <c r="AQ857" s="111">
        <f t="shared" si="260"/>
        <v>0.1059618154740106</v>
      </c>
      <c r="AR857">
        <f>_xlfn.XLOOKUP(F857,'RM Cost'!A:A,'RM Cost'!S:S)</f>
        <v>0</v>
      </c>
      <c r="AS857" t="str">
        <f>_xlfn.XLOOKUP(A857,[3]Sheet1!$B:$B,[3]Sheet1!$B:$B)</f>
        <v>Z327CS</v>
      </c>
      <c r="AT857">
        <f>_xlfn.XLOOKUP(H857,'Yield &amp; Time'!A:A,'Yield &amp; Time'!F:F)</f>
        <v>0</v>
      </c>
    </row>
    <row r="858" spans="1:46" x14ac:dyDescent="0.25">
      <c r="A858" s="2" t="s">
        <v>179</v>
      </c>
      <c r="B858" s="2" t="s">
        <v>656</v>
      </c>
      <c r="C858" s="2" t="s">
        <v>880</v>
      </c>
      <c r="D858" s="2" t="s">
        <v>554</v>
      </c>
      <c r="E858" s="2">
        <v>2.5</v>
      </c>
      <c r="F858" s="1" t="str">
        <f>VLOOKUP(H858,'RM Used'!A:B,2,0)</f>
        <v>P0008</v>
      </c>
      <c r="G858" s="1" t="str">
        <f>IFERROR(VLOOKUP(F858,'RM Cost'!A:B,2,0),"")</f>
        <v>PALE BLUE BAG 470X750MM</v>
      </c>
      <c r="H858" s="2" t="s">
        <v>1323</v>
      </c>
      <c r="I858" s="1" t="str">
        <f>VLOOKUP(F858,'RM Used'!B:D,3,0)</f>
        <v>RM-PACKING</v>
      </c>
      <c r="J858" s="66">
        <v>1</v>
      </c>
      <c r="K858" s="35" t="str">
        <f t="shared" si="246"/>
        <v/>
      </c>
      <c r="L858" s="35">
        <f t="shared" si="252"/>
        <v>0</v>
      </c>
      <c r="M858" s="77" t="str" cm="1">
        <f t="array" ref="M858">_xlfn.IFS(BOM!I858="RM-PACKING","100%",B858="Reynolds",VLOOKUP(H858,'Yield &amp; Time'!A:V,22,0),BOM!B858="Dnata",VLOOKUP(BOM!H858,'Yield &amp; Time'!A:M,13,0),B858="NK",VLOOKUP(H858,'Yield &amp; Time'!A:X,24,0))</f>
        <v>100%</v>
      </c>
      <c r="N858" s="35">
        <f t="shared" si="245"/>
        <v>1</v>
      </c>
      <c r="O858" s="1" t="str">
        <f>VLOOKUP(H858,'RM Used'!A:E,5,0)</f>
        <v>Count</v>
      </c>
      <c r="P858" s="11">
        <f>VLOOKUP(H858,'RM Used'!A:F,6,0)</f>
        <v>0.14000000000000001</v>
      </c>
      <c r="Q858" s="11">
        <f t="shared" si="261"/>
        <v>0.14000000000000001</v>
      </c>
      <c r="R858" s="11">
        <f>IFERROR(IF(B858="Reynolds",VLOOKUP(H858,'Yield &amp; Time'!A:U,21,0),VLOOKUP(H858,'Yield &amp; Time'!A:L,12,0)),0)</f>
        <v>0</v>
      </c>
      <c r="S858" s="11">
        <f t="shared" si="253"/>
        <v>0</v>
      </c>
      <c r="T858" s="11">
        <f t="shared" si="254"/>
        <v>0</v>
      </c>
      <c r="U858" s="11">
        <f>IF(A857=A858,0,VLOOKUP(A858,'Packing Time'!A:F,6,0))</f>
        <v>0</v>
      </c>
      <c r="V858" s="11">
        <f t="shared" si="247"/>
        <v>0</v>
      </c>
      <c r="W858" s="11">
        <f t="shared" si="248"/>
        <v>0</v>
      </c>
      <c r="X858" s="11">
        <f t="shared" si="255"/>
        <v>0</v>
      </c>
      <c r="Y858" s="11">
        <f t="shared" si="249"/>
        <v>0</v>
      </c>
      <c r="Z858" s="37">
        <v>1</v>
      </c>
      <c r="AA858" s="36">
        <f t="shared" si="256"/>
        <v>1</v>
      </c>
      <c r="AB858" s="36">
        <f t="shared" si="257"/>
        <v>0.14000000000000001</v>
      </c>
      <c r="AC858" s="11">
        <f t="shared" si="258"/>
        <v>0</v>
      </c>
      <c r="AD858" s="36">
        <f t="shared" si="250"/>
        <v>0</v>
      </c>
      <c r="AE858" s="36"/>
      <c r="AF858" s="36">
        <f>IFERROR(VLOOKUP(AE858,'Chemical Cost'!A:D,4,0),0)</f>
        <v>0</v>
      </c>
      <c r="AG858" s="114">
        <f t="shared" si="259"/>
        <v>0</v>
      </c>
      <c r="AH858" s="36">
        <f t="shared" si="262"/>
        <v>0</v>
      </c>
      <c r="AI858" s="36">
        <f t="shared" si="251"/>
        <v>0.14000000000000001</v>
      </c>
      <c r="AJ858" s="36">
        <f>IFERROR(VLOOKUP(A858,'All Products'!A:F,6,0),0)</f>
        <v>39.020000000000003</v>
      </c>
      <c r="AK858" s="36"/>
      <c r="AL858" s="23">
        <v>0.8</v>
      </c>
      <c r="AM858" s="23">
        <v>0.2</v>
      </c>
      <c r="AN858" s="54" t="e">
        <v>#N/A</v>
      </c>
      <c r="AO858" s="47"/>
      <c r="AP858" s="4">
        <v>1.4</v>
      </c>
      <c r="AQ858" s="111">
        <f t="shared" si="260"/>
        <v>0</v>
      </c>
      <c r="AR858">
        <f>_xlfn.XLOOKUP(F858,'RM Cost'!A:A,'RM Cost'!S:S)</f>
        <v>0</v>
      </c>
      <c r="AS858" t="str">
        <f>_xlfn.XLOOKUP(A858,[3]Sheet1!$B:$B,[3]Sheet1!$B:$B)</f>
        <v>Z327CS</v>
      </c>
      <c r="AT858" t="e">
        <f>_xlfn.XLOOKUP(H858,'Yield &amp; Time'!A:A,'Yield &amp; Time'!F:F)</f>
        <v>#N/A</v>
      </c>
    </row>
    <row r="859" spans="1:46" x14ac:dyDescent="0.25">
      <c r="A859" s="2" t="s">
        <v>406</v>
      </c>
      <c r="B859" s="2" t="s">
        <v>656</v>
      </c>
      <c r="C859" s="2" t="s">
        <v>881</v>
      </c>
      <c r="D859" s="2" t="s">
        <v>554</v>
      </c>
      <c r="E859" s="2">
        <v>1</v>
      </c>
      <c r="F859" s="1" t="str">
        <f>VLOOKUP(H859,'RM Used'!A:B,2,0)</f>
        <v>3567CS</v>
      </c>
      <c r="G859" s="1" t="str">
        <f>IFERROR(VLOOKUP(F859,'RM Cost'!A:B,2,0),"")</f>
        <v>RM - PEPPERS YELLOW  X 5KG</v>
      </c>
      <c r="H859" s="2" t="s">
        <v>1428</v>
      </c>
      <c r="I859" s="1" t="str">
        <f>VLOOKUP(F859,'RM Used'!B:D,3,0)</f>
        <v>RM-FOOD</v>
      </c>
      <c r="J859" s="66">
        <v>1</v>
      </c>
      <c r="K859" s="35">
        <f t="shared" si="246"/>
        <v>1</v>
      </c>
      <c r="L859" s="35">
        <f t="shared" si="252"/>
        <v>1</v>
      </c>
      <c r="M859" s="77" cm="1">
        <f t="array" ref="M859">_xlfn.IFS(BOM!I859="RM-PACKING","100%",B859="Reynolds",VLOOKUP(H859,'Yield &amp; Time'!A:V,22,0),BOM!B859="Dnata",VLOOKUP(BOM!H859,'Yield &amp; Time'!A:M,13,0),B859="NK",VLOOKUP(H859,'Yield &amp; Time'!A:X,24,0))</f>
        <v>0.73404294023197036</v>
      </c>
      <c r="N859" s="35">
        <f t="shared" si="245"/>
        <v>1.3623181222667744</v>
      </c>
      <c r="O859" s="1" t="str">
        <f>VLOOKUP(H859,'RM Used'!A:E,5,0)</f>
        <v>KG</v>
      </c>
      <c r="P859" s="11">
        <f>VLOOKUP(H859,'RM Used'!A:F,6,0)</f>
        <v>1.68</v>
      </c>
      <c r="Q859" s="11">
        <f t="shared" si="261"/>
        <v>2.288694445408181</v>
      </c>
      <c r="R859" s="11">
        <f>IFERROR(IF(B859="Reynolds",VLOOKUP(H859,'Yield &amp; Time'!A:U,21,0),VLOOKUP(H859,'Yield &amp; Time'!A:L,12,0)),0)</f>
        <v>1.4664882652687532</v>
      </c>
      <c r="S859" s="11">
        <f t="shared" si="253"/>
        <v>0.49640627779347291</v>
      </c>
      <c r="T859" s="11">
        <f t="shared" si="254"/>
        <v>2.4441471087812552E-2</v>
      </c>
      <c r="U859" s="11">
        <f>IF(A858=A859,0,VLOOKUP(A859,'Packing Time'!A:F,6,0))</f>
        <v>0.64166666666666661</v>
      </c>
      <c r="V859" s="11">
        <f t="shared" si="247"/>
        <v>0.21720416666666661</v>
      </c>
      <c r="W859" s="11">
        <f t="shared" si="248"/>
        <v>1.0694444444444444E-2</v>
      </c>
      <c r="X859" s="11">
        <f t="shared" si="255"/>
        <v>1.1417767111362234</v>
      </c>
      <c r="Y859" s="11">
        <f t="shared" si="249"/>
        <v>1.1417767111362234</v>
      </c>
      <c r="Z859" s="37">
        <v>1</v>
      </c>
      <c r="AA859" s="36">
        <f t="shared" si="256"/>
        <v>1.3623181222667744</v>
      </c>
      <c r="AB859" s="36">
        <f t="shared" si="257"/>
        <v>2.288694445408181</v>
      </c>
      <c r="AC859" s="11">
        <f t="shared" si="258"/>
        <v>5.62174648516112E-2</v>
      </c>
      <c r="AD859" s="36">
        <f t="shared" si="250"/>
        <v>1.1417767111362234</v>
      </c>
      <c r="AE859" s="36" t="str">
        <f>VLOOKUP(H859,'Yield &amp; Time'!A:I,9,0)</f>
        <v>CHLORINE</v>
      </c>
      <c r="AF859" s="36">
        <f>IFERROR(VLOOKUP(AE859,'Chemical Cost'!A:D,4,0),0)</f>
        <v>2.7756518066439469E-2</v>
      </c>
      <c r="AG859" s="114">
        <f t="shared" si="259"/>
        <v>1.2604402524311872E-2</v>
      </c>
      <c r="AH859" s="36">
        <f t="shared" si="262"/>
        <v>1.2604402524311872E-2</v>
      </c>
      <c r="AI859" s="36">
        <f t="shared" si="251"/>
        <v>3.4430755590687161</v>
      </c>
      <c r="AJ859" s="36">
        <f>IFERROR(VLOOKUP(A859,'All Products'!A:F,6,0),0)</f>
        <v>15.61</v>
      </c>
      <c r="AK859" s="36">
        <f>AJ859*Z859*J859</f>
        <v>15.61</v>
      </c>
      <c r="AL859" s="23">
        <v>0.8</v>
      </c>
      <c r="AM859" s="23">
        <v>0.2</v>
      </c>
      <c r="AN859" s="54" t="e">
        <v>#N/A</v>
      </c>
      <c r="AO859" s="47"/>
      <c r="AP859" s="4">
        <v>1.6</v>
      </c>
      <c r="AQ859" s="111">
        <f t="shared" si="260"/>
        <v>5.62174648516112E-2</v>
      </c>
      <c r="AR859">
        <f>_xlfn.XLOOKUP(F859,'RM Cost'!A:A,'RM Cost'!S:S)</f>
        <v>0</v>
      </c>
      <c r="AS859" t="str">
        <f>_xlfn.XLOOKUP(A859,[3]Sheet1!$B:$B,[3]Sheet1!$B:$B)</f>
        <v>Z328CS</v>
      </c>
      <c r="AT859">
        <f>_xlfn.XLOOKUP(H859,'Yield &amp; Time'!A:A,'Yield &amp; Time'!F:F)</f>
        <v>0</v>
      </c>
    </row>
    <row r="860" spans="1:46" x14ac:dyDescent="0.25">
      <c r="A860" s="2" t="s">
        <v>406</v>
      </c>
      <c r="B860" s="2" t="s">
        <v>656</v>
      </c>
      <c r="C860" s="2" t="s">
        <v>881</v>
      </c>
      <c r="D860" s="2" t="s">
        <v>554</v>
      </c>
      <c r="E860" s="2">
        <v>1</v>
      </c>
      <c r="F860" s="1" t="str">
        <f>VLOOKUP(H860,'RM Used'!A:B,2,0)</f>
        <v>P0008</v>
      </c>
      <c r="G860" s="1" t="str">
        <f>IFERROR(VLOOKUP(F860,'RM Cost'!A:B,2,0),"")</f>
        <v>PALE BLUE BAG 470X750MM</v>
      </c>
      <c r="H860" s="2" t="s">
        <v>1323</v>
      </c>
      <c r="I860" s="1" t="str">
        <f>VLOOKUP(F860,'RM Used'!B:D,3,0)</f>
        <v>RM-PACKING</v>
      </c>
      <c r="J860" s="66">
        <v>1</v>
      </c>
      <c r="K860" s="35" t="str">
        <f t="shared" si="246"/>
        <v/>
      </c>
      <c r="L860" s="35">
        <f t="shared" si="252"/>
        <v>0</v>
      </c>
      <c r="M860" s="77" t="str" cm="1">
        <f t="array" ref="M860">_xlfn.IFS(BOM!I860="RM-PACKING","100%",B860="Reynolds",VLOOKUP(H860,'Yield &amp; Time'!A:V,22,0),BOM!B860="Dnata",VLOOKUP(BOM!H860,'Yield &amp; Time'!A:M,13,0),B860="NK",VLOOKUP(H860,'Yield &amp; Time'!A:X,24,0))</f>
        <v>100%</v>
      </c>
      <c r="N860" s="35">
        <f t="shared" si="245"/>
        <v>1</v>
      </c>
      <c r="O860" s="1" t="str">
        <f>VLOOKUP(H860,'RM Used'!A:E,5,0)</f>
        <v>Count</v>
      </c>
      <c r="P860" s="11">
        <f>VLOOKUP(H860,'RM Used'!A:F,6,0)</f>
        <v>0.14000000000000001</v>
      </c>
      <c r="Q860" s="11">
        <f t="shared" si="261"/>
        <v>0.14000000000000001</v>
      </c>
      <c r="R860" s="11">
        <f>IFERROR(IF(B860="Reynolds",VLOOKUP(H860,'Yield &amp; Time'!A:U,21,0),VLOOKUP(H860,'Yield &amp; Time'!A:L,12,0)),0)</f>
        <v>0</v>
      </c>
      <c r="S860" s="11">
        <f t="shared" si="253"/>
        <v>0</v>
      </c>
      <c r="T860" s="11">
        <f t="shared" si="254"/>
        <v>0</v>
      </c>
      <c r="U860" s="11">
        <f>IF(A859=A860,0,VLOOKUP(A860,'Packing Time'!A:F,6,0))</f>
        <v>0</v>
      </c>
      <c r="V860" s="11">
        <f t="shared" si="247"/>
        <v>0</v>
      </c>
      <c r="W860" s="11">
        <f t="shared" si="248"/>
        <v>0</v>
      </c>
      <c r="X860" s="11">
        <f t="shared" si="255"/>
        <v>0</v>
      </c>
      <c r="Y860" s="11">
        <f t="shared" si="249"/>
        <v>0</v>
      </c>
      <c r="Z860" s="37">
        <v>1</v>
      </c>
      <c r="AA860" s="36">
        <f t="shared" si="256"/>
        <v>1</v>
      </c>
      <c r="AB860" s="36">
        <f t="shared" si="257"/>
        <v>0.14000000000000001</v>
      </c>
      <c r="AC860" s="11">
        <f t="shared" si="258"/>
        <v>0</v>
      </c>
      <c r="AD860" s="36">
        <f t="shared" si="250"/>
        <v>0</v>
      </c>
      <c r="AE860" s="36"/>
      <c r="AF860" s="36">
        <f>IFERROR(VLOOKUP(AE860,'Chemical Cost'!A:D,4,0),0)</f>
        <v>0</v>
      </c>
      <c r="AG860" s="114">
        <f t="shared" si="259"/>
        <v>0</v>
      </c>
      <c r="AH860" s="36">
        <f t="shared" si="262"/>
        <v>0</v>
      </c>
      <c r="AI860" s="36">
        <f t="shared" si="251"/>
        <v>0.14000000000000001</v>
      </c>
      <c r="AJ860" s="36">
        <f>IFERROR(VLOOKUP(A860,'All Products'!A:F,6,0),0)</f>
        <v>15.61</v>
      </c>
      <c r="AK860" s="36"/>
      <c r="AL860" s="23">
        <v>0.8</v>
      </c>
      <c r="AM860" s="23">
        <v>0.2</v>
      </c>
      <c r="AN860" s="54" t="e">
        <v>#N/A</v>
      </c>
      <c r="AO860" s="47"/>
      <c r="AP860" s="4">
        <v>1.6</v>
      </c>
      <c r="AQ860" s="111">
        <f t="shared" si="260"/>
        <v>0</v>
      </c>
      <c r="AR860">
        <f>_xlfn.XLOOKUP(F860,'RM Cost'!A:A,'RM Cost'!S:S)</f>
        <v>0</v>
      </c>
      <c r="AS860" t="str">
        <f>_xlfn.XLOOKUP(A860,[3]Sheet1!$B:$B,[3]Sheet1!$B:$B)</f>
        <v>Z328CS</v>
      </c>
      <c r="AT860" t="e">
        <f>_xlfn.XLOOKUP(H860,'Yield &amp; Time'!A:A,'Yield &amp; Time'!F:F)</f>
        <v>#N/A</v>
      </c>
    </row>
    <row r="861" spans="1:46" x14ac:dyDescent="0.25">
      <c r="A861" s="2" t="s">
        <v>882</v>
      </c>
      <c r="B861" s="2" t="s">
        <v>656</v>
      </c>
      <c r="C861" s="2" t="s">
        <v>883</v>
      </c>
      <c r="D861" s="2" t="s">
        <v>554</v>
      </c>
      <c r="E861" s="2">
        <v>1</v>
      </c>
      <c r="F861" s="1" t="str">
        <f>VLOOKUP(H861,'RM Used'!A:B,2,0)</f>
        <v>3567CS</v>
      </c>
      <c r="G861" s="1" t="str">
        <f>IFERROR(VLOOKUP(F861,'RM Cost'!A:B,2,0),"")</f>
        <v>RM - PEPPERS YELLOW  X 5KG</v>
      </c>
      <c r="H861" s="2" t="s">
        <v>1413</v>
      </c>
      <c r="I861" s="1" t="str">
        <f>VLOOKUP(F861,'RM Used'!B:D,3,0)</f>
        <v>RM-FOOD</v>
      </c>
      <c r="J861" s="66">
        <v>1</v>
      </c>
      <c r="K861" s="35">
        <f t="shared" si="246"/>
        <v>1</v>
      </c>
      <c r="L861" s="35">
        <f t="shared" si="252"/>
        <v>1</v>
      </c>
      <c r="M861" s="77" cm="1">
        <f t="array" ref="M861">_xlfn.IFS(BOM!I861="RM-PACKING","100%",B861="Reynolds",VLOOKUP(H861,'Yield &amp; Time'!A:V,22,0),BOM!B861="Dnata",VLOOKUP(BOM!H861,'Yield &amp; Time'!A:M,13,0),B861="NK",VLOOKUP(H861,'Yield &amp; Time'!A:X,24,0))</f>
        <v>0.44</v>
      </c>
      <c r="N861" s="35">
        <f t="shared" si="245"/>
        <v>2.2727272727272729</v>
      </c>
      <c r="O861" s="1" t="str">
        <f>VLOOKUP(H861,'RM Used'!A:E,5,0)</f>
        <v>KG</v>
      </c>
      <c r="P861" s="11">
        <f>VLOOKUP(H861,'RM Used'!A:F,6,0)</f>
        <v>1.68</v>
      </c>
      <c r="Q861" s="11">
        <f t="shared" si="261"/>
        <v>3.8181818181818183</v>
      </c>
      <c r="R861" s="11">
        <f>IFERROR(IF(B861="Reynolds",VLOOKUP(H861,'Yield &amp; Time'!A:U,21,0),VLOOKUP(H861,'Yield &amp; Time'!A:L,12,0)),0)</f>
        <v>6.25</v>
      </c>
      <c r="S861" s="11">
        <f t="shared" si="253"/>
        <v>2.1156249999999996</v>
      </c>
      <c r="T861" s="11">
        <f t="shared" si="254"/>
        <v>0.10416666666666667</v>
      </c>
      <c r="U861" s="11">
        <f>IF(A860=A861,0,VLOOKUP(A861,'Packing Time'!A:F,6,0))</f>
        <v>0.64166666666666661</v>
      </c>
      <c r="V861" s="11">
        <f t="shared" si="247"/>
        <v>0.21720416666666661</v>
      </c>
      <c r="W861" s="11">
        <f t="shared" si="248"/>
        <v>1.0694444444444444E-2</v>
      </c>
      <c r="X861" s="11">
        <f t="shared" si="255"/>
        <v>3.7325266666666668</v>
      </c>
      <c r="Y861" s="11">
        <f t="shared" si="249"/>
        <v>3.7325266666666668</v>
      </c>
      <c r="Z861" s="37">
        <v>1</v>
      </c>
      <c r="AA861" s="36">
        <f t="shared" si="256"/>
        <v>2.2727272727272729</v>
      </c>
      <c r="AB861" s="36">
        <f t="shared" si="257"/>
        <v>3.8181818181818183</v>
      </c>
      <c r="AC861" s="11">
        <f t="shared" si="258"/>
        <v>0.18377777777777779</v>
      </c>
      <c r="AD861" s="36">
        <f t="shared" si="250"/>
        <v>3.7325266666666663</v>
      </c>
      <c r="AE861" s="36"/>
      <c r="AF861" s="36">
        <f>IFERROR(VLOOKUP(AE861,'Chemical Cost'!A:D,4,0),0)</f>
        <v>0</v>
      </c>
      <c r="AG861" s="114">
        <f t="shared" si="259"/>
        <v>0</v>
      </c>
      <c r="AH861" s="36">
        <f t="shared" si="262"/>
        <v>0</v>
      </c>
      <c r="AI861" s="36">
        <f t="shared" si="251"/>
        <v>7.5507084848484851</v>
      </c>
      <c r="AJ861" s="36">
        <f>IFERROR(VLOOKUP(A861,'All Products'!A:F,6,0),0)</f>
        <v>8.81</v>
      </c>
      <c r="AK861" s="36">
        <f>AJ861*Z861*J861</f>
        <v>8.81</v>
      </c>
      <c r="AL861" s="23">
        <v>1</v>
      </c>
      <c r="AM861" s="23"/>
      <c r="AN861" s="54" t="s">
        <v>882</v>
      </c>
      <c r="AO861" s="47"/>
      <c r="AP861" s="4">
        <v>1.6</v>
      </c>
      <c r="AQ861" s="111">
        <f t="shared" si="260"/>
        <v>0.18377777777777779</v>
      </c>
      <c r="AR861">
        <f>_xlfn.XLOOKUP(F861,'RM Cost'!A:A,'RM Cost'!S:S)</f>
        <v>0</v>
      </c>
      <c r="AS861" t="e">
        <f>_xlfn.XLOOKUP(A861,[3]Sheet1!$B:$B,[3]Sheet1!$B:$B)</f>
        <v>#N/A</v>
      </c>
    </row>
    <row r="862" spans="1:46" x14ac:dyDescent="0.25">
      <c r="A862" s="2" t="s">
        <v>882</v>
      </c>
      <c r="B862" s="2" t="s">
        <v>656</v>
      </c>
      <c r="C862" s="2" t="s">
        <v>883</v>
      </c>
      <c r="D862" s="2" t="s">
        <v>554</v>
      </c>
      <c r="E862" s="2">
        <v>1</v>
      </c>
      <c r="F862" s="1" t="str">
        <f>VLOOKUP(H862,'RM Used'!A:B,2,0)</f>
        <v>P0008</v>
      </c>
      <c r="G862" s="1" t="str">
        <f>IFERROR(VLOOKUP(F862,'RM Cost'!A:B,2,0),"")</f>
        <v>PALE BLUE BAG 470X750MM</v>
      </c>
      <c r="H862" s="2" t="s">
        <v>1323</v>
      </c>
      <c r="I862" s="1" t="str">
        <f>VLOOKUP(F862,'RM Used'!B:D,3,0)</f>
        <v>RM-PACKING</v>
      </c>
      <c r="J862" s="66">
        <v>1</v>
      </c>
      <c r="K862" s="35" t="str">
        <f t="shared" si="246"/>
        <v/>
      </c>
      <c r="L862" s="35">
        <f t="shared" si="252"/>
        <v>0</v>
      </c>
      <c r="M862" s="77" t="str" cm="1">
        <f t="array" ref="M862">_xlfn.IFS(BOM!I862="RM-PACKING","100%",B862="Reynolds",VLOOKUP(H862,'Yield &amp; Time'!A:V,22,0),BOM!B862="Dnata",VLOOKUP(BOM!H862,'Yield &amp; Time'!A:M,13,0),B862="NK",VLOOKUP(H862,'Yield &amp; Time'!A:X,24,0))</f>
        <v>100%</v>
      </c>
      <c r="N862" s="35">
        <f t="shared" si="245"/>
        <v>1</v>
      </c>
      <c r="O862" s="1" t="str">
        <f>VLOOKUP(H862,'RM Used'!A:E,5,0)</f>
        <v>Count</v>
      </c>
      <c r="P862" s="11">
        <f>VLOOKUP(H862,'RM Used'!A:F,6,0)</f>
        <v>0.14000000000000001</v>
      </c>
      <c r="Q862" s="11">
        <f t="shared" si="261"/>
        <v>0.14000000000000001</v>
      </c>
      <c r="R862" s="11">
        <f>IFERROR(IF(B862="Reynolds",VLOOKUP(H862,'Yield &amp; Time'!A:U,21,0),VLOOKUP(H862,'Yield &amp; Time'!A:L,12,0)),0)</f>
        <v>0</v>
      </c>
      <c r="S862" s="11">
        <f t="shared" si="253"/>
        <v>0</v>
      </c>
      <c r="T862" s="11">
        <f t="shared" si="254"/>
        <v>0</v>
      </c>
      <c r="U862" s="11">
        <f>IF(A861=A862,0,VLOOKUP(A862,'Packing Time'!A:F,6,0))</f>
        <v>0</v>
      </c>
      <c r="V862" s="11">
        <f t="shared" si="247"/>
        <v>0</v>
      </c>
      <c r="W862" s="11">
        <f t="shared" si="248"/>
        <v>0</v>
      </c>
      <c r="X862" s="11">
        <f t="shared" si="255"/>
        <v>0</v>
      </c>
      <c r="Y862" s="11">
        <f t="shared" si="249"/>
        <v>0</v>
      </c>
      <c r="Z862" s="37">
        <v>1</v>
      </c>
      <c r="AA862" s="36">
        <f t="shared" si="256"/>
        <v>1</v>
      </c>
      <c r="AB862" s="36">
        <f t="shared" si="257"/>
        <v>0.14000000000000001</v>
      </c>
      <c r="AC862" s="11">
        <f t="shared" si="258"/>
        <v>0</v>
      </c>
      <c r="AD862" s="36">
        <f t="shared" si="250"/>
        <v>0</v>
      </c>
      <c r="AE862" s="36"/>
      <c r="AF862" s="36">
        <f>IFERROR(VLOOKUP(AE862,'Chemical Cost'!A:D,4,0),0)</f>
        <v>0</v>
      </c>
      <c r="AG862" s="114">
        <f t="shared" si="259"/>
        <v>0</v>
      </c>
      <c r="AH862" s="36">
        <f t="shared" si="262"/>
        <v>0</v>
      </c>
      <c r="AI862" s="36">
        <f t="shared" si="251"/>
        <v>0.14000000000000001</v>
      </c>
      <c r="AJ862" s="36">
        <f>IFERROR(VLOOKUP(A862,'All Products'!A:F,6,0),0)</f>
        <v>8.81</v>
      </c>
      <c r="AK862" s="36"/>
      <c r="AL862" s="23">
        <v>1</v>
      </c>
      <c r="AM862" s="23"/>
      <c r="AN862" s="54" t="s">
        <v>882</v>
      </c>
      <c r="AO862" s="47"/>
      <c r="AP862" s="4">
        <v>1.6</v>
      </c>
      <c r="AQ862" s="111">
        <f t="shared" si="260"/>
        <v>0</v>
      </c>
      <c r="AR862">
        <f>_xlfn.XLOOKUP(F862,'RM Cost'!A:A,'RM Cost'!S:S)</f>
        <v>0</v>
      </c>
      <c r="AS862" t="e">
        <f>_xlfn.XLOOKUP(A862,[3]Sheet1!$B:$B,[3]Sheet1!$B:$B)</f>
        <v>#N/A</v>
      </c>
    </row>
    <row r="863" spans="1:46" x14ac:dyDescent="0.25">
      <c r="A863" s="2" t="s">
        <v>884</v>
      </c>
      <c r="B863" s="2" t="s">
        <v>656</v>
      </c>
      <c r="C863" s="2" t="s">
        <v>885</v>
      </c>
      <c r="D863" s="2" t="s">
        <v>554</v>
      </c>
      <c r="E863" s="2">
        <v>2.5</v>
      </c>
      <c r="F863" s="1" t="str">
        <f>VLOOKUP(H863,'RM Used'!A:B,2,0)</f>
        <v>3567CS</v>
      </c>
      <c r="G863" s="1" t="str">
        <f>IFERROR(VLOOKUP(F863,'RM Cost'!A:B,2,0),"")</f>
        <v>RM - PEPPERS YELLOW  X 5KG</v>
      </c>
      <c r="H863" s="2" t="s">
        <v>1413</v>
      </c>
      <c r="I863" s="1" t="str">
        <f>VLOOKUP(F863,'RM Used'!B:D,3,0)</f>
        <v>RM-FOOD</v>
      </c>
      <c r="J863" s="66">
        <v>1</v>
      </c>
      <c r="K863" s="35">
        <f t="shared" si="246"/>
        <v>2.5</v>
      </c>
      <c r="L863" s="35">
        <f t="shared" si="252"/>
        <v>2.5</v>
      </c>
      <c r="M863" s="77" cm="1">
        <f t="array" ref="M863">_xlfn.IFS(BOM!I863="RM-PACKING","100%",B863="Reynolds",VLOOKUP(H863,'Yield &amp; Time'!A:V,22,0),BOM!B863="Dnata",VLOOKUP(BOM!H863,'Yield &amp; Time'!A:M,13,0),B863="NK",VLOOKUP(H863,'Yield &amp; Time'!A:X,24,0))</f>
        <v>0.44</v>
      </c>
      <c r="N863" s="35">
        <f t="shared" ref="N863:N926" si="263">IFERROR(IF(I863="RM-FOOD",(E863*J863)/M863,1),0)</f>
        <v>5.6818181818181817</v>
      </c>
      <c r="O863" s="1" t="str">
        <f>VLOOKUP(H863,'RM Used'!A:E,5,0)</f>
        <v>KG</v>
      </c>
      <c r="P863" s="11">
        <f>VLOOKUP(H863,'RM Used'!A:F,6,0)</f>
        <v>1.68</v>
      </c>
      <c r="Q863" s="11">
        <f t="shared" si="261"/>
        <v>9.545454545454545</v>
      </c>
      <c r="R863" s="11">
        <f>IFERROR(IF(B863="Reynolds",VLOOKUP(H863,'Yield &amp; Time'!A:U,21,0),VLOOKUP(H863,'Yield &amp; Time'!A:L,12,0)),0)</f>
        <v>6.25</v>
      </c>
      <c r="S863" s="11">
        <f t="shared" si="253"/>
        <v>5.2890624999999991</v>
      </c>
      <c r="T863" s="11">
        <f t="shared" si="254"/>
        <v>0.26041666666666669</v>
      </c>
      <c r="U863" s="11">
        <f>IF(A862=A863,0,VLOOKUP(A863,'Packing Time'!A:F,6,0))</f>
        <v>0.875</v>
      </c>
      <c r="V863" s="11">
        <f t="shared" si="247"/>
        <v>0.29618749999999999</v>
      </c>
      <c r="W863" s="11">
        <f t="shared" si="248"/>
        <v>1.4583333333333334E-2</v>
      </c>
      <c r="X863" s="11">
        <f t="shared" si="255"/>
        <v>8.936399999999999</v>
      </c>
      <c r="Y863" s="11">
        <f t="shared" si="249"/>
        <v>8.936399999999999</v>
      </c>
      <c r="Z863" s="37">
        <v>1</v>
      </c>
      <c r="AA863" s="36">
        <f t="shared" si="256"/>
        <v>5.6818181818181817</v>
      </c>
      <c r="AB863" s="36">
        <f t="shared" si="257"/>
        <v>9.545454545454545</v>
      </c>
      <c r="AC863" s="11">
        <f t="shared" si="258"/>
        <v>0.44000000000000006</v>
      </c>
      <c r="AD863" s="36">
        <f t="shared" si="250"/>
        <v>8.936399999999999</v>
      </c>
      <c r="AE863" s="36"/>
      <c r="AF863" s="36">
        <f>IFERROR(VLOOKUP(AE863,'Chemical Cost'!A:D,4,0),0)</f>
        <v>0</v>
      </c>
      <c r="AG863" s="114">
        <f t="shared" si="259"/>
        <v>0</v>
      </c>
      <c r="AH863" s="36">
        <f t="shared" si="262"/>
        <v>0</v>
      </c>
      <c r="AI863" s="36">
        <f t="shared" si="251"/>
        <v>18.481854545454546</v>
      </c>
      <c r="AJ863" s="36">
        <f>IFERROR(VLOOKUP(A863,'All Products'!A:F,6,0),0)</f>
        <v>19.91</v>
      </c>
      <c r="AK863" s="36">
        <f>AJ863*Z863*J863</f>
        <v>19.91</v>
      </c>
      <c r="AL863" s="23">
        <v>1</v>
      </c>
      <c r="AM863" s="23"/>
      <c r="AN863" s="54" t="e">
        <v>#N/A</v>
      </c>
      <c r="AO863" s="47"/>
      <c r="AP863" s="4">
        <v>1.6</v>
      </c>
      <c r="AQ863" s="111">
        <f t="shared" si="260"/>
        <v>0.44000000000000006</v>
      </c>
      <c r="AR863">
        <f>_xlfn.XLOOKUP(F863,'RM Cost'!A:A,'RM Cost'!S:S)</f>
        <v>0</v>
      </c>
      <c r="AS863" t="e">
        <f>_xlfn.XLOOKUP(A863,[3]Sheet1!$B:$B,[3]Sheet1!$B:$B)</f>
        <v>#N/A</v>
      </c>
    </row>
    <row r="864" spans="1:46" x14ac:dyDescent="0.25">
      <c r="A864" s="2" t="s">
        <v>884</v>
      </c>
      <c r="B864" s="2" t="s">
        <v>656</v>
      </c>
      <c r="C864" s="2" t="s">
        <v>885</v>
      </c>
      <c r="D864" s="2" t="s">
        <v>554</v>
      </c>
      <c r="E864" s="2">
        <v>2.5</v>
      </c>
      <c r="F864" s="1" t="str">
        <f>VLOOKUP(H864,'RM Used'!A:B,2,0)</f>
        <v>P0008</v>
      </c>
      <c r="G864" s="1" t="str">
        <f>IFERROR(VLOOKUP(F864,'RM Cost'!A:B,2,0),"")</f>
        <v>PALE BLUE BAG 470X750MM</v>
      </c>
      <c r="H864" s="2" t="s">
        <v>1323</v>
      </c>
      <c r="I864" s="1" t="str">
        <f>VLOOKUP(F864,'RM Used'!B:D,3,0)</f>
        <v>RM-PACKING</v>
      </c>
      <c r="J864" s="66">
        <v>1</v>
      </c>
      <c r="K864" s="35" t="str">
        <f t="shared" si="246"/>
        <v/>
      </c>
      <c r="L864" s="35">
        <f t="shared" si="252"/>
        <v>0</v>
      </c>
      <c r="M864" s="77" t="str" cm="1">
        <f t="array" ref="M864">_xlfn.IFS(BOM!I864="RM-PACKING","100%",B864="Reynolds",VLOOKUP(H864,'Yield &amp; Time'!A:V,22,0),BOM!B864="Dnata",VLOOKUP(BOM!H864,'Yield &amp; Time'!A:M,13,0),B864="NK",VLOOKUP(H864,'Yield &amp; Time'!A:X,24,0))</f>
        <v>100%</v>
      </c>
      <c r="N864" s="35">
        <f t="shared" si="263"/>
        <v>1</v>
      </c>
      <c r="O864" s="1" t="str">
        <f>VLOOKUP(H864,'RM Used'!A:E,5,0)</f>
        <v>Count</v>
      </c>
      <c r="P864" s="11">
        <f>VLOOKUP(H864,'RM Used'!A:F,6,0)</f>
        <v>0.14000000000000001</v>
      </c>
      <c r="Q864" s="11">
        <f t="shared" si="261"/>
        <v>0.14000000000000001</v>
      </c>
      <c r="R864" s="11">
        <f>IFERROR(IF(B864="Reynolds",VLOOKUP(H864,'Yield &amp; Time'!A:U,21,0),VLOOKUP(H864,'Yield &amp; Time'!A:L,12,0)),0)</f>
        <v>0</v>
      </c>
      <c r="S864" s="11">
        <f t="shared" si="253"/>
        <v>0</v>
      </c>
      <c r="T864" s="11">
        <f t="shared" si="254"/>
        <v>0</v>
      </c>
      <c r="U864" s="11">
        <f>IF(A863=A864,0,VLOOKUP(A864,'Packing Time'!A:F,6,0))</f>
        <v>0</v>
      </c>
      <c r="V864" s="11">
        <f t="shared" si="247"/>
        <v>0</v>
      </c>
      <c r="W864" s="11">
        <f t="shared" si="248"/>
        <v>0</v>
      </c>
      <c r="X864" s="11">
        <f t="shared" si="255"/>
        <v>0</v>
      </c>
      <c r="Y864" s="11">
        <f t="shared" si="249"/>
        <v>0</v>
      </c>
      <c r="Z864" s="37">
        <v>1</v>
      </c>
      <c r="AA864" s="36">
        <f t="shared" si="256"/>
        <v>1</v>
      </c>
      <c r="AB864" s="36">
        <f t="shared" si="257"/>
        <v>0.14000000000000001</v>
      </c>
      <c r="AC864" s="11">
        <f t="shared" si="258"/>
        <v>0</v>
      </c>
      <c r="AD864" s="36">
        <f t="shared" si="250"/>
        <v>0</v>
      </c>
      <c r="AE864" s="36"/>
      <c r="AF864" s="36">
        <f>IFERROR(VLOOKUP(AE864,'Chemical Cost'!A:D,4,0),0)</f>
        <v>0</v>
      </c>
      <c r="AG864" s="114">
        <f t="shared" si="259"/>
        <v>0</v>
      </c>
      <c r="AH864" s="36">
        <f t="shared" si="262"/>
        <v>0</v>
      </c>
      <c r="AI864" s="36">
        <f t="shared" si="251"/>
        <v>0.14000000000000001</v>
      </c>
      <c r="AJ864" s="36">
        <f>IFERROR(VLOOKUP(A864,'All Products'!A:F,6,0),0)</f>
        <v>19.91</v>
      </c>
      <c r="AK864" s="36"/>
      <c r="AL864" s="23">
        <v>1</v>
      </c>
      <c r="AM864" s="23"/>
      <c r="AN864" s="54" t="e">
        <v>#N/A</v>
      </c>
      <c r="AO864" s="47"/>
      <c r="AP864" s="4">
        <v>1.6</v>
      </c>
      <c r="AQ864" s="111">
        <f t="shared" si="260"/>
        <v>0</v>
      </c>
      <c r="AR864">
        <f>_xlfn.XLOOKUP(F864,'RM Cost'!A:A,'RM Cost'!S:S)</f>
        <v>0</v>
      </c>
      <c r="AS864" t="e">
        <f>_xlfn.XLOOKUP(A864,[3]Sheet1!$B:$B,[3]Sheet1!$B:$B)</f>
        <v>#N/A</v>
      </c>
    </row>
    <row r="865" spans="1:46" x14ac:dyDescent="0.25">
      <c r="A865" s="2" t="s">
        <v>886</v>
      </c>
      <c r="B865" s="2" t="s">
        <v>656</v>
      </c>
      <c r="C865" s="2" t="s">
        <v>887</v>
      </c>
      <c r="D865" s="2" t="s">
        <v>554</v>
      </c>
      <c r="E865" s="2">
        <v>1</v>
      </c>
      <c r="F865" s="1" t="str">
        <f>VLOOKUP(H865,'RM Used'!A:B,2,0)</f>
        <v>3273CS</v>
      </c>
      <c r="G865" s="1" t="str">
        <f>IFERROR(VLOOKUP(F865,'RM Cost'!A:B,2,0),"")</f>
        <v>RM - MARIS PIPER 25KG</v>
      </c>
      <c r="H865" s="2" t="s">
        <v>1548</v>
      </c>
      <c r="I865" s="1" t="str">
        <f>VLOOKUP(F865,'RM Used'!B:D,3,0)</f>
        <v>RM-FOOD</v>
      </c>
      <c r="J865" s="66">
        <v>1</v>
      </c>
      <c r="K865" s="35">
        <f t="shared" ref="K865:K928" si="264">IF(I865="RM-FOOD",J865*E865,"")</f>
        <v>1</v>
      </c>
      <c r="L865" s="35">
        <f t="shared" si="252"/>
        <v>1</v>
      </c>
      <c r="M865" s="77" cm="1">
        <f t="array" ref="M865">_xlfn.IFS(BOM!I865="RM-PACKING","100%",B865="Reynolds",VLOOKUP(H865,'Yield &amp; Time'!A:V,22,0),BOM!B865="Dnata",VLOOKUP(BOM!H865,'Yield &amp; Time'!A:M,13,0),B865="NK",VLOOKUP(H865,'Yield &amp; Time'!A:X,24,0))</f>
        <v>0.66499999999999992</v>
      </c>
      <c r="N865" s="35">
        <f t="shared" si="263"/>
        <v>1.5037593984962407</v>
      </c>
      <c r="O865" s="1" t="str">
        <f>VLOOKUP(H865,'RM Used'!A:E,5,0)</f>
        <v>KG</v>
      </c>
      <c r="P865" s="11">
        <f>VLOOKUP(H865,'RM Used'!A:F,6,0)</f>
        <v>0.43</v>
      </c>
      <c r="Q865" s="11">
        <f t="shared" si="261"/>
        <v>0.64661654135338353</v>
      </c>
      <c r="R865" s="11">
        <f>IFERROR(IF(B865="Reynolds",VLOOKUP(H865,'Yield &amp; Time'!A:U,21,0),VLOOKUP(H865,'Yield &amp; Time'!A:L,12,0)),0)</f>
        <v>3.285714285714286</v>
      </c>
      <c r="S865" s="11">
        <f t="shared" si="253"/>
        <v>1.1122142857142858</v>
      </c>
      <c r="T865" s="11">
        <f t="shared" si="254"/>
        <v>5.4761904761904769E-2</v>
      </c>
      <c r="U865" s="11">
        <f>IF(A864=A865,0,VLOOKUP(A865,'Packing Time'!A:F,6,0))</f>
        <v>0.64166666666666661</v>
      </c>
      <c r="V865" s="11">
        <f t="shared" si="247"/>
        <v>0.21720416666666661</v>
      </c>
      <c r="W865" s="11">
        <f t="shared" si="248"/>
        <v>1.0694444444444444E-2</v>
      </c>
      <c r="X865" s="11">
        <f t="shared" si="255"/>
        <v>2.1270695238095239</v>
      </c>
      <c r="Y865" s="11">
        <f t="shared" si="249"/>
        <v>2.1270695238095239</v>
      </c>
      <c r="Z865" s="37">
        <v>1</v>
      </c>
      <c r="AA865" s="36">
        <f t="shared" si="256"/>
        <v>1.5037593984962407</v>
      </c>
      <c r="AB865" s="36">
        <f t="shared" si="257"/>
        <v>0.64661654135338353</v>
      </c>
      <c r="AC865" s="11">
        <f t="shared" si="258"/>
        <v>0.10473015873015874</v>
      </c>
      <c r="AD865" s="36">
        <f t="shared" si="250"/>
        <v>2.1270695238095239</v>
      </c>
      <c r="AE865" s="36" t="str">
        <f>VLOOKUP(H865,'Yield &amp; Time'!A:I,9,0)</f>
        <v>SODIUM METABISULPHITE</v>
      </c>
      <c r="AF865" s="36">
        <f>IFERROR(VLOOKUP(AE865,'Chemical Cost'!A:D,4,0),0)</f>
        <v>9.7586225455882462E-3</v>
      </c>
      <c r="AG865" s="114">
        <f t="shared" si="259"/>
        <v>4.8915401231018783E-3</v>
      </c>
      <c r="AH865" s="36">
        <f t="shared" si="262"/>
        <v>4.8915401231018783E-3</v>
      </c>
      <c r="AI865" s="36">
        <f t="shared" si="251"/>
        <v>2.7785776052860096</v>
      </c>
      <c r="AJ865" s="36">
        <f>IFERROR(VLOOKUP(A865,'All Products'!A:F,6,0),0)</f>
        <v>3.46</v>
      </c>
      <c r="AK865" s="36">
        <f>AJ865*Z865*J865</f>
        <v>3.46</v>
      </c>
      <c r="AL865" s="23">
        <v>1</v>
      </c>
      <c r="AM865" s="23"/>
      <c r="AN865" s="54" t="e">
        <v>#N/A</v>
      </c>
      <c r="AO865" s="47"/>
      <c r="AP865" s="4">
        <v>1.6</v>
      </c>
      <c r="AQ865" s="111">
        <f t="shared" si="260"/>
        <v>0.10473015873015874</v>
      </c>
      <c r="AR865">
        <f>_xlfn.XLOOKUP(F865,'RM Cost'!A:A,'RM Cost'!S:S)</f>
        <v>0</v>
      </c>
      <c r="AS865" t="str">
        <f>_xlfn.XLOOKUP(A865,[3]Sheet1!$B:$B,[3]Sheet1!$B:$B)</f>
        <v>Z056CS</v>
      </c>
      <c r="AT865">
        <f>_xlfn.XLOOKUP(H865,'Yield &amp; Time'!A:A,'Yield &amp; Time'!F:F)</f>
        <v>0</v>
      </c>
    </row>
    <row r="866" spans="1:46" x14ac:dyDescent="0.25">
      <c r="A866" s="2" t="s">
        <v>886</v>
      </c>
      <c r="B866" s="2" t="s">
        <v>656</v>
      </c>
      <c r="C866" s="2" t="s">
        <v>887</v>
      </c>
      <c r="D866" s="2" t="s">
        <v>554</v>
      </c>
      <c r="E866" s="2">
        <v>1</v>
      </c>
      <c r="F866" s="1" t="str">
        <f>VLOOKUP(H866,'RM Used'!A:B,2,0)</f>
        <v>P0008</v>
      </c>
      <c r="G866" s="1" t="str">
        <f>IFERROR(VLOOKUP(F866,'RM Cost'!A:B,2,0),"")</f>
        <v>PALE BLUE BAG 470X750MM</v>
      </c>
      <c r="H866" s="2" t="s">
        <v>1323</v>
      </c>
      <c r="I866" s="1" t="str">
        <f>VLOOKUP(F866,'RM Used'!B:D,3,0)</f>
        <v>RM-PACKING</v>
      </c>
      <c r="J866" s="66">
        <v>1</v>
      </c>
      <c r="K866" s="35" t="str">
        <f t="shared" si="264"/>
        <v/>
      </c>
      <c r="L866" s="35">
        <f t="shared" si="252"/>
        <v>0</v>
      </c>
      <c r="M866" s="77" t="str" cm="1">
        <f t="array" ref="M866">_xlfn.IFS(BOM!I866="RM-PACKING","100%",B866="Reynolds",VLOOKUP(H866,'Yield &amp; Time'!A:V,22,0),BOM!B866="Dnata",VLOOKUP(BOM!H866,'Yield &amp; Time'!A:M,13,0),B866="NK",VLOOKUP(H866,'Yield &amp; Time'!A:X,24,0))</f>
        <v>100%</v>
      </c>
      <c r="N866" s="35">
        <f t="shared" si="263"/>
        <v>1</v>
      </c>
      <c r="O866" s="1" t="str">
        <f>VLOOKUP(H866,'RM Used'!A:E,5,0)</f>
        <v>Count</v>
      </c>
      <c r="P866" s="11">
        <f>VLOOKUP(H866,'RM Used'!A:F,6,0)</f>
        <v>0.14000000000000001</v>
      </c>
      <c r="Q866" s="11">
        <f t="shared" si="261"/>
        <v>0.14000000000000001</v>
      </c>
      <c r="R866" s="11">
        <f>IFERROR(IF(B866="Reynolds",VLOOKUP(H866,'Yield &amp; Time'!A:U,21,0),VLOOKUP(H866,'Yield &amp; Time'!A:L,12,0)),0)</f>
        <v>0</v>
      </c>
      <c r="S866" s="11">
        <f t="shared" si="253"/>
        <v>0</v>
      </c>
      <c r="T866" s="11">
        <f t="shared" si="254"/>
        <v>0</v>
      </c>
      <c r="U866" s="11">
        <f>IF(A865=A866,0,VLOOKUP(A866,'Packing Time'!A:F,6,0))</f>
        <v>0</v>
      </c>
      <c r="V866" s="11">
        <f t="shared" ref="V866:V929" si="265">U866*AO$1</f>
        <v>0</v>
      </c>
      <c r="W866" s="11">
        <f t="shared" ref="W866:W929" si="266">(U866*Z866)/60</f>
        <v>0</v>
      </c>
      <c r="X866" s="11">
        <f t="shared" si="255"/>
        <v>0</v>
      </c>
      <c r="Y866" s="11">
        <f t="shared" ref="Y866:Y929" si="267">X866*Z866</f>
        <v>0</v>
      </c>
      <c r="Z866" s="37">
        <v>1</v>
      </c>
      <c r="AA866" s="36">
        <f t="shared" si="256"/>
        <v>1</v>
      </c>
      <c r="AB866" s="36">
        <f t="shared" si="257"/>
        <v>0.14000000000000001</v>
      </c>
      <c r="AC866" s="11">
        <f t="shared" si="258"/>
        <v>0</v>
      </c>
      <c r="AD866" s="36">
        <f t="shared" ref="AD866:AD929" si="268">AC866*60*AO$1</f>
        <v>0</v>
      </c>
      <c r="AE866" s="36"/>
      <c r="AF866" s="36">
        <f>IFERROR(VLOOKUP(AE866,'Chemical Cost'!A:D,4,0),0)</f>
        <v>0</v>
      </c>
      <c r="AG866" s="114">
        <f t="shared" si="259"/>
        <v>0</v>
      </c>
      <c r="AH866" s="36">
        <f t="shared" si="262"/>
        <v>0</v>
      </c>
      <c r="AI866" s="36">
        <f t="shared" ref="AI866:AI929" si="269">IFERROR((Q866*Z866)+(Z866*X866)+AH866,0)</f>
        <v>0.14000000000000001</v>
      </c>
      <c r="AJ866" s="36">
        <f>IFERROR(VLOOKUP(A866,'All Products'!A:F,6,0),0)</f>
        <v>3.46</v>
      </c>
      <c r="AK866" s="36"/>
      <c r="AL866" s="23">
        <v>1</v>
      </c>
      <c r="AM866" s="23"/>
      <c r="AN866" s="54" t="e">
        <v>#N/A</v>
      </c>
      <c r="AO866" s="47"/>
      <c r="AP866" s="4">
        <v>1.6</v>
      </c>
      <c r="AQ866" s="111">
        <f t="shared" si="260"/>
        <v>0</v>
      </c>
      <c r="AR866">
        <f>_xlfn.XLOOKUP(F866,'RM Cost'!A:A,'RM Cost'!S:S)</f>
        <v>0</v>
      </c>
      <c r="AS866" t="str">
        <f>_xlfn.XLOOKUP(A866,[3]Sheet1!$B:$B,[3]Sheet1!$B:$B)</f>
        <v>Z056CS</v>
      </c>
      <c r="AT866" t="e">
        <f>_xlfn.XLOOKUP(H866,'Yield &amp; Time'!A:A,'Yield &amp; Time'!F:F)</f>
        <v>#N/A</v>
      </c>
    </row>
    <row r="867" spans="1:46" x14ac:dyDescent="0.25">
      <c r="A867" s="2" t="s">
        <v>888</v>
      </c>
      <c r="B867" s="2" t="s">
        <v>656</v>
      </c>
      <c r="C867" s="2" t="s">
        <v>889</v>
      </c>
      <c r="D867" s="2" t="s">
        <v>554</v>
      </c>
      <c r="E867" s="2">
        <v>2.5</v>
      </c>
      <c r="F867" s="1" t="str">
        <f>VLOOKUP(H867,'RM Used'!A:B,2,0)</f>
        <v>3273CS</v>
      </c>
      <c r="G867" s="1" t="str">
        <f>IFERROR(VLOOKUP(F867,'RM Cost'!A:B,2,0),"")</f>
        <v>RM - MARIS PIPER 25KG</v>
      </c>
      <c r="H867" s="2" t="s">
        <v>1548</v>
      </c>
      <c r="I867" s="1" t="str">
        <f>VLOOKUP(F867,'RM Used'!B:D,3,0)</f>
        <v>RM-FOOD</v>
      </c>
      <c r="J867" s="66">
        <v>1</v>
      </c>
      <c r="K867" s="35">
        <f t="shared" si="264"/>
        <v>2.5</v>
      </c>
      <c r="L867" s="35">
        <f t="shared" si="252"/>
        <v>2.5</v>
      </c>
      <c r="M867" s="77" cm="1">
        <f t="array" ref="M867">_xlfn.IFS(BOM!I867="RM-PACKING","100%",B867="Reynolds",VLOOKUP(H867,'Yield &amp; Time'!A:V,22,0),BOM!B867="Dnata",VLOOKUP(BOM!H867,'Yield &amp; Time'!A:M,13,0),B867="NK",VLOOKUP(H867,'Yield &amp; Time'!A:X,24,0))</f>
        <v>0.66499999999999992</v>
      </c>
      <c r="N867" s="35">
        <f t="shared" si="263"/>
        <v>3.759398496240602</v>
      </c>
      <c r="O867" s="1" t="str">
        <f>VLOOKUP(H867,'RM Used'!A:E,5,0)</f>
        <v>KG</v>
      </c>
      <c r="P867" s="11">
        <f>VLOOKUP(H867,'RM Used'!A:F,6,0)</f>
        <v>0.43</v>
      </c>
      <c r="Q867" s="11">
        <f t="shared" si="261"/>
        <v>1.6165413533834587</v>
      </c>
      <c r="R867" s="11">
        <f>IFERROR(IF(B867="Reynolds",VLOOKUP(H867,'Yield &amp; Time'!A:U,21,0),VLOOKUP(H867,'Yield &amp; Time'!A:L,12,0)),0)</f>
        <v>3.285714285714286</v>
      </c>
      <c r="S867" s="11">
        <f t="shared" si="253"/>
        <v>2.7805357142857146</v>
      </c>
      <c r="T867" s="11">
        <f t="shared" si="254"/>
        <v>0.13690476190476192</v>
      </c>
      <c r="U867" s="11">
        <f>IF(A866=A867,0,VLOOKUP(A867,'Packing Time'!A:F,6,0))</f>
        <v>0.875</v>
      </c>
      <c r="V867" s="11">
        <f t="shared" si="265"/>
        <v>0.29618749999999999</v>
      </c>
      <c r="W867" s="11">
        <f t="shared" si="266"/>
        <v>1.4583333333333334E-2</v>
      </c>
      <c r="X867" s="11">
        <f t="shared" si="255"/>
        <v>4.9227571428571437</v>
      </c>
      <c r="Y867" s="11">
        <f t="shared" si="267"/>
        <v>4.9227571428571437</v>
      </c>
      <c r="Z867" s="37">
        <v>1</v>
      </c>
      <c r="AA867" s="36">
        <f t="shared" si="256"/>
        <v>3.759398496240602</v>
      </c>
      <c r="AB867" s="36">
        <f t="shared" si="257"/>
        <v>1.6165413533834587</v>
      </c>
      <c r="AC867" s="11">
        <f t="shared" si="258"/>
        <v>0.24238095238095242</v>
      </c>
      <c r="AD867" s="36">
        <f t="shared" si="268"/>
        <v>4.9227571428571428</v>
      </c>
      <c r="AE867" s="36" t="str">
        <f>VLOOKUP(H867,'Yield &amp; Time'!A:I,9,0)</f>
        <v>SODIUM METABISULPHITE</v>
      </c>
      <c r="AF867" s="36">
        <f>IFERROR(VLOOKUP(AE867,'Chemical Cost'!A:D,4,0),0)</f>
        <v>9.7586225455882462E-3</v>
      </c>
      <c r="AG867" s="114">
        <f t="shared" si="259"/>
        <v>1.2228850307754696E-2</v>
      </c>
      <c r="AH867" s="36">
        <f t="shared" si="262"/>
        <v>1.2228850307754696E-2</v>
      </c>
      <c r="AI867" s="36">
        <f t="shared" si="269"/>
        <v>6.5515273465483572</v>
      </c>
      <c r="AJ867" s="36">
        <f>IFERROR(VLOOKUP(A867,'All Products'!A:F,6,0),0)</f>
        <v>8.65</v>
      </c>
      <c r="AK867" s="36">
        <f>AJ867*Z867*J867</f>
        <v>8.65</v>
      </c>
      <c r="AL867" s="23">
        <v>1</v>
      </c>
      <c r="AM867" s="23"/>
      <c r="AN867" s="54" t="e">
        <v>#N/A</v>
      </c>
      <c r="AO867" s="47"/>
      <c r="AP867" s="4">
        <v>1.6</v>
      </c>
      <c r="AQ867" s="111">
        <f t="shared" si="260"/>
        <v>0.24238095238095242</v>
      </c>
      <c r="AR867">
        <f>_xlfn.XLOOKUP(F867,'RM Cost'!A:A,'RM Cost'!S:S)</f>
        <v>0</v>
      </c>
      <c r="AS867" t="e">
        <f>_xlfn.XLOOKUP(A867,[3]Sheet1!$B:$B,[3]Sheet1!$B:$B)</f>
        <v>#N/A</v>
      </c>
    </row>
    <row r="868" spans="1:46" x14ac:dyDescent="0.25">
      <c r="A868" s="2" t="s">
        <v>888</v>
      </c>
      <c r="B868" s="2" t="s">
        <v>656</v>
      </c>
      <c r="C868" s="2" t="s">
        <v>889</v>
      </c>
      <c r="D868" s="2" t="s">
        <v>554</v>
      </c>
      <c r="E868" s="2">
        <v>2.5</v>
      </c>
      <c r="F868" s="1" t="str">
        <f>VLOOKUP(H868,'RM Used'!A:B,2,0)</f>
        <v>P0008</v>
      </c>
      <c r="G868" s="1" t="str">
        <f>IFERROR(VLOOKUP(F868,'RM Cost'!A:B,2,0),"")</f>
        <v>PALE BLUE BAG 470X750MM</v>
      </c>
      <c r="H868" s="2" t="s">
        <v>1323</v>
      </c>
      <c r="I868" s="1" t="str">
        <f>VLOOKUP(F868,'RM Used'!B:D,3,0)</f>
        <v>RM-PACKING</v>
      </c>
      <c r="J868" s="66">
        <v>1</v>
      </c>
      <c r="K868" s="35" t="str">
        <f t="shared" si="264"/>
        <v/>
      </c>
      <c r="L868" s="35">
        <f t="shared" si="252"/>
        <v>0</v>
      </c>
      <c r="M868" s="77" t="str" cm="1">
        <f t="array" ref="M868">_xlfn.IFS(BOM!I868="RM-PACKING","100%",B868="Reynolds",VLOOKUP(H868,'Yield &amp; Time'!A:V,22,0),BOM!B868="Dnata",VLOOKUP(BOM!H868,'Yield &amp; Time'!A:M,13,0),B868="NK",VLOOKUP(H868,'Yield &amp; Time'!A:X,24,0))</f>
        <v>100%</v>
      </c>
      <c r="N868" s="35">
        <f t="shared" si="263"/>
        <v>1</v>
      </c>
      <c r="O868" s="1" t="str">
        <f>VLOOKUP(H868,'RM Used'!A:E,5,0)</f>
        <v>Count</v>
      </c>
      <c r="P868" s="11">
        <f>VLOOKUP(H868,'RM Used'!A:F,6,0)</f>
        <v>0.14000000000000001</v>
      </c>
      <c r="Q868" s="11">
        <f t="shared" si="261"/>
        <v>0.14000000000000001</v>
      </c>
      <c r="R868" s="11">
        <f>IFERROR(IF(B868="Reynolds",VLOOKUP(H868,'Yield &amp; Time'!A:U,21,0),VLOOKUP(H868,'Yield &amp; Time'!A:L,12,0)),0)</f>
        <v>0</v>
      </c>
      <c r="S868" s="11">
        <f t="shared" si="253"/>
        <v>0</v>
      </c>
      <c r="T868" s="11">
        <f t="shared" si="254"/>
        <v>0</v>
      </c>
      <c r="U868" s="11">
        <f>IF(A867=A868,0,VLOOKUP(A868,'Packing Time'!A:F,6,0))</f>
        <v>0</v>
      </c>
      <c r="V868" s="11">
        <f t="shared" si="265"/>
        <v>0</v>
      </c>
      <c r="W868" s="11">
        <f t="shared" si="266"/>
        <v>0</v>
      </c>
      <c r="X868" s="11">
        <f t="shared" si="255"/>
        <v>0</v>
      </c>
      <c r="Y868" s="11">
        <f t="shared" si="267"/>
        <v>0</v>
      </c>
      <c r="Z868" s="37">
        <v>1</v>
      </c>
      <c r="AA868" s="36">
        <f t="shared" si="256"/>
        <v>1</v>
      </c>
      <c r="AB868" s="36">
        <f t="shared" si="257"/>
        <v>0.14000000000000001</v>
      </c>
      <c r="AC868" s="11">
        <f t="shared" si="258"/>
        <v>0</v>
      </c>
      <c r="AD868" s="36">
        <f t="shared" si="268"/>
        <v>0</v>
      </c>
      <c r="AE868" s="36"/>
      <c r="AF868" s="36">
        <f>IFERROR(VLOOKUP(AE868,'Chemical Cost'!A:D,4,0),0)</f>
        <v>0</v>
      </c>
      <c r="AG868" s="114">
        <f t="shared" si="259"/>
        <v>0</v>
      </c>
      <c r="AH868" s="36">
        <f t="shared" si="262"/>
        <v>0</v>
      </c>
      <c r="AI868" s="36">
        <f t="shared" si="269"/>
        <v>0.14000000000000001</v>
      </c>
      <c r="AJ868" s="36">
        <f>IFERROR(VLOOKUP(A868,'All Products'!A:F,6,0),0)</f>
        <v>8.65</v>
      </c>
      <c r="AK868" s="36"/>
      <c r="AL868" s="23">
        <v>1</v>
      </c>
      <c r="AM868" s="23"/>
      <c r="AN868" s="54" t="e">
        <v>#N/A</v>
      </c>
      <c r="AO868" s="47"/>
      <c r="AP868" s="4">
        <v>1.6</v>
      </c>
      <c r="AQ868" s="111">
        <f t="shared" si="260"/>
        <v>0</v>
      </c>
      <c r="AR868">
        <f>_xlfn.XLOOKUP(F868,'RM Cost'!A:A,'RM Cost'!S:S)</f>
        <v>0</v>
      </c>
      <c r="AS868" t="e">
        <f>_xlfn.XLOOKUP(A868,[3]Sheet1!$B:$B,[3]Sheet1!$B:$B)</f>
        <v>#N/A</v>
      </c>
    </row>
    <row r="869" spans="1:46" x14ac:dyDescent="0.25">
      <c r="A869" s="2" t="s">
        <v>890</v>
      </c>
      <c r="B869" s="2" t="s">
        <v>656</v>
      </c>
      <c r="C869" s="2" t="s">
        <v>891</v>
      </c>
      <c r="D869" s="2" t="s">
        <v>554</v>
      </c>
      <c r="E869" s="2">
        <v>1</v>
      </c>
      <c r="F869" s="1" t="str">
        <f>VLOOKUP(H869,'RM Used'!A:B,2,0)</f>
        <v>3221CS</v>
      </c>
      <c r="G869" s="1" t="str">
        <f>IFERROR(VLOOKUP(F869,'RM Cost'!A:B,2,0),"")</f>
        <v>BAKING POTATO X50 EA</v>
      </c>
      <c r="H869" s="2" t="s">
        <v>1549</v>
      </c>
      <c r="I869" s="1" t="str">
        <f>VLOOKUP(F869,'RM Used'!B:D,3,0)</f>
        <v>RM-FOOD</v>
      </c>
      <c r="J869" s="66">
        <v>1</v>
      </c>
      <c r="K869" s="35">
        <f t="shared" si="264"/>
        <v>1</v>
      </c>
      <c r="L869" s="35">
        <f t="shared" si="252"/>
        <v>1</v>
      </c>
      <c r="M869" s="77" cm="1">
        <f t="array" ref="M869">_xlfn.IFS(BOM!I869="RM-PACKING","100%",B869="Reynolds",VLOOKUP(H869,'Yield &amp; Time'!A:V,22,0),BOM!B869="Dnata",VLOOKUP(BOM!H869,'Yield &amp; Time'!A:M,13,0),B869="NK",VLOOKUP(H869,'Yield &amp; Time'!A:X,24,0))</f>
        <v>0.2</v>
      </c>
      <c r="N869" s="35">
        <f t="shared" si="263"/>
        <v>5</v>
      </c>
      <c r="O869" s="1" t="str">
        <f>VLOOKUP(H869,'RM Used'!A:E,5,0)</f>
        <v>KG</v>
      </c>
      <c r="P869" s="11">
        <f>VLOOKUP(H869,'RM Used'!A:F,6,0)</f>
        <v>0.57000000000000006</v>
      </c>
      <c r="Q869" s="11">
        <f t="shared" si="261"/>
        <v>2.8500000000000005</v>
      </c>
      <c r="R869" s="11">
        <f>IFERROR(IF(B869="Reynolds",VLOOKUP(H869,'Yield &amp; Time'!A:U,21,0),VLOOKUP(H869,'Yield &amp; Time'!A:L,12,0)),0)</f>
        <v>10.1</v>
      </c>
      <c r="S869" s="11">
        <f t="shared" si="253"/>
        <v>3.4188499999999995</v>
      </c>
      <c r="T869" s="11">
        <f t="shared" si="254"/>
        <v>0.16833333333333333</v>
      </c>
      <c r="U869" s="11">
        <f>IF(A868=A869,0,VLOOKUP(A869,'Packing Time'!A:F,6,0))</f>
        <v>0.64166666666666661</v>
      </c>
      <c r="V869" s="11">
        <f t="shared" si="265"/>
        <v>0.21720416666666661</v>
      </c>
      <c r="W869" s="11">
        <f t="shared" si="266"/>
        <v>1.0694444444444444E-2</v>
      </c>
      <c r="X869" s="11">
        <f t="shared" si="255"/>
        <v>5.8176866666666669</v>
      </c>
      <c r="Y869" s="11">
        <f t="shared" si="267"/>
        <v>5.8176866666666669</v>
      </c>
      <c r="Z869" s="37">
        <v>1</v>
      </c>
      <c r="AA869" s="36">
        <f t="shared" si="256"/>
        <v>5</v>
      </c>
      <c r="AB869" s="36">
        <f t="shared" si="257"/>
        <v>2.8500000000000005</v>
      </c>
      <c r="AC869" s="11">
        <f t="shared" si="258"/>
        <v>0.28644444444444445</v>
      </c>
      <c r="AD869" s="36">
        <f t="shared" si="268"/>
        <v>5.817686666666666</v>
      </c>
      <c r="AE869" s="36" t="str">
        <f>VLOOKUP(H869,'Yield &amp; Time'!A:I,9,0)</f>
        <v>SODIUM METABISULPHITE</v>
      </c>
      <c r="AF869" s="36">
        <f>IFERROR(VLOOKUP(AE869,'Chemical Cost'!A:D,4,0),0)</f>
        <v>9.7586225455882462E-3</v>
      </c>
      <c r="AG869" s="114">
        <f t="shared" si="259"/>
        <v>1.6264370909313746E-2</v>
      </c>
      <c r="AH869" s="36">
        <f t="shared" si="262"/>
        <v>1.6264370909313746E-2</v>
      </c>
      <c r="AI869" s="36">
        <f t="shared" si="269"/>
        <v>8.6839510375759819</v>
      </c>
      <c r="AJ869" s="36">
        <f>IFERROR(VLOOKUP(A869,'All Products'!A:F,6,0),0)</f>
        <v>14.93</v>
      </c>
      <c r="AK869" s="36">
        <f>AJ869*Z869*J869</f>
        <v>14.93</v>
      </c>
      <c r="AL869" s="23">
        <v>1</v>
      </c>
      <c r="AM869" s="23"/>
      <c r="AN869" s="54" t="e">
        <v>#N/A</v>
      </c>
      <c r="AO869" s="47"/>
      <c r="AP869" s="4">
        <v>1.6</v>
      </c>
      <c r="AQ869" s="111">
        <f t="shared" si="260"/>
        <v>0.28644444444444445</v>
      </c>
      <c r="AR869">
        <f>_xlfn.XLOOKUP(F869,'RM Cost'!A:A,'RM Cost'!S:S)</f>
        <v>0</v>
      </c>
      <c r="AS869" t="e">
        <f>_xlfn.XLOOKUP(A869,[3]Sheet1!$B:$B,[3]Sheet1!$B:$B)</f>
        <v>#N/A</v>
      </c>
    </row>
    <row r="870" spans="1:46" x14ac:dyDescent="0.25">
      <c r="A870" s="2" t="s">
        <v>890</v>
      </c>
      <c r="B870" s="2" t="s">
        <v>656</v>
      </c>
      <c r="C870" s="2" t="s">
        <v>891</v>
      </c>
      <c r="D870" s="2" t="s">
        <v>554</v>
      </c>
      <c r="E870" s="2">
        <v>1</v>
      </c>
      <c r="F870" s="1" t="str">
        <f>VLOOKUP(H870,'RM Used'!A:B,2,0)</f>
        <v>P0008</v>
      </c>
      <c r="G870" s="1" t="str">
        <f>IFERROR(VLOOKUP(F870,'RM Cost'!A:B,2,0),"")</f>
        <v>PALE BLUE BAG 470X750MM</v>
      </c>
      <c r="H870" s="2" t="s">
        <v>1323</v>
      </c>
      <c r="I870" s="1" t="str">
        <f>VLOOKUP(F870,'RM Used'!B:D,3,0)</f>
        <v>RM-PACKING</v>
      </c>
      <c r="J870" s="66">
        <v>1</v>
      </c>
      <c r="K870" s="35" t="str">
        <f t="shared" si="264"/>
        <v/>
      </c>
      <c r="L870" s="35">
        <f t="shared" si="252"/>
        <v>0</v>
      </c>
      <c r="M870" s="77" t="str" cm="1">
        <f t="array" ref="M870">_xlfn.IFS(BOM!I870="RM-PACKING","100%",B870="Reynolds",VLOOKUP(H870,'Yield &amp; Time'!A:V,22,0),BOM!B870="Dnata",VLOOKUP(BOM!H870,'Yield &amp; Time'!A:M,13,0),B870="NK",VLOOKUP(H870,'Yield &amp; Time'!A:X,24,0))</f>
        <v>100%</v>
      </c>
      <c r="N870" s="35">
        <f t="shared" si="263"/>
        <v>1</v>
      </c>
      <c r="O870" s="1" t="str">
        <f>VLOOKUP(H870,'RM Used'!A:E,5,0)</f>
        <v>Count</v>
      </c>
      <c r="P870" s="11">
        <f>VLOOKUP(H870,'RM Used'!A:F,6,0)</f>
        <v>0.14000000000000001</v>
      </c>
      <c r="Q870" s="11">
        <f t="shared" si="261"/>
        <v>0.14000000000000001</v>
      </c>
      <c r="R870" s="11">
        <f>IFERROR(IF(B870="Reynolds",VLOOKUP(H870,'Yield &amp; Time'!A:U,21,0),VLOOKUP(H870,'Yield &amp; Time'!A:L,12,0)),0)</f>
        <v>0</v>
      </c>
      <c r="S870" s="11">
        <f t="shared" si="253"/>
        <v>0</v>
      </c>
      <c r="T870" s="11">
        <f t="shared" si="254"/>
        <v>0</v>
      </c>
      <c r="U870" s="11">
        <f>IF(A869=A870,0,VLOOKUP(A870,'Packing Time'!A:F,6,0))</f>
        <v>0</v>
      </c>
      <c r="V870" s="11">
        <f t="shared" si="265"/>
        <v>0</v>
      </c>
      <c r="W870" s="11">
        <f t="shared" si="266"/>
        <v>0</v>
      </c>
      <c r="X870" s="11">
        <f t="shared" si="255"/>
        <v>0</v>
      </c>
      <c r="Y870" s="11">
        <f t="shared" si="267"/>
        <v>0</v>
      </c>
      <c r="Z870" s="37">
        <v>1</v>
      </c>
      <c r="AA870" s="36">
        <f t="shared" si="256"/>
        <v>1</v>
      </c>
      <c r="AB870" s="36">
        <f t="shared" si="257"/>
        <v>0.14000000000000001</v>
      </c>
      <c r="AC870" s="11">
        <f t="shared" si="258"/>
        <v>0</v>
      </c>
      <c r="AD870" s="36">
        <f t="shared" si="268"/>
        <v>0</v>
      </c>
      <c r="AE870" s="36"/>
      <c r="AF870" s="36">
        <f>IFERROR(VLOOKUP(AE870,'Chemical Cost'!A:D,4,0),0)</f>
        <v>0</v>
      </c>
      <c r="AG870" s="114">
        <f t="shared" si="259"/>
        <v>0</v>
      </c>
      <c r="AH870" s="36">
        <f t="shared" si="262"/>
        <v>0</v>
      </c>
      <c r="AI870" s="36">
        <f t="shared" si="269"/>
        <v>0.14000000000000001</v>
      </c>
      <c r="AJ870" s="36">
        <f>IFERROR(VLOOKUP(A870,'All Products'!A:F,6,0),0)</f>
        <v>14.93</v>
      </c>
      <c r="AK870" s="36"/>
      <c r="AL870" s="23">
        <v>1</v>
      </c>
      <c r="AM870" s="23"/>
      <c r="AN870" s="54" t="e">
        <v>#N/A</v>
      </c>
      <c r="AO870" s="47"/>
      <c r="AP870" s="4">
        <v>1.6</v>
      </c>
      <c r="AQ870" s="111">
        <f t="shared" si="260"/>
        <v>0</v>
      </c>
      <c r="AR870">
        <f>_xlfn.XLOOKUP(F870,'RM Cost'!A:A,'RM Cost'!S:S)</f>
        <v>0</v>
      </c>
      <c r="AS870" t="e">
        <f>_xlfn.XLOOKUP(A870,[3]Sheet1!$B:$B,[3]Sheet1!$B:$B)</f>
        <v>#N/A</v>
      </c>
    </row>
    <row r="871" spans="1:46" x14ac:dyDescent="0.25">
      <c r="A871" s="2" t="s">
        <v>521</v>
      </c>
      <c r="B871" s="2" t="s">
        <v>656</v>
      </c>
      <c r="C871" s="2" t="s">
        <v>892</v>
      </c>
      <c r="D871" s="2" t="s">
        <v>554</v>
      </c>
      <c r="E871" s="2">
        <v>2.5</v>
      </c>
      <c r="F871" s="1" t="str">
        <f>VLOOKUP(H871,'RM Used'!A:B,2,0)</f>
        <v>3221CS</v>
      </c>
      <c r="G871" s="1" t="str">
        <f>IFERROR(VLOOKUP(F871,'RM Cost'!A:B,2,0),"")</f>
        <v>BAKING POTATO X50 EA</v>
      </c>
      <c r="H871" s="2" t="s">
        <v>1549</v>
      </c>
      <c r="I871" s="1" t="str">
        <f>VLOOKUP(F871,'RM Used'!B:D,3,0)</f>
        <v>RM-FOOD</v>
      </c>
      <c r="J871" s="66">
        <v>1</v>
      </c>
      <c r="K871" s="35">
        <f t="shared" si="264"/>
        <v>2.5</v>
      </c>
      <c r="L871" s="35">
        <f t="shared" si="252"/>
        <v>2.5</v>
      </c>
      <c r="M871" s="77" cm="1">
        <f t="array" ref="M871">_xlfn.IFS(BOM!I871="RM-PACKING","100%",B871="Reynolds",VLOOKUP(H871,'Yield &amp; Time'!A:V,22,0),BOM!B871="Dnata",VLOOKUP(BOM!H871,'Yield &amp; Time'!A:M,13,0),B871="NK",VLOOKUP(H871,'Yield &amp; Time'!A:X,24,0))</f>
        <v>0.2</v>
      </c>
      <c r="N871" s="35">
        <f t="shared" si="263"/>
        <v>12.5</v>
      </c>
      <c r="O871" s="1" t="str">
        <f>VLOOKUP(H871,'RM Used'!A:E,5,0)</f>
        <v>KG</v>
      </c>
      <c r="P871" s="11">
        <f>VLOOKUP(H871,'RM Used'!A:F,6,0)</f>
        <v>0.57000000000000006</v>
      </c>
      <c r="Q871" s="11">
        <f t="shared" si="261"/>
        <v>7.1250000000000009</v>
      </c>
      <c r="R871" s="11">
        <f>IFERROR(IF(B871="Reynolds",VLOOKUP(H871,'Yield &amp; Time'!A:U,21,0),VLOOKUP(H871,'Yield &amp; Time'!A:L,12,0)),0)</f>
        <v>10.1</v>
      </c>
      <c r="S871" s="11">
        <f t="shared" si="253"/>
        <v>8.5471249999999994</v>
      </c>
      <c r="T871" s="11">
        <f t="shared" si="254"/>
        <v>0.42083333333333334</v>
      </c>
      <c r="U871" s="11">
        <f>IF(A870=A871,0,VLOOKUP(A871,'Packing Time'!A:F,6,0))</f>
        <v>0.875</v>
      </c>
      <c r="V871" s="11">
        <f t="shared" si="265"/>
        <v>0.29618749999999999</v>
      </c>
      <c r="W871" s="11">
        <f t="shared" si="266"/>
        <v>1.4583333333333334E-2</v>
      </c>
      <c r="X871" s="11">
        <f t="shared" si="255"/>
        <v>14.1493</v>
      </c>
      <c r="Y871" s="11">
        <f t="shared" si="267"/>
        <v>14.1493</v>
      </c>
      <c r="Z871" s="37">
        <v>1</v>
      </c>
      <c r="AA871" s="36">
        <f t="shared" si="256"/>
        <v>12.5</v>
      </c>
      <c r="AB871" s="36">
        <f t="shared" si="257"/>
        <v>7.1250000000000009</v>
      </c>
      <c r="AC871" s="11">
        <f t="shared" si="258"/>
        <v>0.69666666666666677</v>
      </c>
      <c r="AD871" s="36">
        <f t="shared" si="268"/>
        <v>14.1493</v>
      </c>
      <c r="AE871" s="36" t="str">
        <f>VLOOKUP(H871,'Yield &amp; Time'!A:I,9,0)</f>
        <v>SODIUM METABISULPHITE</v>
      </c>
      <c r="AF871" s="36">
        <f>IFERROR(VLOOKUP(AE871,'Chemical Cost'!A:D,4,0),0)</f>
        <v>9.7586225455882462E-3</v>
      </c>
      <c r="AG871" s="114">
        <f t="shared" si="259"/>
        <v>4.066092727328436E-2</v>
      </c>
      <c r="AH871" s="36">
        <f t="shared" si="262"/>
        <v>4.066092727328436E-2</v>
      </c>
      <c r="AI871" s="36">
        <f t="shared" si="269"/>
        <v>21.314960927273283</v>
      </c>
      <c r="AJ871" s="36">
        <f>IFERROR(VLOOKUP(A871,'All Products'!A:F,6,0),0)</f>
        <v>37.33</v>
      </c>
      <c r="AK871" s="36">
        <f>AJ871*Z871*J871</f>
        <v>37.33</v>
      </c>
      <c r="AL871" s="23">
        <v>1</v>
      </c>
      <c r="AM871" s="23"/>
      <c r="AN871" s="54" t="e">
        <v>#N/A</v>
      </c>
      <c r="AO871" s="47"/>
      <c r="AP871" s="4">
        <v>1.6</v>
      </c>
      <c r="AQ871" s="111">
        <f t="shared" si="260"/>
        <v>0.69666666666666677</v>
      </c>
      <c r="AR871">
        <f>_xlfn.XLOOKUP(F871,'RM Cost'!A:A,'RM Cost'!S:S)</f>
        <v>0</v>
      </c>
      <c r="AS871" t="e">
        <f>_xlfn.XLOOKUP(A871,[3]Sheet1!$B:$B,[3]Sheet1!$B:$B)</f>
        <v>#N/A</v>
      </c>
    </row>
    <row r="872" spans="1:46" x14ac:dyDescent="0.25">
      <c r="A872" s="2" t="s">
        <v>521</v>
      </c>
      <c r="B872" s="2" t="s">
        <v>656</v>
      </c>
      <c r="C872" s="2" t="s">
        <v>892</v>
      </c>
      <c r="D872" s="2" t="s">
        <v>554</v>
      </c>
      <c r="E872" s="2">
        <v>2.5</v>
      </c>
      <c r="F872" s="1" t="str">
        <f>VLOOKUP(H872,'RM Used'!A:B,2,0)</f>
        <v>P0008</v>
      </c>
      <c r="G872" s="1" t="str">
        <f>IFERROR(VLOOKUP(F872,'RM Cost'!A:B,2,0),"")</f>
        <v>PALE BLUE BAG 470X750MM</v>
      </c>
      <c r="H872" s="2" t="s">
        <v>1323</v>
      </c>
      <c r="I872" s="1" t="str">
        <f>VLOOKUP(F872,'RM Used'!B:D,3,0)</f>
        <v>RM-PACKING</v>
      </c>
      <c r="J872" s="66">
        <v>1</v>
      </c>
      <c r="K872" s="35" t="str">
        <f t="shared" si="264"/>
        <v/>
      </c>
      <c r="L872" s="35">
        <f t="shared" si="252"/>
        <v>0</v>
      </c>
      <c r="M872" s="77" t="str" cm="1">
        <f t="array" ref="M872">_xlfn.IFS(BOM!I872="RM-PACKING","100%",B872="Reynolds",VLOOKUP(H872,'Yield &amp; Time'!A:V,22,0),BOM!B872="Dnata",VLOOKUP(BOM!H872,'Yield &amp; Time'!A:M,13,0),B872="NK",VLOOKUP(H872,'Yield &amp; Time'!A:X,24,0))</f>
        <v>100%</v>
      </c>
      <c r="N872" s="35">
        <f t="shared" si="263"/>
        <v>1</v>
      </c>
      <c r="O872" s="1" t="str">
        <f>VLOOKUP(H872,'RM Used'!A:E,5,0)</f>
        <v>Count</v>
      </c>
      <c r="P872" s="11">
        <f>VLOOKUP(H872,'RM Used'!A:F,6,0)</f>
        <v>0.14000000000000001</v>
      </c>
      <c r="Q872" s="11">
        <f t="shared" si="261"/>
        <v>0.14000000000000001</v>
      </c>
      <c r="R872" s="11">
        <f>IFERROR(IF(B872="Reynolds",VLOOKUP(H872,'Yield &amp; Time'!A:U,21,0),VLOOKUP(H872,'Yield &amp; Time'!A:L,12,0)),0)</f>
        <v>0</v>
      </c>
      <c r="S872" s="11">
        <f t="shared" si="253"/>
        <v>0</v>
      </c>
      <c r="T872" s="11">
        <f t="shared" si="254"/>
        <v>0</v>
      </c>
      <c r="U872" s="11">
        <f>IF(A871=A872,0,VLOOKUP(A872,'Packing Time'!A:F,6,0))</f>
        <v>0</v>
      </c>
      <c r="V872" s="11">
        <f t="shared" si="265"/>
        <v>0</v>
      </c>
      <c r="W872" s="11">
        <f t="shared" si="266"/>
        <v>0</v>
      </c>
      <c r="X872" s="11">
        <f t="shared" si="255"/>
        <v>0</v>
      </c>
      <c r="Y872" s="11">
        <f t="shared" si="267"/>
        <v>0</v>
      </c>
      <c r="Z872" s="37">
        <v>1</v>
      </c>
      <c r="AA872" s="36">
        <f t="shared" si="256"/>
        <v>1</v>
      </c>
      <c r="AB872" s="36">
        <f t="shared" si="257"/>
        <v>0.14000000000000001</v>
      </c>
      <c r="AC872" s="11">
        <f t="shared" si="258"/>
        <v>0</v>
      </c>
      <c r="AD872" s="36">
        <f t="shared" si="268"/>
        <v>0</v>
      </c>
      <c r="AE872" s="36"/>
      <c r="AF872" s="36">
        <f>IFERROR(VLOOKUP(AE872,'Chemical Cost'!A:D,4,0),0)</f>
        <v>0</v>
      </c>
      <c r="AG872" s="114">
        <f t="shared" si="259"/>
        <v>0</v>
      </c>
      <c r="AH872" s="36">
        <f t="shared" si="262"/>
        <v>0</v>
      </c>
      <c r="AI872" s="36">
        <f t="shared" si="269"/>
        <v>0.14000000000000001</v>
      </c>
      <c r="AJ872" s="36">
        <f>IFERROR(VLOOKUP(A872,'All Products'!A:F,6,0),0)</f>
        <v>37.33</v>
      </c>
      <c r="AK872" s="36"/>
      <c r="AL872" s="23">
        <v>1</v>
      </c>
      <c r="AM872" s="23"/>
      <c r="AN872" s="54" t="e">
        <v>#N/A</v>
      </c>
      <c r="AO872" s="47"/>
      <c r="AP872" s="4">
        <v>1.6</v>
      </c>
      <c r="AQ872" s="111">
        <f t="shared" si="260"/>
        <v>0</v>
      </c>
      <c r="AR872">
        <f>_xlfn.XLOOKUP(F872,'RM Cost'!A:A,'RM Cost'!S:S)</f>
        <v>0</v>
      </c>
      <c r="AS872" t="e">
        <f>_xlfn.XLOOKUP(A872,[3]Sheet1!$B:$B,[3]Sheet1!$B:$B)</f>
        <v>#N/A</v>
      </c>
    </row>
    <row r="873" spans="1:46" x14ac:dyDescent="0.25">
      <c r="A873" s="2" t="s">
        <v>460</v>
      </c>
      <c r="B873" s="2" t="s">
        <v>656</v>
      </c>
      <c r="C873" s="2" t="s">
        <v>461</v>
      </c>
      <c r="D873" s="2" t="s">
        <v>554</v>
      </c>
      <c r="E873" s="2">
        <v>1</v>
      </c>
      <c r="F873" s="1" t="str">
        <f>VLOOKUP(H873,'RM Used'!A:B,2,0)</f>
        <v>3221CS</v>
      </c>
      <c r="G873" s="1" t="str">
        <f>IFERROR(VLOOKUP(F873,'RM Cost'!A:B,2,0),"")</f>
        <v>BAKING POTATO X50 EA</v>
      </c>
      <c r="H873" s="2" t="s">
        <v>1550</v>
      </c>
      <c r="I873" s="1" t="str">
        <f>VLOOKUP(F873,'RM Used'!B:D,3,0)</f>
        <v>RM-FOOD</v>
      </c>
      <c r="J873" s="66">
        <v>1</v>
      </c>
      <c r="K873" s="35">
        <f t="shared" si="264"/>
        <v>1</v>
      </c>
      <c r="L873" s="35">
        <f t="shared" si="252"/>
        <v>1</v>
      </c>
      <c r="M873" s="77" cm="1">
        <f t="array" ref="M873">_xlfn.IFS(BOM!I873="RM-PACKING","100%",B873="Reynolds",VLOOKUP(H873,'Yield &amp; Time'!A:V,22,0),BOM!B873="Dnata",VLOOKUP(BOM!H873,'Yield &amp; Time'!A:M,13,0),B873="NK",VLOOKUP(H873,'Yield &amp; Time'!A:X,24,0))</f>
        <v>0.51224328593996837</v>
      </c>
      <c r="N873" s="35">
        <f t="shared" si="263"/>
        <v>1.9521973785659215</v>
      </c>
      <c r="O873" s="1" t="str">
        <f>VLOOKUP(H873,'RM Used'!A:E,5,0)</f>
        <v>KG</v>
      </c>
      <c r="P873" s="11">
        <f>VLOOKUP(H873,'RM Used'!A:F,6,0)</f>
        <v>0.57000000000000006</v>
      </c>
      <c r="Q873" s="11">
        <f t="shared" si="261"/>
        <v>1.1127525057825753</v>
      </c>
      <c r="R873" s="11">
        <f>IFERROR(IF(B873="Reynolds",VLOOKUP(H873,'Yield &amp; Time'!A:U,21,0),VLOOKUP(H873,'Yield &amp; Time'!A:L,12,0)),0)</f>
        <v>2.9784374196864563</v>
      </c>
      <c r="S873" s="11">
        <f t="shared" si="253"/>
        <v>1.0082010665638654</v>
      </c>
      <c r="T873" s="11">
        <f t="shared" si="254"/>
        <v>4.9640623661440939E-2</v>
      </c>
      <c r="U873" s="11">
        <f>IF(A872=A873,0,VLOOKUP(A873,'Packing Time'!A:F,6,0))</f>
        <v>0.64166666666666661</v>
      </c>
      <c r="V873" s="11">
        <f t="shared" si="265"/>
        <v>0.21720416666666661</v>
      </c>
      <c r="W873" s="11">
        <f t="shared" si="266"/>
        <v>1.0694444444444444E-2</v>
      </c>
      <c r="X873" s="11">
        <f t="shared" si="255"/>
        <v>1.9606483731688513</v>
      </c>
      <c r="Y873" s="11">
        <f t="shared" si="267"/>
        <v>1.9606483731688513</v>
      </c>
      <c r="Z873" s="37">
        <v>1</v>
      </c>
      <c r="AA873" s="36">
        <f t="shared" si="256"/>
        <v>1.9521973785659215</v>
      </c>
      <c r="AB873" s="36">
        <f t="shared" si="257"/>
        <v>1.1127525057825753</v>
      </c>
      <c r="AC873" s="11">
        <f t="shared" si="258"/>
        <v>9.6536108969416612E-2</v>
      </c>
      <c r="AD873" s="36">
        <f t="shared" si="268"/>
        <v>1.9606483731688513</v>
      </c>
      <c r="AE873" s="36" t="str">
        <f>VLOOKUP(H873,'Yield &amp; Time'!A:I,9,0)</f>
        <v>SODIUM METABISULPHITE</v>
      </c>
      <c r="AF873" s="36">
        <f>IFERROR(VLOOKUP(AE873,'Chemical Cost'!A:D,4,0),0)</f>
        <v>9.7586225455882462E-3</v>
      </c>
      <c r="AG873" s="114">
        <f t="shared" si="259"/>
        <v>6.3502524506372253E-3</v>
      </c>
      <c r="AH873" s="36">
        <f t="shared" si="262"/>
        <v>6.3502524506372253E-3</v>
      </c>
      <c r="AI873" s="36">
        <f t="shared" si="269"/>
        <v>3.0797511314020638</v>
      </c>
      <c r="AJ873" s="36">
        <f>IFERROR(VLOOKUP(A873,'All Products'!A:F,6,0),0)</f>
        <v>2.4</v>
      </c>
      <c r="AK873" s="36">
        <f>AJ873*Z873*J873</f>
        <v>2.4</v>
      </c>
      <c r="AL873" s="23">
        <v>1</v>
      </c>
      <c r="AM873" s="23"/>
      <c r="AN873" s="54" t="e">
        <v>#N/A</v>
      </c>
      <c r="AO873" s="47"/>
      <c r="AP873" s="4">
        <v>1.6</v>
      </c>
      <c r="AQ873" s="111">
        <f t="shared" si="260"/>
        <v>9.6536108969416612E-2</v>
      </c>
      <c r="AR873">
        <f>_xlfn.XLOOKUP(F873,'RM Cost'!A:A,'RM Cost'!S:S)</f>
        <v>0</v>
      </c>
      <c r="AS873" t="str">
        <f>_xlfn.XLOOKUP(A873,[3]Sheet1!$B:$B,[3]Sheet1!$B:$B)</f>
        <v>Z024CS</v>
      </c>
      <c r="AT873">
        <f>_xlfn.XLOOKUP(H873,'Yield &amp; Time'!A:A,'Yield &amp; Time'!F:F)</f>
        <v>0</v>
      </c>
    </row>
    <row r="874" spans="1:46" x14ac:dyDescent="0.25">
      <c r="A874" s="2" t="s">
        <v>460</v>
      </c>
      <c r="B874" s="2" t="s">
        <v>656</v>
      </c>
      <c r="C874" s="2" t="s">
        <v>461</v>
      </c>
      <c r="D874" s="2" t="s">
        <v>554</v>
      </c>
      <c r="E874" s="2">
        <v>1</v>
      </c>
      <c r="F874" s="1" t="str">
        <f>VLOOKUP(H874,'RM Used'!A:B,2,0)</f>
        <v>P0008</v>
      </c>
      <c r="G874" s="1" t="str">
        <f>IFERROR(VLOOKUP(F874,'RM Cost'!A:B,2,0),"")</f>
        <v>PALE BLUE BAG 470X750MM</v>
      </c>
      <c r="H874" s="2" t="s">
        <v>1323</v>
      </c>
      <c r="I874" s="1" t="str">
        <f>VLOOKUP(F874,'RM Used'!B:D,3,0)</f>
        <v>RM-PACKING</v>
      </c>
      <c r="J874" s="66">
        <v>1</v>
      </c>
      <c r="K874" s="35" t="str">
        <f t="shared" si="264"/>
        <v/>
      </c>
      <c r="L874" s="35">
        <f t="shared" si="252"/>
        <v>0</v>
      </c>
      <c r="M874" s="77" t="str" cm="1">
        <f t="array" ref="M874">_xlfn.IFS(BOM!I874="RM-PACKING","100%",B874="Reynolds",VLOOKUP(H874,'Yield &amp; Time'!A:V,22,0),BOM!B874="Dnata",VLOOKUP(BOM!H874,'Yield &amp; Time'!A:M,13,0),B874="NK",VLOOKUP(H874,'Yield &amp; Time'!A:X,24,0))</f>
        <v>100%</v>
      </c>
      <c r="N874" s="35">
        <f t="shared" si="263"/>
        <v>1</v>
      </c>
      <c r="O874" s="1" t="str">
        <f>VLOOKUP(H874,'RM Used'!A:E,5,0)</f>
        <v>Count</v>
      </c>
      <c r="P874" s="11">
        <f>VLOOKUP(H874,'RM Used'!A:F,6,0)</f>
        <v>0.14000000000000001</v>
      </c>
      <c r="Q874" s="11">
        <f t="shared" si="261"/>
        <v>0.14000000000000001</v>
      </c>
      <c r="R874" s="11">
        <f>IFERROR(IF(B874="Reynolds",VLOOKUP(H874,'Yield &amp; Time'!A:U,21,0),VLOOKUP(H874,'Yield &amp; Time'!A:L,12,0)),0)</f>
        <v>0</v>
      </c>
      <c r="S874" s="11">
        <f t="shared" si="253"/>
        <v>0</v>
      </c>
      <c r="T874" s="11">
        <f t="shared" si="254"/>
        <v>0</v>
      </c>
      <c r="U874" s="11">
        <f>IF(A873=A874,0,VLOOKUP(A874,'Packing Time'!A:F,6,0))</f>
        <v>0</v>
      </c>
      <c r="V874" s="11">
        <f t="shared" si="265"/>
        <v>0</v>
      </c>
      <c r="W874" s="11">
        <f t="shared" si="266"/>
        <v>0</v>
      </c>
      <c r="X874" s="11">
        <f t="shared" si="255"/>
        <v>0</v>
      </c>
      <c r="Y874" s="11">
        <f t="shared" si="267"/>
        <v>0</v>
      </c>
      <c r="Z874" s="37">
        <v>1</v>
      </c>
      <c r="AA874" s="36">
        <f t="shared" si="256"/>
        <v>1</v>
      </c>
      <c r="AB874" s="36">
        <f t="shared" si="257"/>
        <v>0.14000000000000001</v>
      </c>
      <c r="AC874" s="11">
        <f t="shared" si="258"/>
        <v>0</v>
      </c>
      <c r="AD874" s="36">
        <f t="shared" si="268"/>
        <v>0</v>
      </c>
      <c r="AE874" s="36"/>
      <c r="AF874" s="36">
        <f>IFERROR(VLOOKUP(AE874,'Chemical Cost'!A:D,4,0),0)</f>
        <v>0</v>
      </c>
      <c r="AG874" s="114">
        <f t="shared" si="259"/>
        <v>0</v>
      </c>
      <c r="AH874" s="36">
        <f t="shared" si="262"/>
        <v>0</v>
      </c>
      <c r="AI874" s="36">
        <f t="shared" si="269"/>
        <v>0.14000000000000001</v>
      </c>
      <c r="AJ874" s="36">
        <f>IFERROR(VLOOKUP(A874,'All Products'!A:F,6,0),0)</f>
        <v>2.4</v>
      </c>
      <c r="AK874" s="36"/>
      <c r="AL874" s="23">
        <v>1</v>
      </c>
      <c r="AM874" s="23"/>
      <c r="AN874" s="54" t="e">
        <v>#N/A</v>
      </c>
      <c r="AO874" s="47"/>
      <c r="AP874" s="4">
        <v>1.6</v>
      </c>
      <c r="AQ874" s="111">
        <f t="shared" si="260"/>
        <v>0</v>
      </c>
      <c r="AR874">
        <f>_xlfn.XLOOKUP(F874,'RM Cost'!A:A,'RM Cost'!S:S)</f>
        <v>0</v>
      </c>
      <c r="AS874" t="str">
        <f>_xlfn.XLOOKUP(A874,[3]Sheet1!$B:$B,[3]Sheet1!$B:$B)</f>
        <v>Z024CS</v>
      </c>
      <c r="AT874" t="e">
        <f>_xlfn.XLOOKUP(H874,'Yield &amp; Time'!A:A,'Yield &amp; Time'!F:F)</f>
        <v>#N/A</v>
      </c>
    </row>
    <row r="875" spans="1:46" x14ac:dyDescent="0.25">
      <c r="A875" s="2" t="s">
        <v>171</v>
      </c>
      <c r="B875" s="2" t="s">
        <v>656</v>
      </c>
      <c r="C875" s="2" t="s">
        <v>172</v>
      </c>
      <c r="D875" s="2" t="s">
        <v>554</v>
      </c>
      <c r="E875" s="2">
        <v>2.5</v>
      </c>
      <c r="F875" s="1" t="str">
        <f>VLOOKUP(H875,'RM Used'!A:B,2,0)</f>
        <v>3221CS</v>
      </c>
      <c r="G875" s="1" t="str">
        <f>IFERROR(VLOOKUP(F875,'RM Cost'!A:B,2,0),"")</f>
        <v>BAKING POTATO X50 EA</v>
      </c>
      <c r="H875" s="2" t="s">
        <v>1550</v>
      </c>
      <c r="I875" s="1" t="str">
        <f>VLOOKUP(F875,'RM Used'!B:D,3,0)</f>
        <v>RM-FOOD</v>
      </c>
      <c r="J875" s="66">
        <v>1</v>
      </c>
      <c r="K875" s="35">
        <f t="shared" si="264"/>
        <v>2.5</v>
      </c>
      <c r="L875" s="35">
        <f t="shared" si="252"/>
        <v>2.5</v>
      </c>
      <c r="M875" s="77" cm="1">
        <f t="array" ref="M875">_xlfn.IFS(BOM!I875="RM-PACKING","100%",B875="Reynolds",VLOOKUP(H875,'Yield &amp; Time'!A:V,22,0),BOM!B875="Dnata",VLOOKUP(BOM!H875,'Yield &amp; Time'!A:M,13,0),B875="NK",VLOOKUP(H875,'Yield &amp; Time'!A:X,24,0))</f>
        <v>0.51224328593996837</v>
      </c>
      <c r="N875" s="35">
        <f t="shared" si="263"/>
        <v>4.8804934464148033</v>
      </c>
      <c r="O875" s="1" t="str">
        <f>VLOOKUP(H875,'RM Used'!A:E,5,0)</f>
        <v>KG</v>
      </c>
      <c r="P875" s="11">
        <f>VLOOKUP(H875,'RM Used'!A:F,6,0)</f>
        <v>0.57000000000000006</v>
      </c>
      <c r="Q875" s="11">
        <f t="shared" si="261"/>
        <v>2.7818812644564384</v>
      </c>
      <c r="R875" s="11">
        <f>IFERROR(IF(B875="Reynolds",VLOOKUP(H875,'Yield &amp; Time'!A:U,21,0),VLOOKUP(H875,'Yield &amp; Time'!A:L,12,0)),0)</f>
        <v>2.9784374196864563</v>
      </c>
      <c r="S875" s="11">
        <f t="shared" si="253"/>
        <v>2.5205026664096635</v>
      </c>
      <c r="T875" s="11">
        <f t="shared" si="254"/>
        <v>0.12410155915360234</v>
      </c>
      <c r="U875" s="11">
        <f>IF(A874=A875,0,VLOOKUP(A875,'Packing Time'!A:F,6,0))</f>
        <v>0.875</v>
      </c>
      <c r="V875" s="11">
        <f t="shared" si="265"/>
        <v>0.29618749999999999</v>
      </c>
      <c r="W875" s="11">
        <f t="shared" si="266"/>
        <v>1.4583333333333334E-2</v>
      </c>
      <c r="X875" s="11">
        <f t="shared" si="255"/>
        <v>3.9433662329735282</v>
      </c>
      <c r="Y875" s="11">
        <f t="shared" si="267"/>
        <v>3.9433662329735282</v>
      </c>
      <c r="Z875" s="37">
        <v>1</v>
      </c>
      <c r="AA875" s="36">
        <f t="shared" si="256"/>
        <v>4.8804934464148033</v>
      </c>
      <c r="AB875" s="36">
        <f t="shared" si="257"/>
        <v>2.7818812644564384</v>
      </c>
      <c r="AC875" s="11">
        <f t="shared" si="258"/>
        <v>0.19415884948170992</v>
      </c>
      <c r="AD875" s="36">
        <f t="shared" si="268"/>
        <v>3.9433662329735282</v>
      </c>
      <c r="AE875" s="36" t="str">
        <f>VLOOKUP(H875,'Yield &amp; Time'!A:I,9,0)</f>
        <v>SODIUM METABISULPHITE</v>
      </c>
      <c r="AF875" s="36">
        <f>IFERROR(VLOOKUP(AE875,'Chemical Cost'!A:D,4,0),0)</f>
        <v>9.7586225455882462E-3</v>
      </c>
      <c r="AG875" s="114">
        <f t="shared" si="259"/>
        <v>1.587563112659306E-2</v>
      </c>
      <c r="AH875" s="36">
        <f t="shared" si="262"/>
        <v>1.587563112659306E-2</v>
      </c>
      <c r="AI875" s="36">
        <f t="shared" si="269"/>
        <v>6.74112312855656</v>
      </c>
      <c r="AJ875" s="36">
        <f>IFERROR(VLOOKUP(A875,'All Products'!A:F,6,0),0)</f>
        <v>5.69</v>
      </c>
      <c r="AK875" s="36">
        <f>AJ875*Z875*J875</f>
        <v>5.69</v>
      </c>
      <c r="AL875" s="23">
        <v>1</v>
      </c>
      <c r="AM875" s="23"/>
      <c r="AN875" s="54" t="e">
        <v>#N/A</v>
      </c>
      <c r="AO875" s="47"/>
      <c r="AP875" s="4">
        <v>1.4</v>
      </c>
      <c r="AQ875" s="111">
        <f t="shared" si="260"/>
        <v>0.19415884948170992</v>
      </c>
      <c r="AR875">
        <f>_xlfn.XLOOKUP(F875,'RM Cost'!A:A,'RM Cost'!S:S)</f>
        <v>0</v>
      </c>
      <c r="AS875" t="str">
        <f>_xlfn.XLOOKUP(A875,[3]Sheet1!$B:$B,[3]Sheet1!$B:$B)</f>
        <v>Z023CS</v>
      </c>
      <c r="AT875">
        <f>_xlfn.XLOOKUP(H875,'Yield &amp; Time'!A:A,'Yield &amp; Time'!F:F)</f>
        <v>0</v>
      </c>
    </row>
    <row r="876" spans="1:46" x14ac:dyDescent="0.25">
      <c r="A876" s="2" t="s">
        <v>171</v>
      </c>
      <c r="B876" s="2" t="s">
        <v>656</v>
      </c>
      <c r="C876" s="2" t="s">
        <v>172</v>
      </c>
      <c r="D876" s="2" t="s">
        <v>554</v>
      </c>
      <c r="E876" s="2">
        <v>2.5</v>
      </c>
      <c r="F876" s="1" t="str">
        <f>VLOOKUP(H876,'RM Used'!A:B,2,0)</f>
        <v>P0008</v>
      </c>
      <c r="G876" s="1" t="str">
        <f>IFERROR(VLOOKUP(F876,'RM Cost'!A:B,2,0),"")</f>
        <v>PALE BLUE BAG 470X750MM</v>
      </c>
      <c r="H876" s="2" t="s">
        <v>1323</v>
      </c>
      <c r="I876" s="1" t="str">
        <f>VLOOKUP(F876,'RM Used'!B:D,3,0)</f>
        <v>RM-PACKING</v>
      </c>
      <c r="J876" s="66">
        <v>1</v>
      </c>
      <c r="K876" s="35" t="str">
        <f t="shared" si="264"/>
        <v/>
      </c>
      <c r="L876" s="35">
        <f t="shared" si="252"/>
        <v>0</v>
      </c>
      <c r="M876" s="77" t="str" cm="1">
        <f t="array" ref="M876">_xlfn.IFS(BOM!I876="RM-PACKING","100%",B876="Reynolds",VLOOKUP(H876,'Yield &amp; Time'!A:V,22,0),BOM!B876="Dnata",VLOOKUP(BOM!H876,'Yield &amp; Time'!A:M,13,0),B876="NK",VLOOKUP(H876,'Yield &amp; Time'!A:X,24,0))</f>
        <v>100%</v>
      </c>
      <c r="N876" s="35">
        <f t="shared" si="263"/>
        <v>1</v>
      </c>
      <c r="O876" s="1" t="str">
        <f>VLOOKUP(H876,'RM Used'!A:E,5,0)</f>
        <v>Count</v>
      </c>
      <c r="P876" s="11">
        <f>VLOOKUP(H876,'RM Used'!A:F,6,0)</f>
        <v>0.14000000000000001</v>
      </c>
      <c r="Q876" s="11">
        <f t="shared" si="261"/>
        <v>0.14000000000000001</v>
      </c>
      <c r="R876" s="11">
        <f>IFERROR(IF(B876="Reynolds",VLOOKUP(H876,'Yield &amp; Time'!A:U,21,0),VLOOKUP(H876,'Yield &amp; Time'!A:L,12,0)),0)</f>
        <v>0</v>
      </c>
      <c r="S876" s="11">
        <f t="shared" si="253"/>
        <v>0</v>
      </c>
      <c r="T876" s="11">
        <f t="shared" si="254"/>
        <v>0</v>
      </c>
      <c r="U876" s="11">
        <f>IF(A875=A876,0,VLOOKUP(A876,'Packing Time'!A:F,6,0))</f>
        <v>0</v>
      </c>
      <c r="V876" s="11">
        <f t="shared" si="265"/>
        <v>0</v>
      </c>
      <c r="W876" s="11">
        <f t="shared" si="266"/>
        <v>0</v>
      </c>
      <c r="X876" s="11">
        <f t="shared" si="255"/>
        <v>0</v>
      </c>
      <c r="Y876" s="11">
        <f t="shared" si="267"/>
        <v>0</v>
      </c>
      <c r="Z876" s="37">
        <v>1</v>
      </c>
      <c r="AA876" s="36">
        <f t="shared" si="256"/>
        <v>1</v>
      </c>
      <c r="AB876" s="36">
        <f t="shared" si="257"/>
        <v>0.14000000000000001</v>
      </c>
      <c r="AC876" s="11">
        <f t="shared" si="258"/>
        <v>0</v>
      </c>
      <c r="AD876" s="36">
        <f t="shared" si="268"/>
        <v>0</v>
      </c>
      <c r="AE876" s="36"/>
      <c r="AF876" s="36">
        <f>IFERROR(VLOOKUP(AE876,'Chemical Cost'!A:D,4,0),0)</f>
        <v>0</v>
      </c>
      <c r="AG876" s="114">
        <f t="shared" si="259"/>
        <v>0</v>
      </c>
      <c r="AH876" s="36">
        <f t="shared" si="262"/>
        <v>0</v>
      </c>
      <c r="AI876" s="36">
        <f t="shared" si="269"/>
        <v>0.14000000000000001</v>
      </c>
      <c r="AJ876" s="36">
        <f>IFERROR(VLOOKUP(A876,'All Products'!A:F,6,0),0)</f>
        <v>5.69</v>
      </c>
      <c r="AK876" s="36"/>
      <c r="AL876" s="23">
        <v>1</v>
      </c>
      <c r="AM876" s="23"/>
      <c r="AN876" s="54" t="e">
        <v>#N/A</v>
      </c>
      <c r="AO876" s="47"/>
      <c r="AP876" s="4">
        <v>1.4</v>
      </c>
      <c r="AQ876" s="111">
        <f t="shared" si="260"/>
        <v>0</v>
      </c>
      <c r="AR876">
        <f>_xlfn.XLOOKUP(F876,'RM Cost'!A:A,'RM Cost'!S:S)</f>
        <v>0</v>
      </c>
      <c r="AS876" t="str">
        <f>_xlfn.XLOOKUP(A876,[3]Sheet1!$B:$B,[3]Sheet1!$B:$B)</f>
        <v>Z023CS</v>
      </c>
      <c r="AT876" t="e">
        <f>_xlfn.XLOOKUP(H876,'Yield &amp; Time'!A:A,'Yield &amp; Time'!F:F)</f>
        <v>#N/A</v>
      </c>
    </row>
    <row r="877" spans="1:46" x14ac:dyDescent="0.25">
      <c r="A877" s="2" t="s">
        <v>169</v>
      </c>
      <c r="B877" s="2" t="s">
        <v>656</v>
      </c>
      <c r="C877" s="2" t="s">
        <v>170</v>
      </c>
      <c r="D877" s="2" t="s">
        <v>554</v>
      </c>
      <c r="E877" s="2">
        <v>1</v>
      </c>
      <c r="F877" s="1" t="str">
        <f>VLOOKUP(H877,'RM Used'!A:B,2,0)</f>
        <v>3221CS</v>
      </c>
      <c r="G877" s="1" t="str">
        <f>IFERROR(VLOOKUP(F877,'RM Cost'!A:B,2,0),"")</f>
        <v>BAKING POTATO X50 EA</v>
      </c>
      <c r="H877" s="2" t="s">
        <v>1451</v>
      </c>
      <c r="I877" s="1" t="str">
        <f>VLOOKUP(F877,'RM Used'!B:D,3,0)</f>
        <v>RM-FOOD</v>
      </c>
      <c r="J877" s="66">
        <v>1</v>
      </c>
      <c r="K877" s="35">
        <f t="shared" si="264"/>
        <v>1</v>
      </c>
      <c r="L877" s="35">
        <f t="shared" si="252"/>
        <v>1</v>
      </c>
      <c r="M877" s="77" cm="1">
        <f t="array" ref="M877">_xlfn.IFS(BOM!I877="RM-PACKING","100%",B877="Reynolds",VLOOKUP(H877,'Yield &amp; Time'!A:V,22,0),BOM!B877="Dnata",VLOOKUP(BOM!H877,'Yield &amp; Time'!A:M,13,0),B877="NK",VLOOKUP(H877,'Yield &amp; Time'!A:X,24,0))</f>
        <v>0.49644549763033174</v>
      </c>
      <c r="N877" s="35">
        <f t="shared" si="263"/>
        <v>2.0143198090692125</v>
      </c>
      <c r="O877" s="1" t="str">
        <f>VLOOKUP(H877,'RM Used'!A:E,5,0)</f>
        <v>KG</v>
      </c>
      <c r="P877" s="11">
        <f>VLOOKUP(H877,'RM Used'!A:F,6,0)</f>
        <v>0.57000000000000006</v>
      </c>
      <c r="Q877" s="11">
        <f t="shared" si="261"/>
        <v>1.1481622911694513</v>
      </c>
      <c r="R877" s="11">
        <f>IFERROR(IF(B877="Reynolds",VLOOKUP(H877,'Yield &amp; Time'!A:U,21,0),VLOOKUP(H877,'Yield &amp; Time'!A:L,12,0)),0)</f>
        <v>3.0037390612569612</v>
      </c>
      <c r="S877" s="11">
        <f t="shared" si="253"/>
        <v>1.0167656722354812</v>
      </c>
      <c r="T877" s="11">
        <f t="shared" si="254"/>
        <v>5.0062317687616022E-2</v>
      </c>
      <c r="U877" s="11">
        <f>IF(A876=A877,0,VLOOKUP(A877,'Packing Time'!A:F,6,0))</f>
        <v>0.64166666666666661</v>
      </c>
      <c r="V877" s="11">
        <f t="shared" si="265"/>
        <v>0.21720416666666661</v>
      </c>
      <c r="W877" s="11">
        <f t="shared" si="266"/>
        <v>1.0694444444444444E-2</v>
      </c>
      <c r="X877" s="11">
        <f t="shared" si="255"/>
        <v>1.9743517422434367</v>
      </c>
      <c r="Y877" s="11">
        <f t="shared" si="267"/>
        <v>1.9743517422434367</v>
      </c>
      <c r="Z877" s="37">
        <v>1</v>
      </c>
      <c r="AA877" s="36">
        <f t="shared" si="256"/>
        <v>2.0143198090692125</v>
      </c>
      <c r="AB877" s="36">
        <f t="shared" si="257"/>
        <v>1.1481622911694513</v>
      </c>
      <c r="AC877" s="11">
        <f t="shared" si="258"/>
        <v>9.7210819411296751E-2</v>
      </c>
      <c r="AD877" s="36">
        <f t="shared" si="268"/>
        <v>1.9743517422434367</v>
      </c>
      <c r="AE877" s="36" t="str">
        <f>VLOOKUP(H877,'Yield &amp; Time'!A:I,9,0)</f>
        <v>SODIUM METABISULPHITE</v>
      </c>
      <c r="AF877" s="36">
        <f>IFERROR(VLOOKUP(AE877,'Chemical Cost'!A:D,4,0),0)</f>
        <v>9.7586225455882462E-3</v>
      </c>
      <c r="AG877" s="114">
        <f t="shared" si="259"/>
        <v>6.5523289009359427E-3</v>
      </c>
      <c r="AH877" s="36">
        <f t="shared" si="262"/>
        <v>6.5523289009359427E-3</v>
      </c>
      <c r="AI877" s="36">
        <f t="shared" si="269"/>
        <v>3.1290663623138242</v>
      </c>
      <c r="AJ877" s="36">
        <f>IFERROR(VLOOKUP(A877,'All Products'!A:F,6,0),0)</f>
        <v>2.35</v>
      </c>
      <c r="AK877" s="36">
        <f>AJ877*Z877*J877</f>
        <v>2.35</v>
      </c>
      <c r="AL877" s="23">
        <v>1</v>
      </c>
      <c r="AM877" s="23"/>
      <c r="AN877" s="54" t="e">
        <v>#N/A</v>
      </c>
      <c r="AO877" s="47"/>
      <c r="AP877" s="4">
        <v>1.6</v>
      </c>
      <c r="AQ877" s="111">
        <f t="shared" si="260"/>
        <v>9.7210819411296751E-2</v>
      </c>
      <c r="AR877">
        <f>_xlfn.XLOOKUP(F877,'RM Cost'!A:A,'RM Cost'!S:S)</f>
        <v>0</v>
      </c>
      <c r="AS877" t="str">
        <f>_xlfn.XLOOKUP(A877,[3]Sheet1!$B:$B,[3]Sheet1!$B:$B)</f>
        <v>Z022CS</v>
      </c>
      <c r="AT877">
        <f>_xlfn.XLOOKUP(H877,'Yield &amp; Time'!A:A,'Yield &amp; Time'!F:F)</f>
        <v>0</v>
      </c>
    </row>
    <row r="878" spans="1:46" x14ac:dyDescent="0.25">
      <c r="A878" s="2" t="s">
        <v>169</v>
      </c>
      <c r="B878" s="2" t="s">
        <v>656</v>
      </c>
      <c r="C878" s="2" t="s">
        <v>170</v>
      </c>
      <c r="D878" s="2" t="s">
        <v>554</v>
      </c>
      <c r="E878" s="2">
        <v>1</v>
      </c>
      <c r="F878" s="1" t="str">
        <f>VLOOKUP(H878,'RM Used'!A:B,2,0)</f>
        <v>P0008</v>
      </c>
      <c r="G878" s="1" t="str">
        <f>IFERROR(VLOOKUP(F878,'RM Cost'!A:B,2,0),"")</f>
        <v>PALE BLUE BAG 470X750MM</v>
      </c>
      <c r="H878" s="2" t="s">
        <v>1323</v>
      </c>
      <c r="I878" s="1" t="str">
        <f>VLOOKUP(F878,'RM Used'!B:D,3,0)</f>
        <v>RM-PACKING</v>
      </c>
      <c r="J878" s="66">
        <v>1</v>
      </c>
      <c r="K878" s="35" t="str">
        <f t="shared" si="264"/>
        <v/>
      </c>
      <c r="L878" s="35">
        <f t="shared" si="252"/>
        <v>0</v>
      </c>
      <c r="M878" s="77" t="str" cm="1">
        <f t="array" ref="M878">_xlfn.IFS(BOM!I878="RM-PACKING","100%",B878="Reynolds",VLOOKUP(H878,'Yield &amp; Time'!A:V,22,0),BOM!B878="Dnata",VLOOKUP(BOM!H878,'Yield &amp; Time'!A:M,13,0),B878="NK",VLOOKUP(H878,'Yield &amp; Time'!A:X,24,0))</f>
        <v>100%</v>
      </c>
      <c r="N878" s="35">
        <f t="shared" si="263"/>
        <v>1</v>
      </c>
      <c r="O878" s="1" t="str">
        <f>VLOOKUP(H878,'RM Used'!A:E,5,0)</f>
        <v>Count</v>
      </c>
      <c r="P878" s="11">
        <f>VLOOKUP(H878,'RM Used'!A:F,6,0)</f>
        <v>0.14000000000000001</v>
      </c>
      <c r="Q878" s="11">
        <f t="shared" si="261"/>
        <v>0.14000000000000001</v>
      </c>
      <c r="R878" s="11">
        <f>IFERROR(IF(B878="Reynolds",VLOOKUP(H878,'Yield &amp; Time'!A:U,21,0),VLOOKUP(H878,'Yield &amp; Time'!A:L,12,0)),0)</f>
        <v>0</v>
      </c>
      <c r="S878" s="11">
        <f t="shared" si="253"/>
        <v>0</v>
      </c>
      <c r="T878" s="11">
        <f t="shared" si="254"/>
        <v>0</v>
      </c>
      <c r="U878" s="11">
        <f>IF(A877=A878,0,VLOOKUP(A878,'Packing Time'!A:F,6,0))</f>
        <v>0</v>
      </c>
      <c r="V878" s="11">
        <f t="shared" si="265"/>
        <v>0</v>
      </c>
      <c r="W878" s="11">
        <f t="shared" si="266"/>
        <v>0</v>
      </c>
      <c r="X878" s="11">
        <f t="shared" si="255"/>
        <v>0</v>
      </c>
      <c r="Y878" s="11">
        <f t="shared" si="267"/>
        <v>0</v>
      </c>
      <c r="Z878" s="37">
        <v>1</v>
      </c>
      <c r="AA878" s="36">
        <f t="shared" si="256"/>
        <v>1</v>
      </c>
      <c r="AB878" s="36">
        <f t="shared" si="257"/>
        <v>0.14000000000000001</v>
      </c>
      <c r="AC878" s="11">
        <f t="shared" si="258"/>
        <v>0</v>
      </c>
      <c r="AD878" s="36">
        <f t="shared" si="268"/>
        <v>0</v>
      </c>
      <c r="AE878" s="36"/>
      <c r="AF878" s="36">
        <f>IFERROR(VLOOKUP(AE878,'Chemical Cost'!A:D,4,0),0)</f>
        <v>0</v>
      </c>
      <c r="AG878" s="114">
        <f t="shared" si="259"/>
        <v>0</v>
      </c>
      <c r="AH878" s="36">
        <f t="shared" si="262"/>
        <v>0</v>
      </c>
      <c r="AI878" s="36">
        <f t="shared" si="269"/>
        <v>0.14000000000000001</v>
      </c>
      <c r="AJ878" s="36">
        <f>IFERROR(VLOOKUP(A878,'All Products'!A:F,6,0),0)</f>
        <v>2.35</v>
      </c>
      <c r="AK878" s="36"/>
      <c r="AL878" s="23">
        <v>1</v>
      </c>
      <c r="AM878" s="23"/>
      <c r="AN878" s="54" t="e">
        <v>#N/A</v>
      </c>
      <c r="AO878" s="47"/>
      <c r="AP878" s="4">
        <v>1.6</v>
      </c>
      <c r="AQ878" s="111">
        <f t="shared" si="260"/>
        <v>0</v>
      </c>
      <c r="AR878">
        <f>_xlfn.XLOOKUP(F878,'RM Cost'!A:A,'RM Cost'!S:S)</f>
        <v>0</v>
      </c>
      <c r="AS878" t="str">
        <f>_xlfn.XLOOKUP(A878,[3]Sheet1!$B:$B,[3]Sheet1!$B:$B)</f>
        <v>Z022CS</v>
      </c>
      <c r="AT878" t="e">
        <f>_xlfn.XLOOKUP(H878,'Yield &amp; Time'!A:A,'Yield &amp; Time'!F:F)</f>
        <v>#N/A</v>
      </c>
    </row>
    <row r="879" spans="1:46" x14ac:dyDescent="0.25">
      <c r="A879" s="2" t="s">
        <v>167</v>
      </c>
      <c r="B879" s="2" t="s">
        <v>656</v>
      </c>
      <c r="C879" s="2" t="s">
        <v>168</v>
      </c>
      <c r="D879" s="2" t="s">
        <v>554</v>
      </c>
      <c r="E879" s="2">
        <v>2.5</v>
      </c>
      <c r="F879" s="1" t="str">
        <f>VLOOKUP(H879,'RM Used'!A:B,2,0)</f>
        <v>3221CS</v>
      </c>
      <c r="G879" s="1" t="str">
        <f>IFERROR(VLOOKUP(F879,'RM Cost'!A:B,2,0),"")</f>
        <v>BAKING POTATO X50 EA</v>
      </c>
      <c r="H879" s="2" t="s">
        <v>1451</v>
      </c>
      <c r="I879" s="1" t="str">
        <f>VLOOKUP(F879,'RM Used'!B:D,3,0)</f>
        <v>RM-FOOD</v>
      </c>
      <c r="J879" s="66">
        <v>1</v>
      </c>
      <c r="K879" s="35">
        <f t="shared" si="264"/>
        <v>2.5</v>
      </c>
      <c r="L879" s="35">
        <f t="shared" si="252"/>
        <v>2.5</v>
      </c>
      <c r="M879" s="77" cm="1">
        <f t="array" ref="M879">_xlfn.IFS(BOM!I879="RM-PACKING","100%",B879="Reynolds",VLOOKUP(H879,'Yield &amp; Time'!A:V,22,0),BOM!B879="Dnata",VLOOKUP(BOM!H879,'Yield &amp; Time'!A:M,13,0),B879="NK",VLOOKUP(H879,'Yield &amp; Time'!A:X,24,0))</f>
        <v>0.49644549763033174</v>
      </c>
      <c r="N879" s="35">
        <f t="shared" si="263"/>
        <v>5.035799522673031</v>
      </c>
      <c r="O879" s="1" t="str">
        <f>VLOOKUP(H879,'RM Used'!A:E,5,0)</f>
        <v>KG</v>
      </c>
      <c r="P879" s="11">
        <f>VLOOKUP(H879,'RM Used'!A:F,6,0)</f>
        <v>0.57000000000000006</v>
      </c>
      <c r="Q879" s="11">
        <f t="shared" si="261"/>
        <v>2.8704057279236279</v>
      </c>
      <c r="R879" s="11">
        <f>IFERROR(IF(B879="Reynolds",VLOOKUP(H879,'Yield &amp; Time'!A:U,21,0),VLOOKUP(H879,'Yield &amp; Time'!A:L,12,0)),0)</f>
        <v>3.0037390612569612</v>
      </c>
      <c r="S879" s="11">
        <f t="shared" si="253"/>
        <v>2.5419141805887033</v>
      </c>
      <c r="T879" s="11">
        <f t="shared" si="254"/>
        <v>0.12515579421904005</v>
      </c>
      <c r="U879" s="11">
        <f>IF(A878=A879,0,VLOOKUP(A879,'Packing Time'!A:F,6,0))</f>
        <v>0.875</v>
      </c>
      <c r="V879" s="11">
        <f t="shared" si="265"/>
        <v>0.29618749999999999</v>
      </c>
      <c r="W879" s="11">
        <f t="shared" si="266"/>
        <v>1.4583333333333334E-2</v>
      </c>
      <c r="X879" s="11">
        <f t="shared" si="255"/>
        <v>3.1219118486475734</v>
      </c>
      <c r="Y879" s="11">
        <f t="shared" si="267"/>
        <v>3.1219118486475734</v>
      </c>
      <c r="Z879" s="37">
        <v>1</v>
      </c>
      <c r="AA879" s="36">
        <f t="shared" si="256"/>
        <v>5.035799522673031</v>
      </c>
      <c r="AB879" s="36">
        <f t="shared" si="257"/>
        <v>2.8704057279236279</v>
      </c>
      <c r="AC879" s="11">
        <f t="shared" si="258"/>
        <v>0.15371304030761071</v>
      </c>
      <c r="AD879" s="36">
        <f t="shared" si="268"/>
        <v>3.121911848647573</v>
      </c>
      <c r="AE879" s="36" t="str">
        <f>VLOOKUP(H879,'Yield &amp; Time'!A:I,9,0)</f>
        <v>SODIUM METABISULPHITE</v>
      </c>
      <c r="AF879" s="36">
        <f>IFERROR(VLOOKUP(AE879,'Chemical Cost'!A:D,4,0),0)</f>
        <v>9.7586225455882462E-3</v>
      </c>
      <c r="AG879" s="114">
        <f t="shared" si="259"/>
        <v>1.6380822252339857E-2</v>
      </c>
      <c r="AH879" s="36">
        <f t="shared" si="262"/>
        <v>1.6380822252339857E-2</v>
      </c>
      <c r="AI879" s="36">
        <f t="shared" si="269"/>
        <v>6.0086983988235412</v>
      </c>
      <c r="AJ879" s="36">
        <f>IFERROR(VLOOKUP(A879,'All Products'!A:F,6,0),0)</f>
        <v>5.57</v>
      </c>
      <c r="AK879" s="36">
        <f>AJ879*Z879*J879</f>
        <v>5.57</v>
      </c>
      <c r="AL879" s="23">
        <v>1</v>
      </c>
      <c r="AM879" s="23"/>
      <c r="AN879" s="54" t="e">
        <v>#N/A</v>
      </c>
      <c r="AO879" s="47"/>
      <c r="AP879" s="4">
        <v>1.1000000000000001</v>
      </c>
      <c r="AQ879" s="111">
        <f t="shared" si="260"/>
        <v>0.15371304030761071</v>
      </c>
      <c r="AR879">
        <f>_xlfn.XLOOKUP(F879,'RM Cost'!A:A,'RM Cost'!S:S)</f>
        <v>0</v>
      </c>
      <c r="AS879" t="str">
        <f>_xlfn.XLOOKUP(A879,[3]Sheet1!$B:$B,[3]Sheet1!$B:$B)</f>
        <v>Z021CS</v>
      </c>
      <c r="AT879">
        <f>_xlfn.XLOOKUP(H879,'Yield &amp; Time'!A:A,'Yield &amp; Time'!F:F)</f>
        <v>0</v>
      </c>
    </row>
    <row r="880" spans="1:46" x14ac:dyDescent="0.25">
      <c r="A880" s="2" t="s">
        <v>167</v>
      </c>
      <c r="B880" s="2" t="s">
        <v>656</v>
      </c>
      <c r="C880" s="2" t="s">
        <v>168</v>
      </c>
      <c r="D880" s="2" t="s">
        <v>554</v>
      </c>
      <c r="E880" s="2">
        <v>2.5</v>
      </c>
      <c r="F880" s="1" t="str">
        <f>VLOOKUP(H880,'RM Used'!A:B,2,0)</f>
        <v>P0008</v>
      </c>
      <c r="G880" s="1" t="str">
        <f>IFERROR(VLOOKUP(F880,'RM Cost'!A:B,2,0),"")</f>
        <v>PALE BLUE BAG 470X750MM</v>
      </c>
      <c r="H880" s="2" t="s">
        <v>1323</v>
      </c>
      <c r="I880" s="1" t="str">
        <f>VLOOKUP(F880,'RM Used'!B:D,3,0)</f>
        <v>RM-PACKING</v>
      </c>
      <c r="J880" s="66">
        <v>1</v>
      </c>
      <c r="K880" s="35" t="str">
        <f t="shared" si="264"/>
        <v/>
      </c>
      <c r="L880" s="35">
        <f t="shared" si="252"/>
        <v>0</v>
      </c>
      <c r="M880" s="77" t="str" cm="1">
        <f t="array" ref="M880">_xlfn.IFS(BOM!I880="RM-PACKING","100%",B880="Reynolds",VLOOKUP(H880,'Yield &amp; Time'!A:V,22,0),BOM!B880="Dnata",VLOOKUP(BOM!H880,'Yield &amp; Time'!A:M,13,0),B880="NK",VLOOKUP(H880,'Yield &amp; Time'!A:X,24,0))</f>
        <v>100%</v>
      </c>
      <c r="N880" s="35">
        <f t="shared" si="263"/>
        <v>1</v>
      </c>
      <c r="O880" s="1" t="str">
        <f>VLOOKUP(H880,'RM Used'!A:E,5,0)</f>
        <v>Count</v>
      </c>
      <c r="P880" s="11">
        <f>VLOOKUP(H880,'RM Used'!A:F,6,0)</f>
        <v>0.14000000000000001</v>
      </c>
      <c r="Q880" s="11">
        <f t="shared" si="261"/>
        <v>0.14000000000000001</v>
      </c>
      <c r="R880" s="11">
        <f>IFERROR(IF(B880="Reynolds",VLOOKUP(H880,'Yield &amp; Time'!A:U,21,0),VLOOKUP(H880,'Yield &amp; Time'!A:L,12,0)),0)</f>
        <v>0</v>
      </c>
      <c r="S880" s="11">
        <f t="shared" si="253"/>
        <v>0</v>
      </c>
      <c r="T880" s="11">
        <f t="shared" si="254"/>
        <v>0</v>
      </c>
      <c r="U880" s="11">
        <f>IF(A879=A880,0,VLOOKUP(A880,'Packing Time'!A:F,6,0))</f>
        <v>0</v>
      </c>
      <c r="V880" s="11">
        <f t="shared" si="265"/>
        <v>0</v>
      </c>
      <c r="W880" s="11">
        <f t="shared" si="266"/>
        <v>0</v>
      </c>
      <c r="X880" s="11">
        <f t="shared" si="255"/>
        <v>0</v>
      </c>
      <c r="Y880" s="11">
        <f t="shared" si="267"/>
        <v>0</v>
      </c>
      <c r="Z880" s="37">
        <v>1</v>
      </c>
      <c r="AA880" s="36">
        <f t="shared" si="256"/>
        <v>1</v>
      </c>
      <c r="AB880" s="36">
        <f t="shared" si="257"/>
        <v>0.14000000000000001</v>
      </c>
      <c r="AC880" s="11">
        <f t="shared" si="258"/>
        <v>0</v>
      </c>
      <c r="AD880" s="36">
        <f t="shared" si="268"/>
        <v>0</v>
      </c>
      <c r="AE880" s="36"/>
      <c r="AF880" s="36">
        <f>IFERROR(VLOOKUP(AE880,'Chemical Cost'!A:D,4,0),0)</f>
        <v>0</v>
      </c>
      <c r="AG880" s="114">
        <f t="shared" si="259"/>
        <v>0</v>
      </c>
      <c r="AH880" s="36">
        <f t="shared" si="262"/>
        <v>0</v>
      </c>
      <c r="AI880" s="36">
        <f t="shared" si="269"/>
        <v>0.14000000000000001</v>
      </c>
      <c r="AJ880" s="36">
        <f>IFERROR(VLOOKUP(A880,'All Products'!A:F,6,0),0)</f>
        <v>5.57</v>
      </c>
      <c r="AK880" s="36"/>
      <c r="AL880" s="23">
        <v>1</v>
      </c>
      <c r="AM880" s="23"/>
      <c r="AN880" s="54" t="e">
        <v>#N/A</v>
      </c>
      <c r="AO880" s="47"/>
      <c r="AP880" s="4">
        <v>1.1000000000000001</v>
      </c>
      <c r="AQ880" s="111">
        <f t="shared" si="260"/>
        <v>0</v>
      </c>
      <c r="AR880">
        <f>_xlfn.XLOOKUP(F880,'RM Cost'!A:A,'RM Cost'!S:S)</f>
        <v>0</v>
      </c>
      <c r="AS880" t="str">
        <f>_xlfn.XLOOKUP(A880,[3]Sheet1!$B:$B,[3]Sheet1!$B:$B)</f>
        <v>Z021CS</v>
      </c>
      <c r="AT880" t="e">
        <f>_xlfn.XLOOKUP(H880,'Yield &amp; Time'!A:A,'Yield &amp; Time'!F:F)</f>
        <v>#N/A</v>
      </c>
    </row>
    <row r="881" spans="1:46" x14ac:dyDescent="0.25">
      <c r="A881" s="2" t="s">
        <v>893</v>
      </c>
      <c r="B881" s="2" t="s">
        <v>656</v>
      </c>
      <c r="C881" s="2" t="s">
        <v>894</v>
      </c>
      <c r="D881" s="2" t="s">
        <v>554</v>
      </c>
      <c r="E881" s="2">
        <v>1</v>
      </c>
      <c r="F881" s="1" t="str">
        <f>VLOOKUP(H881,'RM Used'!A:B,2,0)</f>
        <v>3241CS</v>
      </c>
      <c r="G881" s="1" t="str">
        <f>IFERROR(VLOOKUP(F881,'RM Cost'!A:B,2,0),"")</f>
        <v>RM - POTATOES RATTE     15 X 1KG</v>
      </c>
      <c r="H881" s="2" t="s">
        <v>1551</v>
      </c>
      <c r="I881" s="1" t="str">
        <f>VLOOKUP(F881,'RM Used'!B:D,3,0)</f>
        <v>RM-FOOD</v>
      </c>
      <c r="J881" s="66">
        <v>1</v>
      </c>
      <c r="K881" s="35">
        <f t="shared" si="264"/>
        <v>1</v>
      </c>
      <c r="L881" s="35">
        <f t="shared" si="252"/>
        <v>1</v>
      </c>
      <c r="M881" s="77" cm="1">
        <f t="array" ref="M881">_xlfn.IFS(BOM!I881="RM-PACKING","100%",B881="Reynolds",VLOOKUP(H881,'Yield &amp; Time'!A:V,22,0),BOM!B881="Dnata",VLOOKUP(BOM!H881,'Yield &amp; Time'!A:M,13,0),B881="NK",VLOOKUP(H881,'Yield &amp; Time'!A:X,24,0))</f>
        <v>0.97</v>
      </c>
      <c r="N881" s="35">
        <f t="shared" si="263"/>
        <v>1.0309278350515465</v>
      </c>
      <c r="O881" s="1" t="str">
        <f>VLOOKUP(H881,'RM Used'!A:E,5,0)</f>
        <v>KG</v>
      </c>
      <c r="P881" s="11">
        <f>VLOOKUP(H881,'RM Used'!A:F,6,0)</f>
        <v>2.67</v>
      </c>
      <c r="Q881" s="11">
        <f t="shared" si="261"/>
        <v>2.7525773195876293</v>
      </c>
      <c r="R881" s="11">
        <f>IFERROR(IF(B881="Reynolds",VLOOKUP(H881,'Yield &amp; Time'!A:U,21,0),VLOOKUP(H881,'Yield &amp; Time'!A:L,12,0)),0)</f>
        <v>2.061855670103093</v>
      </c>
      <c r="S881" s="11">
        <f t="shared" si="253"/>
        <v>0.69793814432989687</v>
      </c>
      <c r="T881" s="11">
        <f t="shared" si="254"/>
        <v>3.4364261168384883E-2</v>
      </c>
      <c r="U881" s="11">
        <f>IF(A880=A881,0,VLOOKUP(A881,'Packing Time'!A:F,6,0))</f>
        <v>0.64166666666666661</v>
      </c>
      <c r="V881" s="11">
        <f t="shared" si="265"/>
        <v>0.21720416666666661</v>
      </c>
      <c r="W881" s="11">
        <f t="shared" si="266"/>
        <v>1.0694444444444444E-2</v>
      </c>
      <c r="X881" s="11">
        <f t="shared" si="255"/>
        <v>1.4642276975945017</v>
      </c>
      <c r="Y881" s="11">
        <f t="shared" si="267"/>
        <v>1.4642276975945017</v>
      </c>
      <c r="Z881" s="37">
        <v>1</v>
      </c>
      <c r="AA881" s="36">
        <f t="shared" si="256"/>
        <v>1.0309278350515465</v>
      </c>
      <c r="AB881" s="36">
        <f t="shared" si="257"/>
        <v>2.7525773195876293</v>
      </c>
      <c r="AC881" s="11">
        <f t="shared" si="258"/>
        <v>7.2093928980526925E-2</v>
      </c>
      <c r="AD881" s="36">
        <f t="shared" si="268"/>
        <v>1.4642276975945017</v>
      </c>
      <c r="AE881" s="36"/>
      <c r="AF881" s="36">
        <f>IFERROR(VLOOKUP(AE881,'Chemical Cost'!A:D,4,0),0)</f>
        <v>0</v>
      </c>
      <c r="AG881" s="114">
        <f t="shared" si="259"/>
        <v>0</v>
      </c>
      <c r="AH881" s="36">
        <f t="shared" si="262"/>
        <v>0</v>
      </c>
      <c r="AI881" s="36">
        <f t="shared" si="269"/>
        <v>4.2168050171821312</v>
      </c>
      <c r="AJ881" s="36">
        <f>IFERROR(VLOOKUP(A881,'All Products'!A:F,6,0),0)</f>
        <v>5</v>
      </c>
      <c r="AK881" s="36">
        <f>AJ881*Z881*J881</f>
        <v>5</v>
      </c>
      <c r="AL881" s="23">
        <v>1</v>
      </c>
      <c r="AM881" s="23"/>
      <c r="AN881" s="54" t="e">
        <v>#N/A</v>
      </c>
      <c r="AO881" s="47"/>
      <c r="AP881" s="4">
        <v>1.6</v>
      </c>
      <c r="AQ881" s="111">
        <f t="shared" si="260"/>
        <v>7.2093928980526925E-2</v>
      </c>
      <c r="AR881">
        <f>_xlfn.XLOOKUP(F881,'RM Cost'!A:A,'RM Cost'!S:S)</f>
        <v>0</v>
      </c>
      <c r="AS881" t="e">
        <f>_xlfn.XLOOKUP(A881,[3]Sheet1!$B:$B,[3]Sheet1!$B:$B)</f>
        <v>#N/A</v>
      </c>
    </row>
    <row r="882" spans="1:46" x14ac:dyDescent="0.25">
      <c r="A882" s="2" t="s">
        <v>893</v>
      </c>
      <c r="B882" s="2" t="s">
        <v>656</v>
      </c>
      <c r="C882" s="2" t="s">
        <v>894</v>
      </c>
      <c r="D882" s="2" t="s">
        <v>554</v>
      </c>
      <c r="E882" s="2">
        <v>1</v>
      </c>
      <c r="F882" s="1" t="str">
        <f>VLOOKUP(H882,'RM Used'!A:B,2,0)</f>
        <v>P0008</v>
      </c>
      <c r="G882" s="1" t="str">
        <f>IFERROR(VLOOKUP(F882,'RM Cost'!A:B,2,0),"")</f>
        <v>PALE BLUE BAG 470X750MM</v>
      </c>
      <c r="H882" s="2" t="s">
        <v>1323</v>
      </c>
      <c r="I882" s="1" t="str">
        <f>VLOOKUP(F882,'RM Used'!B:D,3,0)</f>
        <v>RM-PACKING</v>
      </c>
      <c r="J882" s="66">
        <v>1</v>
      </c>
      <c r="K882" s="35" t="str">
        <f t="shared" si="264"/>
        <v/>
      </c>
      <c r="L882" s="35">
        <f t="shared" si="252"/>
        <v>0</v>
      </c>
      <c r="M882" s="77" t="str" cm="1">
        <f t="array" ref="M882">_xlfn.IFS(BOM!I882="RM-PACKING","100%",B882="Reynolds",VLOOKUP(H882,'Yield &amp; Time'!A:V,22,0),BOM!B882="Dnata",VLOOKUP(BOM!H882,'Yield &amp; Time'!A:M,13,0),B882="NK",VLOOKUP(H882,'Yield &amp; Time'!A:X,24,0))</f>
        <v>100%</v>
      </c>
      <c r="N882" s="35">
        <f t="shared" si="263"/>
        <v>1</v>
      </c>
      <c r="O882" s="1" t="str">
        <f>VLOOKUP(H882,'RM Used'!A:E,5,0)</f>
        <v>Count</v>
      </c>
      <c r="P882" s="11">
        <f>VLOOKUP(H882,'RM Used'!A:F,6,0)</f>
        <v>0.14000000000000001</v>
      </c>
      <c r="Q882" s="11">
        <f t="shared" si="261"/>
        <v>0.14000000000000001</v>
      </c>
      <c r="R882" s="11">
        <f>IFERROR(IF(B882="Reynolds",VLOOKUP(H882,'Yield &amp; Time'!A:U,21,0),VLOOKUP(H882,'Yield &amp; Time'!A:L,12,0)),0)</f>
        <v>0</v>
      </c>
      <c r="S882" s="11">
        <f t="shared" si="253"/>
        <v>0</v>
      </c>
      <c r="T882" s="11">
        <f t="shared" si="254"/>
        <v>0</v>
      </c>
      <c r="U882" s="11">
        <f>IF(A881=A882,0,VLOOKUP(A882,'Packing Time'!A:F,6,0))</f>
        <v>0</v>
      </c>
      <c r="V882" s="11">
        <f t="shared" si="265"/>
        <v>0</v>
      </c>
      <c r="W882" s="11">
        <f t="shared" si="266"/>
        <v>0</v>
      </c>
      <c r="X882" s="11">
        <f t="shared" si="255"/>
        <v>0</v>
      </c>
      <c r="Y882" s="11">
        <f t="shared" si="267"/>
        <v>0</v>
      </c>
      <c r="Z882" s="37">
        <v>1</v>
      </c>
      <c r="AA882" s="36">
        <f t="shared" si="256"/>
        <v>1</v>
      </c>
      <c r="AB882" s="36">
        <f t="shared" si="257"/>
        <v>0.14000000000000001</v>
      </c>
      <c r="AC882" s="11">
        <f t="shared" si="258"/>
        <v>0</v>
      </c>
      <c r="AD882" s="36">
        <f t="shared" si="268"/>
        <v>0</v>
      </c>
      <c r="AE882" s="36"/>
      <c r="AF882" s="36">
        <f>IFERROR(VLOOKUP(AE882,'Chemical Cost'!A:D,4,0),0)</f>
        <v>0</v>
      </c>
      <c r="AG882" s="114">
        <f t="shared" si="259"/>
        <v>0</v>
      </c>
      <c r="AH882" s="36">
        <f t="shared" si="262"/>
        <v>0</v>
      </c>
      <c r="AI882" s="36">
        <f t="shared" si="269"/>
        <v>0.14000000000000001</v>
      </c>
      <c r="AJ882" s="36">
        <f>IFERROR(VLOOKUP(A882,'All Products'!A:F,6,0),0)</f>
        <v>5</v>
      </c>
      <c r="AK882" s="36"/>
      <c r="AL882" s="23">
        <v>1</v>
      </c>
      <c r="AM882" s="23"/>
      <c r="AN882" s="54" t="e">
        <v>#N/A</v>
      </c>
      <c r="AO882" s="47"/>
      <c r="AP882" s="4">
        <v>1.6</v>
      </c>
      <c r="AQ882" s="111">
        <f t="shared" si="260"/>
        <v>0</v>
      </c>
      <c r="AR882">
        <f>_xlfn.XLOOKUP(F882,'RM Cost'!A:A,'RM Cost'!S:S)</f>
        <v>0</v>
      </c>
      <c r="AS882" t="e">
        <f>_xlfn.XLOOKUP(A882,[3]Sheet1!$B:$B,[3]Sheet1!$B:$B)</f>
        <v>#N/A</v>
      </c>
    </row>
    <row r="883" spans="1:46" x14ac:dyDescent="0.25">
      <c r="A883" s="2" t="s">
        <v>895</v>
      </c>
      <c r="B883" s="2" t="s">
        <v>656</v>
      </c>
      <c r="C883" s="2" t="s">
        <v>896</v>
      </c>
      <c r="D883" s="2" t="s">
        <v>554</v>
      </c>
      <c r="E883" s="2">
        <v>2.5</v>
      </c>
      <c r="F883" s="1" t="str">
        <f>VLOOKUP(H883,'RM Used'!A:B,2,0)</f>
        <v>3241CS</v>
      </c>
      <c r="G883" s="1" t="str">
        <f>IFERROR(VLOOKUP(F883,'RM Cost'!A:B,2,0),"")</f>
        <v>RM - POTATOES RATTE     15 X 1KG</v>
      </c>
      <c r="H883" s="2" t="s">
        <v>1551</v>
      </c>
      <c r="I883" s="1" t="str">
        <f>VLOOKUP(F883,'RM Used'!B:D,3,0)</f>
        <v>RM-FOOD</v>
      </c>
      <c r="J883" s="66">
        <v>1</v>
      </c>
      <c r="K883" s="35">
        <f t="shared" si="264"/>
        <v>2.5</v>
      </c>
      <c r="L883" s="35">
        <f t="shared" si="252"/>
        <v>2.5</v>
      </c>
      <c r="M883" s="77" cm="1">
        <f t="array" ref="M883">_xlfn.IFS(BOM!I883="RM-PACKING","100%",B883="Reynolds",VLOOKUP(H883,'Yield &amp; Time'!A:V,22,0),BOM!B883="Dnata",VLOOKUP(BOM!H883,'Yield &amp; Time'!A:M,13,0),B883="NK",VLOOKUP(H883,'Yield &amp; Time'!A:X,24,0))</f>
        <v>0.97</v>
      </c>
      <c r="N883" s="35">
        <f t="shared" si="263"/>
        <v>2.5773195876288661</v>
      </c>
      <c r="O883" s="1" t="str">
        <f>VLOOKUP(H883,'RM Used'!A:E,5,0)</f>
        <v>KG</v>
      </c>
      <c r="P883" s="11">
        <f>VLOOKUP(H883,'RM Used'!A:F,6,0)</f>
        <v>2.67</v>
      </c>
      <c r="Q883" s="11">
        <f t="shared" si="261"/>
        <v>6.8814432989690726</v>
      </c>
      <c r="R883" s="11">
        <f>IFERROR(IF(B883="Reynolds",VLOOKUP(H883,'Yield &amp; Time'!A:U,21,0),VLOOKUP(H883,'Yield &amp; Time'!A:L,12,0)),0)</f>
        <v>2.061855670103093</v>
      </c>
      <c r="S883" s="11">
        <f t="shared" si="253"/>
        <v>1.7448453608247423</v>
      </c>
      <c r="T883" s="11">
        <f t="shared" si="254"/>
        <v>8.5910652920962199E-2</v>
      </c>
      <c r="U883" s="11">
        <f>IF(A882=A883,0,VLOOKUP(A883,'Packing Time'!A:F,6,0))</f>
        <v>0.875</v>
      </c>
      <c r="V883" s="11">
        <f t="shared" si="265"/>
        <v>0.29618749999999999</v>
      </c>
      <c r="W883" s="11">
        <f t="shared" si="266"/>
        <v>1.4583333333333334E-2</v>
      </c>
      <c r="X883" s="11">
        <f t="shared" si="255"/>
        <v>3.2656525773195875</v>
      </c>
      <c r="Y883" s="11">
        <f t="shared" si="267"/>
        <v>3.2656525773195875</v>
      </c>
      <c r="Z883" s="37">
        <v>1</v>
      </c>
      <c r="AA883" s="36">
        <f t="shared" si="256"/>
        <v>2.5773195876288661</v>
      </c>
      <c r="AB883" s="36">
        <f t="shared" si="257"/>
        <v>6.8814432989690726</v>
      </c>
      <c r="AC883" s="11">
        <f t="shared" si="258"/>
        <v>0.16079037800687287</v>
      </c>
      <c r="AD883" s="36">
        <f t="shared" si="268"/>
        <v>3.2656525773195879</v>
      </c>
      <c r="AE883" s="36"/>
      <c r="AF883" s="36">
        <f>IFERROR(VLOOKUP(AE883,'Chemical Cost'!A:D,4,0),0)</f>
        <v>0</v>
      </c>
      <c r="AG883" s="114">
        <f t="shared" si="259"/>
        <v>0</v>
      </c>
      <c r="AH883" s="36">
        <f t="shared" si="262"/>
        <v>0</v>
      </c>
      <c r="AI883" s="36">
        <f t="shared" si="269"/>
        <v>10.14709587628866</v>
      </c>
      <c r="AJ883" s="36">
        <f>IFERROR(VLOOKUP(A883,'All Products'!A:F,6,0),0)</f>
        <v>12.49</v>
      </c>
      <c r="AK883" s="36">
        <f>AJ883*Z883*J883</f>
        <v>12.49</v>
      </c>
      <c r="AL883" s="23">
        <v>1</v>
      </c>
      <c r="AM883" s="23"/>
      <c r="AN883" s="54" t="e">
        <v>#N/A</v>
      </c>
      <c r="AO883" s="47"/>
      <c r="AP883" s="4">
        <v>1.6</v>
      </c>
      <c r="AQ883" s="111">
        <f t="shared" si="260"/>
        <v>0.16079037800687287</v>
      </c>
      <c r="AR883">
        <f>_xlfn.XLOOKUP(F883,'RM Cost'!A:A,'RM Cost'!S:S)</f>
        <v>0</v>
      </c>
      <c r="AS883" t="str">
        <f>_xlfn.XLOOKUP(A883,[3]Sheet1!$B:$B,[3]Sheet1!$B:$B)</f>
        <v>Z057CS</v>
      </c>
      <c r="AT883">
        <f>_xlfn.XLOOKUP(H883,'Yield &amp; Time'!A:A,'Yield &amp; Time'!F:F)</f>
        <v>0</v>
      </c>
    </row>
    <row r="884" spans="1:46" x14ac:dyDescent="0.25">
      <c r="A884" s="2" t="s">
        <v>895</v>
      </c>
      <c r="B884" s="2" t="s">
        <v>656</v>
      </c>
      <c r="C884" s="2" t="s">
        <v>896</v>
      </c>
      <c r="D884" s="2" t="s">
        <v>554</v>
      </c>
      <c r="E884" s="2">
        <v>2.5</v>
      </c>
      <c r="F884" s="1" t="str">
        <f>VLOOKUP(H884,'RM Used'!A:B,2,0)</f>
        <v>P0008</v>
      </c>
      <c r="G884" s="1" t="str">
        <f>IFERROR(VLOOKUP(F884,'RM Cost'!A:B,2,0),"")</f>
        <v>PALE BLUE BAG 470X750MM</v>
      </c>
      <c r="H884" s="2" t="s">
        <v>1323</v>
      </c>
      <c r="I884" s="1" t="str">
        <f>VLOOKUP(F884,'RM Used'!B:D,3,0)</f>
        <v>RM-PACKING</v>
      </c>
      <c r="J884" s="66">
        <v>1</v>
      </c>
      <c r="K884" s="35" t="str">
        <f t="shared" si="264"/>
        <v/>
      </c>
      <c r="L884" s="35">
        <f t="shared" si="252"/>
        <v>0</v>
      </c>
      <c r="M884" s="77" t="str" cm="1">
        <f t="array" ref="M884">_xlfn.IFS(BOM!I884="RM-PACKING","100%",B884="Reynolds",VLOOKUP(H884,'Yield &amp; Time'!A:V,22,0),BOM!B884="Dnata",VLOOKUP(BOM!H884,'Yield &amp; Time'!A:M,13,0),B884="NK",VLOOKUP(H884,'Yield &amp; Time'!A:X,24,0))</f>
        <v>100%</v>
      </c>
      <c r="N884" s="35">
        <f t="shared" si="263"/>
        <v>1</v>
      </c>
      <c r="O884" s="1" t="str">
        <f>VLOOKUP(H884,'RM Used'!A:E,5,0)</f>
        <v>Count</v>
      </c>
      <c r="P884" s="11">
        <f>VLOOKUP(H884,'RM Used'!A:F,6,0)</f>
        <v>0.14000000000000001</v>
      </c>
      <c r="Q884" s="11">
        <f t="shared" si="261"/>
        <v>0.14000000000000001</v>
      </c>
      <c r="R884" s="11">
        <f>IFERROR(IF(B884="Reynolds",VLOOKUP(H884,'Yield &amp; Time'!A:U,21,0),VLOOKUP(H884,'Yield &amp; Time'!A:L,12,0)),0)</f>
        <v>0</v>
      </c>
      <c r="S884" s="11">
        <f t="shared" si="253"/>
        <v>0</v>
      </c>
      <c r="T884" s="11">
        <f t="shared" si="254"/>
        <v>0</v>
      </c>
      <c r="U884" s="11">
        <f>IF(A883=A884,0,VLOOKUP(A884,'Packing Time'!A:F,6,0))</f>
        <v>0</v>
      </c>
      <c r="V884" s="11">
        <f t="shared" si="265"/>
        <v>0</v>
      </c>
      <c r="W884" s="11">
        <f t="shared" si="266"/>
        <v>0</v>
      </c>
      <c r="X884" s="11">
        <f t="shared" si="255"/>
        <v>0</v>
      </c>
      <c r="Y884" s="11">
        <f t="shared" si="267"/>
        <v>0</v>
      </c>
      <c r="Z884" s="37">
        <v>1</v>
      </c>
      <c r="AA884" s="36">
        <f t="shared" si="256"/>
        <v>1</v>
      </c>
      <c r="AB884" s="36">
        <f t="shared" si="257"/>
        <v>0.14000000000000001</v>
      </c>
      <c r="AC884" s="11">
        <f t="shared" si="258"/>
        <v>0</v>
      </c>
      <c r="AD884" s="36">
        <f t="shared" si="268"/>
        <v>0</v>
      </c>
      <c r="AE884" s="36"/>
      <c r="AF884" s="36">
        <f>IFERROR(VLOOKUP(AE884,'Chemical Cost'!A:D,4,0),0)</f>
        <v>0</v>
      </c>
      <c r="AG884" s="114">
        <f t="shared" si="259"/>
        <v>0</v>
      </c>
      <c r="AH884" s="36">
        <f t="shared" si="262"/>
        <v>0</v>
      </c>
      <c r="AI884" s="36">
        <f t="shared" si="269"/>
        <v>0.14000000000000001</v>
      </c>
      <c r="AJ884" s="36">
        <f>IFERROR(VLOOKUP(A884,'All Products'!A:F,6,0),0)</f>
        <v>12.49</v>
      </c>
      <c r="AK884" s="36"/>
      <c r="AL884" s="23">
        <v>1</v>
      </c>
      <c r="AM884" s="23"/>
      <c r="AN884" s="54" t="e">
        <v>#N/A</v>
      </c>
      <c r="AO884" s="47"/>
      <c r="AP884" s="4">
        <v>1.6</v>
      </c>
      <c r="AQ884" s="111">
        <f t="shared" si="260"/>
        <v>0</v>
      </c>
      <c r="AR884">
        <f>_xlfn.XLOOKUP(F884,'RM Cost'!A:A,'RM Cost'!S:S)</f>
        <v>0</v>
      </c>
      <c r="AS884" t="str">
        <f>_xlfn.XLOOKUP(A884,[3]Sheet1!$B:$B,[3]Sheet1!$B:$B)</f>
        <v>Z057CS</v>
      </c>
      <c r="AT884" t="e">
        <f>_xlfn.XLOOKUP(H884,'Yield &amp; Time'!A:A,'Yield &amp; Time'!F:F)</f>
        <v>#N/A</v>
      </c>
    </row>
    <row r="885" spans="1:46" x14ac:dyDescent="0.25">
      <c r="A885" s="2" t="s">
        <v>897</v>
      </c>
      <c r="B885" s="2" t="s">
        <v>656</v>
      </c>
      <c r="C885" s="2" t="s">
        <v>898</v>
      </c>
      <c r="D885" s="2" t="s">
        <v>554</v>
      </c>
      <c r="E885" s="2">
        <v>1</v>
      </c>
      <c r="F885" s="1" t="str">
        <f>VLOOKUP(H885,'RM Used'!A:B,2,0)</f>
        <v>3210CS</v>
      </c>
      <c r="G885" s="1" t="str">
        <f>IFERROR(VLOOKUP(F885,'RM Cost'!A:B,2,0),"")</f>
        <v>RM - POTATOES WARE 25KG</v>
      </c>
      <c r="H885" s="2" t="s">
        <v>1552</v>
      </c>
      <c r="I885" s="1" t="str">
        <f>VLOOKUP(F885,'RM Used'!B:D,3,0)</f>
        <v>RM-FOOD</v>
      </c>
      <c r="J885" s="66">
        <v>1</v>
      </c>
      <c r="K885" s="35">
        <f t="shared" si="264"/>
        <v>1</v>
      </c>
      <c r="L885" s="35">
        <f t="shared" si="252"/>
        <v>1</v>
      </c>
      <c r="M885" s="77" cm="1">
        <f t="array" ref="M885">_xlfn.IFS(BOM!I885="RM-PACKING","100%",B885="Reynolds",VLOOKUP(H885,'Yield &amp; Time'!A:V,22,0),BOM!B885="Dnata",VLOOKUP(BOM!H885,'Yield &amp; Time'!A:M,13,0),B885="NK",VLOOKUP(H885,'Yield &amp; Time'!A:X,24,0))</f>
        <v>0.67796610169491522</v>
      </c>
      <c r="N885" s="35">
        <f t="shared" si="263"/>
        <v>1.4750000000000001</v>
      </c>
      <c r="O885" s="1" t="str">
        <f>VLOOKUP(H885,'RM Used'!A:E,5,0)</f>
        <v>KG</v>
      </c>
      <c r="P885" s="11">
        <f>VLOOKUP(H885,'RM Used'!A:F,6,0)</f>
        <v>0.27</v>
      </c>
      <c r="Q885" s="11">
        <f t="shared" si="261"/>
        <v>0.39825000000000005</v>
      </c>
      <c r="R885" s="11">
        <f>IFERROR(IF(B885="Reynolds",VLOOKUP(H885,'Yield &amp; Time'!A:U,21,0),VLOOKUP(H885,'Yield &amp; Time'!A:L,12,0)),0)</f>
        <v>3.5333333333333332</v>
      </c>
      <c r="S885" s="11">
        <f t="shared" si="253"/>
        <v>1.1960333333333333</v>
      </c>
      <c r="T885" s="11">
        <f t="shared" si="254"/>
        <v>5.8888888888888886E-2</v>
      </c>
      <c r="U885" s="11">
        <f>IF(A884=A885,0,VLOOKUP(A885,'Packing Time'!A:F,6,0))</f>
        <v>0.64166666666666661</v>
      </c>
      <c r="V885" s="11">
        <f t="shared" si="265"/>
        <v>0.21720416666666661</v>
      </c>
      <c r="W885" s="11">
        <f t="shared" si="266"/>
        <v>1.0694444444444444E-2</v>
      </c>
      <c r="X885" s="11">
        <f t="shared" si="255"/>
        <v>2.2611799999999995</v>
      </c>
      <c r="Y885" s="11">
        <f t="shared" si="267"/>
        <v>2.2611799999999995</v>
      </c>
      <c r="Z885" s="37">
        <v>1</v>
      </c>
      <c r="AA885" s="36">
        <f t="shared" si="256"/>
        <v>1.4750000000000001</v>
      </c>
      <c r="AB885" s="36">
        <f t="shared" si="257"/>
        <v>0.39825000000000005</v>
      </c>
      <c r="AC885" s="11">
        <f t="shared" si="258"/>
        <v>0.11133333333333334</v>
      </c>
      <c r="AD885" s="36">
        <f t="shared" si="268"/>
        <v>2.26118</v>
      </c>
      <c r="AE885" s="36" t="str">
        <f>VLOOKUP(H885,'Yield &amp; Time'!A:I,9,0)</f>
        <v>SODIUM METABISULPHITE</v>
      </c>
      <c r="AF885" s="36">
        <f>IFERROR(VLOOKUP(AE885,'Chemical Cost'!A:D,4,0),0)</f>
        <v>9.7586225455882462E-3</v>
      </c>
      <c r="AG885" s="114">
        <f t="shared" si="259"/>
        <v>4.7979894182475545E-3</v>
      </c>
      <c r="AH885" s="36">
        <f t="shared" si="262"/>
        <v>4.7979894182475545E-3</v>
      </c>
      <c r="AI885" s="36">
        <f t="shared" si="269"/>
        <v>2.6642279894182472</v>
      </c>
      <c r="AJ885" s="36">
        <f>IFERROR(VLOOKUP(A885,'All Products'!A:F,6,0),0)</f>
        <v>3.01</v>
      </c>
      <c r="AK885" s="36">
        <f>AJ885*Z885*J885</f>
        <v>3.01</v>
      </c>
      <c r="AL885" s="23">
        <v>1</v>
      </c>
      <c r="AM885" s="23"/>
      <c r="AN885" s="54" t="e">
        <v>#N/A</v>
      </c>
      <c r="AO885" s="47"/>
      <c r="AP885" s="4">
        <v>1.6</v>
      </c>
      <c r="AQ885" s="111">
        <f t="shared" si="260"/>
        <v>0.11133333333333334</v>
      </c>
      <c r="AR885">
        <f>_xlfn.XLOOKUP(F885,'RM Cost'!A:A,'RM Cost'!S:S)</f>
        <v>0</v>
      </c>
      <c r="AS885" t="e">
        <f>_xlfn.XLOOKUP(A885,[3]Sheet1!$B:$B,[3]Sheet1!$B:$B)</f>
        <v>#N/A</v>
      </c>
    </row>
    <row r="886" spans="1:46" x14ac:dyDescent="0.25">
      <c r="A886" s="2" t="s">
        <v>897</v>
      </c>
      <c r="B886" s="2" t="s">
        <v>656</v>
      </c>
      <c r="C886" s="2" t="s">
        <v>898</v>
      </c>
      <c r="D886" s="2" t="s">
        <v>554</v>
      </c>
      <c r="E886" s="2">
        <v>1</v>
      </c>
      <c r="F886" s="1" t="str">
        <f>VLOOKUP(H886,'RM Used'!A:B,2,0)</f>
        <v>P0008</v>
      </c>
      <c r="G886" s="1" t="str">
        <f>IFERROR(VLOOKUP(F886,'RM Cost'!A:B,2,0),"")</f>
        <v>PALE BLUE BAG 470X750MM</v>
      </c>
      <c r="H886" s="2" t="s">
        <v>1323</v>
      </c>
      <c r="I886" s="1" t="str">
        <f>VLOOKUP(F886,'RM Used'!B:D,3,0)</f>
        <v>RM-PACKING</v>
      </c>
      <c r="J886" s="66">
        <v>1</v>
      </c>
      <c r="K886" s="35" t="str">
        <f t="shared" si="264"/>
        <v/>
      </c>
      <c r="L886" s="35">
        <f t="shared" si="252"/>
        <v>0</v>
      </c>
      <c r="M886" s="77" t="str" cm="1">
        <f t="array" ref="M886">_xlfn.IFS(BOM!I886="RM-PACKING","100%",B886="Reynolds",VLOOKUP(H886,'Yield &amp; Time'!A:V,22,0),BOM!B886="Dnata",VLOOKUP(BOM!H886,'Yield &amp; Time'!A:M,13,0),B886="NK",VLOOKUP(H886,'Yield &amp; Time'!A:X,24,0))</f>
        <v>100%</v>
      </c>
      <c r="N886" s="35">
        <f t="shared" si="263"/>
        <v>1</v>
      </c>
      <c r="O886" s="1" t="str">
        <f>VLOOKUP(H886,'RM Used'!A:E,5,0)</f>
        <v>Count</v>
      </c>
      <c r="P886" s="11">
        <f>VLOOKUP(H886,'RM Used'!A:F,6,0)</f>
        <v>0.14000000000000001</v>
      </c>
      <c r="Q886" s="11">
        <f t="shared" si="261"/>
        <v>0.14000000000000001</v>
      </c>
      <c r="R886" s="11">
        <f>IFERROR(IF(B886="Reynolds",VLOOKUP(H886,'Yield &amp; Time'!A:U,21,0),VLOOKUP(H886,'Yield &amp; Time'!A:L,12,0)),0)</f>
        <v>0</v>
      </c>
      <c r="S886" s="11">
        <f t="shared" si="253"/>
        <v>0</v>
      </c>
      <c r="T886" s="11">
        <f t="shared" si="254"/>
        <v>0</v>
      </c>
      <c r="U886" s="11">
        <f>IF(A885=A886,0,VLOOKUP(A886,'Packing Time'!A:F,6,0))</f>
        <v>0</v>
      </c>
      <c r="V886" s="11">
        <f t="shared" si="265"/>
        <v>0</v>
      </c>
      <c r="W886" s="11">
        <f t="shared" si="266"/>
        <v>0</v>
      </c>
      <c r="X886" s="11">
        <f t="shared" si="255"/>
        <v>0</v>
      </c>
      <c r="Y886" s="11">
        <f t="shared" si="267"/>
        <v>0</v>
      </c>
      <c r="Z886" s="37">
        <v>1</v>
      </c>
      <c r="AA886" s="36">
        <f t="shared" si="256"/>
        <v>1</v>
      </c>
      <c r="AB886" s="36">
        <f t="shared" si="257"/>
        <v>0.14000000000000001</v>
      </c>
      <c r="AC886" s="11">
        <f t="shared" si="258"/>
        <v>0</v>
      </c>
      <c r="AD886" s="36">
        <f t="shared" si="268"/>
        <v>0</v>
      </c>
      <c r="AE886" s="36"/>
      <c r="AF886" s="36">
        <f>IFERROR(VLOOKUP(AE886,'Chemical Cost'!A:D,4,0),0)</f>
        <v>0</v>
      </c>
      <c r="AG886" s="114">
        <f t="shared" si="259"/>
        <v>0</v>
      </c>
      <c r="AH886" s="36">
        <f t="shared" si="262"/>
        <v>0</v>
      </c>
      <c r="AI886" s="36">
        <f t="shared" si="269"/>
        <v>0.14000000000000001</v>
      </c>
      <c r="AJ886" s="36">
        <f>IFERROR(VLOOKUP(A886,'All Products'!A:F,6,0),0)</f>
        <v>3.01</v>
      </c>
      <c r="AK886" s="36"/>
      <c r="AL886" s="23">
        <v>1</v>
      </c>
      <c r="AM886" s="23"/>
      <c r="AN886" s="54" t="e">
        <v>#N/A</v>
      </c>
      <c r="AO886" s="47"/>
      <c r="AP886" s="4">
        <v>1.6</v>
      </c>
      <c r="AQ886" s="111">
        <f t="shared" si="260"/>
        <v>0</v>
      </c>
      <c r="AR886">
        <f>_xlfn.XLOOKUP(F886,'RM Cost'!A:A,'RM Cost'!S:S)</f>
        <v>0</v>
      </c>
      <c r="AS886" t="e">
        <f>_xlfn.XLOOKUP(A886,[3]Sheet1!$B:$B,[3]Sheet1!$B:$B)</f>
        <v>#N/A</v>
      </c>
    </row>
    <row r="887" spans="1:46" x14ac:dyDescent="0.25">
      <c r="A887" s="2" t="s">
        <v>164</v>
      </c>
      <c r="B887" s="2" t="s">
        <v>656</v>
      </c>
      <c r="C887" s="2" t="s">
        <v>165</v>
      </c>
      <c r="D887" s="2" t="s">
        <v>554</v>
      </c>
      <c r="E887" s="2">
        <v>2.5</v>
      </c>
      <c r="F887" s="1" t="str">
        <f>VLOOKUP(H887,'RM Used'!A:B,2,0)</f>
        <v>3210CS</v>
      </c>
      <c r="G887" s="1" t="str">
        <f>IFERROR(VLOOKUP(F887,'RM Cost'!A:B,2,0),"")</f>
        <v>RM - POTATOES WARE 25KG</v>
      </c>
      <c r="H887" s="2" t="s">
        <v>1552</v>
      </c>
      <c r="I887" s="1" t="str">
        <f>VLOOKUP(F887,'RM Used'!B:D,3,0)</f>
        <v>RM-FOOD</v>
      </c>
      <c r="J887" s="66">
        <v>1</v>
      </c>
      <c r="K887" s="35">
        <f t="shared" si="264"/>
        <v>2.5</v>
      </c>
      <c r="L887" s="35">
        <f t="shared" si="252"/>
        <v>2.5</v>
      </c>
      <c r="M887" s="77" cm="1">
        <f t="array" ref="M887">_xlfn.IFS(BOM!I887="RM-PACKING","100%",B887="Reynolds",VLOOKUP(H887,'Yield &amp; Time'!A:V,22,0),BOM!B887="Dnata",VLOOKUP(BOM!H887,'Yield &amp; Time'!A:M,13,0),B887="NK",VLOOKUP(H887,'Yield &amp; Time'!A:X,24,0))</f>
        <v>0.67796610169491522</v>
      </c>
      <c r="N887" s="35">
        <f t="shared" si="263"/>
        <v>3.6875</v>
      </c>
      <c r="O887" s="1" t="str">
        <f>VLOOKUP(H887,'RM Used'!A:E,5,0)</f>
        <v>KG</v>
      </c>
      <c r="P887" s="11">
        <f>VLOOKUP(H887,'RM Used'!A:F,6,0)</f>
        <v>0.27</v>
      </c>
      <c r="Q887" s="11">
        <f t="shared" si="261"/>
        <v>0.99562500000000009</v>
      </c>
      <c r="R887" s="11">
        <f>IFERROR(IF(B887="Reynolds",VLOOKUP(H887,'Yield &amp; Time'!A:U,21,0),VLOOKUP(H887,'Yield &amp; Time'!A:L,12,0)),0)</f>
        <v>3.5333333333333332</v>
      </c>
      <c r="S887" s="11">
        <f t="shared" si="253"/>
        <v>2.9900833333333328</v>
      </c>
      <c r="T887" s="11">
        <f t="shared" si="254"/>
        <v>0.1472222222222222</v>
      </c>
      <c r="U887" s="11">
        <f>IF(A886=A887,0,VLOOKUP(A887,'Packing Time'!A:F,6,0))</f>
        <v>0.875</v>
      </c>
      <c r="V887" s="11">
        <f t="shared" si="265"/>
        <v>0.29618749999999999</v>
      </c>
      <c r="W887" s="11">
        <f t="shared" si="266"/>
        <v>1.4583333333333334E-2</v>
      </c>
      <c r="X887" s="11">
        <f t="shared" si="255"/>
        <v>5.2580333333333327</v>
      </c>
      <c r="Y887" s="11">
        <f t="shared" si="267"/>
        <v>5.2580333333333327</v>
      </c>
      <c r="Z887" s="37">
        <v>1</v>
      </c>
      <c r="AA887" s="36">
        <f t="shared" si="256"/>
        <v>3.6875</v>
      </c>
      <c r="AB887" s="36">
        <f t="shared" si="257"/>
        <v>0.99562500000000009</v>
      </c>
      <c r="AC887" s="11">
        <f t="shared" si="258"/>
        <v>0.25888888888888889</v>
      </c>
      <c r="AD887" s="36">
        <f t="shared" si="268"/>
        <v>5.2580333333333327</v>
      </c>
      <c r="AE887" s="36" t="str">
        <f>VLOOKUP(H887,'Yield &amp; Time'!A:I,9,0)</f>
        <v>SODIUM METABISULPHITE</v>
      </c>
      <c r="AF887" s="36">
        <f>IFERROR(VLOOKUP(AE887,'Chemical Cost'!A:D,4,0),0)</f>
        <v>9.7586225455882462E-3</v>
      </c>
      <c r="AG887" s="114">
        <f t="shared" si="259"/>
        <v>1.1994973545618888E-2</v>
      </c>
      <c r="AH887" s="36">
        <f t="shared" si="262"/>
        <v>1.1994973545618888E-2</v>
      </c>
      <c r="AI887" s="36">
        <f t="shared" si="269"/>
        <v>6.2656533068789519</v>
      </c>
      <c r="AJ887" s="36">
        <f>IFERROR(VLOOKUP(A887,'All Products'!A:F,6,0),0)</f>
        <v>7.51</v>
      </c>
      <c r="AK887" s="36">
        <f>AJ887*Z887*J887</f>
        <v>7.51</v>
      </c>
      <c r="AL887" s="23">
        <v>1</v>
      </c>
      <c r="AM887" s="23"/>
      <c r="AN887" s="54" t="e">
        <v>#N/A</v>
      </c>
      <c r="AO887" s="47"/>
      <c r="AP887" s="4">
        <v>1.6</v>
      </c>
      <c r="AQ887" s="111">
        <f t="shared" si="260"/>
        <v>0.25888888888888889</v>
      </c>
      <c r="AR887">
        <f>_xlfn.XLOOKUP(F887,'RM Cost'!A:A,'RM Cost'!S:S)</f>
        <v>0</v>
      </c>
      <c r="AS887" t="e">
        <f>_xlfn.XLOOKUP(A887,[3]Sheet1!$B:$B,[3]Sheet1!$B:$B)</f>
        <v>#N/A</v>
      </c>
    </row>
    <row r="888" spans="1:46" x14ac:dyDescent="0.25">
      <c r="A888" s="2" t="s">
        <v>164</v>
      </c>
      <c r="B888" s="2" t="s">
        <v>656</v>
      </c>
      <c r="C888" s="2" t="s">
        <v>165</v>
      </c>
      <c r="D888" s="2" t="s">
        <v>554</v>
      </c>
      <c r="E888" s="2">
        <v>2.5</v>
      </c>
      <c r="F888" s="1" t="str">
        <f>VLOOKUP(H888,'RM Used'!A:B,2,0)</f>
        <v>P0008</v>
      </c>
      <c r="G888" s="1" t="str">
        <f>IFERROR(VLOOKUP(F888,'RM Cost'!A:B,2,0),"")</f>
        <v>PALE BLUE BAG 470X750MM</v>
      </c>
      <c r="H888" s="2" t="s">
        <v>1323</v>
      </c>
      <c r="I888" s="1" t="str">
        <f>VLOOKUP(F888,'RM Used'!B:D,3,0)</f>
        <v>RM-PACKING</v>
      </c>
      <c r="J888" s="66">
        <v>1</v>
      </c>
      <c r="K888" s="35" t="str">
        <f t="shared" si="264"/>
        <v/>
      </c>
      <c r="L888" s="35">
        <f t="shared" si="252"/>
        <v>0</v>
      </c>
      <c r="M888" s="77" t="str" cm="1">
        <f t="array" ref="M888">_xlfn.IFS(BOM!I888="RM-PACKING","100%",B888="Reynolds",VLOOKUP(H888,'Yield &amp; Time'!A:V,22,0),BOM!B888="Dnata",VLOOKUP(BOM!H888,'Yield &amp; Time'!A:M,13,0),B888="NK",VLOOKUP(H888,'Yield &amp; Time'!A:X,24,0))</f>
        <v>100%</v>
      </c>
      <c r="N888" s="35">
        <f t="shared" si="263"/>
        <v>1</v>
      </c>
      <c r="O888" s="1" t="str">
        <f>VLOOKUP(H888,'RM Used'!A:E,5,0)</f>
        <v>Count</v>
      </c>
      <c r="P888" s="11">
        <f>VLOOKUP(H888,'RM Used'!A:F,6,0)</f>
        <v>0.14000000000000001</v>
      </c>
      <c r="Q888" s="11">
        <f t="shared" si="261"/>
        <v>0.14000000000000001</v>
      </c>
      <c r="R888" s="11">
        <f>IFERROR(IF(B888="Reynolds",VLOOKUP(H888,'Yield &amp; Time'!A:U,21,0),VLOOKUP(H888,'Yield &amp; Time'!A:L,12,0)),0)</f>
        <v>0</v>
      </c>
      <c r="S888" s="11">
        <f t="shared" si="253"/>
        <v>0</v>
      </c>
      <c r="T888" s="11">
        <f t="shared" si="254"/>
        <v>0</v>
      </c>
      <c r="U888" s="11">
        <f>IF(A887=A888,0,VLOOKUP(A888,'Packing Time'!A:F,6,0))</f>
        <v>0</v>
      </c>
      <c r="V888" s="11">
        <f t="shared" si="265"/>
        <v>0</v>
      </c>
      <c r="W888" s="11">
        <f t="shared" si="266"/>
        <v>0</v>
      </c>
      <c r="X888" s="11">
        <f t="shared" si="255"/>
        <v>0</v>
      </c>
      <c r="Y888" s="11">
        <f t="shared" si="267"/>
        <v>0</v>
      </c>
      <c r="Z888" s="37">
        <v>1</v>
      </c>
      <c r="AA888" s="36">
        <f t="shared" si="256"/>
        <v>1</v>
      </c>
      <c r="AB888" s="36">
        <f t="shared" si="257"/>
        <v>0.14000000000000001</v>
      </c>
      <c r="AC888" s="11">
        <f t="shared" si="258"/>
        <v>0</v>
      </c>
      <c r="AD888" s="36">
        <f t="shared" si="268"/>
        <v>0</v>
      </c>
      <c r="AE888" s="36"/>
      <c r="AF888" s="36">
        <f>IFERROR(VLOOKUP(AE888,'Chemical Cost'!A:D,4,0),0)</f>
        <v>0</v>
      </c>
      <c r="AG888" s="114">
        <f t="shared" si="259"/>
        <v>0</v>
      </c>
      <c r="AH888" s="36">
        <f t="shared" si="262"/>
        <v>0</v>
      </c>
      <c r="AI888" s="36">
        <f t="shared" si="269"/>
        <v>0.14000000000000001</v>
      </c>
      <c r="AJ888" s="36">
        <f>IFERROR(VLOOKUP(A888,'All Products'!A:F,6,0),0)</f>
        <v>7.51</v>
      </c>
      <c r="AK888" s="36"/>
      <c r="AL888" s="23">
        <v>1</v>
      </c>
      <c r="AM888" s="23"/>
      <c r="AN888" s="54" t="e">
        <v>#N/A</v>
      </c>
      <c r="AO888" s="47"/>
      <c r="AP888" s="4">
        <v>1.6</v>
      </c>
      <c r="AQ888" s="111">
        <f t="shared" si="260"/>
        <v>0</v>
      </c>
      <c r="AR888">
        <f>_xlfn.XLOOKUP(F888,'RM Cost'!A:A,'RM Cost'!S:S)</f>
        <v>0</v>
      </c>
      <c r="AS888" t="e">
        <f>_xlfn.XLOOKUP(A888,[3]Sheet1!$B:$B,[3]Sheet1!$B:$B)</f>
        <v>#N/A</v>
      </c>
    </row>
    <row r="889" spans="1:46" x14ac:dyDescent="0.25">
      <c r="A889" s="2" t="s">
        <v>899</v>
      </c>
      <c r="B889" s="2" t="s">
        <v>656</v>
      </c>
      <c r="C889" s="2" t="s">
        <v>900</v>
      </c>
      <c r="D889" s="2" t="s">
        <v>554</v>
      </c>
      <c r="E889" s="2">
        <v>1</v>
      </c>
      <c r="F889" s="1" t="str">
        <f>VLOOKUP(H889,'RM Used'!A:B,2,0)</f>
        <v>3241CS</v>
      </c>
      <c r="G889" s="1" t="str">
        <f>IFERROR(VLOOKUP(F889,'RM Cost'!A:B,2,0),"")</f>
        <v>RM - POTATOES RATTE     15 X 1KG</v>
      </c>
      <c r="H889" s="2" t="s">
        <v>1553</v>
      </c>
      <c r="I889" s="1" t="str">
        <f>VLOOKUP(F889,'RM Used'!B:D,3,0)</f>
        <v>RM-FOOD</v>
      </c>
      <c r="J889" s="66">
        <v>1</v>
      </c>
      <c r="K889" s="35">
        <f t="shared" si="264"/>
        <v>1</v>
      </c>
      <c r="L889" s="35">
        <f t="shared" si="252"/>
        <v>1</v>
      </c>
      <c r="M889" s="77" cm="1">
        <f t="array" ref="M889">_xlfn.IFS(BOM!I889="RM-PACKING","100%",B889="Reynolds",VLOOKUP(H889,'Yield &amp; Time'!A:V,22,0),BOM!B889="Dnata",VLOOKUP(BOM!H889,'Yield &amp; Time'!A:M,13,0),B889="NK",VLOOKUP(H889,'Yield &amp; Time'!A:X,24,0))</f>
        <v>0</v>
      </c>
      <c r="N889" s="35">
        <f t="shared" si="263"/>
        <v>0</v>
      </c>
      <c r="O889" s="1" t="str">
        <f>VLOOKUP(H889,'RM Used'!A:E,5,0)</f>
        <v>KG</v>
      </c>
      <c r="P889" s="11">
        <f>VLOOKUP(H889,'RM Used'!A:F,6,0)</f>
        <v>2.67</v>
      </c>
      <c r="Q889" s="11">
        <f t="shared" si="261"/>
        <v>0</v>
      </c>
      <c r="R889" s="11">
        <f>IFERROR(IF(B889="Reynolds",VLOOKUP(H889,'Yield &amp; Time'!A:U,21,0),VLOOKUP(H889,'Yield &amp; Time'!A:L,12,0)),0)</f>
        <v>0</v>
      </c>
      <c r="S889" s="11">
        <f t="shared" si="253"/>
        <v>0</v>
      </c>
      <c r="T889" s="11">
        <f t="shared" si="254"/>
        <v>0</v>
      </c>
      <c r="U889" s="11">
        <f>IF(A888=A889,0,VLOOKUP(A889,'Packing Time'!A:F,6,0))</f>
        <v>0.64166666666666661</v>
      </c>
      <c r="V889" s="11">
        <f t="shared" si="265"/>
        <v>0.21720416666666661</v>
      </c>
      <c r="W889" s="11">
        <f t="shared" si="266"/>
        <v>1.0694444444444444E-2</v>
      </c>
      <c r="X889" s="11">
        <f t="shared" si="255"/>
        <v>0.34752666666666659</v>
      </c>
      <c r="Y889" s="11">
        <f t="shared" si="267"/>
        <v>0.34752666666666659</v>
      </c>
      <c r="Z889" s="37">
        <v>1</v>
      </c>
      <c r="AA889" s="36">
        <f t="shared" si="256"/>
        <v>0</v>
      </c>
      <c r="AB889" s="36">
        <f t="shared" si="257"/>
        <v>0</v>
      </c>
      <c r="AC889" s="11">
        <f t="shared" si="258"/>
        <v>1.7111111111111112E-2</v>
      </c>
      <c r="AD889" s="36">
        <f t="shared" si="268"/>
        <v>0.34752666666666659</v>
      </c>
      <c r="AE889" s="36"/>
      <c r="AF889" s="36">
        <f>IFERROR(VLOOKUP(AE889,'Chemical Cost'!A:D,4,0),0)</f>
        <v>0</v>
      </c>
      <c r="AG889" s="114">
        <f t="shared" si="259"/>
        <v>0</v>
      </c>
      <c r="AH889" s="36">
        <f t="shared" si="262"/>
        <v>0</v>
      </c>
      <c r="AI889" s="36">
        <f t="shared" si="269"/>
        <v>0.34752666666666659</v>
      </c>
      <c r="AJ889" s="36">
        <f>IFERROR(VLOOKUP(A889,'All Products'!A:F,6,0),0)</f>
        <v>11.41</v>
      </c>
      <c r="AK889" s="36">
        <f>AJ889*Z889*J889</f>
        <v>11.41</v>
      </c>
      <c r="AL889" s="23">
        <v>1</v>
      </c>
      <c r="AM889" s="23"/>
      <c r="AN889" s="54" t="e">
        <v>#N/A</v>
      </c>
      <c r="AO889" s="47"/>
      <c r="AP889" s="4">
        <v>1.6</v>
      </c>
      <c r="AQ889" s="111">
        <f t="shared" si="260"/>
        <v>1.7111111111111112E-2</v>
      </c>
      <c r="AR889">
        <f>_xlfn.XLOOKUP(F889,'RM Cost'!A:A,'RM Cost'!S:S)</f>
        <v>0</v>
      </c>
      <c r="AS889" t="e">
        <f>_xlfn.XLOOKUP(A889,[3]Sheet1!$B:$B,[3]Sheet1!$B:$B)</f>
        <v>#N/A</v>
      </c>
    </row>
    <row r="890" spans="1:46" x14ac:dyDescent="0.25">
      <c r="A890" s="2" t="s">
        <v>899</v>
      </c>
      <c r="B890" s="2" t="s">
        <v>656</v>
      </c>
      <c r="C890" s="2" t="s">
        <v>900</v>
      </c>
      <c r="D890" s="2" t="s">
        <v>554</v>
      </c>
      <c r="E890" s="2">
        <v>1</v>
      </c>
      <c r="F890" s="1" t="str">
        <f>VLOOKUP(H890,'RM Used'!A:B,2,0)</f>
        <v>P0008</v>
      </c>
      <c r="G890" s="1" t="str">
        <f>IFERROR(VLOOKUP(F890,'RM Cost'!A:B,2,0),"")</f>
        <v>PALE BLUE BAG 470X750MM</v>
      </c>
      <c r="H890" s="2" t="s">
        <v>1323</v>
      </c>
      <c r="I890" s="1" t="str">
        <f>VLOOKUP(F890,'RM Used'!B:D,3,0)</f>
        <v>RM-PACKING</v>
      </c>
      <c r="J890" s="66">
        <v>1</v>
      </c>
      <c r="K890" s="35" t="str">
        <f t="shared" si="264"/>
        <v/>
      </c>
      <c r="L890" s="35">
        <f t="shared" si="252"/>
        <v>0</v>
      </c>
      <c r="M890" s="77" t="str" cm="1">
        <f t="array" ref="M890">_xlfn.IFS(BOM!I890="RM-PACKING","100%",B890="Reynolds",VLOOKUP(H890,'Yield &amp; Time'!A:V,22,0),BOM!B890="Dnata",VLOOKUP(BOM!H890,'Yield &amp; Time'!A:M,13,0),B890="NK",VLOOKUP(H890,'Yield &amp; Time'!A:X,24,0))</f>
        <v>100%</v>
      </c>
      <c r="N890" s="35">
        <f t="shared" si="263"/>
        <v>1</v>
      </c>
      <c r="O890" s="1" t="str">
        <f>VLOOKUP(H890,'RM Used'!A:E,5,0)</f>
        <v>Count</v>
      </c>
      <c r="P890" s="11">
        <f>VLOOKUP(H890,'RM Used'!A:F,6,0)</f>
        <v>0.14000000000000001</v>
      </c>
      <c r="Q890" s="11">
        <f t="shared" si="261"/>
        <v>0.14000000000000001</v>
      </c>
      <c r="R890" s="11">
        <f>IFERROR(IF(B890="Reynolds",VLOOKUP(H890,'Yield &amp; Time'!A:U,21,0),VLOOKUP(H890,'Yield &amp; Time'!A:L,12,0)),0)</f>
        <v>0</v>
      </c>
      <c r="S890" s="11">
        <f t="shared" si="253"/>
        <v>0</v>
      </c>
      <c r="T890" s="11">
        <f t="shared" si="254"/>
        <v>0</v>
      </c>
      <c r="U890" s="11">
        <f>IF(A889=A890,0,VLOOKUP(A890,'Packing Time'!A:F,6,0))</f>
        <v>0</v>
      </c>
      <c r="V890" s="11">
        <f t="shared" si="265"/>
        <v>0</v>
      </c>
      <c r="W890" s="11">
        <f t="shared" si="266"/>
        <v>0</v>
      </c>
      <c r="X890" s="11">
        <f t="shared" si="255"/>
        <v>0</v>
      </c>
      <c r="Y890" s="11">
        <f t="shared" si="267"/>
        <v>0</v>
      </c>
      <c r="Z890" s="37">
        <v>1</v>
      </c>
      <c r="AA890" s="36">
        <f t="shared" si="256"/>
        <v>1</v>
      </c>
      <c r="AB890" s="36">
        <f t="shared" si="257"/>
        <v>0.14000000000000001</v>
      </c>
      <c r="AC890" s="11">
        <f t="shared" si="258"/>
        <v>0</v>
      </c>
      <c r="AD890" s="36">
        <f t="shared" si="268"/>
        <v>0</v>
      </c>
      <c r="AE890" s="36"/>
      <c r="AF890" s="36">
        <f>IFERROR(VLOOKUP(AE890,'Chemical Cost'!A:D,4,0),0)</f>
        <v>0</v>
      </c>
      <c r="AG890" s="114">
        <f t="shared" si="259"/>
        <v>0</v>
      </c>
      <c r="AH890" s="36">
        <f t="shared" si="262"/>
        <v>0</v>
      </c>
      <c r="AI890" s="36">
        <f t="shared" si="269"/>
        <v>0.14000000000000001</v>
      </c>
      <c r="AJ890" s="36">
        <f>IFERROR(VLOOKUP(A890,'All Products'!A:F,6,0),0)</f>
        <v>11.41</v>
      </c>
      <c r="AK890" s="36"/>
      <c r="AL890" s="23">
        <v>1</v>
      </c>
      <c r="AM890" s="23"/>
      <c r="AN890" s="54" t="e">
        <v>#N/A</v>
      </c>
      <c r="AO890" s="47"/>
      <c r="AP890" s="4">
        <v>1.6</v>
      </c>
      <c r="AQ890" s="111">
        <f t="shared" si="260"/>
        <v>0</v>
      </c>
      <c r="AR890">
        <f>_xlfn.XLOOKUP(F890,'RM Cost'!A:A,'RM Cost'!S:S)</f>
        <v>0</v>
      </c>
      <c r="AS890" t="e">
        <f>_xlfn.XLOOKUP(A890,[3]Sheet1!$B:$B,[3]Sheet1!$B:$B)</f>
        <v>#N/A</v>
      </c>
    </row>
    <row r="891" spans="1:46" x14ac:dyDescent="0.25">
      <c r="A891" s="2" t="s">
        <v>901</v>
      </c>
      <c r="B891" s="2" t="s">
        <v>656</v>
      </c>
      <c r="C891" s="2" t="s">
        <v>902</v>
      </c>
      <c r="D891" s="2" t="s">
        <v>554</v>
      </c>
      <c r="E891" s="2">
        <v>2.5</v>
      </c>
      <c r="F891" s="1" t="str">
        <f>VLOOKUP(H891,'RM Used'!A:B,2,0)</f>
        <v>3241CS</v>
      </c>
      <c r="G891" s="1" t="str">
        <f>IFERROR(VLOOKUP(F891,'RM Cost'!A:B,2,0),"")</f>
        <v>RM - POTATOES RATTE     15 X 1KG</v>
      </c>
      <c r="H891" s="2" t="s">
        <v>1554</v>
      </c>
      <c r="I891" s="1" t="str">
        <f>VLOOKUP(F891,'RM Used'!B:D,3,0)</f>
        <v>RM-FOOD</v>
      </c>
      <c r="J891" s="66">
        <v>1</v>
      </c>
      <c r="K891" s="35">
        <f t="shared" si="264"/>
        <v>2.5</v>
      </c>
      <c r="L891" s="35">
        <f t="shared" si="252"/>
        <v>2.5</v>
      </c>
      <c r="M891" s="77" cm="1">
        <f t="array" ref="M891">_xlfn.IFS(BOM!I891="RM-PACKING","100%",B891="Reynolds",VLOOKUP(H891,'Yield &amp; Time'!A:V,22,0),BOM!B891="Dnata",VLOOKUP(BOM!H891,'Yield &amp; Time'!A:M,13,0),B891="NK",VLOOKUP(H891,'Yield &amp; Time'!A:X,24,0))</f>
        <v>1</v>
      </c>
      <c r="N891" s="35">
        <f t="shared" si="263"/>
        <v>2.5</v>
      </c>
      <c r="O891" s="1" t="str">
        <f>VLOOKUP(H891,'RM Used'!A:E,5,0)</f>
        <v>KG</v>
      </c>
      <c r="P891" s="11">
        <f>VLOOKUP(H891,'RM Used'!A:F,6,0)</f>
        <v>2.67</v>
      </c>
      <c r="Q891" s="11">
        <f t="shared" si="261"/>
        <v>6.6749999999999998</v>
      </c>
      <c r="R891" s="11">
        <f>IFERROR(IF(B891="Reynolds",VLOOKUP(H891,'Yield &amp; Time'!A:U,21,0),VLOOKUP(H891,'Yield &amp; Time'!A:L,12,0)),0)</f>
        <v>0.1</v>
      </c>
      <c r="S891" s="11">
        <f t="shared" si="253"/>
        <v>8.4624999999999992E-2</v>
      </c>
      <c r="T891" s="11">
        <f t="shared" si="254"/>
        <v>4.1666666666666666E-3</v>
      </c>
      <c r="U891" s="11">
        <f>IF(A890=A891,0,VLOOKUP(A891,'Packing Time'!A:F,6,0))</f>
        <v>0.875</v>
      </c>
      <c r="V891" s="11">
        <f t="shared" si="265"/>
        <v>0.29618749999999999</v>
      </c>
      <c r="W891" s="11">
        <f t="shared" si="266"/>
        <v>1.4583333333333334E-2</v>
      </c>
      <c r="X891" s="11">
        <f t="shared" si="255"/>
        <v>0.60929999999999995</v>
      </c>
      <c r="Y891" s="11">
        <f t="shared" si="267"/>
        <v>0.60929999999999995</v>
      </c>
      <c r="Z891" s="37">
        <v>1</v>
      </c>
      <c r="AA891" s="36">
        <f t="shared" si="256"/>
        <v>2.5</v>
      </c>
      <c r="AB891" s="36">
        <f t="shared" si="257"/>
        <v>6.6749999999999998</v>
      </c>
      <c r="AC891" s="11">
        <f t="shared" si="258"/>
        <v>0.03</v>
      </c>
      <c r="AD891" s="36">
        <f t="shared" si="268"/>
        <v>0.60929999999999984</v>
      </c>
      <c r="AE891" s="36"/>
      <c r="AF891" s="36">
        <f>IFERROR(VLOOKUP(AE891,'Chemical Cost'!A:D,4,0),0)</f>
        <v>0</v>
      </c>
      <c r="AG891" s="114">
        <f t="shared" si="259"/>
        <v>0</v>
      </c>
      <c r="AH891" s="36">
        <f t="shared" si="262"/>
        <v>0</v>
      </c>
      <c r="AI891" s="36">
        <f t="shared" si="269"/>
        <v>7.2843</v>
      </c>
      <c r="AJ891" s="36">
        <f>IFERROR(VLOOKUP(A891,'All Products'!A:F,6,0),0)</f>
        <v>27.52</v>
      </c>
      <c r="AK891" s="36">
        <f>AJ891*Z891*J891</f>
        <v>27.52</v>
      </c>
      <c r="AL891" s="23">
        <v>1</v>
      </c>
      <c r="AM891" s="23"/>
      <c r="AN891" s="54" t="e">
        <v>#N/A</v>
      </c>
      <c r="AO891" s="47"/>
      <c r="AP891" s="4">
        <v>1.6</v>
      </c>
      <c r="AQ891" s="111">
        <f t="shared" si="260"/>
        <v>0.03</v>
      </c>
      <c r="AR891">
        <f>_xlfn.XLOOKUP(F891,'RM Cost'!A:A,'RM Cost'!S:S)</f>
        <v>0</v>
      </c>
      <c r="AS891" t="e">
        <f>_xlfn.XLOOKUP(A891,[3]Sheet1!$B:$B,[3]Sheet1!$B:$B)</f>
        <v>#N/A</v>
      </c>
    </row>
    <row r="892" spans="1:46" x14ac:dyDescent="0.25">
      <c r="A892" s="2" t="s">
        <v>901</v>
      </c>
      <c r="B892" s="2" t="s">
        <v>656</v>
      </c>
      <c r="C892" s="2" t="s">
        <v>902</v>
      </c>
      <c r="D892" s="2" t="s">
        <v>554</v>
      </c>
      <c r="E892" s="2">
        <v>2.5</v>
      </c>
      <c r="F892" s="1" t="str">
        <f>VLOOKUP(H892,'RM Used'!A:B,2,0)</f>
        <v>P0008</v>
      </c>
      <c r="G892" s="1" t="str">
        <f>IFERROR(VLOOKUP(F892,'RM Cost'!A:B,2,0),"")</f>
        <v>PALE BLUE BAG 470X750MM</v>
      </c>
      <c r="H892" s="2" t="s">
        <v>1323</v>
      </c>
      <c r="I892" s="1" t="str">
        <f>VLOOKUP(F892,'RM Used'!B:D,3,0)</f>
        <v>RM-PACKING</v>
      </c>
      <c r="J892" s="66">
        <v>1</v>
      </c>
      <c r="K892" s="35" t="str">
        <f t="shared" si="264"/>
        <v/>
      </c>
      <c r="L892" s="35">
        <f t="shared" si="252"/>
        <v>0</v>
      </c>
      <c r="M892" s="77" t="str" cm="1">
        <f t="array" ref="M892">_xlfn.IFS(BOM!I892="RM-PACKING","100%",B892="Reynolds",VLOOKUP(H892,'Yield &amp; Time'!A:V,22,0),BOM!B892="Dnata",VLOOKUP(BOM!H892,'Yield &amp; Time'!A:M,13,0),B892="NK",VLOOKUP(H892,'Yield &amp; Time'!A:X,24,0))</f>
        <v>100%</v>
      </c>
      <c r="N892" s="35">
        <f t="shared" si="263"/>
        <v>1</v>
      </c>
      <c r="O892" s="1" t="str">
        <f>VLOOKUP(H892,'RM Used'!A:E,5,0)</f>
        <v>Count</v>
      </c>
      <c r="P892" s="11">
        <f>VLOOKUP(H892,'RM Used'!A:F,6,0)</f>
        <v>0.14000000000000001</v>
      </c>
      <c r="Q892" s="11">
        <f t="shared" si="261"/>
        <v>0.14000000000000001</v>
      </c>
      <c r="R892" s="11">
        <f>IFERROR(IF(B892="Reynolds",VLOOKUP(H892,'Yield &amp; Time'!A:U,21,0),VLOOKUP(H892,'Yield &amp; Time'!A:L,12,0)),0)</f>
        <v>0</v>
      </c>
      <c r="S892" s="11">
        <f t="shared" si="253"/>
        <v>0</v>
      </c>
      <c r="T892" s="11">
        <f t="shared" si="254"/>
        <v>0</v>
      </c>
      <c r="U892" s="11">
        <f>IF(A891=A892,0,VLOOKUP(A892,'Packing Time'!A:F,6,0))</f>
        <v>0</v>
      </c>
      <c r="V892" s="11">
        <f t="shared" si="265"/>
        <v>0</v>
      </c>
      <c r="W892" s="11">
        <f t="shared" si="266"/>
        <v>0</v>
      </c>
      <c r="X892" s="11">
        <f t="shared" si="255"/>
        <v>0</v>
      </c>
      <c r="Y892" s="11">
        <f t="shared" si="267"/>
        <v>0</v>
      </c>
      <c r="Z892" s="37">
        <v>1</v>
      </c>
      <c r="AA892" s="36">
        <f t="shared" si="256"/>
        <v>1</v>
      </c>
      <c r="AB892" s="36">
        <f t="shared" si="257"/>
        <v>0.14000000000000001</v>
      </c>
      <c r="AC892" s="11">
        <f t="shared" si="258"/>
        <v>0</v>
      </c>
      <c r="AD892" s="36">
        <f t="shared" si="268"/>
        <v>0</v>
      </c>
      <c r="AE892" s="36"/>
      <c r="AF892" s="36">
        <f>IFERROR(VLOOKUP(AE892,'Chemical Cost'!A:D,4,0),0)</f>
        <v>0</v>
      </c>
      <c r="AG892" s="114">
        <f t="shared" si="259"/>
        <v>0</v>
      </c>
      <c r="AH892" s="36">
        <f t="shared" si="262"/>
        <v>0</v>
      </c>
      <c r="AI892" s="36">
        <f t="shared" si="269"/>
        <v>0.14000000000000001</v>
      </c>
      <c r="AJ892" s="36">
        <f>IFERROR(VLOOKUP(A892,'All Products'!A:F,6,0),0)</f>
        <v>27.52</v>
      </c>
      <c r="AK892" s="36"/>
      <c r="AL892" s="23">
        <v>1</v>
      </c>
      <c r="AM892" s="23"/>
      <c r="AN892" s="54" t="e">
        <v>#N/A</v>
      </c>
      <c r="AO892" s="47"/>
      <c r="AP892" s="4">
        <v>1.6</v>
      </c>
      <c r="AQ892" s="111">
        <f t="shared" si="260"/>
        <v>0</v>
      </c>
      <c r="AR892">
        <f>_xlfn.XLOOKUP(F892,'RM Cost'!A:A,'RM Cost'!S:S)</f>
        <v>0</v>
      </c>
      <c r="AS892" t="e">
        <f>_xlfn.XLOOKUP(A892,[3]Sheet1!$B:$B,[3]Sheet1!$B:$B)</f>
        <v>#N/A</v>
      </c>
    </row>
    <row r="893" spans="1:46" x14ac:dyDescent="0.25">
      <c r="A893" s="2" t="s">
        <v>458</v>
      </c>
      <c r="B893" s="2" t="s">
        <v>656</v>
      </c>
      <c r="C893" s="2" t="s">
        <v>459</v>
      </c>
      <c r="D893" s="2" t="s">
        <v>554</v>
      </c>
      <c r="E893" s="2">
        <v>1</v>
      </c>
      <c r="F893" s="1" t="str">
        <f>VLOOKUP(H893,'RM Used'!A:B,2,0)</f>
        <v>3273CS</v>
      </c>
      <c r="G893" s="1" t="str">
        <f>IFERROR(VLOOKUP(F893,'RM Cost'!A:B,2,0),"")</f>
        <v>RM - MARIS PIPER 25KG</v>
      </c>
      <c r="H893" s="2" t="s">
        <v>1555</v>
      </c>
      <c r="I893" s="1" t="str">
        <f>VLOOKUP(F893,'RM Used'!B:D,3,0)</f>
        <v>RM-FOOD</v>
      </c>
      <c r="J893" s="66">
        <v>1</v>
      </c>
      <c r="K893" s="35">
        <f t="shared" si="264"/>
        <v>1</v>
      </c>
      <c r="L893" s="35">
        <f t="shared" si="252"/>
        <v>1</v>
      </c>
      <c r="M893" s="77" cm="1">
        <f t="array" ref="M893">_xlfn.IFS(BOM!I893="RM-PACKING","100%",B893="Reynolds",VLOOKUP(H893,'Yield &amp; Time'!A:V,22,0),BOM!B893="Dnata",VLOOKUP(BOM!H893,'Yield &amp; Time'!A:M,13,0),B893="NK",VLOOKUP(H893,'Yield &amp; Time'!A:X,24,0))</f>
        <v>0.69871058760266325</v>
      </c>
      <c r="N893" s="35">
        <f t="shared" si="263"/>
        <v>1.431207738573258</v>
      </c>
      <c r="O893" s="1" t="str">
        <f>VLOOKUP(H893,'RM Used'!A:E,5,0)</f>
        <v>KG</v>
      </c>
      <c r="P893" s="11">
        <f>VLOOKUP(H893,'RM Used'!A:F,6,0)</f>
        <v>0.43</v>
      </c>
      <c r="Q893" s="11">
        <f t="shared" si="261"/>
        <v>0.61541932758650097</v>
      </c>
      <c r="R893" s="11">
        <f>IFERROR(IF(B893="Reynolds",VLOOKUP(H893,'Yield &amp; Time'!A:U,21,0),VLOOKUP(H893,'Yield &amp; Time'!A:L,12,0)),0)</f>
        <v>1.6466136237783306</v>
      </c>
      <c r="S893" s="11">
        <f t="shared" si="253"/>
        <v>0.55737871164896491</v>
      </c>
      <c r="T893" s="11">
        <f t="shared" si="254"/>
        <v>2.7443560396305512E-2</v>
      </c>
      <c r="U893" s="11">
        <f>IF(A892=A893,0,VLOOKUP(A893,'Packing Time'!A:F,6,0))</f>
        <v>0.64166666666666661</v>
      </c>
      <c r="V893" s="11">
        <f t="shared" si="265"/>
        <v>0.21720416666666661</v>
      </c>
      <c r="W893" s="11">
        <f t="shared" si="266"/>
        <v>1.0694444444444444E-2</v>
      </c>
      <c r="X893" s="11">
        <f t="shared" si="255"/>
        <v>0.96822859789453941</v>
      </c>
      <c r="Y893" s="11">
        <f t="shared" si="267"/>
        <v>0.96822859789453941</v>
      </c>
      <c r="Z893" s="37">
        <v>1</v>
      </c>
      <c r="AA893" s="36">
        <f t="shared" si="256"/>
        <v>1.431207738573258</v>
      </c>
      <c r="AB893" s="36">
        <f t="shared" si="257"/>
        <v>0.61541932758650097</v>
      </c>
      <c r="AC893" s="11">
        <f t="shared" si="258"/>
        <v>4.7672506050937438E-2</v>
      </c>
      <c r="AD893" s="36">
        <f t="shared" si="268"/>
        <v>0.9682285978945393</v>
      </c>
      <c r="AE893" s="36" t="str">
        <f>VLOOKUP(H893,'Yield &amp; Time'!A:I,9,0)</f>
        <v>SODIUM METABISULPHITE</v>
      </c>
      <c r="AF893" s="36">
        <f>IFERROR(VLOOKUP(AE893,'Chemical Cost'!A:D,4,0),0)</f>
        <v>9.7586225455882462E-3</v>
      </c>
      <c r="AG893" s="114">
        <f t="shared" si="259"/>
        <v>4.6555387016871215E-3</v>
      </c>
      <c r="AH893" s="36">
        <f t="shared" si="262"/>
        <v>4.6555387016871215E-3</v>
      </c>
      <c r="AI893" s="36">
        <f t="shared" si="269"/>
        <v>1.5883034641827274</v>
      </c>
      <c r="AJ893" s="36">
        <f>IFERROR(VLOOKUP(A893,'All Products'!A:F,6,0),0)</f>
        <v>2.68</v>
      </c>
      <c r="AK893" s="36">
        <f>AJ893*Z893*J893</f>
        <v>2.68</v>
      </c>
      <c r="AL893" s="23">
        <v>1</v>
      </c>
      <c r="AM893" s="23"/>
      <c r="AN893" s="54" t="e">
        <v>#N/A</v>
      </c>
      <c r="AO893" s="47"/>
      <c r="AP893" s="4">
        <v>1.25</v>
      </c>
      <c r="AQ893" s="111">
        <f t="shared" si="260"/>
        <v>4.7672506050937438E-2</v>
      </c>
      <c r="AR893">
        <f>_xlfn.XLOOKUP(F893,'RM Cost'!A:A,'RM Cost'!S:S)</f>
        <v>0</v>
      </c>
      <c r="AS893" t="e">
        <f>_xlfn.XLOOKUP(A893,[3]Sheet1!$B:$B,[3]Sheet1!$B:$B)</f>
        <v>#N/A</v>
      </c>
    </row>
    <row r="894" spans="1:46" x14ac:dyDescent="0.25">
      <c r="A894" s="2" t="s">
        <v>458</v>
      </c>
      <c r="B894" s="2" t="s">
        <v>656</v>
      </c>
      <c r="C894" s="2" t="s">
        <v>459</v>
      </c>
      <c r="D894" s="2" t="s">
        <v>554</v>
      </c>
      <c r="E894" s="2">
        <v>1</v>
      </c>
      <c r="F894" s="1" t="str">
        <f>VLOOKUP(H894,'RM Used'!A:B,2,0)</f>
        <v>P0008</v>
      </c>
      <c r="G894" s="1" t="str">
        <f>IFERROR(VLOOKUP(F894,'RM Cost'!A:B,2,0),"")</f>
        <v>PALE BLUE BAG 470X750MM</v>
      </c>
      <c r="H894" s="2" t="s">
        <v>1323</v>
      </c>
      <c r="I894" s="1" t="str">
        <f>VLOOKUP(F894,'RM Used'!B:D,3,0)</f>
        <v>RM-PACKING</v>
      </c>
      <c r="J894" s="66">
        <v>1</v>
      </c>
      <c r="K894" s="35" t="str">
        <f t="shared" si="264"/>
        <v/>
      </c>
      <c r="L894" s="35">
        <f t="shared" si="252"/>
        <v>0</v>
      </c>
      <c r="M894" s="77" t="str" cm="1">
        <f t="array" ref="M894">_xlfn.IFS(BOM!I894="RM-PACKING","100%",B894="Reynolds",VLOOKUP(H894,'Yield &amp; Time'!A:V,22,0),BOM!B894="Dnata",VLOOKUP(BOM!H894,'Yield &amp; Time'!A:M,13,0),B894="NK",VLOOKUP(H894,'Yield &amp; Time'!A:X,24,0))</f>
        <v>100%</v>
      </c>
      <c r="N894" s="35">
        <f t="shared" si="263"/>
        <v>1</v>
      </c>
      <c r="O894" s="1" t="str">
        <f>VLOOKUP(H894,'RM Used'!A:E,5,0)</f>
        <v>Count</v>
      </c>
      <c r="P894" s="11">
        <f>VLOOKUP(H894,'RM Used'!A:F,6,0)</f>
        <v>0.14000000000000001</v>
      </c>
      <c r="Q894" s="11">
        <f t="shared" si="261"/>
        <v>0.14000000000000001</v>
      </c>
      <c r="R894" s="11">
        <f>IFERROR(IF(B894="Reynolds",VLOOKUP(H894,'Yield &amp; Time'!A:U,21,0),VLOOKUP(H894,'Yield &amp; Time'!A:L,12,0)),0)</f>
        <v>0</v>
      </c>
      <c r="S894" s="11">
        <f t="shared" si="253"/>
        <v>0</v>
      </c>
      <c r="T894" s="11">
        <f t="shared" si="254"/>
        <v>0</v>
      </c>
      <c r="U894" s="11">
        <f>IF(A893=A894,0,VLOOKUP(A894,'Packing Time'!A:F,6,0))</f>
        <v>0</v>
      </c>
      <c r="V894" s="11">
        <f t="shared" si="265"/>
        <v>0</v>
      </c>
      <c r="W894" s="11">
        <f t="shared" si="266"/>
        <v>0</v>
      </c>
      <c r="X894" s="11">
        <f t="shared" si="255"/>
        <v>0</v>
      </c>
      <c r="Y894" s="11">
        <f t="shared" si="267"/>
        <v>0</v>
      </c>
      <c r="Z894" s="37">
        <v>1</v>
      </c>
      <c r="AA894" s="36">
        <f t="shared" si="256"/>
        <v>1</v>
      </c>
      <c r="AB894" s="36">
        <f t="shared" si="257"/>
        <v>0.14000000000000001</v>
      </c>
      <c r="AC894" s="11">
        <f t="shared" si="258"/>
        <v>0</v>
      </c>
      <c r="AD894" s="36">
        <f t="shared" si="268"/>
        <v>0</v>
      </c>
      <c r="AE894" s="36"/>
      <c r="AF894" s="36">
        <f>IFERROR(VLOOKUP(AE894,'Chemical Cost'!A:D,4,0),0)</f>
        <v>0</v>
      </c>
      <c r="AG894" s="114">
        <f t="shared" si="259"/>
        <v>0</v>
      </c>
      <c r="AH894" s="36">
        <f t="shared" si="262"/>
        <v>0</v>
      </c>
      <c r="AI894" s="36">
        <f t="shared" si="269"/>
        <v>0.14000000000000001</v>
      </c>
      <c r="AJ894" s="36">
        <f>IFERROR(VLOOKUP(A894,'All Products'!A:F,6,0),0)</f>
        <v>2.68</v>
      </c>
      <c r="AK894" s="36"/>
      <c r="AL894" s="23">
        <v>1</v>
      </c>
      <c r="AM894" s="23"/>
      <c r="AN894" s="54" t="e">
        <v>#N/A</v>
      </c>
      <c r="AO894" s="47"/>
      <c r="AP894" s="4">
        <v>1.25</v>
      </c>
      <c r="AQ894" s="111">
        <f t="shared" si="260"/>
        <v>0</v>
      </c>
      <c r="AR894">
        <f>_xlfn.XLOOKUP(F894,'RM Cost'!A:A,'RM Cost'!S:S)</f>
        <v>0</v>
      </c>
      <c r="AS894" t="e">
        <f>_xlfn.XLOOKUP(A894,[3]Sheet1!$B:$B,[3]Sheet1!$B:$B)</f>
        <v>#N/A</v>
      </c>
    </row>
    <row r="895" spans="1:46" x14ac:dyDescent="0.25">
      <c r="A895" s="2" t="s">
        <v>162</v>
      </c>
      <c r="B895" s="2" t="s">
        <v>656</v>
      </c>
      <c r="C895" s="2" t="s">
        <v>163</v>
      </c>
      <c r="D895" s="2" t="s">
        <v>554</v>
      </c>
      <c r="E895" s="2">
        <v>2.5</v>
      </c>
      <c r="F895" s="1" t="str">
        <f>VLOOKUP(H895,'RM Used'!A:B,2,0)</f>
        <v>3273CS</v>
      </c>
      <c r="G895" s="1" t="str">
        <f>IFERROR(VLOOKUP(F895,'RM Cost'!A:B,2,0),"")</f>
        <v>RM - MARIS PIPER 25KG</v>
      </c>
      <c r="H895" s="2" t="s">
        <v>1555</v>
      </c>
      <c r="I895" s="1" t="str">
        <f>VLOOKUP(F895,'RM Used'!B:D,3,0)</f>
        <v>RM-FOOD</v>
      </c>
      <c r="J895" s="66">
        <v>1</v>
      </c>
      <c r="K895" s="35">
        <f t="shared" si="264"/>
        <v>2.5</v>
      </c>
      <c r="L895" s="35">
        <f t="shared" si="252"/>
        <v>2.5</v>
      </c>
      <c r="M895" s="77" cm="1">
        <f t="array" ref="M895">_xlfn.IFS(BOM!I895="RM-PACKING","100%",B895="Reynolds",VLOOKUP(H895,'Yield &amp; Time'!A:V,22,0),BOM!B895="Dnata",VLOOKUP(BOM!H895,'Yield &amp; Time'!A:M,13,0),B895="NK",VLOOKUP(H895,'Yield &amp; Time'!A:X,24,0))</f>
        <v>0.69871058760266325</v>
      </c>
      <c r="N895" s="35">
        <f t="shared" si="263"/>
        <v>3.5780193464331451</v>
      </c>
      <c r="O895" s="1" t="str">
        <f>VLOOKUP(H895,'RM Used'!A:E,5,0)</f>
        <v>KG</v>
      </c>
      <c r="P895" s="11">
        <f>VLOOKUP(H895,'RM Used'!A:F,6,0)</f>
        <v>0.43</v>
      </c>
      <c r="Q895" s="11">
        <f t="shared" si="261"/>
        <v>1.5385483189662523</v>
      </c>
      <c r="R895" s="11">
        <f>IFERROR(IF(B895="Reynolds",VLOOKUP(H895,'Yield &amp; Time'!A:U,21,0),VLOOKUP(H895,'Yield &amp; Time'!A:L,12,0)),0)</f>
        <v>1.6466136237783306</v>
      </c>
      <c r="S895" s="11">
        <f t="shared" si="253"/>
        <v>1.3934467791224121</v>
      </c>
      <c r="T895" s="11">
        <f t="shared" si="254"/>
        <v>6.8608900990763777E-2</v>
      </c>
      <c r="U895" s="11">
        <f>IF(A894=A895,0,VLOOKUP(A895,'Packing Time'!A:F,6,0))</f>
        <v>0.875</v>
      </c>
      <c r="V895" s="11">
        <f t="shared" si="265"/>
        <v>0.29618749999999999</v>
      </c>
      <c r="W895" s="11">
        <f t="shared" si="266"/>
        <v>1.4583333333333334E-2</v>
      </c>
      <c r="X895" s="11">
        <f t="shared" si="255"/>
        <v>1.8585977070346535</v>
      </c>
      <c r="Y895" s="11">
        <f t="shared" si="267"/>
        <v>1.8585977070346535</v>
      </c>
      <c r="Z895" s="37">
        <v>1</v>
      </c>
      <c r="AA895" s="36">
        <f t="shared" si="256"/>
        <v>3.5780193464331451</v>
      </c>
      <c r="AB895" s="36">
        <f t="shared" si="257"/>
        <v>1.5385483189662523</v>
      </c>
      <c r="AC895" s="11">
        <f t="shared" si="258"/>
        <v>9.1511457756506834E-2</v>
      </c>
      <c r="AD895" s="36">
        <f t="shared" si="268"/>
        <v>1.8585977070346535</v>
      </c>
      <c r="AE895" s="36" t="str">
        <f>VLOOKUP(H895,'Yield &amp; Time'!A:I,9,0)</f>
        <v>SODIUM METABISULPHITE</v>
      </c>
      <c r="AF895" s="36">
        <f>IFERROR(VLOOKUP(AE895,'Chemical Cost'!A:D,4,0),0)</f>
        <v>9.7586225455882462E-3</v>
      </c>
      <c r="AG895" s="114">
        <f t="shared" si="259"/>
        <v>1.1638846754217802E-2</v>
      </c>
      <c r="AH895" s="36">
        <f t="shared" si="262"/>
        <v>1.1638846754217802E-2</v>
      </c>
      <c r="AI895" s="36">
        <f t="shared" si="269"/>
        <v>3.4087848727551235</v>
      </c>
      <c r="AJ895" s="36">
        <f>IFERROR(VLOOKUP(A895,'All Products'!A:F,6,0),0)</f>
        <v>6.69</v>
      </c>
      <c r="AK895" s="36">
        <f>AJ895*Z895*J895</f>
        <v>6.69</v>
      </c>
      <c r="AL895" s="23">
        <v>1</v>
      </c>
      <c r="AM895" s="23"/>
      <c r="AN895" s="54" t="e">
        <v>#N/A</v>
      </c>
      <c r="AO895" s="47"/>
      <c r="AP895" s="4">
        <v>1.1000000000000001</v>
      </c>
      <c r="AQ895" s="111">
        <f t="shared" si="260"/>
        <v>9.1511457756506834E-2</v>
      </c>
      <c r="AR895">
        <f>_xlfn.XLOOKUP(F895,'RM Cost'!A:A,'RM Cost'!S:S)</f>
        <v>0</v>
      </c>
      <c r="AS895" t="e">
        <f>_xlfn.XLOOKUP(A895,[3]Sheet1!$B:$B,[3]Sheet1!$B:$B)</f>
        <v>#N/A</v>
      </c>
    </row>
    <row r="896" spans="1:46" x14ac:dyDescent="0.25">
      <c r="A896" s="2" t="s">
        <v>162</v>
      </c>
      <c r="B896" s="2" t="s">
        <v>656</v>
      </c>
      <c r="C896" s="2" t="s">
        <v>163</v>
      </c>
      <c r="D896" s="2" t="s">
        <v>554</v>
      </c>
      <c r="E896" s="2">
        <v>2.5</v>
      </c>
      <c r="F896" s="1" t="str">
        <f>VLOOKUP(H896,'RM Used'!A:B,2,0)</f>
        <v>P0008</v>
      </c>
      <c r="G896" s="1" t="str">
        <f>IFERROR(VLOOKUP(F896,'RM Cost'!A:B,2,0),"")</f>
        <v>PALE BLUE BAG 470X750MM</v>
      </c>
      <c r="H896" s="2" t="s">
        <v>1323</v>
      </c>
      <c r="I896" s="1" t="str">
        <f>VLOOKUP(F896,'RM Used'!B:D,3,0)</f>
        <v>RM-PACKING</v>
      </c>
      <c r="J896" s="66">
        <v>1</v>
      </c>
      <c r="K896" s="35" t="str">
        <f t="shared" si="264"/>
        <v/>
      </c>
      <c r="L896" s="35">
        <f t="shared" si="252"/>
        <v>0</v>
      </c>
      <c r="M896" s="77" t="str" cm="1">
        <f t="array" ref="M896">_xlfn.IFS(BOM!I896="RM-PACKING","100%",B896="Reynolds",VLOOKUP(H896,'Yield &amp; Time'!A:V,22,0),BOM!B896="Dnata",VLOOKUP(BOM!H896,'Yield &amp; Time'!A:M,13,0),B896="NK",VLOOKUP(H896,'Yield &amp; Time'!A:X,24,0))</f>
        <v>100%</v>
      </c>
      <c r="N896" s="35">
        <f t="shared" si="263"/>
        <v>1</v>
      </c>
      <c r="O896" s="1" t="str">
        <f>VLOOKUP(H896,'RM Used'!A:E,5,0)</f>
        <v>Count</v>
      </c>
      <c r="P896" s="11">
        <f>VLOOKUP(H896,'RM Used'!A:F,6,0)</f>
        <v>0.14000000000000001</v>
      </c>
      <c r="Q896" s="11">
        <f t="shared" si="261"/>
        <v>0.14000000000000001</v>
      </c>
      <c r="R896" s="11">
        <f>IFERROR(IF(B896="Reynolds",VLOOKUP(H896,'Yield &amp; Time'!A:U,21,0),VLOOKUP(H896,'Yield &amp; Time'!A:L,12,0)),0)</f>
        <v>0</v>
      </c>
      <c r="S896" s="11">
        <f t="shared" si="253"/>
        <v>0</v>
      </c>
      <c r="T896" s="11">
        <f t="shared" si="254"/>
        <v>0</v>
      </c>
      <c r="U896" s="11">
        <f>IF(A895=A896,0,VLOOKUP(A896,'Packing Time'!A:F,6,0))</f>
        <v>0</v>
      </c>
      <c r="V896" s="11">
        <f t="shared" si="265"/>
        <v>0</v>
      </c>
      <c r="W896" s="11">
        <f t="shared" si="266"/>
        <v>0</v>
      </c>
      <c r="X896" s="11">
        <f t="shared" si="255"/>
        <v>0</v>
      </c>
      <c r="Y896" s="11">
        <f t="shared" si="267"/>
        <v>0</v>
      </c>
      <c r="Z896" s="37">
        <v>1</v>
      </c>
      <c r="AA896" s="36">
        <f t="shared" si="256"/>
        <v>1</v>
      </c>
      <c r="AB896" s="36">
        <f t="shared" si="257"/>
        <v>0.14000000000000001</v>
      </c>
      <c r="AC896" s="11">
        <f t="shared" si="258"/>
        <v>0</v>
      </c>
      <c r="AD896" s="36">
        <f t="shared" si="268"/>
        <v>0</v>
      </c>
      <c r="AE896" s="36"/>
      <c r="AF896" s="36">
        <f>IFERROR(VLOOKUP(AE896,'Chemical Cost'!A:D,4,0),0)</f>
        <v>0</v>
      </c>
      <c r="AG896" s="114">
        <f t="shared" si="259"/>
        <v>0</v>
      </c>
      <c r="AH896" s="36">
        <f t="shared" si="262"/>
        <v>0</v>
      </c>
      <c r="AI896" s="36">
        <f t="shared" si="269"/>
        <v>0.14000000000000001</v>
      </c>
      <c r="AJ896" s="36">
        <f>IFERROR(VLOOKUP(A896,'All Products'!A:F,6,0),0)</f>
        <v>6.69</v>
      </c>
      <c r="AK896" s="36"/>
      <c r="AL896" s="23">
        <v>1</v>
      </c>
      <c r="AM896" s="23"/>
      <c r="AN896" s="54" t="e">
        <v>#N/A</v>
      </c>
      <c r="AO896" s="47"/>
      <c r="AP896" s="4">
        <v>1.1000000000000001</v>
      </c>
      <c r="AQ896" s="111">
        <f t="shared" si="260"/>
        <v>0</v>
      </c>
      <c r="AR896">
        <f>_xlfn.XLOOKUP(F896,'RM Cost'!A:A,'RM Cost'!S:S)</f>
        <v>0</v>
      </c>
      <c r="AS896" t="e">
        <f>_xlfn.XLOOKUP(A896,[3]Sheet1!$B:$B,[3]Sheet1!$B:$B)</f>
        <v>#N/A</v>
      </c>
    </row>
    <row r="897" spans="1:46" x14ac:dyDescent="0.25">
      <c r="A897" s="2" t="s">
        <v>160</v>
      </c>
      <c r="B897" s="2" t="s">
        <v>656</v>
      </c>
      <c r="C897" s="2" t="s">
        <v>161</v>
      </c>
      <c r="D897" s="2" t="s">
        <v>554</v>
      </c>
      <c r="E897" s="2">
        <v>1</v>
      </c>
      <c r="F897" s="1" t="str">
        <f>VLOOKUP(H897,'RM Used'!A:B,2,0)</f>
        <v>3210CS</v>
      </c>
      <c r="G897" s="1" t="str">
        <f>IFERROR(VLOOKUP(F897,'RM Cost'!A:B,2,0),"")</f>
        <v>RM - POTATOES WARE 25KG</v>
      </c>
      <c r="H897" s="2" t="s">
        <v>1556</v>
      </c>
      <c r="I897" s="1" t="str">
        <f>VLOOKUP(F897,'RM Used'!B:D,3,0)</f>
        <v>RM-FOOD</v>
      </c>
      <c r="J897" s="66">
        <v>1</v>
      </c>
      <c r="K897" s="35">
        <f t="shared" si="264"/>
        <v>1</v>
      </c>
      <c r="L897" s="35">
        <f t="shared" si="252"/>
        <v>1</v>
      </c>
      <c r="M897" s="77" cm="1">
        <f t="array" ref="M897">_xlfn.IFS(BOM!I897="RM-PACKING","100%",B897="Reynolds",VLOOKUP(H897,'Yield &amp; Time'!A:V,22,0),BOM!B897="Dnata",VLOOKUP(BOM!H897,'Yield &amp; Time'!A:M,13,0),B897="NK",VLOOKUP(H897,'Yield &amp; Time'!A:X,24,0))</f>
        <v>0.5364900444298174</v>
      </c>
      <c r="N897" s="35">
        <f t="shared" si="263"/>
        <v>1.8639674871558927</v>
      </c>
      <c r="O897" s="1" t="str">
        <f>VLOOKUP(H897,'RM Used'!A:E,5,0)</f>
        <v>KG</v>
      </c>
      <c r="P897" s="11">
        <f>VLOOKUP(H897,'RM Used'!A:F,6,0)</f>
        <v>0.27</v>
      </c>
      <c r="Q897" s="11">
        <f t="shared" si="261"/>
        <v>0.50327122153209103</v>
      </c>
      <c r="R897" s="11">
        <f>IFERROR(IF(B897="Reynolds",VLOOKUP(H897,'Yield &amp; Time'!A:U,21,0),VLOOKUP(H897,'Yield &amp; Time'!A:L,12,0)),0)</f>
        <v>2.8054520358868182</v>
      </c>
      <c r="S897" s="11">
        <f t="shared" si="253"/>
        <v>0.94964551414768783</v>
      </c>
      <c r="T897" s="11">
        <f t="shared" si="254"/>
        <v>4.6757533931446972E-2</v>
      </c>
      <c r="U897" s="11">
        <f>IF(A896=A897,0,VLOOKUP(A897,'Packing Time'!A:F,6,0))</f>
        <v>0.64166666666666661</v>
      </c>
      <c r="V897" s="11">
        <f t="shared" si="265"/>
        <v>0.21720416666666661</v>
      </c>
      <c r="W897" s="11">
        <f t="shared" si="266"/>
        <v>1.0694444444444444E-2</v>
      </c>
      <c r="X897" s="11">
        <f t="shared" si="255"/>
        <v>1.8669594893029673</v>
      </c>
      <c r="Y897" s="11">
        <f t="shared" si="267"/>
        <v>1.8669594893029673</v>
      </c>
      <c r="Z897" s="37">
        <v>1</v>
      </c>
      <c r="AA897" s="36">
        <f t="shared" si="256"/>
        <v>1.8639674871558927</v>
      </c>
      <c r="AB897" s="36">
        <f t="shared" si="257"/>
        <v>0.50327122153209103</v>
      </c>
      <c r="AC897" s="11">
        <f t="shared" si="258"/>
        <v>9.1923165401426268E-2</v>
      </c>
      <c r="AD897" s="36">
        <f t="shared" si="268"/>
        <v>1.8669594893029673</v>
      </c>
      <c r="AE897" s="36" t="str">
        <f>VLOOKUP(H897,'Yield &amp; Time'!A:I,9,0)</f>
        <v>SODIUM METABISULPHITE</v>
      </c>
      <c r="AF897" s="36">
        <f>IFERROR(VLOOKUP(AE897,'Chemical Cost'!A:D,4,0),0)</f>
        <v>9.7586225455882462E-3</v>
      </c>
      <c r="AG897" s="114">
        <f t="shared" si="259"/>
        <v>6.0632517148009879E-3</v>
      </c>
      <c r="AH897" s="36">
        <f t="shared" si="262"/>
        <v>6.0632517148009879E-3</v>
      </c>
      <c r="AI897" s="36">
        <f t="shared" si="269"/>
        <v>2.3762939625498594</v>
      </c>
      <c r="AJ897" s="36">
        <f>IFERROR(VLOOKUP(A897,'All Products'!A:F,6,0),0)</f>
        <v>3.01</v>
      </c>
      <c r="AK897" s="36">
        <f>AJ897*Z897*J897</f>
        <v>3.01</v>
      </c>
      <c r="AL897" s="23">
        <v>1</v>
      </c>
      <c r="AM897" s="23"/>
      <c r="AN897" s="54" t="e">
        <v>#N/A</v>
      </c>
      <c r="AO897" s="47"/>
      <c r="AP897" s="4">
        <v>1.6</v>
      </c>
      <c r="AQ897" s="111">
        <f t="shared" si="260"/>
        <v>9.1923165401426268E-2</v>
      </c>
      <c r="AR897">
        <f>_xlfn.XLOOKUP(F897,'RM Cost'!A:A,'RM Cost'!S:S)</f>
        <v>0</v>
      </c>
      <c r="AS897" t="str">
        <f>_xlfn.XLOOKUP(A897,[3]Sheet1!$B:$B,[3]Sheet1!$B:$B)</f>
        <v>Z046CS</v>
      </c>
      <c r="AT897">
        <f>_xlfn.XLOOKUP(H897,'Yield &amp; Time'!A:A,'Yield &amp; Time'!F:F)</f>
        <v>0</v>
      </c>
    </row>
    <row r="898" spans="1:46" x14ac:dyDescent="0.25">
      <c r="A898" s="2" t="s">
        <v>160</v>
      </c>
      <c r="B898" s="2" t="s">
        <v>656</v>
      </c>
      <c r="C898" s="2" t="s">
        <v>161</v>
      </c>
      <c r="D898" s="2" t="s">
        <v>554</v>
      </c>
      <c r="E898" s="2">
        <v>1</v>
      </c>
      <c r="F898" s="1" t="str">
        <f>VLOOKUP(H898,'RM Used'!A:B,2,0)</f>
        <v>P0008</v>
      </c>
      <c r="G898" s="1" t="str">
        <f>IFERROR(VLOOKUP(F898,'RM Cost'!A:B,2,0),"")</f>
        <v>PALE BLUE BAG 470X750MM</v>
      </c>
      <c r="H898" s="2" t="s">
        <v>1323</v>
      </c>
      <c r="I898" s="1" t="str">
        <f>VLOOKUP(F898,'RM Used'!B:D,3,0)</f>
        <v>RM-PACKING</v>
      </c>
      <c r="J898" s="66">
        <v>1</v>
      </c>
      <c r="K898" s="35" t="str">
        <f t="shared" si="264"/>
        <v/>
      </c>
      <c r="L898" s="35">
        <f t="shared" ref="L898:L961" si="270">IFERROR(K898*Z898,0)</f>
        <v>0</v>
      </c>
      <c r="M898" s="77" t="str" cm="1">
        <f t="array" ref="M898">_xlfn.IFS(BOM!I898="RM-PACKING","100%",B898="Reynolds",VLOOKUP(H898,'Yield &amp; Time'!A:V,22,0),BOM!B898="Dnata",VLOOKUP(BOM!H898,'Yield &amp; Time'!A:M,13,0),B898="NK",VLOOKUP(H898,'Yield &amp; Time'!A:X,24,0))</f>
        <v>100%</v>
      </c>
      <c r="N898" s="35">
        <f t="shared" si="263"/>
        <v>1</v>
      </c>
      <c r="O898" s="1" t="str">
        <f>VLOOKUP(H898,'RM Used'!A:E,5,0)</f>
        <v>Count</v>
      </c>
      <c r="P898" s="11">
        <f>VLOOKUP(H898,'RM Used'!A:F,6,0)</f>
        <v>0.14000000000000001</v>
      </c>
      <c r="Q898" s="11">
        <f t="shared" si="261"/>
        <v>0.14000000000000001</v>
      </c>
      <c r="R898" s="11">
        <f>IFERROR(IF(B898="Reynolds",VLOOKUP(H898,'Yield &amp; Time'!A:U,21,0),VLOOKUP(H898,'Yield &amp; Time'!A:L,12,0)),0)</f>
        <v>0</v>
      </c>
      <c r="S898" s="11">
        <f t="shared" ref="S898:S961" si="271">R898*J898*E898*AO$1</f>
        <v>0</v>
      </c>
      <c r="T898" s="11">
        <f t="shared" ref="T898:T961" si="272">(R898*Z898*J898*E898)/60</f>
        <v>0</v>
      </c>
      <c r="U898" s="11">
        <f>IF(A897=A898,0,VLOOKUP(A898,'Packing Time'!A:F,6,0))</f>
        <v>0</v>
      </c>
      <c r="V898" s="11">
        <f t="shared" si="265"/>
        <v>0</v>
      </c>
      <c r="W898" s="11">
        <f t="shared" si="266"/>
        <v>0</v>
      </c>
      <c r="X898" s="11">
        <f t="shared" ref="X898:X961" si="273">((R898*J898*E898)+U898)*AO$1*AP898</f>
        <v>0</v>
      </c>
      <c r="Y898" s="11">
        <f t="shared" si="267"/>
        <v>0</v>
      </c>
      <c r="Z898" s="37">
        <v>1</v>
      </c>
      <c r="AA898" s="36">
        <f t="shared" ref="AA898:AA961" si="274">Z898*N898</f>
        <v>1</v>
      </c>
      <c r="AB898" s="36">
        <f t="shared" ref="AB898:AB961" si="275">AA898*P898</f>
        <v>0.14000000000000001</v>
      </c>
      <c r="AC898" s="11">
        <f t="shared" ref="AC898:AC961" si="276">(((R898*J898*E898)+U898)/60)*Z898*AP898</f>
        <v>0</v>
      </c>
      <c r="AD898" s="36">
        <f t="shared" si="268"/>
        <v>0</v>
      </c>
      <c r="AE898" s="36"/>
      <c r="AF898" s="36">
        <f>IFERROR(VLOOKUP(AE898,'Chemical Cost'!A:D,4,0),0)</f>
        <v>0</v>
      </c>
      <c r="AG898" s="114">
        <f t="shared" ref="AG898:AG961" si="277">AF898*N898/3</f>
        <v>0</v>
      </c>
      <c r="AH898" s="36">
        <f t="shared" si="262"/>
        <v>0</v>
      </c>
      <c r="AI898" s="36">
        <f t="shared" si="269"/>
        <v>0.14000000000000001</v>
      </c>
      <c r="AJ898" s="36">
        <f>IFERROR(VLOOKUP(A898,'All Products'!A:F,6,0),0)</f>
        <v>3.01</v>
      </c>
      <c r="AK898" s="36"/>
      <c r="AL898" s="23">
        <v>1</v>
      </c>
      <c r="AM898" s="23"/>
      <c r="AN898" s="54" t="e">
        <v>#N/A</v>
      </c>
      <c r="AO898" s="47"/>
      <c r="AP898" s="4">
        <v>1.6</v>
      </c>
      <c r="AQ898" s="111">
        <f t="shared" ref="AQ898:AQ961" si="278">(((R898*J898*E898)+U898)/60)*AP898</f>
        <v>0</v>
      </c>
      <c r="AR898">
        <f>_xlfn.XLOOKUP(F898,'RM Cost'!A:A,'RM Cost'!S:S)</f>
        <v>0</v>
      </c>
      <c r="AS898" t="str">
        <f>_xlfn.XLOOKUP(A898,[3]Sheet1!$B:$B,[3]Sheet1!$B:$B)</f>
        <v>Z046CS</v>
      </c>
      <c r="AT898" t="e">
        <f>_xlfn.XLOOKUP(H898,'Yield &amp; Time'!A:A,'Yield &amp; Time'!F:F)</f>
        <v>#N/A</v>
      </c>
    </row>
    <row r="899" spans="1:46" x14ac:dyDescent="0.25">
      <c r="A899" s="2" t="s">
        <v>158</v>
      </c>
      <c r="B899" s="2" t="s">
        <v>656</v>
      </c>
      <c r="C899" s="2" t="s">
        <v>159</v>
      </c>
      <c r="D899" s="2" t="s">
        <v>554</v>
      </c>
      <c r="E899" s="2">
        <v>2.5</v>
      </c>
      <c r="F899" s="1" t="str">
        <f>VLOOKUP(H899,'RM Used'!A:B,2,0)</f>
        <v>3210CS</v>
      </c>
      <c r="G899" s="1" t="str">
        <f>IFERROR(VLOOKUP(F899,'RM Cost'!A:B,2,0),"")</f>
        <v>RM - POTATOES WARE 25KG</v>
      </c>
      <c r="H899" s="2" t="s">
        <v>1556</v>
      </c>
      <c r="I899" s="1" t="str">
        <f>VLOOKUP(F899,'RM Used'!B:D,3,0)</f>
        <v>RM-FOOD</v>
      </c>
      <c r="J899" s="66">
        <v>1</v>
      </c>
      <c r="K899" s="35">
        <f t="shared" si="264"/>
        <v>2.5</v>
      </c>
      <c r="L899" s="35">
        <f t="shared" si="270"/>
        <v>2.5</v>
      </c>
      <c r="M899" s="77" cm="1">
        <f t="array" ref="M899">_xlfn.IFS(BOM!I899="RM-PACKING","100%",B899="Reynolds",VLOOKUP(H899,'Yield &amp; Time'!A:V,22,0),BOM!B899="Dnata",VLOOKUP(BOM!H899,'Yield &amp; Time'!A:M,13,0),B899="NK",VLOOKUP(H899,'Yield &amp; Time'!A:X,24,0))</f>
        <v>0.5364900444298174</v>
      </c>
      <c r="N899" s="35">
        <f t="shared" si="263"/>
        <v>4.6599187178897319</v>
      </c>
      <c r="O899" s="1" t="str">
        <f>VLOOKUP(H899,'RM Used'!A:E,5,0)</f>
        <v>KG</v>
      </c>
      <c r="P899" s="11">
        <f>VLOOKUP(H899,'RM Used'!A:F,6,0)</f>
        <v>0.27</v>
      </c>
      <c r="Q899" s="11">
        <f t="shared" ref="Q899:Q962" si="279">P899*N899</f>
        <v>1.2581780538302276</v>
      </c>
      <c r="R899" s="11">
        <f>IFERROR(IF(B899="Reynolds",VLOOKUP(H899,'Yield &amp; Time'!A:U,21,0),VLOOKUP(H899,'Yield &amp; Time'!A:L,12,0)),0)</f>
        <v>2.8054520358868182</v>
      </c>
      <c r="S899" s="11">
        <f t="shared" si="271"/>
        <v>2.3741137853692198</v>
      </c>
      <c r="T899" s="11">
        <f t="shared" si="272"/>
        <v>0.11689383482861743</v>
      </c>
      <c r="U899" s="11">
        <f>IF(A898=A899,0,VLOOKUP(A899,'Packing Time'!A:F,6,0))</f>
        <v>0.875</v>
      </c>
      <c r="V899" s="11">
        <f t="shared" si="265"/>
        <v>0.29618749999999999</v>
      </c>
      <c r="W899" s="11">
        <f t="shared" si="266"/>
        <v>1.4583333333333334E-2</v>
      </c>
      <c r="X899" s="11">
        <f t="shared" si="273"/>
        <v>3.7384217995169071</v>
      </c>
      <c r="Y899" s="11">
        <f t="shared" si="267"/>
        <v>3.7384217995169071</v>
      </c>
      <c r="Z899" s="37">
        <v>1</v>
      </c>
      <c r="AA899" s="36">
        <f t="shared" si="274"/>
        <v>4.6599187178897319</v>
      </c>
      <c r="AB899" s="36">
        <f t="shared" si="275"/>
        <v>1.2581780538302276</v>
      </c>
      <c r="AC899" s="11">
        <f t="shared" si="276"/>
        <v>0.18406803542673106</v>
      </c>
      <c r="AD899" s="36">
        <f t="shared" si="268"/>
        <v>3.7384217995169071</v>
      </c>
      <c r="AE899" s="36" t="str">
        <f>VLOOKUP(H899,'Yield &amp; Time'!A:I,9,0)</f>
        <v>SODIUM METABISULPHITE</v>
      </c>
      <c r="AF899" s="36">
        <f>IFERROR(VLOOKUP(AE899,'Chemical Cost'!A:D,4,0),0)</f>
        <v>9.7586225455882462E-3</v>
      </c>
      <c r="AG899" s="114">
        <f t="shared" si="277"/>
        <v>1.515812928700247E-2</v>
      </c>
      <c r="AH899" s="36">
        <f t="shared" si="262"/>
        <v>1.515812928700247E-2</v>
      </c>
      <c r="AI899" s="36">
        <f t="shared" si="269"/>
        <v>5.0117579826341379</v>
      </c>
      <c r="AJ899" s="36">
        <f>IFERROR(VLOOKUP(A899,'All Products'!A:F,6,0),0)</f>
        <v>7.53</v>
      </c>
      <c r="AK899" s="36">
        <f>AJ899*Z899*J899</f>
        <v>7.53</v>
      </c>
      <c r="AL899" s="23">
        <v>1</v>
      </c>
      <c r="AM899" s="23"/>
      <c r="AN899" s="54" t="e">
        <v>#N/A</v>
      </c>
      <c r="AO899" s="47"/>
      <c r="AP899" s="4">
        <v>1.4</v>
      </c>
      <c r="AQ899" s="111">
        <f t="shared" si="278"/>
        <v>0.18406803542673106</v>
      </c>
      <c r="AR899">
        <f>_xlfn.XLOOKUP(F899,'RM Cost'!A:A,'RM Cost'!S:S)</f>
        <v>0</v>
      </c>
      <c r="AS899" t="str">
        <f>_xlfn.XLOOKUP(A899,[3]Sheet1!$B:$B,[3]Sheet1!$B:$B)</f>
        <v>Z045CS</v>
      </c>
      <c r="AT899">
        <f>_xlfn.XLOOKUP(H899,'Yield &amp; Time'!A:A,'Yield &amp; Time'!F:F)</f>
        <v>0</v>
      </c>
    </row>
    <row r="900" spans="1:46" x14ac:dyDescent="0.25">
      <c r="A900" s="2" t="s">
        <v>158</v>
      </c>
      <c r="B900" s="2" t="s">
        <v>656</v>
      </c>
      <c r="C900" s="2" t="s">
        <v>159</v>
      </c>
      <c r="D900" s="2" t="s">
        <v>554</v>
      </c>
      <c r="E900" s="2">
        <v>2.5</v>
      </c>
      <c r="F900" s="1" t="str">
        <f>VLOOKUP(H900,'RM Used'!A:B,2,0)</f>
        <v>P0008</v>
      </c>
      <c r="G900" s="1" t="str">
        <f>IFERROR(VLOOKUP(F900,'RM Cost'!A:B,2,0),"")</f>
        <v>PALE BLUE BAG 470X750MM</v>
      </c>
      <c r="H900" s="2" t="s">
        <v>1323</v>
      </c>
      <c r="I900" s="1" t="str">
        <f>VLOOKUP(F900,'RM Used'!B:D,3,0)</f>
        <v>RM-PACKING</v>
      </c>
      <c r="J900" s="66">
        <v>1</v>
      </c>
      <c r="K900" s="35" t="str">
        <f t="shared" si="264"/>
        <v/>
      </c>
      <c r="L900" s="35">
        <f t="shared" si="270"/>
        <v>0</v>
      </c>
      <c r="M900" s="77" t="str" cm="1">
        <f t="array" ref="M900">_xlfn.IFS(BOM!I900="RM-PACKING","100%",B900="Reynolds",VLOOKUP(H900,'Yield &amp; Time'!A:V,22,0),BOM!B900="Dnata",VLOOKUP(BOM!H900,'Yield &amp; Time'!A:M,13,0),B900="NK",VLOOKUP(H900,'Yield &amp; Time'!A:X,24,0))</f>
        <v>100%</v>
      </c>
      <c r="N900" s="35">
        <f t="shared" si="263"/>
        <v>1</v>
      </c>
      <c r="O900" s="1" t="str">
        <f>VLOOKUP(H900,'RM Used'!A:E,5,0)</f>
        <v>Count</v>
      </c>
      <c r="P900" s="11">
        <f>VLOOKUP(H900,'RM Used'!A:F,6,0)</f>
        <v>0.14000000000000001</v>
      </c>
      <c r="Q900" s="11">
        <f t="shared" si="279"/>
        <v>0.14000000000000001</v>
      </c>
      <c r="R900" s="11">
        <f>IFERROR(IF(B900="Reynolds",VLOOKUP(H900,'Yield &amp; Time'!A:U,21,0),VLOOKUP(H900,'Yield &amp; Time'!A:L,12,0)),0)</f>
        <v>0</v>
      </c>
      <c r="S900" s="11">
        <f t="shared" si="271"/>
        <v>0</v>
      </c>
      <c r="T900" s="11">
        <f t="shared" si="272"/>
        <v>0</v>
      </c>
      <c r="U900" s="11">
        <f>IF(A899=A900,0,VLOOKUP(A900,'Packing Time'!A:F,6,0))</f>
        <v>0</v>
      </c>
      <c r="V900" s="11">
        <f t="shared" si="265"/>
        <v>0</v>
      </c>
      <c r="W900" s="11">
        <f t="shared" si="266"/>
        <v>0</v>
      </c>
      <c r="X900" s="11">
        <f t="shared" si="273"/>
        <v>0</v>
      </c>
      <c r="Y900" s="11">
        <f t="shared" si="267"/>
        <v>0</v>
      </c>
      <c r="Z900" s="37">
        <v>1</v>
      </c>
      <c r="AA900" s="36">
        <f t="shared" si="274"/>
        <v>1</v>
      </c>
      <c r="AB900" s="36">
        <f t="shared" si="275"/>
        <v>0.14000000000000001</v>
      </c>
      <c r="AC900" s="11">
        <f t="shared" si="276"/>
        <v>0</v>
      </c>
      <c r="AD900" s="36">
        <f t="shared" si="268"/>
        <v>0</v>
      </c>
      <c r="AE900" s="36"/>
      <c r="AF900" s="36">
        <f>IFERROR(VLOOKUP(AE900,'Chemical Cost'!A:D,4,0),0)</f>
        <v>0</v>
      </c>
      <c r="AG900" s="114">
        <f t="shared" si="277"/>
        <v>0</v>
      </c>
      <c r="AH900" s="36">
        <f t="shared" si="262"/>
        <v>0</v>
      </c>
      <c r="AI900" s="36">
        <f t="shared" si="269"/>
        <v>0.14000000000000001</v>
      </c>
      <c r="AJ900" s="36">
        <f>IFERROR(VLOOKUP(A900,'All Products'!A:F,6,0),0)</f>
        <v>7.53</v>
      </c>
      <c r="AK900" s="36"/>
      <c r="AL900" s="23">
        <v>1</v>
      </c>
      <c r="AM900" s="23"/>
      <c r="AN900" s="54" t="e">
        <v>#N/A</v>
      </c>
      <c r="AO900" s="47"/>
      <c r="AP900" s="4">
        <v>1.4</v>
      </c>
      <c r="AQ900" s="111">
        <f t="shared" si="278"/>
        <v>0</v>
      </c>
      <c r="AR900">
        <f>_xlfn.XLOOKUP(F900,'RM Cost'!A:A,'RM Cost'!S:S)</f>
        <v>0</v>
      </c>
      <c r="AS900" t="str">
        <f>_xlfn.XLOOKUP(A900,[3]Sheet1!$B:$B,[3]Sheet1!$B:$B)</f>
        <v>Z045CS</v>
      </c>
      <c r="AT900" t="e">
        <f>_xlfn.XLOOKUP(H900,'Yield &amp; Time'!A:A,'Yield &amp; Time'!F:F)</f>
        <v>#N/A</v>
      </c>
    </row>
    <row r="901" spans="1:46" x14ac:dyDescent="0.25">
      <c r="A901" s="2" t="s">
        <v>156</v>
      </c>
      <c r="B901" s="2" t="s">
        <v>656</v>
      </c>
      <c r="C901" s="2" t="s">
        <v>157</v>
      </c>
      <c r="D901" s="2" t="s">
        <v>554</v>
      </c>
      <c r="E901" s="2">
        <v>1</v>
      </c>
      <c r="F901" s="1" t="str">
        <f>VLOOKUP(H901,'RM Used'!A:B,2,0)</f>
        <v>026BCS</v>
      </c>
      <c r="G901" s="1" t="str">
        <f>IFERROR(VLOOKUP(F901,'RM Cost'!A:B,2,0),"")</f>
        <v>RM - POTATO - MIDS 35-45MM X 10KG</v>
      </c>
      <c r="H901" s="2" t="s">
        <v>1557</v>
      </c>
      <c r="I901" s="1" t="str">
        <f>VLOOKUP(F901,'RM Used'!B:D,3,0)</f>
        <v>RM-FOOD</v>
      </c>
      <c r="J901" s="66">
        <v>1</v>
      </c>
      <c r="K901" s="35">
        <f t="shared" si="264"/>
        <v>1</v>
      </c>
      <c r="L901" s="35">
        <f t="shared" si="270"/>
        <v>1</v>
      </c>
      <c r="M901" s="77" cm="1">
        <f t="array" ref="M901">_xlfn.IFS(BOM!I901="RM-PACKING","100%",B901="Reynolds",VLOOKUP(H901,'Yield &amp; Time'!A:V,22,0),BOM!B901="Dnata",VLOOKUP(BOM!H901,'Yield &amp; Time'!A:M,13,0),B901="NK",VLOOKUP(H901,'Yield &amp; Time'!A:X,24,0))</f>
        <v>0.74716981132075477</v>
      </c>
      <c r="N901" s="35">
        <f t="shared" si="263"/>
        <v>1.3383838383838382</v>
      </c>
      <c r="O901" s="1" t="str">
        <f>VLOOKUP(H901,'RM Used'!A:E,5,0)</f>
        <v>KG</v>
      </c>
      <c r="P901" s="11">
        <f>VLOOKUP(H901,'RM Used'!A:F,6,0)</f>
        <v>0.94</v>
      </c>
      <c r="Q901" s="11">
        <f t="shared" si="279"/>
        <v>1.2580808080808079</v>
      </c>
      <c r="R901" s="11">
        <f>IFERROR(IF(B901="Reynolds",VLOOKUP(H901,'Yield &amp; Time'!A:U,21,0),VLOOKUP(H901,'Yield &amp; Time'!A:L,12,0)),0)</f>
        <v>4.9382575757575742</v>
      </c>
      <c r="S901" s="11">
        <f t="shared" si="271"/>
        <v>1.6716001893939387</v>
      </c>
      <c r="T901" s="11">
        <f t="shared" si="272"/>
        <v>8.2304292929292908E-2</v>
      </c>
      <c r="U901" s="11">
        <f>IF(A900=A901,0,VLOOKUP(A901,'Packing Time'!A:F,6,0))</f>
        <v>0.64166666666666661</v>
      </c>
      <c r="V901" s="11">
        <f t="shared" si="265"/>
        <v>0.21720416666666661</v>
      </c>
      <c r="W901" s="11">
        <f t="shared" si="266"/>
        <v>1.0694444444444444E-2</v>
      </c>
      <c r="X901" s="11">
        <f t="shared" si="273"/>
        <v>2.6443260984848473</v>
      </c>
      <c r="Y901" s="11">
        <f t="shared" si="267"/>
        <v>2.6443260984848473</v>
      </c>
      <c r="Z901" s="37">
        <v>1</v>
      </c>
      <c r="AA901" s="36">
        <f t="shared" si="274"/>
        <v>1.3383838383838382</v>
      </c>
      <c r="AB901" s="36">
        <f t="shared" si="275"/>
        <v>1.2580808080808079</v>
      </c>
      <c r="AC901" s="11">
        <f t="shared" si="276"/>
        <v>0.13019823232323227</v>
      </c>
      <c r="AD901" s="36">
        <f t="shared" si="268"/>
        <v>2.6443260984848473</v>
      </c>
      <c r="AE901" s="36" t="str">
        <f>VLOOKUP(H901,'Yield &amp; Time'!A:I,9,0)</f>
        <v>SODIUM METABISULPHITE</v>
      </c>
      <c r="AF901" s="36">
        <f>IFERROR(VLOOKUP(AE901,'Chemical Cost'!A:D,4,0),0)</f>
        <v>9.7586225455882462E-3</v>
      </c>
      <c r="AG901" s="114">
        <f t="shared" si="277"/>
        <v>4.3535942333011533E-3</v>
      </c>
      <c r="AH901" s="36">
        <f t="shared" si="262"/>
        <v>4.3535942333011533E-3</v>
      </c>
      <c r="AI901" s="36">
        <f t="shared" si="269"/>
        <v>3.9067605007989568</v>
      </c>
      <c r="AJ901" s="36">
        <f>IFERROR(VLOOKUP(A901,'All Products'!A:F,6,0),0)</f>
        <v>2.91</v>
      </c>
      <c r="AK901" s="36">
        <f>AJ901*Z901*J901</f>
        <v>2.91</v>
      </c>
      <c r="AL901" s="23">
        <v>1</v>
      </c>
      <c r="AM901" s="23"/>
      <c r="AN901" s="54" t="e">
        <v>#N/A</v>
      </c>
      <c r="AO901" s="47"/>
      <c r="AP901" s="4">
        <v>1.4</v>
      </c>
      <c r="AQ901" s="111">
        <f t="shared" si="278"/>
        <v>0.13019823232323227</v>
      </c>
      <c r="AR901">
        <f>_xlfn.XLOOKUP(F901,'RM Cost'!A:A,'RM Cost'!S:S)</f>
        <v>0</v>
      </c>
      <c r="AS901" t="e">
        <f>_xlfn.XLOOKUP(A901,[3]Sheet1!$B:$B,[3]Sheet1!$B:$B)</f>
        <v>#N/A</v>
      </c>
    </row>
    <row r="902" spans="1:46" x14ac:dyDescent="0.25">
      <c r="A902" s="2" t="s">
        <v>156</v>
      </c>
      <c r="B902" s="2" t="s">
        <v>656</v>
      </c>
      <c r="C902" s="2" t="s">
        <v>157</v>
      </c>
      <c r="D902" s="2" t="s">
        <v>554</v>
      </c>
      <c r="E902" s="2">
        <v>1</v>
      </c>
      <c r="F902" s="1" t="str">
        <f>VLOOKUP(H902,'RM Used'!A:B,2,0)</f>
        <v>P0008</v>
      </c>
      <c r="G902" s="1" t="str">
        <f>IFERROR(VLOOKUP(F902,'RM Cost'!A:B,2,0),"")</f>
        <v>PALE BLUE BAG 470X750MM</v>
      </c>
      <c r="H902" s="2" t="s">
        <v>1323</v>
      </c>
      <c r="I902" s="1" t="str">
        <f>VLOOKUP(F902,'RM Used'!B:D,3,0)</f>
        <v>RM-PACKING</v>
      </c>
      <c r="J902" s="66">
        <v>1</v>
      </c>
      <c r="K902" s="35" t="str">
        <f t="shared" si="264"/>
        <v/>
      </c>
      <c r="L902" s="35">
        <f t="shared" si="270"/>
        <v>0</v>
      </c>
      <c r="M902" s="77" t="str" cm="1">
        <f t="array" ref="M902">_xlfn.IFS(BOM!I902="RM-PACKING","100%",B902="Reynolds",VLOOKUP(H902,'Yield &amp; Time'!A:V,22,0),BOM!B902="Dnata",VLOOKUP(BOM!H902,'Yield &amp; Time'!A:M,13,0),B902="NK",VLOOKUP(H902,'Yield &amp; Time'!A:X,24,0))</f>
        <v>100%</v>
      </c>
      <c r="N902" s="35">
        <f t="shared" si="263"/>
        <v>1</v>
      </c>
      <c r="O902" s="1" t="str">
        <f>VLOOKUP(H902,'RM Used'!A:E,5,0)</f>
        <v>Count</v>
      </c>
      <c r="P902" s="11">
        <f>VLOOKUP(H902,'RM Used'!A:F,6,0)</f>
        <v>0.14000000000000001</v>
      </c>
      <c r="Q902" s="11">
        <f t="shared" si="279"/>
        <v>0.14000000000000001</v>
      </c>
      <c r="R902" s="11">
        <f>IFERROR(IF(B902="Reynolds",VLOOKUP(H902,'Yield &amp; Time'!A:U,21,0),VLOOKUP(H902,'Yield &amp; Time'!A:L,12,0)),0)</f>
        <v>0</v>
      </c>
      <c r="S902" s="11">
        <f t="shared" si="271"/>
        <v>0</v>
      </c>
      <c r="T902" s="11">
        <f t="shared" si="272"/>
        <v>0</v>
      </c>
      <c r="U902" s="11">
        <f>IF(A901=A902,0,VLOOKUP(A902,'Packing Time'!A:F,6,0))</f>
        <v>0</v>
      </c>
      <c r="V902" s="11">
        <f t="shared" si="265"/>
        <v>0</v>
      </c>
      <c r="W902" s="11">
        <f t="shared" si="266"/>
        <v>0</v>
      </c>
      <c r="X902" s="11">
        <f t="shared" si="273"/>
        <v>0</v>
      </c>
      <c r="Y902" s="11">
        <f t="shared" si="267"/>
        <v>0</v>
      </c>
      <c r="Z902" s="37">
        <v>1</v>
      </c>
      <c r="AA902" s="36">
        <f t="shared" si="274"/>
        <v>1</v>
      </c>
      <c r="AB902" s="36">
        <f t="shared" si="275"/>
        <v>0.14000000000000001</v>
      </c>
      <c r="AC902" s="11">
        <f t="shared" si="276"/>
        <v>0</v>
      </c>
      <c r="AD902" s="36">
        <f t="shared" si="268"/>
        <v>0</v>
      </c>
      <c r="AE902" s="36"/>
      <c r="AF902" s="36">
        <f>IFERROR(VLOOKUP(AE902,'Chemical Cost'!A:D,4,0),0)</f>
        <v>0</v>
      </c>
      <c r="AG902" s="114">
        <f t="shared" si="277"/>
        <v>0</v>
      </c>
      <c r="AH902" s="36">
        <f t="shared" si="262"/>
        <v>0</v>
      </c>
      <c r="AI902" s="36">
        <f t="shared" si="269"/>
        <v>0.14000000000000001</v>
      </c>
      <c r="AJ902" s="36">
        <f>IFERROR(VLOOKUP(A902,'All Products'!A:F,6,0),0)</f>
        <v>2.91</v>
      </c>
      <c r="AK902" s="36"/>
      <c r="AL902" s="23">
        <v>1</v>
      </c>
      <c r="AM902" s="23"/>
      <c r="AN902" s="54" t="e">
        <v>#N/A</v>
      </c>
      <c r="AO902" s="47"/>
      <c r="AP902" s="4">
        <v>1.4</v>
      </c>
      <c r="AQ902" s="111">
        <f t="shared" si="278"/>
        <v>0</v>
      </c>
      <c r="AR902">
        <f>_xlfn.XLOOKUP(F902,'RM Cost'!A:A,'RM Cost'!S:S)</f>
        <v>0</v>
      </c>
      <c r="AS902" t="e">
        <f>_xlfn.XLOOKUP(A902,[3]Sheet1!$B:$B,[3]Sheet1!$B:$B)</f>
        <v>#N/A</v>
      </c>
    </row>
    <row r="903" spans="1:46" x14ac:dyDescent="0.25">
      <c r="A903" s="2" t="s">
        <v>154</v>
      </c>
      <c r="B903" s="2" t="s">
        <v>656</v>
      </c>
      <c r="C903" s="2" t="s">
        <v>155</v>
      </c>
      <c r="D903" s="2" t="s">
        <v>554</v>
      </c>
      <c r="E903" s="2">
        <v>2.5</v>
      </c>
      <c r="F903" s="1" t="str">
        <f>VLOOKUP(H903,'RM Used'!A:B,2,0)</f>
        <v>026BCS</v>
      </c>
      <c r="G903" s="1" t="str">
        <f>IFERROR(VLOOKUP(F903,'RM Cost'!A:B,2,0),"")</f>
        <v>RM - POTATO - MIDS 35-45MM X 10KG</v>
      </c>
      <c r="H903" s="2" t="s">
        <v>1557</v>
      </c>
      <c r="I903" s="1" t="str">
        <f>VLOOKUP(F903,'RM Used'!B:D,3,0)</f>
        <v>RM-FOOD</v>
      </c>
      <c r="J903" s="66">
        <v>1</v>
      </c>
      <c r="K903" s="35">
        <f t="shared" si="264"/>
        <v>2.5</v>
      </c>
      <c r="L903" s="35">
        <f t="shared" si="270"/>
        <v>2.5</v>
      </c>
      <c r="M903" s="77" cm="1">
        <f t="array" ref="M903">_xlfn.IFS(BOM!I903="RM-PACKING","100%",B903="Reynolds",VLOOKUP(H903,'Yield &amp; Time'!A:V,22,0),BOM!B903="Dnata",VLOOKUP(BOM!H903,'Yield &amp; Time'!A:M,13,0),B903="NK",VLOOKUP(H903,'Yield &amp; Time'!A:X,24,0))</f>
        <v>0.74716981132075477</v>
      </c>
      <c r="N903" s="35">
        <f t="shared" si="263"/>
        <v>3.3459595959595956</v>
      </c>
      <c r="O903" s="1" t="str">
        <f>VLOOKUP(H903,'RM Used'!A:E,5,0)</f>
        <v>KG</v>
      </c>
      <c r="P903" s="11">
        <f>VLOOKUP(H903,'RM Used'!A:F,6,0)</f>
        <v>0.94</v>
      </c>
      <c r="Q903" s="11">
        <f t="shared" si="279"/>
        <v>3.1452020202020194</v>
      </c>
      <c r="R903" s="11">
        <f>IFERROR(IF(B903="Reynolds",VLOOKUP(H903,'Yield &amp; Time'!A:U,21,0),VLOOKUP(H903,'Yield &amp; Time'!A:L,12,0)),0)</f>
        <v>4.9382575757575742</v>
      </c>
      <c r="S903" s="11">
        <f t="shared" si="271"/>
        <v>4.1790004734848472</v>
      </c>
      <c r="T903" s="11">
        <f t="shared" si="272"/>
        <v>0.20576073232323228</v>
      </c>
      <c r="U903" s="11">
        <f>IF(A902=A903,0,VLOOKUP(A903,'Packing Time'!A:F,6,0))</f>
        <v>0.875</v>
      </c>
      <c r="V903" s="11">
        <f t="shared" si="265"/>
        <v>0.29618749999999999</v>
      </c>
      <c r="W903" s="11">
        <f t="shared" si="266"/>
        <v>1.4583333333333334E-2</v>
      </c>
      <c r="X903" s="11">
        <f t="shared" si="273"/>
        <v>4.9227067708333312</v>
      </c>
      <c r="Y903" s="11">
        <f t="shared" si="267"/>
        <v>4.9227067708333312</v>
      </c>
      <c r="Z903" s="37">
        <v>1</v>
      </c>
      <c r="AA903" s="36">
        <f t="shared" si="274"/>
        <v>3.3459595959595956</v>
      </c>
      <c r="AB903" s="36">
        <f t="shared" si="275"/>
        <v>3.1452020202020194</v>
      </c>
      <c r="AC903" s="11">
        <f t="shared" si="276"/>
        <v>0.24237847222222217</v>
      </c>
      <c r="AD903" s="36">
        <f t="shared" si="268"/>
        <v>4.9227067708333321</v>
      </c>
      <c r="AE903" s="36" t="str">
        <f>VLOOKUP(H903,'Yield &amp; Time'!A:I,9,0)</f>
        <v>SODIUM METABISULPHITE</v>
      </c>
      <c r="AF903" s="36">
        <f>IFERROR(VLOOKUP(AE903,'Chemical Cost'!A:D,4,0),0)</f>
        <v>9.7586225455882462E-3</v>
      </c>
      <c r="AG903" s="114">
        <f t="shared" si="277"/>
        <v>1.0883985583252882E-2</v>
      </c>
      <c r="AH903" s="36">
        <f t="shared" si="262"/>
        <v>1.0883985583252882E-2</v>
      </c>
      <c r="AI903" s="36">
        <f t="shared" si="269"/>
        <v>8.0787927766186023</v>
      </c>
      <c r="AJ903" s="36">
        <f>IFERROR(VLOOKUP(A903,'All Products'!A:F,6,0),0)</f>
        <v>6.96</v>
      </c>
      <c r="AK903" s="36">
        <f>AJ903*Z903*J903</f>
        <v>6.96</v>
      </c>
      <c r="AL903" s="23">
        <v>1</v>
      </c>
      <c r="AM903" s="23"/>
      <c r="AN903" s="54" t="e">
        <v>#N/A</v>
      </c>
      <c r="AO903" s="47"/>
      <c r="AP903" s="4">
        <v>1.1000000000000001</v>
      </c>
      <c r="AQ903" s="111">
        <f t="shared" si="278"/>
        <v>0.24237847222222217</v>
      </c>
      <c r="AR903">
        <f>_xlfn.XLOOKUP(F903,'RM Cost'!A:A,'RM Cost'!S:S)</f>
        <v>0</v>
      </c>
      <c r="AS903" t="e">
        <f>_xlfn.XLOOKUP(A903,[3]Sheet1!$B:$B,[3]Sheet1!$B:$B)</f>
        <v>#N/A</v>
      </c>
    </row>
    <row r="904" spans="1:46" x14ac:dyDescent="0.25">
      <c r="A904" s="2" t="s">
        <v>154</v>
      </c>
      <c r="B904" s="2" t="s">
        <v>656</v>
      </c>
      <c r="C904" s="2" t="s">
        <v>155</v>
      </c>
      <c r="D904" s="2" t="s">
        <v>554</v>
      </c>
      <c r="E904" s="2">
        <v>2.5</v>
      </c>
      <c r="F904" s="1" t="str">
        <f>VLOOKUP(H904,'RM Used'!A:B,2,0)</f>
        <v>P0008</v>
      </c>
      <c r="G904" s="1" t="str">
        <f>IFERROR(VLOOKUP(F904,'RM Cost'!A:B,2,0),"")</f>
        <v>PALE BLUE BAG 470X750MM</v>
      </c>
      <c r="H904" s="2" t="s">
        <v>1323</v>
      </c>
      <c r="I904" s="1" t="str">
        <f>VLOOKUP(F904,'RM Used'!B:D,3,0)</f>
        <v>RM-PACKING</v>
      </c>
      <c r="J904" s="66">
        <v>1</v>
      </c>
      <c r="K904" s="35" t="str">
        <f t="shared" si="264"/>
        <v/>
      </c>
      <c r="L904" s="35">
        <f t="shared" si="270"/>
        <v>0</v>
      </c>
      <c r="M904" s="77" t="str" cm="1">
        <f t="array" ref="M904">_xlfn.IFS(BOM!I904="RM-PACKING","100%",B904="Reynolds",VLOOKUP(H904,'Yield &amp; Time'!A:V,22,0),BOM!B904="Dnata",VLOOKUP(BOM!H904,'Yield &amp; Time'!A:M,13,0),B904="NK",VLOOKUP(H904,'Yield &amp; Time'!A:X,24,0))</f>
        <v>100%</v>
      </c>
      <c r="N904" s="35">
        <f t="shared" si="263"/>
        <v>1</v>
      </c>
      <c r="O904" s="1" t="str">
        <f>VLOOKUP(H904,'RM Used'!A:E,5,0)</f>
        <v>Count</v>
      </c>
      <c r="P904" s="11">
        <f>VLOOKUP(H904,'RM Used'!A:F,6,0)</f>
        <v>0.14000000000000001</v>
      </c>
      <c r="Q904" s="11">
        <f t="shared" si="279"/>
        <v>0.14000000000000001</v>
      </c>
      <c r="R904" s="11">
        <f>IFERROR(IF(B904="Reynolds",VLOOKUP(H904,'Yield &amp; Time'!A:U,21,0),VLOOKUP(H904,'Yield &amp; Time'!A:L,12,0)),0)</f>
        <v>0</v>
      </c>
      <c r="S904" s="11">
        <f t="shared" si="271"/>
        <v>0</v>
      </c>
      <c r="T904" s="11">
        <f t="shared" si="272"/>
        <v>0</v>
      </c>
      <c r="U904" s="11">
        <f>IF(A903=A904,0,VLOOKUP(A904,'Packing Time'!A:F,6,0))</f>
        <v>0</v>
      </c>
      <c r="V904" s="11">
        <f t="shared" si="265"/>
        <v>0</v>
      </c>
      <c r="W904" s="11">
        <f t="shared" si="266"/>
        <v>0</v>
      </c>
      <c r="X904" s="11">
        <f t="shared" si="273"/>
        <v>0</v>
      </c>
      <c r="Y904" s="11">
        <f t="shared" si="267"/>
        <v>0</v>
      </c>
      <c r="Z904" s="37">
        <v>1</v>
      </c>
      <c r="AA904" s="36">
        <f t="shared" si="274"/>
        <v>1</v>
      </c>
      <c r="AB904" s="36">
        <f t="shared" si="275"/>
        <v>0.14000000000000001</v>
      </c>
      <c r="AC904" s="11">
        <f t="shared" si="276"/>
        <v>0</v>
      </c>
      <c r="AD904" s="36">
        <f t="shared" si="268"/>
        <v>0</v>
      </c>
      <c r="AE904" s="36"/>
      <c r="AF904" s="36">
        <f>IFERROR(VLOOKUP(AE904,'Chemical Cost'!A:D,4,0),0)</f>
        <v>0</v>
      </c>
      <c r="AG904" s="114">
        <f t="shared" si="277"/>
        <v>0</v>
      </c>
      <c r="AH904" s="36">
        <f t="shared" si="262"/>
        <v>0</v>
      </c>
      <c r="AI904" s="36">
        <f t="shared" si="269"/>
        <v>0.14000000000000001</v>
      </c>
      <c r="AJ904" s="36">
        <f>IFERROR(VLOOKUP(A904,'All Products'!A:F,6,0),0)</f>
        <v>6.96</v>
      </c>
      <c r="AK904" s="36"/>
      <c r="AL904" s="23">
        <v>1</v>
      </c>
      <c r="AM904" s="23"/>
      <c r="AN904" s="54" t="e">
        <v>#N/A</v>
      </c>
      <c r="AO904" s="47"/>
      <c r="AP904" s="4">
        <v>1.1000000000000001</v>
      </c>
      <c r="AQ904" s="111">
        <f t="shared" si="278"/>
        <v>0</v>
      </c>
      <c r="AR904">
        <f>_xlfn.XLOOKUP(F904,'RM Cost'!A:A,'RM Cost'!S:S)</f>
        <v>0</v>
      </c>
      <c r="AS904" t="e">
        <f>_xlfn.XLOOKUP(A904,[3]Sheet1!$B:$B,[3]Sheet1!$B:$B)</f>
        <v>#N/A</v>
      </c>
    </row>
    <row r="905" spans="1:46" x14ac:dyDescent="0.25">
      <c r="A905" s="2" t="s">
        <v>903</v>
      </c>
      <c r="B905" s="2" t="s">
        <v>656</v>
      </c>
      <c r="C905" s="2" t="s">
        <v>904</v>
      </c>
      <c r="D905" s="2" t="s">
        <v>554</v>
      </c>
      <c r="E905" s="2">
        <v>1</v>
      </c>
      <c r="F905" s="1" t="str">
        <f>VLOOKUP(H905,'RM Used'!A:B,2,0)</f>
        <v>026BCS</v>
      </c>
      <c r="G905" s="1" t="str">
        <f>IFERROR(VLOOKUP(F905,'RM Cost'!A:B,2,0),"")</f>
        <v>RM - POTATO - MIDS 35-45MM X 10KG</v>
      </c>
      <c r="H905" s="2" t="s">
        <v>1558</v>
      </c>
      <c r="I905" s="1" t="str">
        <f>VLOOKUP(F905,'RM Used'!B:D,3,0)</f>
        <v>RM-FOOD</v>
      </c>
      <c r="J905" s="66">
        <v>1</v>
      </c>
      <c r="K905" s="35">
        <f t="shared" si="264"/>
        <v>1</v>
      </c>
      <c r="L905" s="35">
        <f t="shared" si="270"/>
        <v>1</v>
      </c>
      <c r="M905" s="77" cm="1">
        <f t="array" ref="M905">_xlfn.IFS(BOM!I905="RM-PACKING","100%",B905="Reynolds",VLOOKUP(H905,'Yield &amp; Time'!A:V,22,0),BOM!B905="Dnata",VLOOKUP(BOM!H905,'Yield &amp; Time'!A:M,13,0),B905="NK",VLOOKUP(H905,'Yield &amp; Time'!A:X,24,0))</f>
        <v>1</v>
      </c>
      <c r="N905" s="35">
        <f t="shared" si="263"/>
        <v>1</v>
      </c>
      <c r="O905" s="1" t="str">
        <f>VLOOKUP(H905,'RM Used'!A:E,5,0)</f>
        <v>KG</v>
      </c>
      <c r="P905" s="11">
        <f>VLOOKUP(H905,'RM Used'!A:F,6,0)</f>
        <v>0.94</v>
      </c>
      <c r="Q905" s="11">
        <f t="shared" si="279"/>
        <v>0.94</v>
      </c>
      <c r="R905" s="11">
        <f>IFERROR(IF(B905="Reynolds",VLOOKUP(H905,'Yield &amp; Time'!A:U,21,0),VLOOKUP(H905,'Yield &amp; Time'!A:L,12,0)),0)</f>
        <v>0.1</v>
      </c>
      <c r="S905" s="11">
        <f t="shared" si="271"/>
        <v>3.3849999999999998E-2</v>
      </c>
      <c r="T905" s="11">
        <f t="shared" si="272"/>
        <v>1.6666666666666668E-3</v>
      </c>
      <c r="U905" s="11">
        <f>IF(A904=A905,0,VLOOKUP(A905,'Packing Time'!A:F,6,0))</f>
        <v>0.64166666666666661</v>
      </c>
      <c r="V905" s="11">
        <f t="shared" si="265"/>
        <v>0.21720416666666661</v>
      </c>
      <c r="W905" s="11">
        <f t="shared" si="266"/>
        <v>1.0694444444444444E-2</v>
      </c>
      <c r="X905" s="11">
        <f t="shared" si="273"/>
        <v>0.40168666666666664</v>
      </c>
      <c r="Y905" s="11">
        <f t="shared" si="267"/>
        <v>0.40168666666666664</v>
      </c>
      <c r="Z905" s="37">
        <v>1</v>
      </c>
      <c r="AA905" s="36">
        <f t="shared" si="274"/>
        <v>1</v>
      </c>
      <c r="AB905" s="36">
        <f t="shared" si="275"/>
        <v>0.94</v>
      </c>
      <c r="AC905" s="11">
        <f t="shared" si="276"/>
        <v>1.9777777777777776E-2</v>
      </c>
      <c r="AD905" s="36">
        <f t="shared" si="268"/>
        <v>0.40168666666666658</v>
      </c>
      <c r="AE905" s="36"/>
      <c r="AF905" s="36">
        <f>IFERROR(VLOOKUP(AE905,'Chemical Cost'!A:D,4,0),0)</f>
        <v>0</v>
      </c>
      <c r="AG905" s="114">
        <f t="shared" si="277"/>
        <v>0</v>
      </c>
      <c r="AH905" s="36">
        <f t="shared" si="262"/>
        <v>0</v>
      </c>
      <c r="AI905" s="36">
        <f t="shared" si="269"/>
        <v>1.3416866666666665</v>
      </c>
      <c r="AJ905" s="36">
        <f>IFERROR(VLOOKUP(A905,'All Products'!A:F,6,0),0)</f>
        <v>1.43</v>
      </c>
      <c r="AK905" s="36">
        <f>AJ905*Z905*J905</f>
        <v>1.43</v>
      </c>
      <c r="AL905" s="23">
        <v>1</v>
      </c>
      <c r="AM905" s="23"/>
      <c r="AN905" s="54" t="e">
        <v>#N/A</v>
      </c>
      <c r="AO905" s="47"/>
      <c r="AP905" s="4">
        <v>1.6</v>
      </c>
      <c r="AQ905" s="111">
        <f t="shared" si="278"/>
        <v>1.9777777777777776E-2</v>
      </c>
      <c r="AR905">
        <f>_xlfn.XLOOKUP(F905,'RM Cost'!A:A,'RM Cost'!S:S)</f>
        <v>0</v>
      </c>
      <c r="AS905" t="str">
        <f>_xlfn.XLOOKUP(A905,[3]Sheet1!$B:$B,[3]Sheet1!$B:$B)</f>
        <v>Z036CS</v>
      </c>
      <c r="AT905">
        <f>_xlfn.XLOOKUP(H905,'Yield &amp; Time'!A:A,'Yield &amp; Time'!F:F)</f>
        <v>0</v>
      </c>
    </row>
    <row r="906" spans="1:46" x14ac:dyDescent="0.25">
      <c r="A906" s="2" t="s">
        <v>903</v>
      </c>
      <c r="B906" s="2" t="s">
        <v>656</v>
      </c>
      <c r="C906" s="2" t="s">
        <v>904</v>
      </c>
      <c r="D906" s="2" t="s">
        <v>554</v>
      </c>
      <c r="E906" s="2">
        <v>1</v>
      </c>
      <c r="F906" s="1" t="str">
        <f>VLOOKUP(H906,'RM Used'!A:B,2,0)</f>
        <v>P0008</v>
      </c>
      <c r="G906" s="1" t="str">
        <f>IFERROR(VLOOKUP(F906,'RM Cost'!A:B,2,0),"")</f>
        <v>PALE BLUE BAG 470X750MM</v>
      </c>
      <c r="H906" s="2" t="s">
        <v>1323</v>
      </c>
      <c r="I906" s="1" t="str">
        <f>VLOOKUP(F906,'RM Used'!B:D,3,0)</f>
        <v>RM-PACKING</v>
      </c>
      <c r="J906" s="66">
        <v>1</v>
      </c>
      <c r="K906" s="35" t="str">
        <f t="shared" si="264"/>
        <v/>
      </c>
      <c r="L906" s="35">
        <f t="shared" si="270"/>
        <v>0</v>
      </c>
      <c r="M906" s="77" t="str" cm="1">
        <f t="array" ref="M906">_xlfn.IFS(BOM!I906="RM-PACKING","100%",B906="Reynolds",VLOOKUP(H906,'Yield &amp; Time'!A:V,22,0),BOM!B906="Dnata",VLOOKUP(BOM!H906,'Yield &amp; Time'!A:M,13,0),B906="NK",VLOOKUP(H906,'Yield &amp; Time'!A:X,24,0))</f>
        <v>100%</v>
      </c>
      <c r="N906" s="35">
        <f t="shared" si="263"/>
        <v>1</v>
      </c>
      <c r="O906" s="1" t="str">
        <f>VLOOKUP(H906,'RM Used'!A:E,5,0)</f>
        <v>Count</v>
      </c>
      <c r="P906" s="11">
        <f>VLOOKUP(H906,'RM Used'!A:F,6,0)</f>
        <v>0.14000000000000001</v>
      </c>
      <c r="Q906" s="11">
        <f t="shared" si="279"/>
        <v>0.14000000000000001</v>
      </c>
      <c r="R906" s="11">
        <f>IFERROR(IF(B906="Reynolds",VLOOKUP(H906,'Yield &amp; Time'!A:U,21,0),VLOOKUP(H906,'Yield &amp; Time'!A:L,12,0)),0)</f>
        <v>0</v>
      </c>
      <c r="S906" s="11">
        <f t="shared" si="271"/>
        <v>0</v>
      </c>
      <c r="T906" s="11">
        <f t="shared" si="272"/>
        <v>0</v>
      </c>
      <c r="U906" s="11">
        <f>IF(A905=A906,0,VLOOKUP(A906,'Packing Time'!A:F,6,0))</f>
        <v>0</v>
      </c>
      <c r="V906" s="11">
        <f t="shared" si="265"/>
        <v>0</v>
      </c>
      <c r="W906" s="11">
        <f t="shared" si="266"/>
        <v>0</v>
      </c>
      <c r="X906" s="11">
        <f t="shared" si="273"/>
        <v>0</v>
      </c>
      <c r="Y906" s="11">
        <f t="shared" si="267"/>
        <v>0</v>
      </c>
      <c r="Z906" s="37">
        <v>1</v>
      </c>
      <c r="AA906" s="36">
        <f t="shared" si="274"/>
        <v>1</v>
      </c>
      <c r="AB906" s="36">
        <f t="shared" si="275"/>
        <v>0.14000000000000001</v>
      </c>
      <c r="AC906" s="11">
        <f t="shared" si="276"/>
        <v>0</v>
      </c>
      <c r="AD906" s="36">
        <f t="shared" si="268"/>
        <v>0</v>
      </c>
      <c r="AE906" s="36"/>
      <c r="AF906" s="36">
        <f>IFERROR(VLOOKUP(AE906,'Chemical Cost'!A:D,4,0),0)</f>
        <v>0</v>
      </c>
      <c r="AG906" s="114">
        <f t="shared" si="277"/>
        <v>0</v>
      </c>
      <c r="AH906" s="36">
        <f t="shared" si="262"/>
        <v>0</v>
      </c>
      <c r="AI906" s="36">
        <f t="shared" si="269"/>
        <v>0.14000000000000001</v>
      </c>
      <c r="AJ906" s="36">
        <f>IFERROR(VLOOKUP(A906,'All Products'!A:F,6,0),0)</f>
        <v>1.43</v>
      </c>
      <c r="AK906" s="36"/>
      <c r="AL906" s="23">
        <v>1</v>
      </c>
      <c r="AM906" s="23"/>
      <c r="AN906" s="54" t="e">
        <v>#N/A</v>
      </c>
      <c r="AO906" s="47"/>
      <c r="AP906" s="4">
        <v>1.6</v>
      </c>
      <c r="AQ906" s="111">
        <f t="shared" si="278"/>
        <v>0</v>
      </c>
      <c r="AR906">
        <f>_xlfn.XLOOKUP(F906,'RM Cost'!A:A,'RM Cost'!S:S)</f>
        <v>0</v>
      </c>
      <c r="AS906" t="str">
        <f>_xlfn.XLOOKUP(A906,[3]Sheet1!$B:$B,[3]Sheet1!$B:$B)</f>
        <v>Z036CS</v>
      </c>
      <c r="AT906" t="e">
        <f>_xlfn.XLOOKUP(H906,'Yield &amp; Time'!A:A,'Yield &amp; Time'!F:F)</f>
        <v>#N/A</v>
      </c>
    </row>
    <row r="907" spans="1:46" x14ac:dyDescent="0.25">
      <c r="A907" s="2" t="s">
        <v>905</v>
      </c>
      <c r="B907" s="2" t="s">
        <v>656</v>
      </c>
      <c r="C907" s="2" t="s">
        <v>906</v>
      </c>
      <c r="D907" s="2" t="s">
        <v>554</v>
      </c>
      <c r="E907" s="2">
        <v>2.5</v>
      </c>
      <c r="F907" s="1" t="str">
        <f>VLOOKUP(H907,'RM Used'!A:B,2,0)</f>
        <v>026BCS</v>
      </c>
      <c r="G907" s="1" t="str">
        <f>IFERROR(VLOOKUP(F907,'RM Cost'!A:B,2,0),"")</f>
        <v>RM - POTATO - MIDS 35-45MM X 10KG</v>
      </c>
      <c r="H907" s="2" t="s">
        <v>1558</v>
      </c>
      <c r="I907" s="1" t="str">
        <f>VLOOKUP(F907,'RM Used'!B:D,3,0)</f>
        <v>RM-FOOD</v>
      </c>
      <c r="J907" s="66">
        <v>1</v>
      </c>
      <c r="K907" s="35">
        <f t="shared" si="264"/>
        <v>2.5</v>
      </c>
      <c r="L907" s="35">
        <f t="shared" si="270"/>
        <v>2.5</v>
      </c>
      <c r="M907" s="77" cm="1">
        <f t="array" ref="M907">_xlfn.IFS(BOM!I907="RM-PACKING","100%",B907="Reynolds",VLOOKUP(H907,'Yield &amp; Time'!A:V,22,0),BOM!B907="Dnata",VLOOKUP(BOM!H907,'Yield &amp; Time'!A:M,13,0),B907="NK",VLOOKUP(H907,'Yield &amp; Time'!A:X,24,0))</f>
        <v>1</v>
      </c>
      <c r="N907" s="35">
        <f t="shared" si="263"/>
        <v>2.5</v>
      </c>
      <c r="O907" s="1" t="str">
        <f>VLOOKUP(H907,'RM Used'!A:E,5,0)</f>
        <v>KG</v>
      </c>
      <c r="P907" s="11">
        <f>VLOOKUP(H907,'RM Used'!A:F,6,0)</f>
        <v>0.94</v>
      </c>
      <c r="Q907" s="11">
        <f t="shared" si="279"/>
        <v>2.3499999999999996</v>
      </c>
      <c r="R907" s="11">
        <f>IFERROR(IF(B907="Reynolds",VLOOKUP(H907,'Yield &amp; Time'!A:U,21,0),VLOOKUP(H907,'Yield &amp; Time'!A:L,12,0)),0)</f>
        <v>0.1</v>
      </c>
      <c r="S907" s="11">
        <f t="shared" si="271"/>
        <v>8.4624999999999992E-2</v>
      </c>
      <c r="T907" s="11">
        <f t="shared" si="272"/>
        <v>4.1666666666666666E-3</v>
      </c>
      <c r="U907" s="11">
        <f>IF(A906=A907,0,VLOOKUP(A907,'Packing Time'!A:F,6,0))</f>
        <v>0.875</v>
      </c>
      <c r="V907" s="11">
        <f t="shared" si="265"/>
        <v>0.29618749999999999</v>
      </c>
      <c r="W907" s="11">
        <f t="shared" si="266"/>
        <v>1.4583333333333334E-2</v>
      </c>
      <c r="X907" s="11">
        <f t="shared" si="273"/>
        <v>0.60929999999999995</v>
      </c>
      <c r="Y907" s="11">
        <f t="shared" si="267"/>
        <v>0.60929999999999995</v>
      </c>
      <c r="Z907" s="37">
        <v>1</v>
      </c>
      <c r="AA907" s="36">
        <f t="shared" si="274"/>
        <v>2.5</v>
      </c>
      <c r="AB907" s="36">
        <f t="shared" si="275"/>
        <v>2.3499999999999996</v>
      </c>
      <c r="AC907" s="11">
        <f t="shared" si="276"/>
        <v>0.03</v>
      </c>
      <c r="AD907" s="36">
        <f t="shared" si="268"/>
        <v>0.60929999999999984</v>
      </c>
      <c r="AE907" s="36"/>
      <c r="AF907" s="36">
        <f>IFERROR(VLOOKUP(AE907,'Chemical Cost'!A:D,4,0),0)</f>
        <v>0</v>
      </c>
      <c r="AG907" s="114">
        <f t="shared" si="277"/>
        <v>0</v>
      </c>
      <c r="AH907" s="36">
        <f t="shared" si="262"/>
        <v>0</v>
      </c>
      <c r="AI907" s="36">
        <f t="shared" si="269"/>
        <v>2.9592999999999998</v>
      </c>
      <c r="AJ907" s="36">
        <f>IFERROR(VLOOKUP(A907,'All Products'!A:F,6,0),0)</f>
        <v>3.57</v>
      </c>
      <c r="AK907" s="36">
        <f>AJ907*Z907*J907</f>
        <v>3.57</v>
      </c>
      <c r="AL907" s="23">
        <v>1</v>
      </c>
      <c r="AM907" s="23"/>
      <c r="AN907" s="54" t="e">
        <v>#N/A</v>
      </c>
      <c r="AO907" s="47"/>
      <c r="AP907" s="4">
        <v>1.6</v>
      </c>
      <c r="AQ907" s="111">
        <f t="shared" si="278"/>
        <v>0.03</v>
      </c>
      <c r="AR907">
        <f>_xlfn.XLOOKUP(F907,'RM Cost'!A:A,'RM Cost'!S:S)</f>
        <v>0</v>
      </c>
      <c r="AS907" t="e">
        <f>_xlfn.XLOOKUP(A907,[3]Sheet1!$B:$B,[3]Sheet1!$B:$B)</f>
        <v>#N/A</v>
      </c>
    </row>
    <row r="908" spans="1:46" x14ac:dyDescent="0.25">
      <c r="A908" s="2" t="s">
        <v>905</v>
      </c>
      <c r="B908" s="2" t="s">
        <v>656</v>
      </c>
      <c r="C908" s="2" t="s">
        <v>906</v>
      </c>
      <c r="D908" s="2" t="s">
        <v>554</v>
      </c>
      <c r="E908" s="2">
        <v>2.5</v>
      </c>
      <c r="F908" s="1" t="str">
        <f>VLOOKUP(H908,'RM Used'!A:B,2,0)</f>
        <v>P0008</v>
      </c>
      <c r="G908" s="1" t="str">
        <f>IFERROR(VLOOKUP(F908,'RM Cost'!A:B,2,0),"")</f>
        <v>PALE BLUE BAG 470X750MM</v>
      </c>
      <c r="H908" s="2" t="s">
        <v>1323</v>
      </c>
      <c r="I908" s="1" t="str">
        <f>VLOOKUP(F908,'RM Used'!B:D,3,0)</f>
        <v>RM-PACKING</v>
      </c>
      <c r="J908" s="66">
        <v>1</v>
      </c>
      <c r="K908" s="35" t="str">
        <f t="shared" si="264"/>
        <v/>
      </c>
      <c r="L908" s="35">
        <f t="shared" si="270"/>
        <v>0</v>
      </c>
      <c r="M908" s="77" t="str" cm="1">
        <f t="array" ref="M908">_xlfn.IFS(BOM!I908="RM-PACKING","100%",B908="Reynolds",VLOOKUP(H908,'Yield &amp; Time'!A:V,22,0),BOM!B908="Dnata",VLOOKUP(BOM!H908,'Yield &amp; Time'!A:M,13,0),B908="NK",VLOOKUP(H908,'Yield &amp; Time'!A:X,24,0))</f>
        <v>100%</v>
      </c>
      <c r="N908" s="35">
        <f t="shared" si="263"/>
        <v>1</v>
      </c>
      <c r="O908" s="1" t="str">
        <f>VLOOKUP(H908,'RM Used'!A:E,5,0)</f>
        <v>Count</v>
      </c>
      <c r="P908" s="11">
        <f>VLOOKUP(H908,'RM Used'!A:F,6,0)</f>
        <v>0.14000000000000001</v>
      </c>
      <c r="Q908" s="11">
        <f t="shared" si="279"/>
        <v>0.14000000000000001</v>
      </c>
      <c r="R908" s="11">
        <f>IFERROR(IF(B908="Reynolds",VLOOKUP(H908,'Yield &amp; Time'!A:U,21,0),VLOOKUP(H908,'Yield &amp; Time'!A:L,12,0)),0)</f>
        <v>0</v>
      </c>
      <c r="S908" s="11">
        <f t="shared" si="271"/>
        <v>0</v>
      </c>
      <c r="T908" s="11">
        <f t="shared" si="272"/>
        <v>0</v>
      </c>
      <c r="U908" s="11">
        <f>IF(A907=A908,0,VLOOKUP(A908,'Packing Time'!A:F,6,0))</f>
        <v>0</v>
      </c>
      <c r="V908" s="11">
        <f t="shared" si="265"/>
        <v>0</v>
      </c>
      <c r="W908" s="11">
        <f t="shared" si="266"/>
        <v>0</v>
      </c>
      <c r="X908" s="11">
        <f t="shared" si="273"/>
        <v>0</v>
      </c>
      <c r="Y908" s="11">
        <f t="shared" si="267"/>
        <v>0</v>
      </c>
      <c r="Z908" s="37">
        <v>1</v>
      </c>
      <c r="AA908" s="36">
        <f t="shared" si="274"/>
        <v>1</v>
      </c>
      <c r="AB908" s="36">
        <f t="shared" si="275"/>
        <v>0.14000000000000001</v>
      </c>
      <c r="AC908" s="11">
        <f t="shared" si="276"/>
        <v>0</v>
      </c>
      <c r="AD908" s="36">
        <f t="shared" si="268"/>
        <v>0</v>
      </c>
      <c r="AE908" s="36"/>
      <c r="AF908" s="36">
        <f>IFERROR(VLOOKUP(AE908,'Chemical Cost'!A:D,4,0),0)</f>
        <v>0</v>
      </c>
      <c r="AG908" s="114">
        <f t="shared" si="277"/>
        <v>0</v>
      </c>
      <c r="AH908" s="36">
        <f t="shared" si="262"/>
        <v>0</v>
      </c>
      <c r="AI908" s="36">
        <f t="shared" si="269"/>
        <v>0.14000000000000001</v>
      </c>
      <c r="AJ908" s="36">
        <f>IFERROR(VLOOKUP(A908,'All Products'!A:F,6,0),0)</f>
        <v>3.57</v>
      </c>
      <c r="AK908" s="36"/>
      <c r="AL908" s="23">
        <v>1</v>
      </c>
      <c r="AM908" s="23"/>
      <c r="AN908" s="54" t="e">
        <v>#N/A</v>
      </c>
      <c r="AO908" s="47"/>
      <c r="AP908" s="4">
        <v>1.6</v>
      </c>
      <c r="AQ908" s="111">
        <f t="shared" si="278"/>
        <v>0</v>
      </c>
      <c r="AR908">
        <f>_xlfn.XLOOKUP(F908,'RM Cost'!A:A,'RM Cost'!S:S)</f>
        <v>0</v>
      </c>
      <c r="AS908" t="e">
        <f>_xlfn.XLOOKUP(A908,[3]Sheet1!$B:$B,[3]Sheet1!$B:$B)</f>
        <v>#N/A</v>
      </c>
    </row>
    <row r="909" spans="1:46" x14ac:dyDescent="0.25">
      <c r="A909" s="2" t="s">
        <v>152</v>
      </c>
      <c r="B909" s="2" t="s">
        <v>656</v>
      </c>
      <c r="C909" s="2" t="s">
        <v>153</v>
      </c>
      <c r="D909" s="2" t="s">
        <v>554</v>
      </c>
      <c r="E909" s="2">
        <v>1</v>
      </c>
      <c r="F909" s="1" t="str">
        <f>VLOOKUP(H909,'RM Used'!A:B,2,0)</f>
        <v>026BCS</v>
      </c>
      <c r="G909" s="1" t="str">
        <f>IFERROR(VLOOKUP(F909,'RM Cost'!A:B,2,0),"")</f>
        <v>RM - POTATO - MIDS 35-45MM X 10KG</v>
      </c>
      <c r="H909" s="2" t="s">
        <v>1559</v>
      </c>
      <c r="I909" s="1" t="str">
        <f>VLOOKUP(F909,'RM Used'!B:D,3,0)</f>
        <v>RM-FOOD</v>
      </c>
      <c r="J909" s="66">
        <v>1</v>
      </c>
      <c r="K909" s="35">
        <f t="shared" si="264"/>
        <v>1</v>
      </c>
      <c r="L909" s="35">
        <f t="shared" si="270"/>
        <v>1</v>
      </c>
      <c r="M909" s="77" cm="1">
        <f t="array" ref="M909">_xlfn.IFS(BOM!I909="RM-PACKING","100%",B909="Reynolds",VLOOKUP(H909,'Yield &amp; Time'!A:V,22,0),BOM!B909="Dnata",VLOOKUP(BOM!H909,'Yield &amp; Time'!A:M,13,0),B909="NK",VLOOKUP(H909,'Yield &amp; Time'!A:X,24,0))</f>
        <v>1</v>
      </c>
      <c r="N909" s="35">
        <f t="shared" si="263"/>
        <v>1</v>
      </c>
      <c r="O909" s="1" t="str">
        <f>VLOOKUP(H909,'RM Used'!A:E,5,0)</f>
        <v>KG</v>
      </c>
      <c r="P909" s="11">
        <f>VLOOKUP(H909,'RM Used'!A:F,6,0)</f>
        <v>0.94</v>
      </c>
      <c r="Q909" s="11">
        <f t="shared" si="279"/>
        <v>0.94</v>
      </c>
      <c r="R909" s="11">
        <f>IFERROR(IF(B909="Reynolds",VLOOKUP(H909,'Yield &amp; Time'!A:U,21,0),VLOOKUP(H909,'Yield &amp; Time'!A:L,12,0)),0)</f>
        <v>1.1000000000000001</v>
      </c>
      <c r="S909" s="11">
        <f t="shared" si="271"/>
        <v>0.37235000000000001</v>
      </c>
      <c r="T909" s="11">
        <f t="shared" si="272"/>
        <v>1.8333333333333333E-2</v>
      </c>
      <c r="U909" s="11">
        <f>IF(A908=A909,0,VLOOKUP(A909,'Packing Time'!A:F,6,0))</f>
        <v>0.64166666666666661</v>
      </c>
      <c r="V909" s="11">
        <f t="shared" si="265"/>
        <v>0.21720416666666661</v>
      </c>
      <c r="W909" s="11">
        <f t="shared" si="266"/>
        <v>1.0694444444444444E-2</v>
      </c>
      <c r="X909" s="11">
        <f t="shared" si="273"/>
        <v>0.8253758333333332</v>
      </c>
      <c r="Y909" s="11">
        <f t="shared" si="267"/>
        <v>0.8253758333333332</v>
      </c>
      <c r="Z909" s="37">
        <v>1</v>
      </c>
      <c r="AA909" s="36">
        <f t="shared" si="274"/>
        <v>1</v>
      </c>
      <c r="AB909" s="36">
        <f t="shared" si="275"/>
        <v>0.94</v>
      </c>
      <c r="AC909" s="11">
        <f t="shared" si="276"/>
        <v>4.0638888888888884E-2</v>
      </c>
      <c r="AD909" s="36">
        <f t="shared" si="268"/>
        <v>0.8253758333333332</v>
      </c>
      <c r="AE909" s="36" t="str">
        <f>VLOOKUP(H909,'Yield &amp; Time'!A:I,9,0)</f>
        <v>SODIUM METABISULPHITE</v>
      </c>
      <c r="AF909" s="36">
        <f>IFERROR(VLOOKUP(AE909,'Chemical Cost'!A:D,4,0),0)</f>
        <v>9.7586225455882462E-3</v>
      </c>
      <c r="AG909" s="114">
        <f t="shared" si="277"/>
        <v>3.2528741818627486E-3</v>
      </c>
      <c r="AH909" s="36">
        <f t="shared" si="262"/>
        <v>3.2528741818627486E-3</v>
      </c>
      <c r="AI909" s="36">
        <f t="shared" si="269"/>
        <v>1.7686287075151959</v>
      </c>
      <c r="AJ909" s="36">
        <f>IFERROR(VLOOKUP(A909,'All Products'!A:F,6,0),0)</f>
        <v>1.91</v>
      </c>
      <c r="AK909" s="36">
        <f>AJ909*Z909*J909</f>
        <v>1.91</v>
      </c>
      <c r="AL909" s="23">
        <v>1</v>
      </c>
      <c r="AM909" s="23"/>
      <c r="AN909" s="54" t="e">
        <v>#N/A</v>
      </c>
      <c r="AO909" s="47"/>
      <c r="AP909" s="4">
        <v>1.4</v>
      </c>
      <c r="AQ909" s="111">
        <f t="shared" si="278"/>
        <v>4.0638888888888884E-2</v>
      </c>
      <c r="AR909">
        <f>_xlfn.XLOOKUP(F909,'RM Cost'!A:A,'RM Cost'!S:S)</f>
        <v>0</v>
      </c>
      <c r="AS909" t="e">
        <f>_xlfn.XLOOKUP(A909,[3]Sheet1!$B:$B,[3]Sheet1!$B:$B)</f>
        <v>#N/A</v>
      </c>
    </row>
    <row r="910" spans="1:46" x14ac:dyDescent="0.25">
      <c r="A910" s="2" t="s">
        <v>152</v>
      </c>
      <c r="B910" s="2" t="s">
        <v>656</v>
      </c>
      <c r="C910" s="2" t="s">
        <v>153</v>
      </c>
      <c r="D910" s="2" t="s">
        <v>554</v>
      </c>
      <c r="E910" s="2">
        <v>1</v>
      </c>
      <c r="F910" s="1" t="str">
        <f>VLOOKUP(H910,'RM Used'!A:B,2,0)</f>
        <v>P0008</v>
      </c>
      <c r="G910" s="1" t="str">
        <f>IFERROR(VLOOKUP(F910,'RM Cost'!A:B,2,0),"")</f>
        <v>PALE BLUE BAG 470X750MM</v>
      </c>
      <c r="H910" s="2" t="s">
        <v>1323</v>
      </c>
      <c r="I910" s="1" t="str">
        <f>VLOOKUP(F910,'RM Used'!B:D,3,0)</f>
        <v>RM-PACKING</v>
      </c>
      <c r="J910" s="66">
        <v>1</v>
      </c>
      <c r="K910" s="35" t="str">
        <f t="shared" si="264"/>
        <v/>
      </c>
      <c r="L910" s="35">
        <f t="shared" si="270"/>
        <v>0</v>
      </c>
      <c r="M910" s="77" t="str" cm="1">
        <f t="array" ref="M910">_xlfn.IFS(BOM!I910="RM-PACKING","100%",B910="Reynolds",VLOOKUP(H910,'Yield &amp; Time'!A:V,22,0),BOM!B910="Dnata",VLOOKUP(BOM!H910,'Yield &amp; Time'!A:M,13,0),B910="NK",VLOOKUP(H910,'Yield &amp; Time'!A:X,24,0))</f>
        <v>100%</v>
      </c>
      <c r="N910" s="35">
        <f t="shared" si="263"/>
        <v>1</v>
      </c>
      <c r="O910" s="1" t="str">
        <f>VLOOKUP(H910,'RM Used'!A:E,5,0)</f>
        <v>Count</v>
      </c>
      <c r="P910" s="11">
        <f>VLOOKUP(H910,'RM Used'!A:F,6,0)</f>
        <v>0.14000000000000001</v>
      </c>
      <c r="Q910" s="11">
        <f t="shared" si="279"/>
        <v>0.14000000000000001</v>
      </c>
      <c r="R910" s="11">
        <f>IFERROR(IF(B910="Reynolds",VLOOKUP(H910,'Yield &amp; Time'!A:U,21,0),VLOOKUP(H910,'Yield &amp; Time'!A:L,12,0)),0)</f>
        <v>0</v>
      </c>
      <c r="S910" s="11">
        <f t="shared" si="271"/>
        <v>0</v>
      </c>
      <c r="T910" s="11">
        <f t="shared" si="272"/>
        <v>0</v>
      </c>
      <c r="U910" s="11">
        <f>IF(A909=A910,0,VLOOKUP(A910,'Packing Time'!A:F,6,0))</f>
        <v>0</v>
      </c>
      <c r="V910" s="11">
        <f t="shared" si="265"/>
        <v>0</v>
      </c>
      <c r="W910" s="11">
        <f t="shared" si="266"/>
        <v>0</v>
      </c>
      <c r="X910" s="11">
        <f t="shared" si="273"/>
        <v>0</v>
      </c>
      <c r="Y910" s="11">
        <f t="shared" si="267"/>
        <v>0</v>
      </c>
      <c r="Z910" s="37">
        <v>1</v>
      </c>
      <c r="AA910" s="36">
        <f t="shared" si="274"/>
        <v>1</v>
      </c>
      <c r="AB910" s="36">
        <f t="shared" si="275"/>
        <v>0.14000000000000001</v>
      </c>
      <c r="AC910" s="11">
        <f t="shared" si="276"/>
        <v>0</v>
      </c>
      <c r="AD910" s="36">
        <f t="shared" si="268"/>
        <v>0</v>
      </c>
      <c r="AE910" s="36"/>
      <c r="AF910" s="36">
        <f>IFERROR(VLOOKUP(AE910,'Chemical Cost'!A:D,4,0),0)</f>
        <v>0</v>
      </c>
      <c r="AG910" s="114">
        <f t="shared" si="277"/>
        <v>0</v>
      </c>
      <c r="AH910" s="36">
        <f t="shared" si="262"/>
        <v>0</v>
      </c>
      <c r="AI910" s="36">
        <f t="shared" si="269"/>
        <v>0.14000000000000001</v>
      </c>
      <c r="AJ910" s="36">
        <f>IFERROR(VLOOKUP(A910,'All Products'!A:F,6,0),0)</f>
        <v>1.91</v>
      </c>
      <c r="AK910" s="36"/>
      <c r="AL910" s="23">
        <v>1</v>
      </c>
      <c r="AM910" s="23"/>
      <c r="AN910" s="54" t="e">
        <v>#N/A</v>
      </c>
      <c r="AO910" s="47"/>
      <c r="AP910" s="4">
        <v>1.4</v>
      </c>
      <c r="AQ910" s="111">
        <f t="shared" si="278"/>
        <v>0</v>
      </c>
      <c r="AR910">
        <f>_xlfn.XLOOKUP(F910,'RM Cost'!A:A,'RM Cost'!S:S)</f>
        <v>0</v>
      </c>
      <c r="AS910" t="e">
        <f>_xlfn.XLOOKUP(A910,[3]Sheet1!$B:$B,[3]Sheet1!$B:$B)</f>
        <v>#N/A</v>
      </c>
    </row>
    <row r="911" spans="1:46" x14ac:dyDescent="0.25">
      <c r="A911" s="2" t="s">
        <v>150</v>
      </c>
      <c r="B911" s="2" t="s">
        <v>656</v>
      </c>
      <c r="C911" s="2" t="s">
        <v>151</v>
      </c>
      <c r="D911" s="2" t="s">
        <v>554</v>
      </c>
      <c r="E911" s="2">
        <v>2.5</v>
      </c>
      <c r="F911" s="1" t="str">
        <f>VLOOKUP(H911,'RM Used'!A:B,2,0)</f>
        <v>026BCS</v>
      </c>
      <c r="G911" s="1" t="str">
        <f>IFERROR(VLOOKUP(F911,'RM Cost'!A:B,2,0),"")</f>
        <v>RM - POTATO - MIDS 35-45MM X 10KG</v>
      </c>
      <c r="H911" s="2" t="s">
        <v>1559</v>
      </c>
      <c r="I911" s="1" t="str">
        <f>VLOOKUP(F911,'RM Used'!B:D,3,0)</f>
        <v>RM-FOOD</v>
      </c>
      <c r="J911" s="66">
        <v>1</v>
      </c>
      <c r="K911" s="35">
        <f t="shared" si="264"/>
        <v>2.5</v>
      </c>
      <c r="L911" s="35">
        <f t="shared" si="270"/>
        <v>2.5</v>
      </c>
      <c r="M911" s="77" cm="1">
        <f t="array" ref="M911">_xlfn.IFS(BOM!I911="RM-PACKING","100%",B911="Reynolds",VLOOKUP(H911,'Yield &amp; Time'!A:V,22,0),BOM!B911="Dnata",VLOOKUP(BOM!H911,'Yield &amp; Time'!A:M,13,0),B911="NK",VLOOKUP(H911,'Yield &amp; Time'!A:X,24,0))</f>
        <v>1</v>
      </c>
      <c r="N911" s="35">
        <f t="shared" si="263"/>
        <v>2.5</v>
      </c>
      <c r="O911" s="1" t="str">
        <f>VLOOKUP(H911,'RM Used'!A:E,5,0)</f>
        <v>KG</v>
      </c>
      <c r="P911" s="11">
        <f>VLOOKUP(H911,'RM Used'!A:F,6,0)</f>
        <v>0.94</v>
      </c>
      <c r="Q911" s="11">
        <f t="shared" si="279"/>
        <v>2.3499999999999996</v>
      </c>
      <c r="R911" s="11">
        <f>IFERROR(IF(B911="Reynolds",VLOOKUP(H911,'Yield &amp; Time'!A:U,21,0),VLOOKUP(H911,'Yield &amp; Time'!A:L,12,0)),0)</f>
        <v>1.1000000000000001</v>
      </c>
      <c r="S911" s="11">
        <f t="shared" si="271"/>
        <v>0.9308749999999999</v>
      </c>
      <c r="T911" s="11">
        <f t="shared" si="272"/>
        <v>4.583333333333333E-2</v>
      </c>
      <c r="U911" s="11">
        <f>IF(A910=A911,0,VLOOKUP(A911,'Packing Time'!A:F,6,0))</f>
        <v>0.875</v>
      </c>
      <c r="V911" s="11">
        <f t="shared" si="265"/>
        <v>0.29618749999999999</v>
      </c>
      <c r="W911" s="11">
        <f t="shared" si="266"/>
        <v>1.4583333333333334E-2</v>
      </c>
      <c r="X911" s="11">
        <f t="shared" si="273"/>
        <v>1.34976875</v>
      </c>
      <c r="Y911" s="11">
        <f t="shared" si="267"/>
        <v>1.34976875</v>
      </c>
      <c r="Z911" s="37">
        <v>1</v>
      </c>
      <c r="AA911" s="36">
        <f t="shared" si="274"/>
        <v>2.5</v>
      </c>
      <c r="AB911" s="36">
        <f t="shared" si="275"/>
        <v>2.3499999999999996</v>
      </c>
      <c r="AC911" s="11">
        <f t="shared" si="276"/>
        <v>6.6458333333333341E-2</v>
      </c>
      <c r="AD911" s="36">
        <f t="shared" si="268"/>
        <v>1.3497687500000002</v>
      </c>
      <c r="AE911" s="36" t="str">
        <f>VLOOKUP(H911,'Yield &amp; Time'!A:I,9,0)</f>
        <v>SODIUM METABISULPHITE</v>
      </c>
      <c r="AF911" s="36">
        <f>IFERROR(VLOOKUP(AE911,'Chemical Cost'!A:D,4,0),0)</f>
        <v>9.7586225455882462E-3</v>
      </c>
      <c r="AG911" s="114">
        <f t="shared" si="277"/>
        <v>8.132185454656873E-3</v>
      </c>
      <c r="AH911" s="36">
        <f t="shared" si="262"/>
        <v>8.132185454656873E-3</v>
      </c>
      <c r="AI911" s="36">
        <f t="shared" si="269"/>
        <v>3.7079009354546564</v>
      </c>
      <c r="AJ911" s="36">
        <f>IFERROR(VLOOKUP(A911,'All Products'!A:F,6,0),0)</f>
        <v>4.78</v>
      </c>
      <c r="AK911" s="36">
        <f>AJ911*Z911*J911</f>
        <v>4.78</v>
      </c>
      <c r="AL911" s="23">
        <v>1</v>
      </c>
      <c r="AM911" s="23"/>
      <c r="AN911" s="54" t="e">
        <v>#N/A</v>
      </c>
      <c r="AO911" s="47"/>
      <c r="AP911" s="4">
        <v>1.1000000000000001</v>
      </c>
      <c r="AQ911" s="111">
        <f t="shared" si="278"/>
        <v>6.6458333333333341E-2</v>
      </c>
      <c r="AR911">
        <f>_xlfn.XLOOKUP(F911,'RM Cost'!A:A,'RM Cost'!S:S)</f>
        <v>0</v>
      </c>
      <c r="AS911" t="e">
        <f>_xlfn.XLOOKUP(A911,[3]Sheet1!$B:$B,[3]Sheet1!$B:$B)</f>
        <v>#N/A</v>
      </c>
    </row>
    <row r="912" spans="1:46" x14ac:dyDescent="0.25">
      <c r="A912" s="2" t="s">
        <v>150</v>
      </c>
      <c r="B912" s="2" t="s">
        <v>656</v>
      </c>
      <c r="C912" s="2" t="s">
        <v>151</v>
      </c>
      <c r="D912" s="2" t="s">
        <v>554</v>
      </c>
      <c r="E912" s="2">
        <v>2.5</v>
      </c>
      <c r="F912" s="1" t="str">
        <f>VLOOKUP(H912,'RM Used'!A:B,2,0)</f>
        <v>P0008</v>
      </c>
      <c r="G912" s="1" t="str">
        <f>IFERROR(VLOOKUP(F912,'RM Cost'!A:B,2,0),"")</f>
        <v>PALE BLUE BAG 470X750MM</v>
      </c>
      <c r="H912" s="2" t="s">
        <v>1323</v>
      </c>
      <c r="I912" s="1" t="str">
        <f>VLOOKUP(F912,'RM Used'!B:D,3,0)</f>
        <v>RM-PACKING</v>
      </c>
      <c r="J912" s="66">
        <v>1</v>
      </c>
      <c r="K912" s="35" t="str">
        <f t="shared" si="264"/>
        <v/>
      </c>
      <c r="L912" s="35">
        <f t="shared" si="270"/>
        <v>0</v>
      </c>
      <c r="M912" s="77" t="str" cm="1">
        <f t="array" ref="M912">_xlfn.IFS(BOM!I912="RM-PACKING","100%",B912="Reynolds",VLOOKUP(H912,'Yield &amp; Time'!A:V,22,0),BOM!B912="Dnata",VLOOKUP(BOM!H912,'Yield &amp; Time'!A:M,13,0),B912="NK",VLOOKUP(H912,'Yield &amp; Time'!A:X,24,0))</f>
        <v>100%</v>
      </c>
      <c r="N912" s="35">
        <f t="shared" si="263"/>
        <v>1</v>
      </c>
      <c r="O912" s="1" t="str">
        <f>VLOOKUP(H912,'RM Used'!A:E,5,0)</f>
        <v>Count</v>
      </c>
      <c r="P912" s="11">
        <f>VLOOKUP(H912,'RM Used'!A:F,6,0)</f>
        <v>0.14000000000000001</v>
      </c>
      <c r="Q912" s="11">
        <f t="shared" si="279"/>
        <v>0.14000000000000001</v>
      </c>
      <c r="R912" s="11">
        <f>IFERROR(IF(B912="Reynolds",VLOOKUP(H912,'Yield &amp; Time'!A:U,21,0),VLOOKUP(H912,'Yield &amp; Time'!A:L,12,0)),0)</f>
        <v>0</v>
      </c>
      <c r="S912" s="11">
        <f t="shared" si="271"/>
        <v>0</v>
      </c>
      <c r="T912" s="11">
        <f t="shared" si="272"/>
        <v>0</v>
      </c>
      <c r="U912" s="11">
        <f>IF(A911=A912,0,VLOOKUP(A912,'Packing Time'!A:F,6,0))</f>
        <v>0</v>
      </c>
      <c r="V912" s="11">
        <f t="shared" si="265"/>
        <v>0</v>
      </c>
      <c r="W912" s="11">
        <f t="shared" si="266"/>
        <v>0</v>
      </c>
      <c r="X912" s="11">
        <f t="shared" si="273"/>
        <v>0</v>
      </c>
      <c r="Y912" s="11">
        <f t="shared" si="267"/>
        <v>0</v>
      </c>
      <c r="Z912" s="37">
        <v>1</v>
      </c>
      <c r="AA912" s="36">
        <f t="shared" si="274"/>
        <v>1</v>
      </c>
      <c r="AB912" s="36">
        <f t="shared" si="275"/>
        <v>0.14000000000000001</v>
      </c>
      <c r="AC912" s="11">
        <f t="shared" si="276"/>
        <v>0</v>
      </c>
      <c r="AD912" s="36">
        <f t="shared" si="268"/>
        <v>0</v>
      </c>
      <c r="AE912" s="36"/>
      <c r="AF912" s="36">
        <f>IFERROR(VLOOKUP(AE912,'Chemical Cost'!A:D,4,0),0)</f>
        <v>0</v>
      </c>
      <c r="AG912" s="114">
        <f t="shared" si="277"/>
        <v>0</v>
      </c>
      <c r="AH912" s="36">
        <f t="shared" si="262"/>
        <v>0</v>
      </c>
      <c r="AI912" s="36">
        <f t="shared" si="269"/>
        <v>0.14000000000000001</v>
      </c>
      <c r="AJ912" s="36">
        <f>IFERROR(VLOOKUP(A912,'All Products'!A:F,6,0),0)</f>
        <v>4.78</v>
      </c>
      <c r="AK912" s="36"/>
      <c r="AL912" s="23">
        <v>1</v>
      </c>
      <c r="AM912" s="23"/>
      <c r="AN912" s="54" t="e">
        <v>#N/A</v>
      </c>
      <c r="AO912" s="47"/>
      <c r="AP912" s="4">
        <v>1.1000000000000001</v>
      </c>
      <c r="AQ912" s="111">
        <f t="shared" si="278"/>
        <v>0</v>
      </c>
      <c r="AR912">
        <f>_xlfn.XLOOKUP(F912,'RM Cost'!A:A,'RM Cost'!S:S)</f>
        <v>0</v>
      </c>
      <c r="AS912" t="e">
        <f>_xlfn.XLOOKUP(A912,[3]Sheet1!$B:$B,[3]Sheet1!$B:$B)</f>
        <v>#N/A</v>
      </c>
    </row>
    <row r="913" spans="1:46" x14ac:dyDescent="0.25">
      <c r="A913" s="2" t="s">
        <v>148</v>
      </c>
      <c r="B913" s="2" t="s">
        <v>656</v>
      </c>
      <c r="C913" s="2" t="s">
        <v>149</v>
      </c>
      <c r="D913" s="2" t="s">
        <v>554</v>
      </c>
      <c r="E913" s="2">
        <v>1</v>
      </c>
      <c r="F913" s="1" t="str">
        <f>VLOOKUP(H913,'RM Used'!A:B,2,0)</f>
        <v>026BCS</v>
      </c>
      <c r="G913" s="1" t="str">
        <f>IFERROR(VLOOKUP(F913,'RM Cost'!A:B,2,0),"")</f>
        <v>RM - POTATO - MIDS 35-45MM X 10KG</v>
      </c>
      <c r="H913" s="2" t="s">
        <v>1560</v>
      </c>
      <c r="I913" s="1" t="str">
        <f>VLOOKUP(F913,'RM Used'!B:D,3,0)</f>
        <v>RM-FOOD</v>
      </c>
      <c r="J913" s="66">
        <v>1</v>
      </c>
      <c r="K913" s="35">
        <f t="shared" si="264"/>
        <v>1</v>
      </c>
      <c r="L913" s="35">
        <f t="shared" si="270"/>
        <v>1</v>
      </c>
      <c r="M913" s="77" cm="1">
        <f t="array" ref="M913">_xlfn.IFS(BOM!I913="RM-PACKING","100%",B913="Reynolds",VLOOKUP(H913,'Yield &amp; Time'!A:V,22,0),BOM!B913="Dnata",VLOOKUP(BOM!H913,'Yield &amp; Time'!A:M,13,0),B913="NK",VLOOKUP(H913,'Yield &amp; Time'!A:X,24,0))</f>
        <v>1</v>
      </c>
      <c r="N913" s="35">
        <f t="shared" si="263"/>
        <v>1</v>
      </c>
      <c r="O913" s="1" t="str">
        <f>VLOOKUP(H913,'RM Used'!A:E,5,0)</f>
        <v>KG</v>
      </c>
      <c r="P913" s="11">
        <f>VLOOKUP(H913,'RM Used'!A:F,6,0)</f>
        <v>0.94</v>
      </c>
      <c r="Q913" s="11">
        <f t="shared" si="279"/>
        <v>0.94</v>
      </c>
      <c r="R913" s="11">
        <f>IFERROR(IF(B913="Reynolds",VLOOKUP(H913,'Yield &amp; Time'!A:U,21,0),VLOOKUP(H913,'Yield &amp; Time'!A:L,12,0)),0)</f>
        <v>1.5</v>
      </c>
      <c r="S913" s="11">
        <f t="shared" si="271"/>
        <v>0.50774999999999992</v>
      </c>
      <c r="T913" s="11">
        <f t="shared" si="272"/>
        <v>2.5000000000000001E-2</v>
      </c>
      <c r="U913" s="11">
        <f>IF(A912=A913,0,VLOOKUP(A913,'Packing Time'!A:F,6,0))</f>
        <v>0.64166666666666661</v>
      </c>
      <c r="V913" s="11">
        <f t="shared" si="265"/>
        <v>0.21720416666666661</v>
      </c>
      <c r="W913" s="11">
        <f t="shared" si="266"/>
        <v>1.0694444444444444E-2</v>
      </c>
      <c r="X913" s="11">
        <f t="shared" si="273"/>
        <v>1.1599266666666666</v>
      </c>
      <c r="Y913" s="11">
        <f t="shared" si="267"/>
        <v>1.1599266666666666</v>
      </c>
      <c r="Z913" s="37">
        <v>1</v>
      </c>
      <c r="AA913" s="36">
        <f t="shared" si="274"/>
        <v>1</v>
      </c>
      <c r="AB913" s="36">
        <f t="shared" si="275"/>
        <v>0.94</v>
      </c>
      <c r="AC913" s="11">
        <f t="shared" si="276"/>
        <v>5.7111111111111112E-2</v>
      </c>
      <c r="AD913" s="36">
        <f t="shared" si="268"/>
        <v>1.1599266666666666</v>
      </c>
      <c r="AE913" s="36" t="str">
        <f>VLOOKUP(H913,'Yield &amp; Time'!A:I,9,0)</f>
        <v>SODIUM METABISULPHITE</v>
      </c>
      <c r="AF913" s="36">
        <f>IFERROR(VLOOKUP(AE913,'Chemical Cost'!A:D,4,0),0)</f>
        <v>9.7586225455882462E-3</v>
      </c>
      <c r="AG913" s="114">
        <f t="shared" si="277"/>
        <v>3.2528741818627486E-3</v>
      </c>
      <c r="AH913" s="36">
        <f t="shared" si="262"/>
        <v>3.2528741818627486E-3</v>
      </c>
      <c r="AI913" s="36">
        <f t="shared" si="269"/>
        <v>2.1031795408485294</v>
      </c>
      <c r="AJ913" s="36">
        <f>IFERROR(VLOOKUP(A913,'All Products'!A:F,6,0),0)</f>
        <v>1.61</v>
      </c>
      <c r="AK913" s="36">
        <f>AJ913*Z913*J913</f>
        <v>1.61</v>
      </c>
      <c r="AL913" s="23">
        <v>1</v>
      </c>
      <c r="AM913" s="23"/>
      <c r="AN913" s="54" t="e">
        <v>#N/A</v>
      </c>
      <c r="AO913" s="47"/>
      <c r="AP913" s="4">
        <v>1.6</v>
      </c>
      <c r="AQ913" s="111">
        <f t="shared" si="278"/>
        <v>5.7111111111111112E-2</v>
      </c>
      <c r="AR913">
        <f>_xlfn.XLOOKUP(F913,'RM Cost'!A:A,'RM Cost'!S:S)</f>
        <v>0</v>
      </c>
      <c r="AS913" t="e">
        <f>_xlfn.XLOOKUP(A913,[3]Sheet1!$B:$B,[3]Sheet1!$B:$B)</f>
        <v>#N/A</v>
      </c>
    </row>
    <row r="914" spans="1:46" x14ac:dyDescent="0.25">
      <c r="A914" s="2" t="s">
        <v>148</v>
      </c>
      <c r="B914" s="2" t="s">
        <v>656</v>
      </c>
      <c r="C914" s="2" t="s">
        <v>149</v>
      </c>
      <c r="D914" s="2" t="s">
        <v>554</v>
      </c>
      <c r="E914" s="2">
        <v>1</v>
      </c>
      <c r="F914" s="1" t="str">
        <f>VLOOKUP(H914,'RM Used'!A:B,2,0)</f>
        <v>P0008</v>
      </c>
      <c r="G914" s="1" t="str">
        <f>IFERROR(VLOOKUP(F914,'RM Cost'!A:B,2,0),"")</f>
        <v>PALE BLUE BAG 470X750MM</v>
      </c>
      <c r="H914" s="2" t="s">
        <v>1323</v>
      </c>
      <c r="I914" s="1" t="str">
        <f>VLOOKUP(F914,'RM Used'!B:D,3,0)</f>
        <v>RM-PACKING</v>
      </c>
      <c r="J914" s="66">
        <v>1</v>
      </c>
      <c r="K914" s="35" t="str">
        <f t="shared" si="264"/>
        <v/>
      </c>
      <c r="L914" s="35">
        <f t="shared" si="270"/>
        <v>0</v>
      </c>
      <c r="M914" s="77" t="str" cm="1">
        <f t="array" ref="M914">_xlfn.IFS(BOM!I914="RM-PACKING","100%",B914="Reynolds",VLOOKUP(H914,'Yield &amp; Time'!A:V,22,0),BOM!B914="Dnata",VLOOKUP(BOM!H914,'Yield &amp; Time'!A:M,13,0),B914="NK",VLOOKUP(H914,'Yield &amp; Time'!A:X,24,0))</f>
        <v>100%</v>
      </c>
      <c r="N914" s="35">
        <f t="shared" si="263"/>
        <v>1</v>
      </c>
      <c r="O914" s="1" t="str">
        <f>VLOOKUP(H914,'RM Used'!A:E,5,0)</f>
        <v>Count</v>
      </c>
      <c r="P914" s="11">
        <f>VLOOKUP(H914,'RM Used'!A:F,6,0)</f>
        <v>0.14000000000000001</v>
      </c>
      <c r="Q914" s="11">
        <f t="shared" si="279"/>
        <v>0.14000000000000001</v>
      </c>
      <c r="R914" s="11">
        <f>IFERROR(IF(B914="Reynolds",VLOOKUP(H914,'Yield &amp; Time'!A:U,21,0),VLOOKUP(H914,'Yield &amp; Time'!A:L,12,0)),0)</f>
        <v>0</v>
      </c>
      <c r="S914" s="11">
        <f t="shared" si="271"/>
        <v>0</v>
      </c>
      <c r="T914" s="11">
        <f t="shared" si="272"/>
        <v>0</v>
      </c>
      <c r="U914" s="11">
        <f>IF(A913=A914,0,VLOOKUP(A914,'Packing Time'!A:F,6,0))</f>
        <v>0</v>
      </c>
      <c r="V914" s="11">
        <f t="shared" si="265"/>
        <v>0</v>
      </c>
      <c r="W914" s="11">
        <f t="shared" si="266"/>
        <v>0</v>
      </c>
      <c r="X914" s="11">
        <f t="shared" si="273"/>
        <v>0</v>
      </c>
      <c r="Y914" s="11">
        <f t="shared" si="267"/>
        <v>0</v>
      </c>
      <c r="Z914" s="37">
        <v>1</v>
      </c>
      <c r="AA914" s="36">
        <f t="shared" si="274"/>
        <v>1</v>
      </c>
      <c r="AB914" s="36">
        <f t="shared" si="275"/>
        <v>0.14000000000000001</v>
      </c>
      <c r="AC914" s="11">
        <f t="shared" si="276"/>
        <v>0</v>
      </c>
      <c r="AD914" s="36">
        <f t="shared" si="268"/>
        <v>0</v>
      </c>
      <c r="AE914" s="36"/>
      <c r="AF914" s="36">
        <f>IFERROR(VLOOKUP(AE914,'Chemical Cost'!A:D,4,0),0)</f>
        <v>0</v>
      </c>
      <c r="AG914" s="114">
        <f t="shared" si="277"/>
        <v>0</v>
      </c>
      <c r="AH914" s="36">
        <f t="shared" si="262"/>
        <v>0</v>
      </c>
      <c r="AI914" s="36">
        <f t="shared" si="269"/>
        <v>0.14000000000000001</v>
      </c>
      <c r="AJ914" s="36">
        <f>IFERROR(VLOOKUP(A914,'All Products'!A:F,6,0),0)</f>
        <v>1.61</v>
      </c>
      <c r="AK914" s="36"/>
      <c r="AL914" s="23">
        <v>1</v>
      </c>
      <c r="AM914" s="23"/>
      <c r="AN914" s="54" t="e">
        <v>#N/A</v>
      </c>
      <c r="AO914" s="47"/>
      <c r="AP914" s="4">
        <v>1.6</v>
      </c>
      <c r="AQ914" s="111">
        <f t="shared" si="278"/>
        <v>0</v>
      </c>
      <c r="AR914">
        <f>_xlfn.XLOOKUP(F914,'RM Cost'!A:A,'RM Cost'!S:S)</f>
        <v>0</v>
      </c>
      <c r="AS914" t="e">
        <f>_xlfn.XLOOKUP(A914,[3]Sheet1!$B:$B,[3]Sheet1!$B:$B)</f>
        <v>#N/A</v>
      </c>
    </row>
    <row r="915" spans="1:46" x14ac:dyDescent="0.25">
      <c r="A915" s="2" t="s">
        <v>146</v>
      </c>
      <c r="B915" s="2" t="s">
        <v>656</v>
      </c>
      <c r="C915" s="2" t="s">
        <v>147</v>
      </c>
      <c r="D915" s="2" t="s">
        <v>554</v>
      </c>
      <c r="E915" s="2">
        <v>2.5</v>
      </c>
      <c r="F915" s="1" t="str">
        <f>VLOOKUP(H915,'RM Used'!A:B,2,0)</f>
        <v>026BCS</v>
      </c>
      <c r="G915" s="1" t="str">
        <f>IFERROR(VLOOKUP(F915,'RM Cost'!A:B,2,0),"")</f>
        <v>RM - POTATO - MIDS 35-45MM X 10KG</v>
      </c>
      <c r="H915" s="2" t="s">
        <v>1560</v>
      </c>
      <c r="I915" s="1" t="str">
        <f>VLOOKUP(F915,'RM Used'!B:D,3,0)</f>
        <v>RM-FOOD</v>
      </c>
      <c r="J915" s="66">
        <v>1</v>
      </c>
      <c r="K915" s="35">
        <f t="shared" si="264"/>
        <v>2.5</v>
      </c>
      <c r="L915" s="35">
        <f t="shared" si="270"/>
        <v>2.5</v>
      </c>
      <c r="M915" s="77" cm="1">
        <f t="array" ref="M915">_xlfn.IFS(BOM!I915="RM-PACKING","100%",B915="Reynolds",VLOOKUP(H915,'Yield &amp; Time'!A:V,22,0),BOM!B915="Dnata",VLOOKUP(BOM!H915,'Yield &amp; Time'!A:M,13,0),B915="NK",VLOOKUP(H915,'Yield &amp; Time'!A:X,24,0))</f>
        <v>1</v>
      </c>
      <c r="N915" s="35">
        <f t="shared" si="263"/>
        <v>2.5</v>
      </c>
      <c r="O915" s="1" t="str">
        <f>VLOOKUP(H915,'RM Used'!A:E,5,0)</f>
        <v>KG</v>
      </c>
      <c r="P915" s="11">
        <f>VLOOKUP(H915,'RM Used'!A:F,6,0)</f>
        <v>0.94</v>
      </c>
      <c r="Q915" s="11">
        <f t="shared" si="279"/>
        <v>2.3499999999999996</v>
      </c>
      <c r="R915" s="11">
        <f>IFERROR(IF(B915="Reynolds",VLOOKUP(H915,'Yield &amp; Time'!A:U,21,0),VLOOKUP(H915,'Yield &amp; Time'!A:L,12,0)),0)</f>
        <v>1.5</v>
      </c>
      <c r="S915" s="11">
        <f t="shared" si="271"/>
        <v>1.2693749999999999</v>
      </c>
      <c r="T915" s="11">
        <f t="shared" si="272"/>
        <v>6.25E-2</v>
      </c>
      <c r="U915" s="11">
        <f>IF(A914=A915,0,VLOOKUP(A915,'Packing Time'!A:F,6,0))</f>
        <v>0.875</v>
      </c>
      <c r="V915" s="11">
        <f t="shared" si="265"/>
        <v>0.29618749999999999</v>
      </c>
      <c r="W915" s="11">
        <f t="shared" si="266"/>
        <v>1.4583333333333334E-2</v>
      </c>
      <c r="X915" s="11">
        <f t="shared" si="273"/>
        <v>2.5048999999999997</v>
      </c>
      <c r="Y915" s="11">
        <f t="shared" si="267"/>
        <v>2.5048999999999997</v>
      </c>
      <c r="Z915" s="37">
        <v>1</v>
      </c>
      <c r="AA915" s="36">
        <f t="shared" si="274"/>
        <v>2.5</v>
      </c>
      <c r="AB915" s="36">
        <f t="shared" si="275"/>
        <v>2.3499999999999996</v>
      </c>
      <c r="AC915" s="11">
        <f t="shared" si="276"/>
        <v>0.12333333333333335</v>
      </c>
      <c r="AD915" s="36">
        <f t="shared" si="268"/>
        <v>2.5049000000000001</v>
      </c>
      <c r="AE915" s="36" t="str">
        <f>VLOOKUP(H915,'Yield &amp; Time'!A:I,9,0)</f>
        <v>SODIUM METABISULPHITE</v>
      </c>
      <c r="AF915" s="36">
        <f>IFERROR(VLOOKUP(AE915,'Chemical Cost'!A:D,4,0),0)</f>
        <v>9.7586225455882462E-3</v>
      </c>
      <c r="AG915" s="114">
        <f t="shared" si="277"/>
        <v>8.132185454656873E-3</v>
      </c>
      <c r="AH915" s="36">
        <f t="shared" si="262"/>
        <v>8.132185454656873E-3</v>
      </c>
      <c r="AI915" s="36">
        <f t="shared" si="269"/>
        <v>4.8630321854546557</v>
      </c>
      <c r="AJ915" s="36">
        <f>IFERROR(VLOOKUP(A915,'All Products'!A:F,6,0),0)</f>
        <v>4.01</v>
      </c>
      <c r="AK915" s="36">
        <f>AJ915*Z915*J915</f>
        <v>4.01</v>
      </c>
      <c r="AL915" s="23">
        <v>1</v>
      </c>
      <c r="AM915" s="23"/>
      <c r="AN915" s="54" t="e">
        <v>#N/A</v>
      </c>
      <c r="AO915" s="47"/>
      <c r="AP915" s="4">
        <v>1.6</v>
      </c>
      <c r="AQ915" s="111">
        <f t="shared" si="278"/>
        <v>0.12333333333333335</v>
      </c>
      <c r="AR915">
        <f>_xlfn.XLOOKUP(F915,'RM Cost'!A:A,'RM Cost'!S:S)</f>
        <v>0</v>
      </c>
      <c r="AS915" t="e">
        <f>_xlfn.XLOOKUP(A915,[3]Sheet1!$B:$B,[3]Sheet1!$B:$B)</f>
        <v>#N/A</v>
      </c>
    </row>
    <row r="916" spans="1:46" x14ac:dyDescent="0.25">
      <c r="A916" s="2" t="s">
        <v>146</v>
      </c>
      <c r="B916" s="2" t="s">
        <v>656</v>
      </c>
      <c r="C916" s="2" t="s">
        <v>147</v>
      </c>
      <c r="D916" s="2" t="s">
        <v>554</v>
      </c>
      <c r="E916" s="2">
        <v>2.5</v>
      </c>
      <c r="F916" s="1" t="str">
        <f>VLOOKUP(H916,'RM Used'!A:B,2,0)</f>
        <v>P0008</v>
      </c>
      <c r="G916" s="1" t="str">
        <f>IFERROR(VLOOKUP(F916,'RM Cost'!A:B,2,0),"")</f>
        <v>PALE BLUE BAG 470X750MM</v>
      </c>
      <c r="H916" s="2" t="s">
        <v>1323</v>
      </c>
      <c r="I916" s="1" t="str">
        <f>VLOOKUP(F916,'RM Used'!B:D,3,0)</f>
        <v>RM-PACKING</v>
      </c>
      <c r="J916" s="66">
        <v>1</v>
      </c>
      <c r="K916" s="35" t="str">
        <f t="shared" si="264"/>
        <v/>
      </c>
      <c r="L916" s="35">
        <f t="shared" si="270"/>
        <v>0</v>
      </c>
      <c r="M916" s="77" t="str" cm="1">
        <f t="array" ref="M916">_xlfn.IFS(BOM!I916="RM-PACKING","100%",B916="Reynolds",VLOOKUP(H916,'Yield &amp; Time'!A:V,22,0),BOM!B916="Dnata",VLOOKUP(BOM!H916,'Yield &amp; Time'!A:M,13,0),B916="NK",VLOOKUP(H916,'Yield &amp; Time'!A:X,24,0))</f>
        <v>100%</v>
      </c>
      <c r="N916" s="35">
        <f t="shared" si="263"/>
        <v>1</v>
      </c>
      <c r="O916" s="1" t="str">
        <f>VLOOKUP(H916,'RM Used'!A:E,5,0)</f>
        <v>Count</v>
      </c>
      <c r="P916" s="11">
        <f>VLOOKUP(H916,'RM Used'!A:F,6,0)</f>
        <v>0.14000000000000001</v>
      </c>
      <c r="Q916" s="11">
        <f t="shared" si="279"/>
        <v>0.14000000000000001</v>
      </c>
      <c r="R916" s="11">
        <f>IFERROR(IF(B916="Reynolds",VLOOKUP(H916,'Yield &amp; Time'!A:U,21,0),VLOOKUP(H916,'Yield &amp; Time'!A:L,12,0)),0)</f>
        <v>0</v>
      </c>
      <c r="S916" s="11">
        <f t="shared" si="271"/>
        <v>0</v>
      </c>
      <c r="T916" s="11">
        <f t="shared" si="272"/>
        <v>0</v>
      </c>
      <c r="U916" s="11">
        <f>IF(A915=A916,0,VLOOKUP(A916,'Packing Time'!A:F,6,0))</f>
        <v>0</v>
      </c>
      <c r="V916" s="11">
        <f t="shared" si="265"/>
        <v>0</v>
      </c>
      <c r="W916" s="11">
        <f t="shared" si="266"/>
        <v>0</v>
      </c>
      <c r="X916" s="11">
        <f t="shared" si="273"/>
        <v>0</v>
      </c>
      <c r="Y916" s="11">
        <f t="shared" si="267"/>
        <v>0</v>
      </c>
      <c r="Z916" s="37">
        <v>1</v>
      </c>
      <c r="AA916" s="36">
        <f t="shared" si="274"/>
        <v>1</v>
      </c>
      <c r="AB916" s="36">
        <f t="shared" si="275"/>
        <v>0.14000000000000001</v>
      </c>
      <c r="AC916" s="11">
        <f t="shared" si="276"/>
        <v>0</v>
      </c>
      <c r="AD916" s="36">
        <f t="shared" si="268"/>
        <v>0</v>
      </c>
      <c r="AE916" s="36"/>
      <c r="AF916" s="36">
        <f>IFERROR(VLOOKUP(AE916,'Chemical Cost'!A:D,4,0),0)</f>
        <v>0</v>
      </c>
      <c r="AG916" s="114">
        <f t="shared" si="277"/>
        <v>0</v>
      </c>
      <c r="AH916" s="36">
        <f t="shared" si="262"/>
        <v>0</v>
      </c>
      <c r="AI916" s="36">
        <f t="shared" si="269"/>
        <v>0.14000000000000001</v>
      </c>
      <c r="AJ916" s="36">
        <f>IFERROR(VLOOKUP(A916,'All Products'!A:F,6,0),0)</f>
        <v>4.01</v>
      </c>
      <c r="AK916" s="36"/>
      <c r="AL916" s="23">
        <v>1</v>
      </c>
      <c r="AM916" s="23"/>
      <c r="AN916" s="54" t="e">
        <v>#N/A</v>
      </c>
      <c r="AO916" s="47"/>
      <c r="AP916" s="4">
        <v>1.6</v>
      </c>
      <c r="AQ916" s="111">
        <f t="shared" si="278"/>
        <v>0</v>
      </c>
      <c r="AR916">
        <f>_xlfn.XLOOKUP(F916,'RM Cost'!A:A,'RM Cost'!S:S)</f>
        <v>0</v>
      </c>
      <c r="AS916" t="e">
        <f>_xlfn.XLOOKUP(A916,[3]Sheet1!$B:$B,[3]Sheet1!$B:$B)</f>
        <v>#N/A</v>
      </c>
    </row>
    <row r="917" spans="1:46" x14ac:dyDescent="0.25">
      <c r="A917" s="2" t="s">
        <v>907</v>
      </c>
      <c r="B917" s="2" t="s">
        <v>656</v>
      </c>
      <c r="C917" s="2" t="s">
        <v>908</v>
      </c>
      <c r="D917" s="2" t="s">
        <v>554</v>
      </c>
      <c r="E917" s="2">
        <v>1</v>
      </c>
      <c r="F917" s="1" t="str">
        <f>VLOOKUP(H917,'RM Used'!A:B,2,0)</f>
        <v>026BCS</v>
      </c>
      <c r="G917" s="1" t="str">
        <f>IFERROR(VLOOKUP(F917,'RM Cost'!A:B,2,0),"")</f>
        <v>RM - POTATO - MIDS 35-45MM X 10KG</v>
      </c>
      <c r="H917" s="2" t="s">
        <v>1561</v>
      </c>
      <c r="I917" s="1" t="str">
        <f>VLOOKUP(F917,'RM Used'!B:D,3,0)</f>
        <v>RM-FOOD</v>
      </c>
      <c r="J917" s="66">
        <v>1</v>
      </c>
      <c r="K917" s="35">
        <f t="shared" si="264"/>
        <v>1</v>
      </c>
      <c r="L917" s="35">
        <f t="shared" si="270"/>
        <v>1</v>
      </c>
      <c r="M917" s="77" cm="1">
        <f t="array" ref="M917">_xlfn.IFS(BOM!I917="RM-PACKING","100%",B917="Reynolds",VLOOKUP(H917,'Yield &amp; Time'!A:V,22,0),BOM!B917="Dnata",VLOOKUP(BOM!H917,'Yield &amp; Time'!A:M,13,0),B917="NK",VLOOKUP(H917,'Yield &amp; Time'!A:X,24,0))</f>
        <v>0.6962162162162161</v>
      </c>
      <c r="N917" s="35">
        <f t="shared" si="263"/>
        <v>1.4363354037267084</v>
      </c>
      <c r="O917" s="1" t="str">
        <f>VLOOKUP(H917,'RM Used'!A:E,5,0)</f>
        <v>KG</v>
      </c>
      <c r="P917" s="11">
        <f>VLOOKUP(H917,'RM Used'!A:F,6,0)</f>
        <v>0.94</v>
      </c>
      <c r="Q917" s="11">
        <f t="shared" si="279"/>
        <v>1.3501552795031058</v>
      </c>
      <c r="R917" s="11">
        <f>IFERROR(IF(B917="Reynolds",VLOOKUP(H917,'Yield &amp; Time'!A:U,21,0),VLOOKUP(H917,'Yield &amp; Time'!A:L,12,0)),0)</f>
        <v>6.9115942028985504</v>
      </c>
      <c r="S917" s="11">
        <f t="shared" si="271"/>
        <v>2.3395746376811593</v>
      </c>
      <c r="T917" s="11">
        <f t="shared" si="272"/>
        <v>0.11519323671497585</v>
      </c>
      <c r="U917" s="11">
        <f>IF(A916=A917,0,VLOOKUP(A917,'Packing Time'!A:F,6,0))</f>
        <v>0.64166666666666661</v>
      </c>
      <c r="V917" s="11">
        <f t="shared" si="265"/>
        <v>0.21720416666666661</v>
      </c>
      <c r="W917" s="11">
        <f t="shared" si="266"/>
        <v>1.0694444444444444E-2</v>
      </c>
      <c r="X917" s="11">
        <f t="shared" si="273"/>
        <v>4.0908460869565211</v>
      </c>
      <c r="Y917" s="11">
        <f t="shared" si="267"/>
        <v>4.0908460869565211</v>
      </c>
      <c r="Z917" s="37">
        <v>1</v>
      </c>
      <c r="AA917" s="36">
        <f t="shared" si="274"/>
        <v>1.4363354037267084</v>
      </c>
      <c r="AB917" s="36">
        <f t="shared" si="275"/>
        <v>1.3501552795031058</v>
      </c>
      <c r="AC917" s="11">
        <f t="shared" si="276"/>
        <v>0.20142028985507246</v>
      </c>
      <c r="AD917" s="36">
        <f t="shared" si="268"/>
        <v>4.0908460869565211</v>
      </c>
      <c r="AE917" s="36" t="str">
        <f>VLOOKUP(H917,'Yield &amp; Time'!A:I,9,0)</f>
        <v>SODIUM METABISULPHITE</v>
      </c>
      <c r="AF917" s="36">
        <f>IFERROR(VLOOKUP(AE917,'Chemical Cost'!A:D,4,0),0)</f>
        <v>9.7586225455882462E-3</v>
      </c>
      <c r="AG917" s="114">
        <f t="shared" si="277"/>
        <v>4.6722183512780176E-3</v>
      </c>
      <c r="AH917" s="36">
        <f t="shared" si="262"/>
        <v>4.6722183512780176E-3</v>
      </c>
      <c r="AI917" s="36">
        <f t="shared" si="269"/>
        <v>5.4456735848109048</v>
      </c>
      <c r="AJ917" s="36">
        <f>IFERROR(VLOOKUP(A917,'All Products'!A:F,6,0),0)</f>
        <v>3.43</v>
      </c>
      <c r="AK917" s="36">
        <f>AJ917*Z917*J917</f>
        <v>3.43</v>
      </c>
      <c r="AL917" s="23">
        <v>1</v>
      </c>
      <c r="AM917" s="23"/>
      <c r="AN917" s="54" t="e">
        <v>#N/A</v>
      </c>
      <c r="AO917" s="47"/>
      <c r="AP917" s="4">
        <v>1.6</v>
      </c>
      <c r="AQ917" s="111">
        <f t="shared" si="278"/>
        <v>0.20142028985507246</v>
      </c>
      <c r="AR917">
        <f>_xlfn.XLOOKUP(F917,'RM Cost'!A:A,'RM Cost'!S:S)</f>
        <v>0</v>
      </c>
      <c r="AS917" t="e">
        <f>_xlfn.XLOOKUP(A917,[3]Sheet1!$B:$B,[3]Sheet1!$B:$B)</f>
        <v>#N/A</v>
      </c>
    </row>
    <row r="918" spans="1:46" x14ac:dyDescent="0.25">
      <c r="A918" s="2" t="s">
        <v>907</v>
      </c>
      <c r="B918" s="2" t="s">
        <v>656</v>
      </c>
      <c r="C918" s="2" t="s">
        <v>908</v>
      </c>
      <c r="D918" s="2" t="s">
        <v>554</v>
      </c>
      <c r="E918" s="2">
        <v>1</v>
      </c>
      <c r="F918" s="1" t="str">
        <f>VLOOKUP(H918,'RM Used'!A:B,2,0)</f>
        <v>P0008</v>
      </c>
      <c r="G918" s="1" t="str">
        <f>IFERROR(VLOOKUP(F918,'RM Cost'!A:B,2,0),"")</f>
        <v>PALE BLUE BAG 470X750MM</v>
      </c>
      <c r="H918" s="2" t="s">
        <v>1323</v>
      </c>
      <c r="I918" s="1" t="str">
        <f>VLOOKUP(F918,'RM Used'!B:D,3,0)</f>
        <v>RM-PACKING</v>
      </c>
      <c r="J918" s="66">
        <v>1</v>
      </c>
      <c r="K918" s="35" t="str">
        <f t="shared" si="264"/>
        <v/>
      </c>
      <c r="L918" s="35">
        <f t="shared" si="270"/>
        <v>0</v>
      </c>
      <c r="M918" s="77" t="str" cm="1">
        <f t="array" ref="M918">_xlfn.IFS(BOM!I918="RM-PACKING","100%",B918="Reynolds",VLOOKUP(H918,'Yield &amp; Time'!A:V,22,0),BOM!B918="Dnata",VLOOKUP(BOM!H918,'Yield &amp; Time'!A:M,13,0),B918="NK",VLOOKUP(H918,'Yield &amp; Time'!A:X,24,0))</f>
        <v>100%</v>
      </c>
      <c r="N918" s="35">
        <f t="shared" si="263"/>
        <v>1</v>
      </c>
      <c r="O918" s="1" t="str">
        <f>VLOOKUP(H918,'RM Used'!A:E,5,0)</f>
        <v>Count</v>
      </c>
      <c r="P918" s="11">
        <f>VLOOKUP(H918,'RM Used'!A:F,6,0)</f>
        <v>0.14000000000000001</v>
      </c>
      <c r="Q918" s="11">
        <f t="shared" si="279"/>
        <v>0.14000000000000001</v>
      </c>
      <c r="R918" s="11">
        <f>IFERROR(IF(B918="Reynolds",VLOOKUP(H918,'Yield &amp; Time'!A:U,21,0),VLOOKUP(H918,'Yield &amp; Time'!A:L,12,0)),0)</f>
        <v>0</v>
      </c>
      <c r="S918" s="11">
        <f t="shared" si="271"/>
        <v>0</v>
      </c>
      <c r="T918" s="11">
        <f t="shared" si="272"/>
        <v>0</v>
      </c>
      <c r="U918" s="11">
        <f>IF(A917=A918,0,VLOOKUP(A918,'Packing Time'!A:F,6,0))</f>
        <v>0</v>
      </c>
      <c r="V918" s="11">
        <f t="shared" si="265"/>
        <v>0</v>
      </c>
      <c r="W918" s="11">
        <f t="shared" si="266"/>
        <v>0</v>
      </c>
      <c r="X918" s="11">
        <f t="shared" si="273"/>
        <v>0</v>
      </c>
      <c r="Y918" s="11">
        <f t="shared" si="267"/>
        <v>0</v>
      </c>
      <c r="Z918" s="37">
        <v>1</v>
      </c>
      <c r="AA918" s="36">
        <f t="shared" si="274"/>
        <v>1</v>
      </c>
      <c r="AB918" s="36">
        <f t="shared" si="275"/>
        <v>0.14000000000000001</v>
      </c>
      <c r="AC918" s="11">
        <f t="shared" si="276"/>
        <v>0</v>
      </c>
      <c r="AD918" s="36">
        <f t="shared" si="268"/>
        <v>0</v>
      </c>
      <c r="AE918" s="36"/>
      <c r="AF918" s="36">
        <f>IFERROR(VLOOKUP(AE918,'Chemical Cost'!A:D,4,0),0)</f>
        <v>0</v>
      </c>
      <c r="AG918" s="114">
        <f t="shared" si="277"/>
        <v>0</v>
      </c>
      <c r="AH918" s="36">
        <f t="shared" ref="AH918:AH981" si="280">AF918*AA918/3</f>
        <v>0</v>
      </c>
      <c r="AI918" s="36">
        <f t="shared" si="269"/>
        <v>0.14000000000000001</v>
      </c>
      <c r="AJ918" s="36">
        <f>IFERROR(VLOOKUP(A918,'All Products'!A:F,6,0),0)</f>
        <v>3.43</v>
      </c>
      <c r="AK918" s="36"/>
      <c r="AL918" s="23">
        <v>1</v>
      </c>
      <c r="AM918" s="23"/>
      <c r="AN918" s="54" t="e">
        <v>#N/A</v>
      </c>
      <c r="AO918" s="47"/>
      <c r="AP918" s="4">
        <v>1.6</v>
      </c>
      <c r="AQ918" s="111">
        <f t="shared" si="278"/>
        <v>0</v>
      </c>
      <c r="AR918">
        <f>_xlfn.XLOOKUP(F918,'RM Cost'!A:A,'RM Cost'!S:S)</f>
        <v>0</v>
      </c>
      <c r="AS918" t="e">
        <f>_xlfn.XLOOKUP(A918,[3]Sheet1!$B:$B,[3]Sheet1!$B:$B)</f>
        <v>#N/A</v>
      </c>
    </row>
    <row r="919" spans="1:46" x14ac:dyDescent="0.25">
      <c r="A919" s="2" t="s">
        <v>144</v>
      </c>
      <c r="B919" s="2" t="s">
        <v>656</v>
      </c>
      <c r="C919" s="2" t="s">
        <v>145</v>
      </c>
      <c r="D919" s="2" t="s">
        <v>554</v>
      </c>
      <c r="E919" s="2">
        <v>2.5</v>
      </c>
      <c r="F919" s="1" t="str">
        <f>VLOOKUP(H919,'RM Used'!A:B,2,0)</f>
        <v>026BCS</v>
      </c>
      <c r="G919" s="1" t="str">
        <f>IFERROR(VLOOKUP(F919,'RM Cost'!A:B,2,0),"")</f>
        <v>RM - POTATO - MIDS 35-45MM X 10KG</v>
      </c>
      <c r="H919" s="2" t="s">
        <v>1561</v>
      </c>
      <c r="I919" s="1" t="str">
        <f>VLOOKUP(F919,'RM Used'!B:D,3,0)</f>
        <v>RM-FOOD</v>
      </c>
      <c r="J919" s="66">
        <v>1</v>
      </c>
      <c r="K919" s="35">
        <f t="shared" si="264"/>
        <v>2.5</v>
      </c>
      <c r="L919" s="35">
        <f t="shared" si="270"/>
        <v>2.5</v>
      </c>
      <c r="M919" s="77" cm="1">
        <f t="array" ref="M919">_xlfn.IFS(BOM!I919="RM-PACKING","100%",B919="Reynolds",VLOOKUP(H919,'Yield &amp; Time'!A:V,22,0),BOM!B919="Dnata",VLOOKUP(BOM!H919,'Yield &amp; Time'!A:M,13,0),B919="NK",VLOOKUP(H919,'Yield &amp; Time'!A:X,24,0))</f>
        <v>0.6962162162162161</v>
      </c>
      <c r="N919" s="35">
        <f t="shared" si="263"/>
        <v>3.5908385093167707</v>
      </c>
      <c r="O919" s="1" t="str">
        <f>VLOOKUP(H919,'RM Used'!A:E,5,0)</f>
        <v>KG</v>
      </c>
      <c r="P919" s="11">
        <f>VLOOKUP(H919,'RM Used'!A:F,6,0)</f>
        <v>0.94</v>
      </c>
      <c r="Q919" s="11">
        <f t="shared" si="279"/>
        <v>3.3753881987577641</v>
      </c>
      <c r="R919" s="11">
        <f>IFERROR(IF(B919="Reynolds",VLOOKUP(H919,'Yield &amp; Time'!A:U,21,0),VLOOKUP(H919,'Yield &amp; Time'!A:L,12,0)),0)</f>
        <v>6.9115942028985504</v>
      </c>
      <c r="S919" s="11">
        <f t="shared" si="271"/>
        <v>5.8489365942028977</v>
      </c>
      <c r="T919" s="11">
        <f t="shared" si="272"/>
        <v>0.28798309178743958</v>
      </c>
      <c r="U919" s="11">
        <f>IF(A918=A919,0,VLOOKUP(A919,'Packing Time'!A:F,6,0))</f>
        <v>0.875</v>
      </c>
      <c r="V919" s="11">
        <f t="shared" si="265"/>
        <v>0.29618749999999999</v>
      </c>
      <c r="W919" s="11">
        <f t="shared" si="266"/>
        <v>1.4583333333333334E-2</v>
      </c>
      <c r="X919" s="11">
        <f t="shared" si="273"/>
        <v>6.7596365036231871</v>
      </c>
      <c r="Y919" s="11">
        <f t="shared" si="267"/>
        <v>6.7596365036231871</v>
      </c>
      <c r="Z919" s="37">
        <v>1</v>
      </c>
      <c r="AA919" s="36">
        <f t="shared" si="274"/>
        <v>3.5908385093167707</v>
      </c>
      <c r="AB919" s="36">
        <f t="shared" si="275"/>
        <v>3.3753881987577641</v>
      </c>
      <c r="AC919" s="11">
        <f t="shared" si="276"/>
        <v>0.33282306763285024</v>
      </c>
      <c r="AD919" s="36">
        <f t="shared" si="268"/>
        <v>6.759636503623188</v>
      </c>
      <c r="AE919" s="36" t="str">
        <f>VLOOKUP(H919,'Yield &amp; Time'!A:I,9,0)</f>
        <v>SODIUM METABISULPHITE</v>
      </c>
      <c r="AF919" s="36">
        <f>IFERROR(VLOOKUP(AE919,'Chemical Cost'!A:D,4,0),0)</f>
        <v>9.7586225455882462E-3</v>
      </c>
      <c r="AG919" s="114">
        <f t="shared" si="277"/>
        <v>1.1680545878195043E-2</v>
      </c>
      <c r="AH919" s="36">
        <f t="shared" si="280"/>
        <v>1.1680545878195043E-2</v>
      </c>
      <c r="AI919" s="36">
        <f t="shared" si="269"/>
        <v>10.146705248259146</v>
      </c>
      <c r="AJ919" s="36">
        <f>IFERROR(VLOOKUP(A919,'All Products'!A:F,6,0),0)</f>
        <v>8.26</v>
      </c>
      <c r="AK919" s="36">
        <f>AJ919*Z919*J919</f>
        <v>8.26</v>
      </c>
      <c r="AL919" s="23">
        <v>1</v>
      </c>
      <c r="AM919" s="23"/>
      <c r="AN919" s="54" t="e">
        <v>#N/A</v>
      </c>
      <c r="AO919" s="47"/>
      <c r="AP919" s="4">
        <v>1.1000000000000001</v>
      </c>
      <c r="AQ919" s="111">
        <f t="shared" si="278"/>
        <v>0.33282306763285024</v>
      </c>
      <c r="AR919">
        <f>_xlfn.XLOOKUP(F919,'RM Cost'!A:A,'RM Cost'!S:S)</f>
        <v>0</v>
      </c>
      <c r="AS919" t="e">
        <f>_xlfn.XLOOKUP(A919,[3]Sheet1!$B:$B,[3]Sheet1!$B:$B)</f>
        <v>#N/A</v>
      </c>
    </row>
    <row r="920" spans="1:46" x14ac:dyDescent="0.25">
      <c r="A920" s="2" t="s">
        <v>144</v>
      </c>
      <c r="B920" s="2" t="s">
        <v>656</v>
      </c>
      <c r="C920" s="2" t="s">
        <v>145</v>
      </c>
      <c r="D920" s="2" t="s">
        <v>554</v>
      </c>
      <c r="E920" s="2">
        <v>2.5</v>
      </c>
      <c r="F920" s="1" t="str">
        <f>VLOOKUP(H920,'RM Used'!A:B,2,0)</f>
        <v>P0008</v>
      </c>
      <c r="G920" s="1" t="str">
        <f>IFERROR(VLOOKUP(F920,'RM Cost'!A:B,2,0),"")</f>
        <v>PALE BLUE BAG 470X750MM</v>
      </c>
      <c r="H920" s="2" t="s">
        <v>1323</v>
      </c>
      <c r="I920" s="1" t="str">
        <f>VLOOKUP(F920,'RM Used'!B:D,3,0)</f>
        <v>RM-PACKING</v>
      </c>
      <c r="J920" s="66">
        <v>1</v>
      </c>
      <c r="K920" s="35" t="str">
        <f t="shared" si="264"/>
        <v/>
      </c>
      <c r="L920" s="35">
        <f t="shared" si="270"/>
        <v>0</v>
      </c>
      <c r="M920" s="77" t="str" cm="1">
        <f t="array" ref="M920">_xlfn.IFS(BOM!I920="RM-PACKING","100%",B920="Reynolds",VLOOKUP(H920,'Yield &amp; Time'!A:V,22,0),BOM!B920="Dnata",VLOOKUP(BOM!H920,'Yield &amp; Time'!A:M,13,0),B920="NK",VLOOKUP(H920,'Yield &amp; Time'!A:X,24,0))</f>
        <v>100%</v>
      </c>
      <c r="N920" s="35">
        <f t="shared" si="263"/>
        <v>1</v>
      </c>
      <c r="O920" s="1" t="str">
        <f>VLOOKUP(H920,'RM Used'!A:E,5,0)</f>
        <v>Count</v>
      </c>
      <c r="P920" s="11">
        <f>VLOOKUP(H920,'RM Used'!A:F,6,0)</f>
        <v>0.14000000000000001</v>
      </c>
      <c r="Q920" s="11">
        <f t="shared" si="279"/>
        <v>0.14000000000000001</v>
      </c>
      <c r="R920" s="11">
        <f>IFERROR(IF(B920="Reynolds",VLOOKUP(H920,'Yield &amp; Time'!A:U,21,0),VLOOKUP(H920,'Yield &amp; Time'!A:L,12,0)),0)</f>
        <v>0</v>
      </c>
      <c r="S920" s="11">
        <f t="shared" si="271"/>
        <v>0</v>
      </c>
      <c r="T920" s="11">
        <f t="shared" si="272"/>
        <v>0</v>
      </c>
      <c r="U920" s="11">
        <f>IF(A919=A920,0,VLOOKUP(A920,'Packing Time'!A:F,6,0))</f>
        <v>0</v>
      </c>
      <c r="V920" s="11">
        <f t="shared" si="265"/>
        <v>0</v>
      </c>
      <c r="W920" s="11">
        <f t="shared" si="266"/>
        <v>0</v>
      </c>
      <c r="X920" s="11">
        <f t="shared" si="273"/>
        <v>0</v>
      </c>
      <c r="Y920" s="11">
        <f t="shared" si="267"/>
        <v>0</v>
      </c>
      <c r="Z920" s="37">
        <v>1</v>
      </c>
      <c r="AA920" s="36">
        <f t="shared" si="274"/>
        <v>1</v>
      </c>
      <c r="AB920" s="36">
        <f t="shared" si="275"/>
        <v>0.14000000000000001</v>
      </c>
      <c r="AC920" s="11">
        <f t="shared" si="276"/>
        <v>0</v>
      </c>
      <c r="AD920" s="36">
        <f t="shared" si="268"/>
        <v>0</v>
      </c>
      <c r="AE920" s="36"/>
      <c r="AF920" s="36">
        <f>IFERROR(VLOOKUP(AE920,'Chemical Cost'!A:D,4,0),0)</f>
        <v>0</v>
      </c>
      <c r="AG920" s="114">
        <f t="shared" si="277"/>
        <v>0</v>
      </c>
      <c r="AH920" s="36">
        <f t="shared" si="280"/>
        <v>0</v>
      </c>
      <c r="AI920" s="36">
        <f t="shared" si="269"/>
        <v>0.14000000000000001</v>
      </c>
      <c r="AJ920" s="36">
        <f>IFERROR(VLOOKUP(A920,'All Products'!A:F,6,0),0)</f>
        <v>8.26</v>
      </c>
      <c r="AK920" s="36"/>
      <c r="AL920" s="23">
        <v>1</v>
      </c>
      <c r="AM920" s="23"/>
      <c r="AN920" s="54" t="e">
        <v>#N/A</v>
      </c>
      <c r="AO920" s="47"/>
      <c r="AP920" s="4">
        <v>1.1000000000000001</v>
      </c>
      <c r="AQ920" s="111">
        <f t="shared" si="278"/>
        <v>0</v>
      </c>
      <c r="AR920">
        <f>_xlfn.XLOOKUP(F920,'RM Cost'!A:A,'RM Cost'!S:S)</f>
        <v>0</v>
      </c>
      <c r="AS920" t="e">
        <f>_xlfn.XLOOKUP(A920,[3]Sheet1!$B:$B,[3]Sheet1!$B:$B)</f>
        <v>#N/A</v>
      </c>
    </row>
    <row r="921" spans="1:46" x14ac:dyDescent="0.25">
      <c r="A921" s="2" t="s">
        <v>501</v>
      </c>
      <c r="B921" s="2" t="s">
        <v>656</v>
      </c>
      <c r="C921" s="2" t="s">
        <v>502</v>
      </c>
      <c r="D921" s="2" t="s">
        <v>554</v>
      </c>
      <c r="E921" s="2">
        <v>1</v>
      </c>
      <c r="F921" s="1" t="str">
        <f>VLOOKUP(H921,'RM Used'!A:B,2,0)</f>
        <v>026BCS</v>
      </c>
      <c r="G921" s="1" t="str">
        <f>IFERROR(VLOOKUP(F921,'RM Cost'!A:B,2,0),"")</f>
        <v>RM - POTATO - MIDS 35-45MM X 10KG</v>
      </c>
      <c r="H921" s="2" t="s">
        <v>1562</v>
      </c>
      <c r="I921" s="1" t="str">
        <f>VLOOKUP(F921,'RM Used'!B:D,3,0)</f>
        <v>RM-FOOD</v>
      </c>
      <c r="J921" s="66">
        <v>1</v>
      </c>
      <c r="K921" s="35">
        <f t="shared" si="264"/>
        <v>1</v>
      </c>
      <c r="L921" s="35">
        <f t="shared" si="270"/>
        <v>1</v>
      </c>
      <c r="M921" s="77" cm="1">
        <f t="array" ref="M921">_xlfn.IFS(BOM!I921="RM-PACKING","100%",B921="Reynolds",VLOOKUP(H921,'Yield &amp; Time'!A:V,22,0),BOM!B921="Dnata",VLOOKUP(BOM!H921,'Yield &amp; Time'!A:M,13,0),B921="NK",VLOOKUP(H921,'Yield &amp; Time'!A:X,24,0))</f>
        <v>0.7465408805031446</v>
      </c>
      <c r="N921" s="35">
        <f t="shared" si="263"/>
        <v>1.3395113732097725</v>
      </c>
      <c r="O921" s="1" t="str">
        <f>VLOOKUP(H921,'RM Used'!A:E,5,0)</f>
        <v>KG</v>
      </c>
      <c r="P921" s="11">
        <f>VLOOKUP(H921,'RM Used'!A:F,6,0)</f>
        <v>0.94</v>
      </c>
      <c r="Q921" s="11">
        <f t="shared" si="279"/>
        <v>1.259140690817186</v>
      </c>
      <c r="R921" s="11">
        <f>IFERROR(IF(B921="Reynolds",VLOOKUP(H921,'Yield &amp; Time'!A:U,21,0),VLOOKUP(H921,'Yield &amp; Time'!A:L,12,0)),0)</f>
        <v>1.731564167368717</v>
      </c>
      <c r="S921" s="11">
        <f t="shared" si="271"/>
        <v>0.58613447065431068</v>
      </c>
      <c r="T921" s="11">
        <f t="shared" si="272"/>
        <v>2.8859402789478617E-2</v>
      </c>
      <c r="U921" s="11">
        <f>IF(A920=A921,0,VLOOKUP(A921,'Packing Time'!A:F,6,0))</f>
        <v>0.64166666666666661</v>
      </c>
      <c r="V921" s="11">
        <f t="shared" si="265"/>
        <v>0.21720416666666661</v>
      </c>
      <c r="W921" s="11">
        <f t="shared" si="266"/>
        <v>1.0694444444444444E-2</v>
      </c>
      <c r="X921" s="11">
        <f t="shared" si="273"/>
        <v>1.2853418197135635</v>
      </c>
      <c r="Y921" s="11">
        <f t="shared" si="267"/>
        <v>1.2853418197135635</v>
      </c>
      <c r="Z921" s="37">
        <v>1</v>
      </c>
      <c r="AA921" s="36">
        <f t="shared" si="274"/>
        <v>1.3395113732097725</v>
      </c>
      <c r="AB921" s="36">
        <f t="shared" si="275"/>
        <v>1.259140690817186</v>
      </c>
      <c r="AC921" s="11">
        <f t="shared" si="276"/>
        <v>6.3286155574276901E-2</v>
      </c>
      <c r="AD921" s="36">
        <f t="shared" si="268"/>
        <v>1.2853418197135638</v>
      </c>
      <c r="AE921" s="36" t="str">
        <f>VLOOKUP(H921,'Yield &amp; Time'!A:I,9,0)</f>
        <v>SODIUM METABISULPHITE</v>
      </c>
      <c r="AF921" s="36">
        <f>IFERROR(VLOOKUP(AE921,'Chemical Cost'!A:D,4,0),0)</f>
        <v>9.7586225455882462E-3</v>
      </c>
      <c r="AG921" s="114">
        <f t="shared" si="277"/>
        <v>4.357261962225586E-3</v>
      </c>
      <c r="AH921" s="36">
        <f t="shared" si="280"/>
        <v>4.357261962225586E-3</v>
      </c>
      <c r="AI921" s="36">
        <f t="shared" si="269"/>
        <v>2.548839772492975</v>
      </c>
      <c r="AJ921" s="36">
        <f>IFERROR(VLOOKUP(A921,'All Products'!A:F,6,0),0)</f>
        <v>1.91</v>
      </c>
      <c r="AK921" s="36">
        <f>AJ921*Z921*J921</f>
        <v>1.91</v>
      </c>
      <c r="AL921" s="23">
        <v>1</v>
      </c>
      <c r="AM921" s="23"/>
      <c r="AN921" s="54" t="e">
        <v>#N/A</v>
      </c>
      <c r="AO921" s="47"/>
      <c r="AP921" s="4">
        <v>1.6</v>
      </c>
      <c r="AQ921" s="111">
        <f t="shared" si="278"/>
        <v>6.3286155574276901E-2</v>
      </c>
      <c r="AR921">
        <f>_xlfn.XLOOKUP(F921,'RM Cost'!A:A,'RM Cost'!S:S)</f>
        <v>0</v>
      </c>
      <c r="AS921" t="e">
        <f>_xlfn.XLOOKUP(A921,[3]Sheet1!$B:$B,[3]Sheet1!$B:$B)</f>
        <v>#N/A</v>
      </c>
    </row>
    <row r="922" spans="1:46" x14ac:dyDescent="0.25">
      <c r="A922" s="2" t="s">
        <v>501</v>
      </c>
      <c r="B922" s="2" t="s">
        <v>656</v>
      </c>
      <c r="C922" s="2" t="s">
        <v>502</v>
      </c>
      <c r="D922" s="2" t="s">
        <v>554</v>
      </c>
      <c r="E922" s="2">
        <v>1</v>
      </c>
      <c r="F922" s="1" t="str">
        <f>VLOOKUP(H922,'RM Used'!A:B,2,0)</f>
        <v>P0008</v>
      </c>
      <c r="G922" s="1" t="str">
        <f>IFERROR(VLOOKUP(F922,'RM Cost'!A:B,2,0),"")</f>
        <v>PALE BLUE BAG 470X750MM</v>
      </c>
      <c r="H922" s="2" t="s">
        <v>1323</v>
      </c>
      <c r="I922" s="1" t="str">
        <f>VLOOKUP(F922,'RM Used'!B:D,3,0)</f>
        <v>RM-PACKING</v>
      </c>
      <c r="J922" s="66">
        <v>1</v>
      </c>
      <c r="K922" s="35" t="str">
        <f t="shared" si="264"/>
        <v/>
      </c>
      <c r="L922" s="35">
        <f t="shared" si="270"/>
        <v>0</v>
      </c>
      <c r="M922" s="77" t="str" cm="1">
        <f t="array" ref="M922">_xlfn.IFS(BOM!I922="RM-PACKING","100%",B922="Reynolds",VLOOKUP(H922,'Yield &amp; Time'!A:V,22,0),BOM!B922="Dnata",VLOOKUP(BOM!H922,'Yield &amp; Time'!A:M,13,0),B922="NK",VLOOKUP(H922,'Yield &amp; Time'!A:X,24,0))</f>
        <v>100%</v>
      </c>
      <c r="N922" s="35">
        <f t="shared" si="263"/>
        <v>1</v>
      </c>
      <c r="O922" s="1" t="str">
        <f>VLOOKUP(H922,'RM Used'!A:E,5,0)</f>
        <v>Count</v>
      </c>
      <c r="P922" s="11">
        <f>VLOOKUP(H922,'RM Used'!A:F,6,0)</f>
        <v>0.14000000000000001</v>
      </c>
      <c r="Q922" s="11">
        <f t="shared" si="279"/>
        <v>0.14000000000000001</v>
      </c>
      <c r="R922" s="11">
        <f>IFERROR(IF(B922="Reynolds",VLOOKUP(H922,'Yield &amp; Time'!A:U,21,0),VLOOKUP(H922,'Yield &amp; Time'!A:L,12,0)),0)</f>
        <v>0</v>
      </c>
      <c r="S922" s="11">
        <f t="shared" si="271"/>
        <v>0</v>
      </c>
      <c r="T922" s="11">
        <f t="shared" si="272"/>
        <v>0</v>
      </c>
      <c r="U922" s="11">
        <f>IF(A921=A922,0,VLOOKUP(A922,'Packing Time'!A:F,6,0))</f>
        <v>0</v>
      </c>
      <c r="V922" s="11">
        <f t="shared" si="265"/>
        <v>0</v>
      </c>
      <c r="W922" s="11">
        <f t="shared" si="266"/>
        <v>0</v>
      </c>
      <c r="X922" s="11">
        <f t="shared" si="273"/>
        <v>0</v>
      </c>
      <c r="Y922" s="11">
        <f t="shared" si="267"/>
        <v>0</v>
      </c>
      <c r="Z922" s="37">
        <v>1</v>
      </c>
      <c r="AA922" s="36">
        <f t="shared" si="274"/>
        <v>1</v>
      </c>
      <c r="AB922" s="36">
        <f t="shared" si="275"/>
        <v>0.14000000000000001</v>
      </c>
      <c r="AC922" s="11">
        <f t="shared" si="276"/>
        <v>0</v>
      </c>
      <c r="AD922" s="36">
        <f t="shared" si="268"/>
        <v>0</v>
      </c>
      <c r="AE922" s="36"/>
      <c r="AF922" s="36">
        <f>IFERROR(VLOOKUP(AE922,'Chemical Cost'!A:D,4,0),0)</f>
        <v>0</v>
      </c>
      <c r="AG922" s="114">
        <f t="shared" si="277"/>
        <v>0</v>
      </c>
      <c r="AH922" s="36">
        <f t="shared" si="280"/>
        <v>0</v>
      </c>
      <c r="AI922" s="36">
        <f t="shared" si="269"/>
        <v>0.14000000000000001</v>
      </c>
      <c r="AJ922" s="36">
        <f>IFERROR(VLOOKUP(A922,'All Products'!A:F,6,0),0)</f>
        <v>1.91</v>
      </c>
      <c r="AK922" s="36"/>
      <c r="AL922" s="23">
        <v>1</v>
      </c>
      <c r="AM922" s="23"/>
      <c r="AN922" s="54" t="e">
        <v>#N/A</v>
      </c>
      <c r="AO922" s="47"/>
      <c r="AP922" s="4">
        <v>1.6</v>
      </c>
      <c r="AQ922" s="111">
        <f t="shared" si="278"/>
        <v>0</v>
      </c>
      <c r="AR922">
        <f>_xlfn.XLOOKUP(F922,'RM Cost'!A:A,'RM Cost'!S:S)</f>
        <v>0</v>
      </c>
      <c r="AS922" t="e">
        <f>_xlfn.XLOOKUP(A922,[3]Sheet1!$B:$B,[3]Sheet1!$B:$B)</f>
        <v>#N/A</v>
      </c>
    </row>
    <row r="923" spans="1:46" x14ac:dyDescent="0.25">
      <c r="A923" s="2" t="s">
        <v>142</v>
      </c>
      <c r="B923" s="2" t="s">
        <v>656</v>
      </c>
      <c r="C923" s="2" t="s">
        <v>143</v>
      </c>
      <c r="D923" s="2" t="s">
        <v>554</v>
      </c>
      <c r="E923" s="2">
        <v>2.5</v>
      </c>
      <c r="F923" s="1" t="str">
        <f>VLOOKUP(H923,'RM Used'!A:B,2,0)</f>
        <v>026BCS</v>
      </c>
      <c r="G923" s="1" t="str">
        <f>IFERROR(VLOOKUP(F923,'RM Cost'!A:B,2,0),"")</f>
        <v>RM - POTATO - MIDS 35-45MM X 10KG</v>
      </c>
      <c r="H923" s="2" t="s">
        <v>1562</v>
      </c>
      <c r="I923" s="1" t="str">
        <f>VLOOKUP(F923,'RM Used'!B:D,3,0)</f>
        <v>RM-FOOD</v>
      </c>
      <c r="J923" s="66">
        <v>1</v>
      </c>
      <c r="K923" s="35">
        <f t="shared" si="264"/>
        <v>2.5</v>
      </c>
      <c r="L923" s="35">
        <f t="shared" si="270"/>
        <v>2.5</v>
      </c>
      <c r="M923" s="77" cm="1">
        <f t="array" ref="M923">_xlfn.IFS(BOM!I923="RM-PACKING","100%",B923="Reynolds",VLOOKUP(H923,'Yield &amp; Time'!A:V,22,0),BOM!B923="Dnata",VLOOKUP(BOM!H923,'Yield &amp; Time'!A:M,13,0),B923="NK",VLOOKUP(H923,'Yield &amp; Time'!A:X,24,0))</f>
        <v>0.7465408805031446</v>
      </c>
      <c r="N923" s="35">
        <f t="shared" si="263"/>
        <v>3.3487784330244317</v>
      </c>
      <c r="O923" s="1" t="str">
        <f>VLOOKUP(H923,'RM Used'!A:E,5,0)</f>
        <v>KG</v>
      </c>
      <c r="P923" s="11">
        <f>VLOOKUP(H923,'RM Used'!A:F,6,0)</f>
        <v>0.94</v>
      </c>
      <c r="Q923" s="11">
        <f t="shared" si="279"/>
        <v>3.1478517270429656</v>
      </c>
      <c r="R923" s="11">
        <f>IFERROR(IF(B923="Reynolds",VLOOKUP(H923,'Yield &amp; Time'!A:U,21,0),VLOOKUP(H923,'Yield &amp; Time'!A:L,12,0)),0)</f>
        <v>1.731564167368717</v>
      </c>
      <c r="S923" s="11">
        <f t="shared" si="271"/>
        <v>1.4653361766357766</v>
      </c>
      <c r="T923" s="11">
        <f t="shared" si="272"/>
        <v>7.2148506973696541E-2</v>
      </c>
      <c r="U923" s="11">
        <f>IF(A922=A923,0,VLOOKUP(A923,'Packing Time'!A:F,6,0))</f>
        <v>0.875</v>
      </c>
      <c r="V923" s="11">
        <f t="shared" si="265"/>
        <v>0.29618749999999999</v>
      </c>
      <c r="W923" s="11">
        <f t="shared" si="266"/>
        <v>1.4583333333333334E-2</v>
      </c>
      <c r="X923" s="11">
        <f t="shared" si="273"/>
        <v>2.4661331472900874</v>
      </c>
      <c r="Y923" s="11">
        <f t="shared" si="267"/>
        <v>2.4661331472900874</v>
      </c>
      <c r="Z923" s="37">
        <v>1</v>
      </c>
      <c r="AA923" s="36">
        <f t="shared" si="274"/>
        <v>3.3487784330244317</v>
      </c>
      <c r="AB923" s="36">
        <f t="shared" si="275"/>
        <v>3.1478517270429656</v>
      </c>
      <c r="AC923" s="11">
        <f t="shared" si="276"/>
        <v>0.12142457642984182</v>
      </c>
      <c r="AD923" s="36">
        <f t="shared" si="268"/>
        <v>2.4661331472900869</v>
      </c>
      <c r="AE923" s="36" t="str">
        <f>VLOOKUP(H923,'Yield &amp; Time'!A:I,9,0)</f>
        <v>SODIUM METABISULPHITE</v>
      </c>
      <c r="AF923" s="36">
        <f>IFERROR(VLOOKUP(AE923,'Chemical Cost'!A:D,4,0),0)</f>
        <v>9.7586225455882462E-3</v>
      </c>
      <c r="AG923" s="114">
        <f t="shared" si="277"/>
        <v>1.0893154905563966E-2</v>
      </c>
      <c r="AH923" s="36">
        <f t="shared" si="280"/>
        <v>1.0893154905563966E-2</v>
      </c>
      <c r="AI923" s="36">
        <f t="shared" si="269"/>
        <v>5.6248780292386167</v>
      </c>
      <c r="AJ923" s="36">
        <f>IFERROR(VLOOKUP(A923,'All Products'!A:F,6,0),0)</f>
        <v>4.47</v>
      </c>
      <c r="AK923" s="36">
        <f>AJ923*Z923*J923</f>
        <v>4.47</v>
      </c>
      <c r="AL923" s="23">
        <v>1</v>
      </c>
      <c r="AM923" s="23"/>
      <c r="AN923" s="54" t="e">
        <v>#N/A</v>
      </c>
      <c r="AO923" s="47"/>
      <c r="AP923" s="4">
        <v>1.4</v>
      </c>
      <c r="AQ923" s="111">
        <f t="shared" si="278"/>
        <v>0.12142457642984182</v>
      </c>
      <c r="AR923">
        <f>_xlfn.XLOOKUP(F923,'RM Cost'!A:A,'RM Cost'!S:S)</f>
        <v>0</v>
      </c>
      <c r="AS923" t="str">
        <f>_xlfn.XLOOKUP(A923,[3]Sheet1!$B:$B,[3]Sheet1!$B:$B)</f>
        <v>Z025CS</v>
      </c>
      <c r="AT923">
        <f>_xlfn.XLOOKUP(H923,'Yield &amp; Time'!A:A,'Yield &amp; Time'!F:F)</f>
        <v>0</v>
      </c>
    </row>
    <row r="924" spans="1:46" x14ac:dyDescent="0.25">
      <c r="A924" s="2" t="s">
        <v>142</v>
      </c>
      <c r="B924" s="2" t="s">
        <v>656</v>
      </c>
      <c r="C924" s="2" t="s">
        <v>143</v>
      </c>
      <c r="D924" s="2" t="s">
        <v>554</v>
      </c>
      <c r="E924" s="2">
        <v>2.5</v>
      </c>
      <c r="F924" s="1" t="str">
        <f>VLOOKUP(H924,'RM Used'!A:B,2,0)</f>
        <v>P0008</v>
      </c>
      <c r="G924" s="1" t="str">
        <f>IFERROR(VLOOKUP(F924,'RM Cost'!A:B,2,0),"")</f>
        <v>PALE BLUE BAG 470X750MM</v>
      </c>
      <c r="H924" s="2" t="s">
        <v>1323</v>
      </c>
      <c r="I924" s="1" t="str">
        <f>VLOOKUP(F924,'RM Used'!B:D,3,0)</f>
        <v>RM-PACKING</v>
      </c>
      <c r="J924" s="66">
        <v>1</v>
      </c>
      <c r="K924" s="35" t="str">
        <f t="shared" si="264"/>
        <v/>
      </c>
      <c r="L924" s="35">
        <f t="shared" si="270"/>
        <v>0</v>
      </c>
      <c r="M924" s="77" t="str" cm="1">
        <f t="array" ref="M924">_xlfn.IFS(BOM!I924="RM-PACKING","100%",B924="Reynolds",VLOOKUP(H924,'Yield &amp; Time'!A:V,22,0),BOM!B924="Dnata",VLOOKUP(BOM!H924,'Yield &amp; Time'!A:M,13,0),B924="NK",VLOOKUP(H924,'Yield &amp; Time'!A:X,24,0))</f>
        <v>100%</v>
      </c>
      <c r="N924" s="35">
        <f t="shared" si="263"/>
        <v>1</v>
      </c>
      <c r="O924" s="1" t="str">
        <f>VLOOKUP(H924,'RM Used'!A:E,5,0)</f>
        <v>Count</v>
      </c>
      <c r="P924" s="11">
        <f>VLOOKUP(H924,'RM Used'!A:F,6,0)</f>
        <v>0.14000000000000001</v>
      </c>
      <c r="Q924" s="11">
        <f t="shared" si="279"/>
        <v>0.14000000000000001</v>
      </c>
      <c r="R924" s="11">
        <f>IFERROR(IF(B924="Reynolds",VLOOKUP(H924,'Yield &amp; Time'!A:U,21,0),VLOOKUP(H924,'Yield &amp; Time'!A:L,12,0)),0)</f>
        <v>0</v>
      </c>
      <c r="S924" s="11">
        <f t="shared" si="271"/>
        <v>0</v>
      </c>
      <c r="T924" s="11">
        <f t="shared" si="272"/>
        <v>0</v>
      </c>
      <c r="U924" s="11">
        <f>IF(A923=A924,0,VLOOKUP(A924,'Packing Time'!A:F,6,0))</f>
        <v>0</v>
      </c>
      <c r="V924" s="11">
        <f t="shared" si="265"/>
        <v>0</v>
      </c>
      <c r="W924" s="11">
        <f t="shared" si="266"/>
        <v>0</v>
      </c>
      <c r="X924" s="11">
        <f t="shared" si="273"/>
        <v>0</v>
      </c>
      <c r="Y924" s="11">
        <f t="shared" si="267"/>
        <v>0</v>
      </c>
      <c r="Z924" s="37">
        <v>1</v>
      </c>
      <c r="AA924" s="36">
        <f t="shared" si="274"/>
        <v>1</v>
      </c>
      <c r="AB924" s="36">
        <f t="shared" si="275"/>
        <v>0.14000000000000001</v>
      </c>
      <c r="AC924" s="11">
        <f t="shared" si="276"/>
        <v>0</v>
      </c>
      <c r="AD924" s="36">
        <f t="shared" si="268"/>
        <v>0</v>
      </c>
      <c r="AE924" s="36"/>
      <c r="AF924" s="36">
        <f>IFERROR(VLOOKUP(AE924,'Chemical Cost'!A:D,4,0),0)</f>
        <v>0</v>
      </c>
      <c r="AG924" s="114">
        <f t="shared" si="277"/>
        <v>0</v>
      </c>
      <c r="AH924" s="36">
        <f t="shared" si="280"/>
        <v>0</v>
      </c>
      <c r="AI924" s="36">
        <f t="shared" si="269"/>
        <v>0.14000000000000001</v>
      </c>
      <c r="AJ924" s="36">
        <f>IFERROR(VLOOKUP(A924,'All Products'!A:F,6,0),0)</f>
        <v>4.47</v>
      </c>
      <c r="AK924" s="36"/>
      <c r="AL924" s="23">
        <v>1</v>
      </c>
      <c r="AM924" s="23"/>
      <c r="AN924" s="54" t="e">
        <v>#N/A</v>
      </c>
      <c r="AO924" s="47"/>
      <c r="AP924" s="4">
        <v>1.4</v>
      </c>
      <c r="AQ924" s="111">
        <f t="shared" si="278"/>
        <v>0</v>
      </c>
      <c r="AR924">
        <f>_xlfn.XLOOKUP(F924,'RM Cost'!A:A,'RM Cost'!S:S)</f>
        <v>0</v>
      </c>
      <c r="AS924" t="str">
        <f>_xlfn.XLOOKUP(A924,[3]Sheet1!$B:$B,[3]Sheet1!$B:$B)</f>
        <v>Z025CS</v>
      </c>
      <c r="AT924" t="e">
        <f>_xlfn.XLOOKUP(H924,'Yield &amp; Time'!A:A,'Yield &amp; Time'!F:F)</f>
        <v>#N/A</v>
      </c>
    </row>
    <row r="925" spans="1:46" x14ac:dyDescent="0.25">
      <c r="A925" s="2" t="s">
        <v>140</v>
      </c>
      <c r="B925" s="2" t="s">
        <v>656</v>
      </c>
      <c r="C925" s="2" t="s">
        <v>141</v>
      </c>
      <c r="D925" s="2" t="s">
        <v>554</v>
      </c>
      <c r="E925" s="2">
        <v>1</v>
      </c>
      <c r="F925" s="1" t="str">
        <f>VLOOKUP(H925,'RM Used'!A:B,2,0)</f>
        <v>026BCS</v>
      </c>
      <c r="G925" s="1" t="str">
        <f>IFERROR(VLOOKUP(F925,'RM Cost'!A:B,2,0),"")</f>
        <v>RM - POTATO - MIDS 35-45MM X 10KG</v>
      </c>
      <c r="H925" s="2" t="s">
        <v>1562</v>
      </c>
      <c r="I925" s="1" t="str">
        <f>VLOOKUP(F925,'RM Used'!B:D,3,0)</f>
        <v>RM-FOOD</v>
      </c>
      <c r="J925" s="66">
        <v>1</v>
      </c>
      <c r="K925" s="35">
        <f t="shared" si="264"/>
        <v>1</v>
      </c>
      <c r="L925" s="35">
        <f t="shared" si="270"/>
        <v>1</v>
      </c>
      <c r="M925" s="77" cm="1">
        <f t="array" ref="M925">_xlfn.IFS(BOM!I925="RM-PACKING","100%",B925="Reynolds",VLOOKUP(H925,'Yield &amp; Time'!A:V,22,0),BOM!B925="Dnata",VLOOKUP(BOM!H925,'Yield &amp; Time'!A:M,13,0),B925="NK",VLOOKUP(H925,'Yield &amp; Time'!A:X,24,0))</f>
        <v>0.7465408805031446</v>
      </c>
      <c r="N925" s="35">
        <f t="shared" si="263"/>
        <v>1.3395113732097725</v>
      </c>
      <c r="O925" s="1" t="str">
        <f>VLOOKUP(H925,'RM Used'!A:E,5,0)</f>
        <v>KG</v>
      </c>
      <c r="P925" s="11">
        <f>VLOOKUP(H925,'RM Used'!A:F,6,0)</f>
        <v>0.94</v>
      </c>
      <c r="Q925" s="11">
        <f t="shared" si="279"/>
        <v>1.259140690817186</v>
      </c>
      <c r="R925" s="11">
        <f>IFERROR(IF(B925="Reynolds",VLOOKUP(H925,'Yield &amp; Time'!A:U,21,0),VLOOKUP(H925,'Yield &amp; Time'!A:L,12,0)),0)</f>
        <v>1.731564167368717</v>
      </c>
      <c r="S925" s="11">
        <f t="shared" si="271"/>
        <v>0.58613447065431068</v>
      </c>
      <c r="T925" s="11">
        <f t="shared" si="272"/>
        <v>2.8859402789478617E-2</v>
      </c>
      <c r="U925" s="11">
        <f>IF(A924=A925,0,VLOOKUP(A925,'Packing Time'!A:F,6,0))</f>
        <v>0.64166666666666661</v>
      </c>
      <c r="V925" s="11">
        <f t="shared" si="265"/>
        <v>0.21720416666666661</v>
      </c>
      <c r="W925" s="11">
        <f t="shared" si="266"/>
        <v>1.0694444444444444E-2</v>
      </c>
      <c r="X925" s="11">
        <f t="shared" si="273"/>
        <v>1.2853418197135635</v>
      </c>
      <c r="Y925" s="11">
        <f t="shared" si="267"/>
        <v>1.2853418197135635</v>
      </c>
      <c r="Z925" s="37">
        <v>1</v>
      </c>
      <c r="AA925" s="36">
        <f t="shared" si="274"/>
        <v>1.3395113732097725</v>
      </c>
      <c r="AB925" s="36">
        <f t="shared" si="275"/>
        <v>1.259140690817186</v>
      </c>
      <c r="AC925" s="11">
        <f t="shared" si="276"/>
        <v>6.3286155574276901E-2</v>
      </c>
      <c r="AD925" s="36">
        <f t="shared" si="268"/>
        <v>1.2853418197135638</v>
      </c>
      <c r="AE925" s="36" t="str">
        <f>VLOOKUP(H925,'Yield &amp; Time'!A:I,9,0)</f>
        <v>SODIUM METABISULPHITE</v>
      </c>
      <c r="AF925" s="36">
        <f>IFERROR(VLOOKUP(AE925,'Chemical Cost'!A:D,4,0),0)</f>
        <v>9.7586225455882462E-3</v>
      </c>
      <c r="AG925" s="114">
        <f t="shared" si="277"/>
        <v>4.357261962225586E-3</v>
      </c>
      <c r="AH925" s="36">
        <f t="shared" si="280"/>
        <v>4.357261962225586E-3</v>
      </c>
      <c r="AI925" s="36">
        <f t="shared" si="269"/>
        <v>2.548839772492975</v>
      </c>
      <c r="AJ925" s="36">
        <f>IFERROR(VLOOKUP(A925,'All Products'!A:F,6,0),0)</f>
        <v>1.91</v>
      </c>
      <c r="AK925" s="36">
        <f>AJ925*Z925*J925</f>
        <v>1.91</v>
      </c>
      <c r="AL925" s="23">
        <v>1</v>
      </c>
      <c r="AM925" s="23"/>
      <c r="AN925" s="54" t="e">
        <v>#N/A</v>
      </c>
      <c r="AO925" s="47"/>
      <c r="AP925" s="4">
        <v>1.6</v>
      </c>
      <c r="AQ925" s="111">
        <f t="shared" si="278"/>
        <v>6.3286155574276901E-2</v>
      </c>
      <c r="AR925">
        <f>_xlfn.XLOOKUP(F925,'RM Cost'!A:A,'RM Cost'!S:S)</f>
        <v>0</v>
      </c>
      <c r="AS925" t="str">
        <f>_xlfn.XLOOKUP(A925,[3]Sheet1!$B:$B,[3]Sheet1!$B:$B)</f>
        <v>Z369CS</v>
      </c>
      <c r="AT925">
        <f>_xlfn.XLOOKUP(H925,'Yield &amp; Time'!A:A,'Yield &amp; Time'!F:F)</f>
        <v>0</v>
      </c>
    </row>
    <row r="926" spans="1:46" x14ac:dyDescent="0.25">
      <c r="A926" s="2" t="s">
        <v>140</v>
      </c>
      <c r="B926" s="2" t="s">
        <v>656</v>
      </c>
      <c r="C926" s="2" t="s">
        <v>141</v>
      </c>
      <c r="D926" s="2" t="s">
        <v>554</v>
      </c>
      <c r="E926" s="2">
        <v>1</v>
      </c>
      <c r="F926" s="1" t="str">
        <f>VLOOKUP(H926,'RM Used'!A:B,2,0)</f>
        <v>P0008</v>
      </c>
      <c r="G926" s="1" t="str">
        <f>IFERROR(VLOOKUP(F926,'RM Cost'!A:B,2,0),"")</f>
        <v>PALE BLUE BAG 470X750MM</v>
      </c>
      <c r="H926" s="2" t="s">
        <v>1323</v>
      </c>
      <c r="I926" s="1" t="str">
        <f>VLOOKUP(F926,'RM Used'!B:D,3,0)</f>
        <v>RM-PACKING</v>
      </c>
      <c r="J926" s="66">
        <v>1</v>
      </c>
      <c r="K926" s="35" t="str">
        <f t="shared" si="264"/>
        <v/>
      </c>
      <c r="L926" s="35">
        <f t="shared" si="270"/>
        <v>0</v>
      </c>
      <c r="M926" s="77" t="str" cm="1">
        <f t="array" ref="M926">_xlfn.IFS(BOM!I926="RM-PACKING","100%",B926="Reynolds",VLOOKUP(H926,'Yield &amp; Time'!A:V,22,0),BOM!B926="Dnata",VLOOKUP(BOM!H926,'Yield &amp; Time'!A:M,13,0),B926="NK",VLOOKUP(H926,'Yield &amp; Time'!A:X,24,0))</f>
        <v>100%</v>
      </c>
      <c r="N926" s="35">
        <f t="shared" si="263"/>
        <v>1</v>
      </c>
      <c r="O926" s="1" t="str">
        <f>VLOOKUP(H926,'RM Used'!A:E,5,0)</f>
        <v>Count</v>
      </c>
      <c r="P926" s="11">
        <f>VLOOKUP(H926,'RM Used'!A:F,6,0)</f>
        <v>0.14000000000000001</v>
      </c>
      <c r="Q926" s="11">
        <f t="shared" si="279"/>
        <v>0.14000000000000001</v>
      </c>
      <c r="R926" s="11">
        <f>IFERROR(IF(B926="Reynolds",VLOOKUP(H926,'Yield &amp; Time'!A:U,21,0),VLOOKUP(H926,'Yield &amp; Time'!A:L,12,0)),0)</f>
        <v>0</v>
      </c>
      <c r="S926" s="11">
        <f t="shared" si="271"/>
        <v>0</v>
      </c>
      <c r="T926" s="11">
        <f t="shared" si="272"/>
        <v>0</v>
      </c>
      <c r="U926" s="11">
        <f>IF(A925=A926,0,VLOOKUP(A926,'Packing Time'!A:F,6,0))</f>
        <v>0</v>
      </c>
      <c r="V926" s="11">
        <f t="shared" si="265"/>
        <v>0</v>
      </c>
      <c r="W926" s="11">
        <f t="shared" si="266"/>
        <v>0</v>
      </c>
      <c r="X926" s="11">
        <f t="shared" si="273"/>
        <v>0</v>
      </c>
      <c r="Y926" s="11">
        <f t="shared" si="267"/>
        <v>0</v>
      </c>
      <c r="Z926" s="37">
        <v>1</v>
      </c>
      <c r="AA926" s="36">
        <f t="shared" si="274"/>
        <v>1</v>
      </c>
      <c r="AB926" s="36">
        <f t="shared" si="275"/>
        <v>0.14000000000000001</v>
      </c>
      <c r="AC926" s="11">
        <f t="shared" si="276"/>
        <v>0</v>
      </c>
      <c r="AD926" s="36">
        <f t="shared" si="268"/>
        <v>0</v>
      </c>
      <c r="AE926" s="36"/>
      <c r="AF926" s="36">
        <f>IFERROR(VLOOKUP(AE926,'Chemical Cost'!A:D,4,0),0)</f>
        <v>0</v>
      </c>
      <c r="AG926" s="114">
        <f t="shared" si="277"/>
        <v>0</v>
      </c>
      <c r="AH926" s="36">
        <f t="shared" si="280"/>
        <v>0</v>
      </c>
      <c r="AI926" s="36">
        <f t="shared" si="269"/>
        <v>0.14000000000000001</v>
      </c>
      <c r="AJ926" s="36">
        <f>IFERROR(VLOOKUP(A926,'All Products'!A:F,6,0),0)</f>
        <v>1.91</v>
      </c>
      <c r="AK926" s="36"/>
      <c r="AL926" s="23">
        <v>1</v>
      </c>
      <c r="AM926" s="23"/>
      <c r="AN926" s="54" t="e">
        <v>#N/A</v>
      </c>
      <c r="AO926" s="47"/>
      <c r="AP926" s="4">
        <v>1.6</v>
      </c>
      <c r="AQ926" s="111">
        <f t="shared" si="278"/>
        <v>0</v>
      </c>
      <c r="AR926">
        <f>_xlfn.XLOOKUP(F926,'RM Cost'!A:A,'RM Cost'!S:S)</f>
        <v>0</v>
      </c>
      <c r="AS926" t="str">
        <f>_xlfn.XLOOKUP(A926,[3]Sheet1!$B:$B,[3]Sheet1!$B:$B)</f>
        <v>Z369CS</v>
      </c>
      <c r="AT926" t="e">
        <f>_xlfn.XLOOKUP(H926,'Yield &amp; Time'!A:A,'Yield &amp; Time'!F:F)</f>
        <v>#N/A</v>
      </c>
    </row>
    <row r="927" spans="1:46" x14ac:dyDescent="0.25">
      <c r="A927" s="2" t="s">
        <v>520</v>
      </c>
      <c r="B927" s="2" t="s">
        <v>656</v>
      </c>
      <c r="C927" s="2" t="s">
        <v>909</v>
      </c>
      <c r="D927" s="2" t="s">
        <v>554</v>
      </c>
      <c r="E927" s="2">
        <v>2.5</v>
      </c>
      <c r="F927" s="1" t="str">
        <f>VLOOKUP(H927,'RM Used'!A:B,2,0)</f>
        <v>026BCS</v>
      </c>
      <c r="G927" s="1" t="str">
        <f>IFERROR(VLOOKUP(F927,'RM Cost'!A:B,2,0),"")</f>
        <v>RM - POTATO - MIDS 35-45MM X 10KG</v>
      </c>
      <c r="H927" s="2" t="s">
        <v>1562</v>
      </c>
      <c r="I927" s="1" t="str">
        <f>VLOOKUP(F927,'RM Used'!B:D,3,0)</f>
        <v>RM-FOOD</v>
      </c>
      <c r="J927" s="66">
        <v>1</v>
      </c>
      <c r="K927" s="35">
        <f t="shared" si="264"/>
        <v>2.5</v>
      </c>
      <c r="L927" s="35">
        <f t="shared" si="270"/>
        <v>2.5</v>
      </c>
      <c r="M927" s="77" cm="1">
        <f t="array" ref="M927">_xlfn.IFS(BOM!I927="RM-PACKING","100%",B927="Reynolds",VLOOKUP(H927,'Yield &amp; Time'!A:V,22,0),BOM!B927="Dnata",VLOOKUP(BOM!H927,'Yield &amp; Time'!A:M,13,0),B927="NK",VLOOKUP(H927,'Yield &amp; Time'!A:X,24,0))</f>
        <v>0.7465408805031446</v>
      </c>
      <c r="N927" s="35">
        <f t="shared" ref="N927:N990" si="281">IFERROR(IF(I927="RM-FOOD",(E927*J927)/M927,1),0)</f>
        <v>3.3487784330244317</v>
      </c>
      <c r="O927" s="1" t="str">
        <f>VLOOKUP(H927,'RM Used'!A:E,5,0)</f>
        <v>KG</v>
      </c>
      <c r="P927" s="11">
        <f>VLOOKUP(H927,'RM Used'!A:F,6,0)</f>
        <v>0.94</v>
      </c>
      <c r="Q927" s="11">
        <f t="shared" si="279"/>
        <v>3.1478517270429656</v>
      </c>
      <c r="R927" s="11">
        <f>IFERROR(IF(B927="Reynolds",VLOOKUP(H927,'Yield &amp; Time'!A:U,21,0),VLOOKUP(H927,'Yield &amp; Time'!A:L,12,0)),0)</f>
        <v>1.731564167368717</v>
      </c>
      <c r="S927" s="11">
        <f t="shared" si="271"/>
        <v>1.4653361766357766</v>
      </c>
      <c r="T927" s="11">
        <f t="shared" si="272"/>
        <v>7.2148506973696541E-2</v>
      </c>
      <c r="U927" s="11">
        <f>IF(A926=A927,0,VLOOKUP(A927,'Packing Time'!A:F,6,0))</f>
        <v>0.875</v>
      </c>
      <c r="V927" s="11">
        <f t="shared" si="265"/>
        <v>0.29618749999999999</v>
      </c>
      <c r="W927" s="11">
        <f t="shared" si="266"/>
        <v>1.4583333333333334E-2</v>
      </c>
      <c r="X927" s="11">
        <f t="shared" si="273"/>
        <v>2.8184378826172427</v>
      </c>
      <c r="Y927" s="11">
        <f t="shared" si="267"/>
        <v>2.8184378826172427</v>
      </c>
      <c r="Z927" s="37">
        <v>1</v>
      </c>
      <c r="AA927" s="36">
        <f t="shared" si="274"/>
        <v>3.3487784330244317</v>
      </c>
      <c r="AB927" s="36">
        <f t="shared" si="275"/>
        <v>3.1478517270429656</v>
      </c>
      <c r="AC927" s="11">
        <f t="shared" si="276"/>
        <v>0.1387709444912478</v>
      </c>
      <c r="AD927" s="36">
        <f t="shared" si="268"/>
        <v>2.8184378826172423</v>
      </c>
      <c r="AE927" s="36" t="str">
        <f>VLOOKUP(H927,'Yield &amp; Time'!A:I,9,0)</f>
        <v>SODIUM METABISULPHITE</v>
      </c>
      <c r="AF927" s="36">
        <f>IFERROR(VLOOKUP(AE927,'Chemical Cost'!A:D,4,0),0)</f>
        <v>9.7586225455882462E-3</v>
      </c>
      <c r="AG927" s="114">
        <f t="shared" si="277"/>
        <v>1.0893154905563966E-2</v>
      </c>
      <c r="AH927" s="36">
        <f t="shared" si="280"/>
        <v>1.0893154905563966E-2</v>
      </c>
      <c r="AI927" s="36">
        <f t="shared" si="269"/>
        <v>5.9771827645657725</v>
      </c>
      <c r="AJ927" s="36">
        <f>IFERROR(VLOOKUP(A927,'All Products'!A:F,6,0),0)</f>
        <v>6.12</v>
      </c>
      <c r="AK927" s="36">
        <f>AJ927*Z927*J927</f>
        <v>6.12</v>
      </c>
      <c r="AL927" s="23">
        <v>1</v>
      </c>
      <c r="AM927" s="23"/>
      <c r="AN927" s="54" t="e">
        <v>#N/A</v>
      </c>
      <c r="AO927" s="47"/>
      <c r="AP927" s="4">
        <v>1.6</v>
      </c>
      <c r="AQ927" s="111">
        <f t="shared" si="278"/>
        <v>0.1387709444912478</v>
      </c>
      <c r="AR927">
        <f>_xlfn.XLOOKUP(F927,'RM Cost'!A:A,'RM Cost'!S:S)</f>
        <v>0</v>
      </c>
      <c r="AS927" t="str">
        <f>_xlfn.XLOOKUP(A927,[3]Sheet1!$B:$B,[3]Sheet1!$B:$B)</f>
        <v>Z368CS</v>
      </c>
      <c r="AT927">
        <f>_xlfn.XLOOKUP(H927,'Yield &amp; Time'!A:A,'Yield &amp; Time'!F:F)</f>
        <v>0</v>
      </c>
    </row>
    <row r="928" spans="1:46" x14ac:dyDescent="0.25">
      <c r="A928" s="2" t="s">
        <v>520</v>
      </c>
      <c r="B928" s="2" t="s">
        <v>656</v>
      </c>
      <c r="C928" s="2" t="s">
        <v>909</v>
      </c>
      <c r="D928" s="2" t="s">
        <v>554</v>
      </c>
      <c r="E928" s="2">
        <v>2.5</v>
      </c>
      <c r="F928" s="1" t="str">
        <f>VLOOKUP(H928,'RM Used'!A:B,2,0)</f>
        <v>P0008</v>
      </c>
      <c r="G928" s="1" t="str">
        <f>IFERROR(VLOOKUP(F928,'RM Cost'!A:B,2,0),"")</f>
        <v>PALE BLUE BAG 470X750MM</v>
      </c>
      <c r="H928" s="2" t="s">
        <v>1323</v>
      </c>
      <c r="I928" s="1" t="str">
        <f>VLOOKUP(F928,'RM Used'!B:D,3,0)</f>
        <v>RM-PACKING</v>
      </c>
      <c r="J928" s="66">
        <v>1</v>
      </c>
      <c r="K928" s="35" t="str">
        <f t="shared" si="264"/>
        <v/>
      </c>
      <c r="L928" s="35">
        <f t="shared" si="270"/>
        <v>0</v>
      </c>
      <c r="M928" s="77" t="str" cm="1">
        <f t="array" ref="M928">_xlfn.IFS(BOM!I928="RM-PACKING","100%",B928="Reynolds",VLOOKUP(H928,'Yield &amp; Time'!A:V,22,0),BOM!B928="Dnata",VLOOKUP(BOM!H928,'Yield &amp; Time'!A:M,13,0),B928="NK",VLOOKUP(H928,'Yield &amp; Time'!A:X,24,0))</f>
        <v>100%</v>
      </c>
      <c r="N928" s="35">
        <f t="shared" si="281"/>
        <v>1</v>
      </c>
      <c r="O928" s="1" t="str">
        <f>VLOOKUP(H928,'RM Used'!A:E,5,0)</f>
        <v>Count</v>
      </c>
      <c r="P928" s="11">
        <f>VLOOKUP(H928,'RM Used'!A:F,6,0)</f>
        <v>0.14000000000000001</v>
      </c>
      <c r="Q928" s="11">
        <f t="shared" si="279"/>
        <v>0.14000000000000001</v>
      </c>
      <c r="R928" s="11">
        <f>IFERROR(IF(B928="Reynolds",VLOOKUP(H928,'Yield &amp; Time'!A:U,21,0),VLOOKUP(H928,'Yield &amp; Time'!A:L,12,0)),0)</f>
        <v>0</v>
      </c>
      <c r="S928" s="11">
        <f t="shared" si="271"/>
        <v>0</v>
      </c>
      <c r="T928" s="11">
        <f t="shared" si="272"/>
        <v>0</v>
      </c>
      <c r="U928" s="11">
        <f>IF(A927=A928,0,VLOOKUP(A928,'Packing Time'!A:F,6,0))</f>
        <v>0</v>
      </c>
      <c r="V928" s="11">
        <f t="shared" si="265"/>
        <v>0</v>
      </c>
      <c r="W928" s="11">
        <f t="shared" si="266"/>
        <v>0</v>
      </c>
      <c r="X928" s="11">
        <f t="shared" si="273"/>
        <v>0</v>
      </c>
      <c r="Y928" s="11">
        <f t="shared" si="267"/>
        <v>0</v>
      </c>
      <c r="Z928" s="37">
        <v>1</v>
      </c>
      <c r="AA928" s="36">
        <f t="shared" si="274"/>
        <v>1</v>
      </c>
      <c r="AB928" s="36">
        <f t="shared" si="275"/>
        <v>0.14000000000000001</v>
      </c>
      <c r="AC928" s="11">
        <f t="shared" si="276"/>
        <v>0</v>
      </c>
      <c r="AD928" s="36">
        <f t="shared" si="268"/>
        <v>0</v>
      </c>
      <c r="AE928" s="36"/>
      <c r="AF928" s="36">
        <f>IFERROR(VLOOKUP(AE928,'Chemical Cost'!A:D,4,0),0)</f>
        <v>0</v>
      </c>
      <c r="AG928" s="114">
        <f t="shared" si="277"/>
        <v>0</v>
      </c>
      <c r="AH928" s="36">
        <f t="shared" si="280"/>
        <v>0</v>
      </c>
      <c r="AI928" s="36">
        <f t="shared" si="269"/>
        <v>0.14000000000000001</v>
      </c>
      <c r="AJ928" s="36">
        <f>IFERROR(VLOOKUP(A928,'All Products'!A:F,6,0),0)</f>
        <v>6.12</v>
      </c>
      <c r="AK928" s="36"/>
      <c r="AL928" s="23">
        <v>1</v>
      </c>
      <c r="AM928" s="23"/>
      <c r="AN928" s="54" t="e">
        <v>#N/A</v>
      </c>
      <c r="AO928" s="47"/>
      <c r="AP928" s="4">
        <v>1.6</v>
      </c>
      <c r="AQ928" s="111">
        <f t="shared" si="278"/>
        <v>0</v>
      </c>
      <c r="AR928">
        <f>_xlfn.XLOOKUP(F928,'RM Cost'!A:A,'RM Cost'!S:S)</f>
        <v>0</v>
      </c>
      <c r="AS928" t="str">
        <f>_xlfn.XLOOKUP(A928,[3]Sheet1!$B:$B,[3]Sheet1!$B:$B)</f>
        <v>Z368CS</v>
      </c>
      <c r="AT928" t="e">
        <f>_xlfn.XLOOKUP(H928,'Yield &amp; Time'!A:A,'Yield &amp; Time'!F:F)</f>
        <v>#N/A</v>
      </c>
    </row>
    <row r="929" spans="1:46" x14ac:dyDescent="0.25">
      <c r="A929" s="2" t="s">
        <v>910</v>
      </c>
      <c r="B929" s="2" t="s">
        <v>656</v>
      </c>
      <c r="C929" s="2" t="s">
        <v>911</v>
      </c>
      <c r="D929" s="2" t="s">
        <v>554</v>
      </c>
      <c r="E929" s="2">
        <v>1</v>
      </c>
      <c r="F929" s="1" t="str">
        <f>VLOOKUP(H929,'RM Used'!A:B,2,0)</f>
        <v>3209CS</v>
      </c>
      <c r="G929" s="1" t="str">
        <f>IFERROR(VLOOKUP(F929,'RM Cost'!A:B,2,0),"")</f>
        <v>RM - POTATO RED 25KG</v>
      </c>
      <c r="H929" s="2" t="s">
        <v>1563</v>
      </c>
      <c r="I929" s="1" t="str">
        <f>VLOOKUP(F929,'RM Used'!B:D,3,0)</f>
        <v>RM-FOOD</v>
      </c>
      <c r="J929" s="66">
        <v>1</v>
      </c>
      <c r="K929" s="35">
        <f t="shared" ref="K929:K992" si="282">IF(I929="RM-FOOD",J929*E929,"")</f>
        <v>1</v>
      </c>
      <c r="L929" s="35">
        <f t="shared" si="270"/>
        <v>1</v>
      </c>
      <c r="M929" s="77" cm="1">
        <f t="array" ref="M929">_xlfn.IFS(BOM!I929="RM-PACKING","100%",B929="Reynolds",VLOOKUP(H929,'Yield &amp; Time'!A:V,22,0),BOM!B929="Dnata",VLOOKUP(BOM!H929,'Yield &amp; Time'!A:M,13,0),B929="NK",VLOOKUP(H929,'Yield &amp; Time'!A:X,24,0))</f>
        <v>0.98235294117647054</v>
      </c>
      <c r="N929" s="35">
        <f t="shared" si="281"/>
        <v>1.0179640718562875</v>
      </c>
      <c r="O929" s="1" t="str">
        <f>VLOOKUP(H929,'RM Used'!A:E,5,0)</f>
        <v>KG</v>
      </c>
      <c r="P929" s="11">
        <f>VLOOKUP(H929,'RM Used'!A:F,6,0)</f>
        <v>0.47</v>
      </c>
      <c r="Q929" s="11">
        <f t="shared" si="279"/>
        <v>0.47844311377245508</v>
      </c>
      <c r="R929" s="11">
        <f>IFERROR(IF(B929="Reynolds",VLOOKUP(H929,'Yield &amp; Time'!A:U,21,0),VLOOKUP(H929,'Yield &amp; Time'!A:L,12,0)),0)</f>
        <v>0.49920159680638732</v>
      </c>
      <c r="S929" s="11">
        <f t="shared" si="271"/>
        <v>0.16897974051896208</v>
      </c>
      <c r="T929" s="11">
        <f t="shared" si="272"/>
        <v>8.320026613439788E-3</v>
      </c>
      <c r="U929" s="11">
        <f>IF(A928=A929,0,VLOOKUP(A929,'Packing Time'!A:F,6,0))</f>
        <v>0.64166666666666661</v>
      </c>
      <c r="V929" s="11">
        <f t="shared" si="265"/>
        <v>0.21720416666666661</v>
      </c>
      <c r="W929" s="11">
        <f t="shared" si="266"/>
        <v>1.0694444444444444E-2</v>
      </c>
      <c r="X929" s="11">
        <f t="shared" si="273"/>
        <v>0.61789425149700594</v>
      </c>
      <c r="Y929" s="11">
        <f t="shared" si="267"/>
        <v>0.61789425149700594</v>
      </c>
      <c r="Z929" s="37">
        <v>1</v>
      </c>
      <c r="AA929" s="36">
        <f t="shared" si="274"/>
        <v>1.0179640718562875</v>
      </c>
      <c r="AB929" s="36">
        <f t="shared" si="275"/>
        <v>0.47844311377245508</v>
      </c>
      <c r="AC929" s="11">
        <f t="shared" si="276"/>
        <v>3.0423153692614769E-2</v>
      </c>
      <c r="AD929" s="36">
        <f t="shared" si="268"/>
        <v>0.61789425149700583</v>
      </c>
      <c r="AE929" s="36" t="str">
        <f>VLOOKUP(H929,'Yield &amp; Time'!A:I,9,0)</f>
        <v>SODIUM METABISULPHITE</v>
      </c>
      <c r="AF929" s="36">
        <f>IFERROR(VLOOKUP(AE929,'Chemical Cost'!A:D,4,0),0)</f>
        <v>9.7586225455882462E-3</v>
      </c>
      <c r="AG929" s="114">
        <f t="shared" si="277"/>
        <v>3.3113090474051932E-3</v>
      </c>
      <c r="AH929" s="36">
        <f t="shared" si="280"/>
        <v>3.3113090474051932E-3</v>
      </c>
      <c r="AI929" s="36">
        <f t="shared" si="269"/>
        <v>1.0996486743168663</v>
      </c>
      <c r="AJ929" s="36">
        <f>IFERROR(VLOOKUP(A929,'All Products'!A:F,6,0),0)</f>
        <v>2.59</v>
      </c>
      <c r="AK929" s="36">
        <f>AJ929*Z929*J929</f>
        <v>2.59</v>
      </c>
      <c r="AL929" s="23">
        <v>1</v>
      </c>
      <c r="AM929" s="23"/>
      <c r="AN929" s="54" t="e">
        <v>#N/A</v>
      </c>
      <c r="AO929" s="47"/>
      <c r="AP929" s="4">
        <v>1.6</v>
      </c>
      <c r="AQ929" s="111">
        <f t="shared" si="278"/>
        <v>3.0423153692614769E-2</v>
      </c>
      <c r="AR929">
        <f>_xlfn.XLOOKUP(F929,'RM Cost'!A:A,'RM Cost'!S:S)</f>
        <v>0</v>
      </c>
      <c r="AS929" t="e">
        <f>_xlfn.XLOOKUP(A929,[3]Sheet1!$B:$B,[3]Sheet1!$B:$B)</f>
        <v>#N/A</v>
      </c>
    </row>
    <row r="930" spans="1:46" x14ac:dyDescent="0.25">
      <c r="A930" s="2" t="s">
        <v>910</v>
      </c>
      <c r="B930" s="2" t="s">
        <v>656</v>
      </c>
      <c r="C930" s="2" t="s">
        <v>911</v>
      </c>
      <c r="D930" s="2" t="s">
        <v>554</v>
      </c>
      <c r="E930" s="2">
        <v>1</v>
      </c>
      <c r="F930" s="1" t="str">
        <f>VLOOKUP(H930,'RM Used'!A:B,2,0)</f>
        <v>P0008</v>
      </c>
      <c r="G930" s="1" t="str">
        <f>IFERROR(VLOOKUP(F930,'RM Cost'!A:B,2,0),"")</f>
        <v>PALE BLUE BAG 470X750MM</v>
      </c>
      <c r="H930" s="2" t="s">
        <v>1323</v>
      </c>
      <c r="I930" s="1" t="str">
        <f>VLOOKUP(F930,'RM Used'!B:D,3,0)</f>
        <v>RM-PACKING</v>
      </c>
      <c r="J930" s="66">
        <v>1</v>
      </c>
      <c r="K930" s="35" t="str">
        <f t="shared" si="282"/>
        <v/>
      </c>
      <c r="L930" s="35">
        <f t="shared" si="270"/>
        <v>0</v>
      </c>
      <c r="M930" s="77" t="str" cm="1">
        <f t="array" ref="M930">_xlfn.IFS(BOM!I930="RM-PACKING","100%",B930="Reynolds",VLOOKUP(H930,'Yield &amp; Time'!A:V,22,0),BOM!B930="Dnata",VLOOKUP(BOM!H930,'Yield &amp; Time'!A:M,13,0),B930="NK",VLOOKUP(H930,'Yield &amp; Time'!A:X,24,0))</f>
        <v>100%</v>
      </c>
      <c r="N930" s="35">
        <f t="shared" si="281"/>
        <v>1</v>
      </c>
      <c r="O930" s="1" t="str">
        <f>VLOOKUP(H930,'RM Used'!A:E,5,0)</f>
        <v>Count</v>
      </c>
      <c r="P930" s="11">
        <f>VLOOKUP(H930,'RM Used'!A:F,6,0)</f>
        <v>0.14000000000000001</v>
      </c>
      <c r="Q930" s="11">
        <f t="shared" si="279"/>
        <v>0.14000000000000001</v>
      </c>
      <c r="R930" s="11">
        <f>IFERROR(IF(B930="Reynolds",VLOOKUP(H930,'Yield &amp; Time'!A:U,21,0),VLOOKUP(H930,'Yield &amp; Time'!A:L,12,0)),0)</f>
        <v>0</v>
      </c>
      <c r="S930" s="11">
        <f t="shared" si="271"/>
        <v>0</v>
      </c>
      <c r="T930" s="11">
        <f t="shared" si="272"/>
        <v>0</v>
      </c>
      <c r="U930" s="11">
        <f>IF(A929=A930,0,VLOOKUP(A930,'Packing Time'!A:F,6,0))</f>
        <v>0</v>
      </c>
      <c r="V930" s="11">
        <f t="shared" ref="V930:V993" si="283">U930*AO$1</f>
        <v>0</v>
      </c>
      <c r="W930" s="11">
        <f t="shared" ref="W930:W993" si="284">(U930*Z930)/60</f>
        <v>0</v>
      </c>
      <c r="X930" s="11">
        <f t="shared" si="273"/>
        <v>0</v>
      </c>
      <c r="Y930" s="11">
        <f t="shared" ref="Y930:Y993" si="285">X930*Z930</f>
        <v>0</v>
      </c>
      <c r="Z930" s="37">
        <v>1</v>
      </c>
      <c r="AA930" s="36">
        <f t="shared" si="274"/>
        <v>1</v>
      </c>
      <c r="AB930" s="36">
        <f t="shared" si="275"/>
        <v>0.14000000000000001</v>
      </c>
      <c r="AC930" s="11">
        <f t="shared" si="276"/>
        <v>0</v>
      </c>
      <c r="AD930" s="36">
        <f t="shared" ref="AD930:AD993" si="286">AC930*60*AO$1</f>
        <v>0</v>
      </c>
      <c r="AE930" s="36"/>
      <c r="AF930" s="36">
        <f>IFERROR(VLOOKUP(AE930,'Chemical Cost'!A:D,4,0),0)</f>
        <v>0</v>
      </c>
      <c r="AG930" s="114">
        <f t="shared" si="277"/>
        <v>0</v>
      </c>
      <c r="AH930" s="36">
        <f t="shared" si="280"/>
        <v>0</v>
      </c>
      <c r="AI930" s="36">
        <f t="shared" ref="AI930:AI993" si="287">IFERROR((Q930*Z930)+(Z930*X930)+AH930,0)</f>
        <v>0.14000000000000001</v>
      </c>
      <c r="AJ930" s="36">
        <f>IFERROR(VLOOKUP(A930,'All Products'!A:F,6,0),0)</f>
        <v>2.59</v>
      </c>
      <c r="AK930" s="36"/>
      <c r="AL930" s="23">
        <v>1</v>
      </c>
      <c r="AM930" s="23"/>
      <c r="AN930" s="54" t="e">
        <v>#N/A</v>
      </c>
      <c r="AO930" s="47"/>
      <c r="AP930" s="4">
        <v>1.6</v>
      </c>
      <c r="AQ930" s="111">
        <f t="shared" si="278"/>
        <v>0</v>
      </c>
      <c r="AR930">
        <f>_xlfn.XLOOKUP(F930,'RM Cost'!A:A,'RM Cost'!S:S)</f>
        <v>0</v>
      </c>
      <c r="AS930" t="e">
        <f>_xlfn.XLOOKUP(A930,[3]Sheet1!$B:$B,[3]Sheet1!$B:$B)</f>
        <v>#N/A</v>
      </c>
    </row>
    <row r="931" spans="1:46" x14ac:dyDescent="0.25">
      <c r="A931" s="2" t="s">
        <v>536</v>
      </c>
      <c r="B931" s="2" t="s">
        <v>656</v>
      </c>
      <c r="C931" s="2" t="s">
        <v>537</v>
      </c>
      <c r="D931" s="2" t="s">
        <v>554</v>
      </c>
      <c r="E931" s="2">
        <v>2.5</v>
      </c>
      <c r="F931" s="1" t="str">
        <f>VLOOKUP(H931,'RM Used'!A:B,2,0)</f>
        <v>3209CS</v>
      </c>
      <c r="G931" s="1" t="str">
        <f>IFERROR(VLOOKUP(F931,'RM Cost'!A:B,2,0),"")</f>
        <v>RM - POTATO RED 25KG</v>
      </c>
      <c r="H931" s="2" t="s">
        <v>1563</v>
      </c>
      <c r="I931" s="1" t="str">
        <f>VLOOKUP(F931,'RM Used'!B:D,3,0)</f>
        <v>RM-FOOD</v>
      </c>
      <c r="J931" s="66">
        <v>1</v>
      </c>
      <c r="K931" s="35">
        <f t="shared" si="282"/>
        <v>2.5</v>
      </c>
      <c r="L931" s="35">
        <f t="shared" si="270"/>
        <v>2.5</v>
      </c>
      <c r="M931" s="77" cm="1">
        <f t="array" ref="M931">_xlfn.IFS(BOM!I931="RM-PACKING","100%",B931="Reynolds",VLOOKUP(H931,'Yield &amp; Time'!A:V,22,0),BOM!B931="Dnata",VLOOKUP(BOM!H931,'Yield &amp; Time'!A:M,13,0),B931="NK",VLOOKUP(H931,'Yield &amp; Time'!A:X,24,0))</f>
        <v>0.98235294117647054</v>
      </c>
      <c r="N931" s="35">
        <f t="shared" si="281"/>
        <v>2.5449101796407185</v>
      </c>
      <c r="O931" s="1" t="str">
        <f>VLOOKUP(H931,'RM Used'!A:E,5,0)</f>
        <v>KG</v>
      </c>
      <c r="P931" s="11">
        <f>VLOOKUP(H931,'RM Used'!A:F,6,0)</f>
        <v>0.47</v>
      </c>
      <c r="Q931" s="11">
        <f t="shared" si="279"/>
        <v>1.1961077844311376</v>
      </c>
      <c r="R931" s="11">
        <f>IFERROR(IF(B931="Reynolds",VLOOKUP(H931,'Yield &amp; Time'!A:U,21,0),VLOOKUP(H931,'Yield &amp; Time'!A:L,12,0)),0)</f>
        <v>0.49920159680638732</v>
      </c>
      <c r="S931" s="11">
        <f t="shared" si="271"/>
        <v>0.42244935129740518</v>
      </c>
      <c r="T931" s="11">
        <f t="shared" si="272"/>
        <v>2.0800066533599469E-2</v>
      </c>
      <c r="U931" s="11">
        <f>IF(A930=A931,0,VLOOKUP(A931,'Packing Time'!A:F,6,0))</f>
        <v>0.875</v>
      </c>
      <c r="V931" s="11">
        <f t="shared" si="283"/>
        <v>0.29618749999999999</v>
      </c>
      <c r="W931" s="11">
        <f t="shared" si="284"/>
        <v>1.4583333333333334E-2</v>
      </c>
      <c r="X931" s="11">
        <f t="shared" si="273"/>
        <v>0.89829606412175644</v>
      </c>
      <c r="Y931" s="11">
        <f t="shared" si="285"/>
        <v>0.89829606412175644</v>
      </c>
      <c r="Z931" s="37">
        <v>1</v>
      </c>
      <c r="AA931" s="36">
        <f t="shared" si="274"/>
        <v>2.5449101796407185</v>
      </c>
      <c r="AB931" s="36">
        <f t="shared" si="275"/>
        <v>1.1961077844311376</v>
      </c>
      <c r="AC931" s="11">
        <f t="shared" si="276"/>
        <v>4.4229249833666009E-2</v>
      </c>
      <c r="AD931" s="36">
        <f t="shared" si="286"/>
        <v>0.89829606412175655</v>
      </c>
      <c r="AE931" s="36" t="str">
        <f>VLOOKUP(H931,'Yield &amp; Time'!A:I,9,0)</f>
        <v>SODIUM METABISULPHITE</v>
      </c>
      <c r="AF931" s="36">
        <f>IFERROR(VLOOKUP(AE931,'Chemical Cost'!A:D,4,0),0)</f>
        <v>9.7586225455882462E-3</v>
      </c>
      <c r="AG931" s="114">
        <f t="shared" si="277"/>
        <v>8.2782726185129836E-3</v>
      </c>
      <c r="AH931" s="36">
        <f t="shared" si="280"/>
        <v>8.2782726185129836E-3</v>
      </c>
      <c r="AI931" s="36">
        <f t="shared" si="287"/>
        <v>2.1026821211714068</v>
      </c>
      <c r="AJ931" s="36">
        <f>IFERROR(VLOOKUP(A931,'All Products'!A:F,6,0),0)</f>
        <v>6.46</v>
      </c>
      <c r="AK931" s="36">
        <f>AJ931*Z931*J931</f>
        <v>6.46</v>
      </c>
      <c r="AL931" s="23">
        <v>1</v>
      </c>
      <c r="AM931" s="23"/>
      <c r="AN931" s="54" t="e">
        <v>#N/A</v>
      </c>
      <c r="AO931" s="47"/>
      <c r="AP931" s="4">
        <v>1.25</v>
      </c>
      <c r="AQ931" s="111">
        <f t="shared" si="278"/>
        <v>4.4229249833666009E-2</v>
      </c>
      <c r="AR931">
        <f>_xlfn.XLOOKUP(F931,'RM Cost'!A:A,'RM Cost'!S:S)</f>
        <v>0</v>
      </c>
      <c r="AS931" t="str">
        <f>_xlfn.XLOOKUP(A931,[3]Sheet1!$B:$B,[3]Sheet1!$B:$B)</f>
        <v>Z041CS</v>
      </c>
      <c r="AT931">
        <f>_xlfn.XLOOKUP(H931,'Yield &amp; Time'!A:A,'Yield &amp; Time'!F:F)</f>
        <v>0</v>
      </c>
    </row>
    <row r="932" spans="1:46" x14ac:dyDescent="0.25">
      <c r="A932" s="2" t="s">
        <v>536</v>
      </c>
      <c r="B932" s="2" t="s">
        <v>656</v>
      </c>
      <c r="C932" s="2" t="s">
        <v>537</v>
      </c>
      <c r="D932" s="2" t="s">
        <v>554</v>
      </c>
      <c r="E932" s="2">
        <v>2.5</v>
      </c>
      <c r="F932" s="1" t="str">
        <f>VLOOKUP(H932,'RM Used'!A:B,2,0)</f>
        <v>P0008</v>
      </c>
      <c r="G932" s="1" t="str">
        <f>IFERROR(VLOOKUP(F932,'RM Cost'!A:B,2,0),"")</f>
        <v>PALE BLUE BAG 470X750MM</v>
      </c>
      <c r="H932" s="2" t="s">
        <v>1323</v>
      </c>
      <c r="I932" s="1" t="str">
        <f>VLOOKUP(F932,'RM Used'!B:D,3,0)</f>
        <v>RM-PACKING</v>
      </c>
      <c r="J932" s="66">
        <v>1</v>
      </c>
      <c r="K932" s="35" t="str">
        <f t="shared" si="282"/>
        <v/>
      </c>
      <c r="L932" s="35">
        <f t="shared" si="270"/>
        <v>0</v>
      </c>
      <c r="M932" s="77" t="str" cm="1">
        <f t="array" ref="M932">_xlfn.IFS(BOM!I932="RM-PACKING","100%",B932="Reynolds",VLOOKUP(H932,'Yield &amp; Time'!A:V,22,0),BOM!B932="Dnata",VLOOKUP(BOM!H932,'Yield &amp; Time'!A:M,13,0),B932="NK",VLOOKUP(H932,'Yield &amp; Time'!A:X,24,0))</f>
        <v>100%</v>
      </c>
      <c r="N932" s="35">
        <f t="shared" si="281"/>
        <v>1</v>
      </c>
      <c r="O932" s="1" t="str">
        <f>VLOOKUP(H932,'RM Used'!A:E,5,0)</f>
        <v>Count</v>
      </c>
      <c r="P932" s="11">
        <f>VLOOKUP(H932,'RM Used'!A:F,6,0)</f>
        <v>0.14000000000000001</v>
      </c>
      <c r="Q932" s="11">
        <f t="shared" si="279"/>
        <v>0.14000000000000001</v>
      </c>
      <c r="R932" s="11">
        <f>IFERROR(IF(B932="Reynolds",VLOOKUP(H932,'Yield &amp; Time'!A:U,21,0),VLOOKUP(H932,'Yield &amp; Time'!A:L,12,0)),0)</f>
        <v>0</v>
      </c>
      <c r="S932" s="11">
        <f t="shared" si="271"/>
        <v>0</v>
      </c>
      <c r="T932" s="11">
        <f t="shared" si="272"/>
        <v>0</v>
      </c>
      <c r="U932" s="11">
        <f>IF(A931=A932,0,VLOOKUP(A932,'Packing Time'!A:F,6,0))</f>
        <v>0</v>
      </c>
      <c r="V932" s="11">
        <f t="shared" si="283"/>
        <v>0</v>
      </c>
      <c r="W932" s="11">
        <f t="shared" si="284"/>
        <v>0</v>
      </c>
      <c r="X932" s="11">
        <f t="shared" si="273"/>
        <v>0</v>
      </c>
      <c r="Y932" s="11">
        <f t="shared" si="285"/>
        <v>0</v>
      </c>
      <c r="Z932" s="37">
        <v>1</v>
      </c>
      <c r="AA932" s="36">
        <f t="shared" si="274"/>
        <v>1</v>
      </c>
      <c r="AB932" s="36">
        <f t="shared" si="275"/>
        <v>0.14000000000000001</v>
      </c>
      <c r="AC932" s="11">
        <f t="shared" si="276"/>
        <v>0</v>
      </c>
      <c r="AD932" s="36">
        <f t="shared" si="286"/>
        <v>0</v>
      </c>
      <c r="AE932" s="36"/>
      <c r="AF932" s="36">
        <f>IFERROR(VLOOKUP(AE932,'Chemical Cost'!A:D,4,0),0)</f>
        <v>0</v>
      </c>
      <c r="AG932" s="114">
        <f t="shared" si="277"/>
        <v>0</v>
      </c>
      <c r="AH932" s="36">
        <f t="shared" si="280"/>
        <v>0</v>
      </c>
      <c r="AI932" s="36">
        <f t="shared" si="287"/>
        <v>0.14000000000000001</v>
      </c>
      <c r="AJ932" s="36">
        <f>IFERROR(VLOOKUP(A932,'All Products'!A:F,6,0),0)</f>
        <v>6.46</v>
      </c>
      <c r="AK932" s="36"/>
      <c r="AL932" s="23">
        <v>1</v>
      </c>
      <c r="AM932" s="23"/>
      <c r="AN932" s="54" t="e">
        <v>#N/A</v>
      </c>
      <c r="AO932" s="47"/>
      <c r="AP932" s="4">
        <v>1.25</v>
      </c>
      <c r="AQ932" s="111">
        <f t="shared" si="278"/>
        <v>0</v>
      </c>
      <c r="AR932">
        <f>_xlfn.XLOOKUP(F932,'RM Cost'!A:A,'RM Cost'!S:S)</f>
        <v>0</v>
      </c>
      <c r="AS932" t="str">
        <f>_xlfn.XLOOKUP(A932,[3]Sheet1!$B:$B,[3]Sheet1!$B:$B)</f>
        <v>Z041CS</v>
      </c>
      <c r="AT932" t="e">
        <f>_xlfn.XLOOKUP(H932,'Yield &amp; Time'!A:A,'Yield &amp; Time'!F:F)</f>
        <v>#N/A</v>
      </c>
    </row>
    <row r="933" spans="1:46" x14ac:dyDescent="0.25">
      <c r="A933" s="2" t="s">
        <v>499</v>
      </c>
      <c r="B933" s="2" t="s">
        <v>656</v>
      </c>
      <c r="C933" s="2" t="s">
        <v>500</v>
      </c>
      <c r="D933" s="2" t="s">
        <v>554</v>
      </c>
      <c r="E933" s="2">
        <v>1</v>
      </c>
      <c r="F933" s="1" t="str">
        <f>VLOOKUP(H933,'RM Used'!A:B,2,0)</f>
        <v>3209CS</v>
      </c>
      <c r="G933" s="1" t="str">
        <f>IFERROR(VLOOKUP(F933,'RM Cost'!A:B,2,0),"")</f>
        <v>RM - POTATO RED 25KG</v>
      </c>
      <c r="H933" s="2" t="s">
        <v>1564</v>
      </c>
      <c r="I933" s="1" t="str">
        <f>VLOOKUP(F933,'RM Used'!B:D,3,0)</f>
        <v>RM-FOOD</v>
      </c>
      <c r="J933" s="66">
        <v>1</v>
      </c>
      <c r="K933" s="35">
        <f t="shared" si="282"/>
        <v>1</v>
      </c>
      <c r="L933" s="35">
        <f t="shared" si="270"/>
        <v>1</v>
      </c>
      <c r="M933" s="77" cm="1">
        <f t="array" ref="M933">_xlfn.IFS(BOM!I933="RM-PACKING","100%",B933="Reynolds",VLOOKUP(H933,'Yield &amp; Time'!A:V,22,0),BOM!B933="Dnata",VLOOKUP(BOM!H933,'Yield &amp; Time'!A:M,13,0),B933="NK",VLOOKUP(H933,'Yield &amp; Time'!A:X,24,0))</f>
        <v>0.98</v>
      </c>
      <c r="N933" s="35">
        <f t="shared" si="281"/>
        <v>1.0204081632653061</v>
      </c>
      <c r="O933" s="1" t="str">
        <f>VLOOKUP(H933,'RM Used'!A:E,5,0)</f>
        <v>KG</v>
      </c>
      <c r="P933" s="11">
        <f>VLOOKUP(H933,'RM Used'!A:F,6,0)</f>
        <v>0.47</v>
      </c>
      <c r="Q933" s="11">
        <f t="shared" si="279"/>
        <v>0.47959183673469385</v>
      </c>
      <c r="R933" s="11">
        <f>IFERROR(IF(B933="Reynolds",VLOOKUP(H933,'Yield &amp; Time'!A:U,21,0),VLOOKUP(H933,'Yield &amp; Time'!A:L,12,0)),0)</f>
        <v>2.0408163265306123</v>
      </c>
      <c r="S933" s="11">
        <f t="shared" si="271"/>
        <v>0.6908163265306122</v>
      </c>
      <c r="T933" s="11">
        <f t="shared" si="272"/>
        <v>3.4013605442176874E-2</v>
      </c>
      <c r="U933" s="11">
        <f>IF(A932=A933,0,VLOOKUP(A933,'Packing Time'!A:F,6,0))</f>
        <v>0.64166666666666661</v>
      </c>
      <c r="V933" s="11">
        <f t="shared" si="283"/>
        <v>0.21720416666666661</v>
      </c>
      <c r="W933" s="11">
        <f t="shared" si="284"/>
        <v>1.0694444444444444E-2</v>
      </c>
      <c r="X933" s="11">
        <f t="shared" si="273"/>
        <v>1.4528327891156463</v>
      </c>
      <c r="Y933" s="11">
        <f t="shared" si="285"/>
        <v>1.4528327891156463</v>
      </c>
      <c r="Z933" s="37">
        <v>1</v>
      </c>
      <c r="AA933" s="36">
        <f t="shared" si="274"/>
        <v>1.0204081632653061</v>
      </c>
      <c r="AB933" s="36">
        <f t="shared" si="275"/>
        <v>0.47959183673469385</v>
      </c>
      <c r="AC933" s="11">
        <f t="shared" si="276"/>
        <v>7.1532879818594117E-2</v>
      </c>
      <c r="AD933" s="36">
        <f t="shared" si="286"/>
        <v>1.4528327891156463</v>
      </c>
      <c r="AE933" s="36"/>
      <c r="AF933" s="36">
        <f>IFERROR(VLOOKUP(AE933,'Chemical Cost'!A:D,4,0),0)</f>
        <v>0</v>
      </c>
      <c r="AG933" s="114">
        <f t="shared" si="277"/>
        <v>0</v>
      </c>
      <c r="AH933" s="36">
        <f t="shared" si="280"/>
        <v>0</v>
      </c>
      <c r="AI933" s="36">
        <f t="shared" si="287"/>
        <v>1.9324246258503401</v>
      </c>
      <c r="AJ933" s="36">
        <f>IFERROR(VLOOKUP(A933,'All Products'!A:F,6,0),0)</f>
        <v>4.4000000000000004</v>
      </c>
      <c r="AK933" s="36">
        <f>AJ933*Z933*J933</f>
        <v>4.4000000000000004</v>
      </c>
      <c r="AL933" s="23">
        <v>1</v>
      </c>
      <c r="AM933" s="23"/>
      <c r="AN933" s="54" t="e">
        <v>#N/A</v>
      </c>
      <c r="AO933" s="47"/>
      <c r="AP933" s="4">
        <v>1.6</v>
      </c>
      <c r="AQ933" s="111">
        <f t="shared" si="278"/>
        <v>7.1532879818594117E-2</v>
      </c>
      <c r="AR933">
        <f>_xlfn.XLOOKUP(F933,'RM Cost'!A:A,'RM Cost'!S:S)</f>
        <v>0</v>
      </c>
      <c r="AS933" t="str">
        <f>_xlfn.XLOOKUP(A933,[3]Sheet1!$B:$B,[3]Sheet1!$B:$B)</f>
        <v>Z373CS</v>
      </c>
      <c r="AT933">
        <f>_xlfn.XLOOKUP(H933,'Yield &amp; Time'!A:A,'Yield &amp; Time'!F:F)</f>
        <v>0</v>
      </c>
    </row>
    <row r="934" spans="1:46" x14ac:dyDescent="0.25">
      <c r="A934" s="2" t="s">
        <v>499</v>
      </c>
      <c r="B934" s="2" t="s">
        <v>656</v>
      </c>
      <c r="C934" s="2" t="s">
        <v>500</v>
      </c>
      <c r="D934" s="2" t="s">
        <v>554</v>
      </c>
      <c r="E934" s="2">
        <v>1</v>
      </c>
      <c r="F934" s="1" t="str">
        <f>VLOOKUP(H934,'RM Used'!A:B,2,0)</f>
        <v>P0008</v>
      </c>
      <c r="G934" s="1" t="str">
        <f>IFERROR(VLOOKUP(F934,'RM Cost'!A:B,2,0),"")</f>
        <v>PALE BLUE BAG 470X750MM</v>
      </c>
      <c r="H934" s="2" t="s">
        <v>1323</v>
      </c>
      <c r="I934" s="1" t="str">
        <f>VLOOKUP(F934,'RM Used'!B:D,3,0)</f>
        <v>RM-PACKING</v>
      </c>
      <c r="J934" s="66">
        <v>1</v>
      </c>
      <c r="K934" s="35" t="str">
        <f t="shared" si="282"/>
        <v/>
      </c>
      <c r="L934" s="35">
        <f t="shared" si="270"/>
        <v>0</v>
      </c>
      <c r="M934" s="77" t="str" cm="1">
        <f t="array" ref="M934">_xlfn.IFS(BOM!I934="RM-PACKING","100%",B934="Reynolds",VLOOKUP(H934,'Yield &amp; Time'!A:V,22,0),BOM!B934="Dnata",VLOOKUP(BOM!H934,'Yield &amp; Time'!A:M,13,0),B934="NK",VLOOKUP(H934,'Yield &amp; Time'!A:X,24,0))</f>
        <v>100%</v>
      </c>
      <c r="N934" s="35">
        <f t="shared" si="281"/>
        <v>1</v>
      </c>
      <c r="O934" s="1" t="str">
        <f>VLOOKUP(H934,'RM Used'!A:E,5,0)</f>
        <v>Count</v>
      </c>
      <c r="P934" s="11">
        <f>VLOOKUP(H934,'RM Used'!A:F,6,0)</f>
        <v>0.14000000000000001</v>
      </c>
      <c r="Q934" s="11">
        <f t="shared" si="279"/>
        <v>0.14000000000000001</v>
      </c>
      <c r="R934" s="11">
        <f>IFERROR(IF(B934="Reynolds",VLOOKUP(H934,'Yield &amp; Time'!A:U,21,0),VLOOKUP(H934,'Yield &amp; Time'!A:L,12,0)),0)</f>
        <v>0</v>
      </c>
      <c r="S934" s="11">
        <f t="shared" si="271"/>
        <v>0</v>
      </c>
      <c r="T934" s="11">
        <f t="shared" si="272"/>
        <v>0</v>
      </c>
      <c r="U934" s="11">
        <f>IF(A933=A934,0,VLOOKUP(A934,'Packing Time'!A:F,6,0))</f>
        <v>0</v>
      </c>
      <c r="V934" s="11">
        <f t="shared" si="283"/>
        <v>0</v>
      </c>
      <c r="W934" s="11">
        <f t="shared" si="284"/>
        <v>0</v>
      </c>
      <c r="X934" s="11">
        <f t="shared" si="273"/>
        <v>0</v>
      </c>
      <c r="Y934" s="11">
        <f t="shared" si="285"/>
        <v>0</v>
      </c>
      <c r="Z934" s="37">
        <v>1</v>
      </c>
      <c r="AA934" s="36">
        <f t="shared" si="274"/>
        <v>1</v>
      </c>
      <c r="AB934" s="36">
        <f t="shared" si="275"/>
        <v>0.14000000000000001</v>
      </c>
      <c r="AC934" s="11">
        <f t="shared" si="276"/>
        <v>0</v>
      </c>
      <c r="AD934" s="36">
        <f t="shared" si="286"/>
        <v>0</v>
      </c>
      <c r="AE934" s="36"/>
      <c r="AF934" s="36">
        <f>IFERROR(VLOOKUP(AE934,'Chemical Cost'!A:D,4,0),0)</f>
        <v>0</v>
      </c>
      <c r="AG934" s="114">
        <f t="shared" si="277"/>
        <v>0</v>
      </c>
      <c r="AH934" s="36">
        <f t="shared" si="280"/>
        <v>0</v>
      </c>
      <c r="AI934" s="36">
        <f t="shared" si="287"/>
        <v>0.14000000000000001</v>
      </c>
      <c r="AJ934" s="36">
        <f>IFERROR(VLOOKUP(A934,'All Products'!A:F,6,0),0)</f>
        <v>4.4000000000000004</v>
      </c>
      <c r="AK934" s="36"/>
      <c r="AL934" s="23">
        <v>1</v>
      </c>
      <c r="AM934" s="23"/>
      <c r="AN934" s="54" t="e">
        <v>#N/A</v>
      </c>
      <c r="AO934" s="47"/>
      <c r="AP934" s="4">
        <v>1.6</v>
      </c>
      <c r="AQ934" s="111">
        <f t="shared" si="278"/>
        <v>0</v>
      </c>
      <c r="AR934">
        <f>_xlfn.XLOOKUP(F934,'RM Cost'!A:A,'RM Cost'!S:S)</f>
        <v>0</v>
      </c>
      <c r="AS934" t="str">
        <f>_xlfn.XLOOKUP(A934,[3]Sheet1!$B:$B,[3]Sheet1!$B:$B)</f>
        <v>Z373CS</v>
      </c>
      <c r="AT934" t="e">
        <f>_xlfn.XLOOKUP(H934,'Yield &amp; Time'!A:A,'Yield &amp; Time'!F:F)</f>
        <v>#N/A</v>
      </c>
    </row>
    <row r="935" spans="1:46" x14ac:dyDescent="0.25">
      <c r="A935" s="2" t="s">
        <v>912</v>
      </c>
      <c r="B935" s="2" t="s">
        <v>656</v>
      </c>
      <c r="C935" s="2" t="s">
        <v>913</v>
      </c>
      <c r="D935" s="2" t="s">
        <v>554</v>
      </c>
      <c r="E935" s="2">
        <v>2.5</v>
      </c>
      <c r="F935" s="1" t="str">
        <f>VLOOKUP(H935,'RM Used'!A:B,2,0)</f>
        <v>3209CS</v>
      </c>
      <c r="G935" s="1" t="str">
        <f>IFERROR(VLOOKUP(F935,'RM Cost'!A:B,2,0),"")</f>
        <v>RM - POTATO RED 25KG</v>
      </c>
      <c r="H935" s="2" t="s">
        <v>1564</v>
      </c>
      <c r="I935" s="1" t="str">
        <f>VLOOKUP(F935,'RM Used'!B:D,3,0)</f>
        <v>RM-FOOD</v>
      </c>
      <c r="J935" s="66">
        <v>1</v>
      </c>
      <c r="K935" s="35">
        <f t="shared" si="282"/>
        <v>2.5</v>
      </c>
      <c r="L935" s="35">
        <f t="shared" si="270"/>
        <v>2.5</v>
      </c>
      <c r="M935" s="77" cm="1">
        <f t="array" ref="M935">_xlfn.IFS(BOM!I935="RM-PACKING","100%",B935="Reynolds",VLOOKUP(H935,'Yield &amp; Time'!A:V,22,0),BOM!B935="Dnata",VLOOKUP(BOM!H935,'Yield &amp; Time'!A:M,13,0),B935="NK",VLOOKUP(H935,'Yield &amp; Time'!A:X,24,0))</f>
        <v>0.98</v>
      </c>
      <c r="N935" s="35">
        <f t="shared" si="281"/>
        <v>2.5510204081632653</v>
      </c>
      <c r="O935" s="1" t="str">
        <f>VLOOKUP(H935,'RM Used'!A:E,5,0)</f>
        <v>KG</v>
      </c>
      <c r="P935" s="11">
        <f>VLOOKUP(H935,'RM Used'!A:F,6,0)</f>
        <v>0.47</v>
      </c>
      <c r="Q935" s="11">
        <f t="shared" si="279"/>
        <v>1.1989795918367345</v>
      </c>
      <c r="R935" s="11">
        <f>IFERROR(IF(B935="Reynolds",VLOOKUP(H935,'Yield &amp; Time'!A:U,21,0),VLOOKUP(H935,'Yield &amp; Time'!A:L,12,0)),0)</f>
        <v>2.0408163265306123</v>
      </c>
      <c r="S935" s="11">
        <f t="shared" si="271"/>
        <v>1.7270408163265305</v>
      </c>
      <c r="T935" s="11">
        <f t="shared" si="272"/>
        <v>8.5034013605442174E-2</v>
      </c>
      <c r="U935" s="11">
        <f>IF(A934=A935,0,VLOOKUP(A935,'Packing Time'!A:F,6,0))</f>
        <v>0.875</v>
      </c>
      <c r="V935" s="11">
        <f t="shared" si="283"/>
        <v>0.29618749999999999</v>
      </c>
      <c r="W935" s="11">
        <f t="shared" si="284"/>
        <v>1.4583333333333334E-2</v>
      </c>
      <c r="X935" s="11">
        <f t="shared" si="273"/>
        <v>3.2371653061224488</v>
      </c>
      <c r="Y935" s="11">
        <f t="shared" si="285"/>
        <v>3.2371653061224488</v>
      </c>
      <c r="Z935" s="37">
        <v>1</v>
      </c>
      <c r="AA935" s="36">
        <f t="shared" si="274"/>
        <v>2.5510204081632653</v>
      </c>
      <c r="AB935" s="36">
        <f t="shared" si="275"/>
        <v>1.1989795918367345</v>
      </c>
      <c r="AC935" s="11">
        <f t="shared" si="276"/>
        <v>0.15938775510204084</v>
      </c>
      <c r="AD935" s="36">
        <f t="shared" si="286"/>
        <v>3.2371653061224488</v>
      </c>
      <c r="AE935" s="36"/>
      <c r="AF935" s="36">
        <f>IFERROR(VLOOKUP(AE935,'Chemical Cost'!A:D,4,0),0)</f>
        <v>0</v>
      </c>
      <c r="AG935" s="114">
        <f t="shared" si="277"/>
        <v>0</v>
      </c>
      <c r="AH935" s="36">
        <f t="shared" si="280"/>
        <v>0</v>
      </c>
      <c r="AI935" s="36">
        <f t="shared" si="287"/>
        <v>4.4361448979591831</v>
      </c>
      <c r="AJ935" s="36">
        <f>IFERROR(VLOOKUP(A935,'All Products'!A:F,6,0),0)</f>
        <v>10.99</v>
      </c>
      <c r="AK935" s="36">
        <f>AJ935*Z935*J935</f>
        <v>10.99</v>
      </c>
      <c r="AL935" s="23">
        <v>1</v>
      </c>
      <c r="AM935" s="23"/>
      <c r="AN935" s="54" t="e">
        <v>#N/A</v>
      </c>
      <c r="AO935" s="47"/>
      <c r="AP935" s="4">
        <v>1.6</v>
      </c>
      <c r="AQ935" s="111">
        <f t="shared" si="278"/>
        <v>0.15938775510204084</v>
      </c>
      <c r="AR935">
        <f>_xlfn.XLOOKUP(F935,'RM Cost'!A:A,'RM Cost'!S:S)</f>
        <v>0</v>
      </c>
      <c r="AS935" t="str">
        <f>_xlfn.XLOOKUP(A935,[3]Sheet1!$B:$B,[3]Sheet1!$B:$B)</f>
        <v>Z372CS</v>
      </c>
      <c r="AT935">
        <f>_xlfn.XLOOKUP(H935,'Yield &amp; Time'!A:A,'Yield &amp; Time'!F:F)</f>
        <v>0</v>
      </c>
    </row>
    <row r="936" spans="1:46" x14ac:dyDescent="0.25">
      <c r="A936" s="2" t="s">
        <v>912</v>
      </c>
      <c r="B936" s="2" t="s">
        <v>656</v>
      </c>
      <c r="C936" s="2" t="s">
        <v>913</v>
      </c>
      <c r="D936" s="2" t="s">
        <v>554</v>
      </c>
      <c r="E936" s="2">
        <v>2.5</v>
      </c>
      <c r="F936" s="1" t="str">
        <f>VLOOKUP(H936,'RM Used'!A:B,2,0)</f>
        <v>P0008</v>
      </c>
      <c r="G936" s="1" t="str">
        <f>IFERROR(VLOOKUP(F936,'RM Cost'!A:B,2,0),"")</f>
        <v>PALE BLUE BAG 470X750MM</v>
      </c>
      <c r="H936" s="2" t="s">
        <v>1323</v>
      </c>
      <c r="I936" s="1" t="str">
        <f>VLOOKUP(F936,'RM Used'!B:D,3,0)</f>
        <v>RM-PACKING</v>
      </c>
      <c r="J936" s="66">
        <v>1</v>
      </c>
      <c r="K936" s="35" t="str">
        <f t="shared" si="282"/>
        <v/>
      </c>
      <c r="L936" s="35">
        <f t="shared" si="270"/>
        <v>0</v>
      </c>
      <c r="M936" s="77" t="str" cm="1">
        <f t="array" ref="M936">_xlfn.IFS(BOM!I936="RM-PACKING","100%",B936="Reynolds",VLOOKUP(H936,'Yield &amp; Time'!A:V,22,0),BOM!B936="Dnata",VLOOKUP(BOM!H936,'Yield &amp; Time'!A:M,13,0),B936="NK",VLOOKUP(H936,'Yield &amp; Time'!A:X,24,0))</f>
        <v>100%</v>
      </c>
      <c r="N936" s="35">
        <f t="shared" si="281"/>
        <v>1</v>
      </c>
      <c r="O936" s="1" t="str">
        <f>VLOOKUP(H936,'RM Used'!A:E,5,0)</f>
        <v>Count</v>
      </c>
      <c r="P936" s="11">
        <f>VLOOKUP(H936,'RM Used'!A:F,6,0)</f>
        <v>0.14000000000000001</v>
      </c>
      <c r="Q936" s="11">
        <f t="shared" si="279"/>
        <v>0.14000000000000001</v>
      </c>
      <c r="R936" s="11">
        <f>IFERROR(IF(B936="Reynolds",VLOOKUP(H936,'Yield &amp; Time'!A:U,21,0),VLOOKUP(H936,'Yield &amp; Time'!A:L,12,0)),0)</f>
        <v>0</v>
      </c>
      <c r="S936" s="11">
        <f t="shared" si="271"/>
        <v>0</v>
      </c>
      <c r="T936" s="11">
        <f t="shared" si="272"/>
        <v>0</v>
      </c>
      <c r="U936" s="11">
        <f>IF(A935=A936,0,VLOOKUP(A936,'Packing Time'!A:F,6,0))</f>
        <v>0</v>
      </c>
      <c r="V936" s="11">
        <f t="shared" si="283"/>
        <v>0</v>
      </c>
      <c r="W936" s="11">
        <f t="shared" si="284"/>
        <v>0</v>
      </c>
      <c r="X936" s="11">
        <f t="shared" si="273"/>
        <v>0</v>
      </c>
      <c r="Y936" s="11">
        <f t="shared" si="285"/>
        <v>0</v>
      </c>
      <c r="Z936" s="37">
        <v>1</v>
      </c>
      <c r="AA936" s="36">
        <f t="shared" si="274"/>
        <v>1</v>
      </c>
      <c r="AB936" s="36">
        <f t="shared" si="275"/>
        <v>0.14000000000000001</v>
      </c>
      <c r="AC936" s="11">
        <f t="shared" si="276"/>
        <v>0</v>
      </c>
      <c r="AD936" s="36">
        <f t="shared" si="286"/>
        <v>0</v>
      </c>
      <c r="AE936" s="36"/>
      <c r="AF936" s="36">
        <f>IFERROR(VLOOKUP(AE936,'Chemical Cost'!A:D,4,0),0)</f>
        <v>0</v>
      </c>
      <c r="AG936" s="114">
        <f t="shared" si="277"/>
        <v>0</v>
      </c>
      <c r="AH936" s="36">
        <f t="shared" si="280"/>
        <v>0</v>
      </c>
      <c r="AI936" s="36">
        <f t="shared" si="287"/>
        <v>0.14000000000000001</v>
      </c>
      <c r="AJ936" s="36">
        <f>IFERROR(VLOOKUP(A936,'All Products'!A:F,6,0),0)</f>
        <v>10.99</v>
      </c>
      <c r="AK936" s="36"/>
      <c r="AL936" s="23">
        <v>1</v>
      </c>
      <c r="AM936" s="23"/>
      <c r="AN936" s="54" t="e">
        <v>#N/A</v>
      </c>
      <c r="AO936" s="47"/>
      <c r="AP936" s="4">
        <v>1.6</v>
      </c>
      <c r="AQ936" s="111">
        <f t="shared" si="278"/>
        <v>0</v>
      </c>
      <c r="AR936">
        <f>_xlfn.XLOOKUP(F936,'RM Cost'!A:A,'RM Cost'!S:S)</f>
        <v>0</v>
      </c>
      <c r="AS936" t="str">
        <f>_xlfn.XLOOKUP(A936,[3]Sheet1!$B:$B,[3]Sheet1!$B:$B)</f>
        <v>Z372CS</v>
      </c>
      <c r="AT936" t="e">
        <f>_xlfn.XLOOKUP(H936,'Yield &amp; Time'!A:A,'Yield &amp; Time'!F:F)</f>
        <v>#N/A</v>
      </c>
    </row>
    <row r="937" spans="1:46" x14ac:dyDescent="0.25">
      <c r="A937" s="2" t="s">
        <v>400</v>
      </c>
      <c r="B937" s="2" t="s">
        <v>656</v>
      </c>
      <c r="C937" s="2" t="s">
        <v>401</v>
      </c>
      <c r="D937" s="2" t="s">
        <v>554</v>
      </c>
      <c r="E937" s="2">
        <v>1</v>
      </c>
      <c r="F937" s="1" t="str">
        <f>VLOOKUP(H937,'RM Used'!A:B,2,0)</f>
        <v>3209CS</v>
      </c>
      <c r="G937" s="1" t="str">
        <f>IFERROR(VLOOKUP(F937,'RM Cost'!A:B,2,0),"")</f>
        <v>RM - POTATO RED 25KG</v>
      </c>
      <c r="H937" s="2" t="s">
        <v>1565</v>
      </c>
      <c r="I937" s="1" t="str">
        <f>VLOOKUP(F937,'RM Used'!B:D,3,0)</f>
        <v>RM-FOOD</v>
      </c>
      <c r="J937" s="66">
        <v>1</v>
      </c>
      <c r="K937" s="35">
        <f t="shared" si="282"/>
        <v>1</v>
      </c>
      <c r="L937" s="35">
        <f t="shared" si="270"/>
        <v>1</v>
      </c>
      <c r="M937" s="77" cm="1">
        <f t="array" ref="M937">_xlfn.IFS(BOM!I937="RM-PACKING","100%",B937="Reynolds",VLOOKUP(H937,'Yield &amp; Time'!A:V,22,0),BOM!B937="Dnata",VLOOKUP(BOM!H937,'Yield &amp; Time'!A:M,13,0),B937="NK",VLOOKUP(H937,'Yield &amp; Time'!A:X,24,0))</f>
        <v>0.73584905660377364</v>
      </c>
      <c r="N937" s="35">
        <f t="shared" si="281"/>
        <v>1.3589743589743588</v>
      </c>
      <c r="O937" s="1" t="str">
        <f>VLOOKUP(H937,'RM Used'!A:E,5,0)</f>
        <v>KG</v>
      </c>
      <c r="P937" s="11">
        <f>VLOOKUP(H937,'RM Used'!A:F,6,0)</f>
        <v>0.47</v>
      </c>
      <c r="Q937" s="11">
        <f t="shared" si="279"/>
        <v>0.63871794871794862</v>
      </c>
      <c r="R937" s="11">
        <f>IFERROR(IF(B937="Reynolds",VLOOKUP(H937,'Yield &amp; Time'!A:U,21,0),VLOOKUP(H937,'Yield &amp; Time'!A:L,12,0)),0)</f>
        <v>1.4589743589743591</v>
      </c>
      <c r="S937" s="11">
        <f t="shared" si="271"/>
        <v>0.49386282051282049</v>
      </c>
      <c r="T937" s="11">
        <f t="shared" si="272"/>
        <v>2.4316239316239319E-2</v>
      </c>
      <c r="U937" s="11">
        <f>IF(A936=A937,0,VLOOKUP(A937,'Packing Time'!A:F,6,0))</f>
        <v>0.64166666666666661</v>
      </c>
      <c r="V937" s="11">
        <f t="shared" si="283"/>
        <v>0.21720416666666661</v>
      </c>
      <c r="W937" s="11">
        <f t="shared" si="284"/>
        <v>1.0694444444444444E-2</v>
      </c>
      <c r="X937" s="11">
        <f t="shared" si="273"/>
        <v>1.1377071794871794</v>
      </c>
      <c r="Y937" s="11">
        <f t="shared" si="285"/>
        <v>1.1377071794871794</v>
      </c>
      <c r="Z937" s="37">
        <v>1</v>
      </c>
      <c r="AA937" s="36">
        <f t="shared" si="274"/>
        <v>1.3589743589743588</v>
      </c>
      <c r="AB937" s="36">
        <f t="shared" si="275"/>
        <v>0.63871794871794862</v>
      </c>
      <c r="AC937" s="11">
        <f t="shared" si="276"/>
        <v>5.6017094017094017E-2</v>
      </c>
      <c r="AD937" s="36">
        <f t="shared" si="286"/>
        <v>1.1377071794871794</v>
      </c>
      <c r="AE937" s="36" t="str">
        <f>VLOOKUP(H937,'Yield &amp; Time'!A:I,9,0)</f>
        <v>SODIUM METABISULPHITE</v>
      </c>
      <c r="AF937" s="36">
        <f>IFERROR(VLOOKUP(AE937,'Chemical Cost'!A:D,4,0),0)</f>
        <v>9.7586225455882462E-3</v>
      </c>
      <c r="AG937" s="114">
        <f t="shared" si="277"/>
        <v>4.4205726061211708E-3</v>
      </c>
      <c r="AH937" s="36">
        <f t="shared" si="280"/>
        <v>4.4205726061211708E-3</v>
      </c>
      <c r="AI937" s="36">
        <f t="shared" si="287"/>
        <v>1.7808457008112493</v>
      </c>
      <c r="AJ937" s="36">
        <f>IFERROR(VLOOKUP(A937,'All Products'!A:F,6,0),0)</f>
        <v>2.04</v>
      </c>
      <c r="AK937" s="36">
        <f>AJ937*Z937*J937</f>
        <v>2.04</v>
      </c>
      <c r="AL937" s="23">
        <v>1</v>
      </c>
      <c r="AM937" s="23"/>
      <c r="AN937" s="54" t="e">
        <v>#N/A</v>
      </c>
      <c r="AO937" s="47"/>
      <c r="AP937" s="4">
        <v>1.6</v>
      </c>
      <c r="AQ937" s="111">
        <f t="shared" si="278"/>
        <v>5.6017094017094017E-2</v>
      </c>
      <c r="AR937">
        <f>_xlfn.XLOOKUP(F937,'RM Cost'!A:A,'RM Cost'!S:S)</f>
        <v>0</v>
      </c>
      <c r="AS937" t="str">
        <f>_xlfn.XLOOKUP(A937,[3]Sheet1!$B:$B,[3]Sheet1!$B:$B)</f>
        <v>Z040CS</v>
      </c>
      <c r="AT937">
        <f>_xlfn.XLOOKUP(H937,'Yield &amp; Time'!A:A,'Yield &amp; Time'!F:F)</f>
        <v>0</v>
      </c>
    </row>
    <row r="938" spans="1:46" x14ac:dyDescent="0.25">
      <c r="A938" s="2" t="s">
        <v>400</v>
      </c>
      <c r="B938" s="2" t="s">
        <v>656</v>
      </c>
      <c r="C938" s="2" t="s">
        <v>401</v>
      </c>
      <c r="D938" s="2" t="s">
        <v>554</v>
      </c>
      <c r="E938" s="2">
        <v>1</v>
      </c>
      <c r="F938" s="1" t="str">
        <f>VLOOKUP(H938,'RM Used'!A:B,2,0)</f>
        <v>P0008</v>
      </c>
      <c r="G938" s="1" t="str">
        <f>IFERROR(VLOOKUP(F938,'RM Cost'!A:B,2,0),"")</f>
        <v>PALE BLUE BAG 470X750MM</v>
      </c>
      <c r="H938" s="2" t="s">
        <v>1323</v>
      </c>
      <c r="I938" s="1" t="str">
        <f>VLOOKUP(F938,'RM Used'!B:D,3,0)</f>
        <v>RM-PACKING</v>
      </c>
      <c r="J938" s="66">
        <v>1</v>
      </c>
      <c r="K938" s="35" t="str">
        <f t="shared" si="282"/>
        <v/>
      </c>
      <c r="L938" s="35">
        <f t="shared" si="270"/>
        <v>0</v>
      </c>
      <c r="M938" s="77" t="str" cm="1">
        <f t="array" ref="M938">_xlfn.IFS(BOM!I938="RM-PACKING","100%",B938="Reynolds",VLOOKUP(H938,'Yield &amp; Time'!A:V,22,0),BOM!B938="Dnata",VLOOKUP(BOM!H938,'Yield &amp; Time'!A:M,13,0),B938="NK",VLOOKUP(H938,'Yield &amp; Time'!A:X,24,0))</f>
        <v>100%</v>
      </c>
      <c r="N938" s="35">
        <f t="shared" si="281"/>
        <v>1</v>
      </c>
      <c r="O938" s="1" t="str">
        <f>VLOOKUP(H938,'RM Used'!A:E,5,0)</f>
        <v>Count</v>
      </c>
      <c r="P938" s="11">
        <f>VLOOKUP(H938,'RM Used'!A:F,6,0)</f>
        <v>0.14000000000000001</v>
      </c>
      <c r="Q938" s="11">
        <f t="shared" si="279"/>
        <v>0.14000000000000001</v>
      </c>
      <c r="R938" s="11">
        <f>IFERROR(IF(B938="Reynolds",VLOOKUP(H938,'Yield &amp; Time'!A:U,21,0),VLOOKUP(H938,'Yield &amp; Time'!A:L,12,0)),0)</f>
        <v>0</v>
      </c>
      <c r="S938" s="11">
        <f t="shared" si="271"/>
        <v>0</v>
      </c>
      <c r="T938" s="11">
        <f t="shared" si="272"/>
        <v>0</v>
      </c>
      <c r="U938" s="11">
        <f>IF(A937=A938,0,VLOOKUP(A938,'Packing Time'!A:F,6,0))</f>
        <v>0</v>
      </c>
      <c r="V938" s="11">
        <f t="shared" si="283"/>
        <v>0</v>
      </c>
      <c r="W938" s="11">
        <f t="shared" si="284"/>
        <v>0</v>
      </c>
      <c r="X938" s="11">
        <f t="shared" si="273"/>
        <v>0</v>
      </c>
      <c r="Y938" s="11">
        <f t="shared" si="285"/>
        <v>0</v>
      </c>
      <c r="Z938" s="37">
        <v>1</v>
      </c>
      <c r="AA938" s="36">
        <f t="shared" si="274"/>
        <v>1</v>
      </c>
      <c r="AB938" s="36">
        <f t="shared" si="275"/>
        <v>0.14000000000000001</v>
      </c>
      <c r="AC938" s="11">
        <f t="shared" si="276"/>
        <v>0</v>
      </c>
      <c r="AD938" s="36">
        <f t="shared" si="286"/>
        <v>0</v>
      </c>
      <c r="AE938" s="36"/>
      <c r="AF938" s="36">
        <f>IFERROR(VLOOKUP(AE938,'Chemical Cost'!A:D,4,0),0)</f>
        <v>0</v>
      </c>
      <c r="AG938" s="114">
        <f t="shared" si="277"/>
        <v>0</v>
      </c>
      <c r="AH938" s="36">
        <f t="shared" si="280"/>
        <v>0</v>
      </c>
      <c r="AI938" s="36">
        <f t="shared" si="287"/>
        <v>0.14000000000000001</v>
      </c>
      <c r="AJ938" s="36">
        <f>IFERROR(VLOOKUP(A938,'All Products'!A:F,6,0),0)</f>
        <v>2.04</v>
      </c>
      <c r="AK938" s="36"/>
      <c r="AL938" s="23">
        <v>1</v>
      </c>
      <c r="AM938" s="23"/>
      <c r="AN938" s="54" t="e">
        <v>#N/A</v>
      </c>
      <c r="AO938" s="47"/>
      <c r="AP938" s="4">
        <v>1.6</v>
      </c>
      <c r="AQ938" s="111">
        <f t="shared" si="278"/>
        <v>0</v>
      </c>
      <c r="AR938">
        <f>_xlfn.XLOOKUP(F938,'RM Cost'!A:A,'RM Cost'!S:S)</f>
        <v>0</v>
      </c>
      <c r="AS938" t="str">
        <f>_xlfn.XLOOKUP(A938,[3]Sheet1!$B:$B,[3]Sheet1!$B:$B)</f>
        <v>Z040CS</v>
      </c>
      <c r="AT938" t="e">
        <f>_xlfn.XLOOKUP(H938,'Yield &amp; Time'!A:A,'Yield &amp; Time'!F:F)</f>
        <v>#N/A</v>
      </c>
    </row>
    <row r="939" spans="1:46" x14ac:dyDescent="0.25">
      <c r="A939" s="2" t="s">
        <v>398</v>
      </c>
      <c r="B939" s="2" t="s">
        <v>656</v>
      </c>
      <c r="C939" s="2" t="s">
        <v>399</v>
      </c>
      <c r="D939" s="2" t="s">
        <v>554</v>
      </c>
      <c r="E939" s="2">
        <v>2.5</v>
      </c>
      <c r="F939" s="1" t="str">
        <f>VLOOKUP(H939,'RM Used'!A:B,2,0)</f>
        <v>3209CS</v>
      </c>
      <c r="G939" s="1" t="str">
        <f>IFERROR(VLOOKUP(F939,'RM Cost'!A:B,2,0),"")</f>
        <v>RM - POTATO RED 25KG</v>
      </c>
      <c r="H939" s="2" t="s">
        <v>1565</v>
      </c>
      <c r="I939" s="1" t="str">
        <f>VLOOKUP(F939,'RM Used'!B:D,3,0)</f>
        <v>RM-FOOD</v>
      </c>
      <c r="J939" s="66">
        <v>1</v>
      </c>
      <c r="K939" s="35">
        <f t="shared" si="282"/>
        <v>2.5</v>
      </c>
      <c r="L939" s="35">
        <f t="shared" si="270"/>
        <v>2.5</v>
      </c>
      <c r="M939" s="77" cm="1">
        <f t="array" ref="M939">_xlfn.IFS(BOM!I939="RM-PACKING","100%",B939="Reynolds",VLOOKUP(H939,'Yield &amp; Time'!A:V,22,0),BOM!B939="Dnata",VLOOKUP(BOM!H939,'Yield &amp; Time'!A:M,13,0),B939="NK",VLOOKUP(H939,'Yield &amp; Time'!A:X,24,0))</f>
        <v>0.73584905660377364</v>
      </c>
      <c r="N939" s="35">
        <f t="shared" si="281"/>
        <v>3.3974358974358974</v>
      </c>
      <c r="O939" s="1" t="str">
        <f>VLOOKUP(H939,'RM Used'!A:E,5,0)</f>
        <v>KG</v>
      </c>
      <c r="P939" s="11">
        <f>VLOOKUP(H939,'RM Used'!A:F,6,0)</f>
        <v>0.47</v>
      </c>
      <c r="Q939" s="11">
        <f t="shared" si="279"/>
        <v>1.5967948717948717</v>
      </c>
      <c r="R939" s="11">
        <f>IFERROR(IF(B939="Reynolds",VLOOKUP(H939,'Yield &amp; Time'!A:U,21,0),VLOOKUP(H939,'Yield &amp; Time'!A:L,12,0)),0)</f>
        <v>1.4589743589743591</v>
      </c>
      <c r="S939" s="11">
        <f t="shared" si="271"/>
        <v>1.2346570512820514</v>
      </c>
      <c r="T939" s="11">
        <f t="shared" si="272"/>
        <v>6.0790598290598297E-2</v>
      </c>
      <c r="U939" s="11">
        <f>IF(A938=A939,0,VLOOKUP(A939,'Packing Time'!A:F,6,0))</f>
        <v>0.875</v>
      </c>
      <c r="V939" s="11">
        <f t="shared" si="283"/>
        <v>0.29618749999999999</v>
      </c>
      <c r="W939" s="11">
        <f t="shared" si="284"/>
        <v>1.4583333333333334E-2</v>
      </c>
      <c r="X939" s="11">
        <f t="shared" si="273"/>
        <v>2.1431823717948717</v>
      </c>
      <c r="Y939" s="11">
        <f t="shared" si="285"/>
        <v>2.1431823717948717</v>
      </c>
      <c r="Z939" s="37">
        <v>1</v>
      </c>
      <c r="AA939" s="36">
        <f t="shared" si="274"/>
        <v>3.3974358974358974</v>
      </c>
      <c r="AB939" s="36">
        <f t="shared" si="275"/>
        <v>1.5967948717948717</v>
      </c>
      <c r="AC939" s="11">
        <f t="shared" si="276"/>
        <v>0.10552350427350428</v>
      </c>
      <c r="AD939" s="36">
        <f t="shared" si="286"/>
        <v>2.1431823717948717</v>
      </c>
      <c r="AE939" s="36" t="str">
        <f>VLOOKUP(H939,'Yield &amp; Time'!A:I,9,0)</f>
        <v>SODIUM METABISULPHITE</v>
      </c>
      <c r="AF939" s="36">
        <f>IFERROR(VLOOKUP(AE939,'Chemical Cost'!A:D,4,0),0)</f>
        <v>9.7586225455882462E-3</v>
      </c>
      <c r="AG939" s="114">
        <f t="shared" si="277"/>
        <v>1.1051431515302928E-2</v>
      </c>
      <c r="AH939" s="36">
        <f t="shared" si="280"/>
        <v>1.1051431515302928E-2</v>
      </c>
      <c r="AI939" s="36">
        <f t="shared" si="287"/>
        <v>3.7510286751050463</v>
      </c>
      <c r="AJ939" s="36">
        <f>IFERROR(VLOOKUP(A939,'All Products'!A:F,6,0),0)</f>
        <v>5.1100000000000003</v>
      </c>
      <c r="AK939" s="36">
        <f>AJ939*Z939*J939</f>
        <v>5.1100000000000003</v>
      </c>
      <c r="AL939" s="23">
        <v>1</v>
      </c>
      <c r="AM939" s="23"/>
      <c r="AN939" s="54" t="e">
        <v>#N/A</v>
      </c>
      <c r="AO939" s="47"/>
      <c r="AP939" s="4">
        <v>1.4</v>
      </c>
      <c r="AQ939" s="111">
        <f t="shared" si="278"/>
        <v>0.10552350427350428</v>
      </c>
      <c r="AR939">
        <f>_xlfn.XLOOKUP(F939,'RM Cost'!A:A,'RM Cost'!S:S)</f>
        <v>0</v>
      </c>
      <c r="AS939" t="str">
        <f>_xlfn.XLOOKUP(A939,[3]Sheet1!$B:$B,[3]Sheet1!$B:$B)</f>
        <v>Z039CS</v>
      </c>
      <c r="AT939">
        <f>_xlfn.XLOOKUP(H939,'Yield &amp; Time'!A:A,'Yield &amp; Time'!F:F)</f>
        <v>0</v>
      </c>
    </row>
    <row r="940" spans="1:46" x14ac:dyDescent="0.25">
      <c r="A940" s="2" t="s">
        <v>398</v>
      </c>
      <c r="B940" s="2" t="s">
        <v>656</v>
      </c>
      <c r="C940" s="2" t="s">
        <v>399</v>
      </c>
      <c r="D940" s="2" t="s">
        <v>554</v>
      </c>
      <c r="E940" s="2">
        <v>2.5</v>
      </c>
      <c r="F940" s="1" t="str">
        <f>VLOOKUP(H940,'RM Used'!A:B,2,0)</f>
        <v>P0008</v>
      </c>
      <c r="G940" s="1" t="str">
        <f>IFERROR(VLOOKUP(F940,'RM Cost'!A:B,2,0),"")</f>
        <v>PALE BLUE BAG 470X750MM</v>
      </c>
      <c r="H940" s="2" t="s">
        <v>1323</v>
      </c>
      <c r="I940" s="1" t="str">
        <f>VLOOKUP(F940,'RM Used'!B:D,3,0)</f>
        <v>RM-PACKING</v>
      </c>
      <c r="J940" s="66">
        <v>1</v>
      </c>
      <c r="K940" s="35" t="str">
        <f t="shared" si="282"/>
        <v/>
      </c>
      <c r="L940" s="35">
        <f t="shared" si="270"/>
        <v>0</v>
      </c>
      <c r="M940" s="77" t="str" cm="1">
        <f t="array" ref="M940">_xlfn.IFS(BOM!I940="RM-PACKING","100%",B940="Reynolds",VLOOKUP(H940,'Yield &amp; Time'!A:V,22,0),BOM!B940="Dnata",VLOOKUP(BOM!H940,'Yield &amp; Time'!A:M,13,0),B940="NK",VLOOKUP(H940,'Yield &amp; Time'!A:X,24,0))</f>
        <v>100%</v>
      </c>
      <c r="N940" s="35">
        <f t="shared" si="281"/>
        <v>1</v>
      </c>
      <c r="O940" s="1" t="str">
        <f>VLOOKUP(H940,'RM Used'!A:E,5,0)</f>
        <v>Count</v>
      </c>
      <c r="P940" s="11">
        <f>VLOOKUP(H940,'RM Used'!A:F,6,0)</f>
        <v>0.14000000000000001</v>
      </c>
      <c r="Q940" s="11">
        <f t="shared" si="279"/>
        <v>0.14000000000000001</v>
      </c>
      <c r="R940" s="11">
        <f>IFERROR(IF(B940="Reynolds",VLOOKUP(H940,'Yield &amp; Time'!A:U,21,0),VLOOKUP(H940,'Yield &amp; Time'!A:L,12,0)),0)</f>
        <v>0</v>
      </c>
      <c r="S940" s="11">
        <f t="shared" si="271"/>
        <v>0</v>
      </c>
      <c r="T940" s="11">
        <f t="shared" si="272"/>
        <v>0</v>
      </c>
      <c r="U940" s="11">
        <f>IF(A939=A940,0,VLOOKUP(A940,'Packing Time'!A:F,6,0))</f>
        <v>0</v>
      </c>
      <c r="V940" s="11">
        <f t="shared" si="283"/>
        <v>0</v>
      </c>
      <c r="W940" s="11">
        <f t="shared" si="284"/>
        <v>0</v>
      </c>
      <c r="X940" s="11">
        <f t="shared" si="273"/>
        <v>0</v>
      </c>
      <c r="Y940" s="11">
        <f t="shared" si="285"/>
        <v>0</v>
      </c>
      <c r="Z940" s="37">
        <v>1</v>
      </c>
      <c r="AA940" s="36">
        <f t="shared" si="274"/>
        <v>1</v>
      </c>
      <c r="AB940" s="36">
        <f t="shared" si="275"/>
        <v>0.14000000000000001</v>
      </c>
      <c r="AC940" s="11">
        <f t="shared" si="276"/>
        <v>0</v>
      </c>
      <c r="AD940" s="36">
        <f t="shared" si="286"/>
        <v>0</v>
      </c>
      <c r="AE940" s="36"/>
      <c r="AF940" s="36">
        <f>IFERROR(VLOOKUP(AE940,'Chemical Cost'!A:D,4,0),0)</f>
        <v>0</v>
      </c>
      <c r="AG940" s="114">
        <f t="shared" si="277"/>
        <v>0</v>
      </c>
      <c r="AH940" s="36">
        <f t="shared" si="280"/>
        <v>0</v>
      </c>
      <c r="AI940" s="36">
        <f t="shared" si="287"/>
        <v>0.14000000000000001</v>
      </c>
      <c r="AJ940" s="36">
        <f>IFERROR(VLOOKUP(A940,'All Products'!A:F,6,0),0)</f>
        <v>5.1100000000000003</v>
      </c>
      <c r="AK940" s="36"/>
      <c r="AL940" s="23">
        <v>1</v>
      </c>
      <c r="AM940" s="23"/>
      <c r="AN940" s="54" t="e">
        <v>#N/A</v>
      </c>
      <c r="AO940" s="47"/>
      <c r="AP940" s="4">
        <v>1.4</v>
      </c>
      <c r="AQ940" s="111">
        <f t="shared" si="278"/>
        <v>0</v>
      </c>
      <c r="AR940">
        <f>_xlfn.XLOOKUP(F940,'RM Cost'!A:A,'RM Cost'!S:S)</f>
        <v>0</v>
      </c>
      <c r="AS940" t="str">
        <f>_xlfn.XLOOKUP(A940,[3]Sheet1!$B:$B,[3]Sheet1!$B:$B)</f>
        <v>Z039CS</v>
      </c>
      <c r="AT940" t="e">
        <f>_xlfn.XLOOKUP(H940,'Yield &amp; Time'!A:A,'Yield &amp; Time'!F:F)</f>
        <v>#N/A</v>
      </c>
    </row>
    <row r="941" spans="1:46" x14ac:dyDescent="0.25">
      <c r="A941" s="2" t="s">
        <v>396</v>
      </c>
      <c r="B941" s="2" t="s">
        <v>656</v>
      </c>
      <c r="C941" s="2" t="s">
        <v>397</v>
      </c>
      <c r="D941" s="2" t="s">
        <v>554</v>
      </c>
      <c r="E941" s="2">
        <v>1</v>
      </c>
      <c r="F941" s="1" t="str">
        <f>VLOOKUP(H941,'RM Used'!A:B,2,0)</f>
        <v>026BCS</v>
      </c>
      <c r="G941" s="1" t="str">
        <f>IFERROR(VLOOKUP(F941,'RM Cost'!A:B,2,0),"")</f>
        <v>RM - POTATO - MIDS 35-45MM X 10KG</v>
      </c>
      <c r="H941" s="2" t="s">
        <v>1566</v>
      </c>
      <c r="I941" s="1" t="str">
        <f>VLOOKUP(F941,'RM Used'!B:D,3,0)</f>
        <v>RM-FOOD</v>
      </c>
      <c r="J941" s="66">
        <v>1</v>
      </c>
      <c r="K941" s="35">
        <f t="shared" si="282"/>
        <v>1</v>
      </c>
      <c r="L941" s="35">
        <f t="shared" si="270"/>
        <v>1</v>
      </c>
      <c r="M941" s="77" cm="1">
        <f t="array" ref="M941">_xlfn.IFS(BOM!I941="RM-PACKING","100%",B941="Reynolds",VLOOKUP(H941,'Yield &amp; Time'!A:V,22,0),BOM!B941="Dnata",VLOOKUP(BOM!H941,'Yield &amp; Time'!A:M,13,0),B941="NK",VLOOKUP(H941,'Yield &amp; Time'!A:X,24,0))</f>
        <v>0.88000000000000012</v>
      </c>
      <c r="N941" s="35">
        <f t="shared" si="281"/>
        <v>1.1363636363636362</v>
      </c>
      <c r="O941" s="1" t="str">
        <f>VLOOKUP(H941,'RM Used'!A:E,5,0)</f>
        <v>KG</v>
      </c>
      <c r="P941" s="11">
        <f>VLOOKUP(H941,'RM Used'!A:F,6,0)</f>
        <v>0.94</v>
      </c>
      <c r="Q941" s="11">
        <f t="shared" si="279"/>
        <v>1.0681818181818179</v>
      </c>
      <c r="R941" s="11">
        <f>IFERROR(IF(B941="Reynolds",VLOOKUP(H941,'Yield &amp; Time'!A:U,21,0),VLOOKUP(H941,'Yield &amp; Time'!A:L,12,0)),0)</f>
        <v>3.7363636363636363</v>
      </c>
      <c r="S941" s="11">
        <f t="shared" si="271"/>
        <v>1.2647590909090907</v>
      </c>
      <c r="T941" s="11">
        <f t="shared" si="272"/>
        <v>6.2272727272727271E-2</v>
      </c>
      <c r="U941" s="11">
        <f>IF(A940=A941,0,VLOOKUP(A941,'Packing Time'!A:F,6,0))</f>
        <v>0.64166666666666661</v>
      </c>
      <c r="V941" s="11">
        <f t="shared" si="283"/>
        <v>0.21720416666666661</v>
      </c>
      <c r="W941" s="11">
        <f t="shared" si="284"/>
        <v>1.0694444444444444E-2</v>
      </c>
      <c r="X941" s="11">
        <f t="shared" si="273"/>
        <v>2.0747485606060603</v>
      </c>
      <c r="Y941" s="11">
        <f t="shared" si="285"/>
        <v>2.0747485606060603</v>
      </c>
      <c r="Z941" s="37">
        <v>1</v>
      </c>
      <c r="AA941" s="36">
        <f t="shared" si="274"/>
        <v>1.1363636363636362</v>
      </c>
      <c r="AB941" s="36">
        <f t="shared" si="275"/>
        <v>1.0681818181818179</v>
      </c>
      <c r="AC941" s="11">
        <f t="shared" si="276"/>
        <v>0.1021540404040404</v>
      </c>
      <c r="AD941" s="36">
        <f t="shared" si="286"/>
        <v>2.0747485606060603</v>
      </c>
      <c r="AE941" s="36" t="str">
        <f>VLOOKUP(H941,'Yield &amp; Time'!A:I,9,0)</f>
        <v>SODIUM METABISULPHITE</v>
      </c>
      <c r="AF941" s="36">
        <f>IFERROR(VLOOKUP(AE941,'Chemical Cost'!A:D,4,0),0)</f>
        <v>9.7586225455882462E-3</v>
      </c>
      <c r="AG941" s="114">
        <f t="shared" si="277"/>
        <v>3.6964479339349414E-3</v>
      </c>
      <c r="AH941" s="36">
        <f t="shared" si="280"/>
        <v>3.6964479339349414E-3</v>
      </c>
      <c r="AI941" s="36">
        <f t="shared" si="287"/>
        <v>3.1466268267218132</v>
      </c>
      <c r="AJ941" s="36">
        <f>IFERROR(VLOOKUP(A941,'All Products'!A:F,6,0),0)</f>
        <v>2.77</v>
      </c>
      <c r="AK941" s="36">
        <f>AJ941*Z941*J941</f>
        <v>2.77</v>
      </c>
      <c r="AL941" s="23">
        <v>1</v>
      </c>
      <c r="AM941" s="23"/>
      <c r="AN941" s="54" t="e">
        <v>#N/A</v>
      </c>
      <c r="AO941" s="47"/>
      <c r="AP941" s="4">
        <v>1.4</v>
      </c>
      <c r="AQ941" s="111">
        <f t="shared" si="278"/>
        <v>0.1021540404040404</v>
      </c>
      <c r="AR941">
        <f>_xlfn.XLOOKUP(F941,'RM Cost'!A:A,'RM Cost'!S:S)</f>
        <v>0</v>
      </c>
      <c r="AS941" t="e">
        <f>_xlfn.XLOOKUP(A941,[3]Sheet1!$B:$B,[3]Sheet1!$B:$B)</f>
        <v>#N/A</v>
      </c>
    </row>
    <row r="942" spans="1:46" x14ac:dyDescent="0.25">
      <c r="A942" s="2" t="s">
        <v>396</v>
      </c>
      <c r="B942" s="2" t="s">
        <v>656</v>
      </c>
      <c r="C942" s="2" t="s">
        <v>397</v>
      </c>
      <c r="D942" s="2" t="s">
        <v>554</v>
      </c>
      <c r="E942" s="2">
        <v>1</v>
      </c>
      <c r="F942" s="1" t="str">
        <f>VLOOKUP(H942,'RM Used'!A:B,2,0)</f>
        <v>P0008</v>
      </c>
      <c r="G942" s="1" t="str">
        <f>IFERROR(VLOOKUP(F942,'RM Cost'!A:B,2,0),"")</f>
        <v>PALE BLUE BAG 470X750MM</v>
      </c>
      <c r="H942" s="2" t="s">
        <v>1323</v>
      </c>
      <c r="I942" s="1" t="str">
        <f>VLOOKUP(F942,'RM Used'!B:D,3,0)</f>
        <v>RM-PACKING</v>
      </c>
      <c r="J942" s="66">
        <v>1</v>
      </c>
      <c r="K942" s="35" t="str">
        <f t="shared" si="282"/>
        <v/>
      </c>
      <c r="L942" s="35">
        <f t="shared" si="270"/>
        <v>0</v>
      </c>
      <c r="M942" s="77" t="str" cm="1">
        <f t="array" ref="M942">_xlfn.IFS(BOM!I942="RM-PACKING","100%",B942="Reynolds",VLOOKUP(H942,'Yield &amp; Time'!A:V,22,0),BOM!B942="Dnata",VLOOKUP(BOM!H942,'Yield &amp; Time'!A:M,13,0),B942="NK",VLOOKUP(H942,'Yield &amp; Time'!A:X,24,0))</f>
        <v>100%</v>
      </c>
      <c r="N942" s="35">
        <f t="shared" si="281"/>
        <v>1</v>
      </c>
      <c r="O942" s="1" t="str">
        <f>VLOOKUP(H942,'RM Used'!A:E,5,0)</f>
        <v>Count</v>
      </c>
      <c r="P942" s="11">
        <f>VLOOKUP(H942,'RM Used'!A:F,6,0)</f>
        <v>0.14000000000000001</v>
      </c>
      <c r="Q942" s="11">
        <f t="shared" si="279"/>
        <v>0.14000000000000001</v>
      </c>
      <c r="R942" s="11">
        <f>IFERROR(IF(B942="Reynolds",VLOOKUP(H942,'Yield &amp; Time'!A:U,21,0),VLOOKUP(H942,'Yield &amp; Time'!A:L,12,0)),0)</f>
        <v>0</v>
      </c>
      <c r="S942" s="11">
        <f t="shared" si="271"/>
        <v>0</v>
      </c>
      <c r="T942" s="11">
        <f t="shared" si="272"/>
        <v>0</v>
      </c>
      <c r="U942" s="11">
        <f>IF(A941=A942,0,VLOOKUP(A942,'Packing Time'!A:F,6,0))</f>
        <v>0</v>
      </c>
      <c r="V942" s="11">
        <f t="shared" si="283"/>
        <v>0</v>
      </c>
      <c r="W942" s="11">
        <f t="shared" si="284"/>
        <v>0</v>
      </c>
      <c r="X942" s="11">
        <f t="shared" si="273"/>
        <v>0</v>
      </c>
      <c r="Y942" s="11">
        <f t="shared" si="285"/>
        <v>0</v>
      </c>
      <c r="Z942" s="37">
        <v>1</v>
      </c>
      <c r="AA942" s="36">
        <f t="shared" si="274"/>
        <v>1</v>
      </c>
      <c r="AB942" s="36">
        <f t="shared" si="275"/>
        <v>0.14000000000000001</v>
      </c>
      <c r="AC942" s="11">
        <f t="shared" si="276"/>
        <v>0</v>
      </c>
      <c r="AD942" s="36">
        <f t="shared" si="286"/>
        <v>0</v>
      </c>
      <c r="AE942" s="36"/>
      <c r="AF942" s="36">
        <f>IFERROR(VLOOKUP(AE942,'Chemical Cost'!A:D,4,0),0)</f>
        <v>0</v>
      </c>
      <c r="AG942" s="114">
        <f t="shared" si="277"/>
        <v>0</v>
      </c>
      <c r="AH942" s="36">
        <f t="shared" si="280"/>
        <v>0</v>
      </c>
      <c r="AI942" s="36">
        <f t="shared" si="287"/>
        <v>0.14000000000000001</v>
      </c>
      <c r="AJ942" s="36">
        <f>IFERROR(VLOOKUP(A942,'All Products'!A:F,6,0),0)</f>
        <v>2.77</v>
      </c>
      <c r="AK942" s="36"/>
      <c r="AL942" s="23">
        <v>1</v>
      </c>
      <c r="AM942" s="23"/>
      <c r="AN942" s="54" t="e">
        <v>#N/A</v>
      </c>
      <c r="AO942" s="47"/>
      <c r="AP942" s="4">
        <v>1.4</v>
      </c>
      <c r="AQ942" s="111">
        <f t="shared" si="278"/>
        <v>0</v>
      </c>
      <c r="AR942">
        <f>_xlfn.XLOOKUP(F942,'RM Cost'!A:A,'RM Cost'!S:S)</f>
        <v>0</v>
      </c>
      <c r="AS942" t="e">
        <f>_xlfn.XLOOKUP(A942,[3]Sheet1!$B:$B,[3]Sheet1!$B:$B)</f>
        <v>#N/A</v>
      </c>
    </row>
    <row r="943" spans="1:46" x14ac:dyDescent="0.25">
      <c r="A943" s="2" t="s">
        <v>138</v>
      </c>
      <c r="B943" s="2" t="s">
        <v>656</v>
      </c>
      <c r="C943" s="2" t="s">
        <v>139</v>
      </c>
      <c r="D943" s="2" t="s">
        <v>554</v>
      </c>
      <c r="E943" s="2">
        <v>2.5</v>
      </c>
      <c r="F943" s="1" t="str">
        <f>VLOOKUP(H943,'RM Used'!A:B,2,0)</f>
        <v>026BCS</v>
      </c>
      <c r="G943" s="1" t="str">
        <f>IFERROR(VLOOKUP(F943,'RM Cost'!A:B,2,0),"")</f>
        <v>RM - POTATO - MIDS 35-45MM X 10KG</v>
      </c>
      <c r="H943" s="2" t="s">
        <v>1566</v>
      </c>
      <c r="I943" s="1" t="str">
        <f>VLOOKUP(F943,'RM Used'!B:D,3,0)</f>
        <v>RM-FOOD</v>
      </c>
      <c r="J943" s="66">
        <v>1</v>
      </c>
      <c r="K943" s="35">
        <f t="shared" si="282"/>
        <v>2.5</v>
      </c>
      <c r="L943" s="35">
        <f t="shared" si="270"/>
        <v>2.5</v>
      </c>
      <c r="M943" s="77" cm="1">
        <f t="array" ref="M943">_xlfn.IFS(BOM!I943="RM-PACKING","100%",B943="Reynolds",VLOOKUP(H943,'Yield &amp; Time'!A:V,22,0),BOM!B943="Dnata",VLOOKUP(BOM!H943,'Yield &amp; Time'!A:M,13,0),B943="NK",VLOOKUP(H943,'Yield &amp; Time'!A:X,24,0))</f>
        <v>0.88000000000000012</v>
      </c>
      <c r="N943" s="35">
        <f t="shared" si="281"/>
        <v>2.8409090909090904</v>
      </c>
      <c r="O943" s="1" t="str">
        <f>VLOOKUP(H943,'RM Used'!A:E,5,0)</f>
        <v>KG</v>
      </c>
      <c r="P943" s="11">
        <f>VLOOKUP(H943,'RM Used'!A:F,6,0)</f>
        <v>0.94</v>
      </c>
      <c r="Q943" s="11">
        <f t="shared" si="279"/>
        <v>2.670454545454545</v>
      </c>
      <c r="R943" s="11">
        <f>IFERROR(IF(B943="Reynolds",VLOOKUP(H943,'Yield &amp; Time'!A:U,21,0),VLOOKUP(H943,'Yield &amp; Time'!A:L,12,0)),0)</f>
        <v>3.7363636363636363</v>
      </c>
      <c r="S943" s="11">
        <f t="shared" si="271"/>
        <v>3.1618977272727267</v>
      </c>
      <c r="T943" s="11">
        <f t="shared" si="272"/>
        <v>0.15568181818181817</v>
      </c>
      <c r="U943" s="11">
        <f>IF(A942=A943,0,VLOOKUP(A943,'Packing Time'!A:F,6,0))</f>
        <v>0.875</v>
      </c>
      <c r="V943" s="11">
        <f t="shared" si="283"/>
        <v>0.29618749999999999</v>
      </c>
      <c r="W943" s="11">
        <f t="shared" si="284"/>
        <v>1.4583333333333334E-2</v>
      </c>
      <c r="X943" s="11">
        <f t="shared" si="273"/>
        <v>5.5329363636363631</v>
      </c>
      <c r="Y943" s="11">
        <f t="shared" si="285"/>
        <v>5.5329363636363631</v>
      </c>
      <c r="Z943" s="37">
        <v>1</v>
      </c>
      <c r="AA943" s="36">
        <f t="shared" si="274"/>
        <v>2.8409090909090904</v>
      </c>
      <c r="AB943" s="36">
        <f t="shared" si="275"/>
        <v>2.670454545454545</v>
      </c>
      <c r="AC943" s="11">
        <f t="shared" si="276"/>
        <v>0.2724242424242424</v>
      </c>
      <c r="AD943" s="36">
        <f t="shared" si="286"/>
        <v>5.5329363636363622</v>
      </c>
      <c r="AE943" s="36" t="str">
        <f>VLOOKUP(H943,'Yield &amp; Time'!A:I,9,0)</f>
        <v>SODIUM METABISULPHITE</v>
      </c>
      <c r="AF943" s="36">
        <f>IFERROR(VLOOKUP(AE943,'Chemical Cost'!A:D,4,0),0)</f>
        <v>9.7586225455882462E-3</v>
      </c>
      <c r="AG943" s="114">
        <f t="shared" si="277"/>
        <v>9.2411198348373528E-3</v>
      </c>
      <c r="AH943" s="36">
        <f t="shared" si="280"/>
        <v>9.2411198348373528E-3</v>
      </c>
      <c r="AI943" s="36">
        <f t="shared" si="287"/>
        <v>8.2126320289257446</v>
      </c>
      <c r="AJ943" s="36">
        <f>IFERROR(VLOOKUP(A943,'All Products'!A:F,6,0),0)</f>
        <v>6.61</v>
      </c>
      <c r="AK943" s="36">
        <f>AJ943*Z943*J943</f>
        <v>6.61</v>
      </c>
      <c r="AL943" s="23">
        <v>1</v>
      </c>
      <c r="AM943" s="23"/>
      <c r="AN943" s="54" t="e">
        <v>#N/A</v>
      </c>
      <c r="AO943" s="47"/>
      <c r="AP943" s="4">
        <v>1.6</v>
      </c>
      <c r="AQ943" s="111">
        <f t="shared" si="278"/>
        <v>0.2724242424242424</v>
      </c>
      <c r="AR943">
        <f>_xlfn.XLOOKUP(F943,'RM Cost'!A:A,'RM Cost'!S:S)</f>
        <v>0</v>
      </c>
      <c r="AS943" t="e">
        <f>_xlfn.XLOOKUP(A943,[3]Sheet1!$B:$B,[3]Sheet1!$B:$B)</f>
        <v>#N/A</v>
      </c>
    </row>
    <row r="944" spans="1:46" x14ac:dyDescent="0.25">
      <c r="A944" s="2" t="s">
        <v>138</v>
      </c>
      <c r="B944" s="2" t="s">
        <v>656</v>
      </c>
      <c r="C944" s="2" t="s">
        <v>139</v>
      </c>
      <c r="D944" s="2" t="s">
        <v>554</v>
      </c>
      <c r="E944" s="2">
        <v>2.5</v>
      </c>
      <c r="F944" s="1" t="str">
        <f>VLOOKUP(H944,'RM Used'!A:B,2,0)</f>
        <v>P0008</v>
      </c>
      <c r="G944" s="1" t="str">
        <f>IFERROR(VLOOKUP(F944,'RM Cost'!A:B,2,0),"")</f>
        <v>PALE BLUE BAG 470X750MM</v>
      </c>
      <c r="H944" s="2" t="s">
        <v>1323</v>
      </c>
      <c r="I944" s="1" t="str">
        <f>VLOOKUP(F944,'RM Used'!B:D,3,0)</f>
        <v>RM-PACKING</v>
      </c>
      <c r="J944" s="66">
        <v>1</v>
      </c>
      <c r="K944" s="35" t="str">
        <f t="shared" si="282"/>
        <v/>
      </c>
      <c r="L944" s="35">
        <f t="shared" si="270"/>
        <v>0</v>
      </c>
      <c r="M944" s="77" t="str" cm="1">
        <f t="array" ref="M944">_xlfn.IFS(BOM!I944="RM-PACKING","100%",B944="Reynolds",VLOOKUP(H944,'Yield &amp; Time'!A:V,22,0),BOM!B944="Dnata",VLOOKUP(BOM!H944,'Yield &amp; Time'!A:M,13,0),B944="NK",VLOOKUP(H944,'Yield &amp; Time'!A:X,24,0))</f>
        <v>100%</v>
      </c>
      <c r="N944" s="35">
        <f t="shared" si="281"/>
        <v>1</v>
      </c>
      <c r="O944" s="1" t="str">
        <f>VLOOKUP(H944,'RM Used'!A:E,5,0)</f>
        <v>Count</v>
      </c>
      <c r="P944" s="11">
        <f>VLOOKUP(H944,'RM Used'!A:F,6,0)</f>
        <v>0.14000000000000001</v>
      </c>
      <c r="Q944" s="11">
        <f t="shared" si="279"/>
        <v>0.14000000000000001</v>
      </c>
      <c r="R944" s="11">
        <f>IFERROR(IF(B944="Reynolds",VLOOKUP(H944,'Yield &amp; Time'!A:U,21,0),VLOOKUP(H944,'Yield &amp; Time'!A:L,12,0)),0)</f>
        <v>0</v>
      </c>
      <c r="S944" s="11">
        <f t="shared" si="271"/>
        <v>0</v>
      </c>
      <c r="T944" s="11">
        <f t="shared" si="272"/>
        <v>0</v>
      </c>
      <c r="U944" s="11">
        <f>IF(A943=A944,0,VLOOKUP(A944,'Packing Time'!A:F,6,0))</f>
        <v>0</v>
      </c>
      <c r="V944" s="11">
        <f t="shared" si="283"/>
        <v>0</v>
      </c>
      <c r="W944" s="11">
        <f t="shared" si="284"/>
        <v>0</v>
      </c>
      <c r="X944" s="11">
        <f t="shared" si="273"/>
        <v>0</v>
      </c>
      <c r="Y944" s="11">
        <f t="shared" si="285"/>
        <v>0</v>
      </c>
      <c r="Z944" s="37">
        <v>1</v>
      </c>
      <c r="AA944" s="36">
        <f t="shared" si="274"/>
        <v>1</v>
      </c>
      <c r="AB944" s="36">
        <f t="shared" si="275"/>
        <v>0.14000000000000001</v>
      </c>
      <c r="AC944" s="11">
        <f t="shared" si="276"/>
        <v>0</v>
      </c>
      <c r="AD944" s="36">
        <f t="shared" si="286"/>
        <v>0</v>
      </c>
      <c r="AE944" s="36"/>
      <c r="AF944" s="36">
        <f>IFERROR(VLOOKUP(AE944,'Chemical Cost'!A:D,4,0),0)</f>
        <v>0</v>
      </c>
      <c r="AG944" s="114">
        <f t="shared" si="277"/>
        <v>0</v>
      </c>
      <c r="AH944" s="36">
        <f t="shared" si="280"/>
        <v>0</v>
      </c>
      <c r="AI944" s="36">
        <f t="shared" si="287"/>
        <v>0.14000000000000001</v>
      </c>
      <c r="AJ944" s="36">
        <f>IFERROR(VLOOKUP(A944,'All Products'!A:F,6,0),0)</f>
        <v>6.61</v>
      </c>
      <c r="AK944" s="36"/>
      <c r="AL944" s="23">
        <v>1</v>
      </c>
      <c r="AM944" s="23"/>
      <c r="AN944" s="54" t="e">
        <v>#N/A</v>
      </c>
      <c r="AO944" s="47"/>
      <c r="AP944" s="4">
        <v>1.6</v>
      </c>
      <c r="AQ944" s="111">
        <f t="shared" si="278"/>
        <v>0</v>
      </c>
      <c r="AR944">
        <f>_xlfn.XLOOKUP(F944,'RM Cost'!A:A,'RM Cost'!S:S)</f>
        <v>0</v>
      </c>
      <c r="AS944" t="e">
        <f>_xlfn.XLOOKUP(A944,[3]Sheet1!$B:$B,[3]Sheet1!$B:$B)</f>
        <v>#N/A</v>
      </c>
    </row>
    <row r="945" spans="1:46" x14ac:dyDescent="0.25">
      <c r="A945" s="2" t="s">
        <v>136</v>
      </c>
      <c r="B945" s="2" t="s">
        <v>656</v>
      </c>
      <c r="C945" s="2" t="s">
        <v>137</v>
      </c>
      <c r="D945" s="2" t="s">
        <v>554</v>
      </c>
      <c r="E945" s="2">
        <v>1</v>
      </c>
      <c r="F945" s="1" t="str">
        <f>VLOOKUP(H945,'RM Used'!A:B,2,0)</f>
        <v>3210CS</v>
      </c>
      <c r="G945" s="1" t="str">
        <f>IFERROR(VLOOKUP(F945,'RM Cost'!A:B,2,0),"")</f>
        <v>RM - POTATOES WARE 25KG</v>
      </c>
      <c r="H945" s="2" t="s">
        <v>1567</v>
      </c>
      <c r="I945" s="1" t="str">
        <f>VLOOKUP(F945,'RM Used'!B:D,3,0)</f>
        <v>RM-FOOD</v>
      </c>
      <c r="J945" s="66">
        <v>1</v>
      </c>
      <c r="K945" s="35">
        <f t="shared" si="282"/>
        <v>1</v>
      </c>
      <c r="L945" s="35">
        <f t="shared" si="270"/>
        <v>1</v>
      </c>
      <c r="M945" s="77" cm="1">
        <f t="array" ref="M945">_xlfn.IFS(BOM!I945="RM-PACKING","100%",B945="Reynolds",VLOOKUP(H945,'Yield &amp; Time'!A:V,22,0),BOM!B945="Dnata",VLOOKUP(BOM!H945,'Yield &amp; Time'!A:M,13,0),B945="NK",VLOOKUP(H945,'Yield &amp; Time'!A:X,24,0))</f>
        <v>0.65518543379761707</v>
      </c>
      <c r="N945" s="35">
        <f t="shared" si="281"/>
        <v>1.5262854581545751</v>
      </c>
      <c r="O945" s="1" t="str">
        <f>VLOOKUP(H945,'RM Used'!A:E,5,0)</f>
        <v>KG</v>
      </c>
      <c r="P945" s="11">
        <f>VLOOKUP(H945,'RM Used'!A:F,6,0)</f>
        <v>0.27</v>
      </c>
      <c r="Q945" s="11">
        <f t="shared" si="279"/>
        <v>0.41209707370173532</v>
      </c>
      <c r="R945" s="11">
        <f>IFERROR(IF(B945="Reynolds",VLOOKUP(H945,'Yield &amp; Time'!A:U,21,0),VLOOKUP(H945,'Yield &amp; Time'!A:L,12,0)),0)</f>
        <v>2.7656101257177008</v>
      </c>
      <c r="S945" s="11">
        <f t="shared" si="271"/>
        <v>0.93615902755544167</v>
      </c>
      <c r="T945" s="11">
        <f t="shared" si="272"/>
        <v>4.6093502095295016E-2</v>
      </c>
      <c r="U945" s="11">
        <f>IF(A944=A945,0,VLOOKUP(A945,'Packing Time'!A:F,6,0))</f>
        <v>0.64166666666666661</v>
      </c>
      <c r="V945" s="11">
        <f t="shared" si="283"/>
        <v>0.21720416666666661</v>
      </c>
      <c r="W945" s="11">
        <f t="shared" si="284"/>
        <v>1.0694444444444444E-2</v>
      </c>
      <c r="X945" s="11">
        <f t="shared" si="273"/>
        <v>1.4417039927776354</v>
      </c>
      <c r="Y945" s="11">
        <f t="shared" si="285"/>
        <v>1.4417039927776354</v>
      </c>
      <c r="Z945" s="37">
        <v>1</v>
      </c>
      <c r="AA945" s="36">
        <f t="shared" si="274"/>
        <v>1.5262854581545751</v>
      </c>
      <c r="AB945" s="36">
        <f t="shared" si="275"/>
        <v>0.41209707370173532</v>
      </c>
      <c r="AC945" s="11">
        <f t="shared" si="276"/>
        <v>7.0984933174674331E-2</v>
      </c>
      <c r="AD945" s="36">
        <f t="shared" si="286"/>
        <v>1.4417039927776354</v>
      </c>
      <c r="AE945" s="36" t="str">
        <f>VLOOKUP(H945,'Yield &amp; Time'!A:I,9,0)</f>
        <v>SODIUM METABISULPHITE</v>
      </c>
      <c r="AF945" s="36">
        <f>IFERROR(VLOOKUP(AE945,'Chemical Cost'!A:D,4,0),0)</f>
        <v>9.7586225455882462E-3</v>
      </c>
      <c r="AG945" s="114">
        <f t="shared" si="277"/>
        <v>4.9648145609835744E-3</v>
      </c>
      <c r="AH945" s="36">
        <f t="shared" si="280"/>
        <v>4.9648145609835744E-3</v>
      </c>
      <c r="AI945" s="36">
        <f t="shared" si="287"/>
        <v>1.8587658810403542</v>
      </c>
      <c r="AJ945" s="36">
        <f>IFERROR(VLOOKUP(A945,'All Products'!A:F,6,0),0)</f>
        <v>1.96</v>
      </c>
      <c r="AK945" s="36">
        <f>AJ945*Z945*J945</f>
        <v>1.96</v>
      </c>
      <c r="AL945" s="23">
        <v>1</v>
      </c>
      <c r="AM945" s="23"/>
      <c r="AN945" s="54" t="e">
        <v>#N/A</v>
      </c>
      <c r="AO945" s="47"/>
      <c r="AP945" s="4">
        <v>1.25</v>
      </c>
      <c r="AQ945" s="111">
        <f t="shared" si="278"/>
        <v>7.0984933174674331E-2</v>
      </c>
      <c r="AR945">
        <f>_xlfn.XLOOKUP(F945,'RM Cost'!A:A,'RM Cost'!S:S)</f>
        <v>0</v>
      </c>
      <c r="AS945" t="str">
        <f>_xlfn.XLOOKUP(A945,[3]Sheet1!$B:$B,[3]Sheet1!$B:$B)</f>
        <v>Z052CS</v>
      </c>
      <c r="AT945">
        <f>_xlfn.XLOOKUP(H945,'Yield &amp; Time'!A:A,'Yield &amp; Time'!F:F)</f>
        <v>0</v>
      </c>
    </row>
    <row r="946" spans="1:46" x14ac:dyDescent="0.25">
      <c r="A946" s="2" t="s">
        <v>136</v>
      </c>
      <c r="B946" s="2" t="s">
        <v>656</v>
      </c>
      <c r="C946" s="2" t="s">
        <v>137</v>
      </c>
      <c r="D946" s="2" t="s">
        <v>554</v>
      </c>
      <c r="E946" s="2">
        <v>1</v>
      </c>
      <c r="F946" s="1" t="str">
        <f>VLOOKUP(H946,'RM Used'!A:B,2,0)</f>
        <v>P0008</v>
      </c>
      <c r="G946" s="1" t="str">
        <f>IFERROR(VLOOKUP(F946,'RM Cost'!A:B,2,0),"")</f>
        <v>PALE BLUE BAG 470X750MM</v>
      </c>
      <c r="H946" s="2" t="s">
        <v>1323</v>
      </c>
      <c r="I946" s="1" t="str">
        <f>VLOOKUP(F946,'RM Used'!B:D,3,0)</f>
        <v>RM-PACKING</v>
      </c>
      <c r="J946" s="66">
        <v>1</v>
      </c>
      <c r="K946" s="35" t="str">
        <f t="shared" si="282"/>
        <v/>
      </c>
      <c r="L946" s="35">
        <f t="shared" si="270"/>
        <v>0</v>
      </c>
      <c r="M946" s="77" t="str" cm="1">
        <f t="array" ref="M946">_xlfn.IFS(BOM!I946="RM-PACKING","100%",B946="Reynolds",VLOOKUP(H946,'Yield &amp; Time'!A:V,22,0),BOM!B946="Dnata",VLOOKUP(BOM!H946,'Yield &amp; Time'!A:M,13,0),B946="NK",VLOOKUP(H946,'Yield &amp; Time'!A:X,24,0))</f>
        <v>100%</v>
      </c>
      <c r="N946" s="35">
        <f t="shared" si="281"/>
        <v>1</v>
      </c>
      <c r="O946" s="1" t="str">
        <f>VLOOKUP(H946,'RM Used'!A:E,5,0)</f>
        <v>Count</v>
      </c>
      <c r="P946" s="11">
        <f>VLOOKUP(H946,'RM Used'!A:F,6,0)</f>
        <v>0.14000000000000001</v>
      </c>
      <c r="Q946" s="11">
        <f t="shared" si="279"/>
        <v>0.14000000000000001</v>
      </c>
      <c r="R946" s="11">
        <f>IFERROR(IF(B946="Reynolds",VLOOKUP(H946,'Yield &amp; Time'!A:U,21,0),VLOOKUP(H946,'Yield &amp; Time'!A:L,12,0)),0)</f>
        <v>0</v>
      </c>
      <c r="S946" s="11">
        <f t="shared" si="271"/>
        <v>0</v>
      </c>
      <c r="T946" s="11">
        <f t="shared" si="272"/>
        <v>0</v>
      </c>
      <c r="U946" s="11">
        <f>IF(A945=A946,0,VLOOKUP(A946,'Packing Time'!A:F,6,0))</f>
        <v>0</v>
      </c>
      <c r="V946" s="11">
        <f t="shared" si="283"/>
        <v>0</v>
      </c>
      <c r="W946" s="11">
        <f t="shared" si="284"/>
        <v>0</v>
      </c>
      <c r="X946" s="11">
        <f t="shared" si="273"/>
        <v>0</v>
      </c>
      <c r="Y946" s="11">
        <f t="shared" si="285"/>
        <v>0</v>
      </c>
      <c r="Z946" s="37">
        <v>1</v>
      </c>
      <c r="AA946" s="36">
        <f t="shared" si="274"/>
        <v>1</v>
      </c>
      <c r="AB946" s="36">
        <f t="shared" si="275"/>
        <v>0.14000000000000001</v>
      </c>
      <c r="AC946" s="11">
        <f t="shared" si="276"/>
        <v>0</v>
      </c>
      <c r="AD946" s="36">
        <f t="shared" si="286"/>
        <v>0</v>
      </c>
      <c r="AE946" s="36"/>
      <c r="AF946" s="36">
        <f>IFERROR(VLOOKUP(AE946,'Chemical Cost'!A:D,4,0),0)</f>
        <v>0</v>
      </c>
      <c r="AG946" s="114">
        <f t="shared" si="277"/>
        <v>0</v>
      </c>
      <c r="AH946" s="36">
        <f t="shared" si="280"/>
        <v>0</v>
      </c>
      <c r="AI946" s="36">
        <f t="shared" si="287"/>
        <v>0.14000000000000001</v>
      </c>
      <c r="AJ946" s="36">
        <f>IFERROR(VLOOKUP(A946,'All Products'!A:F,6,0),0)</f>
        <v>1.96</v>
      </c>
      <c r="AK946" s="36"/>
      <c r="AL946" s="23">
        <v>1</v>
      </c>
      <c r="AM946" s="23"/>
      <c r="AN946" s="54" t="e">
        <v>#N/A</v>
      </c>
      <c r="AO946" s="47"/>
      <c r="AP946" s="4">
        <v>1.25</v>
      </c>
      <c r="AQ946" s="111">
        <f t="shared" si="278"/>
        <v>0</v>
      </c>
      <c r="AR946">
        <f>_xlfn.XLOOKUP(F946,'RM Cost'!A:A,'RM Cost'!S:S)</f>
        <v>0</v>
      </c>
      <c r="AS946" t="str">
        <f>_xlfn.XLOOKUP(A946,[3]Sheet1!$B:$B,[3]Sheet1!$B:$B)</f>
        <v>Z052CS</v>
      </c>
      <c r="AT946" t="e">
        <f>_xlfn.XLOOKUP(H946,'Yield &amp; Time'!A:A,'Yield &amp; Time'!F:F)</f>
        <v>#N/A</v>
      </c>
    </row>
    <row r="947" spans="1:46" x14ac:dyDescent="0.25">
      <c r="A947" s="2" t="s">
        <v>134</v>
      </c>
      <c r="B947" s="2" t="s">
        <v>656</v>
      </c>
      <c r="C947" s="2" t="s">
        <v>135</v>
      </c>
      <c r="D947" s="2" t="s">
        <v>554</v>
      </c>
      <c r="E947" s="2">
        <v>2.5</v>
      </c>
      <c r="F947" s="1" t="str">
        <f>VLOOKUP(H947,'RM Used'!A:B,2,0)</f>
        <v>3210CS</v>
      </c>
      <c r="G947" s="1" t="str">
        <f>IFERROR(VLOOKUP(F947,'RM Cost'!A:B,2,0),"")</f>
        <v>RM - POTATOES WARE 25KG</v>
      </c>
      <c r="H947" s="2" t="s">
        <v>1567</v>
      </c>
      <c r="I947" s="1" t="str">
        <f>VLOOKUP(F947,'RM Used'!B:D,3,0)</f>
        <v>RM-FOOD</v>
      </c>
      <c r="J947" s="66">
        <v>1</v>
      </c>
      <c r="K947" s="35">
        <f t="shared" si="282"/>
        <v>2.5</v>
      </c>
      <c r="L947" s="35">
        <f t="shared" si="270"/>
        <v>2.5</v>
      </c>
      <c r="M947" s="77" cm="1">
        <f t="array" ref="M947">_xlfn.IFS(BOM!I947="RM-PACKING","100%",B947="Reynolds",VLOOKUP(H947,'Yield &amp; Time'!A:V,22,0),BOM!B947="Dnata",VLOOKUP(BOM!H947,'Yield &amp; Time'!A:M,13,0),B947="NK",VLOOKUP(H947,'Yield &amp; Time'!A:X,24,0))</f>
        <v>0.65518543379761707</v>
      </c>
      <c r="N947" s="35">
        <f t="shared" si="281"/>
        <v>3.8157136453864378</v>
      </c>
      <c r="O947" s="1" t="str">
        <f>VLOOKUP(H947,'RM Used'!A:E,5,0)</f>
        <v>KG</v>
      </c>
      <c r="P947" s="11">
        <f>VLOOKUP(H947,'RM Used'!A:F,6,0)</f>
        <v>0.27</v>
      </c>
      <c r="Q947" s="11">
        <f t="shared" si="279"/>
        <v>1.0302426842543382</v>
      </c>
      <c r="R947" s="11">
        <f>IFERROR(IF(B947="Reynolds",VLOOKUP(H947,'Yield &amp; Time'!A:U,21,0),VLOOKUP(H947,'Yield &amp; Time'!A:L,12,0)),0)</f>
        <v>2.7656101257177008</v>
      </c>
      <c r="S947" s="11">
        <f t="shared" si="271"/>
        <v>2.3403975688886041</v>
      </c>
      <c r="T947" s="11">
        <f t="shared" si="272"/>
        <v>0.11523375523823752</v>
      </c>
      <c r="U947" s="11">
        <f>IF(A946=A947,0,VLOOKUP(A947,'Packing Time'!A:F,6,0))</f>
        <v>0.875</v>
      </c>
      <c r="V947" s="11">
        <f t="shared" si="283"/>
        <v>0.29618749999999999</v>
      </c>
      <c r="W947" s="11">
        <f t="shared" si="284"/>
        <v>1.4583333333333334E-2</v>
      </c>
      <c r="X947" s="11">
        <f t="shared" si="273"/>
        <v>2.9002435757774645</v>
      </c>
      <c r="Y947" s="11">
        <f t="shared" si="285"/>
        <v>2.9002435757774645</v>
      </c>
      <c r="Z947" s="37">
        <v>1</v>
      </c>
      <c r="AA947" s="36">
        <f t="shared" si="274"/>
        <v>3.8157136453864378</v>
      </c>
      <c r="AB947" s="36">
        <f t="shared" si="275"/>
        <v>1.0302426842543382</v>
      </c>
      <c r="AC947" s="11">
        <f t="shared" si="276"/>
        <v>0.14279879742872797</v>
      </c>
      <c r="AD947" s="36">
        <f t="shared" si="286"/>
        <v>2.9002435757774649</v>
      </c>
      <c r="AE947" s="36" t="str">
        <f>VLOOKUP(H947,'Yield &amp; Time'!A:I,9,0)</f>
        <v>SODIUM METABISULPHITE</v>
      </c>
      <c r="AF947" s="36">
        <f>IFERROR(VLOOKUP(AE947,'Chemical Cost'!A:D,4,0),0)</f>
        <v>9.7586225455882462E-3</v>
      </c>
      <c r="AG947" s="114">
        <f t="shared" si="277"/>
        <v>1.2412036402458936E-2</v>
      </c>
      <c r="AH947" s="36">
        <f t="shared" si="280"/>
        <v>1.2412036402458936E-2</v>
      </c>
      <c r="AI947" s="36">
        <f t="shared" si="287"/>
        <v>3.9428982964342616</v>
      </c>
      <c r="AJ947" s="36">
        <f>IFERROR(VLOOKUP(A947,'All Products'!A:F,6,0),0)</f>
        <v>4.58</v>
      </c>
      <c r="AK947" s="36">
        <f>AJ947*Z947*J947</f>
        <v>4.58</v>
      </c>
      <c r="AL947" s="23">
        <v>1</v>
      </c>
      <c r="AM947" s="23"/>
      <c r="AN947" s="54" t="e">
        <v>#N/A</v>
      </c>
      <c r="AO947" s="47"/>
      <c r="AP947" s="4">
        <v>1.1000000000000001</v>
      </c>
      <c r="AQ947" s="111">
        <f t="shared" si="278"/>
        <v>0.14279879742872797</v>
      </c>
      <c r="AR947">
        <f>_xlfn.XLOOKUP(F947,'RM Cost'!A:A,'RM Cost'!S:S)</f>
        <v>0</v>
      </c>
      <c r="AS947" t="str">
        <f>_xlfn.XLOOKUP(A947,[3]Sheet1!$B:$B,[3]Sheet1!$B:$B)</f>
        <v>Z051CS</v>
      </c>
      <c r="AT947">
        <f>_xlfn.XLOOKUP(H947,'Yield &amp; Time'!A:A,'Yield &amp; Time'!F:F)</f>
        <v>0</v>
      </c>
    </row>
    <row r="948" spans="1:46" x14ac:dyDescent="0.25">
      <c r="A948" s="2" t="s">
        <v>134</v>
      </c>
      <c r="B948" s="2" t="s">
        <v>656</v>
      </c>
      <c r="C948" s="2" t="s">
        <v>135</v>
      </c>
      <c r="D948" s="2" t="s">
        <v>554</v>
      </c>
      <c r="E948" s="2">
        <v>2.5</v>
      </c>
      <c r="F948" s="1" t="str">
        <f>VLOOKUP(H948,'RM Used'!A:B,2,0)</f>
        <v>P0008</v>
      </c>
      <c r="G948" s="1" t="str">
        <f>IFERROR(VLOOKUP(F948,'RM Cost'!A:B,2,0),"")</f>
        <v>PALE BLUE BAG 470X750MM</v>
      </c>
      <c r="H948" s="2" t="s">
        <v>1323</v>
      </c>
      <c r="I948" s="1" t="str">
        <f>VLOOKUP(F948,'RM Used'!B:D,3,0)</f>
        <v>RM-PACKING</v>
      </c>
      <c r="J948" s="66">
        <v>1</v>
      </c>
      <c r="K948" s="35" t="str">
        <f t="shared" si="282"/>
        <v/>
      </c>
      <c r="L948" s="35">
        <f t="shared" si="270"/>
        <v>0</v>
      </c>
      <c r="M948" s="77" t="str" cm="1">
        <f t="array" ref="M948">_xlfn.IFS(BOM!I948="RM-PACKING","100%",B948="Reynolds",VLOOKUP(H948,'Yield &amp; Time'!A:V,22,0),BOM!B948="Dnata",VLOOKUP(BOM!H948,'Yield &amp; Time'!A:M,13,0),B948="NK",VLOOKUP(H948,'Yield &amp; Time'!A:X,24,0))</f>
        <v>100%</v>
      </c>
      <c r="N948" s="35">
        <f t="shared" si="281"/>
        <v>1</v>
      </c>
      <c r="O948" s="1" t="str">
        <f>VLOOKUP(H948,'RM Used'!A:E,5,0)</f>
        <v>Count</v>
      </c>
      <c r="P948" s="11">
        <f>VLOOKUP(H948,'RM Used'!A:F,6,0)</f>
        <v>0.14000000000000001</v>
      </c>
      <c r="Q948" s="11">
        <f t="shared" si="279"/>
        <v>0.14000000000000001</v>
      </c>
      <c r="R948" s="11">
        <f>IFERROR(IF(B948="Reynolds",VLOOKUP(H948,'Yield &amp; Time'!A:U,21,0),VLOOKUP(H948,'Yield &amp; Time'!A:L,12,0)),0)</f>
        <v>0</v>
      </c>
      <c r="S948" s="11">
        <f t="shared" si="271"/>
        <v>0</v>
      </c>
      <c r="T948" s="11">
        <f t="shared" si="272"/>
        <v>0</v>
      </c>
      <c r="U948" s="11">
        <f>IF(A947=A948,0,VLOOKUP(A948,'Packing Time'!A:F,6,0))</f>
        <v>0</v>
      </c>
      <c r="V948" s="11">
        <f t="shared" si="283"/>
        <v>0</v>
      </c>
      <c r="W948" s="11">
        <f t="shared" si="284"/>
        <v>0</v>
      </c>
      <c r="X948" s="11">
        <f t="shared" si="273"/>
        <v>0</v>
      </c>
      <c r="Y948" s="11">
        <f t="shared" si="285"/>
        <v>0</v>
      </c>
      <c r="Z948" s="37">
        <v>1</v>
      </c>
      <c r="AA948" s="36">
        <f t="shared" si="274"/>
        <v>1</v>
      </c>
      <c r="AB948" s="36">
        <f t="shared" si="275"/>
        <v>0.14000000000000001</v>
      </c>
      <c r="AC948" s="11">
        <f t="shared" si="276"/>
        <v>0</v>
      </c>
      <c r="AD948" s="36">
        <f t="shared" si="286"/>
        <v>0</v>
      </c>
      <c r="AE948" s="36"/>
      <c r="AF948" s="36">
        <f>IFERROR(VLOOKUP(AE948,'Chemical Cost'!A:D,4,0),0)</f>
        <v>0</v>
      </c>
      <c r="AG948" s="114">
        <f t="shared" si="277"/>
        <v>0</v>
      </c>
      <c r="AH948" s="36">
        <f t="shared" si="280"/>
        <v>0</v>
      </c>
      <c r="AI948" s="36">
        <f t="shared" si="287"/>
        <v>0.14000000000000001</v>
      </c>
      <c r="AJ948" s="36">
        <f>IFERROR(VLOOKUP(A948,'All Products'!A:F,6,0),0)</f>
        <v>4.58</v>
      </c>
      <c r="AK948" s="36"/>
      <c r="AL948" s="23">
        <v>1</v>
      </c>
      <c r="AM948" s="23"/>
      <c r="AN948" s="54" t="e">
        <v>#N/A</v>
      </c>
      <c r="AO948" s="47"/>
      <c r="AP948" s="4">
        <v>1.1000000000000001</v>
      </c>
      <c r="AQ948" s="111">
        <f t="shared" si="278"/>
        <v>0</v>
      </c>
      <c r="AR948">
        <f>_xlfn.XLOOKUP(F948,'RM Cost'!A:A,'RM Cost'!S:S)</f>
        <v>0</v>
      </c>
      <c r="AS948" t="str">
        <f>_xlfn.XLOOKUP(A948,[3]Sheet1!$B:$B,[3]Sheet1!$B:$B)</f>
        <v>Z051CS</v>
      </c>
      <c r="AT948" t="e">
        <f>_xlfn.XLOOKUP(H948,'Yield &amp; Time'!A:A,'Yield &amp; Time'!F:F)</f>
        <v>#N/A</v>
      </c>
    </row>
    <row r="949" spans="1:46" x14ac:dyDescent="0.25">
      <c r="A949" s="2" t="s">
        <v>391</v>
      </c>
      <c r="B949" s="2" t="s">
        <v>656</v>
      </c>
      <c r="C949" s="2" t="s">
        <v>392</v>
      </c>
      <c r="D949" s="2" t="s">
        <v>554</v>
      </c>
      <c r="E949" s="2">
        <v>1</v>
      </c>
      <c r="F949" s="1" t="str">
        <f>VLOOKUP(H949,'RM Used'!A:B,2,0)</f>
        <v>3296CS</v>
      </c>
      <c r="G949" s="1" t="str">
        <f>IFERROR(VLOOKUP(F949,'RM Cost'!A:B,2,0),"")</f>
        <v>RM - PUMPKIN CROWN PRINCE X2.5KG</v>
      </c>
      <c r="H949" s="2" t="s">
        <v>1568</v>
      </c>
      <c r="I949" s="1" t="str">
        <f>VLOOKUP(F949,'RM Used'!B:D,3,0)</f>
        <v>RM-FOOD</v>
      </c>
      <c r="J949" s="66">
        <v>1</v>
      </c>
      <c r="K949" s="35">
        <f t="shared" si="282"/>
        <v>1</v>
      </c>
      <c r="L949" s="35">
        <f t="shared" si="270"/>
        <v>1</v>
      </c>
      <c r="M949" s="77" cm="1">
        <f t="array" ref="M949">_xlfn.IFS(BOM!I949="RM-PACKING","100%",B949="Reynolds",VLOOKUP(H949,'Yield &amp; Time'!A:V,22,0),BOM!B949="Dnata",VLOOKUP(BOM!H949,'Yield &amp; Time'!A:M,13,0),B949="NK",VLOOKUP(H949,'Yield &amp; Time'!A:X,24,0))</f>
        <v>0.47032752341701012</v>
      </c>
      <c r="N949" s="35">
        <f t="shared" si="281"/>
        <v>2.1261779296580996</v>
      </c>
      <c r="O949" s="1" t="str">
        <f>VLOOKUP(H949,'RM Used'!A:E,5,0)</f>
        <v>KG</v>
      </c>
      <c r="P949" s="11">
        <f>VLOOKUP(H949,'RM Used'!A:F,6,0)</f>
        <v>0.78</v>
      </c>
      <c r="Q949" s="11">
        <f t="shared" si="279"/>
        <v>1.6584187851333176</v>
      </c>
      <c r="R949" s="11">
        <f>IFERROR(IF(B949="Reynolds",VLOOKUP(H949,'Yield &amp; Time'!A:U,21,0),VLOOKUP(H949,'Yield &amp; Time'!A:L,12,0)),0)</f>
        <v>4.8</v>
      </c>
      <c r="S949" s="11">
        <f t="shared" si="271"/>
        <v>1.6247999999999998</v>
      </c>
      <c r="T949" s="11">
        <f t="shared" si="272"/>
        <v>0.08</v>
      </c>
      <c r="U949" s="11">
        <f>IF(A948=A949,0,VLOOKUP(A949,'Packing Time'!A:F,6,0))</f>
        <v>0.64166666666666661</v>
      </c>
      <c r="V949" s="11">
        <f t="shared" si="283"/>
        <v>0.21720416666666661</v>
      </c>
      <c r="W949" s="11">
        <f t="shared" si="284"/>
        <v>1.0694444444444444E-2</v>
      </c>
      <c r="X949" s="11">
        <f t="shared" si="273"/>
        <v>2.9472066666666663</v>
      </c>
      <c r="Y949" s="11">
        <f t="shared" si="285"/>
        <v>2.9472066666666663</v>
      </c>
      <c r="Z949" s="37">
        <v>1</v>
      </c>
      <c r="AA949" s="36">
        <f t="shared" si="274"/>
        <v>2.1261779296580996</v>
      </c>
      <c r="AB949" s="36">
        <f t="shared" si="275"/>
        <v>1.6584187851333176</v>
      </c>
      <c r="AC949" s="11">
        <f t="shared" si="276"/>
        <v>0.14511111111111111</v>
      </c>
      <c r="AD949" s="36">
        <f t="shared" si="286"/>
        <v>2.9472066666666663</v>
      </c>
      <c r="AE949" s="36"/>
      <c r="AF949" s="36">
        <f>IFERROR(VLOOKUP(AE949,'Chemical Cost'!A:D,4,0),0)</f>
        <v>0</v>
      </c>
      <c r="AG949" s="114">
        <f t="shared" si="277"/>
        <v>0</v>
      </c>
      <c r="AH949" s="36">
        <f t="shared" si="280"/>
        <v>0</v>
      </c>
      <c r="AI949" s="36">
        <f t="shared" si="287"/>
        <v>4.6056254517999839</v>
      </c>
      <c r="AJ949" s="36">
        <f>IFERROR(VLOOKUP(A949,'All Products'!A:F,6,0),0)</f>
        <v>4.8</v>
      </c>
      <c r="AK949" s="36">
        <f>AJ949*Z949*J949</f>
        <v>4.8</v>
      </c>
      <c r="AL949" s="23">
        <v>1</v>
      </c>
      <c r="AM949" s="23"/>
      <c r="AN949" s="54" t="e">
        <v>#N/A</v>
      </c>
      <c r="AO949" s="47"/>
      <c r="AP949" s="4">
        <v>1.6</v>
      </c>
      <c r="AQ949" s="111">
        <f t="shared" si="278"/>
        <v>0.14511111111111111</v>
      </c>
      <c r="AR949" t="str">
        <f>_xlfn.XLOOKUP(F949,'RM Cost'!A:A,'RM Cost'!S:S)</f>
        <v>price</v>
      </c>
      <c r="AS949" t="str">
        <f>_xlfn.XLOOKUP(A949,[3]Sheet1!$B:$B,[3]Sheet1!$B:$B)</f>
        <v>Z197CS</v>
      </c>
      <c r="AT949">
        <f>_xlfn.XLOOKUP(H949,'Yield &amp; Time'!A:A,'Yield &amp; Time'!F:F)</f>
        <v>0</v>
      </c>
    </row>
    <row r="950" spans="1:46" x14ac:dyDescent="0.25">
      <c r="A950" s="2" t="s">
        <v>391</v>
      </c>
      <c r="B950" s="2" t="s">
        <v>656</v>
      </c>
      <c r="C950" s="2" t="s">
        <v>392</v>
      </c>
      <c r="D950" s="2" t="s">
        <v>554</v>
      </c>
      <c r="E950" s="2">
        <v>1</v>
      </c>
      <c r="F950" s="1" t="str">
        <f>VLOOKUP(H950,'RM Used'!A:B,2,0)</f>
        <v>P0008</v>
      </c>
      <c r="G950" s="1" t="str">
        <f>IFERROR(VLOOKUP(F950,'RM Cost'!A:B,2,0),"")</f>
        <v>PALE BLUE BAG 470X750MM</v>
      </c>
      <c r="H950" s="2" t="s">
        <v>1323</v>
      </c>
      <c r="I950" s="1" t="str">
        <f>VLOOKUP(F950,'RM Used'!B:D,3,0)</f>
        <v>RM-PACKING</v>
      </c>
      <c r="J950" s="66">
        <v>1</v>
      </c>
      <c r="K950" s="35" t="str">
        <f t="shared" si="282"/>
        <v/>
      </c>
      <c r="L950" s="35">
        <f t="shared" si="270"/>
        <v>0</v>
      </c>
      <c r="M950" s="77" t="str" cm="1">
        <f t="array" ref="M950">_xlfn.IFS(BOM!I950="RM-PACKING","100%",B950="Reynolds",VLOOKUP(H950,'Yield &amp; Time'!A:V,22,0),BOM!B950="Dnata",VLOOKUP(BOM!H950,'Yield &amp; Time'!A:M,13,0),B950="NK",VLOOKUP(H950,'Yield &amp; Time'!A:X,24,0))</f>
        <v>100%</v>
      </c>
      <c r="N950" s="35">
        <f t="shared" si="281"/>
        <v>1</v>
      </c>
      <c r="O950" s="1" t="str">
        <f>VLOOKUP(H950,'RM Used'!A:E,5,0)</f>
        <v>Count</v>
      </c>
      <c r="P950" s="11">
        <f>VLOOKUP(H950,'RM Used'!A:F,6,0)</f>
        <v>0.14000000000000001</v>
      </c>
      <c r="Q950" s="11">
        <f t="shared" si="279"/>
        <v>0.14000000000000001</v>
      </c>
      <c r="R950" s="11">
        <f>IFERROR(IF(B950="Reynolds",VLOOKUP(H950,'Yield &amp; Time'!A:U,21,0),VLOOKUP(H950,'Yield &amp; Time'!A:L,12,0)),0)</f>
        <v>0</v>
      </c>
      <c r="S950" s="11">
        <f t="shared" si="271"/>
        <v>0</v>
      </c>
      <c r="T950" s="11">
        <f t="shared" si="272"/>
        <v>0</v>
      </c>
      <c r="U950" s="11">
        <f>IF(A949=A950,0,VLOOKUP(A950,'Packing Time'!A:F,6,0))</f>
        <v>0</v>
      </c>
      <c r="V950" s="11">
        <f t="shared" si="283"/>
        <v>0</v>
      </c>
      <c r="W950" s="11">
        <f t="shared" si="284"/>
        <v>0</v>
      </c>
      <c r="X950" s="11">
        <f t="shared" si="273"/>
        <v>0</v>
      </c>
      <c r="Y950" s="11">
        <f t="shared" si="285"/>
        <v>0</v>
      </c>
      <c r="Z950" s="37">
        <v>1</v>
      </c>
      <c r="AA950" s="36">
        <f t="shared" si="274"/>
        <v>1</v>
      </c>
      <c r="AB950" s="36">
        <f t="shared" si="275"/>
        <v>0.14000000000000001</v>
      </c>
      <c r="AC950" s="11">
        <f t="shared" si="276"/>
        <v>0</v>
      </c>
      <c r="AD950" s="36">
        <f t="shared" si="286"/>
        <v>0</v>
      </c>
      <c r="AE950" s="36"/>
      <c r="AF950" s="36">
        <f>IFERROR(VLOOKUP(AE950,'Chemical Cost'!A:D,4,0),0)</f>
        <v>0</v>
      </c>
      <c r="AG950" s="114">
        <f t="shared" si="277"/>
        <v>0</v>
      </c>
      <c r="AH950" s="36">
        <f t="shared" si="280"/>
        <v>0</v>
      </c>
      <c r="AI950" s="36">
        <f t="shared" si="287"/>
        <v>0.14000000000000001</v>
      </c>
      <c r="AJ950" s="36">
        <f>IFERROR(VLOOKUP(A950,'All Products'!A:F,6,0),0)</f>
        <v>4.8</v>
      </c>
      <c r="AK950" s="36"/>
      <c r="AL950" s="23">
        <v>1</v>
      </c>
      <c r="AM950" s="23"/>
      <c r="AN950" s="54" t="e">
        <v>#N/A</v>
      </c>
      <c r="AO950" s="47"/>
      <c r="AP950" s="4">
        <v>1.6</v>
      </c>
      <c r="AQ950" s="111">
        <f t="shared" si="278"/>
        <v>0</v>
      </c>
      <c r="AR950">
        <f>_xlfn.XLOOKUP(F950,'RM Cost'!A:A,'RM Cost'!S:S)</f>
        <v>0</v>
      </c>
      <c r="AS950" t="str">
        <f>_xlfn.XLOOKUP(A950,[3]Sheet1!$B:$B,[3]Sheet1!$B:$B)</f>
        <v>Z197CS</v>
      </c>
      <c r="AT950" t="e">
        <f>_xlfn.XLOOKUP(H950,'Yield &amp; Time'!A:A,'Yield &amp; Time'!F:F)</f>
        <v>#N/A</v>
      </c>
    </row>
    <row r="951" spans="1:46" x14ac:dyDescent="0.25">
      <c r="A951" s="2" t="s">
        <v>82</v>
      </c>
      <c r="B951" s="2" t="s">
        <v>656</v>
      </c>
      <c r="C951" s="2" t="s">
        <v>83</v>
      </c>
      <c r="D951" s="2" t="s">
        <v>554</v>
      </c>
      <c r="E951" s="2">
        <v>2.5</v>
      </c>
      <c r="F951" s="1" t="str">
        <f>VLOOKUP(H951,'RM Used'!A:B,2,0)</f>
        <v>3296CS</v>
      </c>
      <c r="G951" s="1" t="str">
        <f>IFERROR(VLOOKUP(F951,'RM Cost'!A:B,2,0),"")</f>
        <v>RM - PUMPKIN CROWN PRINCE X2.5KG</v>
      </c>
      <c r="H951" s="2" t="s">
        <v>1568</v>
      </c>
      <c r="I951" s="1" t="str">
        <f>VLOOKUP(F951,'RM Used'!B:D,3,0)</f>
        <v>RM-FOOD</v>
      </c>
      <c r="J951" s="66">
        <v>1</v>
      </c>
      <c r="K951" s="35">
        <f t="shared" si="282"/>
        <v>2.5</v>
      </c>
      <c r="L951" s="35">
        <f t="shared" si="270"/>
        <v>2.5</v>
      </c>
      <c r="M951" s="77" cm="1">
        <f t="array" ref="M951">_xlfn.IFS(BOM!I951="RM-PACKING","100%",B951="Reynolds",VLOOKUP(H951,'Yield &amp; Time'!A:V,22,0),BOM!B951="Dnata",VLOOKUP(BOM!H951,'Yield &amp; Time'!A:M,13,0),B951="NK",VLOOKUP(H951,'Yield &amp; Time'!A:X,24,0))</f>
        <v>0.47032752341701012</v>
      </c>
      <c r="N951" s="35">
        <f t="shared" si="281"/>
        <v>5.3154448241452492</v>
      </c>
      <c r="O951" s="1" t="str">
        <f>VLOOKUP(H951,'RM Used'!A:E,5,0)</f>
        <v>KG</v>
      </c>
      <c r="P951" s="11">
        <f>VLOOKUP(H951,'RM Used'!A:F,6,0)</f>
        <v>0.78</v>
      </c>
      <c r="Q951" s="11">
        <f t="shared" si="279"/>
        <v>4.1460469628332941</v>
      </c>
      <c r="R951" s="11">
        <f>IFERROR(IF(B951="Reynolds",VLOOKUP(H951,'Yield &amp; Time'!A:U,21,0),VLOOKUP(H951,'Yield &amp; Time'!A:L,12,0)),0)</f>
        <v>4.8</v>
      </c>
      <c r="S951" s="11">
        <f t="shared" si="271"/>
        <v>4.0619999999999994</v>
      </c>
      <c r="T951" s="11">
        <f t="shared" si="272"/>
        <v>0.2</v>
      </c>
      <c r="U951" s="11">
        <f>IF(A950=A951,0,VLOOKUP(A951,'Packing Time'!A:F,6,0))</f>
        <v>0.875</v>
      </c>
      <c r="V951" s="11">
        <f t="shared" si="283"/>
        <v>0.29618749999999999</v>
      </c>
      <c r="W951" s="11">
        <f t="shared" si="284"/>
        <v>1.4583333333333334E-2</v>
      </c>
      <c r="X951" s="11">
        <f t="shared" si="273"/>
        <v>5.4477343749999996</v>
      </c>
      <c r="Y951" s="11">
        <f t="shared" si="285"/>
        <v>5.4477343749999996</v>
      </c>
      <c r="Z951" s="37">
        <v>1</v>
      </c>
      <c r="AA951" s="36">
        <f t="shared" si="274"/>
        <v>5.3154448241452492</v>
      </c>
      <c r="AB951" s="36">
        <f t="shared" si="275"/>
        <v>4.1460469628332941</v>
      </c>
      <c r="AC951" s="11">
        <f t="shared" si="276"/>
        <v>0.26822916666666663</v>
      </c>
      <c r="AD951" s="36">
        <f t="shared" si="286"/>
        <v>5.4477343749999987</v>
      </c>
      <c r="AE951" s="36"/>
      <c r="AF951" s="36">
        <f>IFERROR(VLOOKUP(AE951,'Chemical Cost'!A:D,4,0),0)</f>
        <v>0</v>
      </c>
      <c r="AG951" s="114">
        <f t="shared" si="277"/>
        <v>0</v>
      </c>
      <c r="AH951" s="36">
        <f t="shared" si="280"/>
        <v>0</v>
      </c>
      <c r="AI951" s="36">
        <f t="shared" si="287"/>
        <v>9.5937813378332937</v>
      </c>
      <c r="AJ951" s="36">
        <f>IFERROR(VLOOKUP(A951,'All Products'!A:F,6,0),0)</f>
        <v>12</v>
      </c>
      <c r="AK951" s="36">
        <f>AJ951*Z951*J951</f>
        <v>12</v>
      </c>
      <c r="AL951" s="23">
        <v>1</v>
      </c>
      <c r="AM951" s="23"/>
      <c r="AN951" s="54" t="e">
        <v>#N/A</v>
      </c>
      <c r="AO951" s="47"/>
      <c r="AP951" s="4">
        <v>1.25</v>
      </c>
      <c r="AQ951" s="111">
        <f t="shared" si="278"/>
        <v>0.26822916666666663</v>
      </c>
      <c r="AR951" t="str">
        <f>_xlfn.XLOOKUP(F951,'RM Cost'!A:A,'RM Cost'!S:S)</f>
        <v>price</v>
      </c>
      <c r="AS951" t="str">
        <f>_xlfn.XLOOKUP(A951,[3]Sheet1!$B:$B,[3]Sheet1!$B:$B)</f>
        <v>Z196CS</v>
      </c>
      <c r="AT951">
        <f>_xlfn.XLOOKUP(H951,'Yield &amp; Time'!A:A,'Yield &amp; Time'!F:F)</f>
        <v>0</v>
      </c>
    </row>
    <row r="952" spans="1:46" x14ac:dyDescent="0.25">
      <c r="A952" s="2" t="s">
        <v>82</v>
      </c>
      <c r="B952" s="2" t="s">
        <v>656</v>
      </c>
      <c r="C952" s="2" t="s">
        <v>83</v>
      </c>
      <c r="D952" s="2" t="s">
        <v>554</v>
      </c>
      <c r="E952" s="2">
        <v>2.5</v>
      </c>
      <c r="F952" s="1" t="str">
        <f>VLOOKUP(H952,'RM Used'!A:B,2,0)</f>
        <v>P0008</v>
      </c>
      <c r="G952" s="1" t="str">
        <f>IFERROR(VLOOKUP(F952,'RM Cost'!A:B,2,0),"")</f>
        <v>PALE BLUE BAG 470X750MM</v>
      </c>
      <c r="H952" s="2" t="s">
        <v>1323</v>
      </c>
      <c r="I952" s="1" t="str">
        <f>VLOOKUP(F952,'RM Used'!B:D,3,0)</f>
        <v>RM-PACKING</v>
      </c>
      <c r="J952" s="66">
        <v>1</v>
      </c>
      <c r="K952" s="35" t="str">
        <f t="shared" si="282"/>
        <v/>
      </c>
      <c r="L952" s="35">
        <f t="shared" si="270"/>
        <v>0</v>
      </c>
      <c r="M952" s="77" t="str" cm="1">
        <f t="array" ref="M952">_xlfn.IFS(BOM!I952="RM-PACKING","100%",B952="Reynolds",VLOOKUP(H952,'Yield &amp; Time'!A:V,22,0),BOM!B952="Dnata",VLOOKUP(BOM!H952,'Yield &amp; Time'!A:M,13,0),B952="NK",VLOOKUP(H952,'Yield &amp; Time'!A:X,24,0))</f>
        <v>100%</v>
      </c>
      <c r="N952" s="35">
        <f t="shared" si="281"/>
        <v>1</v>
      </c>
      <c r="O952" s="1" t="str">
        <f>VLOOKUP(H952,'RM Used'!A:E,5,0)</f>
        <v>Count</v>
      </c>
      <c r="P952" s="11">
        <f>VLOOKUP(H952,'RM Used'!A:F,6,0)</f>
        <v>0.14000000000000001</v>
      </c>
      <c r="Q952" s="11">
        <f t="shared" si="279"/>
        <v>0.14000000000000001</v>
      </c>
      <c r="R952" s="11">
        <f>IFERROR(IF(B952="Reynolds",VLOOKUP(H952,'Yield &amp; Time'!A:U,21,0),VLOOKUP(H952,'Yield &amp; Time'!A:L,12,0)),0)</f>
        <v>0</v>
      </c>
      <c r="S952" s="11">
        <f t="shared" si="271"/>
        <v>0</v>
      </c>
      <c r="T952" s="11">
        <f t="shared" si="272"/>
        <v>0</v>
      </c>
      <c r="U952" s="11">
        <f>IF(A951=A952,0,VLOOKUP(A952,'Packing Time'!A:F,6,0))</f>
        <v>0</v>
      </c>
      <c r="V952" s="11">
        <f t="shared" si="283"/>
        <v>0</v>
      </c>
      <c r="W952" s="11">
        <f t="shared" si="284"/>
        <v>0</v>
      </c>
      <c r="X952" s="11">
        <f t="shared" si="273"/>
        <v>0</v>
      </c>
      <c r="Y952" s="11">
        <f t="shared" si="285"/>
        <v>0</v>
      </c>
      <c r="Z952" s="37">
        <v>1</v>
      </c>
      <c r="AA952" s="36">
        <f t="shared" si="274"/>
        <v>1</v>
      </c>
      <c r="AB952" s="36">
        <f t="shared" si="275"/>
        <v>0.14000000000000001</v>
      </c>
      <c r="AC952" s="11">
        <f t="shared" si="276"/>
        <v>0</v>
      </c>
      <c r="AD952" s="36">
        <f t="shared" si="286"/>
        <v>0</v>
      </c>
      <c r="AE952" s="36"/>
      <c r="AF952" s="36">
        <f>IFERROR(VLOOKUP(AE952,'Chemical Cost'!A:D,4,0),0)</f>
        <v>0</v>
      </c>
      <c r="AG952" s="114">
        <f t="shared" si="277"/>
        <v>0</v>
      </c>
      <c r="AH952" s="36">
        <f t="shared" si="280"/>
        <v>0</v>
      </c>
      <c r="AI952" s="36">
        <f t="shared" si="287"/>
        <v>0.14000000000000001</v>
      </c>
      <c r="AJ952" s="36">
        <f>IFERROR(VLOOKUP(A952,'All Products'!A:F,6,0),0)</f>
        <v>12</v>
      </c>
      <c r="AK952" s="36"/>
      <c r="AL952" s="23">
        <v>1</v>
      </c>
      <c r="AM952" s="23"/>
      <c r="AN952" s="54" t="e">
        <v>#N/A</v>
      </c>
      <c r="AO952" s="47"/>
      <c r="AP952" s="4">
        <v>1.25</v>
      </c>
      <c r="AQ952" s="111">
        <f t="shared" si="278"/>
        <v>0</v>
      </c>
      <c r="AR952">
        <f>_xlfn.XLOOKUP(F952,'RM Cost'!A:A,'RM Cost'!S:S)</f>
        <v>0</v>
      </c>
      <c r="AS952" t="str">
        <f>_xlfn.XLOOKUP(A952,[3]Sheet1!$B:$B,[3]Sheet1!$B:$B)</f>
        <v>Z196CS</v>
      </c>
      <c r="AT952" t="e">
        <f>_xlfn.XLOOKUP(H952,'Yield &amp; Time'!A:A,'Yield &amp; Time'!F:F)</f>
        <v>#N/A</v>
      </c>
    </row>
    <row r="953" spans="1:46" x14ac:dyDescent="0.25">
      <c r="A953" s="2" t="s">
        <v>80</v>
      </c>
      <c r="B953" s="2" t="s">
        <v>656</v>
      </c>
      <c r="C953" s="2" t="s">
        <v>81</v>
      </c>
      <c r="D953" s="2" t="s">
        <v>554</v>
      </c>
      <c r="E953" s="2">
        <v>2.5</v>
      </c>
      <c r="F953" s="1" t="str">
        <f>VLOOKUP(H953,'RM Used'!A:B,2,0)</f>
        <v>3296CS</v>
      </c>
      <c r="G953" s="1" t="str">
        <f>IFERROR(VLOOKUP(F953,'RM Cost'!A:B,2,0),"")</f>
        <v>RM - PUMPKIN CROWN PRINCE X2.5KG</v>
      </c>
      <c r="H953" s="2" t="s">
        <v>1569</v>
      </c>
      <c r="I953" s="1" t="str">
        <f>VLOOKUP(F953,'RM Used'!B:D,3,0)</f>
        <v>RM-FOOD</v>
      </c>
      <c r="J953" s="66">
        <v>1</v>
      </c>
      <c r="K953" s="35">
        <f t="shared" si="282"/>
        <v>2.5</v>
      </c>
      <c r="L953" s="35">
        <f t="shared" si="270"/>
        <v>2.5</v>
      </c>
      <c r="M953" s="77" cm="1">
        <f t="array" ref="M953">_xlfn.IFS(BOM!I953="RM-PACKING","100%",B953="Reynolds",VLOOKUP(H953,'Yield &amp; Time'!A:V,22,0),BOM!B953="Dnata",VLOOKUP(BOM!H953,'Yield &amp; Time'!A:M,13,0),B953="NK",VLOOKUP(H953,'Yield &amp; Time'!A:X,24,0))</f>
        <v>0.46557268307390803</v>
      </c>
      <c r="N953" s="35">
        <f t="shared" si="281"/>
        <v>5.3697308516769953</v>
      </c>
      <c r="O953" s="1" t="str">
        <f>VLOOKUP(H953,'RM Used'!A:E,5,0)</f>
        <v>KG</v>
      </c>
      <c r="P953" s="11">
        <f>VLOOKUP(H953,'RM Used'!A:F,6,0)</f>
        <v>0.78</v>
      </c>
      <c r="Q953" s="11">
        <f t="shared" si="279"/>
        <v>4.1883900643080567</v>
      </c>
      <c r="R953" s="11">
        <f>IFERROR(IF(B953="Reynolds",VLOOKUP(H953,'Yield &amp; Time'!A:U,21,0),VLOOKUP(H953,'Yield &amp; Time'!A:L,12,0)),0)</f>
        <v>12.49</v>
      </c>
      <c r="S953" s="11">
        <f t="shared" si="271"/>
        <v>10.5696625</v>
      </c>
      <c r="T953" s="11">
        <f t="shared" si="272"/>
        <v>0.52041666666666664</v>
      </c>
      <c r="U953" s="11">
        <f>IF(A952=A953,0,VLOOKUP(A953,'Packing Time'!A:F,6,0))</f>
        <v>0.875</v>
      </c>
      <c r="V953" s="11">
        <f t="shared" si="283"/>
        <v>0.29618749999999999</v>
      </c>
      <c r="W953" s="11">
        <f t="shared" si="284"/>
        <v>1.4583333333333334E-2</v>
      </c>
      <c r="X953" s="11">
        <f t="shared" si="273"/>
        <v>13.5823125</v>
      </c>
      <c r="Y953" s="11">
        <f t="shared" si="285"/>
        <v>13.5823125</v>
      </c>
      <c r="Z953" s="37">
        <v>1</v>
      </c>
      <c r="AA953" s="36">
        <f t="shared" si="274"/>
        <v>5.3697308516769953</v>
      </c>
      <c r="AB953" s="36">
        <f t="shared" si="275"/>
        <v>4.1883900643080567</v>
      </c>
      <c r="AC953" s="11">
        <f t="shared" si="276"/>
        <v>0.66875000000000007</v>
      </c>
      <c r="AD953" s="36">
        <f t="shared" si="286"/>
        <v>13.5823125</v>
      </c>
      <c r="AE953" s="36"/>
      <c r="AF953" s="36">
        <f>IFERROR(VLOOKUP(AE953,'Chemical Cost'!A:D,4,0),0)</f>
        <v>0</v>
      </c>
      <c r="AG953" s="114">
        <f t="shared" si="277"/>
        <v>0</v>
      </c>
      <c r="AH953" s="36">
        <f t="shared" si="280"/>
        <v>0</v>
      </c>
      <c r="AI953" s="36">
        <f t="shared" si="287"/>
        <v>17.770702564308056</v>
      </c>
      <c r="AJ953" s="36">
        <f>IFERROR(VLOOKUP(A953,'All Products'!A:F,6,0),0)</f>
        <v>19.36</v>
      </c>
      <c r="AK953" s="36">
        <f>AJ953*Z953*J953</f>
        <v>19.36</v>
      </c>
      <c r="AL953" s="23">
        <v>1</v>
      </c>
      <c r="AM953" s="23"/>
      <c r="AN953" s="54" t="e">
        <v>#N/A</v>
      </c>
      <c r="AO953" s="47"/>
      <c r="AP953" s="4">
        <v>1.25</v>
      </c>
      <c r="AQ953" s="111">
        <f t="shared" si="278"/>
        <v>0.66875000000000007</v>
      </c>
      <c r="AR953" t="str">
        <f>_xlfn.XLOOKUP(F953,'RM Cost'!A:A,'RM Cost'!S:S)</f>
        <v>price</v>
      </c>
      <c r="AS953" t="e">
        <f>_xlfn.XLOOKUP(A953,[3]Sheet1!$B:$B,[3]Sheet1!$B:$B)</f>
        <v>#N/A</v>
      </c>
    </row>
    <row r="954" spans="1:46" x14ac:dyDescent="0.25">
      <c r="A954" s="2" t="s">
        <v>80</v>
      </c>
      <c r="B954" s="2" t="s">
        <v>656</v>
      </c>
      <c r="C954" s="2" t="s">
        <v>81</v>
      </c>
      <c r="D954" s="2" t="s">
        <v>554</v>
      </c>
      <c r="E954" s="2">
        <v>2.5</v>
      </c>
      <c r="F954" s="1" t="str">
        <f>VLOOKUP(H954,'RM Used'!A:B,2,0)</f>
        <v>P0008</v>
      </c>
      <c r="G954" s="1" t="str">
        <f>IFERROR(VLOOKUP(F954,'RM Cost'!A:B,2,0),"")</f>
        <v>PALE BLUE BAG 470X750MM</v>
      </c>
      <c r="H954" s="2" t="s">
        <v>1323</v>
      </c>
      <c r="I954" s="1" t="str">
        <f>VLOOKUP(F954,'RM Used'!B:D,3,0)</f>
        <v>RM-PACKING</v>
      </c>
      <c r="J954" s="66">
        <v>1</v>
      </c>
      <c r="K954" s="35" t="str">
        <f t="shared" si="282"/>
        <v/>
      </c>
      <c r="L954" s="35">
        <f t="shared" si="270"/>
        <v>0</v>
      </c>
      <c r="M954" s="77" t="str" cm="1">
        <f t="array" ref="M954">_xlfn.IFS(BOM!I954="RM-PACKING","100%",B954="Reynolds",VLOOKUP(H954,'Yield &amp; Time'!A:V,22,0),BOM!B954="Dnata",VLOOKUP(BOM!H954,'Yield &amp; Time'!A:M,13,0),B954="NK",VLOOKUP(H954,'Yield &amp; Time'!A:X,24,0))</f>
        <v>100%</v>
      </c>
      <c r="N954" s="35">
        <f t="shared" si="281"/>
        <v>1</v>
      </c>
      <c r="O954" s="1" t="str">
        <f>VLOOKUP(H954,'RM Used'!A:E,5,0)</f>
        <v>Count</v>
      </c>
      <c r="P954" s="11">
        <f>VLOOKUP(H954,'RM Used'!A:F,6,0)</f>
        <v>0.14000000000000001</v>
      </c>
      <c r="Q954" s="11">
        <f t="shared" si="279"/>
        <v>0.14000000000000001</v>
      </c>
      <c r="R954" s="11">
        <f>IFERROR(IF(B954="Reynolds",VLOOKUP(H954,'Yield &amp; Time'!A:U,21,0),VLOOKUP(H954,'Yield &amp; Time'!A:L,12,0)),0)</f>
        <v>0</v>
      </c>
      <c r="S954" s="11">
        <f t="shared" si="271"/>
        <v>0</v>
      </c>
      <c r="T954" s="11">
        <f t="shared" si="272"/>
        <v>0</v>
      </c>
      <c r="U954" s="11">
        <f>IF(A953=A954,0,VLOOKUP(A954,'Packing Time'!A:F,6,0))</f>
        <v>0</v>
      </c>
      <c r="V954" s="11">
        <f t="shared" si="283"/>
        <v>0</v>
      </c>
      <c r="W954" s="11">
        <f t="shared" si="284"/>
        <v>0</v>
      </c>
      <c r="X954" s="11">
        <f t="shared" si="273"/>
        <v>0</v>
      </c>
      <c r="Y954" s="11">
        <f t="shared" si="285"/>
        <v>0</v>
      </c>
      <c r="Z954" s="37">
        <v>1</v>
      </c>
      <c r="AA954" s="36">
        <f t="shared" si="274"/>
        <v>1</v>
      </c>
      <c r="AB954" s="36">
        <f t="shared" si="275"/>
        <v>0.14000000000000001</v>
      </c>
      <c r="AC954" s="11">
        <f t="shared" si="276"/>
        <v>0</v>
      </c>
      <c r="AD954" s="36">
        <f t="shared" si="286"/>
        <v>0</v>
      </c>
      <c r="AE954" s="36"/>
      <c r="AF954" s="36">
        <f>IFERROR(VLOOKUP(AE954,'Chemical Cost'!A:D,4,0),0)</f>
        <v>0</v>
      </c>
      <c r="AG954" s="114">
        <f t="shared" si="277"/>
        <v>0</v>
      </c>
      <c r="AH954" s="36">
        <f t="shared" si="280"/>
        <v>0</v>
      </c>
      <c r="AI954" s="36">
        <f t="shared" si="287"/>
        <v>0.14000000000000001</v>
      </c>
      <c r="AJ954" s="36">
        <f>IFERROR(VLOOKUP(A954,'All Products'!A:F,6,0),0)</f>
        <v>19.36</v>
      </c>
      <c r="AK954" s="36"/>
      <c r="AL954" s="23">
        <v>1</v>
      </c>
      <c r="AM954" s="23"/>
      <c r="AN954" s="54" t="e">
        <v>#N/A</v>
      </c>
      <c r="AO954" s="47"/>
      <c r="AP954" s="4">
        <v>1.25</v>
      </c>
      <c r="AQ954" s="111">
        <f t="shared" si="278"/>
        <v>0</v>
      </c>
      <c r="AR954">
        <f>_xlfn.XLOOKUP(F954,'RM Cost'!A:A,'RM Cost'!S:S)</f>
        <v>0</v>
      </c>
      <c r="AS954" t="e">
        <f>_xlfn.XLOOKUP(A954,[3]Sheet1!$B:$B,[3]Sheet1!$B:$B)</f>
        <v>#N/A</v>
      </c>
    </row>
    <row r="955" spans="1:46" x14ac:dyDescent="0.25">
      <c r="A955" s="2" t="s">
        <v>914</v>
      </c>
      <c r="B955" s="2" t="s">
        <v>656</v>
      </c>
      <c r="C955" s="2" t="s">
        <v>390</v>
      </c>
      <c r="D955" s="2" t="s">
        <v>554</v>
      </c>
      <c r="E955" s="2">
        <v>1</v>
      </c>
      <c r="F955" s="1" t="str">
        <f>VLOOKUP(H955,'RM Used'!A:B,2,0)</f>
        <v>3296CS</v>
      </c>
      <c r="G955" s="1" t="str">
        <f>IFERROR(VLOOKUP(F955,'RM Cost'!A:B,2,0),"")</f>
        <v>RM - PUMPKIN CROWN PRINCE X2.5KG</v>
      </c>
      <c r="H955" s="2" t="s">
        <v>1570</v>
      </c>
      <c r="I955" s="1" t="str">
        <f>VLOOKUP(F955,'RM Used'!B:D,3,0)</f>
        <v>RM-FOOD</v>
      </c>
      <c r="J955" s="66">
        <v>1</v>
      </c>
      <c r="K955" s="35">
        <f t="shared" si="282"/>
        <v>1</v>
      </c>
      <c r="L955" s="35">
        <f t="shared" si="270"/>
        <v>1</v>
      </c>
      <c r="M955" s="77" cm="1">
        <f t="array" ref="M955">_xlfn.IFS(BOM!I955="RM-PACKING","100%",B955="Reynolds",VLOOKUP(H955,'Yield &amp; Time'!A:V,22,0),BOM!B955="Dnata",VLOOKUP(BOM!H955,'Yield &amp; Time'!A:M,13,0),B955="NK",VLOOKUP(H955,'Yield &amp; Time'!A:X,24,0))</f>
        <v>0.5732484076433122</v>
      </c>
      <c r="N955" s="35">
        <f t="shared" si="281"/>
        <v>1.7444444444444442</v>
      </c>
      <c r="O955" s="1" t="str">
        <f>VLOOKUP(H955,'RM Used'!A:E,5,0)</f>
        <v>KG</v>
      </c>
      <c r="P955" s="11">
        <f>VLOOKUP(H955,'RM Used'!A:F,6,0)</f>
        <v>0.78</v>
      </c>
      <c r="Q955" s="11">
        <f t="shared" si="279"/>
        <v>1.3606666666666665</v>
      </c>
      <c r="R955" s="11">
        <f>IFERROR(IF(B955="Reynolds",VLOOKUP(H955,'Yield &amp; Time'!A:U,21,0),VLOOKUP(H955,'Yield &amp; Time'!A:L,12,0)),0)</f>
        <v>5.2</v>
      </c>
      <c r="S955" s="11">
        <f t="shared" si="271"/>
        <v>1.7602</v>
      </c>
      <c r="T955" s="11">
        <f t="shared" si="272"/>
        <v>8.666666666666667E-2</v>
      </c>
      <c r="U955" s="11">
        <f>IF(A954=A955,0,VLOOKUP(A955,'Packing Time'!A:F,6,0))</f>
        <v>0.64166666666666661</v>
      </c>
      <c r="V955" s="11">
        <f t="shared" si="283"/>
        <v>0.21720416666666661</v>
      </c>
      <c r="W955" s="11">
        <f t="shared" si="284"/>
        <v>1.0694444444444444E-2</v>
      </c>
      <c r="X955" s="11">
        <f t="shared" si="273"/>
        <v>3.1638466666666663</v>
      </c>
      <c r="Y955" s="11">
        <f t="shared" si="285"/>
        <v>3.1638466666666663</v>
      </c>
      <c r="Z955" s="37">
        <v>1</v>
      </c>
      <c r="AA955" s="36">
        <f t="shared" si="274"/>
        <v>1.7444444444444442</v>
      </c>
      <c r="AB955" s="36">
        <f t="shared" si="275"/>
        <v>1.3606666666666665</v>
      </c>
      <c r="AC955" s="11">
        <f t="shared" si="276"/>
        <v>0.15577777777777779</v>
      </c>
      <c r="AD955" s="36">
        <f t="shared" si="286"/>
        <v>3.1638466666666667</v>
      </c>
      <c r="AE955" s="36"/>
      <c r="AF955" s="36">
        <f>IFERROR(VLOOKUP(AE955,'Chemical Cost'!A:D,4,0),0)</f>
        <v>0</v>
      </c>
      <c r="AG955" s="114">
        <f t="shared" si="277"/>
        <v>0</v>
      </c>
      <c r="AH955" s="36">
        <f t="shared" si="280"/>
        <v>0</v>
      </c>
      <c r="AI955" s="36">
        <f t="shared" si="287"/>
        <v>4.5245133333333332</v>
      </c>
      <c r="AJ955" s="36">
        <f>IFERROR(VLOOKUP(A955,'All Products'!A:F,6,0),0)</f>
        <v>5.0999999999999996</v>
      </c>
      <c r="AK955" s="36">
        <f>AJ955*Z955*J955</f>
        <v>5.0999999999999996</v>
      </c>
      <c r="AL955" s="29">
        <v>1</v>
      </c>
      <c r="AM955" s="23"/>
      <c r="AN955" s="54" t="e">
        <v>#N/A</v>
      </c>
      <c r="AO955" s="47"/>
      <c r="AP955" s="4">
        <v>1.6</v>
      </c>
      <c r="AQ955" s="111">
        <f t="shared" si="278"/>
        <v>0.15577777777777779</v>
      </c>
      <c r="AR955" t="str">
        <f>_xlfn.XLOOKUP(F955,'RM Cost'!A:A,'RM Cost'!S:S)</f>
        <v>price</v>
      </c>
      <c r="AS955" t="e">
        <f>_xlfn.XLOOKUP(A955,[3]Sheet1!$B:$B,[3]Sheet1!$B:$B)</f>
        <v>#N/A</v>
      </c>
    </row>
    <row r="956" spans="1:46" x14ac:dyDescent="0.25">
      <c r="A956" s="2" t="s">
        <v>914</v>
      </c>
      <c r="B956" s="2" t="s">
        <v>656</v>
      </c>
      <c r="C956" s="2" t="s">
        <v>390</v>
      </c>
      <c r="D956" s="2" t="s">
        <v>554</v>
      </c>
      <c r="E956" s="2">
        <v>1</v>
      </c>
      <c r="F956" s="1" t="str">
        <f>VLOOKUP(H956,'RM Used'!A:B,2,0)</f>
        <v>P0008</v>
      </c>
      <c r="G956" s="1" t="str">
        <f>IFERROR(VLOOKUP(F956,'RM Cost'!A:B,2,0),"")</f>
        <v>PALE BLUE BAG 470X750MM</v>
      </c>
      <c r="H956" s="2" t="s">
        <v>1323</v>
      </c>
      <c r="I956" s="1" t="str">
        <f>VLOOKUP(F956,'RM Used'!B:D,3,0)</f>
        <v>RM-PACKING</v>
      </c>
      <c r="J956" s="66">
        <v>1</v>
      </c>
      <c r="K956" s="35" t="str">
        <f t="shared" si="282"/>
        <v/>
      </c>
      <c r="L956" s="35">
        <f t="shared" si="270"/>
        <v>0</v>
      </c>
      <c r="M956" s="77" t="str" cm="1">
        <f t="array" ref="M956">_xlfn.IFS(BOM!I956="RM-PACKING","100%",B956="Reynolds",VLOOKUP(H956,'Yield &amp; Time'!A:V,22,0),BOM!B956="Dnata",VLOOKUP(BOM!H956,'Yield &amp; Time'!A:M,13,0),B956="NK",VLOOKUP(H956,'Yield &amp; Time'!A:X,24,0))</f>
        <v>100%</v>
      </c>
      <c r="N956" s="35">
        <f t="shared" si="281"/>
        <v>1</v>
      </c>
      <c r="O956" s="1" t="str">
        <f>VLOOKUP(H956,'RM Used'!A:E,5,0)</f>
        <v>Count</v>
      </c>
      <c r="P956" s="11">
        <f>VLOOKUP(H956,'RM Used'!A:F,6,0)</f>
        <v>0.14000000000000001</v>
      </c>
      <c r="Q956" s="11">
        <f t="shared" si="279"/>
        <v>0.14000000000000001</v>
      </c>
      <c r="R956" s="11">
        <f>IFERROR(IF(B956="Reynolds",VLOOKUP(H956,'Yield &amp; Time'!A:U,21,0),VLOOKUP(H956,'Yield &amp; Time'!A:L,12,0)),0)</f>
        <v>0</v>
      </c>
      <c r="S956" s="11">
        <f t="shared" si="271"/>
        <v>0</v>
      </c>
      <c r="T956" s="11">
        <f t="shared" si="272"/>
        <v>0</v>
      </c>
      <c r="U956" s="11">
        <f>IF(A955=A956,0,VLOOKUP(A956,'Packing Time'!A:F,6,0))</f>
        <v>0</v>
      </c>
      <c r="V956" s="11">
        <f t="shared" si="283"/>
        <v>0</v>
      </c>
      <c r="W956" s="11">
        <f t="shared" si="284"/>
        <v>0</v>
      </c>
      <c r="X956" s="11">
        <f t="shared" si="273"/>
        <v>0</v>
      </c>
      <c r="Y956" s="11">
        <f t="shared" si="285"/>
        <v>0</v>
      </c>
      <c r="Z956" s="37">
        <v>1</v>
      </c>
      <c r="AA956" s="36">
        <f t="shared" si="274"/>
        <v>1</v>
      </c>
      <c r="AB956" s="36">
        <f t="shared" si="275"/>
        <v>0.14000000000000001</v>
      </c>
      <c r="AC956" s="11">
        <f t="shared" si="276"/>
        <v>0</v>
      </c>
      <c r="AD956" s="36">
        <f t="shared" si="286"/>
        <v>0</v>
      </c>
      <c r="AE956" s="36"/>
      <c r="AF956" s="36">
        <f>IFERROR(VLOOKUP(AE956,'Chemical Cost'!A:D,4,0),0)</f>
        <v>0</v>
      </c>
      <c r="AG956" s="114">
        <f t="shared" si="277"/>
        <v>0</v>
      </c>
      <c r="AH956" s="36">
        <f t="shared" si="280"/>
        <v>0</v>
      </c>
      <c r="AI956" s="36">
        <f t="shared" si="287"/>
        <v>0.14000000000000001</v>
      </c>
      <c r="AJ956" s="36">
        <f>IFERROR(VLOOKUP(A956,'All Products'!A:F,6,0),0)</f>
        <v>5.0999999999999996</v>
      </c>
      <c r="AK956" s="36"/>
      <c r="AL956" s="29">
        <v>1</v>
      </c>
      <c r="AM956" s="23"/>
      <c r="AN956" s="54" t="e">
        <v>#N/A</v>
      </c>
      <c r="AO956" s="47"/>
      <c r="AP956" s="4">
        <v>1.6</v>
      </c>
      <c r="AQ956" s="111">
        <f t="shared" si="278"/>
        <v>0</v>
      </c>
      <c r="AR956">
        <f>_xlfn.XLOOKUP(F956,'RM Cost'!A:A,'RM Cost'!S:S)</f>
        <v>0</v>
      </c>
      <c r="AS956" t="e">
        <f>_xlfn.XLOOKUP(A956,[3]Sheet1!$B:$B,[3]Sheet1!$B:$B)</f>
        <v>#N/A</v>
      </c>
    </row>
    <row r="957" spans="1:46" x14ac:dyDescent="0.25">
      <c r="A957" s="2" t="s">
        <v>389</v>
      </c>
      <c r="B957" s="2" t="s">
        <v>656</v>
      </c>
      <c r="C957" s="2" t="s">
        <v>390</v>
      </c>
      <c r="D957" s="2" t="s">
        <v>554</v>
      </c>
      <c r="E957" s="2">
        <v>1</v>
      </c>
      <c r="F957" s="1" t="str">
        <f>VLOOKUP(H957,'RM Used'!A:B,2,0)</f>
        <v>3296CS</v>
      </c>
      <c r="G957" s="1" t="str">
        <f>IFERROR(VLOOKUP(F957,'RM Cost'!A:B,2,0),"")</f>
        <v>RM - PUMPKIN CROWN PRINCE X2.5KG</v>
      </c>
      <c r="H957" s="2" t="s">
        <v>1570</v>
      </c>
      <c r="I957" s="1" t="str">
        <f>VLOOKUP(F957,'RM Used'!B:D,3,0)</f>
        <v>RM-FOOD</v>
      </c>
      <c r="J957" s="66">
        <v>1</v>
      </c>
      <c r="K957" s="35">
        <f t="shared" si="282"/>
        <v>1</v>
      </c>
      <c r="L957" s="35">
        <f t="shared" si="270"/>
        <v>1</v>
      </c>
      <c r="M957" s="77" cm="1">
        <f t="array" ref="M957">_xlfn.IFS(BOM!I957="RM-PACKING","100%",B957="Reynolds",VLOOKUP(H957,'Yield &amp; Time'!A:V,22,0),BOM!B957="Dnata",VLOOKUP(BOM!H957,'Yield &amp; Time'!A:M,13,0),B957="NK",VLOOKUP(H957,'Yield &amp; Time'!A:X,24,0))</f>
        <v>0.5732484076433122</v>
      </c>
      <c r="N957" s="35">
        <f t="shared" si="281"/>
        <v>1.7444444444444442</v>
      </c>
      <c r="O957" s="1" t="str">
        <f>VLOOKUP(H957,'RM Used'!A:E,5,0)</f>
        <v>KG</v>
      </c>
      <c r="P957" s="11">
        <f>VLOOKUP(H957,'RM Used'!A:F,6,0)</f>
        <v>0.78</v>
      </c>
      <c r="Q957" s="11">
        <f t="shared" si="279"/>
        <v>1.3606666666666665</v>
      </c>
      <c r="R957" s="11">
        <f>IFERROR(IF(B957="Reynolds",VLOOKUP(H957,'Yield &amp; Time'!A:U,21,0),VLOOKUP(H957,'Yield &amp; Time'!A:L,12,0)),0)</f>
        <v>5.2</v>
      </c>
      <c r="S957" s="11">
        <f t="shared" si="271"/>
        <v>1.7602</v>
      </c>
      <c r="T957" s="11">
        <f t="shared" si="272"/>
        <v>8.666666666666667E-2</v>
      </c>
      <c r="U957" s="11">
        <f>IF(A956=A957,0,VLOOKUP(A957,'Packing Time'!A:F,6,0))</f>
        <v>0.64166666666666661</v>
      </c>
      <c r="V957" s="11">
        <f t="shared" si="283"/>
        <v>0.21720416666666661</v>
      </c>
      <c r="W957" s="11">
        <f t="shared" si="284"/>
        <v>1.0694444444444444E-2</v>
      </c>
      <c r="X957" s="11">
        <f t="shared" si="273"/>
        <v>3.1638466666666663</v>
      </c>
      <c r="Y957" s="11">
        <f t="shared" si="285"/>
        <v>3.1638466666666663</v>
      </c>
      <c r="Z957" s="37">
        <v>1</v>
      </c>
      <c r="AA957" s="36">
        <f t="shared" si="274"/>
        <v>1.7444444444444442</v>
      </c>
      <c r="AB957" s="36">
        <f t="shared" si="275"/>
        <v>1.3606666666666665</v>
      </c>
      <c r="AC957" s="11">
        <f t="shared" si="276"/>
        <v>0.15577777777777779</v>
      </c>
      <c r="AD957" s="36">
        <f t="shared" si="286"/>
        <v>3.1638466666666667</v>
      </c>
      <c r="AE957" s="36"/>
      <c r="AF957" s="36">
        <f>IFERROR(VLOOKUP(AE957,'Chemical Cost'!A:D,4,0),0)</f>
        <v>0</v>
      </c>
      <c r="AG957" s="114">
        <f t="shared" si="277"/>
        <v>0</v>
      </c>
      <c r="AH957" s="36">
        <f t="shared" si="280"/>
        <v>0</v>
      </c>
      <c r="AI957" s="36">
        <f t="shared" si="287"/>
        <v>4.5245133333333332</v>
      </c>
      <c r="AJ957" s="36">
        <f>IFERROR(VLOOKUP(A957,'All Products'!A:F,6,0),0)</f>
        <v>6.34</v>
      </c>
      <c r="AK957" s="36">
        <f>AJ957*Z957*J957</f>
        <v>6.34</v>
      </c>
      <c r="AL957" s="23">
        <v>1</v>
      </c>
      <c r="AM957" s="23"/>
      <c r="AN957" s="54" t="e">
        <v>#N/A</v>
      </c>
      <c r="AO957" s="47"/>
      <c r="AP957" s="4">
        <v>1.6</v>
      </c>
      <c r="AQ957" s="111">
        <f t="shared" si="278"/>
        <v>0.15577777777777779</v>
      </c>
      <c r="AR957" t="str">
        <f>_xlfn.XLOOKUP(F957,'RM Cost'!A:A,'RM Cost'!S:S)</f>
        <v>price</v>
      </c>
      <c r="AS957" t="e">
        <f>_xlfn.XLOOKUP(A957,[3]Sheet1!$B:$B,[3]Sheet1!$B:$B)</f>
        <v>#N/A</v>
      </c>
    </row>
    <row r="958" spans="1:46" x14ac:dyDescent="0.25">
      <c r="A958" s="2" t="s">
        <v>389</v>
      </c>
      <c r="B958" s="2" t="s">
        <v>656</v>
      </c>
      <c r="C958" s="2" t="s">
        <v>390</v>
      </c>
      <c r="D958" s="2" t="s">
        <v>554</v>
      </c>
      <c r="E958" s="2">
        <v>1</v>
      </c>
      <c r="F958" s="1" t="str">
        <f>VLOOKUP(H958,'RM Used'!A:B,2,0)</f>
        <v>P0008</v>
      </c>
      <c r="G958" s="1" t="str">
        <f>IFERROR(VLOOKUP(F958,'RM Cost'!A:B,2,0),"")</f>
        <v>PALE BLUE BAG 470X750MM</v>
      </c>
      <c r="H958" s="2" t="s">
        <v>1323</v>
      </c>
      <c r="I958" s="1" t="str">
        <f>VLOOKUP(F958,'RM Used'!B:D,3,0)</f>
        <v>RM-PACKING</v>
      </c>
      <c r="J958" s="66">
        <v>1</v>
      </c>
      <c r="K958" s="35" t="str">
        <f t="shared" si="282"/>
        <v/>
      </c>
      <c r="L958" s="35">
        <f t="shared" si="270"/>
        <v>0</v>
      </c>
      <c r="M958" s="77" t="str" cm="1">
        <f t="array" ref="M958">_xlfn.IFS(BOM!I958="RM-PACKING","100%",B958="Reynolds",VLOOKUP(H958,'Yield &amp; Time'!A:V,22,0),BOM!B958="Dnata",VLOOKUP(BOM!H958,'Yield &amp; Time'!A:M,13,0),B958="NK",VLOOKUP(H958,'Yield &amp; Time'!A:X,24,0))</f>
        <v>100%</v>
      </c>
      <c r="N958" s="35">
        <f t="shared" si="281"/>
        <v>1</v>
      </c>
      <c r="O958" s="1" t="str">
        <f>VLOOKUP(H958,'RM Used'!A:E,5,0)</f>
        <v>Count</v>
      </c>
      <c r="P958" s="11">
        <f>VLOOKUP(H958,'RM Used'!A:F,6,0)</f>
        <v>0.14000000000000001</v>
      </c>
      <c r="Q958" s="11">
        <f t="shared" si="279"/>
        <v>0.14000000000000001</v>
      </c>
      <c r="R958" s="11">
        <f>IFERROR(IF(B958="Reynolds",VLOOKUP(H958,'Yield &amp; Time'!A:U,21,0),VLOOKUP(H958,'Yield &amp; Time'!A:L,12,0)),0)</f>
        <v>0</v>
      </c>
      <c r="S958" s="11">
        <f t="shared" si="271"/>
        <v>0</v>
      </c>
      <c r="T958" s="11">
        <f t="shared" si="272"/>
        <v>0</v>
      </c>
      <c r="U958" s="11">
        <f>IF(A957=A958,0,VLOOKUP(A958,'Packing Time'!A:F,6,0))</f>
        <v>0</v>
      </c>
      <c r="V958" s="11">
        <f t="shared" si="283"/>
        <v>0</v>
      </c>
      <c r="W958" s="11">
        <f t="shared" si="284"/>
        <v>0</v>
      </c>
      <c r="X958" s="11">
        <f t="shared" si="273"/>
        <v>0</v>
      </c>
      <c r="Y958" s="11">
        <f t="shared" si="285"/>
        <v>0</v>
      </c>
      <c r="Z958" s="37">
        <v>1</v>
      </c>
      <c r="AA958" s="36">
        <f t="shared" si="274"/>
        <v>1</v>
      </c>
      <c r="AB958" s="36">
        <f t="shared" si="275"/>
        <v>0.14000000000000001</v>
      </c>
      <c r="AC958" s="11">
        <f t="shared" si="276"/>
        <v>0</v>
      </c>
      <c r="AD958" s="36">
        <f t="shared" si="286"/>
        <v>0</v>
      </c>
      <c r="AE958" s="36"/>
      <c r="AF958" s="36">
        <f>IFERROR(VLOOKUP(AE958,'Chemical Cost'!A:D,4,0),0)</f>
        <v>0</v>
      </c>
      <c r="AG958" s="114">
        <f t="shared" si="277"/>
        <v>0</v>
      </c>
      <c r="AH958" s="36">
        <f t="shared" si="280"/>
        <v>0</v>
      </c>
      <c r="AI958" s="36">
        <f t="shared" si="287"/>
        <v>0.14000000000000001</v>
      </c>
      <c r="AJ958" s="36">
        <f>IFERROR(VLOOKUP(A958,'All Products'!A:F,6,0),0)</f>
        <v>6.34</v>
      </c>
      <c r="AK958" s="36"/>
      <c r="AL958" s="23">
        <v>1</v>
      </c>
      <c r="AM958" s="23"/>
      <c r="AN958" s="54" t="e">
        <v>#N/A</v>
      </c>
      <c r="AO958" s="47"/>
      <c r="AP958" s="4">
        <v>1.6</v>
      </c>
      <c r="AQ958" s="111">
        <f t="shared" si="278"/>
        <v>0</v>
      </c>
      <c r="AR958">
        <f>_xlfn.XLOOKUP(F958,'RM Cost'!A:A,'RM Cost'!S:S)</f>
        <v>0</v>
      </c>
      <c r="AS958" t="e">
        <f>_xlfn.XLOOKUP(A958,[3]Sheet1!$B:$B,[3]Sheet1!$B:$B)</f>
        <v>#N/A</v>
      </c>
    </row>
    <row r="959" spans="1:46" x14ac:dyDescent="0.25">
      <c r="A959" s="2" t="s">
        <v>915</v>
      </c>
      <c r="B959" s="2" t="s">
        <v>656</v>
      </c>
      <c r="C959" s="2" t="s">
        <v>916</v>
      </c>
      <c r="D959" s="2" t="s">
        <v>554</v>
      </c>
      <c r="E959" s="2">
        <v>2.5</v>
      </c>
      <c r="F959" s="1" t="str">
        <f>VLOOKUP(H959,'RM Used'!A:B,2,0)</f>
        <v>3296CS</v>
      </c>
      <c r="G959" s="1" t="str">
        <f>IFERROR(VLOOKUP(F959,'RM Cost'!A:B,2,0),"")</f>
        <v>RM - PUMPKIN CROWN PRINCE X2.5KG</v>
      </c>
      <c r="H959" s="2" t="s">
        <v>1570</v>
      </c>
      <c r="I959" s="1" t="str">
        <f>VLOOKUP(F959,'RM Used'!B:D,3,0)</f>
        <v>RM-FOOD</v>
      </c>
      <c r="J959" s="66">
        <v>1</v>
      </c>
      <c r="K959" s="35">
        <f t="shared" si="282"/>
        <v>2.5</v>
      </c>
      <c r="L959" s="35">
        <f t="shared" si="270"/>
        <v>2.5</v>
      </c>
      <c r="M959" s="77" cm="1">
        <f t="array" ref="M959">_xlfn.IFS(BOM!I959="RM-PACKING","100%",B959="Reynolds",VLOOKUP(H959,'Yield &amp; Time'!A:V,22,0),BOM!B959="Dnata",VLOOKUP(BOM!H959,'Yield &amp; Time'!A:M,13,0),B959="NK",VLOOKUP(H959,'Yield &amp; Time'!A:X,24,0))</f>
        <v>0.5732484076433122</v>
      </c>
      <c r="N959" s="35">
        <f t="shared" si="281"/>
        <v>4.3611111111111107</v>
      </c>
      <c r="O959" s="1" t="str">
        <f>VLOOKUP(H959,'RM Used'!A:E,5,0)</f>
        <v>KG</v>
      </c>
      <c r="P959" s="11">
        <f>VLOOKUP(H959,'RM Used'!A:F,6,0)</f>
        <v>0.78</v>
      </c>
      <c r="Q959" s="11">
        <f t="shared" si="279"/>
        <v>3.4016666666666664</v>
      </c>
      <c r="R959" s="11">
        <f>IFERROR(IF(B959="Reynolds",VLOOKUP(H959,'Yield &amp; Time'!A:U,21,0),VLOOKUP(H959,'Yield &amp; Time'!A:L,12,0)),0)</f>
        <v>5.2</v>
      </c>
      <c r="S959" s="11">
        <f t="shared" si="271"/>
        <v>4.4004999999999992</v>
      </c>
      <c r="T959" s="11">
        <f t="shared" si="272"/>
        <v>0.21666666666666667</v>
      </c>
      <c r="U959" s="11">
        <f>IF(A958=A959,0,VLOOKUP(A959,'Packing Time'!A:F,6,0))</f>
        <v>0.875</v>
      </c>
      <c r="V959" s="11">
        <f t="shared" si="283"/>
        <v>0.29618749999999999</v>
      </c>
      <c r="W959" s="11">
        <f t="shared" si="284"/>
        <v>1.4583333333333334E-2</v>
      </c>
      <c r="X959" s="11">
        <f t="shared" si="273"/>
        <v>7.5146999999999995</v>
      </c>
      <c r="Y959" s="11">
        <f t="shared" si="285"/>
        <v>7.5146999999999995</v>
      </c>
      <c r="Z959" s="37">
        <v>1</v>
      </c>
      <c r="AA959" s="36">
        <f t="shared" si="274"/>
        <v>4.3611111111111107</v>
      </c>
      <c r="AB959" s="36">
        <f t="shared" si="275"/>
        <v>3.4016666666666664</v>
      </c>
      <c r="AC959" s="11">
        <f t="shared" si="276"/>
        <v>0.37000000000000005</v>
      </c>
      <c r="AD959" s="36">
        <f t="shared" si="286"/>
        <v>7.5147000000000004</v>
      </c>
      <c r="AE959" s="36"/>
      <c r="AF959" s="36">
        <f>IFERROR(VLOOKUP(AE959,'Chemical Cost'!A:D,4,0),0)</f>
        <v>0</v>
      </c>
      <c r="AG959" s="114">
        <f t="shared" si="277"/>
        <v>0</v>
      </c>
      <c r="AH959" s="36">
        <f t="shared" si="280"/>
        <v>0</v>
      </c>
      <c r="AI959" s="36">
        <f t="shared" si="287"/>
        <v>10.916366666666665</v>
      </c>
      <c r="AJ959" s="36">
        <f>IFERROR(VLOOKUP(A959,'All Products'!A:F,6,0),0)</f>
        <v>10.76</v>
      </c>
      <c r="AK959" s="36">
        <f>AJ959*Z959*J959</f>
        <v>10.76</v>
      </c>
      <c r="AL959" s="23">
        <v>1</v>
      </c>
      <c r="AM959" s="23"/>
      <c r="AN959" s="54" t="e">
        <v>#N/A</v>
      </c>
      <c r="AO959" s="47"/>
      <c r="AP959" s="4">
        <v>1.6</v>
      </c>
      <c r="AQ959" s="111">
        <f t="shared" si="278"/>
        <v>0.37000000000000005</v>
      </c>
      <c r="AR959" t="str">
        <f>_xlfn.XLOOKUP(F959,'RM Cost'!A:A,'RM Cost'!S:S)</f>
        <v>price</v>
      </c>
      <c r="AS959" t="e">
        <f>_xlfn.XLOOKUP(A959,[3]Sheet1!$B:$B,[3]Sheet1!$B:$B)</f>
        <v>#N/A</v>
      </c>
    </row>
    <row r="960" spans="1:46" x14ac:dyDescent="0.25">
      <c r="A960" s="2" t="s">
        <v>915</v>
      </c>
      <c r="B960" s="2" t="s">
        <v>656</v>
      </c>
      <c r="C960" s="2" t="s">
        <v>916</v>
      </c>
      <c r="D960" s="2" t="s">
        <v>554</v>
      </c>
      <c r="E960" s="2">
        <v>2.5</v>
      </c>
      <c r="F960" s="1" t="str">
        <f>VLOOKUP(H960,'RM Used'!A:B,2,0)</f>
        <v>P0008</v>
      </c>
      <c r="G960" s="1" t="str">
        <f>IFERROR(VLOOKUP(F960,'RM Cost'!A:B,2,0),"")</f>
        <v>PALE BLUE BAG 470X750MM</v>
      </c>
      <c r="H960" s="2" t="s">
        <v>1323</v>
      </c>
      <c r="I960" s="1" t="str">
        <f>VLOOKUP(F960,'RM Used'!B:D,3,0)</f>
        <v>RM-PACKING</v>
      </c>
      <c r="J960" s="66">
        <v>1</v>
      </c>
      <c r="K960" s="35" t="str">
        <f t="shared" si="282"/>
        <v/>
      </c>
      <c r="L960" s="35">
        <f t="shared" si="270"/>
        <v>0</v>
      </c>
      <c r="M960" s="77" t="str" cm="1">
        <f t="array" ref="M960">_xlfn.IFS(BOM!I960="RM-PACKING","100%",B960="Reynolds",VLOOKUP(H960,'Yield &amp; Time'!A:V,22,0),BOM!B960="Dnata",VLOOKUP(BOM!H960,'Yield &amp; Time'!A:M,13,0),B960="NK",VLOOKUP(H960,'Yield &amp; Time'!A:X,24,0))</f>
        <v>100%</v>
      </c>
      <c r="N960" s="35">
        <f t="shared" si="281"/>
        <v>1</v>
      </c>
      <c r="O960" s="1" t="str">
        <f>VLOOKUP(H960,'RM Used'!A:E,5,0)</f>
        <v>Count</v>
      </c>
      <c r="P960" s="11">
        <f>VLOOKUP(H960,'RM Used'!A:F,6,0)</f>
        <v>0.14000000000000001</v>
      </c>
      <c r="Q960" s="11">
        <f t="shared" si="279"/>
        <v>0.14000000000000001</v>
      </c>
      <c r="R960" s="11">
        <f>IFERROR(IF(B960="Reynolds",VLOOKUP(H960,'Yield &amp; Time'!A:U,21,0),VLOOKUP(H960,'Yield &amp; Time'!A:L,12,0)),0)</f>
        <v>0</v>
      </c>
      <c r="S960" s="11">
        <f t="shared" si="271"/>
        <v>0</v>
      </c>
      <c r="T960" s="11">
        <f t="shared" si="272"/>
        <v>0</v>
      </c>
      <c r="U960" s="11">
        <f>IF(A959=A960,0,VLOOKUP(A960,'Packing Time'!A:F,6,0))</f>
        <v>0</v>
      </c>
      <c r="V960" s="11">
        <f t="shared" si="283"/>
        <v>0</v>
      </c>
      <c r="W960" s="11">
        <f t="shared" si="284"/>
        <v>0</v>
      </c>
      <c r="X960" s="11">
        <f t="shared" si="273"/>
        <v>0</v>
      </c>
      <c r="Y960" s="11">
        <f t="shared" si="285"/>
        <v>0</v>
      </c>
      <c r="Z960" s="37">
        <v>1</v>
      </c>
      <c r="AA960" s="36">
        <f t="shared" si="274"/>
        <v>1</v>
      </c>
      <c r="AB960" s="36">
        <f t="shared" si="275"/>
        <v>0.14000000000000001</v>
      </c>
      <c r="AC960" s="11">
        <f t="shared" si="276"/>
        <v>0</v>
      </c>
      <c r="AD960" s="36">
        <f t="shared" si="286"/>
        <v>0</v>
      </c>
      <c r="AE960" s="36"/>
      <c r="AF960" s="36">
        <f>IFERROR(VLOOKUP(AE960,'Chemical Cost'!A:D,4,0),0)</f>
        <v>0</v>
      </c>
      <c r="AG960" s="114">
        <f t="shared" si="277"/>
        <v>0</v>
      </c>
      <c r="AH960" s="36">
        <f t="shared" si="280"/>
        <v>0</v>
      </c>
      <c r="AI960" s="36">
        <f t="shared" si="287"/>
        <v>0.14000000000000001</v>
      </c>
      <c r="AJ960" s="36">
        <f>IFERROR(VLOOKUP(A960,'All Products'!A:F,6,0),0)</f>
        <v>10.76</v>
      </c>
      <c r="AK960" s="36"/>
      <c r="AL960" s="23">
        <v>1</v>
      </c>
      <c r="AM960" s="23"/>
      <c r="AN960" s="54" t="e">
        <v>#N/A</v>
      </c>
      <c r="AO960" s="47"/>
      <c r="AP960" s="4">
        <v>1.6</v>
      </c>
      <c r="AQ960" s="111">
        <f t="shared" si="278"/>
        <v>0</v>
      </c>
      <c r="AR960">
        <f>_xlfn.XLOOKUP(F960,'RM Cost'!A:A,'RM Cost'!S:S)</f>
        <v>0</v>
      </c>
      <c r="AS960" t="e">
        <f>_xlfn.XLOOKUP(A960,[3]Sheet1!$B:$B,[3]Sheet1!$B:$B)</f>
        <v>#N/A</v>
      </c>
    </row>
    <row r="961" spans="1:46" x14ac:dyDescent="0.25">
      <c r="A961" s="2" t="s">
        <v>917</v>
      </c>
      <c r="B961" s="2" t="s">
        <v>656</v>
      </c>
      <c r="C961" s="2" t="s">
        <v>918</v>
      </c>
      <c r="D961" s="2" t="s">
        <v>554</v>
      </c>
      <c r="E961" s="2">
        <v>1</v>
      </c>
      <c r="F961" s="1" t="str">
        <f>VLOOKUP(H961,'RM Used'!A:B,2,0)</f>
        <v>3611CS</v>
      </c>
      <c r="G961" s="1" t="str">
        <f>IFERROR(VLOOKUP(F961,'RM Cost'!A:B,2,0),"")</f>
        <v>RM - RADISH P/P   20 X 1 PKT</v>
      </c>
      <c r="H961" s="2" t="s">
        <v>1571</v>
      </c>
      <c r="I961" s="1" t="str">
        <f>VLOOKUP(F961,'RM Used'!B:D,3,0)</f>
        <v>RM-FOOD</v>
      </c>
      <c r="J961" s="66">
        <v>1</v>
      </c>
      <c r="K961" s="35">
        <f t="shared" si="282"/>
        <v>1</v>
      </c>
      <c r="L961" s="35">
        <f t="shared" si="270"/>
        <v>1</v>
      </c>
      <c r="M961" s="77" cm="1">
        <f t="array" ref="M961">_xlfn.IFS(BOM!I961="RM-PACKING","100%",B961="Reynolds",VLOOKUP(H961,'Yield &amp; Time'!A:V,22,0),BOM!B961="Dnata",VLOOKUP(BOM!H961,'Yield &amp; Time'!A:M,13,0),B961="NK",VLOOKUP(H961,'Yield &amp; Time'!A:X,24,0))</f>
        <v>0.91792314564082544</v>
      </c>
      <c r="N961" s="35">
        <f t="shared" si="281"/>
        <v>1.0894158239161456</v>
      </c>
      <c r="O961" s="1" t="str">
        <f>VLOOKUP(H961,'RM Used'!A:E,5,0)</f>
        <v>KG</v>
      </c>
      <c r="P961" s="11">
        <f>VLOOKUP(H961,'RM Used'!A:F,6,0)</f>
        <v>2.0799999999999996</v>
      </c>
      <c r="Q961" s="11">
        <f t="shared" si="279"/>
        <v>2.2659849137455823</v>
      </c>
      <c r="R961" s="11">
        <f>IFERROR(IF(B961="Reynolds",VLOOKUP(H961,'Yield &amp; Time'!A:U,21,0),VLOOKUP(H961,'Yield &amp; Time'!A:L,12,0)),0)</f>
        <v>6.0835509990858023</v>
      </c>
      <c r="S961" s="11">
        <f t="shared" si="271"/>
        <v>2.0592820131905438</v>
      </c>
      <c r="T961" s="11">
        <f t="shared" si="272"/>
        <v>0.10139251665143004</v>
      </c>
      <c r="U961" s="11">
        <f>IF(A960=A961,0,VLOOKUP(A961,'Packing Time'!A:F,6,0))</f>
        <v>0.64166666666666661</v>
      </c>
      <c r="V961" s="11">
        <f t="shared" si="283"/>
        <v>0.21720416666666661</v>
      </c>
      <c r="W961" s="11">
        <f t="shared" si="284"/>
        <v>1.0694444444444444E-2</v>
      </c>
      <c r="X961" s="11">
        <f t="shared" si="273"/>
        <v>3.6423778877715374</v>
      </c>
      <c r="Y961" s="11">
        <f t="shared" si="285"/>
        <v>3.6423778877715374</v>
      </c>
      <c r="Z961" s="37">
        <v>1</v>
      </c>
      <c r="AA961" s="36">
        <f t="shared" si="274"/>
        <v>1.0894158239161456</v>
      </c>
      <c r="AB961" s="36">
        <f t="shared" si="275"/>
        <v>2.2659849137455823</v>
      </c>
      <c r="AC961" s="11">
        <f t="shared" si="276"/>
        <v>0.17933913775339919</v>
      </c>
      <c r="AD961" s="36">
        <f t="shared" si="286"/>
        <v>3.6423778877715374</v>
      </c>
      <c r="AE961" s="36" t="str">
        <f>VLOOKUP(H961,'Yield &amp; Time'!A:I,9,0)</f>
        <v>CHLORINE</v>
      </c>
      <c r="AF961" s="36">
        <f>IFERROR(VLOOKUP(AE961,'Chemical Cost'!A:D,4,0),0)</f>
        <v>2.7756518066439469E-2</v>
      </c>
      <c r="AG961" s="114">
        <f t="shared" si="277"/>
        <v>1.0079463332797845E-2</v>
      </c>
      <c r="AH961" s="36">
        <f t="shared" si="280"/>
        <v>1.0079463332797845E-2</v>
      </c>
      <c r="AI961" s="36">
        <f t="shared" si="287"/>
        <v>5.9184422648499178</v>
      </c>
      <c r="AJ961" s="36">
        <f>IFERROR(VLOOKUP(A961,'All Products'!A:F,6,0),0)</f>
        <v>6.84</v>
      </c>
      <c r="AK961" s="36">
        <f>AJ961*Z961*J961</f>
        <v>6.84</v>
      </c>
      <c r="AL961" s="23">
        <v>0.8</v>
      </c>
      <c r="AM961" s="23">
        <v>0.2</v>
      </c>
      <c r="AN961" s="54" t="e">
        <v>#N/A</v>
      </c>
      <c r="AO961" s="47"/>
      <c r="AP961" s="4">
        <v>1.6</v>
      </c>
      <c r="AQ961" s="111">
        <f t="shared" si="278"/>
        <v>0.17933913775339919</v>
      </c>
      <c r="AR961">
        <f>_xlfn.XLOOKUP(F961,'RM Cost'!A:A,'RM Cost'!S:S)</f>
        <v>0</v>
      </c>
      <c r="AS961" t="str">
        <f>_xlfn.XLOOKUP(A961,[3]Sheet1!$B:$B,[3]Sheet1!$B:$B)</f>
        <v>Z200CS</v>
      </c>
      <c r="AT961">
        <f>_xlfn.XLOOKUP(H961,'Yield &amp; Time'!A:A,'Yield &amp; Time'!F:F)</f>
        <v>0</v>
      </c>
    </row>
    <row r="962" spans="1:46" x14ac:dyDescent="0.25">
      <c r="A962" s="2" t="s">
        <v>917</v>
      </c>
      <c r="B962" s="2" t="s">
        <v>656</v>
      </c>
      <c r="C962" s="2" t="s">
        <v>918</v>
      </c>
      <c r="D962" s="2" t="s">
        <v>554</v>
      </c>
      <c r="E962" s="2">
        <v>1</v>
      </c>
      <c r="F962" s="1" t="str">
        <f>VLOOKUP(H962,'RM Used'!A:B,2,0)</f>
        <v>P0008</v>
      </c>
      <c r="G962" s="1" t="str">
        <f>IFERROR(VLOOKUP(F962,'RM Cost'!A:B,2,0),"")</f>
        <v>PALE BLUE BAG 470X750MM</v>
      </c>
      <c r="H962" s="2" t="s">
        <v>1323</v>
      </c>
      <c r="I962" s="1" t="str">
        <f>VLOOKUP(F962,'RM Used'!B:D,3,0)</f>
        <v>RM-PACKING</v>
      </c>
      <c r="J962" s="66">
        <v>1</v>
      </c>
      <c r="K962" s="35" t="str">
        <f t="shared" si="282"/>
        <v/>
      </c>
      <c r="L962" s="35">
        <f t="shared" ref="L962:L1025" si="288">IFERROR(K962*Z962,0)</f>
        <v>0</v>
      </c>
      <c r="M962" s="77" t="str" cm="1">
        <f t="array" ref="M962">_xlfn.IFS(BOM!I962="RM-PACKING","100%",B962="Reynolds",VLOOKUP(H962,'Yield &amp; Time'!A:V,22,0),BOM!B962="Dnata",VLOOKUP(BOM!H962,'Yield &amp; Time'!A:M,13,0),B962="NK",VLOOKUP(H962,'Yield &amp; Time'!A:X,24,0))</f>
        <v>100%</v>
      </c>
      <c r="N962" s="35">
        <f t="shared" si="281"/>
        <v>1</v>
      </c>
      <c r="O962" s="1" t="str">
        <f>VLOOKUP(H962,'RM Used'!A:E,5,0)</f>
        <v>Count</v>
      </c>
      <c r="P962" s="11">
        <f>VLOOKUP(H962,'RM Used'!A:F,6,0)</f>
        <v>0.14000000000000001</v>
      </c>
      <c r="Q962" s="11">
        <f t="shared" si="279"/>
        <v>0.14000000000000001</v>
      </c>
      <c r="R962" s="11">
        <f>IFERROR(IF(B962="Reynolds",VLOOKUP(H962,'Yield &amp; Time'!A:U,21,0),VLOOKUP(H962,'Yield &amp; Time'!A:L,12,0)),0)</f>
        <v>0</v>
      </c>
      <c r="S962" s="11">
        <f t="shared" ref="S962:S1025" si="289">R962*J962*E962*AO$1</f>
        <v>0</v>
      </c>
      <c r="T962" s="11">
        <f t="shared" ref="T962:T1025" si="290">(R962*Z962*J962*E962)/60</f>
        <v>0</v>
      </c>
      <c r="U962" s="11">
        <f>IF(A961=A962,0,VLOOKUP(A962,'Packing Time'!A:F,6,0))</f>
        <v>0</v>
      </c>
      <c r="V962" s="11">
        <f t="shared" si="283"/>
        <v>0</v>
      </c>
      <c r="W962" s="11">
        <f t="shared" si="284"/>
        <v>0</v>
      </c>
      <c r="X962" s="11">
        <f t="shared" ref="X962:X1025" si="291">((R962*J962*E962)+U962)*AO$1*AP962</f>
        <v>0</v>
      </c>
      <c r="Y962" s="11">
        <f t="shared" si="285"/>
        <v>0</v>
      </c>
      <c r="Z962" s="37">
        <v>1</v>
      </c>
      <c r="AA962" s="36">
        <f t="shared" ref="AA962:AA1025" si="292">Z962*N962</f>
        <v>1</v>
      </c>
      <c r="AB962" s="36">
        <f t="shared" ref="AB962:AB1025" si="293">AA962*P962</f>
        <v>0.14000000000000001</v>
      </c>
      <c r="AC962" s="11">
        <f t="shared" ref="AC962:AC1025" si="294">(((R962*J962*E962)+U962)/60)*Z962*AP962</f>
        <v>0</v>
      </c>
      <c r="AD962" s="36">
        <f t="shared" si="286"/>
        <v>0</v>
      </c>
      <c r="AE962" s="36"/>
      <c r="AF962" s="36">
        <f>IFERROR(VLOOKUP(AE962,'Chemical Cost'!A:D,4,0),0)</f>
        <v>0</v>
      </c>
      <c r="AG962" s="114">
        <f t="shared" ref="AG962:AG1025" si="295">AF962*N962/3</f>
        <v>0</v>
      </c>
      <c r="AH962" s="36">
        <f t="shared" si="280"/>
        <v>0</v>
      </c>
      <c r="AI962" s="36">
        <f t="shared" si="287"/>
        <v>0.14000000000000001</v>
      </c>
      <c r="AJ962" s="36">
        <f>IFERROR(VLOOKUP(A962,'All Products'!A:F,6,0),0)</f>
        <v>6.84</v>
      </c>
      <c r="AK962" s="36"/>
      <c r="AL962" s="23">
        <v>0.8</v>
      </c>
      <c r="AM962" s="23">
        <v>0.2</v>
      </c>
      <c r="AN962" s="54" t="e">
        <v>#N/A</v>
      </c>
      <c r="AO962" s="47"/>
      <c r="AP962" s="4">
        <v>1.6</v>
      </c>
      <c r="AQ962" s="111">
        <f t="shared" ref="AQ962:AQ1025" si="296">(((R962*J962*E962)+U962)/60)*AP962</f>
        <v>0</v>
      </c>
      <c r="AR962">
        <f>_xlfn.XLOOKUP(F962,'RM Cost'!A:A,'RM Cost'!S:S)</f>
        <v>0</v>
      </c>
      <c r="AS962" t="str">
        <f>_xlfn.XLOOKUP(A962,[3]Sheet1!$B:$B,[3]Sheet1!$B:$B)</f>
        <v>Z200CS</v>
      </c>
      <c r="AT962" t="e">
        <f>_xlfn.XLOOKUP(H962,'Yield &amp; Time'!A:A,'Yield &amp; Time'!F:F)</f>
        <v>#N/A</v>
      </c>
    </row>
    <row r="963" spans="1:46" x14ac:dyDescent="0.25">
      <c r="A963" s="2" t="s">
        <v>78</v>
      </c>
      <c r="B963" s="2" t="s">
        <v>656</v>
      </c>
      <c r="C963" s="2" t="s">
        <v>79</v>
      </c>
      <c r="D963" s="2" t="s">
        <v>554</v>
      </c>
      <c r="E963" s="2">
        <v>2.5</v>
      </c>
      <c r="F963" s="1" t="str">
        <f>VLOOKUP(H963,'RM Used'!A:B,2,0)</f>
        <v>3611CS</v>
      </c>
      <c r="G963" s="1" t="str">
        <f>IFERROR(VLOOKUP(F963,'RM Cost'!A:B,2,0),"")</f>
        <v>RM - RADISH P/P   20 X 1 PKT</v>
      </c>
      <c r="H963" s="2" t="s">
        <v>1571</v>
      </c>
      <c r="I963" s="1" t="str">
        <f>VLOOKUP(F963,'RM Used'!B:D,3,0)</f>
        <v>RM-FOOD</v>
      </c>
      <c r="J963" s="66">
        <v>1</v>
      </c>
      <c r="K963" s="35">
        <f t="shared" si="282"/>
        <v>2.5</v>
      </c>
      <c r="L963" s="35">
        <f t="shared" si="288"/>
        <v>2.5</v>
      </c>
      <c r="M963" s="77" cm="1">
        <f t="array" ref="M963">_xlfn.IFS(BOM!I963="RM-PACKING","100%",B963="Reynolds",VLOOKUP(H963,'Yield &amp; Time'!A:V,22,0),BOM!B963="Dnata",VLOOKUP(BOM!H963,'Yield &amp; Time'!A:M,13,0),B963="NK",VLOOKUP(H963,'Yield &amp; Time'!A:X,24,0))</f>
        <v>0.91792314564082544</v>
      </c>
      <c r="N963" s="35">
        <f t="shared" si="281"/>
        <v>2.723539559790364</v>
      </c>
      <c r="O963" s="1" t="str">
        <f>VLOOKUP(H963,'RM Used'!A:E,5,0)</f>
        <v>KG</v>
      </c>
      <c r="P963" s="11">
        <f>VLOOKUP(H963,'RM Used'!A:F,6,0)</f>
        <v>2.0799999999999996</v>
      </c>
      <c r="Q963" s="11">
        <f t="shared" ref="Q963:Q1026" si="297">P963*N963</f>
        <v>5.6649622843639564</v>
      </c>
      <c r="R963" s="11">
        <f>IFERROR(IF(B963="Reynolds",VLOOKUP(H963,'Yield &amp; Time'!A:U,21,0),VLOOKUP(H963,'Yield &amp; Time'!A:L,12,0)),0)</f>
        <v>6.0835509990858023</v>
      </c>
      <c r="S963" s="11">
        <f t="shared" si="289"/>
        <v>5.1482050329763593</v>
      </c>
      <c r="T963" s="11">
        <f t="shared" si="290"/>
        <v>0.25348129162857508</v>
      </c>
      <c r="U963" s="11">
        <f>IF(A962=A963,0,VLOOKUP(A963,'Packing Time'!A:F,6,0))</f>
        <v>0.875</v>
      </c>
      <c r="V963" s="11">
        <f t="shared" si="283"/>
        <v>0.29618749999999999</v>
      </c>
      <c r="W963" s="11">
        <f t="shared" si="284"/>
        <v>1.4583333333333334E-2</v>
      </c>
      <c r="X963" s="11">
        <f t="shared" si="291"/>
        <v>7.6221495461669013</v>
      </c>
      <c r="Y963" s="11">
        <f t="shared" si="285"/>
        <v>7.6221495461669013</v>
      </c>
      <c r="Z963" s="37">
        <v>1</v>
      </c>
      <c r="AA963" s="36">
        <f t="shared" si="292"/>
        <v>2.723539559790364</v>
      </c>
      <c r="AB963" s="36">
        <f t="shared" si="293"/>
        <v>5.6649622843639564</v>
      </c>
      <c r="AC963" s="11">
        <f t="shared" si="294"/>
        <v>0.37529047494667178</v>
      </c>
      <c r="AD963" s="36">
        <f t="shared" si="286"/>
        <v>7.6221495461669031</v>
      </c>
      <c r="AE963" s="36" t="str">
        <f>VLOOKUP(H963,'Yield &amp; Time'!A:I,9,0)</f>
        <v>CHLORINE</v>
      </c>
      <c r="AF963" s="36">
        <f>IFERROR(VLOOKUP(AE963,'Chemical Cost'!A:D,4,0),0)</f>
        <v>2.7756518066439469E-2</v>
      </c>
      <c r="AG963" s="114">
        <f t="shared" si="295"/>
        <v>2.5198658331994611E-2</v>
      </c>
      <c r="AH963" s="36">
        <f t="shared" si="280"/>
        <v>2.5198658331994611E-2</v>
      </c>
      <c r="AI963" s="36">
        <f t="shared" si="287"/>
        <v>13.312310488862853</v>
      </c>
      <c r="AJ963" s="36">
        <f>IFERROR(VLOOKUP(A963,'All Products'!A:F,6,0),0)</f>
        <v>17.09</v>
      </c>
      <c r="AK963" s="36">
        <f>AJ963*Z963*J963</f>
        <v>17.09</v>
      </c>
      <c r="AL963" s="23">
        <v>0.8</v>
      </c>
      <c r="AM963" s="23">
        <v>0.2</v>
      </c>
      <c r="AN963" s="54" t="e">
        <v>#N/A</v>
      </c>
      <c r="AO963" s="47"/>
      <c r="AP963" s="4">
        <v>1.4</v>
      </c>
      <c r="AQ963" s="111">
        <f t="shared" si="296"/>
        <v>0.37529047494667178</v>
      </c>
      <c r="AR963">
        <f>_xlfn.XLOOKUP(F963,'RM Cost'!A:A,'RM Cost'!S:S)</f>
        <v>0</v>
      </c>
      <c r="AS963" t="str">
        <f>_xlfn.XLOOKUP(A963,[3]Sheet1!$B:$B,[3]Sheet1!$B:$B)</f>
        <v>Z199CS</v>
      </c>
      <c r="AT963">
        <f>_xlfn.XLOOKUP(H963,'Yield &amp; Time'!A:A,'Yield &amp; Time'!F:F)</f>
        <v>0</v>
      </c>
    </row>
    <row r="964" spans="1:46" x14ac:dyDescent="0.25">
      <c r="A964" s="2" t="s">
        <v>78</v>
      </c>
      <c r="B964" s="2" t="s">
        <v>656</v>
      </c>
      <c r="C964" s="2" t="s">
        <v>79</v>
      </c>
      <c r="D964" s="2" t="s">
        <v>554</v>
      </c>
      <c r="E964" s="2">
        <v>2.5</v>
      </c>
      <c r="F964" s="1" t="str">
        <f>VLOOKUP(H964,'RM Used'!A:B,2,0)</f>
        <v>P0008</v>
      </c>
      <c r="G964" s="1" t="str">
        <f>IFERROR(VLOOKUP(F964,'RM Cost'!A:B,2,0),"")</f>
        <v>PALE BLUE BAG 470X750MM</v>
      </c>
      <c r="H964" s="2" t="s">
        <v>1323</v>
      </c>
      <c r="I964" s="1" t="str">
        <f>VLOOKUP(F964,'RM Used'!B:D,3,0)</f>
        <v>RM-PACKING</v>
      </c>
      <c r="J964" s="66">
        <v>1</v>
      </c>
      <c r="K964" s="35" t="str">
        <f t="shared" si="282"/>
        <v/>
      </c>
      <c r="L964" s="35">
        <f t="shared" si="288"/>
        <v>0</v>
      </c>
      <c r="M964" s="77" t="str" cm="1">
        <f t="array" ref="M964">_xlfn.IFS(BOM!I964="RM-PACKING","100%",B964="Reynolds",VLOOKUP(H964,'Yield &amp; Time'!A:V,22,0),BOM!B964="Dnata",VLOOKUP(BOM!H964,'Yield &amp; Time'!A:M,13,0),B964="NK",VLOOKUP(H964,'Yield &amp; Time'!A:X,24,0))</f>
        <v>100%</v>
      </c>
      <c r="N964" s="35">
        <f t="shared" si="281"/>
        <v>1</v>
      </c>
      <c r="O964" s="1" t="str">
        <f>VLOOKUP(H964,'RM Used'!A:E,5,0)</f>
        <v>Count</v>
      </c>
      <c r="P964" s="11">
        <f>VLOOKUP(H964,'RM Used'!A:F,6,0)</f>
        <v>0.14000000000000001</v>
      </c>
      <c r="Q964" s="11">
        <f t="shared" si="297"/>
        <v>0.14000000000000001</v>
      </c>
      <c r="R964" s="11">
        <f>IFERROR(IF(B964="Reynolds",VLOOKUP(H964,'Yield &amp; Time'!A:U,21,0),VLOOKUP(H964,'Yield &amp; Time'!A:L,12,0)),0)</f>
        <v>0</v>
      </c>
      <c r="S964" s="11">
        <f t="shared" si="289"/>
        <v>0</v>
      </c>
      <c r="T964" s="11">
        <f t="shared" si="290"/>
        <v>0</v>
      </c>
      <c r="U964" s="11">
        <f>IF(A963=A964,0,VLOOKUP(A964,'Packing Time'!A:F,6,0))</f>
        <v>0</v>
      </c>
      <c r="V964" s="11">
        <f t="shared" si="283"/>
        <v>0</v>
      </c>
      <c r="W964" s="11">
        <f t="shared" si="284"/>
        <v>0</v>
      </c>
      <c r="X964" s="11">
        <f t="shared" si="291"/>
        <v>0</v>
      </c>
      <c r="Y964" s="11">
        <f t="shared" si="285"/>
        <v>0</v>
      </c>
      <c r="Z964" s="37">
        <v>1</v>
      </c>
      <c r="AA964" s="36">
        <f t="shared" si="292"/>
        <v>1</v>
      </c>
      <c r="AB964" s="36">
        <f t="shared" si="293"/>
        <v>0.14000000000000001</v>
      </c>
      <c r="AC964" s="11">
        <f t="shared" si="294"/>
        <v>0</v>
      </c>
      <c r="AD964" s="36">
        <f t="shared" si="286"/>
        <v>0</v>
      </c>
      <c r="AE964" s="36"/>
      <c r="AF964" s="36">
        <f>IFERROR(VLOOKUP(AE964,'Chemical Cost'!A:D,4,0),0)</f>
        <v>0</v>
      </c>
      <c r="AG964" s="114">
        <f t="shared" si="295"/>
        <v>0</v>
      </c>
      <c r="AH964" s="36">
        <f t="shared" si="280"/>
        <v>0</v>
      </c>
      <c r="AI964" s="36">
        <f t="shared" si="287"/>
        <v>0.14000000000000001</v>
      </c>
      <c r="AJ964" s="36">
        <f>IFERROR(VLOOKUP(A964,'All Products'!A:F,6,0),0)</f>
        <v>17.09</v>
      </c>
      <c r="AK964" s="36"/>
      <c r="AL964" s="23">
        <v>0.8</v>
      </c>
      <c r="AM964" s="23">
        <v>0.2</v>
      </c>
      <c r="AN964" s="54" t="e">
        <v>#N/A</v>
      </c>
      <c r="AO964" s="47"/>
      <c r="AP964" s="4">
        <v>1.4</v>
      </c>
      <c r="AQ964" s="111">
        <f t="shared" si="296"/>
        <v>0</v>
      </c>
      <c r="AR964">
        <f>_xlfn.XLOOKUP(F964,'RM Cost'!A:A,'RM Cost'!S:S)</f>
        <v>0</v>
      </c>
      <c r="AS964" t="str">
        <f>_xlfn.XLOOKUP(A964,[3]Sheet1!$B:$B,[3]Sheet1!$B:$B)</f>
        <v>Z199CS</v>
      </c>
      <c r="AT964" t="e">
        <f>_xlfn.XLOOKUP(H964,'Yield &amp; Time'!A:A,'Yield &amp; Time'!F:F)</f>
        <v>#N/A</v>
      </c>
    </row>
    <row r="965" spans="1:46" x14ac:dyDescent="0.25">
      <c r="A965" s="2" t="s">
        <v>72</v>
      </c>
      <c r="B965" s="2" t="s">
        <v>656</v>
      </c>
      <c r="C965" s="2" t="s">
        <v>73</v>
      </c>
      <c r="D965" s="2" t="s">
        <v>554</v>
      </c>
      <c r="E965" s="2">
        <v>1</v>
      </c>
      <c r="F965" s="1" t="str">
        <f>VLOOKUP(H965,'RM Used'!A:B,2,0)</f>
        <v>1318CS</v>
      </c>
      <c r="G965" s="1" t="str">
        <f>IFERROR(VLOOKUP(F965,'RM Cost'!A:B,2,0),"")</f>
        <v>RM - PREP ONION RED WHOLE 2.5KG</v>
      </c>
      <c r="H965" s="2" t="s">
        <v>1572</v>
      </c>
      <c r="I965" s="1" t="str">
        <f>VLOOKUP(F965,'RM Used'!B:D,3,0)</f>
        <v>RM-FOOD</v>
      </c>
      <c r="J965" s="66">
        <v>1</v>
      </c>
      <c r="K965" s="35">
        <f t="shared" si="282"/>
        <v>1</v>
      </c>
      <c r="L965" s="35">
        <f t="shared" si="288"/>
        <v>1</v>
      </c>
      <c r="M965" s="77" cm="1">
        <f t="array" ref="M965">_xlfn.IFS(BOM!I965="RM-PACKING","100%",B965="Reynolds",VLOOKUP(H965,'Yield &amp; Time'!A:V,22,0),BOM!B965="Dnata",VLOOKUP(BOM!H965,'Yield &amp; Time'!A:M,13,0),B965="NK",VLOOKUP(H965,'Yield &amp; Time'!A:X,24,0))</f>
        <v>0.82335178661298436</v>
      </c>
      <c r="N965" s="35">
        <f t="shared" si="281"/>
        <v>1.2145476772616137</v>
      </c>
      <c r="O965" s="1" t="str">
        <f>VLOOKUP(H965,'RM Used'!A:E,5,0)</f>
        <v>KG</v>
      </c>
      <c r="P965" s="11">
        <f>VLOOKUP(H965,'RM Used'!A:F,6,0)</f>
        <v>1.08</v>
      </c>
      <c r="Q965" s="11">
        <f t="shared" si="297"/>
        <v>1.311711491442543</v>
      </c>
      <c r="R965" s="11">
        <f>IFERROR(IF(B965="Reynolds",VLOOKUP(H965,'Yield &amp; Time'!A:U,21,0),VLOOKUP(H965,'Yield &amp; Time'!A:L,12,0)),0)</f>
        <v>0.6</v>
      </c>
      <c r="S965" s="11">
        <f t="shared" si="289"/>
        <v>0.20309999999999997</v>
      </c>
      <c r="T965" s="11">
        <f t="shared" si="290"/>
        <v>0.01</v>
      </c>
      <c r="U965" s="11">
        <f>IF(A964=A965,0,VLOOKUP(A965,'Packing Time'!A:F,6,0))</f>
        <v>0.64166666666666661</v>
      </c>
      <c r="V965" s="11">
        <f t="shared" si="283"/>
        <v>0.21720416666666661</v>
      </c>
      <c r="W965" s="11">
        <f t="shared" si="284"/>
        <v>1.0694444444444444E-2</v>
      </c>
      <c r="X965" s="11">
        <f t="shared" si="291"/>
        <v>0.58842583333333331</v>
      </c>
      <c r="Y965" s="11">
        <f t="shared" si="285"/>
        <v>0.58842583333333331</v>
      </c>
      <c r="Z965" s="37">
        <v>1</v>
      </c>
      <c r="AA965" s="36">
        <f t="shared" si="292"/>
        <v>1.2145476772616137</v>
      </c>
      <c r="AB965" s="36">
        <f t="shared" si="293"/>
        <v>1.311711491442543</v>
      </c>
      <c r="AC965" s="11">
        <f t="shared" si="294"/>
        <v>2.8972222222222222E-2</v>
      </c>
      <c r="AD965" s="36">
        <f t="shared" si="286"/>
        <v>0.58842583333333331</v>
      </c>
      <c r="AE965" s="36" t="str">
        <f>VLOOKUP(H965,'Yield &amp; Time'!A:I,9,0)</f>
        <v>CHLORINE</v>
      </c>
      <c r="AF965" s="36">
        <f>IFERROR(VLOOKUP(AE965,'Chemical Cost'!A:D,4,0),0)</f>
        <v>2.7756518066439469E-2</v>
      </c>
      <c r="AG965" s="114">
        <f t="shared" si="295"/>
        <v>1.1237204848821359E-2</v>
      </c>
      <c r="AH965" s="36">
        <f t="shared" si="280"/>
        <v>1.1237204848821359E-2</v>
      </c>
      <c r="AI965" s="36">
        <f t="shared" si="287"/>
        <v>1.9113745296246978</v>
      </c>
      <c r="AJ965" s="36">
        <f>IFERROR(VLOOKUP(A965,'All Products'!A:F,6,0),0)</f>
        <v>2.2799999999999998</v>
      </c>
      <c r="AK965" s="36">
        <f>AJ965*Z965*J965</f>
        <v>2.2799999999999998</v>
      </c>
      <c r="AL965" s="23">
        <v>0.8</v>
      </c>
      <c r="AM965" s="23">
        <v>0.2</v>
      </c>
      <c r="AN965" s="54" t="e">
        <v>#N/A</v>
      </c>
      <c r="AO965" s="47"/>
      <c r="AP965" s="4">
        <v>1.4</v>
      </c>
      <c r="AQ965" s="111">
        <f t="shared" si="296"/>
        <v>2.8972222222222222E-2</v>
      </c>
      <c r="AR965">
        <f>_xlfn.XLOOKUP(F965,'RM Cost'!A:A,'RM Cost'!S:S)</f>
        <v>0</v>
      </c>
      <c r="AS965" t="str">
        <f>_xlfn.XLOOKUP(A965,[3]Sheet1!$B:$B,[3]Sheet1!$B:$B)</f>
        <v>Z076CS</v>
      </c>
      <c r="AT965">
        <f>_xlfn.XLOOKUP(H965,'Yield &amp; Time'!A:A,'Yield &amp; Time'!F:F)</f>
        <v>0</v>
      </c>
    </row>
    <row r="966" spans="1:46" x14ac:dyDescent="0.25">
      <c r="A966" s="2" t="s">
        <v>72</v>
      </c>
      <c r="B966" s="2" t="s">
        <v>656</v>
      </c>
      <c r="C966" s="2" t="s">
        <v>73</v>
      </c>
      <c r="D966" s="2" t="s">
        <v>554</v>
      </c>
      <c r="E966" s="2">
        <v>1</v>
      </c>
      <c r="F966" s="1" t="str">
        <f>VLOOKUP(H966,'RM Used'!A:B,2,0)</f>
        <v>P0008</v>
      </c>
      <c r="G966" s="1" t="str">
        <f>IFERROR(VLOOKUP(F966,'RM Cost'!A:B,2,0),"")</f>
        <v>PALE BLUE BAG 470X750MM</v>
      </c>
      <c r="H966" s="2" t="s">
        <v>1323</v>
      </c>
      <c r="I966" s="1" t="str">
        <f>VLOOKUP(F966,'RM Used'!B:D,3,0)</f>
        <v>RM-PACKING</v>
      </c>
      <c r="J966" s="66">
        <v>1</v>
      </c>
      <c r="K966" s="35" t="str">
        <f t="shared" si="282"/>
        <v/>
      </c>
      <c r="L966" s="35">
        <f t="shared" si="288"/>
        <v>0</v>
      </c>
      <c r="M966" s="77" t="str" cm="1">
        <f t="array" ref="M966">_xlfn.IFS(BOM!I966="RM-PACKING","100%",B966="Reynolds",VLOOKUP(H966,'Yield &amp; Time'!A:V,22,0),BOM!B966="Dnata",VLOOKUP(BOM!H966,'Yield &amp; Time'!A:M,13,0),B966="NK",VLOOKUP(H966,'Yield &amp; Time'!A:X,24,0))</f>
        <v>100%</v>
      </c>
      <c r="N966" s="35">
        <f t="shared" si="281"/>
        <v>1</v>
      </c>
      <c r="O966" s="1" t="str">
        <f>VLOOKUP(H966,'RM Used'!A:E,5,0)</f>
        <v>Count</v>
      </c>
      <c r="P966" s="11">
        <f>VLOOKUP(H966,'RM Used'!A:F,6,0)</f>
        <v>0.14000000000000001</v>
      </c>
      <c r="Q966" s="11">
        <f t="shared" si="297"/>
        <v>0.14000000000000001</v>
      </c>
      <c r="R966" s="11">
        <f>IFERROR(IF(B966="Reynolds",VLOOKUP(H966,'Yield &amp; Time'!A:U,21,0),VLOOKUP(H966,'Yield &amp; Time'!A:L,12,0)),0)</f>
        <v>0</v>
      </c>
      <c r="S966" s="11">
        <f t="shared" si="289"/>
        <v>0</v>
      </c>
      <c r="T966" s="11">
        <f t="shared" si="290"/>
        <v>0</v>
      </c>
      <c r="U966" s="11">
        <f>IF(A965=A966,0,VLOOKUP(A966,'Packing Time'!A:F,6,0))</f>
        <v>0</v>
      </c>
      <c r="V966" s="11">
        <f t="shared" si="283"/>
        <v>0</v>
      </c>
      <c r="W966" s="11">
        <f t="shared" si="284"/>
        <v>0</v>
      </c>
      <c r="X966" s="11">
        <f t="shared" si="291"/>
        <v>0</v>
      </c>
      <c r="Y966" s="11">
        <f t="shared" si="285"/>
        <v>0</v>
      </c>
      <c r="Z966" s="37">
        <v>1</v>
      </c>
      <c r="AA966" s="36">
        <f t="shared" si="292"/>
        <v>1</v>
      </c>
      <c r="AB966" s="36">
        <f t="shared" si="293"/>
        <v>0.14000000000000001</v>
      </c>
      <c r="AC966" s="11">
        <f t="shared" si="294"/>
        <v>0</v>
      </c>
      <c r="AD966" s="36">
        <f t="shared" si="286"/>
        <v>0</v>
      </c>
      <c r="AE966" s="36"/>
      <c r="AF966" s="36">
        <f>IFERROR(VLOOKUP(AE966,'Chemical Cost'!A:D,4,0),0)</f>
        <v>0</v>
      </c>
      <c r="AG966" s="114">
        <f t="shared" si="295"/>
        <v>0</v>
      </c>
      <c r="AH966" s="36">
        <f t="shared" si="280"/>
        <v>0</v>
      </c>
      <c r="AI966" s="36">
        <f t="shared" si="287"/>
        <v>0.14000000000000001</v>
      </c>
      <c r="AJ966" s="36">
        <f>IFERROR(VLOOKUP(A966,'All Products'!A:F,6,0),0)</f>
        <v>2.2799999999999998</v>
      </c>
      <c r="AK966" s="36"/>
      <c r="AL966" s="23">
        <v>0.8</v>
      </c>
      <c r="AM966" s="23">
        <v>0.2</v>
      </c>
      <c r="AN966" s="54" t="e">
        <v>#N/A</v>
      </c>
      <c r="AO966" s="47"/>
      <c r="AP966" s="4">
        <v>1.4</v>
      </c>
      <c r="AQ966" s="111">
        <f t="shared" si="296"/>
        <v>0</v>
      </c>
      <c r="AR966">
        <f>_xlfn.XLOOKUP(F966,'RM Cost'!A:A,'RM Cost'!S:S)</f>
        <v>0</v>
      </c>
      <c r="AS966" t="str">
        <f>_xlfn.XLOOKUP(A966,[3]Sheet1!$B:$B,[3]Sheet1!$B:$B)</f>
        <v>Z076CS</v>
      </c>
      <c r="AT966" t="e">
        <f>_xlfn.XLOOKUP(H966,'Yield &amp; Time'!A:A,'Yield &amp; Time'!F:F)</f>
        <v>#N/A</v>
      </c>
    </row>
    <row r="967" spans="1:46" x14ac:dyDescent="0.25">
      <c r="A967" s="2" t="s">
        <v>70</v>
      </c>
      <c r="B967" s="2" t="s">
        <v>656</v>
      </c>
      <c r="C967" s="2" t="s">
        <v>71</v>
      </c>
      <c r="D967" s="2" t="s">
        <v>554</v>
      </c>
      <c r="E967" s="2">
        <v>2.5</v>
      </c>
      <c r="F967" s="1" t="str">
        <f>VLOOKUP(H967,'RM Used'!A:B,2,0)</f>
        <v>1318CS</v>
      </c>
      <c r="G967" s="1" t="str">
        <f>IFERROR(VLOOKUP(F967,'RM Cost'!A:B,2,0),"")</f>
        <v>RM - PREP ONION RED WHOLE 2.5KG</v>
      </c>
      <c r="H967" s="2" t="s">
        <v>1572</v>
      </c>
      <c r="I967" s="1" t="str">
        <f>VLOOKUP(F967,'RM Used'!B:D,3,0)</f>
        <v>RM-FOOD</v>
      </c>
      <c r="J967" s="66">
        <v>1</v>
      </c>
      <c r="K967" s="35">
        <f t="shared" si="282"/>
        <v>2.5</v>
      </c>
      <c r="L967" s="35">
        <f t="shared" si="288"/>
        <v>2.5</v>
      </c>
      <c r="M967" s="77" cm="1">
        <f t="array" ref="M967">_xlfn.IFS(BOM!I967="RM-PACKING","100%",B967="Reynolds",VLOOKUP(H967,'Yield &amp; Time'!A:V,22,0),BOM!B967="Dnata",VLOOKUP(BOM!H967,'Yield &amp; Time'!A:M,13,0),B967="NK",VLOOKUP(H967,'Yield &amp; Time'!A:X,24,0))</f>
        <v>0.82335178661298436</v>
      </c>
      <c r="N967" s="35">
        <f t="shared" si="281"/>
        <v>3.0363691931540342</v>
      </c>
      <c r="O967" s="1" t="str">
        <f>VLOOKUP(H967,'RM Used'!A:E,5,0)</f>
        <v>KG</v>
      </c>
      <c r="P967" s="11">
        <f>VLOOKUP(H967,'RM Used'!A:F,6,0)</f>
        <v>1.08</v>
      </c>
      <c r="Q967" s="11">
        <f t="shared" si="297"/>
        <v>3.2792787286063572</v>
      </c>
      <c r="R967" s="11">
        <f>IFERROR(IF(B967="Reynolds",VLOOKUP(H967,'Yield &amp; Time'!A:U,21,0),VLOOKUP(H967,'Yield &amp; Time'!A:L,12,0)),0)</f>
        <v>0.6</v>
      </c>
      <c r="S967" s="11">
        <f t="shared" si="289"/>
        <v>0.50774999999999992</v>
      </c>
      <c r="T967" s="11">
        <f t="shared" si="290"/>
        <v>2.5000000000000001E-2</v>
      </c>
      <c r="U967" s="11">
        <f>IF(A966=A967,0,VLOOKUP(A967,'Packing Time'!A:F,6,0))</f>
        <v>0.875</v>
      </c>
      <c r="V967" s="11">
        <f t="shared" si="283"/>
        <v>0.29618749999999999</v>
      </c>
      <c r="W967" s="11">
        <f t="shared" si="284"/>
        <v>1.4583333333333334E-2</v>
      </c>
      <c r="X967" s="11">
        <f t="shared" si="291"/>
        <v>0.88433125000000001</v>
      </c>
      <c r="Y967" s="11">
        <f t="shared" si="285"/>
        <v>0.88433125000000001</v>
      </c>
      <c r="Z967" s="37">
        <v>1</v>
      </c>
      <c r="AA967" s="36">
        <f t="shared" si="292"/>
        <v>3.0363691931540342</v>
      </c>
      <c r="AB967" s="36">
        <f t="shared" si="293"/>
        <v>3.2792787286063572</v>
      </c>
      <c r="AC967" s="11">
        <f t="shared" si="294"/>
        <v>4.3541666666666666E-2</v>
      </c>
      <c r="AD967" s="36">
        <f t="shared" si="286"/>
        <v>0.8843312499999999</v>
      </c>
      <c r="AE967" s="36" t="str">
        <f>VLOOKUP(H967,'Yield &amp; Time'!A:I,9,0)</f>
        <v>CHLORINE</v>
      </c>
      <c r="AF967" s="36">
        <f>IFERROR(VLOOKUP(AE967,'Chemical Cost'!A:D,4,0),0)</f>
        <v>2.7756518066439469E-2</v>
      </c>
      <c r="AG967" s="114">
        <f t="shared" si="295"/>
        <v>2.8093012122053396E-2</v>
      </c>
      <c r="AH967" s="36">
        <f t="shared" si="280"/>
        <v>2.8093012122053396E-2</v>
      </c>
      <c r="AI967" s="36">
        <f t="shared" si="287"/>
        <v>4.1917029907284107</v>
      </c>
      <c r="AJ967" s="36">
        <f>IFERROR(VLOOKUP(A967,'All Products'!A:F,6,0),0)</f>
        <v>5.69</v>
      </c>
      <c r="AK967" s="36">
        <f>AJ967*Z967*J967</f>
        <v>5.69</v>
      </c>
      <c r="AL967" s="23">
        <v>0.8</v>
      </c>
      <c r="AM967" s="23">
        <v>0.2</v>
      </c>
      <c r="AN967" s="54" t="e">
        <v>#N/A</v>
      </c>
      <c r="AO967" s="47"/>
      <c r="AP967" s="4">
        <v>1.1000000000000001</v>
      </c>
      <c r="AQ967" s="111">
        <f t="shared" si="296"/>
        <v>4.3541666666666666E-2</v>
      </c>
      <c r="AR967">
        <f>_xlfn.XLOOKUP(F967,'RM Cost'!A:A,'RM Cost'!S:S)</f>
        <v>0</v>
      </c>
      <c r="AS967" t="str">
        <f>_xlfn.XLOOKUP(A967,[3]Sheet1!$B:$B,[3]Sheet1!$B:$B)</f>
        <v>Z075CS</v>
      </c>
      <c r="AT967">
        <f>_xlfn.XLOOKUP(H967,'Yield &amp; Time'!A:A,'Yield &amp; Time'!F:F)</f>
        <v>0</v>
      </c>
    </row>
    <row r="968" spans="1:46" x14ac:dyDescent="0.25">
      <c r="A968" s="2" t="s">
        <v>70</v>
      </c>
      <c r="B968" s="2" t="s">
        <v>656</v>
      </c>
      <c r="C968" s="2" t="s">
        <v>71</v>
      </c>
      <c r="D968" s="2" t="s">
        <v>554</v>
      </c>
      <c r="E968" s="2">
        <v>2.5</v>
      </c>
      <c r="F968" s="1" t="str">
        <f>VLOOKUP(H968,'RM Used'!A:B,2,0)</f>
        <v>P0008</v>
      </c>
      <c r="G968" s="1" t="str">
        <f>IFERROR(VLOOKUP(F968,'RM Cost'!A:B,2,0),"")</f>
        <v>PALE BLUE BAG 470X750MM</v>
      </c>
      <c r="H968" s="2" t="s">
        <v>1323</v>
      </c>
      <c r="I968" s="1" t="str">
        <f>VLOOKUP(F968,'RM Used'!B:D,3,0)</f>
        <v>RM-PACKING</v>
      </c>
      <c r="J968" s="66">
        <v>1</v>
      </c>
      <c r="K968" s="35" t="str">
        <f t="shared" si="282"/>
        <v/>
      </c>
      <c r="L968" s="35">
        <f t="shared" si="288"/>
        <v>0</v>
      </c>
      <c r="M968" s="77" t="str" cm="1">
        <f t="array" ref="M968">_xlfn.IFS(BOM!I968="RM-PACKING","100%",B968="Reynolds",VLOOKUP(H968,'Yield &amp; Time'!A:V,22,0),BOM!B968="Dnata",VLOOKUP(BOM!H968,'Yield &amp; Time'!A:M,13,0),B968="NK",VLOOKUP(H968,'Yield &amp; Time'!A:X,24,0))</f>
        <v>100%</v>
      </c>
      <c r="N968" s="35">
        <f t="shared" si="281"/>
        <v>1</v>
      </c>
      <c r="O968" s="1" t="str">
        <f>VLOOKUP(H968,'RM Used'!A:E,5,0)</f>
        <v>Count</v>
      </c>
      <c r="P968" s="11">
        <f>VLOOKUP(H968,'RM Used'!A:F,6,0)</f>
        <v>0.14000000000000001</v>
      </c>
      <c r="Q968" s="11">
        <f t="shared" si="297"/>
        <v>0.14000000000000001</v>
      </c>
      <c r="R968" s="11">
        <f>IFERROR(IF(B968="Reynolds",VLOOKUP(H968,'Yield &amp; Time'!A:U,21,0),VLOOKUP(H968,'Yield &amp; Time'!A:L,12,0)),0)</f>
        <v>0</v>
      </c>
      <c r="S968" s="11">
        <f t="shared" si="289"/>
        <v>0</v>
      </c>
      <c r="T968" s="11">
        <f t="shared" si="290"/>
        <v>0</v>
      </c>
      <c r="U968" s="11">
        <f>IF(A967=A968,0,VLOOKUP(A968,'Packing Time'!A:F,6,0))</f>
        <v>0</v>
      </c>
      <c r="V968" s="11">
        <f t="shared" si="283"/>
        <v>0</v>
      </c>
      <c r="W968" s="11">
        <f t="shared" si="284"/>
        <v>0</v>
      </c>
      <c r="X968" s="11">
        <f t="shared" si="291"/>
        <v>0</v>
      </c>
      <c r="Y968" s="11">
        <f t="shared" si="285"/>
        <v>0</v>
      </c>
      <c r="Z968" s="37">
        <v>1</v>
      </c>
      <c r="AA968" s="36">
        <f t="shared" si="292"/>
        <v>1</v>
      </c>
      <c r="AB968" s="36">
        <f t="shared" si="293"/>
        <v>0.14000000000000001</v>
      </c>
      <c r="AC968" s="11">
        <f t="shared" si="294"/>
        <v>0</v>
      </c>
      <c r="AD968" s="36">
        <f t="shared" si="286"/>
        <v>0</v>
      </c>
      <c r="AE968" s="36"/>
      <c r="AF968" s="36">
        <f>IFERROR(VLOOKUP(AE968,'Chemical Cost'!A:D,4,0),0)</f>
        <v>0</v>
      </c>
      <c r="AG968" s="114">
        <f t="shared" si="295"/>
        <v>0</v>
      </c>
      <c r="AH968" s="36">
        <f t="shared" si="280"/>
        <v>0</v>
      </c>
      <c r="AI968" s="36">
        <f t="shared" si="287"/>
        <v>0.14000000000000001</v>
      </c>
      <c r="AJ968" s="36">
        <f>IFERROR(VLOOKUP(A968,'All Products'!A:F,6,0),0)</f>
        <v>5.69</v>
      </c>
      <c r="AK968" s="36"/>
      <c r="AL968" s="23">
        <v>0.8</v>
      </c>
      <c r="AM968" s="23">
        <v>0.2</v>
      </c>
      <c r="AN968" s="54" t="e">
        <v>#N/A</v>
      </c>
      <c r="AO968" s="47"/>
      <c r="AP968" s="4">
        <v>1.1000000000000001</v>
      </c>
      <c r="AQ968" s="111">
        <f t="shared" si="296"/>
        <v>0</v>
      </c>
      <c r="AR968">
        <f>_xlfn.XLOOKUP(F968,'RM Cost'!A:A,'RM Cost'!S:S)</f>
        <v>0</v>
      </c>
      <c r="AS968" t="str">
        <f>_xlfn.XLOOKUP(A968,[3]Sheet1!$B:$B,[3]Sheet1!$B:$B)</f>
        <v>Z075CS</v>
      </c>
      <c r="AT968" t="e">
        <f>_xlfn.XLOOKUP(H968,'Yield &amp; Time'!A:A,'Yield &amp; Time'!F:F)</f>
        <v>#N/A</v>
      </c>
    </row>
    <row r="969" spans="1:46" x14ac:dyDescent="0.25">
      <c r="A969" s="2" t="s">
        <v>64</v>
      </c>
      <c r="B969" s="2" t="s">
        <v>656</v>
      </c>
      <c r="C969" s="2" t="s">
        <v>65</v>
      </c>
      <c r="D969" s="2" t="s">
        <v>554</v>
      </c>
      <c r="E969" s="2">
        <v>1</v>
      </c>
      <c r="F969" s="1" t="str">
        <f>VLOOKUP(H969,'RM Used'!A:B,2,0)</f>
        <v>1318CS</v>
      </c>
      <c r="G969" s="1" t="str">
        <f>IFERROR(VLOOKUP(F969,'RM Cost'!A:B,2,0),"")</f>
        <v>RM - PREP ONION RED WHOLE 2.5KG</v>
      </c>
      <c r="H969" s="2" t="s">
        <v>1453</v>
      </c>
      <c r="I969" s="1" t="str">
        <f>VLOOKUP(F969,'RM Used'!B:D,3,0)</f>
        <v>RM-FOOD</v>
      </c>
      <c r="J969" s="66">
        <v>1</v>
      </c>
      <c r="K969" s="35">
        <f t="shared" si="282"/>
        <v>1</v>
      </c>
      <c r="L969" s="35">
        <f t="shared" si="288"/>
        <v>1</v>
      </c>
      <c r="M969" s="77" cm="1">
        <f t="array" ref="M969">_xlfn.IFS(BOM!I969="RM-PACKING","100%",B969="Reynolds",VLOOKUP(H969,'Yield &amp; Time'!A:V,22,0),BOM!B969="Dnata",VLOOKUP(BOM!H969,'Yield &amp; Time'!A:M,13,0),B969="NK",VLOOKUP(H969,'Yield &amp; Time'!A:X,24,0))</f>
        <v>0.81267690818918592</v>
      </c>
      <c r="N969" s="35">
        <f t="shared" si="281"/>
        <v>1.2305013098356752</v>
      </c>
      <c r="O969" s="1" t="str">
        <f>VLOOKUP(H969,'RM Used'!A:E,5,0)</f>
        <v>KG</v>
      </c>
      <c r="P969" s="11">
        <f>VLOOKUP(H969,'RM Used'!A:F,6,0)</f>
        <v>1.08</v>
      </c>
      <c r="Q969" s="11">
        <f t="shared" si="297"/>
        <v>1.3289414146225293</v>
      </c>
      <c r="R969" s="11">
        <f>IFERROR(IF(B969="Reynolds",VLOOKUP(H969,'Yield &amp; Time'!A:U,21,0),VLOOKUP(H969,'Yield &amp; Time'!A:L,12,0)),0)</f>
        <v>0.87753036437246967</v>
      </c>
      <c r="S969" s="11">
        <f t="shared" si="289"/>
        <v>0.29704402834008098</v>
      </c>
      <c r="T969" s="11">
        <f t="shared" si="290"/>
        <v>1.4625506072874495E-2</v>
      </c>
      <c r="U969" s="11">
        <f>IF(A968=A969,0,VLOOKUP(A969,'Packing Time'!A:F,6,0))</f>
        <v>0.64166666666666661</v>
      </c>
      <c r="V969" s="11">
        <f t="shared" si="283"/>
        <v>0.21720416666666661</v>
      </c>
      <c r="W969" s="11">
        <f t="shared" si="284"/>
        <v>1.0694444444444444E-2</v>
      </c>
      <c r="X969" s="11">
        <f t="shared" si="291"/>
        <v>0.7199474730094465</v>
      </c>
      <c r="Y969" s="11">
        <f t="shared" si="285"/>
        <v>0.7199474730094465</v>
      </c>
      <c r="Z969" s="37">
        <v>1</v>
      </c>
      <c r="AA969" s="36">
        <f t="shared" si="292"/>
        <v>1.2305013098356752</v>
      </c>
      <c r="AB969" s="36">
        <f t="shared" si="293"/>
        <v>1.3289414146225293</v>
      </c>
      <c r="AC969" s="11">
        <f t="shared" si="294"/>
        <v>3.5447930724246512E-2</v>
      </c>
      <c r="AD969" s="36">
        <f t="shared" si="286"/>
        <v>0.7199474730094465</v>
      </c>
      <c r="AE969" s="36" t="str">
        <f>VLOOKUP(H969,'Yield &amp; Time'!A:I,9,0)</f>
        <v>CHLORINE</v>
      </c>
      <c r="AF969" s="36">
        <f>IFERROR(VLOOKUP(AE969,'Chemical Cost'!A:D,4,0),0)</f>
        <v>2.7756518066439469E-2</v>
      </c>
      <c r="AG969" s="114">
        <f t="shared" si="295"/>
        <v>1.1384810612410451E-2</v>
      </c>
      <c r="AH969" s="36">
        <f t="shared" si="280"/>
        <v>1.1384810612410451E-2</v>
      </c>
      <c r="AI969" s="36">
        <f t="shared" si="287"/>
        <v>2.0602736982443863</v>
      </c>
      <c r="AJ969" s="36">
        <f>IFERROR(VLOOKUP(A969,'All Products'!A:F,6,0),0)</f>
        <v>2.4500000000000002</v>
      </c>
      <c r="AK969" s="36">
        <f>AJ969*Z969*J969</f>
        <v>2.4500000000000002</v>
      </c>
      <c r="AL969" s="23">
        <v>0.8</v>
      </c>
      <c r="AM969" s="23">
        <v>0.2</v>
      </c>
      <c r="AN969" s="54" t="e">
        <v>#N/A</v>
      </c>
      <c r="AO969" s="47"/>
      <c r="AP969" s="4">
        <v>1.4</v>
      </c>
      <c r="AQ969" s="111">
        <f t="shared" si="296"/>
        <v>3.5447930724246512E-2</v>
      </c>
      <c r="AR969">
        <f>_xlfn.XLOOKUP(F969,'RM Cost'!A:A,'RM Cost'!S:S)</f>
        <v>0</v>
      </c>
      <c r="AS969" t="str">
        <f>_xlfn.XLOOKUP(A969,[3]Sheet1!$B:$B,[3]Sheet1!$B:$B)</f>
        <v>Z074CS</v>
      </c>
      <c r="AT969" t="str">
        <f>_xlfn.XLOOKUP(H969,'Yield &amp; Time'!A:A,'Yield &amp; Time'!F:F)</f>
        <v>Yes</v>
      </c>
    </row>
    <row r="970" spans="1:46" x14ac:dyDescent="0.25">
      <c r="A970" s="2" t="s">
        <v>64</v>
      </c>
      <c r="B970" s="2" t="s">
        <v>656</v>
      </c>
      <c r="C970" s="2" t="s">
        <v>65</v>
      </c>
      <c r="D970" s="2" t="s">
        <v>554</v>
      </c>
      <c r="E970" s="2">
        <v>1</v>
      </c>
      <c r="F970" s="1" t="str">
        <f>VLOOKUP(H970,'RM Used'!A:B,2,0)</f>
        <v>P0008</v>
      </c>
      <c r="G970" s="1" t="str">
        <f>IFERROR(VLOOKUP(F970,'RM Cost'!A:B,2,0),"")</f>
        <v>PALE BLUE BAG 470X750MM</v>
      </c>
      <c r="H970" s="2" t="s">
        <v>1323</v>
      </c>
      <c r="I970" s="1" t="str">
        <f>VLOOKUP(F970,'RM Used'!B:D,3,0)</f>
        <v>RM-PACKING</v>
      </c>
      <c r="J970" s="66">
        <v>1</v>
      </c>
      <c r="K970" s="35" t="str">
        <f t="shared" si="282"/>
        <v/>
      </c>
      <c r="L970" s="35">
        <f t="shared" si="288"/>
        <v>0</v>
      </c>
      <c r="M970" s="77" t="str" cm="1">
        <f t="array" ref="M970">_xlfn.IFS(BOM!I970="RM-PACKING","100%",B970="Reynolds",VLOOKUP(H970,'Yield &amp; Time'!A:V,22,0),BOM!B970="Dnata",VLOOKUP(BOM!H970,'Yield &amp; Time'!A:M,13,0),B970="NK",VLOOKUP(H970,'Yield &amp; Time'!A:X,24,0))</f>
        <v>100%</v>
      </c>
      <c r="N970" s="35">
        <f t="shared" si="281"/>
        <v>1</v>
      </c>
      <c r="O970" s="1" t="str">
        <f>VLOOKUP(H970,'RM Used'!A:E,5,0)</f>
        <v>Count</v>
      </c>
      <c r="P970" s="11">
        <f>VLOOKUP(H970,'RM Used'!A:F,6,0)</f>
        <v>0.14000000000000001</v>
      </c>
      <c r="Q970" s="11">
        <f t="shared" si="297"/>
        <v>0.14000000000000001</v>
      </c>
      <c r="R970" s="11">
        <f>IFERROR(IF(B970="Reynolds",VLOOKUP(H970,'Yield &amp; Time'!A:U,21,0),VLOOKUP(H970,'Yield &amp; Time'!A:L,12,0)),0)</f>
        <v>0</v>
      </c>
      <c r="S970" s="11">
        <f t="shared" si="289"/>
        <v>0</v>
      </c>
      <c r="T970" s="11">
        <f t="shared" si="290"/>
        <v>0</v>
      </c>
      <c r="U970" s="11">
        <f>IF(A969=A970,0,VLOOKUP(A970,'Packing Time'!A:F,6,0))</f>
        <v>0</v>
      </c>
      <c r="V970" s="11">
        <f t="shared" si="283"/>
        <v>0</v>
      </c>
      <c r="W970" s="11">
        <f t="shared" si="284"/>
        <v>0</v>
      </c>
      <c r="X970" s="11">
        <f t="shared" si="291"/>
        <v>0</v>
      </c>
      <c r="Y970" s="11">
        <f t="shared" si="285"/>
        <v>0</v>
      </c>
      <c r="Z970" s="37">
        <v>1</v>
      </c>
      <c r="AA970" s="36">
        <f t="shared" si="292"/>
        <v>1</v>
      </c>
      <c r="AB970" s="36">
        <f t="shared" si="293"/>
        <v>0.14000000000000001</v>
      </c>
      <c r="AC970" s="11">
        <f t="shared" si="294"/>
        <v>0</v>
      </c>
      <c r="AD970" s="36">
        <f t="shared" si="286"/>
        <v>0</v>
      </c>
      <c r="AE970" s="36"/>
      <c r="AF970" s="36">
        <f>IFERROR(VLOOKUP(AE970,'Chemical Cost'!A:D,4,0),0)</f>
        <v>0</v>
      </c>
      <c r="AG970" s="114">
        <f t="shared" si="295"/>
        <v>0</v>
      </c>
      <c r="AH970" s="36">
        <f t="shared" si="280"/>
        <v>0</v>
      </c>
      <c r="AI970" s="36">
        <f t="shared" si="287"/>
        <v>0.14000000000000001</v>
      </c>
      <c r="AJ970" s="36">
        <f>IFERROR(VLOOKUP(A970,'All Products'!A:F,6,0),0)</f>
        <v>2.4500000000000002</v>
      </c>
      <c r="AK970" s="36"/>
      <c r="AL970" s="23">
        <v>0.8</v>
      </c>
      <c r="AM970" s="23">
        <v>0.2</v>
      </c>
      <c r="AN970" s="54" t="e">
        <v>#N/A</v>
      </c>
      <c r="AO970" s="47"/>
      <c r="AP970" s="4">
        <v>1.4</v>
      </c>
      <c r="AQ970" s="111">
        <f t="shared" si="296"/>
        <v>0</v>
      </c>
      <c r="AR970">
        <f>_xlfn.XLOOKUP(F970,'RM Cost'!A:A,'RM Cost'!S:S)</f>
        <v>0</v>
      </c>
      <c r="AS970" t="str">
        <f>_xlfn.XLOOKUP(A970,[3]Sheet1!$B:$B,[3]Sheet1!$B:$B)</f>
        <v>Z074CS</v>
      </c>
      <c r="AT970" t="e">
        <f>_xlfn.XLOOKUP(H970,'Yield &amp; Time'!A:A,'Yield &amp; Time'!F:F)</f>
        <v>#N/A</v>
      </c>
    </row>
    <row r="971" spans="1:46" x14ac:dyDescent="0.25">
      <c r="A971" s="2" t="s">
        <v>62</v>
      </c>
      <c r="B971" s="2" t="s">
        <v>656</v>
      </c>
      <c r="C971" s="2" t="s">
        <v>63</v>
      </c>
      <c r="D971" s="2" t="s">
        <v>554</v>
      </c>
      <c r="E971" s="2">
        <v>2.5</v>
      </c>
      <c r="F971" s="1" t="str">
        <f>VLOOKUP(H971,'RM Used'!A:B,2,0)</f>
        <v>1318CS</v>
      </c>
      <c r="G971" s="1" t="str">
        <f>IFERROR(VLOOKUP(F971,'RM Cost'!A:B,2,0),"")</f>
        <v>RM - PREP ONION RED WHOLE 2.5KG</v>
      </c>
      <c r="H971" s="2" t="s">
        <v>1453</v>
      </c>
      <c r="I971" s="1" t="str">
        <f>VLOOKUP(F971,'RM Used'!B:D,3,0)</f>
        <v>RM-FOOD</v>
      </c>
      <c r="J971" s="66">
        <v>1</v>
      </c>
      <c r="K971" s="35">
        <f t="shared" si="282"/>
        <v>2.5</v>
      </c>
      <c r="L971" s="35">
        <f t="shared" si="288"/>
        <v>2.5</v>
      </c>
      <c r="M971" s="77" cm="1">
        <f t="array" ref="M971">_xlfn.IFS(BOM!I971="RM-PACKING","100%",B971="Reynolds",VLOOKUP(H971,'Yield &amp; Time'!A:V,22,0),BOM!B971="Dnata",VLOOKUP(BOM!H971,'Yield &amp; Time'!A:M,13,0),B971="NK",VLOOKUP(H971,'Yield &amp; Time'!A:X,24,0))</f>
        <v>0.81267690818918592</v>
      </c>
      <c r="N971" s="35">
        <f t="shared" si="281"/>
        <v>3.0762532745891877</v>
      </c>
      <c r="O971" s="1" t="str">
        <f>VLOOKUP(H971,'RM Used'!A:E,5,0)</f>
        <v>KG</v>
      </c>
      <c r="P971" s="11">
        <f>VLOOKUP(H971,'RM Used'!A:F,6,0)</f>
        <v>1.08</v>
      </c>
      <c r="Q971" s="11">
        <f t="shared" si="297"/>
        <v>3.322353536556323</v>
      </c>
      <c r="R971" s="11">
        <f>IFERROR(IF(B971="Reynolds",VLOOKUP(H971,'Yield &amp; Time'!A:U,21,0),VLOOKUP(H971,'Yield &amp; Time'!A:L,12,0)),0)</f>
        <v>0.87753036437246967</v>
      </c>
      <c r="S971" s="11">
        <f t="shared" si="289"/>
        <v>0.74261007085020247</v>
      </c>
      <c r="T971" s="11">
        <f t="shared" si="290"/>
        <v>3.6563765182186243E-2</v>
      </c>
      <c r="U971" s="11">
        <f>IF(A970=A971,0,VLOOKUP(A971,'Packing Time'!A:F,6,0))</f>
        <v>0.875</v>
      </c>
      <c r="V971" s="11">
        <f t="shared" si="283"/>
        <v>0.29618749999999999</v>
      </c>
      <c r="W971" s="11">
        <f t="shared" si="284"/>
        <v>1.4583333333333334E-2</v>
      </c>
      <c r="X971" s="11">
        <f t="shared" si="291"/>
        <v>1.1426773279352227</v>
      </c>
      <c r="Y971" s="11">
        <f t="shared" si="285"/>
        <v>1.1426773279352227</v>
      </c>
      <c r="Z971" s="37">
        <v>1</v>
      </c>
      <c r="AA971" s="36">
        <f t="shared" si="292"/>
        <v>3.0762532745891877</v>
      </c>
      <c r="AB971" s="36">
        <f t="shared" si="293"/>
        <v>3.322353536556323</v>
      </c>
      <c r="AC971" s="11">
        <f t="shared" si="294"/>
        <v>5.6261808367071536E-2</v>
      </c>
      <c r="AD971" s="36">
        <f t="shared" si="286"/>
        <v>1.1426773279352229</v>
      </c>
      <c r="AE971" s="36" t="str">
        <f>VLOOKUP(H971,'Yield &amp; Time'!A:I,9,0)</f>
        <v>CHLORINE</v>
      </c>
      <c r="AF971" s="36">
        <f>IFERROR(VLOOKUP(AE971,'Chemical Cost'!A:D,4,0),0)</f>
        <v>2.7756518066439469E-2</v>
      </c>
      <c r="AG971" s="114">
        <f t="shared" si="295"/>
        <v>2.8462026531026124E-2</v>
      </c>
      <c r="AH971" s="36">
        <f t="shared" si="280"/>
        <v>2.8462026531026124E-2</v>
      </c>
      <c r="AI971" s="36">
        <f t="shared" si="287"/>
        <v>4.493492891022572</v>
      </c>
      <c r="AJ971" s="36">
        <f>IFERROR(VLOOKUP(A971,'All Products'!A:F,6,0),0)</f>
        <v>6.1</v>
      </c>
      <c r="AK971" s="36">
        <f>AJ971*Z971*J971</f>
        <v>6.1</v>
      </c>
      <c r="AL971" s="23">
        <v>0.8</v>
      </c>
      <c r="AM971" s="23">
        <v>0.2</v>
      </c>
      <c r="AN971" s="54" t="e">
        <v>#N/A</v>
      </c>
      <c r="AO971" s="47"/>
      <c r="AP971" s="4">
        <v>1.1000000000000001</v>
      </c>
      <c r="AQ971" s="111">
        <f t="shared" si="296"/>
        <v>5.6261808367071536E-2</v>
      </c>
      <c r="AR971">
        <f>_xlfn.XLOOKUP(F971,'RM Cost'!A:A,'RM Cost'!S:S)</f>
        <v>0</v>
      </c>
      <c r="AS971" t="str">
        <f>_xlfn.XLOOKUP(A971,[3]Sheet1!$B:$B,[3]Sheet1!$B:$B)</f>
        <v>Z073CS</v>
      </c>
      <c r="AT971" t="str">
        <f>_xlfn.XLOOKUP(H971,'Yield &amp; Time'!A:A,'Yield &amp; Time'!F:F)</f>
        <v>Yes</v>
      </c>
    </row>
    <row r="972" spans="1:46" x14ac:dyDescent="0.25">
      <c r="A972" s="2" t="s">
        <v>62</v>
      </c>
      <c r="B972" s="2" t="s">
        <v>656</v>
      </c>
      <c r="C972" s="2" t="s">
        <v>63</v>
      </c>
      <c r="D972" s="2" t="s">
        <v>554</v>
      </c>
      <c r="E972" s="2">
        <v>2.5</v>
      </c>
      <c r="F972" s="1" t="str">
        <f>VLOOKUP(H972,'RM Used'!A:B,2,0)</f>
        <v>P0008</v>
      </c>
      <c r="G972" s="1" t="str">
        <f>IFERROR(VLOOKUP(F972,'RM Cost'!A:B,2,0),"")</f>
        <v>PALE BLUE BAG 470X750MM</v>
      </c>
      <c r="H972" s="2" t="s">
        <v>1323</v>
      </c>
      <c r="I972" s="1" t="str">
        <f>VLOOKUP(F972,'RM Used'!B:D,3,0)</f>
        <v>RM-PACKING</v>
      </c>
      <c r="J972" s="66">
        <v>1</v>
      </c>
      <c r="K972" s="35" t="str">
        <f t="shared" si="282"/>
        <v/>
      </c>
      <c r="L972" s="35">
        <f t="shared" si="288"/>
        <v>0</v>
      </c>
      <c r="M972" s="77" t="str" cm="1">
        <f t="array" ref="M972">_xlfn.IFS(BOM!I972="RM-PACKING","100%",B972="Reynolds",VLOOKUP(H972,'Yield &amp; Time'!A:V,22,0),BOM!B972="Dnata",VLOOKUP(BOM!H972,'Yield &amp; Time'!A:M,13,0),B972="NK",VLOOKUP(H972,'Yield &amp; Time'!A:X,24,0))</f>
        <v>100%</v>
      </c>
      <c r="N972" s="35">
        <f t="shared" si="281"/>
        <v>1</v>
      </c>
      <c r="O972" s="1" t="str">
        <f>VLOOKUP(H972,'RM Used'!A:E,5,0)</f>
        <v>Count</v>
      </c>
      <c r="P972" s="11">
        <f>VLOOKUP(H972,'RM Used'!A:F,6,0)</f>
        <v>0.14000000000000001</v>
      </c>
      <c r="Q972" s="11">
        <f t="shared" si="297"/>
        <v>0.14000000000000001</v>
      </c>
      <c r="R972" s="11">
        <f>IFERROR(IF(B972="Reynolds",VLOOKUP(H972,'Yield &amp; Time'!A:U,21,0),VLOOKUP(H972,'Yield &amp; Time'!A:L,12,0)),0)</f>
        <v>0</v>
      </c>
      <c r="S972" s="11">
        <f t="shared" si="289"/>
        <v>0</v>
      </c>
      <c r="T972" s="11">
        <f t="shared" si="290"/>
        <v>0</v>
      </c>
      <c r="U972" s="11">
        <f>IF(A971=A972,0,VLOOKUP(A972,'Packing Time'!A:F,6,0))</f>
        <v>0</v>
      </c>
      <c r="V972" s="11">
        <f t="shared" si="283"/>
        <v>0</v>
      </c>
      <c r="W972" s="11">
        <f t="shared" si="284"/>
        <v>0</v>
      </c>
      <c r="X972" s="11">
        <f t="shared" si="291"/>
        <v>0</v>
      </c>
      <c r="Y972" s="11">
        <f t="shared" si="285"/>
        <v>0</v>
      </c>
      <c r="Z972" s="37">
        <v>1</v>
      </c>
      <c r="AA972" s="36">
        <f t="shared" si="292"/>
        <v>1</v>
      </c>
      <c r="AB972" s="36">
        <f t="shared" si="293"/>
        <v>0.14000000000000001</v>
      </c>
      <c r="AC972" s="11">
        <f t="shared" si="294"/>
        <v>0</v>
      </c>
      <c r="AD972" s="36">
        <f t="shared" si="286"/>
        <v>0</v>
      </c>
      <c r="AE972" s="36"/>
      <c r="AF972" s="36">
        <f>IFERROR(VLOOKUP(AE972,'Chemical Cost'!A:D,4,0),0)</f>
        <v>0</v>
      </c>
      <c r="AG972" s="114">
        <f t="shared" si="295"/>
        <v>0</v>
      </c>
      <c r="AH972" s="36">
        <f t="shared" si="280"/>
        <v>0</v>
      </c>
      <c r="AI972" s="36">
        <f t="shared" si="287"/>
        <v>0.14000000000000001</v>
      </c>
      <c r="AJ972" s="36">
        <f>IFERROR(VLOOKUP(A972,'All Products'!A:F,6,0),0)</f>
        <v>6.1</v>
      </c>
      <c r="AK972" s="36"/>
      <c r="AL972" s="23">
        <v>0.8</v>
      </c>
      <c r="AM972" s="23">
        <v>0.2</v>
      </c>
      <c r="AN972" s="54" t="e">
        <v>#N/A</v>
      </c>
      <c r="AO972" s="47"/>
      <c r="AP972" s="4">
        <v>1.1000000000000001</v>
      </c>
      <c r="AQ972" s="111">
        <f t="shared" si="296"/>
        <v>0</v>
      </c>
      <c r="AR972">
        <f>_xlfn.XLOOKUP(F972,'RM Cost'!A:A,'RM Cost'!S:S)</f>
        <v>0</v>
      </c>
      <c r="AS972" t="str">
        <f>_xlfn.XLOOKUP(A972,[3]Sheet1!$B:$B,[3]Sheet1!$B:$B)</f>
        <v>Z073CS</v>
      </c>
      <c r="AT972" t="e">
        <f>_xlfn.XLOOKUP(H972,'Yield &amp; Time'!A:A,'Yield &amp; Time'!F:F)</f>
        <v>#N/A</v>
      </c>
    </row>
    <row r="973" spans="1:46" x14ac:dyDescent="0.25">
      <c r="A973" s="2" t="s">
        <v>438</v>
      </c>
      <c r="B973" s="2" t="s">
        <v>656</v>
      </c>
      <c r="C973" s="2" t="s">
        <v>439</v>
      </c>
      <c r="D973" s="2" t="s">
        <v>554</v>
      </c>
      <c r="E973" s="2">
        <v>1</v>
      </c>
      <c r="F973" s="1" t="str">
        <f>VLOOKUP(H973,'RM Used'!A:B,2,0)</f>
        <v>1318CS</v>
      </c>
      <c r="G973" s="1" t="str">
        <f>IFERROR(VLOOKUP(F973,'RM Cost'!A:B,2,0),"")</f>
        <v>RM - PREP ONION RED WHOLE 2.5KG</v>
      </c>
      <c r="H973" s="2" t="s">
        <v>1573</v>
      </c>
      <c r="I973" s="1" t="str">
        <f>VLOOKUP(F973,'RM Used'!B:D,3,0)</f>
        <v>RM-FOOD</v>
      </c>
      <c r="J973" s="66">
        <v>1</v>
      </c>
      <c r="K973" s="35">
        <f t="shared" si="282"/>
        <v>1</v>
      </c>
      <c r="L973" s="35">
        <f t="shared" si="288"/>
        <v>1</v>
      </c>
      <c r="M973" s="77" cm="1">
        <f t="array" ref="M973">_xlfn.IFS(BOM!I973="RM-PACKING","100%",B973="Reynolds",VLOOKUP(H973,'Yield &amp; Time'!A:V,22,0),BOM!B973="Dnata",VLOOKUP(BOM!H973,'Yield &amp; Time'!A:M,13,0),B973="NK",VLOOKUP(H973,'Yield &amp; Time'!A:X,24,0))</f>
        <v>0.87219999999999998</v>
      </c>
      <c r="N973" s="35">
        <f t="shared" si="281"/>
        <v>1.1465260261407935</v>
      </c>
      <c r="O973" s="1" t="str">
        <f>VLOOKUP(H973,'RM Used'!A:E,5,0)</f>
        <v>KG</v>
      </c>
      <c r="P973" s="11">
        <f>VLOOKUP(H973,'RM Used'!A:F,6,0)</f>
        <v>1.08</v>
      </c>
      <c r="Q973" s="11">
        <f t="shared" si="297"/>
        <v>1.2382481082320571</v>
      </c>
      <c r="R973" s="11">
        <f>IFERROR(IF(B973="Reynolds",VLOOKUP(H973,'Yield &amp; Time'!A:U,21,0),VLOOKUP(H973,'Yield &amp; Time'!A:L,12,0)),0)</f>
        <v>0.8833333333333333</v>
      </c>
      <c r="S973" s="11">
        <f t="shared" si="289"/>
        <v>0.29900833333333332</v>
      </c>
      <c r="T973" s="11">
        <f t="shared" si="290"/>
        <v>1.4722222222222222E-2</v>
      </c>
      <c r="U973" s="11">
        <f>IF(A972=A973,0,VLOOKUP(A973,'Packing Time'!A:F,6,0))</f>
        <v>0.64166666666666661</v>
      </c>
      <c r="V973" s="11">
        <f t="shared" si="283"/>
        <v>0.21720416666666661</v>
      </c>
      <c r="W973" s="11">
        <f t="shared" si="284"/>
        <v>1.0694444444444444E-2</v>
      </c>
      <c r="X973" s="11">
        <f t="shared" si="291"/>
        <v>0.82594000000000001</v>
      </c>
      <c r="Y973" s="11">
        <f t="shared" si="285"/>
        <v>0.82594000000000001</v>
      </c>
      <c r="Z973" s="37">
        <v>1</v>
      </c>
      <c r="AA973" s="36">
        <f t="shared" si="292"/>
        <v>1.1465260261407935</v>
      </c>
      <c r="AB973" s="36">
        <f t="shared" si="293"/>
        <v>1.2382481082320571</v>
      </c>
      <c r="AC973" s="11">
        <f t="shared" si="294"/>
        <v>4.0666666666666663E-2</v>
      </c>
      <c r="AD973" s="36">
        <f t="shared" si="286"/>
        <v>0.8259399999999999</v>
      </c>
      <c r="AE973" s="36" t="str">
        <f>VLOOKUP(H973,'Yield &amp; Time'!A:I,9,0)</f>
        <v>CHLORINE</v>
      </c>
      <c r="AF973" s="36">
        <f>IFERROR(VLOOKUP(AE973,'Chemical Cost'!A:D,4,0),0)</f>
        <v>2.7756518066439469E-2</v>
      </c>
      <c r="AG973" s="114">
        <f t="shared" si="295"/>
        <v>1.0607856786073329E-2</v>
      </c>
      <c r="AH973" s="36">
        <f t="shared" si="280"/>
        <v>1.0607856786073329E-2</v>
      </c>
      <c r="AI973" s="36">
        <f t="shared" si="287"/>
        <v>2.0747959650181307</v>
      </c>
      <c r="AJ973" s="36">
        <f>IFERROR(VLOOKUP(A973,'All Products'!A:F,6,0),0)</f>
        <v>2.4900000000000002</v>
      </c>
      <c r="AK973" s="36">
        <f>AJ973*Z973*J973</f>
        <v>2.4900000000000002</v>
      </c>
      <c r="AL973" s="23">
        <v>1</v>
      </c>
      <c r="AM973" s="23"/>
      <c r="AN973" s="54" t="e">
        <v>#N/A</v>
      </c>
      <c r="AO973" s="47"/>
      <c r="AP973" s="4">
        <v>1.6</v>
      </c>
      <c r="AQ973" s="111">
        <f t="shared" si="296"/>
        <v>4.0666666666666663E-2</v>
      </c>
      <c r="AR973">
        <f>_xlfn.XLOOKUP(F973,'RM Cost'!A:A,'RM Cost'!S:S)</f>
        <v>0</v>
      </c>
      <c r="AS973" t="str">
        <f>_xlfn.XLOOKUP(A973,[3]Sheet1!$B:$B,[3]Sheet1!$B:$B)</f>
        <v>Z224CS</v>
      </c>
      <c r="AT973">
        <f>_xlfn.XLOOKUP(H973,'Yield &amp; Time'!A:A,'Yield &amp; Time'!F:F)</f>
        <v>0</v>
      </c>
    </row>
    <row r="974" spans="1:46" x14ac:dyDescent="0.25">
      <c r="A974" s="2" t="s">
        <v>438</v>
      </c>
      <c r="B974" s="2" t="s">
        <v>656</v>
      </c>
      <c r="C974" s="2" t="s">
        <v>439</v>
      </c>
      <c r="D974" s="2" t="s">
        <v>554</v>
      </c>
      <c r="E974" s="2">
        <v>1</v>
      </c>
      <c r="F974" s="1" t="str">
        <f>VLOOKUP(H974,'RM Used'!A:B,2,0)</f>
        <v>P0008</v>
      </c>
      <c r="G974" s="1" t="str">
        <f>IFERROR(VLOOKUP(F974,'RM Cost'!A:B,2,0),"")</f>
        <v>PALE BLUE BAG 470X750MM</v>
      </c>
      <c r="H974" s="2" t="s">
        <v>1323</v>
      </c>
      <c r="I974" s="1" t="str">
        <f>VLOOKUP(F974,'RM Used'!B:D,3,0)</f>
        <v>RM-PACKING</v>
      </c>
      <c r="J974" s="66">
        <v>1</v>
      </c>
      <c r="K974" s="35" t="str">
        <f t="shared" si="282"/>
        <v/>
      </c>
      <c r="L974" s="35">
        <f t="shared" si="288"/>
        <v>0</v>
      </c>
      <c r="M974" s="77" t="str" cm="1">
        <f t="array" ref="M974">_xlfn.IFS(BOM!I974="RM-PACKING","100%",B974="Reynolds",VLOOKUP(H974,'Yield &amp; Time'!A:V,22,0),BOM!B974="Dnata",VLOOKUP(BOM!H974,'Yield &amp; Time'!A:M,13,0),B974="NK",VLOOKUP(H974,'Yield &amp; Time'!A:X,24,0))</f>
        <v>100%</v>
      </c>
      <c r="N974" s="35">
        <f t="shared" si="281"/>
        <v>1</v>
      </c>
      <c r="O974" s="1" t="str">
        <f>VLOOKUP(H974,'RM Used'!A:E,5,0)</f>
        <v>Count</v>
      </c>
      <c r="P974" s="11">
        <f>VLOOKUP(H974,'RM Used'!A:F,6,0)</f>
        <v>0.14000000000000001</v>
      </c>
      <c r="Q974" s="11">
        <f t="shared" si="297"/>
        <v>0.14000000000000001</v>
      </c>
      <c r="R974" s="11">
        <f>IFERROR(IF(B974="Reynolds",VLOOKUP(H974,'Yield &amp; Time'!A:U,21,0),VLOOKUP(H974,'Yield &amp; Time'!A:L,12,0)),0)</f>
        <v>0</v>
      </c>
      <c r="S974" s="11">
        <f t="shared" si="289"/>
        <v>0</v>
      </c>
      <c r="T974" s="11">
        <f t="shared" si="290"/>
        <v>0</v>
      </c>
      <c r="U974" s="11">
        <f>IF(A973=A974,0,VLOOKUP(A974,'Packing Time'!A:F,6,0))</f>
        <v>0</v>
      </c>
      <c r="V974" s="11">
        <f t="shared" si="283"/>
        <v>0</v>
      </c>
      <c r="W974" s="11">
        <f t="shared" si="284"/>
        <v>0</v>
      </c>
      <c r="X974" s="11">
        <f t="shared" si="291"/>
        <v>0</v>
      </c>
      <c r="Y974" s="11">
        <f t="shared" si="285"/>
        <v>0</v>
      </c>
      <c r="Z974" s="37">
        <v>1</v>
      </c>
      <c r="AA974" s="36">
        <f t="shared" si="292"/>
        <v>1</v>
      </c>
      <c r="AB974" s="36">
        <f t="shared" si="293"/>
        <v>0.14000000000000001</v>
      </c>
      <c r="AC974" s="11">
        <f t="shared" si="294"/>
        <v>0</v>
      </c>
      <c r="AD974" s="36">
        <f t="shared" si="286"/>
        <v>0</v>
      </c>
      <c r="AE974" s="36"/>
      <c r="AF974" s="36">
        <f>IFERROR(VLOOKUP(AE974,'Chemical Cost'!A:D,4,0),0)</f>
        <v>0</v>
      </c>
      <c r="AG974" s="114">
        <f t="shared" si="295"/>
        <v>0</v>
      </c>
      <c r="AH974" s="36">
        <f t="shared" si="280"/>
        <v>0</v>
      </c>
      <c r="AI974" s="36">
        <f t="shared" si="287"/>
        <v>0.14000000000000001</v>
      </c>
      <c r="AJ974" s="36">
        <f>IFERROR(VLOOKUP(A974,'All Products'!A:F,6,0),0)</f>
        <v>2.4900000000000002</v>
      </c>
      <c r="AK974" s="36"/>
      <c r="AL974" s="23">
        <v>1</v>
      </c>
      <c r="AM974" s="23"/>
      <c r="AN974" s="54" t="e">
        <v>#N/A</v>
      </c>
      <c r="AO974" s="47"/>
      <c r="AP974" s="4">
        <v>1.6</v>
      </c>
      <c r="AQ974" s="111">
        <f t="shared" si="296"/>
        <v>0</v>
      </c>
      <c r="AR974">
        <f>_xlfn.XLOOKUP(F974,'RM Cost'!A:A,'RM Cost'!S:S)</f>
        <v>0</v>
      </c>
      <c r="AS974" t="str">
        <f>_xlfn.XLOOKUP(A974,[3]Sheet1!$B:$B,[3]Sheet1!$B:$B)</f>
        <v>Z224CS</v>
      </c>
      <c r="AT974" t="e">
        <f>_xlfn.XLOOKUP(H974,'Yield &amp; Time'!A:A,'Yield &amp; Time'!F:F)</f>
        <v>#N/A</v>
      </c>
    </row>
    <row r="975" spans="1:46" x14ac:dyDescent="0.25">
      <c r="A975" s="2" t="s">
        <v>919</v>
      </c>
      <c r="B975" s="2" t="s">
        <v>656</v>
      </c>
      <c r="C975" s="2" t="s">
        <v>920</v>
      </c>
      <c r="D975" s="2" t="s">
        <v>554</v>
      </c>
      <c r="E975" s="2">
        <v>2.5</v>
      </c>
      <c r="F975" s="1" t="str">
        <f>VLOOKUP(H975,'RM Used'!A:B,2,0)</f>
        <v>1318CS</v>
      </c>
      <c r="G975" s="1" t="str">
        <f>IFERROR(VLOOKUP(F975,'RM Cost'!A:B,2,0),"")</f>
        <v>RM - PREP ONION RED WHOLE 2.5KG</v>
      </c>
      <c r="H975" s="2" t="s">
        <v>1573</v>
      </c>
      <c r="I975" s="1" t="str">
        <f>VLOOKUP(F975,'RM Used'!B:D,3,0)</f>
        <v>RM-FOOD</v>
      </c>
      <c r="J975" s="66">
        <v>1</v>
      </c>
      <c r="K975" s="35">
        <f t="shared" si="282"/>
        <v>2.5</v>
      </c>
      <c r="L975" s="35">
        <f t="shared" si="288"/>
        <v>2.5</v>
      </c>
      <c r="M975" s="77" cm="1">
        <f t="array" ref="M975">_xlfn.IFS(BOM!I975="RM-PACKING","100%",B975="Reynolds",VLOOKUP(H975,'Yield &amp; Time'!A:V,22,0),BOM!B975="Dnata",VLOOKUP(BOM!H975,'Yield &amp; Time'!A:M,13,0),B975="NK",VLOOKUP(H975,'Yield &amp; Time'!A:X,24,0))</f>
        <v>0.87219999999999998</v>
      </c>
      <c r="N975" s="35">
        <f t="shared" si="281"/>
        <v>2.8663150653519835</v>
      </c>
      <c r="O975" s="1" t="str">
        <f>VLOOKUP(H975,'RM Used'!A:E,5,0)</f>
        <v>KG</v>
      </c>
      <c r="P975" s="11">
        <f>VLOOKUP(H975,'RM Used'!A:F,6,0)</f>
        <v>1.08</v>
      </c>
      <c r="Q975" s="11">
        <f t="shared" si="297"/>
        <v>3.0956202705801426</v>
      </c>
      <c r="R975" s="11">
        <f>IFERROR(IF(B975="Reynolds",VLOOKUP(H975,'Yield &amp; Time'!A:U,21,0),VLOOKUP(H975,'Yield &amp; Time'!A:L,12,0)),0)</f>
        <v>0.8833333333333333</v>
      </c>
      <c r="S975" s="11">
        <f t="shared" si="289"/>
        <v>0.74752083333333319</v>
      </c>
      <c r="T975" s="11">
        <f t="shared" si="290"/>
        <v>3.680555555555555E-2</v>
      </c>
      <c r="U975" s="11">
        <f>IF(A974=A975,0,VLOOKUP(A975,'Packing Time'!A:F,6,0))</f>
        <v>0.875</v>
      </c>
      <c r="V975" s="11">
        <f t="shared" si="283"/>
        <v>0.29618749999999999</v>
      </c>
      <c r="W975" s="11">
        <f t="shared" si="284"/>
        <v>1.4583333333333334E-2</v>
      </c>
      <c r="X975" s="11">
        <f t="shared" si="291"/>
        <v>1.4611916666666664</v>
      </c>
      <c r="Y975" s="11">
        <f t="shared" si="285"/>
        <v>1.4611916666666664</v>
      </c>
      <c r="Z975" s="37">
        <v>1</v>
      </c>
      <c r="AA975" s="36">
        <f t="shared" si="292"/>
        <v>2.8663150653519835</v>
      </c>
      <c r="AB975" s="36">
        <f t="shared" si="293"/>
        <v>3.0956202705801426</v>
      </c>
      <c r="AC975" s="11">
        <f t="shared" si="294"/>
        <v>7.1944444444444436E-2</v>
      </c>
      <c r="AD975" s="36">
        <f t="shared" si="286"/>
        <v>1.4611916666666664</v>
      </c>
      <c r="AE975" s="36" t="str">
        <f>VLOOKUP(H975,'Yield &amp; Time'!A:I,9,0)</f>
        <v>CHLORINE</v>
      </c>
      <c r="AF975" s="36">
        <f>IFERROR(VLOOKUP(AE975,'Chemical Cost'!A:D,4,0),0)</f>
        <v>2.7756518066439469E-2</v>
      </c>
      <c r="AG975" s="114">
        <f t="shared" si="295"/>
        <v>2.6519641965183319E-2</v>
      </c>
      <c r="AH975" s="36">
        <f t="shared" si="280"/>
        <v>2.6519641965183319E-2</v>
      </c>
      <c r="AI975" s="36">
        <f t="shared" si="287"/>
        <v>4.5833315792119924</v>
      </c>
      <c r="AJ975" s="36">
        <f>IFERROR(VLOOKUP(A975,'All Products'!A:F,6,0),0)</f>
        <v>6.22</v>
      </c>
      <c r="AK975" s="36">
        <f>AJ975*Z975*J975</f>
        <v>6.22</v>
      </c>
      <c r="AL975" s="23">
        <v>1</v>
      </c>
      <c r="AM975" s="23"/>
      <c r="AN975" s="54" t="e">
        <v>#N/A</v>
      </c>
      <c r="AO975" s="47"/>
      <c r="AP975" s="4">
        <v>1.4</v>
      </c>
      <c r="AQ975" s="111">
        <f t="shared" si="296"/>
        <v>7.1944444444444436E-2</v>
      </c>
      <c r="AR975">
        <f>_xlfn.XLOOKUP(F975,'RM Cost'!A:A,'RM Cost'!S:S)</f>
        <v>0</v>
      </c>
      <c r="AS975" t="str">
        <f>_xlfn.XLOOKUP(A975,[3]Sheet1!$B:$B,[3]Sheet1!$B:$B)</f>
        <v>Z223CS</v>
      </c>
      <c r="AT975">
        <f>_xlfn.XLOOKUP(H975,'Yield &amp; Time'!A:A,'Yield &amp; Time'!F:F)</f>
        <v>0</v>
      </c>
    </row>
    <row r="976" spans="1:46" x14ac:dyDescent="0.25">
      <c r="A976" s="2" t="s">
        <v>919</v>
      </c>
      <c r="B976" s="2" t="s">
        <v>656</v>
      </c>
      <c r="C976" s="2" t="s">
        <v>920</v>
      </c>
      <c r="D976" s="2" t="s">
        <v>554</v>
      </c>
      <c r="E976" s="2">
        <v>2.5</v>
      </c>
      <c r="F976" s="1" t="str">
        <f>VLOOKUP(H976,'RM Used'!A:B,2,0)</f>
        <v>P0008</v>
      </c>
      <c r="G976" s="1" t="str">
        <f>IFERROR(VLOOKUP(F976,'RM Cost'!A:B,2,0),"")</f>
        <v>PALE BLUE BAG 470X750MM</v>
      </c>
      <c r="H976" s="2" t="s">
        <v>1323</v>
      </c>
      <c r="I976" s="1" t="str">
        <f>VLOOKUP(F976,'RM Used'!B:D,3,0)</f>
        <v>RM-PACKING</v>
      </c>
      <c r="J976" s="66">
        <v>1</v>
      </c>
      <c r="K976" s="35" t="str">
        <f t="shared" si="282"/>
        <v/>
      </c>
      <c r="L976" s="35">
        <f t="shared" si="288"/>
        <v>0</v>
      </c>
      <c r="M976" s="77" t="str" cm="1">
        <f t="array" ref="M976">_xlfn.IFS(BOM!I976="RM-PACKING","100%",B976="Reynolds",VLOOKUP(H976,'Yield &amp; Time'!A:V,22,0),BOM!B976="Dnata",VLOOKUP(BOM!H976,'Yield &amp; Time'!A:M,13,0),B976="NK",VLOOKUP(H976,'Yield &amp; Time'!A:X,24,0))</f>
        <v>100%</v>
      </c>
      <c r="N976" s="35">
        <f t="shared" si="281"/>
        <v>1</v>
      </c>
      <c r="O976" s="1" t="str">
        <f>VLOOKUP(H976,'RM Used'!A:E,5,0)</f>
        <v>Count</v>
      </c>
      <c r="P976" s="11">
        <f>VLOOKUP(H976,'RM Used'!A:F,6,0)</f>
        <v>0.14000000000000001</v>
      </c>
      <c r="Q976" s="11">
        <f t="shared" si="297"/>
        <v>0.14000000000000001</v>
      </c>
      <c r="R976" s="11">
        <f>IFERROR(IF(B976="Reynolds",VLOOKUP(H976,'Yield &amp; Time'!A:U,21,0),VLOOKUP(H976,'Yield &amp; Time'!A:L,12,0)),0)</f>
        <v>0</v>
      </c>
      <c r="S976" s="11">
        <f t="shared" si="289"/>
        <v>0</v>
      </c>
      <c r="T976" s="11">
        <f t="shared" si="290"/>
        <v>0</v>
      </c>
      <c r="U976" s="11">
        <f>IF(A975=A976,0,VLOOKUP(A976,'Packing Time'!A:F,6,0))</f>
        <v>0</v>
      </c>
      <c r="V976" s="11">
        <f t="shared" si="283"/>
        <v>0</v>
      </c>
      <c r="W976" s="11">
        <f t="shared" si="284"/>
        <v>0</v>
      </c>
      <c r="X976" s="11">
        <f t="shared" si="291"/>
        <v>0</v>
      </c>
      <c r="Y976" s="11">
        <f t="shared" si="285"/>
        <v>0</v>
      </c>
      <c r="Z976" s="37">
        <v>1</v>
      </c>
      <c r="AA976" s="36">
        <f t="shared" si="292"/>
        <v>1</v>
      </c>
      <c r="AB976" s="36">
        <f t="shared" si="293"/>
        <v>0.14000000000000001</v>
      </c>
      <c r="AC976" s="11">
        <f t="shared" si="294"/>
        <v>0</v>
      </c>
      <c r="AD976" s="36">
        <f t="shared" si="286"/>
        <v>0</v>
      </c>
      <c r="AE976" s="36"/>
      <c r="AF976" s="36">
        <f>IFERROR(VLOOKUP(AE976,'Chemical Cost'!A:D,4,0),0)</f>
        <v>0</v>
      </c>
      <c r="AG976" s="114">
        <f t="shared" si="295"/>
        <v>0</v>
      </c>
      <c r="AH976" s="36">
        <f t="shared" si="280"/>
        <v>0</v>
      </c>
      <c r="AI976" s="36">
        <f t="shared" si="287"/>
        <v>0.14000000000000001</v>
      </c>
      <c r="AJ976" s="36">
        <f>IFERROR(VLOOKUP(A976,'All Products'!A:F,6,0),0)</f>
        <v>6.22</v>
      </c>
      <c r="AK976" s="36"/>
      <c r="AL976" s="23">
        <v>1</v>
      </c>
      <c r="AM976" s="23"/>
      <c r="AN976" s="54" t="e">
        <v>#N/A</v>
      </c>
      <c r="AO976" s="47"/>
      <c r="AP976" s="4">
        <v>1.4</v>
      </c>
      <c r="AQ976" s="111">
        <f t="shared" si="296"/>
        <v>0</v>
      </c>
      <c r="AR976">
        <f>_xlfn.XLOOKUP(F976,'RM Cost'!A:A,'RM Cost'!S:S)</f>
        <v>0</v>
      </c>
      <c r="AS976" t="str">
        <f>_xlfn.XLOOKUP(A976,[3]Sheet1!$B:$B,[3]Sheet1!$B:$B)</f>
        <v>Z223CS</v>
      </c>
      <c r="AT976" t="e">
        <f>_xlfn.XLOOKUP(H976,'Yield &amp; Time'!A:A,'Yield &amp; Time'!F:F)</f>
        <v>#N/A</v>
      </c>
    </row>
    <row r="977" spans="1:46" x14ac:dyDescent="0.25">
      <c r="A977" s="2" t="s">
        <v>921</v>
      </c>
      <c r="B977" s="2" t="s">
        <v>656</v>
      </c>
      <c r="C977" s="2" t="s">
        <v>922</v>
      </c>
      <c r="D977" s="2" t="s">
        <v>554</v>
      </c>
      <c r="E977" s="2">
        <v>1</v>
      </c>
      <c r="F977" s="1" t="str">
        <f>VLOOKUP(H977,'RM Used'!A:B,2,0)</f>
        <v>1318CS</v>
      </c>
      <c r="G977" s="1" t="str">
        <f>IFERROR(VLOOKUP(F977,'RM Cost'!A:B,2,0),"")</f>
        <v>RM - PREP ONION RED WHOLE 2.5KG</v>
      </c>
      <c r="H977" s="2" t="s">
        <v>1574</v>
      </c>
      <c r="I977" s="1" t="str">
        <f>VLOOKUP(F977,'RM Used'!B:D,3,0)</f>
        <v>RM-FOOD</v>
      </c>
      <c r="J977" s="66">
        <v>1</v>
      </c>
      <c r="K977" s="35">
        <f t="shared" si="282"/>
        <v>1</v>
      </c>
      <c r="L977" s="35">
        <f t="shared" si="288"/>
        <v>1</v>
      </c>
      <c r="M977" s="77" cm="1">
        <f t="array" ref="M977">_xlfn.IFS(BOM!I977="RM-PACKING","100%",B977="Reynolds",VLOOKUP(H977,'Yield &amp; Time'!A:V,22,0),BOM!B977="Dnata",VLOOKUP(BOM!H977,'Yield &amp; Time'!A:M,13,0),B977="NK",VLOOKUP(H977,'Yield &amp; Time'!A:X,24,0))</f>
        <v>0.87219999999999998</v>
      </c>
      <c r="N977" s="35">
        <f t="shared" si="281"/>
        <v>1.1465260261407935</v>
      </c>
      <c r="O977" s="1" t="str">
        <f>VLOOKUP(H977,'RM Used'!A:E,5,0)</f>
        <v>KG</v>
      </c>
      <c r="P977" s="11">
        <f>VLOOKUP(H977,'RM Used'!A:F,6,0)</f>
        <v>1.08</v>
      </c>
      <c r="Q977" s="11">
        <f t="shared" si="297"/>
        <v>1.2382481082320571</v>
      </c>
      <c r="R977" s="11">
        <f>IFERROR(IF(B977="Reynolds",VLOOKUP(H977,'Yield &amp; Time'!A:U,21,0),VLOOKUP(H977,'Yield &amp; Time'!A:L,12,0)),0)</f>
        <v>1.1166666666666667</v>
      </c>
      <c r="S977" s="11">
        <f t="shared" si="289"/>
        <v>0.37799166666666661</v>
      </c>
      <c r="T977" s="11">
        <f t="shared" si="290"/>
        <v>1.8611111111111113E-2</v>
      </c>
      <c r="U977" s="11">
        <f>IF(A976=A977,0,VLOOKUP(A977,'Packing Time'!A:F,6,0))</f>
        <v>0.64166666666666661</v>
      </c>
      <c r="V977" s="11">
        <f t="shared" si="283"/>
        <v>0.21720416666666661</v>
      </c>
      <c r="W977" s="11">
        <f t="shared" si="284"/>
        <v>1.0694444444444444E-2</v>
      </c>
      <c r="X977" s="11">
        <f t="shared" si="291"/>
        <v>0.83327416666666654</v>
      </c>
      <c r="Y977" s="11">
        <f t="shared" si="285"/>
        <v>0.83327416666666654</v>
      </c>
      <c r="Z977" s="37">
        <v>1</v>
      </c>
      <c r="AA977" s="36">
        <f t="shared" si="292"/>
        <v>1.1465260261407935</v>
      </c>
      <c r="AB977" s="36">
        <f t="shared" si="293"/>
        <v>1.2382481082320571</v>
      </c>
      <c r="AC977" s="11">
        <f t="shared" si="294"/>
        <v>4.1027777777777774E-2</v>
      </c>
      <c r="AD977" s="36">
        <f t="shared" si="286"/>
        <v>0.83327416666666654</v>
      </c>
      <c r="AE977" s="36" t="str">
        <f>VLOOKUP(H977,'Yield &amp; Time'!A:I,9,0)</f>
        <v>CHLORINE</v>
      </c>
      <c r="AF977" s="36">
        <f>IFERROR(VLOOKUP(AE977,'Chemical Cost'!A:D,4,0),0)</f>
        <v>2.7756518066439469E-2</v>
      </c>
      <c r="AG977" s="114">
        <f t="shared" si="295"/>
        <v>1.0607856786073329E-2</v>
      </c>
      <c r="AH977" s="36">
        <f t="shared" si="280"/>
        <v>1.0607856786073329E-2</v>
      </c>
      <c r="AI977" s="36">
        <f t="shared" si="287"/>
        <v>2.0821301316847971</v>
      </c>
      <c r="AJ977" s="36">
        <f>IFERROR(VLOOKUP(A977,'All Products'!A:F,6,0),0)</f>
        <v>3.19</v>
      </c>
      <c r="AK977" s="36">
        <f>AJ977*Z977*J977</f>
        <v>3.19</v>
      </c>
      <c r="AL977" s="23">
        <v>0.8</v>
      </c>
      <c r="AM977" s="23">
        <v>0.2</v>
      </c>
      <c r="AN977" s="54" t="e">
        <v>#N/A</v>
      </c>
      <c r="AO977" s="47"/>
      <c r="AP977" s="4">
        <v>1.4</v>
      </c>
      <c r="AQ977" s="111">
        <f t="shared" si="296"/>
        <v>4.1027777777777774E-2</v>
      </c>
      <c r="AR977">
        <f>_xlfn.XLOOKUP(F977,'RM Cost'!A:A,'RM Cost'!S:S)</f>
        <v>0</v>
      </c>
      <c r="AS977" t="str">
        <f>_xlfn.XLOOKUP(A977,[3]Sheet1!$B:$B,[3]Sheet1!$B:$B)</f>
        <v>Z226CS</v>
      </c>
      <c r="AT977">
        <f>_xlfn.XLOOKUP(H977,'Yield &amp; Time'!A:A,'Yield &amp; Time'!F:F)</f>
        <v>0</v>
      </c>
    </row>
    <row r="978" spans="1:46" x14ac:dyDescent="0.25">
      <c r="A978" s="2" t="s">
        <v>921</v>
      </c>
      <c r="B978" s="2" t="s">
        <v>656</v>
      </c>
      <c r="C978" s="2" t="s">
        <v>922</v>
      </c>
      <c r="D978" s="2" t="s">
        <v>554</v>
      </c>
      <c r="E978" s="2">
        <v>1</v>
      </c>
      <c r="F978" s="1" t="str">
        <f>VLOOKUP(H978,'RM Used'!A:B,2,0)</f>
        <v>P0008</v>
      </c>
      <c r="G978" s="1" t="str">
        <f>IFERROR(VLOOKUP(F978,'RM Cost'!A:B,2,0),"")</f>
        <v>PALE BLUE BAG 470X750MM</v>
      </c>
      <c r="H978" s="2" t="s">
        <v>1323</v>
      </c>
      <c r="I978" s="1" t="str">
        <f>VLOOKUP(F978,'RM Used'!B:D,3,0)</f>
        <v>RM-PACKING</v>
      </c>
      <c r="J978" s="66">
        <v>1</v>
      </c>
      <c r="K978" s="35" t="str">
        <f t="shared" si="282"/>
        <v/>
      </c>
      <c r="L978" s="35">
        <f t="shared" si="288"/>
        <v>0</v>
      </c>
      <c r="M978" s="77" t="str" cm="1">
        <f t="array" ref="M978">_xlfn.IFS(BOM!I978="RM-PACKING","100%",B978="Reynolds",VLOOKUP(H978,'Yield &amp; Time'!A:V,22,0),BOM!B978="Dnata",VLOOKUP(BOM!H978,'Yield &amp; Time'!A:M,13,0),B978="NK",VLOOKUP(H978,'Yield &amp; Time'!A:X,24,0))</f>
        <v>100%</v>
      </c>
      <c r="N978" s="35">
        <f t="shared" si="281"/>
        <v>1</v>
      </c>
      <c r="O978" s="1" t="str">
        <f>VLOOKUP(H978,'RM Used'!A:E,5,0)</f>
        <v>Count</v>
      </c>
      <c r="P978" s="11">
        <f>VLOOKUP(H978,'RM Used'!A:F,6,0)</f>
        <v>0.14000000000000001</v>
      </c>
      <c r="Q978" s="11">
        <f t="shared" si="297"/>
        <v>0.14000000000000001</v>
      </c>
      <c r="R978" s="11">
        <f>IFERROR(IF(B978="Reynolds",VLOOKUP(H978,'Yield &amp; Time'!A:U,21,0),VLOOKUP(H978,'Yield &amp; Time'!A:L,12,0)),0)</f>
        <v>0</v>
      </c>
      <c r="S978" s="11">
        <f t="shared" si="289"/>
        <v>0</v>
      </c>
      <c r="T978" s="11">
        <f t="shared" si="290"/>
        <v>0</v>
      </c>
      <c r="U978" s="11">
        <f>IF(A977=A978,0,VLOOKUP(A978,'Packing Time'!A:F,6,0))</f>
        <v>0</v>
      </c>
      <c r="V978" s="11">
        <f t="shared" si="283"/>
        <v>0</v>
      </c>
      <c r="W978" s="11">
        <f t="shared" si="284"/>
        <v>0</v>
      </c>
      <c r="X978" s="11">
        <f t="shared" si="291"/>
        <v>0</v>
      </c>
      <c r="Y978" s="11">
        <f t="shared" si="285"/>
        <v>0</v>
      </c>
      <c r="Z978" s="37">
        <v>1</v>
      </c>
      <c r="AA978" s="36">
        <f t="shared" si="292"/>
        <v>1</v>
      </c>
      <c r="AB978" s="36">
        <f t="shared" si="293"/>
        <v>0.14000000000000001</v>
      </c>
      <c r="AC978" s="11">
        <f t="shared" si="294"/>
        <v>0</v>
      </c>
      <c r="AD978" s="36">
        <f t="shared" si="286"/>
        <v>0</v>
      </c>
      <c r="AE978" s="36"/>
      <c r="AF978" s="36">
        <f>IFERROR(VLOOKUP(AE978,'Chemical Cost'!A:D,4,0),0)</f>
        <v>0</v>
      </c>
      <c r="AG978" s="114">
        <f t="shared" si="295"/>
        <v>0</v>
      </c>
      <c r="AH978" s="36">
        <f t="shared" si="280"/>
        <v>0</v>
      </c>
      <c r="AI978" s="36">
        <f t="shared" si="287"/>
        <v>0.14000000000000001</v>
      </c>
      <c r="AJ978" s="36">
        <f>IFERROR(VLOOKUP(A978,'All Products'!A:F,6,0),0)</f>
        <v>3.19</v>
      </c>
      <c r="AK978" s="36"/>
      <c r="AL978" s="23">
        <v>0.8</v>
      </c>
      <c r="AM978" s="23">
        <v>0.2</v>
      </c>
      <c r="AN978" s="54" t="e">
        <v>#N/A</v>
      </c>
      <c r="AO978" s="47"/>
      <c r="AP978" s="4">
        <v>1.4</v>
      </c>
      <c r="AQ978" s="111">
        <f t="shared" si="296"/>
        <v>0</v>
      </c>
      <c r="AR978">
        <f>_xlfn.XLOOKUP(F978,'RM Cost'!A:A,'RM Cost'!S:S)</f>
        <v>0</v>
      </c>
      <c r="AS978" t="str">
        <f>_xlfn.XLOOKUP(A978,[3]Sheet1!$B:$B,[3]Sheet1!$B:$B)</f>
        <v>Z226CS</v>
      </c>
      <c r="AT978" t="e">
        <f>_xlfn.XLOOKUP(H978,'Yield &amp; Time'!A:A,'Yield &amp; Time'!F:F)</f>
        <v>#N/A</v>
      </c>
    </row>
    <row r="979" spans="1:46" x14ac:dyDescent="0.25">
      <c r="A979" s="2" t="s">
        <v>60</v>
      </c>
      <c r="B979" s="2" t="s">
        <v>656</v>
      </c>
      <c r="C979" s="2" t="s">
        <v>61</v>
      </c>
      <c r="D979" s="2" t="s">
        <v>554</v>
      </c>
      <c r="E979" s="2">
        <v>2.5</v>
      </c>
      <c r="F979" s="1" t="str">
        <f>VLOOKUP(H979,'RM Used'!A:B,2,0)</f>
        <v>1318CS</v>
      </c>
      <c r="G979" s="1" t="str">
        <f>IFERROR(VLOOKUP(F979,'RM Cost'!A:B,2,0),"")</f>
        <v>RM - PREP ONION RED WHOLE 2.5KG</v>
      </c>
      <c r="H979" s="2" t="s">
        <v>1574</v>
      </c>
      <c r="I979" s="1" t="str">
        <f>VLOOKUP(F979,'RM Used'!B:D,3,0)</f>
        <v>RM-FOOD</v>
      </c>
      <c r="J979" s="66">
        <v>1</v>
      </c>
      <c r="K979" s="35">
        <f t="shared" si="282"/>
        <v>2.5</v>
      </c>
      <c r="L979" s="35">
        <f t="shared" si="288"/>
        <v>2.5</v>
      </c>
      <c r="M979" s="77" cm="1">
        <f t="array" ref="M979">_xlfn.IFS(BOM!I979="RM-PACKING","100%",B979="Reynolds",VLOOKUP(H979,'Yield &amp; Time'!A:V,22,0),BOM!B979="Dnata",VLOOKUP(BOM!H979,'Yield &amp; Time'!A:M,13,0),B979="NK",VLOOKUP(H979,'Yield &amp; Time'!A:X,24,0))</f>
        <v>0.87219999999999998</v>
      </c>
      <c r="N979" s="35">
        <f t="shared" si="281"/>
        <v>2.8663150653519835</v>
      </c>
      <c r="O979" s="1" t="str">
        <f>VLOOKUP(H979,'RM Used'!A:E,5,0)</f>
        <v>KG</v>
      </c>
      <c r="P979" s="11">
        <f>VLOOKUP(H979,'RM Used'!A:F,6,0)</f>
        <v>1.08</v>
      </c>
      <c r="Q979" s="11">
        <f t="shared" si="297"/>
        <v>3.0956202705801426</v>
      </c>
      <c r="R979" s="11">
        <f>IFERROR(IF(B979="Reynolds",VLOOKUP(H979,'Yield &amp; Time'!A:U,21,0),VLOOKUP(H979,'Yield &amp; Time'!A:L,12,0)),0)</f>
        <v>1.1166666666666667</v>
      </c>
      <c r="S979" s="11">
        <f t="shared" si="289"/>
        <v>0.9449791666666667</v>
      </c>
      <c r="T979" s="11">
        <f t="shared" si="290"/>
        <v>4.6527777777777786E-2</v>
      </c>
      <c r="U979" s="11">
        <f>IF(A978=A979,0,VLOOKUP(A979,'Packing Time'!A:F,6,0))</f>
        <v>0.875</v>
      </c>
      <c r="V979" s="11">
        <f t="shared" si="283"/>
        <v>0.29618749999999999</v>
      </c>
      <c r="W979" s="11">
        <f t="shared" si="284"/>
        <v>1.4583333333333334E-2</v>
      </c>
      <c r="X979" s="11">
        <f t="shared" si="291"/>
        <v>1.5514583333333334</v>
      </c>
      <c r="Y979" s="11">
        <f t="shared" si="285"/>
        <v>1.5514583333333334</v>
      </c>
      <c r="Z979" s="37">
        <v>1</v>
      </c>
      <c r="AA979" s="36">
        <f t="shared" si="292"/>
        <v>2.8663150653519835</v>
      </c>
      <c r="AB979" s="36">
        <f t="shared" si="293"/>
        <v>3.0956202705801426</v>
      </c>
      <c r="AC979" s="11">
        <f t="shared" si="294"/>
        <v>7.6388888888888895E-2</v>
      </c>
      <c r="AD979" s="36">
        <f t="shared" si="286"/>
        <v>1.5514583333333334</v>
      </c>
      <c r="AE979" s="36" t="str">
        <f>VLOOKUP(H979,'Yield &amp; Time'!A:I,9,0)</f>
        <v>CHLORINE</v>
      </c>
      <c r="AF979" s="36">
        <f>IFERROR(VLOOKUP(AE979,'Chemical Cost'!A:D,4,0),0)</f>
        <v>2.7756518066439469E-2</v>
      </c>
      <c r="AG979" s="114">
        <f t="shared" si="295"/>
        <v>2.6519641965183319E-2</v>
      </c>
      <c r="AH979" s="36">
        <f t="shared" si="280"/>
        <v>2.6519641965183319E-2</v>
      </c>
      <c r="AI979" s="36">
        <f t="shared" si="287"/>
        <v>4.6735982458786598</v>
      </c>
      <c r="AJ979" s="36">
        <f>IFERROR(VLOOKUP(A979,'All Products'!A:F,6,0),0)</f>
        <v>7.99</v>
      </c>
      <c r="AK979" s="36">
        <f>AJ979*Z979*J979</f>
        <v>7.99</v>
      </c>
      <c r="AL979" s="23">
        <v>0.8</v>
      </c>
      <c r="AM979" s="23">
        <v>0.2</v>
      </c>
      <c r="AN979" s="54" t="e">
        <v>#N/A</v>
      </c>
      <c r="AO979" s="47"/>
      <c r="AP979" s="4">
        <v>1.25</v>
      </c>
      <c r="AQ979" s="111">
        <f t="shared" si="296"/>
        <v>7.6388888888888895E-2</v>
      </c>
      <c r="AR979">
        <f>_xlfn.XLOOKUP(F979,'RM Cost'!A:A,'RM Cost'!S:S)</f>
        <v>0</v>
      </c>
      <c r="AS979" t="str">
        <f>_xlfn.XLOOKUP(A979,[3]Sheet1!$B:$B,[3]Sheet1!$B:$B)</f>
        <v>Z225CS</v>
      </c>
      <c r="AT979">
        <f>_xlfn.XLOOKUP(H979,'Yield &amp; Time'!A:A,'Yield &amp; Time'!F:F)</f>
        <v>0</v>
      </c>
    </row>
    <row r="980" spans="1:46" x14ac:dyDescent="0.25">
      <c r="A980" s="2" t="s">
        <v>60</v>
      </c>
      <c r="B980" s="2" t="s">
        <v>656</v>
      </c>
      <c r="C980" s="2" t="s">
        <v>61</v>
      </c>
      <c r="D980" s="2" t="s">
        <v>554</v>
      </c>
      <c r="E980" s="2">
        <v>2.5</v>
      </c>
      <c r="F980" s="1" t="str">
        <f>VLOOKUP(H980,'RM Used'!A:B,2,0)</f>
        <v>P0008</v>
      </c>
      <c r="G980" s="1" t="str">
        <f>IFERROR(VLOOKUP(F980,'RM Cost'!A:B,2,0),"")</f>
        <v>PALE BLUE BAG 470X750MM</v>
      </c>
      <c r="H980" s="2" t="s">
        <v>1323</v>
      </c>
      <c r="I980" s="1" t="str">
        <f>VLOOKUP(F980,'RM Used'!B:D,3,0)</f>
        <v>RM-PACKING</v>
      </c>
      <c r="J980" s="66">
        <v>1</v>
      </c>
      <c r="K980" s="35" t="str">
        <f t="shared" si="282"/>
        <v/>
      </c>
      <c r="L980" s="35">
        <f t="shared" si="288"/>
        <v>0</v>
      </c>
      <c r="M980" s="77" t="str" cm="1">
        <f t="array" ref="M980">_xlfn.IFS(BOM!I980="RM-PACKING","100%",B980="Reynolds",VLOOKUP(H980,'Yield &amp; Time'!A:V,22,0),BOM!B980="Dnata",VLOOKUP(BOM!H980,'Yield &amp; Time'!A:M,13,0),B980="NK",VLOOKUP(H980,'Yield &amp; Time'!A:X,24,0))</f>
        <v>100%</v>
      </c>
      <c r="N980" s="35">
        <f t="shared" si="281"/>
        <v>1</v>
      </c>
      <c r="O980" s="1" t="str">
        <f>VLOOKUP(H980,'RM Used'!A:E,5,0)</f>
        <v>Count</v>
      </c>
      <c r="P980" s="11">
        <f>VLOOKUP(H980,'RM Used'!A:F,6,0)</f>
        <v>0.14000000000000001</v>
      </c>
      <c r="Q980" s="11">
        <f t="shared" si="297"/>
        <v>0.14000000000000001</v>
      </c>
      <c r="R980" s="11">
        <f>IFERROR(IF(B980="Reynolds",VLOOKUP(H980,'Yield &amp; Time'!A:U,21,0),VLOOKUP(H980,'Yield &amp; Time'!A:L,12,0)),0)</f>
        <v>0</v>
      </c>
      <c r="S980" s="11">
        <f t="shared" si="289"/>
        <v>0</v>
      </c>
      <c r="T980" s="11">
        <f t="shared" si="290"/>
        <v>0</v>
      </c>
      <c r="U980" s="11">
        <f>IF(A979=A980,0,VLOOKUP(A980,'Packing Time'!A:F,6,0))</f>
        <v>0</v>
      </c>
      <c r="V980" s="11">
        <f t="shared" si="283"/>
        <v>0</v>
      </c>
      <c r="W980" s="11">
        <f t="shared" si="284"/>
        <v>0</v>
      </c>
      <c r="X980" s="11">
        <f t="shared" si="291"/>
        <v>0</v>
      </c>
      <c r="Y980" s="11">
        <f t="shared" si="285"/>
        <v>0</v>
      </c>
      <c r="Z980" s="37">
        <v>1</v>
      </c>
      <c r="AA980" s="36">
        <f t="shared" si="292"/>
        <v>1</v>
      </c>
      <c r="AB980" s="36">
        <f t="shared" si="293"/>
        <v>0.14000000000000001</v>
      </c>
      <c r="AC980" s="11">
        <f t="shared" si="294"/>
        <v>0</v>
      </c>
      <c r="AD980" s="36">
        <f t="shared" si="286"/>
        <v>0</v>
      </c>
      <c r="AE980" s="36"/>
      <c r="AF980" s="36">
        <f>IFERROR(VLOOKUP(AE980,'Chemical Cost'!A:D,4,0),0)</f>
        <v>0</v>
      </c>
      <c r="AG980" s="114">
        <f t="shared" si="295"/>
        <v>0</v>
      </c>
      <c r="AH980" s="36">
        <f t="shared" si="280"/>
        <v>0</v>
      </c>
      <c r="AI980" s="36">
        <f t="shared" si="287"/>
        <v>0.14000000000000001</v>
      </c>
      <c r="AJ980" s="36">
        <f>IFERROR(VLOOKUP(A980,'All Products'!A:F,6,0),0)</f>
        <v>7.99</v>
      </c>
      <c r="AK980" s="36"/>
      <c r="AL980" s="23">
        <v>0.8</v>
      </c>
      <c r="AM980" s="23">
        <v>0.2</v>
      </c>
      <c r="AN980" s="54" t="e">
        <v>#N/A</v>
      </c>
      <c r="AO980" s="47"/>
      <c r="AP980" s="4">
        <v>1.25</v>
      </c>
      <c r="AQ980" s="111">
        <f t="shared" si="296"/>
        <v>0</v>
      </c>
      <c r="AR980">
        <f>_xlfn.XLOOKUP(F980,'RM Cost'!A:A,'RM Cost'!S:S)</f>
        <v>0</v>
      </c>
      <c r="AS980" t="str">
        <f>_xlfn.XLOOKUP(A980,[3]Sheet1!$B:$B,[3]Sheet1!$B:$B)</f>
        <v>Z225CS</v>
      </c>
      <c r="AT980" t="e">
        <f>_xlfn.XLOOKUP(H980,'Yield &amp; Time'!A:A,'Yield &amp; Time'!F:F)</f>
        <v>#N/A</v>
      </c>
    </row>
    <row r="981" spans="1:46" x14ac:dyDescent="0.25">
      <c r="A981" s="2" t="s">
        <v>55</v>
      </c>
      <c r="B981" s="2" t="s">
        <v>656</v>
      </c>
      <c r="C981" s="2" t="s">
        <v>56</v>
      </c>
      <c r="D981" s="2" t="s">
        <v>554</v>
      </c>
      <c r="E981" s="2">
        <v>1</v>
      </c>
      <c r="F981" s="1" t="str">
        <f>VLOOKUP(H981,'RM Used'!A:B,2,0)</f>
        <v>3080CS</v>
      </c>
      <c r="G981" s="1" t="str">
        <f>IFERROR(VLOOKUP(F981,'RM Cost'!A:B,2,0),"")</f>
        <v>RM - SAVOY CABBAGE 1 X 5KG</v>
      </c>
      <c r="H981" s="2" t="s">
        <v>1353</v>
      </c>
      <c r="I981" s="1" t="str">
        <f>VLOOKUP(F981,'RM Used'!B:D,3,0)</f>
        <v>RM-FOOD</v>
      </c>
      <c r="J981" s="66">
        <v>1</v>
      </c>
      <c r="K981" s="35">
        <f t="shared" si="282"/>
        <v>1</v>
      </c>
      <c r="L981" s="35">
        <f t="shared" si="288"/>
        <v>1</v>
      </c>
      <c r="M981" s="77" cm="1">
        <f t="array" ref="M981">_xlfn.IFS(BOM!I981="RM-PACKING","100%",B981="Reynolds",VLOOKUP(H981,'Yield &amp; Time'!A:V,22,0),BOM!B981="Dnata",VLOOKUP(BOM!H981,'Yield &amp; Time'!A:M,13,0),B981="NK",VLOOKUP(H981,'Yield &amp; Time'!A:X,24,0))</f>
        <v>0.72000000000000008</v>
      </c>
      <c r="N981" s="35">
        <f t="shared" si="281"/>
        <v>1.3888888888888886</v>
      </c>
      <c r="O981" s="1" t="str">
        <f>VLOOKUP(H981,'RM Used'!A:E,5,0)</f>
        <v>KG</v>
      </c>
      <c r="P981" s="11">
        <f>VLOOKUP(H981,'RM Used'!A:F,6,0)</f>
        <v>0.76</v>
      </c>
      <c r="Q981" s="11">
        <f t="shared" si="297"/>
        <v>1.0555555555555554</v>
      </c>
      <c r="R981" s="11">
        <f>IFERROR(IF(B981="Reynolds",VLOOKUP(H981,'Yield &amp; Time'!A:U,21,0),VLOOKUP(H981,'Yield &amp; Time'!A:L,12,0)),0)</f>
        <v>0.87031835205992514</v>
      </c>
      <c r="S981" s="11">
        <f t="shared" si="289"/>
        <v>0.29460276217228465</v>
      </c>
      <c r="T981" s="11">
        <f t="shared" si="290"/>
        <v>1.4505305867665418E-2</v>
      </c>
      <c r="U981" s="11">
        <f>IF(A980=A981,0,VLOOKUP(A981,'Packing Time'!A:F,6,0))</f>
        <v>0.64166666666666661</v>
      </c>
      <c r="V981" s="11">
        <f t="shared" si="283"/>
        <v>0.21720416666666661</v>
      </c>
      <c r="W981" s="11">
        <f t="shared" si="284"/>
        <v>1.0694444444444444E-2</v>
      </c>
      <c r="X981" s="11">
        <f t="shared" si="291"/>
        <v>0.81889108614232209</v>
      </c>
      <c r="Y981" s="11">
        <f t="shared" si="285"/>
        <v>0.81889108614232209</v>
      </c>
      <c r="Z981" s="37">
        <v>1</v>
      </c>
      <c r="AA981" s="36">
        <f t="shared" si="292"/>
        <v>1.3888888888888886</v>
      </c>
      <c r="AB981" s="36">
        <f t="shared" si="293"/>
        <v>1.0555555555555554</v>
      </c>
      <c r="AC981" s="11">
        <f t="shared" si="294"/>
        <v>4.0319600499375781E-2</v>
      </c>
      <c r="AD981" s="36">
        <f t="shared" si="286"/>
        <v>0.81889108614232209</v>
      </c>
      <c r="AE981" s="36"/>
      <c r="AF981" s="36">
        <f>IFERROR(VLOOKUP(AE981,'Chemical Cost'!A:D,4,0),0)</f>
        <v>0</v>
      </c>
      <c r="AG981" s="114">
        <f t="shared" si="295"/>
        <v>0</v>
      </c>
      <c r="AH981" s="36">
        <f t="shared" si="280"/>
        <v>0</v>
      </c>
      <c r="AI981" s="36">
        <f t="shared" si="287"/>
        <v>1.8744466416978773</v>
      </c>
      <c r="AJ981" s="36">
        <f>IFERROR(VLOOKUP(A981,'All Products'!A:F,6,0),0)</f>
        <v>4.29</v>
      </c>
      <c r="AK981" s="36">
        <f>AJ981*Z981*J981</f>
        <v>4.29</v>
      </c>
      <c r="AL981" s="23">
        <v>1</v>
      </c>
      <c r="AM981" s="23"/>
      <c r="AN981" s="54" t="e">
        <v>#N/A</v>
      </c>
      <c r="AO981" s="47"/>
      <c r="AP981" s="4">
        <v>1.6</v>
      </c>
      <c r="AQ981" s="111">
        <f t="shared" si="296"/>
        <v>4.0319600499375781E-2</v>
      </c>
      <c r="AR981">
        <f>_xlfn.XLOOKUP(F981,'RM Cost'!A:A,'RM Cost'!S:S)</f>
        <v>0</v>
      </c>
      <c r="AS981" t="str">
        <f>_xlfn.XLOOKUP(A981,[3]Sheet1!$B:$B,[3]Sheet1!$B:$B)</f>
        <v>Z216CS</v>
      </c>
      <c r="AT981" t="str">
        <f>_xlfn.XLOOKUP(H981,'Yield &amp; Time'!A:A,'Yield &amp; Time'!F:F)</f>
        <v>Yes</v>
      </c>
    </row>
    <row r="982" spans="1:46" x14ac:dyDescent="0.25">
      <c r="A982" s="2" t="s">
        <v>55</v>
      </c>
      <c r="B982" s="2" t="s">
        <v>656</v>
      </c>
      <c r="C982" s="2" t="s">
        <v>56</v>
      </c>
      <c r="D982" s="2" t="s">
        <v>554</v>
      </c>
      <c r="E982" s="2">
        <v>1</v>
      </c>
      <c r="F982" s="1" t="str">
        <f>VLOOKUP(H982,'RM Used'!A:B,2,0)</f>
        <v>P0008</v>
      </c>
      <c r="G982" s="1" t="str">
        <f>IFERROR(VLOOKUP(F982,'RM Cost'!A:B,2,0),"")</f>
        <v>PALE BLUE BAG 470X750MM</v>
      </c>
      <c r="H982" s="2" t="s">
        <v>1323</v>
      </c>
      <c r="I982" s="1" t="str">
        <f>VLOOKUP(F982,'RM Used'!B:D,3,0)</f>
        <v>RM-PACKING</v>
      </c>
      <c r="J982" s="66">
        <v>1</v>
      </c>
      <c r="K982" s="35" t="str">
        <f t="shared" si="282"/>
        <v/>
      </c>
      <c r="L982" s="35">
        <f t="shared" si="288"/>
        <v>0</v>
      </c>
      <c r="M982" s="77" t="str" cm="1">
        <f t="array" ref="M982">_xlfn.IFS(BOM!I982="RM-PACKING","100%",B982="Reynolds",VLOOKUP(H982,'Yield &amp; Time'!A:V,22,0),BOM!B982="Dnata",VLOOKUP(BOM!H982,'Yield &amp; Time'!A:M,13,0),B982="NK",VLOOKUP(H982,'Yield &amp; Time'!A:X,24,0))</f>
        <v>100%</v>
      </c>
      <c r="N982" s="35">
        <f t="shared" si="281"/>
        <v>1</v>
      </c>
      <c r="O982" s="1" t="str">
        <f>VLOOKUP(H982,'RM Used'!A:E,5,0)</f>
        <v>Count</v>
      </c>
      <c r="P982" s="11">
        <f>VLOOKUP(H982,'RM Used'!A:F,6,0)</f>
        <v>0.14000000000000001</v>
      </c>
      <c r="Q982" s="11">
        <f t="shared" si="297"/>
        <v>0.14000000000000001</v>
      </c>
      <c r="R982" s="11">
        <f>IFERROR(IF(B982="Reynolds",VLOOKUP(H982,'Yield &amp; Time'!A:U,21,0),VLOOKUP(H982,'Yield &amp; Time'!A:L,12,0)),0)</f>
        <v>0</v>
      </c>
      <c r="S982" s="11">
        <f t="shared" si="289"/>
        <v>0</v>
      </c>
      <c r="T982" s="11">
        <f t="shared" si="290"/>
        <v>0</v>
      </c>
      <c r="U982" s="11">
        <f>IF(A981=A982,0,VLOOKUP(A982,'Packing Time'!A:F,6,0))</f>
        <v>0</v>
      </c>
      <c r="V982" s="11">
        <f t="shared" si="283"/>
        <v>0</v>
      </c>
      <c r="W982" s="11">
        <f t="shared" si="284"/>
        <v>0</v>
      </c>
      <c r="X982" s="11">
        <f t="shared" si="291"/>
        <v>0</v>
      </c>
      <c r="Y982" s="11">
        <f t="shared" si="285"/>
        <v>0</v>
      </c>
      <c r="Z982" s="37">
        <v>1</v>
      </c>
      <c r="AA982" s="36">
        <f t="shared" si="292"/>
        <v>1</v>
      </c>
      <c r="AB982" s="36">
        <f t="shared" si="293"/>
        <v>0.14000000000000001</v>
      </c>
      <c r="AC982" s="11">
        <f t="shared" si="294"/>
        <v>0</v>
      </c>
      <c r="AD982" s="36">
        <f t="shared" si="286"/>
        <v>0</v>
      </c>
      <c r="AE982" s="36"/>
      <c r="AF982" s="36">
        <f>IFERROR(VLOOKUP(AE982,'Chemical Cost'!A:D,4,0),0)</f>
        <v>0</v>
      </c>
      <c r="AG982" s="114">
        <f t="shared" si="295"/>
        <v>0</v>
      </c>
      <c r="AH982" s="36">
        <f t="shared" ref="AH982:AH1045" si="298">AF982*AA982/3</f>
        <v>0</v>
      </c>
      <c r="AI982" s="36">
        <f t="shared" si="287"/>
        <v>0.14000000000000001</v>
      </c>
      <c r="AJ982" s="36">
        <f>IFERROR(VLOOKUP(A982,'All Products'!A:F,6,0),0)</f>
        <v>4.29</v>
      </c>
      <c r="AK982" s="36"/>
      <c r="AL982" s="23">
        <v>1</v>
      </c>
      <c r="AM982" s="23"/>
      <c r="AN982" s="54" t="e">
        <v>#N/A</v>
      </c>
      <c r="AO982" s="47"/>
      <c r="AP982" s="4">
        <v>1.6</v>
      </c>
      <c r="AQ982" s="111">
        <f t="shared" si="296"/>
        <v>0</v>
      </c>
      <c r="AR982">
        <f>_xlfn.XLOOKUP(F982,'RM Cost'!A:A,'RM Cost'!S:S)</f>
        <v>0</v>
      </c>
      <c r="AS982" t="str">
        <f>_xlfn.XLOOKUP(A982,[3]Sheet1!$B:$B,[3]Sheet1!$B:$B)</f>
        <v>Z216CS</v>
      </c>
      <c r="AT982" t="e">
        <f>_xlfn.XLOOKUP(H982,'Yield &amp; Time'!A:A,'Yield &amp; Time'!F:F)</f>
        <v>#N/A</v>
      </c>
    </row>
    <row r="983" spans="1:46" x14ac:dyDescent="0.25">
      <c r="A983" s="2" t="s">
        <v>53</v>
      </c>
      <c r="B983" s="2" t="s">
        <v>656</v>
      </c>
      <c r="C983" s="2" t="s">
        <v>54</v>
      </c>
      <c r="D983" s="2" t="s">
        <v>554</v>
      </c>
      <c r="E983" s="2">
        <v>2.5</v>
      </c>
      <c r="F983" s="1" t="str">
        <f>VLOOKUP(H983,'RM Used'!A:B,2,0)</f>
        <v>3080CS</v>
      </c>
      <c r="G983" s="1" t="str">
        <f>IFERROR(VLOOKUP(F983,'RM Cost'!A:B,2,0),"")</f>
        <v>RM - SAVOY CABBAGE 1 X 5KG</v>
      </c>
      <c r="H983" s="2" t="s">
        <v>1353</v>
      </c>
      <c r="I983" s="1" t="str">
        <f>VLOOKUP(F983,'RM Used'!B:D,3,0)</f>
        <v>RM-FOOD</v>
      </c>
      <c r="J983" s="66">
        <v>1</v>
      </c>
      <c r="K983" s="35">
        <f t="shared" si="282"/>
        <v>2.5</v>
      </c>
      <c r="L983" s="35">
        <f t="shared" si="288"/>
        <v>2.5</v>
      </c>
      <c r="M983" s="77" cm="1">
        <f t="array" ref="M983">_xlfn.IFS(BOM!I983="RM-PACKING","100%",B983="Reynolds",VLOOKUP(H983,'Yield &amp; Time'!A:V,22,0),BOM!B983="Dnata",VLOOKUP(BOM!H983,'Yield &amp; Time'!A:M,13,0),B983="NK",VLOOKUP(H983,'Yield &amp; Time'!A:X,24,0))</f>
        <v>0.72000000000000008</v>
      </c>
      <c r="N983" s="35">
        <f t="shared" si="281"/>
        <v>3.4722222222222219</v>
      </c>
      <c r="O983" s="1" t="str">
        <f>VLOOKUP(H983,'RM Used'!A:E,5,0)</f>
        <v>KG</v>
      </c>
      <c r="P983" s="11">
        <f>VLOOKUP(H983,'RM Used'!A:F,6,0)</f>
        <v>0.76</v>
      </c>
      <c r="Q983" s="11">
        <f t="shared" si="297"/>
        <v>2.6388888888888888</v>
      </c>
      <c r="R983" s="11">
        <f>IFERROR(IF(B983="Reynolds",VLOOKUP(H983,'Yield &amp; Time'!A:U,21,0),VLOOKUP(H983,'Yield &amp; Time'!A:L,12,0)),0)</f>
        <v>0.87031835205992514</v>
      </c>
      <c r="S983" s="11">
        <f t="shared" si="289"/>
        <v>0.73650690543071162</v>
      </c>
      <c r="T983" s="11">
        <f t="shared" si="290"/>
        <v>3.6263264669163547E-2</v>
      </c>
      <c r="U983" s="11">
        <f>IF(A982=A983,0,VLOOKUP(A983,'Packing Time'!A:F,6,0))</f>
        <v>0.875</v>
      </c>
      <c r="V983" s="11">
        <f t="shared" si="283"/>
        <v>0.29618749999999999</v>
      </c>
      <c r="W983" s="11">
        <f t="shared" si="284"/>
        <v>1.4583333333333334E-2</v>
      </c>
      <c r="X983" s="11">
        <f t="shared" si="291"/>
        <v>1.1359638459737829</v>
      </c>
      <c r="Y983" s="11">
        <f t="shared" si="285"/>
        <v>1.1359638459737829</v>
      </c>
      <c r="Z983" s="37">
        <v>1</v>
      </c>
      <c r="AA983" s="36">
        <f t="shared" si="292"/>
        <v>3.4722222222222219</v>
      </c>
      <c r="AB983" s="36">
        <f t="shared" si="293"/>
        <v>2.6388888888888888</v>
      </c>
      <c r="AC983" s="11">
        <f t="shared" si="294"/>
        <v>5.5931257802746576E-2</v>
      </c>
      <c r="AD983" s="36">
        <f t="shared" si="286"/>
        <v>1.1359638459737829</v>
      </c>
      <c r="AE983" s="36"/>
      <c r="AF983" s="36">
        <f>IFERROR(VLOOKUP(AE983,'Chemical Cost'!A:D,4,0),0)</f>
        <v>0</v>
      </c>
      <c r="AG983" s="114">
        <f t="shared" si="295"/>
        <v>0</v>
      </c>
      <c r="AH983" s="36">
        <f t="shared" si="298"/>
        <v>0</v>
      </c>
      <c r="AI983" s="36">
        <f t="shared" si="287"/>
        <v>3.7748527348626717</v>
      </c>
      <c r="AJ983" s="36">
        <f>IFERROR(VLOOKUP(A983,'All Products'!A:F,6,0),0)</f>
        <v>10.71</v>
      </c>
      <c r="AK983" s="36">
        <f>AJ983*Z983*J983</f>
        <v>10.71</v>
      </c>
      <c r="AL983" s="23">
        <v>1</v>
      </c>
      <c r="AM983" s="23"/>
      <c r="AN983" s="54" t="e">
        <v>#N/A</v>
      </c>
      <c r="AO983" s="47"/>
      <c r="AP983" s="4">
        <v>1.1000000000000001</v>
      </c>
      <c r="AQ983" s="111">
        <f t="shared" si="296"/>
        <v>5.5931257802746576E-2</v>
      </c>
      <c r="AR983">
        <f>_xlfn.XLOOKUP(F983,'RM Cost'!A:A,'RM Cost'!S:S)</f>
        <v>0</v>
      </c>
      <c r="AS983" t="str">
        <f>_xlfn.XLOOKUP(A983,[3]Sheet1!$B:$B,[3]Sheet1!$B:$B)</f>
        <v>Z215CS</v>
      </c>
      <c r="AT983" t="str">
        <f>_xlfn.XLOOKUP(H983,'Yield &amp; Time'!A:A,'Yield &amp; Time'!F:F)</f>
        <v>Yes</v>
      </c>
    </row>
    <row r="984" spans="1:46" x14ac:dyDescent="0.25">
      <c r="A984" s="2" t="s">
        <v>53</v>
      </c>
      <c r="B984" s="2" t="s">
        <v>656</v>
      </c>
      <c r="C984" s="2" t="s">
        <v>54</v>
      </c>
      <c r="D984" s="2" t="s">
        <v>554</v>
      </c>
      <c r="E984" s="2">
        <v>2.5</v>
      </c>
      <c r="F984" s="1" t="str">
        <f>VLOOKUP(H984,'RM Used'!A:B,2,0)</f>
        <v>P0008</v>
      </c>
      <c r="G984" s="1" t="str">
        <f>IFERROR(VLOOKUP(F984,'RM Cost'!A:B,2,0),"")</f>
        <v>PALE BLUE BAG 470X750MM</v>
      </c>
      <c r="H984" s="2" t="s">
        <v>1323</v>
      </c>
      <c r="I984" s="1" t="str">
        <f>VLOOKUP(F984,'RM Used'!B:D,3,0)</f>
        <v>RM-PACKING</v>
      </c>
      <c r="J984" s="66">
        <v>1</v>
      </c>
      <c r="K984" s="35" t="str">
        <f t="shared" si="282"/>
        <v/>
      </c>
      <c r="L984" s="35">
        <f t="shared" si="288"/>
        <v>0</v>
      </c>
      <c r="M984" s="77" t="str" cm="1">
        <f t="array" ref="M984">_xlfn.IFS(BOM!I984="RM-PACKING","100%",B984="Reynolds",VLOOKUP(H984,'Yield &amp; Time'!A:V,22,0),BOM!B984="Dnata",VLOOKUP(BOM!H984,'Yield &amp; Time'!A:M,13,0),B984="NK",VLOOKUP(H984,'Yield &amp; Time'!A:X,24,0))</f>
        <v>100%</v>
      </c>
      <c r="N984" s="35">
        <f t="shared" si="281"/>
        <v>1</v>
      </c>
      <c r="O984" s="1" t="str">
        <f>VLOOKUP(H984,'RM Used'!A:E,5,0)</f>
        <v>Count</v>
      </c>
      <c r="P984" s="11">
        <f>VLOOKUP(H984,'RM Used'!A:F,6,0)</f>
        <v>0.14000000000000001</v>
      </c>
      <c r="Q984" s="11">
        <f t="shared" si="297"/>
        <v>0.14000000000000001</v>
      </c>
      <c r="R984" s="11">
        <f>IFERROR(IF(B984="Reynolds",VLOOKUP(H984,'Yield &amp; Time'!A:U,21,0),VLOOKUP(H984,'Yield &amp; Time'!A:L,12,0)),0)</f>
        <v>0</v>
      </c>
      <c r="S984" s="11">
        <f t="shared" si="289"/>
        <v>0</v>
      </c>
      <c r="T984" s="11">
        <f t="shared" si="290"/>
        <v>0</v>
      </c>
      <c r="U984" s="11">
        <f>IF(A983=A984,0,VLOOKUP(A984,'Packing Time'!A:F,6,0))</f>
        <v>0</v>
      </c>
      <c r="V984" s="11">
        <f t="shared" si="283"/>
        <v>0</v>
      </c>
      <c r="W984" s="11">
        <f t="shared" si="284"/>
        <v>0</v>
      </c>
      <c r="X984" s="11">
        <f t="shared" si="291"/>
        <v>0</v>
      </c>
      <c r="Y984" s="11">
        <f t="shared" si="285"/>
        <v>0</v>
      </c>
      <c r="Z984" s="37">
        <v>1</v>
      </c>
      <c r="AA984" s="36">
        <f t="shared" si="292"/>
        <v>1</v>
      </c>
      <c r="AB984" s="36">
        <f t="shared" si="293"/>
        <v>0.14000000000000001</v>
      </c>
      <c r="AC984" s="11">
        <f t="shared" si="294"/>
        <v>0</v>
      </c>
      <c r="AD984" s="36">
        <f t="shared" si="286"/>
        <v>0</v>
      </c>
      <c r="AE984" s="36"/>
      <c r="AF984" s="36">
        <f>IFERROR(VLOOKUP(AE984,'Chemical Cost'!A:D,4,0),0)</f>
        <v>0</v>
      </c>
      <c r="AG984" s="114">
        <f t="shared" si="295"/>
        <v>0</v>
      </c>
      <c r="AH984" s="36">
        <f t="shared" si="298"/>
        <v>0</v>
      </c>
      <c r="AI984" s="36">
        <f t="shared" si="287"/>
        <v>0.14000000000000001</v>
      </c>
      <c r="AJ984" s="36">
        <f>IFERROR(VLOOKUP(A984,'All Products'!A:F,6,0),0)</f>
        <v>10.71</v>
      </c>
      <c r="AK984" s="36"/>
      <c r="AL984" s="23">
        <v>1</v>
      </c>
      <c r="AM984" s="23"/>
      <c r="AN984" s="54" t="e">
        <v>#N/A</v>
      </c>
      <c r="AO984" s="47"/>
      <c r="AP984" s="4">
        <v>1.1000000000000001</v>
      </c>
      <c r="AQ984" s="111">
        <f t="shared" si="296"/>
        <v>0</v>
      </c>
      <c r="AR984">
        <f>_xlfn.XLOOKUP(F984,'RM Cost'!A:A,'RM Cost'!S:S)</f>
        <v>0</v>
      </c>
      <c r="AS984" t="str">
        <f>_xlfn.XLOOKUP(A984,[3]Sheet1!$B:$B,[3]Sheet1!$B:$B)</f>
        <v>Z215CS</v>
      </c>
      <c r="AT984" t="e">
        <f>_xlfn.XLOOKUP(H984,'Yield &amp; Time'!A:A,'Yield &amp; Time'!F:F)</f>
        <v>#N/A</v>
      </c>
    </row>
    <row r="985" spans="1:46" x14ac:dyDescent="0.25">
      <c r="A985" s="2" t="s">
        <v>51</v>
      </c>
      <c r="B985" s="2" t="s">
        <v>656</v>
      </c>
      <c r="C985" s="2" t="s">
        <v>52</v>
      </c>
      <c r="D985" s="2" t="s">
        <v>554</v>
      </c>
      <c r="E985" s="2">
        <v>1</v>
      </c>
      <c r="F985" s="1" t="str">
        <f>VLOOKUP(H985,'RM Used'!A:B,2,0)</f>
        <v>3264CS</v>
      </c>
      <c r="G985" s="1" t="str">
        <f>IFERROR(VLOOKUP(F985,'RM Cost'!A:B,2,0),"")</f>
        <v>RM - SHALLOTS ROUND 5KG</v>
      </c>
      <c r="H985" s="2" t="s">
        <v>1575</v>
      </c>
      <c r="I985" s="1" t="str">
        <f>VLOOKUP(F985,'RM Used'!B:D,3,0)</f>
        <v>RM-FOOD</v>
      </c>
      <c r="J985" s="66">
        <v>1</v>
      </c>
      <c r="K985" s="35">
        <f t="shared" si="282"/>
        <v>1</v>
      </c>
      <c r="L985" s="35">
        <f t="shared" si="288"/>
        <v>1</v>
      </c>
      <c r="M985" s="77" cm="1">
        <f t="array" ref="M985">_xlfn.IFS(BOM!I985="RM-PACKING","100%",B985="Reynolds",VLOOKUP(H985,'Yield &amp; Time'!A:V,22,0),BOM!B985="Dnata",VLOOKUP(BOM!H985,'Yield &amp; Time'!A:M,13,0),B985="NK",VLOOKUP(H985,'Yield &amp; Time'!A:X,24,0))</f>
        <v>0.77</v>
      </c>
      <c r="N985" s="35">
        <f t="shared" si="281"/>
        <v>1.2987012987012987</v>
      </c>
      <c r="O985" s="1" t="str">
        <f>VLOOKUP(H985,'RM Used'!A:E,5,0)</f>
        <v>KG</v>
      </c>
      <c r="P985" s="11">
        <f>VLOOKUP(H985,'RM Used'!A:F,6,0)</f>
        <v>0.79</v>
      </c>
      <c r="Q985" s="11">
        <f t="shared" si="297"/>
        <v>1.025974025974026</v>
      </c>
      <c r="R985" s="11">
        <f>IFERROR(IF(B985="Reynolds",VLOOKUP(H985,'Yield &amp; Time'!A:U,21,0),VLOOKUP(H985,'Yield &amp; Time'!A:L,12,0)),0)</f>
        <v>7.7922077922077921</v>
      </c>
      <c r="S985" s="11">
        <f t="shared" si="289"/>
        <v>2.6376623376623374</v>
      </c>
      <c r="T985" s="11">
        <f t="shared" si="290"/>
        <v>0.12987012987012986</v>
      </c>
      <c r="U985" s="11">
        <f>IF(A984=A985,0,VLOOKUP(A985,'Packing Time'!A:F,6,0))</f>
        <v>0.64166666666666661</v>
      </c>
      <c r="V985" s="11">
        <f t="shared" si="283"/>
        <v>0.21720416666666661</v>
      </c>
      <c r="W985" s="11">
        <f t="shared" si="284"/>
        <v>1.0694444444444444E-2</v>
      </c>
      <c r="X985" s="11">
        <f t="shared" si="291"/>
        <v>3.9968131060606056</v>
      </c>
      <c r="Y985" s="11">
        <f t="shared" si="285"/>
        <v>3.9968131060606056</v>
      </c>
      <c r="Z985" s="37">
        <v>1</v>
      </c>
      <c r="AA985" s="36">
        <f t="shared" si="292"/>
        <v>1.2987012987012987</v>
      </c>
      <c r="AB985" s="36">
        <f t="shared" si="293"/>
        <v>1.025974025974026</v>
      </c>
      <c r="AC985" s="11">
        <f t="shared" si="294"/>
        <v>0.19679040404040407</v>
      </c>
      <c r="AD985" s="36">
        <f t="shared" si="286"/>
        <v>3.996813106060606</v>
      </c>
      <c r="AE985" s="36"/>
      <c r="AF985" s="36">
        <f>IFERROR(VLOOKUP(AE985,'Chemical Cost'!A:D,4,0),0)</f>
        <v>0</v>
      </c>
      <c r="AG985" s="114">
        <f t="shared" si="295"/>
        <v>0</v>
      </c>
      <c r="AH985" s="36">
        <f t="shared" si="298"/>
        <v>0</v>
      </c>
      <c r="AI985" s="36">
        <f t="shared" si="287"/>
        <v>5.0227871320346313</v>
      </c>
      <c r="AJ985" s="36">
        <f>IFERROR(VLOOKUP(A985,'All Products'!A:F,6,0),0)</f>
        <v>8.17</v>
      </c>
      <c r="AK985" s="36">
        <f>AJ985*Z985*J985</f>
        <v>8.17</v>
      </c>
      <c r="AL985" s="23">
        <v>1</v>
      </c>
      <c r="AM985" s="23"/>
      <c r="AN985" s="54" t="e">
        <v>#N/A</v>
      </c>
      <c r="AO985" s="47"/>
      <c r="AP985" s="4">
        <v>1.4</v>
      </c>
      <c r="AQ985" s="111">
        <f t="shared" si="296"/>
        <v>0.19679040404040407</v>
      </c>
      <c r="AR985">
        <f>_xlfn.XLOOKUP(F985,'RM Cost'!A:A,'RM Cost'!S:S)</f>
        <v>0</v>
      </c>
      <c r="AS985" t="e">
        <f>_xlfn.XLOOKUP(A985,[3]Sheet1!$B:$B,[3]Sheet1!$B:$B)</f>
        <v>#N/A</v>
      </c>
    </row>
    <row r="986" spans="1:46" x14ac:dyDescent="0.25">
      <c r="A986" s="2" t="s">
        <v>51</v>
      </c>
      <c r="B986" s="2" t="s">
        <v>656</v>
      </c>
      <c r="C986" s="2" t="s">
        <v>52</v>
      </c>
      <c r="D986" s="2" t="s">
        <v>554</v>
      </c>
      <c r="E986" s="2">
        <v>1</v>
      </c>
      <c r="F986" s="1" t="str">
        <f>VLOOKUP(H986,'RM Used'!A:B,2,0)</f>
        <v>P0008</v>
      </c>
      <c r="G986" s="1" t="str">
        <f>IFERROR(VLOOKUP(F986,'RM Cost'!A:B,2,0),"")</f>
        <v>PALE BLUE BAG 470X750MM</v>
      </c>
      <c r="H986" s="2" t="s">
        <v>1323</v>
      </c>
      <c r="I986" s="1" t="str">
        <f>VLOOKUP(F986,'RM Used'!B:D,3,0)</f>
        <v>RM-PACKING</v>
      </c>
      <c r="J986" s="66">
        <v>1</v>
      </c>
      <c r="K986" s="35" t="str">
        <f t="shared" si="282"/>
        <v/>
      </c>
      <c r="L986" s="35">
        <f t="shared" si="288"/>
        <v>0</v>
      </c>
      <c r="M986" s="77" t="str" cm="1">
        <f t="array" ref="M986">_xlfn.IFS(BOM!I986="RM-PACKING","100%",B986="Reynolds",VLOOKUP(H986,'Yield &amp; Time'!A:V,22,0),BOM!B986="Dnata",VLOOKUP(BOM!H986,'Yield &amp; Time'!A:M,13,0),B986="NK",VLOOKUP(H986,'Yield &amp; Time'!A:X,24,0))</f>
        <v>100%</v>
      </c>
      <c r="N986" s="35">
        <f t="shared" si="281"/>
        <v>1</v>
      </c>
      <c r="O986" s="1" t="str">
        <f>VLOOKUP(H986,'RM Used'!A:E,5,0)</f>
        <v>Count</v>
      </c>
      <c r="P986" s="11">
        <f>VLOOKUP(H986,'RM Used'!A:F,6,0)</f>
        <v>0.14000000000000001</v>
      </c>
      <c r="Q986" s="11">
        <f t="shared" si="297"/>
        <v>0.14000000000000001</v>
      </c>
      <c r="R986" s="11">
        <f>IFERROR(IF(B986="Reynolds",VLOOKUP(H986,'Yield &amp; Time'!A:U,21,0),VLOOKUP(H986,'Yield &amp; Time'!A:L,12,0)),0)</f>
        <v>0</v>
      </c>
      <c r="S986" s="11">
        <f t="shared" si="289"/>
        <v>0</v>
      </c>
      <c r="T986" s="11">
        <f t="shared" si="290"/>
        <v>0</v>
      </c>
      <c r="U986" s="11">
        <f>IF(A985=A986,0,VLOOKUP(A986,'Packing Time'!A:F,6,0))</f>
        <v>0</v>
      </c>
      <c r="V986" s="11">
        <f t="shared" si="283"/>
        <v>0</v>
      </c>
      <c r="W986" s="11">
        <f t="shared" si="284"/>
        <v>0</v>
      </c>
      <c r="X986" s="11">
        <f t="shared" si="291"/>
        <v>0</v>
      </c>
      <c r="Y986" s="11">
        <f t="shared" si="285"/>
        <v>0</v>
      </c>
      <c r="Z986" s="37">
        <v>1</v>
      </c>
      <c r="AA986" s="36">
        <f t="shared" si="292"/>
        <v>1</v>
      </c>
      <c r="AB986" s="36">
        <f t="shared" si="293"/>
        <v>0.14000000000000001</v>
      </c>
      <c r="AC986" s="11">
        <f t="shared" si="294"/>
        <v>0</v>
      </c>
      <c r="AD986" s="36">
        <f t="shared" si="286"/>
        <v>0</v>
      </c>
      <c r="AE986" s="36"/>
      <c r="AF986" s="36">
        <f>IFERROR(VLOOKUP(AE986,'Chemical Cost'!A:D,4,0),0)</f>
        <v>0</v>
      </c>
      <c r="AG986" s="114">
        <f t="shared" si="295"/>
        <v>0</v>
      </c>
      <c r="AH986" s="36">
        <f t="shared" si="298"/>
        <v>0</v>
      </c>
      <c r="AI986" s="36">
        <f t="shared" si="287"/>
        <v>0.14000000000000001</v>
      </c>
      <c r="AJ986" s="36">
        <f>IFERROR(VLOOKUP(A986,'All Products'!A:F,6,0),0)</f>
        <v>8.17</v>
      </c>
      <c r="AK986" s="36"/>
      <c r="AL986" s="23">
        <v>1</v>
      </c>
      <c r="AM986" s="23"/>
      <c r="AN986" s="54" t="e">
        <v>#N/A</v>
      </c>
      <c r="AO986" s="47"/>
      <c r="AP986" s="4">
        <v>1.4</v>
      </c>
      <c r="AQ986" s="111">
        <f t="shared" si="296"/>
        <v>0</v>
      </c>
      <c r="AR986">
        <f>_xlfn.XLOOKUP(F986,'RM Cost'!A:A,'RM Cost'!S:S)</f>
        <v>0</v>
      </c>
      <c r="AS986" t="e">
        <f>_xlfn.XLOOKUP(A986,[3]Sheet1!$B:$B,[3]Sheet1!$B:$B)</f>
        <v>#N/A</v>
      </c>
    </row>
    <row r="987" spans="1:46" x14ac:dyDescent="0.25">
      <c r="A987" s="2" t="s">
        <v>923</v>
      </c>
      <c r="B987" s="2" t="s">
        <v>656</v>
      </c>
      <c r="C987" s="2" t="s">
        <v>924</v>
      </c>
      <c r="D987" s="2" t="s">
        <v>554</v>
      </c>
      <c r="E987" s="2">
        <v>2.5</v>
      </c>
      <c r="F987" s="1" t="str">
        <f>VLOOKUP(H987,'RM Used'!A:B,2,0)</f>
        <v>3264CS</v>
      </c>
      <c r="G987" s="1" t="str">
        <f>IFERROR(VLOOKUP(F987,'RM Cost'!A:B,2,0),"")</f>
        <v>RM - SHALLOTS ROUND 5KG</v>
      </c>
      <c r="H987" s="2" t="s">
        <v>1575</v>
      </c>
      <c r="I987" s="1" t="str">
        <f>VLOOKUP(F987,'RM Used'!B:D,3,0)</f>
        <v>RM-FOOD</v>
      </c>
      <c r="J987" s="66">
        <v>1</v>
      </c>
      <c r="K987" s="35">
        <f t="shared" si="282"/>
        <v>2.5</v>
      </c>
      <c r="L987" s="35">
        <f t="shared" si="288"/>
        <v>2.5</v>
      </c>
      <c r="M987" s="77" cm="1">
        <f t="array" ref="M987">_xlfn.IFS(BOM!I987="RM-PACKING","100%",B987="Reynolds",VLOOKUP(H987,'Yield &amp; Time'!A:V,22,0),BOM!B987="Dnata",VLOOKUP(BOM!H987,'Yield &amp; Time'!A:M,13,0),B987="NK",VLOOKUP(H987,'Yield &amp; Time'!A:X,24,0))</f>
        <v>0.77</v>
      </c>
      <c r="N987" s="35">
        <f t="shared" si="281"/>
        <v>3.2467532467532467</v>
      </c>
      <c r="O987" s="1" t="str">
        <f>VLOOKUP(H987,'RM Used'!A:E,5,0)</f>
        <v>KG</v>
      </c>
      <c r="P987" s="11">
        <f>VLOOKUP(H987,'RM Used'!A:F,6,0)</f>
        <v>0.79</v>
      </c>
      <c r="Q987" s="11">
        <f t="shared" si="297"/>
        <v>2.5649350649350651</v>
      </c>
      <c r="R987" s="11">
        <f>IFERROR(IF(B987="Reynolds",VLOOKUP(H987,'Yield &amp; Time'!A:U,21,0),VLOOKUP(H987,'Yield &amp; Time'!A:L,12,0)),0)</f>
        <v>7.7922077922077921</v>
      </c>
      <c r="S987" s="11">
        <f t="shared" si="289"/>
        <v>6.5941558441558428</v>
      </c>
      <c r="T987" s="11">
        <f t="shared" si="290"/>
        <v>0.32467532467532467</v>
      </c>
      <c r="U987" s="11">
        <f>IF(A986=A987,0,VLOOKUP(A987,'Packing Time'!A:F,6,0))</f>
        <v>0.875</v>
      </c>
      <c r="V987" s="11">
        <f t="shared" si="283"/>
        <v>0.29618749999999999</v>
      </c>
      <c r="W987" s="11">
        <f t="shared" si="284"/>
        <v>1.4583333333333334E-2</v>
      </c>
      <c r="X987" s="11">
        <f t="shared" si="291"/>
        <v>11.02454935064935</v>
      </c>
      <c r="Y987" s="11">
        <f t="shared" si="285"/>
        <v>11.02454935064935</v>
      </c>
      <c r="Z987" s="37">
        <v>1</v>
      </c>
      <c r="AA987" s="36">
        <f t="shared" si="292"/>
        <v>3.2467532467532467</v>
      </c>
      <c r="AB987" s="36">
        <f t="shared" si="293"/>
        <v>2.5649350649350651</v>
      </c>
      <c r="AC987" s="11">
        <f t="shared" si="294"/>
        <v>0.54281385281385286</v>
      </c>
      <c r="AD987" s="36">
        <f t="shared" si="286"/>
        <v>11.024549350649352</v>
      </c>
      <c r="AE987" s="36"/>
      <c r="AF987" s="36">
        <f>IFERROR(VLOOKUP(AE987,'Chemical Cost'!A:D,4,0),0)</f>
        <v>0</v>
      </c>
      <c r="AG987" s="114">
        <f t="shared" si="295"/>
        <v>0</v>
      </c>
      <c r="AH987" s="36">
        <f t="shared" si="298"/>
        <v>0</v>
      </c>
      <c r="AI987" s="36">
        <f t="shared" si="287"/>
        <v>13.589484415584415</v>
      </c>
      <c r="AJ987" s="36">
        <f>IFERROR(VLOOKUP(A987,'All Products'!A:F,6,0),0)</f>
        <v>20.43</v>
      </c>
      <c r="AK987" s="36">
        <f>AJ987*Z987*J987</f>
        <v>20.43</v>
      </c>
      <c r="AL987" s="23">
        <v>1</v>
      </c>
      <c r="AM987" s="23"/>
      <c r="AN987" s="54" t="e">
        <v>#N/A</v>
      </c>
      <c r="AO987" s="47"/>
      <c r="AP987" s="4">
        <v>1.6</v>
      </c>
      <c r="AQ987" s="111">
        <f t="shared" si="296"/>
        <v>0.54281385281385286</v>
      </c>
      <c r="AR987">
        <f>_xlfn.XLOOKUP(F987,'RM Cost'!A:A,'RM Cost'!S:S)</f>
        <v>0</v>
      </c>
      <c r="AS987" t="e">
        <f>_xlfn.XLOOKUP(A987,[3]Sheet1!$B:$B,[3]Sheet1!$B:$B)</f>
        <v>#N/A</v>
      </c>
    </row>
    <row r="988" spans="1:46" x14ac:dyDescent="0.25">
      <c r="A988" s="2" t="s">
        <v>923</v>
      </c>
      <c r="B988" s="2" t="s">
        <v>656</v>
      </c>
      <c r="C988" s="2" t="s">
        <v>924</v>
      </c>
      <c r="D988" s="2" t="s">
        <v>554</v>
      </c>
      <c r="E988" s="2">
        <v>2.5</v>
      </c>
      <c r="F988" s="1" t="str">
        <f>VLOOKUP(H988,'RM Used'!A:B,2,0)</f>
        <v>P0008</v>
      </c>
      <c r="G988" s="1" t="str">
        <f>IFERROR(VLOOKUP(F988,'RM Cost'!A:B,2,0),"")</f>
        <v>PALE BLUE BAG 470X750MM</v>
      </c>
      <c r="H988" s="2" t="s">
        <v>1323</v>
      </c>
      <c r="I988" s="1" t="str">
        <f>VLOOKUP(F988,'RM Used'!B:D,3,0)</f>
        <v>RM-PACKING</v>
      </c>
      <c r="J988" s="66">
        <v>1</v>
      </c>
      <c r="K988" s="35" t="str">
        <f t="shared" si="282"/>
        <v/>
      </c>
      <c r="L988" s="35">
        <f t="shared" si="288"/>
        <v>0</v>
      </c>
      <c r="M988" s="77" t="str" cm="1">
        <f t="array" ref="M988">_xlfn.IFS(BOM!I988="RM-PACKING","100%",B988="Reynolds",VLOOKUP(H988,'Yield &amp; Time'!A:V,22,0),BOM!B988="Dnata",VLOOKUP(BOM!H988,'Yield &amp; Time'!A:M,13,0),B988="NK",VLOOKUP(H988,'Yield &amp; Time'!A:X,24,0))</f>
        <v>100%</v>
      </c>
      <c r="N988" s="35">
        <f t="shared" si="281"/>
        <v>1</v>
      </c>
      <c r="O988" s="1" t="str">
        <f>VLOOKUP(H988,'RM Used'!A:E,5,0)</f>
        <v>Count</v>
      </c>
      <c r="P988" s="11">
        <f>VLOOKUP(H988,'RM Used'!A:F,6,0)</f>
        <v>0.14000000000000001</v>
      </c>
      <c r="Q988" s="11">
        <f t="shared" si="297"/>
        <v>0.14000000000000001</v>
      </c>
      <c r="R988" s="11">
        <f>IFERROR(IF(B988="Reynolds",VLOOKUP(H988,'Yield &amp; Time'!A:U,21,0),VLOOKUP(H988,'Yield &amp; Time'!A:L,12,0)),0)</f>
        <v>0</v>
      </c>
      <c r="S988" s="11">
        <f t="shared" si="289"/>
        <v>0</v>
      </c>
      <c r="T988" s="11">
        <f t="shared" si="290"/>
        <v>0</v>
      </c>
      <c r="U988" s="11">
        <f>IF(A987=A988,0,VLOOKUP(A988,'Packing Time'!A:F,6,0))</f>
        <v>0</v>
      </c>
      <c r="V988" s="11">
        <f t="shared" si="283"/>
        <v>0</v>
      </c>
      <c r="W988" s="11">
        <f t="shared" si="284"/>
        <v>0</v>
      </c>
      <c r="X988" s="11">
        <f t="shared" si="291"/>
        <v>0</v>
      </c>
      <c r="Y988" s="11">
        <f t="shared" si="285"/>
        <v>0</v>
      </c>
      <c r="Z988" s="37">
        <v>1</v>
      </c>
      <c r="AA988" s="36">
        <f t="shared" si="292"/>
        <v>1</v>
      </c>
      <c r="AB988" s="36">
        <f t="shared" si="293"/>
        <v>0.14000000000000001</v>
      </c>
      <c r="AC988" s="11">
        <f t="shared" si="294"/>
        <v>0</v>
      </c>
      <c r="AD988" s="36">
        <f t="shared" si="286"/>
        <v>0</v>
      </c>
      <c r="AE988" s="36"/>
      <c r="AF988" s="36">
        <f>IFERROR(VLOOKUP(AE988,'Chemical Cost'!A:D,4,0),0)</f>
        <v>0</v>
      </c>
      <c r="AG988" s="114">
        <f t="shared" si="295"/>
        <v>0</v>
      </c>
      <c r="AH988" s="36">
        <f t="shared" si="298"/>
        <v>0</v>
      </c>
      <c r="AI988" s="36">
        <f t="shared" si="287"/>
        <v>0.14000000000000001</v>
      </c>
      <c r="AJ988" s="36">
        <f>IFERROR(VLOOKUP(A988,'All Products'!A:F,6,0),0)</f>
        <v>20.43</v>
      </c>
      <c r="AK988" s="36"/>
      <c r="AL988" s="23">
        <v>1</v>
      </c>
      <c r="AM988" s="23"/>
      <c r="AN988" s="54" t="e">
        <v>#N/A</v>
      </c>
      <c r="AO988" s="47"/>
      <c r="AP988" s="4">
        <v>1.6</v>
      </c>
      <c r="AQ988" s="111">
        <f t="shared" si="296"/>
        <v>0</v>
      </c>
      <c r="AR988">
        <f>_xlfn.XLOOKUP(F988,'RM Cost'!A:A,'RM Cost'!S:S)</f>
        <v>0</v>
      </c>
      <c r="AS988" t="e">
        <f>_xlfn.XLOOKUP(A988,[3]Sheet1!$B:$B,[3]Sheet1!$B:$B)</f>
        <v>#N/A</v>
      </c>
    </row>
    <row r="989" spans="1:46" x14ac:dyDescent="0.25">
      <c r="A989" s="2" t="s">
        <v>49</v>
      </c>
      <c r="B989" s="2" t="s">
        <v>656</v>
      </c>
      <c r="C989" s="2" t="s">
        <v>50</v>
      </c>
      <c r="D989" s="2" t="s">
        <v>554</v>
      </c>
      <c r="E989" s="2">
        <v>1</v>
      </c>
      <c r="F989" s="1" t="str">
        <f>VLOOKUP(H989,'RM Used'!A:B,2,0)</f>
        <v>023ACS</v>
      </c>
      <c r="G989" s="1" t="str">
        <f>IFERROR(VLOOKUP(F989,'RM Cost'!A:B,2,0),"")</f>
        <v>RM - SHALLOT BANANA 1X20KG</v>
      </c>
      <c r="H989" s="2" t="s">
        <v>1576</v>
      </c>
      <c r="I989" s="1" t="str">
        <f>VLOOKUP(F989,'RM Used'!B:D,3,0)</f>
        <v>RM-FOOD</v>
      </c>
      <c r="J989" s="66">
        <v>1</v>
      </c>
      <c r="K989" s="35">
        <f t="shared" si="282"/>
        <v>1</v>
      </c>
      <c r="L989" s="35">
        <f t="shared" si="288"/>
        <v>1</v>
      </c>
      <c r="M989" s="77" cm="1">
        <f t="array" ref="M989">_xlfn.IFS(BOM!I989="RM-PACKING","100%",B989="Reynolds",VLOOKUP(H989,'Yield &amp; Time'!A:V,22,0),BOM!B989="Dnata",VLOOKUP(BOM!H989,'Yield &amp; Time'!A:M,13,0),B989="NK",VLOOKUP(H989,'Yield &amp; Time'!A:X,24,0))</f>
        <v>0.81408450704225344</v>
      </c>
      <c r="N989" s="35">
        <f t="shared" si="281"/>
        <v>1.2283737024221455</v>
      </c>
      <c r="O989" s="1" t="str">
        <f>VLOOKUP(H989,'RM Used'!A:E,5,0)</f>
        <v>KG</v>
      </c>
      <c r="P989" s="11">
        <f>VLOOKUP(H989,'RM Used'!A:F,6,0)</f>
        <v>0.92</v>
      </c>
      <c r="Q989" s="11">
        <f t="shared" si="297"/>
        <v>1.1301038062283739</v>
      </c>
      <c r="R989" s="11">
        <f>IFERROR(IF(B989="Reynolds",VLOOKUP(H989,'Yield &amp; Time'!A:U,21,0),VLOOKUP(H989,'Yield &amp; Time'!A:L,12,0)),0)</f>
        <v>4.1522491349480974</v>
      </c>
      <c r="S989" s="11">
        <f t="shared" si="289"/>
        <v>1.4055363321799308</v>
      </c>
      <c r="T989" s="11">
        <f t="shared" si="290"/>
        <v>6.9204152249134954E-2</v>
      </c>
      <c r="U989" s="11">
        <f>IF(A988=A989,0,VLOOKUP(A989,'Packing Time'!A:F,6,0))</f>
        <v>0.64166666666666661</v>
      </c>
      <c r="V989" s="11">
        <f t="shared" si="283"/>
        <v>0.21720416666666661</v>
      </c>
      <c r="W989" s="11">
        <f t="shared" si="284"/>
        <v>1.0694444444444444E-2</v>
      </c>
      <c r="X989" s="11">
        <f t="shared" si="291"/>
        <v>2.5963847981545563</v>
      </c>
      <c r="Y989" s="11">
        <f t="shared" si="285"/>
        <v>2.5963847981545563</v>
      </c>
      <c r="Z989" s="37">
        <v>1</v>
      </c>
      <c r="AA989" s="36">
        <f t="shared" si="292"/>
        <v>1.2283737024221455</v>
      </c>
      <c r="AB989" s="36">
        <f t="shared" si="293"/>
        <v>1.1301038062283739</v>
      </c>
      <c r="AC989" s="11">
        <f t="shared" si="294"/>
        <v>0.12783775470972705</v>
      </c>
      <c r="AD989" s="36">
        <f t="shared" si="286"/>
        <v>2.5963847981545563</v>
      </c>
      <c r="AE989" s="36"/>
      <c r="AF989" s="36">
        <f>IFERROR(VLOOKUP(AE989,'Chemical Cost'!A:D,4,0),0)</f>
        <v>0</v>
      </c>
      <c r="AG989" s="114">
        <f t="shared" si="295"/>
        <v>0</v>
      </c>
      <c r="AH989" s="36">
        <f t="shared" si="298"/>
        <v>0</v>
      </c>
      <c r="AI989" s="36">
        <f t="shared" si="287"/>
        <v>3.7264886043829302</v>
      </c>
      <c r="AJ989" s="36">
        <f>IFERROR(VLOOKUP(A989,'All Products'!A:F,6,0),0)</f>
        <v>4.03</v>
      </c>
      <c r="AK989" s="36">
        <f>AJ989*Z989*J989</f>
        <v>4.03</v>
      </c>
      <c r="AL989" s="23">
        <v>1</v>
      </c>
      <c r="AM989" s="23"/>
      <c r="AN989" s="54" t="e">
        <v>#N/A</v>
      </c>
      <c r="AO989" s="47"/>
      <c r="AP989" s="4">
        <v>1.6</v>
      </c>
      <c r="AQ989" s="111">
        <f t="shared" si="296"/>
        <v>0.12783775470972705</v>
      </c>
      <c r="AR989">
        <f>_xlfn.XLOOKUP(F989,'RM Cost'!A:A,'RM Cost'!S:S)</f>
        <v>0</v>
      </c>
      <c r="AS989" t="str">
        <f>_xlfn.XLOOKUP(A989,[3]Sheet1!$B:$B,[3]Sheet1!$B:$B)</f>
        <v>Z147CS</v>
      </c>
      <c r="AT989">
        <f>_xlfn.XLOOKUP(H989,'Yield &amp; Time'!A:A,'Yield &amp; Time'!F:F)</f>
        <v>0</v>
      </c>
    </row>
    <row r="990" spans="1:46" x14ac:dyDescent="0.25">
      <c r="A990" s="2" t="s">
        <v>49</v>
      </c>
      <c r="B990" s="2" t="s">
        <v>656</v>
      </c>
      <c r="C990" s="2" t="s">
        <v>50</v>
      </c>
      <c r="D990" s="2" t="s">
        <v>554</v>
      </c>
      <c r="E990" s="2">
        <v>1</v>
      </c>
      <c r="F990" s="1" t="str">
        <f>VLOOKUP(H990,'RM Used'!A:B,2,0)</f>
        <v>P0008</v>
      </c>
      <c r="G990" s="1" t="str">
        <f>IFERROR(VLOOKUP(F990,'RM Cost'!A:B,2,0),"")</f>
        <v>PALE BLUE BAG 470X750MM</v>
      </c>
      <c r="H990" s="2" t="s">
        <v>1323</v>
      </c>
      <c r="I990" s="1" t="str">
        <f>VLOOKUP(F990,'RM Used'!B:D,3,0)</f>
        <v>RM-PACKING</v>
      </c>
      <c r="J990" s="66">
        <v>1</v>
      </c>
      <c r="K990" s="35" t="str">
        <f t="shared" si="282"/>
        <v/>
      </c>
      <c r="L990" s="35">
        <f t="shared" si="288"/>
        <v>0</v>
      </c>
      <c r="M990" s="77" t="str" cm="1">
        <f t="array" ref="M990">_xlfn.IFS(BOM!I990="RM-PACKING","100%",B990="Reynolds",VLOOKUP(H990,'Yield &amp; Time'!A:V,22,0),BOM!B990="Dnata",VLOOKUP(BOM!H990,'Yield &amp; Time'!A:M,13,0),B990="NK",VLOOKUP(H990,'Yield &amp; Time'!A:X,24,0))</f>
        <v>100%</v>
      </c>
      <c r="N990" s="35">
        <f t="shared" si="281"/>
        <v>1</v>
      </c>
      <c r="O990" s="1" t="str">
        <f>VLOOKUP(H990,'RM Used'!A:E,5,0)</f>
        <v>Count</v>
      </c>
      <c r="P990" s="11">
        <f>VLOOKUP(H990,'RM Used'!A:F,6,0)</f>
        <v>0.14000000000000001</v>
      </c>
      <c r="Q990" s="11">
        <f t="shared" si="297"/>
        <v>0.14000000000000001</v>
      </c>
      <c r="R990" s="11">
        <f>IFERROR(IF(B990="Reynolds",VLOOKUP(H990,'Yield &amp; Time'!A:U,21,0),VLOOKUP(H990,'Yield &amp; Time'!A:L,12,0)),0)</f>
        <v>0</v>
      </c>
      <c r="S990" s="11">
        <f t="shared" si="289"/>
        <v>0</v>
      </c>
      <c r="T990" s="11">
        <f t="shared" si="290"/>
        <v>0</v>
      </c>
      <c r="U990" s="11">
        <f>IF(A989=A990,0,VLOOKUP(A990,'Packing Time'!A:F,6,0))</f>
        <v>0</v>
      </c>
      <c r="V990" s="11">
        <f t="shared" si="283"/>
        <v>0</v>
      </c>
      <c r="W990" s="11">
        <f t="shared" si="284"/>
        <v>0</v>
      </c>
      <c r="X990" s="11">
        <f t="shared" si="291"/>
        <v>0</v>
      </c>
      <c r="Y990" s="11">
        <f t="shared" si="285"/>
        <v>0</v>
      </c>
      <c r="Z990" s="37">
        <v>1</v>
      </c>
      <c r="AA990" s="36">
        <f t="shared" si="292"/>
        <v>1</v>
      </c>
      <c r="AB990" s="36">
        <f t="shared" si="293"/>
        <v>0.14000000000000001</v>
      </c>
      <c r="AC990" s="11">
        <f t="shared" si="294"/>
        <v>0</v>
      </c>
      <c r="AD990" s="36">
        <f t="shared" si="286"/>
        <v>0</v>
      </c>
      <c r="AE990" s="36"/>
      <c r="AF990" s="36">
        <f>IFERROR(VLOOKUP(AE990,'Chemical Cost'!A:D,4,0),0)</f>
        <v>0</v>
      </c>
      <c r="AG990" s="114">
        <f t="shared" si="295"/>
        <v>0</v>
      </c>
      <c r="AH990" s="36">
        <f t="shared" si="298"/>
        <v>0</v>
      </c>
      <c r="AI990" s="36">
        <f t="shared" si="287"/>
        <v>0.14000000000000001</v>
      </c>
      <c r="AJ990" s="36">
        <f>IFERROR(VLOOKUP(A990,'All Products'!A:F,6,0),0)</f>
        <v>4.03</v>
      </c>
      <c r="AK990" s="36"/>
      <c r="AL990" s="23">
        <v>1</v>
      </c>
      <c r="AM990" s="23"/>
      <c r="AN990" s="54" t="e">
        <v>#N/A</v>
      </c>
      <c r="AO990" s="47"/>
      <c r="AP990" s="4">
        <v>1.6</v>
      </c>
      <c r="AQ990" s="111">
        <f t="shared" si="296"/>
        <v>0</v>
      </c>
      <c r="AR990">
        <f>_xlfn.XLOOKUP(F990,'RM Cost'!A:A,'RM Cost'!S:S)</f>
        <v>0</v>
      </c>
      <c r="AS990" t="str">
        <f>_xlfn.XLOOKUP(A990,[3]Sheet1!$B:$B,[3]Sheet1!$B:$B)</f>
        <v>Z147CS</v>
      </c>
      <c r="AT990" t="e">
        <f>_xlfn.XLOOKUP(H990,'Yield &amp; Time'!A:A,'Yield &amp; Time'!F:F)</f>
        <v>#N/A</v>
      </c>
    </row>
    <row r="991" spans="1:46" x14ac:dyDescent="0.25">
      <c r="A991" s="2" t="s">
        <v>925</v>
      </c>
      <c r="B991" s="2" t="s">
        <v>656</v>
      </c>
      <c r="C991" s="2" t="s">
        <v>926</v>
      </c>
      <c r="D991" s="2" t="s">
        <v>554</v>
      </c>
      <c r="E991" s="2">
        <v>2.5</v>
      </c>
      <c r="F991" s="1" t="str">
        <f>VLOOKUP(H991,'RM Used'!A:B,2,0)</f>
        <v>023ACS</v>
      </c>
      <c r="G991" s="1" t="str">
        <f>IFERROR(VLOOKUP(F991,'RM Cost'!A:B,2,0),"")</f>
        <v>RM - SHALLOT BANANA 1X20KG</v>
      </c>
      <c r="H991" s="2" t="s">
        <v>1576</v>
      </c>
      <c r="I991" s="1" t="str">
        <f>VLOOKUP(F991,'RM Used'!B:D,3,0)</f>
        <v>RM-FOOD</v>
      </c>
      <c r="J991" s="66">
        <v>1</v>
      </c>
      <c r="K991" s="35">
        <f t="shared" si="282"/>
        <v>2.5</v>
      </c>
      <c r="L991" s="35">
        <f t="shared" si="288"/>
        <v>2.5</v>
      </c>
      <c r="M991" s="77" cm="1">
        <f t="array" ref="M991">_xlfn.IFS(BOM!I991="RM-PACKING","100%",B991="Reynolds",VLOOKUP(H991,'Yield &amp; Time'!A:V,22,0),BOM!B991="Dnata",VLOOKUP(BOM!H991,'Yield &amp; Time'!A:M,13,0),B991="NK",VLOOKUP(H991,'Yield &amp; Time'!A:X,24,0))</f>
        <v>0.81408450704225344</v>
      </c>
      <c r="N991" s="35">
        <f t="shared" ref="N991:N1054" si="299">IFERROR(IF(I991="RM-FOOD",(E991*J991)/M991,1),0)</f>
        <v>3.0709342560553639</v>
      </c>
      <c r="O991" s="1" t="str">
        <f>VLOOKUP(H991,'RM Used'!A:E,5,0)</f>
        <v>KG</v>
      </c>
      <c r="P991" s="11">
        <f>VLOOKUP(H991,'RM Used'!A:F,6,0)</f>
        <v>0.92</v>
      </c>
      <c r="Q991" s="11">
        <f t="shared" si="297"/>
        <v>2.8252595155709348</v>
      </c>
      <c r="R991" s="11">
        <f>IFERROR(IF(B991="Reynolds",VLOOKUP(H991,'Yield &amp; Time'!A:U,21,0),VLOOKUP(H991,'Yield &amp; Time'!A:L,12,0)),0)</f>
        <v>4.1522491349480974</v>
      </c>
      <c r="S991" s="11">
        <f t="shared" si="289"/>
        <v>3.5138408304498268</v>
      </c>
      <c r="T991" s="11">
        <f t="shared" si="290"/>
        <v>0.17301038062283738</v>
      </c>
      <c r="U991" s="11">
        <f>IF(A990=A991,0,VLOOKUP(A991,'Packing Time'!A:F,6,0))</f>
        <v>0.875</v>
      </c>
      <c r="V991" s="11">
        <f t="shared" si="283"/>
        <v>0.29618749999999999</v>
      </c>
      <c r="W991" s="11">
        <f t="shared" si="284"/>
        <v>1.4583333333333334E-2</v>
      </c>
      <c r="X991" s="11">
        <f t="shared" si="291"/>
        <v>5.3340396626297579</v>
      </c>
      <c r="Y991" s="11">
        <f t="shared" si="285"/>
        <v>5.3340396626297579</v>
      </c>
      <c r="Z991" s="37">
        <v>1</v>
      </c>
      <c r="AA991" s="36">
        <f t="shared" si="292"/>
        <v>3.0709342560553639</v>
      </c>
      <c r="AB991" s="36">
        <f t="shared" si="293"/>
        <v>2.8252595155709348</v>
      </c>
      <c r="AC991" s="11">
        <f t="shared" si="294"/>
        <v>0.262631199538639</v>
      </c>
      <c r="AD991" s="36">
        <f t="shared" si="286"/>
        <v>5.3340396626297579</v>
      </c>
      <c r="AE991" s="36"/>
      <c r="AF991" s="36">
        <f>IFERROR(VLOOKUP(AE991,'Chemical Cost'!A:D,4,0),0)</f>
        <v>0</v>
      </c>
      <c r="AG991" s="114">
        <f t="shared" si="295"/>
        <v>0</v>
      </c>
      <c r="AH991" s="36">
        <f t="shared" si="298"/>
        <v>0</v>
      </c>
      <c r="AI991" s="36">
        <f t="shared" si="287"/>
        <v>8.1592991782006923</v>
      </c>
      <c r="AJ991" s="36">
        <f>IFERROR(VLOOKUP(A991,'All Products'!A:F,6,0),0)</f>
        <v>10.09</v>
      </c>
      <c r="AK991" s="36">
        <f>AJ991*Z991*J991</f>
        <v>10.09</v>
      </c>
      <c r="AL991" s="23">
        <v>1</v>
      </c>
      <c r="AM991" s="23"/>
      <c r="AN991" s="54" t="s">
        <v>925</v>
      </c>
      <c r="AO991" s="47"/>
      <c r="AP991" s="4">
        <v>1.4</v>
      </c>
      <c r="AQ991" s="111">
        <f t="shared" si="296"/>
        <v>0.262631199538639</v>
      </c>
      <c r="AR991">
        <f>_xlfn.XLOOKUP(F991,'RM Cost'!A:A,'RM Cost'!S:S)</f>
        <v>0</v>
      </c>
      <c r="AS991" t="str">
        <f>_xlfn.XLOOKUP(A991,[3]Sheet1!$B:$B,[3]Sheet1!$B:$B)</f>
        <v>Z146CS</v>
      </c>
      <c r="AT991">
        <f>_xlfn.XLOOKUP(H991,'Yield &amp; Time'!A:A,'Yield &amp; Time'!F:F)</f>
        <v>0</v>
      </c>
    </row>
    <row r="992" spans="1:46" x14ac:dyDescent="0.25">
      <c r="A992" s="2" t="s">
        <v>925</v>
      </c>
      <c r="B992" s="2" t="s">
        <v>656</v>
      </c>
      <c r="C992" s="2" t="s">
        <v>926</v>
      </c>
      <c r="D992" s="2" t="s">
        <v>554</v>
      </c>
      <c r="E992" s="2">
        <v>2.5</v>
      </c>
      <c r="F992" s="1" t="str">
        <f>VLOOKUP(H992,'RM Used'!A:B,2,0)</f>
        <v>P0008</v>
      </c>
      <c r="G992" s="1" t="str">
        <f>IFERROR(VLOOKUP(F992,'RM Cost'!A:B,2,0),"")</f>
        <v>PALE BLUE BAG 470X750MM</v>
      </c>
      <c r="H992" s="2" t="s">
        <v>1323</v>
      </c>
      <c r="I992" s="1" t="str">
        <f>VLOOKUP(F992,'RM Used'!B:D,3,0)</f>
        <v>RM-PACKING</v>
      </c>
      <c r="J992" s="66">
        <v>1</v>
      </c>
      <c r="K992" s="35" t="str">
        <f t="shared" si="282"/>
        <v/>
      </c>
      <c r="L992" s="35">
        <f t="shared" si="288"/>
        <v>0</v>
      </c>
      <c r="M992" s="77" t="str" cm="1">
        <f t="array" ref="M992">_xlfn.IFS(BOM!I992="RM-PACKING","100%",B992="Reynolds",VLOOKUP(H992,'Yield &amp; Time'!A:V,22,0),BOM!B992="Dnata",VLOOKUP(BOM!H992,'Yield &amp; Time'!A:M,13,0),B992="NK",VLOOKUP(H992,'Yield &amp; Time'!A:X,24,0))</f>
        <v>100%</v>
      </c>
      <c r="N992" s="35">
        <f t="shared" si="299"/>
        <v>1</v>
      </c>
      <c r="O992" s="1" t="str">
        <f>VLOOKUP(H992,'RM Used'!A:E,5,0)</f>
        <v>Count</v>
      </c>
      <c r="P992" s="11">
        <f>VLOOKUP(H992,'RM Used'!A:F,6,0)</f>
        <v>0.14000000000000001</v>
      </c>
      <c r="Q992" s="11">
        <f t="shared" si="297"/>
        <v>0.14000000000000001</v>
      </c>
      <c r="R992" s="11">
        <f>IFERROR(IF(B992="Reynolds",VLOOKUP(H992,'Yield &amp; Time'!A:U,21,0),VLOOKUP(H992,'Yield &amp; Time'!A:L,12,0)),0)</f>
        <v>0</v>
      </c>
      <c r="S992" s="11">
        <f t="shared" si="289"/>
        <v>0</v>
      </c>
      <c r="T992" s="11">
        <f t="shared" si="290"/>
        <v>0</v>
      </c>
      <c r="U992" s="11">
        <f>IF(A991=A992,0,VLOOKUP(A992,'Packing Time'!A:F,6,0))</f>
        <v>0</v>
      </c>
      <c r="V992" s="11">
        <f t="shared" si="283"/>
        <v>0</v>
      </c>
      <c r="W992" s="11">
        <f t="shared" si="284"/>
        <v>0</v>
      </c>
      <c r="X992" s="11">
        <f t="shared" si="291"/>
        <v>0</v>
      </c>
      <c r="Y992" s="11">
        <f t="shared" si="285"/>
        <v>0</v>
      </c>
      <c r="Z992" s="37">
        <v>1</v>
      </c>
      <c r="AA992" s="36">
        <f t="shared" si="292"/>
        <v>1</v>
      </c>
      <c r="AB992" s="36">
        <f t="shared" si="293"/>
        <v>0.14000000000000001</v>
      </c>
      <c r="AC992" s="11">
        <f t="shared" si="294"/>
        <v>0</v>
      </c>
      <c r="AD992" s="36">
        <f t="shared" si="286"/>
        <v>0</v>
      </c>
      <c r="AE992" s="36"/>
      <c r="AF992" s="36">
        <f>IFERROR(VLOOKUP(AE992,'Chemical Cost'!A:D,4,0),0)</f>
        <v>0</v>
      </c>
      <c r="AG992" s="114">
        <f t="shared" si="295"/>
        <v>0</v>
      </c>
      <c r="AH992" s="36">
        <f t="shared" si="298"/>
        <v>0</v>
      </c>
      <c r="AI992" s="36">
        <f t="shared" si="287"/>
        <v>0.14000000000000001</v>
      </c>
      <c r="AJ992" s="36">
        <f>IFERROR(VLOOKUP(A992,'All Products'!A:F,6,0),0)</f>
        <v>10.09</v>
      </c>
      <c r="AK992" s="36"/>
      <c r="AL992" s="23">
        <v>1</v>
      </c>
      <c r="AM992" s="23"/>
      <c r="AN992" s="54" t="s">
        <v>925</v>
      </c>
      <c r="AO992" s="47"/>
      <c r="AP992" s="4">
        <v>1.4</v>
      </c>
      <c r="AQ992" s="111">
        <f t="shared" si="296"/>
        <v>0</v>
      </c>
      <c r="AR992">
        <f>_xlfn.XLOOKUP(F992,'RM Cost'!A:A,'RM Cost'!S:S)</f>
        <v>0</v>
      </c>
      <c r="AS992" t="str">
        <f>_xlfn.XLOOKUP(A992,[3]Sheet1!$B:$B,[3]Sheet1!$B:$B)</f>
        <v>Z146CS</v>
      </c>
      <c r="AT992" t="e">
        <f>_xlfn.XLOOKUP(H992,'Yield &amp; Time'!A:A,'Yield &amp; Time'!F:F)</f>
        <v>#N/A</v>
      </c>
    </row>
    <row r="993" spans="1:46" x14ac:dyDescent="0.25">
      <c r="A993" s="2" t="s">
        <v>47</v>
      </c>
      <c r="B993" s="2" t="s">
        <v>656</v>
      </c>
      <c r="C993" s="2" t="s">
        <v>48</v>
      </c>
      <c r="D993" s="2" t="s">
        <v>554</v>
      </c>
      <c r="E993" s="2">
        <v>1</v>
      </c>
      <c r="F993" s="1" t="str">
        <f>VLOOKUP(H993,'RM Used'!A:B,2,0)</f>
        <v>023ACS</v>
      </c>
      <c r="G993" s="1" t="str">
        <f>IFERROR(VLOOKUP(F993,'RM Cost'!A:B,2,0),"")</f>
        <v>RM - SHALLOT BANANA 1X20KG</v>
      </c>
      <c r="H993" s="2" t="s">
        <v>1577</v>
      </c>
      <c r="I993" s="1" t="str">
        <f>VLOOKUP(F993,'RM Used'!B:D,3,0)</f>
        <v>RM-FOOD</v>
      </c>
      <c r="J993" s="66">
        <v>1</v>
      </c>
      <c r="K993" s="35">
        <f t="shared" ref="K993:K1056" si="300">IF(I993="RM-FOOD",J993*E993,"")</f>
        <v>1</v>
      </c>
      <c r="L993" s="35">
        <f t="shared" si="288"/>
        <v>1</v>
      </c>
      <c r="M993" s="77" cm="1">
        <f t="array" ref="M993">_xlfn.IFS(BOM!I993="RM-PACKING","100%",B993="Reynolds",VLOOKUP(H993,'Yield &amp; Time'!A:V,22,0),BOM!B993="Dnata",VLOOKUP(BOM!H993,'Yield &amp; Time'!A:M,13,0),B993="NK",VLOOKUP(H993,'Yield &amp; Time'!A:X,24,0))</f>
        <v>0.73267605633802813</v>
      </c>
      <c r="N993" s="35">
        <f t="shared" si="299"/>
        <v>1.3648596693579393</v>
      </c>
      <c r="O993" s="1" t="str">
        <f>VLOOKUP(H993,'RM Used'!A:E,5,0)</f>
        <v>KG</v>
      </c>
      <c r="P993" s="11">
        <f>VLOOKUP(H993,'RM Used'!A:F,6,0)</f>
        <v>0.92</v>
      </c>
      <c r="Q993" s="11">
        <f t="shared" si="297"/>
        <v>1.2556708958093044</v>
      </c>
      <c r="R993" s="11">
        <f>IFERROR(IF(B993="Reynolds",VLOOKUP(H993,'Yield &amp; Time'!A:U,21,0),VLOOKUP(H993,'Yield &amp; Time'!A:L,12,0)),0)</f>
        <v>4.728950403690888</v>
      </c>
      <c r="S993" s="11">
        <f t="shared" si="289"/>
        <v>1.6007497116493654</v>
      </c>
      <c r="T993" s="11">
        <f t="shared" si="290"/>
        <v>7.8815840061514805E-2</v>
      </c>
      <c r="U993" s="11">
        <f>IF(A992=A993,0,VLOOKUP(A993,'Packing Time'!A:F,6,0))</f>
        <v>0.64166666666666661</v>
      </c>
      <c r="V993" s="11">
        <f t="shared" si="283"/>
        <v>0.21720416666666661</v>
      </c>
      <c r="W993" s="11">
        <f t="shared" si="284"/>
        <v>1.0694444444444444E-2</v>
      </c>
      <c r="X993" s="11">
        <f t="shared" si="291"/>
        <v>2.5451354296424449</v>
      </c>
      <c r="Y993" s="11">
        <f t="shared" si="285"/>
        <v>2.5451354296424449</v>
      </c>
      <c r="Z993" s="37">
        <v>1</v>
      </c>
      <c r="AA993" s="36">
        <f t="shared" si="292"/>
        <v>1.3648596693579393</v>
      </c>
      <c r="AB993" s="36">
        <f t="shared" si="293"/>
        <v>1.2556708958093044</v>
      </c>
      <c r="AC993" s="11">
        <f t="shared" si="294"/>
        <v>0.12531439830834293</v>
      </c>
      <c r="AD993" s="36">
        <f t="shared" si="286"/>
        <v>2.5451354296424449</v>
      </c>
      <c r="AE993" s="36"/>
      <c r="AF993" s="36">
        <f>IFERROR(VLOOKUP(AE993,'Chemical Cost'!A:D,4,0),0)</f>
        <v>0</v>
      </c>
      <c r="AG993" s="114">
        <f t="shared" si="295"/>
        <v>0</v>
      </c>
      <c r="AH993" s="36">
        <f t="shared" si="298"/>
        <v>0</v>
      </c>
      <c r="AI993" s="36">
        <f t="shared" si="287"/>
        <v>3.8008063254517492</v>
      </c>
      <c r="AJ993" s="36">
        <f>IFERROR(VLOOKUP(A993,'All Products'!A:F,6,0),0)</f>
        <v>5.44</v>
      </c>
      <c r="AK993" s="36">
        <f>AJ993*Z993*J993</f>
        <v>5.44</v>
      </c>
      <c r="AL993" s="23">
        <v>1</v>
      </c>
      <c r="AM993" s="23"/>
      <c r="AN993" s="54" t="e">
        <v>#N/A</v>
      </c>
      <c r="AO993" s="47"/>
      <c r="AP993" s="4">
        <v>1.4</v>
      </c>
      <c r="AQ993" s="111">
        <f t="shared" si="296"/>
        <v>0.12531439830834293</v>
      </c>
      <c r="AR993">
        <f>_xlfn.XLOOKUP(F993,'RM Cost'!A:A,'RM Cost'!S:S)</f>
        <v>0</v>
      </c>
      <c r="AS993" t="str">
        <f>_xlfn.XLOOKUP(A993,[3]Sheet1!$B:$B,[3]Sheet1!$B:$B)</f>
        <v>Z143CS</v>
      </c>
      <c r="AT993">
        <f>_xlfn.XLOOKUP(H993,'Yield &amp; Time'!A:A,'Yield &amp; Time'!F:F)</f>
        <v>0</v>
      </c>
    </row>
    <row r="994" spans="1:46" x14ac:dyDescent="0.25">
      <c r="A994" s="2" t="s">
        <v>47</v>
      </c>
      <c r="B994" s="2" t="s">
        <v>656</v>
      </c>
      <c r="C994" s="2" t="s">
        <v>48</v>
      </c>
      <c r="D994" s="2" t="s">
        <v>554</v>
      </c>
      <c r="E994" s="2">
        <v>1</v>
      </c>
      <c r="F994" s="1" t="str">
        <f>VLOOKUP(H994,'RM Used'!A:B,2,0)</f>
        <v>P0008</v>
      </c>
      <c r="G994" s="1" t="str">
        <f>IFERROR(VLOOKUP(F994,'RM Cost'!A:B,2,0),"")</f>
        <v>PALE BLUE BAG 470X750MM</v>
      </c>
      <c r="H994" s="2" t="s">
        <v>1323</v>
      </c>
      <c r="I994" s="1" t="str">
        <f>VLOOKUP(F994,'RM Used'!B:D,3,0)</f>
        <v>RM-PACKING</v>
      </c>
      <c r="J994" s="66">
        <v>1</v>
      </c>
      <c r="K994" s="35" t="str">
        <f t="shared" si="300"/>
        <v/>
      </c>
      <c r="L994" s="35">
        <f t="shared" si="288"/>
        <v>0</v>
      </c>
      <c r="M994" s="77" t="str" cm="1">
        <f t="array" ref="M994">_xlfn.IFS(BOM!I994="RM-PACKING","100%",B994="Reynolds",VLOOKUP(H994,'Yield &amp; Time'!A:V,22,0),BOM!B994="Dnata",VLOOKUP(BOM!H994,'Yield &amp; Time'!A:M,13,0),B994="NK",VLOOKUP(H994,'Yield &amp; Time'!A:X,24,0))</f>
        <v>100%</v>
      </c>
      <c r="N994" s="35">
        <f t="shared" si="299"/>
        <v>1</v>
      </c>
      <c r="O994" s="1" t="str">
        <f>VLOOKUP(H994,'RM Used'!A:E,5,0)</f>
        <v>Count</v>
      </c>
      <c r="P994" s="11">
        <f>VLOOKUP(H994,'RM Used'!A:F,6,0)</f>
        <v>0.14000000000000001</v>
      </c>
      <c r="Q994" s="11">
        <f t="shared" si="297"/>
        <v>0.14000000000000001</v>
      </c>
      <c r="R994" s="11">
        <f>IFERROR(IF(B994="Reynolds",VLOOKUP(H994,'Yield &amp; Time'!A:U,21,0),VLOOKUP(H994,'Yield &amp; Time'!A:L,12,0)),0)</f>
        <v>0</v>
      </c>
      <c r="S994" s="11">
        <f t="shared" si="289"/>
        <v>0</v>
      </c>
      <c r="T994" s="11">
        <f t="shared" si="290"/>
        <v>0</v>
      </c>
      <c r="U994" s="11">
        <f>IF(A993=A994,0,VLOOKUP(A994,'Packing Time'!A:F,6,0))</f>
        <v>0</v>
      </c>
      <c r="V994" s="11">
        <f t="shared" ref="V994:V1057" si="301">U994*AO$1</f>
        <v>0</v>
      </c>
      <c r="W994" s="11">
        <f t="shared" ref="W994:W1057" si="302">(U994*Z994)/60</f>
        <v>0</v>
      </c>
      <c r="X994" s="11">
        <f t="shared" si="291"/>
        <v>0</v>
      </c>
      <c r="Y994" s="11">
        <f t="shared" ref="Y994:Y1057" si="303">X994*Z994</f>
        <v>0</v>
      </c>
      <c r="Z994" s="37">
        <v>1</v>
      </c>
      <c r="AA994" s="36">
        <f t="shared" si="292"/>
        <v>1</v>
      </c>
      <c r="AB994" s="36">
        <f t="shared" si="293"/>
        <v>0.14000000000000001</v>
      </c>
      <c r="AC994" s="11">
        <f t="shared" si="294"/>
        <v>0</v>
      </c>
      <c r="AD994" s="36">
        <f t="shared" ref="AD994:AD1057" si="304">AC994*60*AO$1</f>
        <v>0</v>
      </c>
      <c r="AE994" s="36"/>
      <c r="AF994" s="36">
        <f>IFERROR(VLOOKUP(AE994,'Chemical Cost'!A:D,4,0),0)</f>
        <v>0</v>
      </c>
      <c r="AG994" s="114">
        <f t="shared" si="295"/>
        <v>0</v>
      </c>
      <c r="AH994" s="36">
        <f t="shared" si="298"/>
        <v>0</v>
      </c>
      <c r="AI994" s="36">
        <f t="shared" ref="AI994:AI1057" si="305">IFERROR((Q994*Z994)+(Z994*X994)+AH994,0)</f>
        <v>0.14000000000000001</v>
      </c>
      <c r="AJ994" s="36">
        <f>IFERROR(VLOOKUP(A994,'All Products'!A:F,6,0),0)</f>
        <v>5.44</v>
      </c>
      <c r="AK994" s="36"/>
      <c r="AL994" s="23">
        <v>1</v>
      </c>
      <c r="AM994" s="23"/>
      <c r="AN994" s="54" t="e">
        <v>#N/A</v>
      </c>
      <c r="AO994" s="47"/>
      <c r="AP994" s="4">
        <v>1.4</v>
      </c>
      <c r="AQ994" s="111">
        <f t="shared" si="296"/>
        <v>0</v>
      </c>
      <c r="AR994">
        <f>_xlfn.XLOOKUP(F994,'RM Cost'!A:A,'RM Cost'!S:S)</f>
        <v>0</v>
      </c>
      <c r="AS994" t="str">
        <f>_xlfn.XLOOKUP(A994,[3]Sheet1!$B:$B,[3]Sheet1!$B:$B)</f>
        <v>Z143CS</v>
      </c>
      <c r="AT994" t="e">
        <f>_xlfn.XLOOKUP(H994,'Yield &amp; Time'!A:A,'Yield &amp; Time'!F:F)</f>
        <v>#N/A</v>
      </c>
    </row>
    <row r="995" spans="1:46" x14ac:dyDescent="0.25">
      <c r="A995" s="2" t="s">
        <v>45</v>
      </c>
      <c r="B995" s="2" t="s">
        <v>656</v>
      </c>
      <c r="C995" s="2" t="s">
        <v>46</v>
      </c>
      <c r="D995" s="2" t="s">
        <v>554</v>
      </c>
      <c r="E995" s="2">
        <v>2.5</v>
      </c>
      <c r="F995" s="1" t="str">
        <f>VLOOKUP(H995,'RM Used'!A:B,2,0)</f>
        <v>023ACS</v>
      </c>
      <c r="G995" s="1" t="str">
        <f>IFERROR(VLOOKUP(F995,'RM Cost'!A:B,2,0),"")</f>
        <v>RM - SHALLOT BANANA 1X20KG</v>
      </c>
      <c r="H995" s="2" t="s">
        <v>1577</v>
      </c>
      <c r="I995" s="1" t="str">
        <f>VLOOKUP(F995,'RM Used'!B:D,3,0)</f>
        <v>RM-FOOD</v>
      </c>
      <c r="J995" s="66">
        <v>1</v>
      </c>
      <c r="K995" s="35">
        <f t="shared" si="300"/>
        <v>2.5</v>
      </c>
      <c r="L995" s="35">
        <f t="shared" si="288"/>
        <v>2.5</v>
      </c>
      <c r="M995" s="77" cm="1">
        <f t="array" ref="M995">_xlfn.IFS(BOM!I995="RM-PACKING","100%",B995="Reynolds",VLOOKUP(H995,'Yield &amp; Time'!A:V,22,0),BOM!B995="Dnata",VLOOKUP(BOM!H995,'Yield &amp; Time'!A:M,13,0),B995="NK",VLOOKUP(H995,'Yield &amp; Time'!A:X,24,0))</f>
        <v>0.73267605633802813</v>
      </c>
      <c r="N995" s="35">
        <f t="shared" si="299"/>
        <v>3.4121491733948481</v>
      </c>
      <c r="O995" s="1" t="str">
        <f>VLOOKUP(H995,'RM Used'!A:E,5,0)</f>
        <v>KG</v>
      </c>
      <c r="P995" s="11">
        <f>VLOOKUP(H995,'RM Used'!A:F,6,0)</f>
        <v>0.92</v>
      </c>
      <c r="Q995" s="11">
        <f t="shared" si="297"/>
        <v>3.1391772395232604</v>
      </c>
      <c r="R995" s="11">
        <f>IFERROR(IF(B995="Reynolds",VLOOKUP(H995,'Yield &amp; Time'!A:U,21,0),VLOOKUP(H995,'Yield &amp; Time'!A:L,12,0)),0)</f>
        <v>4.728950403690888</v>
      </c>
      <c r="S995" s="11">
        <f t="shared" si="289"/>
        <v>4.0018742791234132</v>
      </c>
      <c r="T995" s="11">
        <f t="shared" si="290"/>
        <v>0.19703960015378699</v>
      </c>
      <c r="U995" s="11">
        <f>IF(A994=A995,0,VLOOKUP(A995,'Packing Time'!A:F,6,0))</f>
        <v>0.875</v>
      </c>
      <c r="V995" s="11">
        <f t="shared" si="301"/>
        <v>0.29618749999999999</v>
      </c>
      <c r="W995" s="11">
        <f t="shared" si="302"/>
        <v>1.4583333333333334E-2</v>
      </c>
      <c r="X995" s="11">
        <f t="shared" si="291"/>
        <v>4.7278679570357554</v>
      </c>
      <c r="Y995" s="11">
        <f t="shared" si="303"/>
        <v>4.7278679570357554</v>
      </c>
      <c r="Z995" s="37">
        <v>1</v>
      </c>
      <c r="AA995" s="36">
        <f t="shared" si="292"/>
        <v>3.4121491733948481</v>
      </c>
      <c r="AB995" s="36">
        <f t="shared" si="293"/>
        <v>3.1391772395232604</v>
      </c>
      <c r="AC995" s="11">
        <f t="shared" si="294"/>
        <v>0.23278522683583239</v>
      </c>
      <c r="AD995" s="36">
        <f t="shared" si="304"/>
        <v>4.7278679570357554</v>
      </c>
      <c r="AE995" s="36"/>
      <c r="AF995" s="36">
        <f>IFERROR(VLOOKUP(AE995,'Chemical Cost'!A:D,4,0),0)</f>
        <v>0</v>
      </c>
      <c r="AG995" s="114">
        <f t="shared" si="295"/>
        <v>0</v>
      </c>
      <c r="AH995" s="36">
        <f t="shared" si="298"/>
        <v>0</v>
      </c>
      <c r="AI995" s="36">
        <f t="shared" si="305"/>
        <v>7.8670451965590154</v>
      </c>
      <c r="AJ995" s="36">
        <f>IFERROR(VLOOKUP(A995,'All Products'!A:F,6,0),0)</f>
        <v>13.6</v>
      </c>
      <c r="AK995" s="36">
        <f>AJ995*Z995*J995</f>
        <v>13.6</v>
      </c>
      <c r="AL995" s="23">
        <v>1</v>
      </c>
      <c r="AM995" s="23"/>
      <c r="AN995" s="54" t="e">
        <v>#N/A</v>
      </c>
      <c r="AO995" s="47"/>
      <c r="AP995" s="4">
        <v>1.1000000000000001</v>
      </c>
      <c r="AQ995" s="111">
        <f t="shared" si="296"/>
        <v>0.23278522683583239</v>
      </c>
      <c r="AR995">
        <f>_xlfn.XLOOKUP(F995,'RM Cost'!A:A,'RM Cost'!S:S)</f>
        <v>0</v>
      </c>
      <c r="AS995" t="str">
        <f>_xlfn.XLOOKUP(A995,[3]Sheet1!$B:$B,[3]Sheet1!$B:$B)</f>
        <v>Z142CS</v>
      </c>
      <c r="AT995">
        <f>_xlfn.XLOOKUP(H995,'Yield &amp; Time'!A:A,'Yield &amp; Time'!F:F)</f>
        <v>0</v>
      </c>
    </row>
    <row r="996" spans="1:46" x14ac:dyDescent="0.25">
      <c r="A996" s="2" t="s">
        <v>45</v>
      </c>
      <c r="B996" s="2" t="s">
        <v>656</v>
      </c>
      <c r="C996" s="2" t="s">
        <v>46</v>
      </c>
      <c r="D996" s="2" t="s">
        <v>554</v>
      </c>
      <c r="E996" s="2">
        <v>2.5</v>
      </c>
      <c r="F996" s="1" t="str">
        <f>VLOOKUP(H996,'RM Used'!A:B,2,0)</f>
        <v>P0008</v>
      </c>
      <c r="G996" s="1" t="str">
        <f>IFERROR(VLOOKUP(F996,'RM Cost'!A:B,2,0),"")</f>
        <v>PALE BLUE BAG 470X750MM</v>
      </c>
      <c r="H996" s="2" t="s">
        <v>1323</v>
      </c>
      <c r="I996" s="1" t="str">
        <f>VLOOKUP(F996,'RM Used'!B:D,3,0)</f>
        <v>RM-PACKING</v>
      </c>
      <c r="J996" s="66">
        <v>1</v>
      </c>
      <c r="K996" s="35" t="str">
        <f t="shared" si="300"/>
        <v/>
      </c>
      <c r="L996" s="35">
        <f t="shared" si="288"/>
        <v>0</v>
      </c>
      <c r="M996" s="77" t="str" cm="1">
        <f t="array" ref="M996">_xlfn.IFS(BOM!I996="RM-PACKING","100%",B996="Reynolds",VLOOKUP(H996,'Yield &amp; Time'!A:V,22,0),BOM!B996="Dnata",VLOOKUP(BOM!H996,'Yield &amp; Time'!A:M,13,0),B996="NK",VLOOKUP(H996,'Yield &amp; Time'!A:X,24,0))</f>
        <v>100%</v>
      </c>
      <c r="N996" s="35">
        <f t="shared" si="299"/>
        <v>1</v>
      </c>
      <c r="O996" s="1" t="str">
        <f>VLOOKUP(H996,'RM Used'!A:E,5,0)</f>
        <v>Count</v>
      </c>
      <c r="P996" s="11">
        <f>VLOOKUP(H996,'RM Used'!A:F,6,0)</f>
        <v>0.14000000000000001</v>
      </c>
      <c r="Q996" s="11">
        <f t="shared" si="297"/>
        <v>0.14000000000000001</v>
      </c>
      <c r="R996" s="11">
        <f>IFERROR(IF(B996="Reynolds",VLOOKUP(H996,'Yield &amp; Time'!A:U,21,0),VLOOKUP(H996,'Yield &amp; Time'!A:L,12,0)),0)</f>
        <v>0</v>
      </c>
      <c r="S996" s="11">
        <f t="shared" si="289"/>
        <v>0</v>
      </c>
      <c r="T996" s="11">
        <f t="shared" si="290"/>
        <v>0</v>
      </c>
      <c r="U996" s="11">
        <f>IF(A995=A996,0,VLOOKUP(A996,'Packing Time'!A:F,6,0))</f>
        <v>0</v>
      </c>
      <c r="V996" s="11">
        <f t="shared" si="301"/>
        <v>0</v>
      </c>
      <c r="W996" s="11">
        <f t="shared" si="302"/>
        <v>0</v>
      </c>
      <c r="X996" s="11">
        <f t="shared" si="291"/>
        <v>0</v>
      </c>
      <c r="Y996" s="11">
        <f t="shared" si="303"/>
        <v>0</v>
      </c>
      <c r="Z996" s="37">
        <v>1</v>
      </c>
      <c r="AA996" s="36">
        <f t="shared" si="292"/>
        <v>1</v>
      </c>
      <c r="AB996" s="36">
        <f t="shared" si="293"/>
        <v>0.14000000000000001</v>
      </c>
      <c r="AC996" s="11">
        <f t="shared" si="294"/>
        <v>0</v>
      </c>
      <c r="AD996" s="36">
        <f t="shared" si="304"/>
        <v>0</v>
      </c>
      <c r="AE996" s="36"/>
      <c r="AF996" s="36">
        <f>IFERROR(VLOOKUP(AE996,'Chemical Cost'!A:D,4,0),0)</f>
        <v>0</v>
      </c>
      <c r="AG996" s="114">
        <f t="shared" si="295"/>
        <v>0</v>
      </c>
      <c r="AH996" s="36">
        <f t="shared" si="298"/>
        <v>0</v>
      </c>
      <c r="AI996" s="36">
        <f t="shared" si="305"/>
        <v>0.14000000000000001</v>
      </c>
      <c r="AJ996" s="36">
        <f>IFERROR(VLOOKUP(A996,'All Products'!A:F,6,0),0)</f>
        <v>13.6</v>
      </c>
      <c r="AK996" s="36"/>
      <c r="AL996" s="23">
        <v>1</v>
      </c>
      <c r="AM996" s="23"/>
      <c r="AN996" s="54" t="e">
        <v>#N/A</v>
      </c>
      <c r="AO996" s="47"/>
      <c r="AP996" s="4">
        <v>1.1000000000000001</v>
      </c>
      <c r="AQ996" s="111">
        <f t="shared" si="296"/>
        <v>0</v>
      </c>
      <c r="AR996">
        <f>_xlfn.XLOOKUP(F996,'RM Cost'!A:A,'RM Cost'!S:S)</f>
        <v>0</v>
      </c>
      <c r="AS996" t="str">
        <f>_xlfn.XLOOKUP(A996,[3]Sheet1!$B:$B,[3]Sheet1!$B:$B)</f>
        <v>Z142CS</v>
      </c>
      <c r="AT996" t="e">
        <f>_xlfn.XLOOKUP(H996,'Yield &amp; Time'!A:A,'Yield &amp; Time'!F:F)</f>
        <v>#N/A</v>
      </c>
    </row>
    <row r="997" spans="1:46" x14ac:dyDescent="0.25">
      <c r="A997" s="2" t="s">
        <v>927</v>
      </c>
      <c r="B997" s="2" t="s">
        <v>656</v>
      </c>
      <c r="C997" s="2" t="s">
        <v>928</v>
      </c>
      <c r="D997" s="2" t="s">
        <v>554</v>
      </c>
      <c r="E997" s="2">
        <v>1</v>
      </c>
      <c r="F997" s="1" t="str">
        <f>VLOOKUP(H997,'RM Used'!A:B,2,0)</f>
        <v>023ACS</v>
      </c>
      <c r="G997" s="1" t="str">
        <f>IFERROR(VLOOKUP(F997,'RM Cost'!A:B,2,0),"")</f>
        <v>RM - SHALLOT BANANA 1X20KG</v>
      </c>
      <c r="H997" s="2" t="s">
        <v>1578</v>
      </c>
      <c r="I997" s="1" t="str">
        <f>VLOOKUP(F997,'RM Used'!B:D,3,0)</f>
        <v>RM-FOOD</v>
      </c>
      <c r="J997" s="66">
        <v>1</v>
      </c>
      <c r="K997" s="35">
        <f t="shared" si="300"/>
        <v>1</v>
      </c>
      <c r="L997" s="35">
        <f t="shared" si="288"/>
        <v>1</v>
      </c>
      <c r="M997" s="77" cm="1">
        <f t="array" ref="M997">_xlfn.IFS(BOM!I997="RM-PACKING","100%",B997="Reynolds",VLOOKUP(H997,'Yield &amp; Time'!A:V,22,0),BOM!B997="Dnata",VLOOKUP(BOM!H997,'Yield &amp; Time'!A:M,13,0),B997="NK",VLOOKUP(H997,'Yield &amp; Time'!A:X,24,0))</f>
        <v>0.64742077984742463</v>
      </c>
      <c r="N997" s="35">
        <f t="shared" si="299"/>
        <v>1.5445905215394329</v>
      </c>
      <c r="O997" s="1" t="str">
        <f>VLOOKUP(H997,'RM Used'!A:E,5,0)</f>
        <v>KG</v>
      </c>
      <c r="P997" s="11">
        <f>VLOOKUP(H997,'RM Used'!A:F,6,0)</f>
        <v>0.92</v>
      </c>
      <c r="Q997" s="11">
        <f t="shared" si="297"/>
        <v>1.4210232798162783</v>
      </c>
      <c r="R997" s="11">
        <f>IFERROR(IF(B997="Reynolds",VLOOKUP(H997,'Yield &amp; Time'!A:U,21,0),VLOOKUP(H997,'Yield &amp; Time'!A:L,12,0)),0)</f>
        <v>5.9901835541108905</v>
      </c>
      <c r="S997" s="11">
        <f t="shared" si="289"/>
        <v>2.0276771330665362</v>
      </c>
      <c r="T997" s="11">
        <f t="shared" si="290"/>
        <v>9.9836392568514842E-2</v>
      </c>
      <c r="U997" s="11">
        <f>IF(A996=A997,0,VLOOKUP(A997,'Packing Time'!A:F,6,0))</f>
        <v>0.64166666666666661</v>
      </c>
      <c r="V997" s="11">
        <f t="shared" si="301"/>
        <v>0.21720416666666661</v>
      </c>
      <c r="W997" s="11">
        <f t="shared" si="302"/>
        <v>1.0694444444444444E-2</v>
      </c>
      <c r="X997" s="11">
        <f t="shared" si="291"/>
        <v>3.5918100795731251</v>
      </c>
      <c r="Y997" s="11">
        <f t="shared" si="303"/>
        <v>3.5918100795731251</v>
      </c>
      <c r="Z997" s="37">
        <v>1</v>
      </c>
      <c r="AA997" s="36">
        <f t="shared" si="292"/>
        <v>1.5445905215394329</v>
      </c>
      <c r="AB997" s="36">
        <f t="shared" si="293"/>
        <v>1.4210232798162783</v>
      </c>
      <c r="AC997" s="11">
        <f t="shared" si="294"/>
        <v>0.17684933922073487</v>
      </c>
      <c r="AD997" s="36">
        <f t="shared" si="304"/>
        <v>3.5918100795731247</v>
      </c>
      <c r="AE997" s="36"/>
      <c r="AF997" s="36">
        <f>IFERROR(VLOOKUP(AE997,'Chemical Cost'!A:D,4,0),0)</f>
        <v>0</v>
      </c>
      <c r="AG997" s="114">
        <f t="shared" si="295"/>
        <v>0</v>
      </c>
      <c r="AH997" s="36">
        <f t="shared" si="298"/>
        <v>0</v>
      </c>
      <c r="AI997" s="36">
        <f t="shared" si="305"/>
        <v>5.0128333593894032</v>
      </c>
      <c r="AJ997" s="36">
        <f>IFERROR(VLOOKUP(A997,'All Products'!A:F,6,0),0)</f>
        <v>5.46</v>
      </c>
      <c r="AK997" s="36">
        <f>AJ997*Z997*J997</f>
        <v>5.46</v>
      </c>
      <c r="AL997" s="23">
        <v>1</v>
      </c>
      <c r="AM997" s="23"/>
      <c r="AN997" s="54" t="e">
        <v>#N/A</v>
      </c>
      <c r="AO997" s="47"/>
      <c r="AP997" s="4">
        <v>1.6</v>
      </c>
      <c r="AQ997" s="111">
        <f t="shared" si="296"/>
        <v>0.17684933922073487</v>
      </c>
      <c r="AR997">
        <f>_xlfn.XLOOKUP(F997,'RM Cost'!A:A,'RM Cost'!S:S)</f>
        <v>0</v>
      </c>
      <c r="AS997" t="str">
        <f>_xlfn.XLOOKUP(A997,[3]Sheet1!$B:$B,[3]Sheet1!$B:$B)</f>
        <v>Z145CS</v>
      </c>
      <c r="AT997">
        <f>_xlfn.XLOOKUP(H997,'Yield &amp; Time'!A:A,'Yield &amp; Time'!F:F)</f>
        <v>0</v>
      </c>
    </row>
    <row r="998" spans="1:46" x14ac:dyDescent="0.25">
      <c r="A998" s="2" t="s">
        <v>927</v>
      </c>
      <c r="B998" s="2" t="s">
        <v>656</v>
      </c>
      <c r="C998" s="2" t="s">
        <v>928</v>
      </c>
      <c r="D998" s="2" t="s">
        <v>554</v>
      </c>
      <c r="E998" s="2">
        <v>1</v>
      </c>
      <c r="F998" s="1" t="str">
        <f>VLOOKUP(H998,'RM Used'!A:B,2,0)</f>
        <v>P0008</v>
      </c>
      <c r="G998" s="1" t="str">
        <f>IFERROR(VLOOKUP(F998,'RM Cost'!A:B,2,0),"")</f>
        <v>PALE BLUE BAG 470X750MM</v>
      </c>
      <c r="H998" s="2" t="s">
        <v>1323</v>
      </c>
      <c r="I998" s="1" t="str">
        <f>VLOOKUP(F998,'RM Used'!B:D,3,0)</f>
        <v>RM-PACKING</v>
      </c>
      <c r="J998" s="66">
        <v>1</v>
      </c>
      <c r="K998" s="35" t="str">
        <f t="shared" si="300"/>
        <v/>
      </c>
      <c r="L998" s="35">
        <f t="shared" si="288"/>
        <v>0</v>
      </c>
      <c r="M998" s="77" t="str" cm="1">
        <f t="array" ref="M998">_xlfn.IFS(BOM!I998="RM-PACKING","100%",B998="Reynolds",VLOOKUP(H998,'Yield &amp; Time'!A:V,22,0),BOM!B998="Dnata",VLOOKUP(BOM!H998,'Yield &amp; Time'!A:M,13,0),B998="NK",VLOOKUP(H998,'Yield &amp; Time'!A:X,24,0))</f>
        <v>100%</v>
      </c>
      <c r="N998" s="35">
        <f t="shared" si="299"/>
        <v>1</v>
      </c>
      <c r="O998" s="1" t="str">
        <f>VLOOKUP(H998,'RM Used'!A:E,5,0)</f>
        <v>Count</v>
      </c>
      <c r="P998" s="11">
        <f>VLOOKUP(H998,'RM Used'!A:F,6,0)</f>
        <v>0.14000000000000001</v>
      </c>
      <c r="Q998" s="11">
        <f t="shared" si="297"/>
        <v>0.14000000000000001</v>
      </c>
      <c r="R998" s="11">
        <f>IFERROR(IF(B998="Reynolds",VLOOKUP(H998,'Yield &amp; Time'!A:U,21,0),VLOOKUP(H998,'Yield &amp; Time'!A:L,12,0)),0)</f>
        <v>0</v>
      </c>
      <c r="S998" s="11">
        <f t="shared" si="289"/>
        <v>0</v>
      </c>
      <c r="T998" s="11">
        <f t="shared" si="290"/>
        <v>0</v>
      </c>
      <c r="U998" s="11">
        <f>IF(A997=A998,0,VLOOKUP(A998,'Packing Time'!A:F,6,0))</f>
        <v>0</v>
      </c>
      <c r="V998" s="11">
        <f t="shared" si="301"/>
        <v>0</v>
      </c>
      <c r="W998" s="11">
        <f t="shared" si="302"/>
        <v>0</v>
      </c>
      <c r="X998" s="11">
        <f t="shared" si="291"/>
        <v>0</v>
      </c>
      <c r="Y998" s="11">
        <f t="shared" si="303"/>
        <v>0</v>
      </c>
      <c r="Z998" s="37">
        <v>1</v>
      </c>
      <c r="AA998" s="36">
        <f t="shared" si="292"/>
        <v>1</v>
      </c>
      <c r="AB998" s="36">
        <f t="shared" si="293"/>
        <v>0.14000000000000001</v>
      </c>
      <c r="AC998" s="11">
        <f t="shared" si="294"/>
        <v>0</v>
      </c>
      <c r="AD998" s="36">
        <f t="shared" si="304"/>
        <v>0</v>
      </c>
      <c r="AE998" s="36"/>
      <c r="AF998" s="36">
        <f>IFERROR(VLOOKUP(AE998,'Chemical Cost'!A:D,4,0),0)</f>
        <v>0</v>
      </c>
      <c r="AG998" s="114">
        <f t="shared" si="295"/>
        <v>0</v>
      </c>
      <c r="AH998" s="36">
        <f t="shared" si="298"/>
        <v>0</v>
      </c>
      <c r="AI998" s="36">
        <f t="shared" si="305"/>
        <v>0.14000000000000001</v>
      </c>
      <c r="AJ998" s="36">
        <f>IFERROR(VLOOKUP(A998,'All Products'!A:F,6,0),0)</f>
        <v>5.46</v>
      </c>
      <c r="AK998" s="36"/>
      <c r="AL998" s="23">
        <v>1</v>
      </c>
      <c r="AM998" s="23"/>
      <c r="AN998" s="54" t="e">
        <v>#N/A</v>
      </c>
      <c r="AO998" s="47"/>
      <c r="AP998" s="4">
        <v>1.6</v>
      </c>
      <c r="AQ998" s="111">
        <f t="shared" si="296"/>
        <v>0</v>
      </c>
      <c r="AR998">
        <f>_xlfn.XLOOKUP(F998,'RM Cost'!A:A,'RM Cost'!S:S)</f>
        <v>0</v>
      </c>
      <c r="AS998" t="str">
        <f>_xlfn.XLOOKUP(A998,[3]Sheet1!$B:$B,[3]Sheet1!$B:$B)</f>
        <v>Z145CS</v>
      </c>
      <c r="AT998" t="e">
        <f>_xlfn.XLOOKUP(H998,'Yield &amp; Time'!A:A,'Yield &amp; Time'!F:F)</f>
        <v>#N/A</v>
      </c>
    </row>
    <row r="999" spans="1:46" x14ac:dyDescent="0.25">
      <c r="A999" s="2" t="s">
        <v>43</v>
      </c>
      <c r="B999" s="2" t="s">
        <v>656</v>
      </c>
      <c r="C999" s="2" t="s">
        <v>44</v>
      </c>
      <c r="D999" s="2" t="s">
        <v>554</v>
      </c>
      <c r="E999" s="2">
        <v>2.5</v>
      </c>
      <c r="F999" s="1" t="str">
        <f>VLOOKUP(H999,'RM Used'!A:B,2,0)</f>
        <v>023ACS</v>
      </c>
      <c r="G999" s="1" t="str">
        <f>IFERROR(VLOOKUP(F999,'RM Cost'!A:B,2,0),"")</f>
        <v>RM - SHALLOT BANANA 1X20KG</v>
      </c>
      <c r="H999" s="2" t="s">
        <v>1578</v>
      </c>
      <c r="I999" s="1" t="str">
        <f>VLOOKUP(F999,'RM Used'!B:D,3,0)</f>
        <v>RM-FOOD</v>
      </c>
      <c r="J999" s="66">
        <v>1</v>
      </c>
      <c r="K999" s="35">
        <f t="shared" si="300"/>
        <v>2.5</v>
      </c>
      <c r="L999" s="35">
        <f t="shared" si="288"/>
        <v>2.5</v>
      </c>
      <c r="M999" s="77" cm="1">
        <f t="array" ref="M999">_xlfn.IFS(BOM!I999="RM-PACKING","100%",B999="Reynolds",VLOOKUP(H999,'Yield &amp; Time'!A:V,22,0),BOM!B999="Dnata",VLOOKUP(BOM!H999,'Yield &amp; Time'!A:M,13,0),B999="NK",VLOOKUP(H999,'Yield &amp; Time'!A:X,24,0))</f>
        <v>0.64742077984742463</v>
      </c>
      <c r="N999" s="35">
        <f t="shared" si="299"/>
        <v>3.8614763038485824</v>
      </c>
      <c r="O999" s="1" t="str">
        <f>VLOOKUP(H999,'RM Used'!A:E,5,0)</f>
        <v>KG</v>
      </c>
      <c r="P999" s="11">
        <f>VLOOKUP(H999,'RM Used'!A:F,6,0)</f>
        <v>0.92</v>
      </c>
      <c r="Q999" s="11">
        <f t="shared" si="297"/>
        <v>3.5525581995406958</v>
      </c>
      <c r="R999" s="11">
        <f>IFERROR(IF(B999="Reynolds",VLOOKUP(H999,'Yield &amp; Time'!A:U,21,0),VLOOKUP(H999,'Yield &amp; Time'!A:L,12,0)),0)</f>
        <v>5.9901835541108905</v>
      </c>
      <c r="S999" s="11">
        <f t="shared" si="289"/>
        <v>5.0691928326663414</v>
      </c>
      <c r="T999" s="11">
        <f t="shared" si="290"/>
        <v>0.24959098142128713</v>
      </c>
      <c r="U999" s="11">
        <f>IF(A998=A999,0,VLOOKUP(A999,'Packing Time'!A:F,6,0))</f>
        <v>0.875</v>
      </c>
      <c r="V999" s="11">
        <f t="shared" si="301"/>
        <v>0.29618749999999999</v>
      </c>
      <c r="W999" s="11">
        <f t="shared" si="302"/>
        <v>1.4583333333333334E-2</v>
      </c>
      <c r="X999" s="11">
        <f t="shared" si="291"/>
        <v>7.5115324657328761</v>
      </c>
      <c r="Y999" s="11">
        <f t="shared" si="303"/>
        <v>7.5115324657328761</v>
      </c>
      <c r="Z999" s="37">
        <v>1</v>
      </c>
      <c r="AA999" s="36">
        <f t="shared" si="292"/>
        <v>3.8614763038485824</v>
      </c>
      <c r="AB999" s="36">
        <f t="shared" si="293"/>
        <v>3.5525581995406958</v>
      </c>
      <c r="AC999" s="11">
        <f t="shared" si="294"/>
        <v>0.36984404065646859</v>
      </c>
      <c r="AD999" s="36">
        <f t="shared" si="304"/>
        <v>7.5115324657328761</v>
      </c>
      <c r="AE999" s="36"/>
      <c r="AF999" s="36">
        <f>IFERROR(VLOOKUP(AE999,'Chemical Cost'!A:D,4,0),0)</f>
        <v>0</v>
      </c>
      <c r="AG999" s="114">
        <f t="shared" si="295"/>
        <v>0</v>
      </c>
      <c r="AH999" s="36">
        <f t="shared" si="298"/>
        <v>0</v>
      </c>
      <c r="AI999" s="36">
        <f t="shared" si="305"/>
        <v>11.064090665273572</v>
      </c>
      <c r="AJ999" s="36">
        <f>IFERROR(VLOOKUP(A999,'All Products'!A:F,6,0),0)</f>
        <v>13.63</v>
      </c>
      <c r="AK999" s="36">
        <f>AJ999*Z999*J999</f>
        <v>13.63</v>
      </c>
      <c r="AL999" s="23">
        <v>1</v>
      </c>
      <c r="AM999" s="23"/>
      <c r="AN999" s="54" t="e">
        <v>#N/A</v>
      </c>
      <c r="AO999" s="47"/>
      <c r="AP999" s="4">
        <v>1.4</v>
      </c>
      <c r="AQ999" s="111">
        <f t="shared" si="296"/>
        <v>0.36984404065646859</v>
      </c>
      <c r="AR999">
        <f>_xlfn.XLOOKUP(F999,'RM Cost'!A:A,'RM Cost'!S:S)</f>
        <v>0</v>
      </c>
      <c r="AS999" t="str">
        <f>_xlfn.XLOOKUP(A999,[3]Sheet1!$B:$B,[3]Sheet1!$B:$B)</f>
        <v>Z144CS</v>
      </c>
      <c r="AT999">
        <f>_xlfn.XLOOKUP(H999,'Yield &amp; Time'!A:A,'Yield &amp; Time'!F:F)</f>
        <v>0</v>
      </c>
    </row>
    <row r="1000" spans="1:46" x14ac:dyDescent="0.25">
      <c r="A1000" s="2" t="s">
        <v>43</v>
      </c>
      <c r="B1000" s="2" t="s">
        <v>656</v>
      </c>
      <c r="C1000" s="2" t="s">
        <v>44</v>
      </c>
      <c r="D1000" s="2" t="s">
        <v>554</v>
      </c>
      <c r="E1000" s="2">
        <v>2.5</v>
      </c>
      <c r="F1000" s="1" t="str">
        <f>VLOOKUP(H1000,'RM Used'!A:B,2,0)</f>
        <v>P0008</v>
      </c>
      <c r="G1000" s="1" t="str">
        <f>IFERROR(VLOOKUP(F1000,'RM Cost'!A:B,2,0),"")</f>
        <v>PALE BLUE BAG 470X750MM</v>
      </c>
      <c r="H1000" s="2" t="s">
        <v>1323</v>
      </c>
      <c r="I1000" s="1" t="str">
        <f>VLOOKUP(F1000,'RM Used'!B:D,3,0)</f>
        <v>RM-PACKING</v>
      </c>
      <c r="J1000" s="66">
        <v>1</v>
      </c>
      <c r="K1000" s="35" t="str">
        <f t="shared" si="300"/>
        <v/>
      </c>
      <c r="L1000" s="35">
        <f t="shared" si="288"/>
        <v>0</v>
      </c>
      <c r="M1000" s="77" t="str" cm="1">
        <f t="array" ref="M1000">_xlfn.IFS(BOM!I1000="RM-PACKING","100%",B1000="Reynolds",VLOOKUP(H1000,'Yield &amp; Time'!A:V,22,0),BOM!B1000="Dnata",VLOOKUP(BOM!H1000,'Yield &amp; Time'!A:M,13,0),B1000="NK",VLOOKUP(H1000,'Yield &amp; Time'!A:X,24,0))</f>
        <v>100%</v>
      </c>
      <c r="N1000" s="35">
        <f t="shared" si="299"/>
        <v>1</v>
      </c>
      <c r="O1000" s="1" t="str">
        <f>VLOOKUP(H1000,'RM Used'!A:E,5,0)</f>
        <v>Count</v>
      </c>
      <c r="P1000" s="11">
        <f>VLOOKUP(H1000,'RM Used'!A:F,6,0)</f>
        <v>0.14000000000000001</v>
      </c>
      <c r="Q1000" s="11">
        <f t="shared" si="297"/>
        <v>0.14000000000000001</v>
      </c>
      <c r="R1000" s="11">
        <f>IFERROR(IF(B1000="Reynolds",VLOOKUP(H1000,'Yield &amp; Time'!A:U,21,0),VLOOKUP(H1000,'Yield &amp; Time'!A:L,12,0)),0)</f>
        <v>0</v>
      </c>
      <c r="S1000" s="11">
        <f t="shared" si="289"/>
        <v>0</v>
      </c>
      <c r="T1000" s="11">
        <f t="shared" si="290"/>
        <v>0</v>
      </c>
      <c r="U1000" s="11">
        <f>IF(A999=A1000,0,VLOOKUP(A1000,'Packing Time'!A:F,6,0))</f>
        <v>0</v>
      </c>
      <c r="V1000" s="11">
        <f t="shared" si="301"/>
        <v>0</v>
      </c>
      <c r="W1000" s="11">
        <f t="shared" si="302"/>
        <v>0</v>
      </c>
      <c r="X1000" s="11">
        <f t="shared" si="291"/>
        <v>0</v>
      </c>
      <c r="Y1000" s="11">
        <f t="shared" si="303"/>
        <v>0</v>
      </c>
      <c r="Z1000" s="37">
        <v>1</v>
      </c>
      <c r="AA1000" s="36">
        <f t="shared" si="292"/>
        <v>1</v>
      </c>
      <c r="AB1000" s="36">
        <f t="shared" si="293"/>
        <v>0.14000000000000001</v>
      </c>
      <c r="AC1000" s="11">
        <f t="shared" si="294"/>
        <v>0</v>
      </c>
      <c r="AD1000" s="36">
        <f t="shared" si="304"/>
        <v>0</v>
      </c>
      <c r="AE1000" s="36"/>
      <c r="AF1000" s="36">
        <f>IFERROR(VLOOKUP(AE1000,'Chemical Cost'!A:D,4,0),0)</f>
        <v>0</v>
      </c>
      <c r="AG1000" s="114">
        <f t="shared" si="295"/>
        <v>0</v>
      </c>
      <c r="AH1000" s="36">
        <f t="shared" si="298"/>
        <v>0</v>
      </c>
      <c r="AI1000" s="36">
        <f t="shared" si="305"/>
        <v>0.14000000000000001</v>
      </c>
      <c r="AJ1000" s="36">
        <f>IFERROR(VLOOKUP(A1000,'All Products'!A:F,6,0),0)</f>
        <v>13.63</v>
      </c>
      <c r="AK1000" s="36"/>
      <c r="AL1000" s="23">
        <v>1</v>
      </c>
      <c r="AM1000" s="23"/>
      <c r="AN1000" s="54" t="e">
        <v>#N/A</v>
      </c>
      <c r="AO1000" s="47"/>
      <c r="AP1000" s="4">
        <v>1.4</v>
      </c>
      <c r="AQ1000" s="111">
        <f t="shared" si="296"/>
        <v>0</v>
      </c>
      <c r="AR1000">
        <f>_xlfn.XLOOKUP(F1000,'RM Cost'!A:A,'RM Cost'!S:S)</f>
        <v>0</v>
      </c>
      <c r="AS1000" t="str">
        <f>_xlfn.XLOOKUP(A1000,[3]Sheet1!$B:$B,[3]Sheet1!$B:$B)</f>
        <v>Z144CS</v>
      </c>
      <c r="AT1000" t="e">
        <f>_xlfn.XLOOKUP(H1000,'Yield &amp; Time'!A:A,'Yield &amp; Time'!F:F)</f>
        <v>#N/A</v>
      </c>
    </row>
    <row r="1001" spans="1:46" x14ac:dyDescent="0.25">
      <c r="A1001" s="2" t="s">
        <v>387</v>
      </c>
      <c r="B1001" s="2" t="s">
        <v>656</v>
      </c>
      <c r="C1001" s="2" t="s">
        <v>388</v>
      </c>
      <c r="D1001" s="2" t="s">
        <v>554</v>
      </c>
      <c r="E1001" s="2">
        <v>1</v>
      </c>
      <c r="F1001" s="1" t="s">
        <v>1266</v>
      </c>
      <c r="G1001" s="1" t="s">
        <v>1267</v>
      </c>
      <c r="H1001" s="2" t="s">
        <v>1579</v>
      </c>
      <c r="I1001" s="1" t="str">
        <f>VLOOKUP(F1001,'RM Used'!B:D,3,0)</f>
        <v>RM-FOOD</v>
      </c>
      <c r="J1001" s="66">
        <v>1</v>
      </c>
      <c r="K1001" s="35">
        <f t="shared" si="300"/>
        <v>1</v>
      </c>
      <c r="L1001" s="35">
        <f t="shared" si="288"/>
        <v>1</v>
      </c>
      <c r="M1001" s="77" cm="1">
        <f t="array" ref="M1001">_xlfn.IFS(BOM!I1001="RM-PACKING","100%",B1001="Reynolds",VLOOKUP(H1001,'Yield &amp; Time'!A:V,22,0),BOM!B1001="Dnata",VLOOKUP(BOM!H1001,'Yield &amp; Time'!A:M,13,0),B1001="NK",VLOOKUP(H1001,'Yield &amp; Time'!A:X,24,0))</f>
        <v>0.77</v>
      </c>
      <c r="N1001" s="35">
        <f t="shared" si="299"/>
        <v>1.2987012987012987</v>
      </c>
      <c r="O1001" s="1" t="str">
        <f>VLOOKUP(H1001,'RM Used'!A:E,5,0)</f>
        <v>KG</v>
      </c>
      <c r="P1001" s="11">
        <f>VLOOKUP(H1001,'RM Used'!A:F,6,0)</f>
        <v>0.79</v>
      </c>
      <c r="Q1001" s="11">
        <f t="shared" si="297"/>
        <v>1.025974025974026</v>
      </c>
      <c r="R1001" s="11">
        <f>IFERROR(IF(B1001="Reynolds",VLOOKUP(H1001,'Yield &amp; Time'!A:U,21,0),VLOOKUP(H1001,'Yield &amp; Time'!A:L,12,0)),0)</f>
        <v>7.7922077922077921</v>
      </c>
      <c r="S1001" s="11">
        <f t="shared" si="289"/>
        <v>2.6376623376623374</v>
      </c>
      <c r="T1001" s="11">
        <f t="shared" si="290"/>
        <v>0.12987012987012986</v>
      </c>
      <c r="U1001" s="11">
        <f>IF(A1000=A1001,0,VLOOKUP(A1001,'Packing Time'!A:F,6,0))</f>
        <v>0.64166666666666661</v>
      </c>
      <c r="V1001" s="11">
        <f t="shared" si="301"/>
        <v>0.21720416666666661</v>
      </c>
      <c r="W1001" s="11">
        <f t="shared" si="302"/>
        <v>1.0694444444444444E-2</v>
      </c>
      <c r="X1001" s="11">
        <f t="shared" si="291"/>
        <v>4.5677864069264071</v>
      </c>
      <c r="Y1001" s="11">
        <f t="shared" si="303"/>
        <v>4.5677864069264071</v>
      </c>
      <c r="Z1001" s="37">
        <v>1</v>
      </c>
      <c r="AA1001" s="36">
        <f t="shared" si="292"/>
        <v>1.2987012987012987</v>
      </c>
      <c r="AB1001" s="36">
        <f t="shared" si="293"/>
        <v>1.025974025974026</v>
      </c>
      <c r="AC1001" s="11">
        <f t="shared" si="294"/>
        <v>0.22490331890331894</v>
      </c>
      <c r="AD1001" s="36">
        <f t="shared" si="304"/>
        <v>4.5677864069264071</v>
      </c>
      <c r="AE1001" s="36"/>
      <c r="AF1001" s="36">
        <f>IFERROR(VLOOKUP(AE1001,'Chemical Cost'!A:D,4,0),0)</f>
        <v>0</v>
      </c>
      <c r="AG1001" s="114">
        <f t="shared" si="295"/>
        <v>0</v>
      </c>
      <c r="AH1001" s="36">
        <f t="shared" si="298"/>
        <v>0</v>
      </c>
      <c r="AI1001" s="36">
        <f t="shared" si="305"/>
        <v>5.5937604329004333</v>
      </c>
      <c r="AJ1001" s="36">
        <f>IFERROR(VLOOKUP(A1001,'All Products'!A:F,6,0),0)</f>
        <v>38.72</v>
      </c>
      <c r="AK1001" s="36">
        <f>AJ1001*Z1001*J1001</f>
        <v>38.72</v>
      </c>
      <c r="AL1001" s="23">
        <v>1</v>
      </c>
      <c r="AM1001" s="23"/>
      <c r="AN1001" s="54" t="e">
        <v>#N/A</v>
      </c>
      <c r="AO1001" s="47"/>
      <c r="AP1001" s="4">
        <v>1.6</v>
      </c>
      <c r="AQ1001" s="111">
        <f t="shared" si="296"/>
        <v>0.22490331890331894</v>
      </c>
      <c r="AR1001">
        <f>_xlfn.XLOOKUP(F1001,'RM Cost'!A:A,'RM Cost'!S:S)</f>
        <v>0</v>
      </c>
      <c r="AS1001" t="e">
        <f>_xlfn.XLOOKUP(A1001,[3]Sheet1!$B:$B,[3]Sheet1!$B:$B)</f>
        <v>#N/A</v>
      </c>
    </row>
    <row r="1002" spans="1:46" x14ac:dyDescent="0.25">
      <c r="A1002" s="2" t="s">
        <v>387</v>
      </c>
      <c r="B1002" s="2" t="s">
        <v>656</v>
      </c>
      <c r="C1002" s="2" t="s">
        <v>388</v>
      </c>
      <c r="D1002" s="2" t="s">
        <v>554</v>
      </c>
      <c r="E1002" s="2">
        <v>1</v>
      </c>
      <c r="F1002" s="1" t="str">
        <f>VLOOKUP(H1002,'RM Used'!A:B,2,0)</f>
        <v>P0008</v>
      </c>
      <c r="G1002" s="1" t="str">
        <f>IFERROR(VLOOKUP(F1002,'RM Cost'!A:B,2,0),"")</f>
        <v>PALE BLUE BAG 470X750MM</v>
      </c>
      <c r="H1002" s="2" t="s">
        <v>1323</v>
      </c>
      <c r="I1002" s="1" t="str">
        <f>VLOOKUP(F1002,'RM Used'!B:D,3,0)</f>
        <v>RM-PACKING</v>
      </c>
      <c r="J1002" s="66">
        <v>1</v>
      </c>
      <c r="K1002" s="35" t="str">
        <f t="shared" si="300"/>
        <v/>
      </c>
      <c r="L1002" s="35">
        <f t="shared" si="288"/>
        <v>0</v>
      </c>
      <c r="M1002" s="77" t="str" cm="1">
        <f t="array" ref="M1002">_xlfn.IFS(BOM!I1002="RM-PACKING","100%",B1002="Reynolds",VLOOKUP(H1002,'Yield &amp; Time'!A:V,22,0),BOM!B1002="Dnata",VLOOKUP(BOM!H1002,'Yield &amp; Time'!A:M,13,0),B1002="NK",VLOOKUP(H1002,'Yield &amp; Time'!A:X,24,0))</f>
        <v>100%</v>
      </c>
      <c r="N1002" s="35">
        <f t="shared" si="299"/>
        <v>1</v>
      </c>
      <c r="O1002" s="1" t="str">
        <f>VLOOKUP(H1002,'RM Used'!A:E,5,0)</f>
        <v>Count</v>
      </c>
      <c r="P1002" s="11">
        <f>VLOOKUP(H1002,'RM Used'!A:F,6,0)</f>
        <v>0.14000000000000001</v>
      </c>
      <c r="Q1002" s="11">
        <f t="shared" si="297"/>
        <v>0.14000000000000001</v>
      </c>
      <c r="R1002" s="11">
        <f>IFERROR(IF(B1002="Reynolds",VLOOKUP(H1002,'Yield &amp; Time'!A:U,21,0),VLOOKUP(H1002,'Yield &amp; Time'!A:L,12,0)),0)</f>
        <v>0</v>
      </c>
      <c r="S1002" s="11">
        <f t="shared" si="289"/>
        <v>0</v>
      </c>
      <c r="T1002" s="11">
        <f t="shared" si="290"/>
        <v>0</v>
      </c>
      <c r="U1002" s="11">
        <f>IF(A1001=A1002,0,VLOOKUP(A1002,'Packing Time'!A:F,6,0))</f>
        <v>0</v>
      </c>
      <c r="V1002" s="11">
        <f t="shared" si="301"/>
        <v>0</v>
      </c>
      <c r="W1002" s="11">
        <f t="shared" si="302"/>
        <v>0</v>
      </c>
      <c r="X1002" s="11">
        <f t="shared" si="291"/>
        <v>0</v>
      </c>
      <c r="Y1002" s="11">
        <f t="shared" si="303"/>
        <v>0</v>
      </c>
      <c r="Z1002" s="37">
        <v>1</v>
      </c>
      <c r="AA1002" s="36">
        <f t="shared" si="292"/>
        <v>1</v>
      </c>
      <c r="AB1002" s="36">
        <f t="shared" si="293"/>
        <v>0.14000000000000001</v>
      </c>
      <c r="AC1002" s="11">
        <f t="shared" si="294"/>
        <v>0</v>
      </c>
      <c r="AD1002" s="36">
        <f t="shared" si="304"/>
        <v>0</v>
      </c>
      <c r="AE1002" s="36"/>
      <c r="AF1002" s="36">
        <f>IFERROR(VLOOKUP(AE1002,'Chemical Cost'!A:D,4,0),0)</f>
        <v>0</v>
      </c>
      <c r="AG1002" s="114">
        <f t="shared" si="295"/>
        <v>0</v>
      </c>
      <c r="AH1002" s="36">
        <f t="shared" si="298"/>
        <v>0</v>
      </c>
      <c r="AI1002" s="36">
        <f t="shared" si="305"/>
        <v>0.14000000000000001</v>
      </c>
      <c r="AJ1002" s="36">
        <f>IFERROR(VLOOKUP(A1002,'All Products'!A:F,6,0),0)</f>
        <v>38.72</v>
      </c>
      <c r="AK1002" s="36"/>
      <c r="AL1002" s="23">
        <v>1</v>
      </c>
      <c r="AM1002" s="23"/>
      <c r="AN1002" s="54" t="e">
        <v>#N/A</v>
      </c>
      <c r="AO1002" s="47"/>
      <c r="AP1002" s="4">
        <v>1.6</v>
      </c>
      <c r="AQ1002" s="111">
        <f t="shared" si="296"/>
        <v>0</v>
      </c>
      <c r="AR1002">
        <f>_xlfn.XLOOKUP(F1002,'RM Cost'!A:A,'RM Cost'!S:S)</f>
        <v>0</v>
      </c>
      <c r="AS1002" t="e">
        <f>_xlfn.XLOOKUP(A1002,[3]Sheet1!$B:$B,[3]Sheet1!$B:$B)</f>
        <v>#N/A</v>
      </c>
    </row>
    <row r="1003" spans="1:46" x14ac:dyDescent="0.25">
      <c r="A1003" s="2" t="s">
        <v>929</v>
      </c>
      <c r="B1003" s="2" t="s">
        <v>656</v>
      </c>
      <c r="C1003" s="2" t="s">
        <v>930</v>
      </c>
      <c r="D1003" s="2" t="s">
        <v>554</v>
      </c>
      <c r="E1003" s="2">
        <v>2.5</v>
      </c>
      <c r="F1003" s="1" t="s">
        <v>1266</v>
      </c>
      <c r="G1003" s="1" t="s">
        <v>1267</v>
      </c>
      <c r="H1003" s="2" t="s">
        <v>1579</v>
      </c>
      <c r="I1003" s="1" t="str">
        <f>VLOOKUP(F1003,'RM Used'!B:D,3,0)</f>
        <v>RM-FOOD</v>
      </c>
      <c r="J1003" s="66">
        <v>1</v>
      </c>
      <c r="K1003" s="35">
        <f t="shared" si="300"/>
        <v>2.5</v>
      </c>
      <c r="L1003" s="35">
        <f t="shared" si="288"/>
        <v>2.5</v>
      </c>
      <c r="M1003" s="77" cm="1">
        <f t="array" ref="M1003">_xlfn.IFS(BOM!I1003="RM-PACKING","100%",B1003="Reynolds",VLOOKUP(H1003,'Yield &amp; Time'!A:V,22,0),BOM!B1003="Dnata",VLOOKUP(BOM!H1003,'Yield &amp; Time'!A:M,13,0),B1003="NK",VLOOKUP(H1003,'Yield &amp; Time'!A:X,24,0))</f>
        <v>0.77</v>
      </c>
      <c r="N1003" s="35">
        <f t="shared" si="299"/>
        <v>3.2467532467532467</v>
      </c>
      <c r="O1003" s="1" t="str">
        <f>VLOOKUP(H1003,'RM Used'!A:E,5,0)</f>
        <v>KG</v>
      </c>
      <c r="P1003" s="11">
        <f>VLOOKUP(H1003,'RM Used'!A:F,6,0)</f>
        <v>0.79</v>
      </c>
      <c r="Q1003" s="11">
        <f t="shared" si="297"/>
        <v>2.5649350649350651</v>
      </c>
      <c r="R1003" s="11">
        <f>IFERROR(IF(B1003="Reynolds",VLOOKUP(H1003,'Yield &amp; Time'!A:U,21,0),VLOOKUP(H1003,'Yield &amp; Time'!A:L,12,0)),0)</f>
        <v>7.7922077922077921</v>
      </c>
      <c r="S1003" s="11">
        <f t="shared" si="289"/>
        <v>6.5941558441558428</v>
      </c>
      <c r="T1003" s="11">
        <f t="shared" si="290"/>
        <v>0.32467532467532467</v>
      </c>
      <c r="U1003" s="11">
        <f>IF(A1002=A1003,0,VLOOKUP(A1003,'Packing Time'!A:F,6,0))</f>
        <v>0.875</v>
      </c>
      <c r="V1003" s="11">
        <f t="shared" si="301"/>
        <v>0.29618749999999999</v>
      </c>
      <c r="W1003" s="11">
        <f t="shared" si="302"/>
        <v>1.4583333333333334E-2</v>
      </c>
      <c r="X1003" s="11">
        <f t="shared" si="291"/>
        <v>11.02454935064935</v>
      </c>
      <c r="Y1003" s="11">
        <f t="shared" si="303"/>
        <v>11.02454935064935</v>
      </c>
      <c r="Z1003" s="37">
        <v>1</v>
      </c>
      <c r="AA1003" s="36">
        <f t="shared" si="292"/>
        <v>3.2467532467532467</v>
      </c>
      <c r="AB1003" s="36">
        <f t="shared" si="293"/>
        <v>2.5649350649350651</v>
      </c>
      <c r="AC1003" s="11">
        <f t="shared" si="294"/>
        <v>0.54281385281385286</v>
      </c>
      <c r="AD1003" s="36">
        <f t="shared" si="304"/>
        <v>11.024549350649352</v>
      </c>
      <c r="AE1003" s="36"/>
      <c r="AF1003" s="36">
        <f>IFERROR(VLOOKUP(AE1003,'Chemical Cost'!A:D,4,0),0)</f>
        <v>0</v>
      </c>
      <c r="AG1003" s="114">
        <f t="shared" si="295"/>
        <v>0</v>
      </c>
      <c r="AH1003" s="36">
        <f t="shared" si="298"/>
        <v>0</v>
      </c>
      <c r="AI1003" s="36">
        <f t="shared" si="305"/>
        <v>13.589484415584415</v>
      </c>
      <c r="AJ1003" s="36">
        <f>IFERROR(VLOOKUP(A1003,'All Products'!A:F,6,0),0)</f>
        <v>96.79</v>
      </c>
      <c r="AK1003" s="36">
        <f>AJ1003*Z1003*J1003</f>
        <v>96.79</v>
      </c>
      <c r="AL1003" s="23">
        <v>1</v>
      </c>
      <c r="AM1003" s="23"/>
      <c r="AN1003" s="54" t="e">
        <v>#N/A</v>
      </c>
      <c r="AO1003" s="47"/>
      <c r="AP1003" s="4">
        <v>1.6</v>
      </c>
      <c r="AQ1003" s="111">
        <f t="shared" si="296"/>
        <v>0.54281385281385286</v>
      </c>
      <c r="AR1003">
        <f>_xlfn.XLOOKUP(F1003,'RM Cost'!A:A,'RM Cost'!S:S)</f>
        <v>0</v>
      </c>
      <c r="AS1003" t="e">
        <f>_xlfn.XLOOKUP(A1003,[3]Sheet1!$B:$B,[3]Sheet1!$B:$B)</f>
        <v>#N/A</v>
      </c>
    </row>
    <row r="1004" spans="1:46" x14ac:dyDescent="0.25">
      <c r="A1004" s="2" t="s">
        <v>929</v>
      </c>
      <c r="B1004" s="2" t="s">
        <v>656</v>
      </c>
      <c r="C1004" s="2" t="s">
        <v>930</v>
      </c>
      <c r="D1004" s="2" t="s">
        <v>554</v>
      </c>
      <c r="E1004" s="2">
        <v>2.5</v>
      </c>
      <c r="F1004" s="1" t="str">
        <f>VLOOKUP(H1004,'RM Used'!A:B,2,0)</f>
        <v>P0008</v>
      </c>
      <c r="G1004" s="1" t="str">
        <f>IFERROR(VLOOKUP(F1004,'RM Cost'!A:B,2,0),"")</f>
        <v>PALE BLUE BAG 470X750MM</v>
      </c>
      <c r="H1004" s="2" t="s">
        <v>1323</v>
      </c>
      <c r="I1004" s="1" t="str">
        <f>VLOOKUP(F1004,'RM Used'!B:D,3,0)</f>
        <v>RM-PACKING</v>
      </c>
      <c r="J1004" s="66">
        <v>1</v>
      </c>
      <c r="K1004" s="35" t="str">
        <f t="shared" si="300"/>
        <v/>
      </c>
      <c r="L1004" s="35">
        <f t="shared" si="288"/>
        <v>0</v>
      </c>
      <c r="M1004" s="77" t="str" cm="1">
        <f t="array" ref="M1004">_xlfn.IFS(BOM!I1004="RM-PACKING","100%",B1004="Reynolds",VLOOKUP(H1004,'Yield &amp; Time'!A:V,22,0),BOM!B1004="Dnata",VLOOKUP(BOM!H1004,'Yield &amp; Time'!A:M,13,0),B1004="NK",VLOOKUP(H1004,'Yield &amp; Time'!A:X,24,0))</f>
        <v>100%</v>
      </c>
      <c r="N1004" s="35">
        <f t="shared" si="299"/>
        <v>1</v>
      </c>
      <c r="O1004" s="1" t="str">
        <f>VLOOKUP(H1004,'RM Used'!A:E,5,0)</f>
        <v>Count</v>
      </c>
      <c r="P1004" s="11">
        <f>VLOOKUP(H1004,'RM Used'!A:F,6,0)</f>
        <v>0.14000000000000001</v>
      </c>
      <c r="Q1004" s="11">
        <f t="shared" si="297"/>
        <v>0.14000000000000001</v>
      </c>
      <c r="R1004" s="11">
        <f>IFERROR(IF(B1004="Reynolds",VLOOKUP(H1004,'Yield &amp; Time'!A:U,21,0),VLOOKUP(H1004,'Yield &amp; Time'!A:L,12,0)),0)</f>
        <v>0</v>
      </c>
      <c r="S1004" s="11">
        <f t="shared" si="289"/>
        <v>0</v>
      </c>
      <c r="T1004" s="11">
        <f t="shared" si="290"/>
        <v>0</v>
      </c>
      <c r="U1004" s="11">
        <f>IF(A1003=A1004,0,VLOOKUP(A1004,'Packing Time'!A:F,6,0))</f>
        <v>0</v>
      </c>
      <c r="V1004" s="11">
        <f t="shared" si="301"/>
        <v>0</v>
      </c>
      <c r="W1004" s="11">
        <f t="shared" si="302"/>
        <v>0</v>
      </c>
      <c r="X1004" s="11">
        <f t="shared" si="291"/>
        <v>0</v>
      </c>
      <c r="Y1004" s="11">
        <f t="shared" si="303"/>
        <v>0</v>
      </c>
      <c r="Z1004" s="37">
        <v>1</v>
      </c>
      <c r="AA1004" s="36">
        <f t="shared" si="292"/>
        <v>1</v>
      </c>
      <c r="AB1004" s="36">
        <f t="shared" si="293"/>
        <v>0.14000000000000001</v>
      </c>
      <c r="AC1004" s="11">
        <f t="shared" si="294"/>
        <v>0</v>
      </c>
      <c r="AD1004" s="36">
        <f t="shared" si="304"/>
        <v>0</v>
      </c>
      <c r="AE1004" s="36"/>
      <c r="AF1004" s="36">
        <f>IFERROR(VLOOKUP(AE1004,'Chemical Cost'!A:D,4,0),0)</f>
        <v>0</v>
      </c>
      <c r="AG1004" s="114">
        <f t="shared" si="295"/>
        <v>0</v>
      </c>
      <c r="AH1004" s="36">
        <f t="shared" si="298"/>
        <v>0</v>
      </c>
      <c r="AI1004" s="36">
        <f t="shared" si="305"/>
        <v>0.14000000000000001</v>
      </c>
      <c r="AJ1004" s="36">
        <f>IFERROR(VLOOKUP(A1004,'All Products'!A:F,6,0),0)</f>
        <v>96.79</v>
      </c>
      <c r="AK1004" s="36"/>
      <c r="AL1004" s="23">
        <v>1</v>
      </c>
      <c r="AM1004" s="23"/>
      <c r="AN1004" s="54" t="e">
        <v>#N/A</v>
      </c>
      <c r="AO1004" s="47"/>
      <c r="AP1004" s="4">
        <v>1.6</v>
      </c>
      <c r="AQ1004" s="111">
        <f t="shared" si="296"/>
        <v>0</v>
      </c>
      <c r="AR1004">
        <f>_xlfn.XLOOKUP(F1004,'RM Cost'!A:A,'RM Cost'!S:S)</f>
        <v>0</v>
      </c>
      <c r="AS1004" t="e">
        <f>_xlfn.XLOOKUP(A1004,[3]Sheet1!$B:$B,[3]Sheet1!$B:$B)</f>
        <v>#N/A</v>
      </c>
    </row>
    <row r="1005" spans="1:46" x14ac:dyDescent="0.25">
      <c r="A1005" s="2" t="s">
        <v>451</v>
      </c>
      <c r="B1005" s="2" t="s">
        <v>656</v>
      </c>
      <c r="C1005" s="2" t="s">
        <v>931</v>
      </c>
      <c r="D1005" s="2" t="s">
        <v>554</v>
      </c>
      <c r="E1005" s="2">
        <v>1</v>
      </c>
      <c r="F1005" s="1" t="str">
        <f>VLOOKUP(H1005,'RM Used'!A:B,2,0)</f>
        <v>3644CS</v>
      </c>
      <c r="G1005" s="1" t="str">
        <f>IFERROR(VLOOKUP(F1005,'RM Cost'!A:B,2,0),"")</f>
        <v>RM - SPRING ONION x 2KG</v>
      </c>
      <c r="H1005" s="2" t="s">
        <v>1580</v>
      </c>
      <c r="I1005" s="1" t="str">
        <f>VLOOKUP(F1005,'RM Used'!B:D,3,0)</f>
        <v>RM-FOOD</v>
      </c>
      <c r="J1005" s="66">
        <v>1</v>
      </c>
      <c r="K1005" s="35">
        <f t="shared" si="300"/>
        <v>1</v>
      </c>
      <c r="L1005" s="35">
        <f t="shared" si="288"/>
        <v>1</v>
      </c>
      <c r="M1005" s="77" cm="1">
        <f t="array" ref="M1005">_xlfn.IFS(BOM!I1005="RM-PACKING","100%",B1005="Reynolds",VLOOKUP(H1005,'Yield &amp; Time'!A:V,22,0),BOM!B1005="Dnata",VLOOKUP(BOM!H1005,'Yield &amp; Time'!A:M,13,0),B1005="NK",VLOOKUP(H1005,'Yield &amp; Time'!A:X,24,0))</f>
        <v>0.69932258064516128</v>
      </c>
      <c r="N1005" s="35">
        <f t="shared" si="299"/>
        <v>1.4299552562387565</v>
      </c>
      <c r="O1005" s="1" t="str">
        <f>VLOOKUP(H1005,'RM Used'!A:E,5,0)</f>
        <v>KG</v>
      </c>
      <c r="P1005" s="11">
        <f>VLOOKUP(H1005,'RM Used'!A:F,6,0)</f>
        <v>3.08</v>
      </c>
      <c r="Q1005" s="11">
        <f t="shared" si="297"/>
        <v>4.4042621892153706</v>
      </c>
      <c r="R1005" s="11">
        <f>IFERROR(IF(B1005="Reynolds",VLOOKUP(H1005,'Yield &amp; Time'!A:U,21,0),VLOOKUP(H1005,'Yield &amp; Time'!A:L,12,0)),0)</f>
        <v>9.6798245614035086</v>
      </c>
      <c r="S1005" s="11">
        <f t="shared" si="289"/>
        <v>3.2766206140350875</v>
      </c>
      <c r="T1005" s="11">
        <f t="shared" si="290"/>
        <v>0.16133040935672513</v>
      </c>
      <c r="U1005" s="11">
        <f>IF(A1004=A1005,0,VLOOKUP(A1005,'Packing Time'!A:F,6,0))</f>
        <v>0.64166666666666661</v>
      </c>
      <c r="V1005" s="11">
        <f t="shared" si="301"/>
        <v>0.21720416666666661</v>
      </c>
      <c r="W1005" s="11">
        <f t="shared" si="302"/>
        <v>1.0694444444444444E-2</v>
      </c>
      <c r="X1005" s="11">
        <f t="shared" si="291"/>
        <v>5.5901196491228076</v>
      </c>
      <c r="Y1005" s="11">
        <f t="shared" si="303"/>
        <v>5.5901196491228076</v>
      </c>
      <c r="Z1005" s="37">
        <v>1</v>
      </c>
      <c r="AA1005" s="36">
        <f t="shared" si="292"/>
        <v>1.4299552562387565</v>
      </c>
      <c r="AB1005" s="36">
        <f t="shared" si="293"/>
        <v>4.4042621892153706</v>
      </c>
      <c r="AC1005" s="11">
        <f t="shared" si="294"/>
        <v>0.2752397660818714</v>
      </c>
      <c r="AD1005" s="36">
        <f t="shared" si="304"/>
        <v>5.5901196491228067</v>
      </c>
      <c r="AE1005" s="36" t="str">
        <f>VLOOKUP(H1005,'Yield &amp; Time'!A:I,9,0)</f>
        <v>CHLORINE</v>
      </c>
      <c r="AF1005" s="36">
        <f>IFERROR(VLOOKUP(AE1005,'Chemical Cost'!A:D,4,0),0)</f>
        <v>2.7756518066439469E-2</v>
      </c>
      <c r="AG1005" s="114">
        <f t="shared" si="295"/>
        <v>1.3230192967997044E-2</v>
      </c>
      <c r="AH1005" s="36">
        <f t="shared" si="298"/>
        <v>1.3230192967997044E-2</v>
      </c>
      <c r="AI1005" s="36">
        <f t="shared" si="305"/>
        <v>10.007612031306175</v>
      </c>
      <c r="AJ1005" s="36">
        <f>IFERROR(VLOOKUP(A1005,'All Products'!A:F,6,0),0)</f>
        <v>11.47</v>
      </c>
      <c r="AK1005" s="36">
        <f>AJ1005*Z1005*J1005</f>
        <v>11.47</v>
      </c>
      <c r="AL1005" s="23">
        <v>0.8</v>
      </c>
      <c r="AM1005" s="23">
        <v>0.2</v>
      </c>
      <c r="AN1005" s="54" t="e">
        <v>#N/A</v>
      </c>
      <c r="AO1005" s="47"/>
      <c r="AP1005" s="4">
        <v>1.6</v>
      </c>
      <c r="AQ1005" s="111">
        <f t="shared" si="296"/>
        <v>0.2752397660818714</v>
      </c>
      <c r="AR1005">
        <f>_xlfn.XLOOKUP(F1005,'RM Cost'!A:A,'RM Cost'!S:S)</f>
        <v>0</v>
      </c>
      <c r="AS1005" t="e">
        <f>_xlfn.XLOOKUP(A1005,[3]Sheet1!$B:$B,[3]Sheet1!$B:$B)</f>
        <v>#N/A</v>
      </c>
    </row>
    <row r="1006" spans="1:46" x14ac:dyDescent="0.25">
      <c r="A1006" s="2" t="s">
        <v>451</v>
      </c>
      <c r="B1006" s="2" t="s">
        <v>656</v>
      </c>
      <c r="C1006" s="2" t="s">
        <v>931</v>
      </c>
      <c r="D1006" s="2" t="s">
        <v>554</v>
      </c>
      <c r="E1006" s="2">
        <v>1</v>
      </c>
      <c r="F1006" s="1" t="str">
        <f>VLOOKUP(H1006,'RM Used'!A:B,2,0)</f>
        <v>P0008</v>
      </c>
      <c r="G1006" s="1" t="str">
        <f>IFERROR(VLOOKUP(F1006,'RM Cost'!A:B,2,0),"")</f>
        <v>PALE BLUE BAG 470X750MM</v>
      </c>
      <c r="H1006" s="2" t="s">
        <v>1323</v>
      </c>
      <c r="I1006" s="1" t="str">
        <f>VLOOKUP(F1006,'RM Used'!B:D,3,0)</f>
        <v>RM-PACKING</v>
      </c>
      <c r="J1006" s="66">
        <v>1</v>
      </c>
      <c r="K1006" s="35" t="str">
        <f t="shared" si="300"/>
        <v/>
      </c>
      <c r="L1006" s="35">
        <f t="shared" si="288"/>
        <v>0</v>
      </c>
      <c r="M1006" s="77" t="str" cm="1">
        <f t="array" ref="M1006">_xlfn.IFS(BOM!I1006="RM-PACKING","100%",B1006="Reynolds",VLOOKUP(H1006,'Yield &amp; Time'!A:V,22,0),BOM!B1006="Dnata",VLOOKUP(BOM!H1006,'Yield &amp; Time'!A:M,13,0),B1006="NK",VLOOKUP(H1006,'Yield &amp; Time'!A:X,24,0))</f>
        <v>100%</v>
      </c>
      <c r="N1006" s="35">
        <f t="shared" si="299"/>
        <v>1</v>
      </c>
      <c r="O1006" s="1" t="str">
        <f>VLOOKUP(H1006,'RM Used'!A:E,5,0)</f>
        <v>Count</v>
      </c>
      <c r="P1006" s="11">
        <f>VLOOKUP(H1006,'RM Used'!A:F,6,0)</f>
        <v>0.14000000000000001</v>
      </c>
      <c r="Q1006" s="11">
        <f t="shared" si="297"/>
        <v>0.14000000000000001</v>
      </c>
      <c r="R1006" s="11">
        <f>IFERROR(IF(B1006="Reynolds",VLOOKUP(H1006,'Yield &amp; Time'!A:U,21,0),VLOOKUP(H1006,'Yield &amp; Time'!A:L,12,0)),0)</f>
        <v>0</v>
      </c>
      <c r="S1006" s="11">
        <f t="shared" si="289"/>
        <v>0</v>
      </c>
      <c r="T1006" s="11">
        <f t="shared" si="290"/>
        <v>0</v>
      </c>
      <c r="U1006" s="11">
        <f>IF(A1005=A1006,0,VLOOKUP(A1006,'Packing Time'!A:F,6,0))</f>
        <v>0</v>
      </c>
      <c r="V1006" s="11">
        <f t="shared" si="301"/>
        <v>0</v>
      </c>
      <c r="W1006" s="11">
        <f t="shared" si="302"/>
        <v>0</v>
      </c>
      <c r="X1006" s="11">
        <f t="shared" si="291"/>
        <v>0</v>
      </c>
      <c r="Y1006" s="11">
        <f t="shared" si="303"/>
        <v>0</v>
      </c>
      <c r="Z1006" s="37">
        <v>1</v>
      </c>
      <c r="AA1006" s="36">
        <f t="shared" si="292"/>
        <v>1</v>
      </c>
      <c r="AB1006" s="36">
        <f t="shared" si="293"/>
        <v>0.14000000000000001</v>
      </c>
      <c r="AC1006" s="11">
        <f t="shared" si="294"/>
        <v>0</v>
      </c>
      <c r="AD1006" s="36">
        <f t="shared" si="304"/>
        <v>0</v>
      </c>
      <c r="AE1006" s="36"/>
      <c r="AF1006" s="36">
        <f>IFERROR(VLOOKUP(AE1006,'Chemical Cost'!A:D,4,0),0)</f>
        <v>0</v>
      </c>
      <c r="AG1006" s="114">
        <f t="shared" si="295"/>
        <v>0</v>
      </c>
      <c r="AH1006" s="36">
        <f t="shared" si="298"/>
        <v>0</v>
      </c>
      <c r="AI1006" s="36">
        <f t="shared" si="305"/>
        <v>0.14000000000000001</v>
      </c>
      <c r="AJ1006" s="36">
        <f>IFERROR(VLOOKUP(A1006,'All Products'!A:F,6,0),0)</f>
        <v>11.47</v>
      </c>
      <c r="AK1006" s="36"/>
      <c r="AL1006" s="23">
        <v>0.8</v>
      </c>
      <c r="AM1006" s="23">
        <v>0.2</v>
      </c>
      <c r="AN1006" s="54" t="e">
        <v>#N/A</v>
      </c>
      <c r="AO1006" s="47"/>
      <c r="AP1006" s="4">
        <v>1.6</v>
      </c>
      <c r="AQ1006" s="111">
        <f t="shared" si="296"/>
        <v>0</v>
      </c>
      <c r="AR1006">
        <f>_xlfn.XLOOKUP(F1006,'RM Cost'!A:A,'RM Cost'!S:S)</f>
        <v>0</v>
      </c>
      <c r="AS1006" t="e">
        <f>_xlfn.XLOOKUP(A1006,[3]Sheet1!$B:$B,[3]Sheet1!$B:$B)</f>
        <v>#N/A</v>
      </c>
    </row>
    <row r="1007" spans="1:46" x14ac:dyDescent="0.25">
      <c r="A1007" s="2" t="s">
        <v>37</v>
      </c>
      <c r="B1007" s="2" t="s">
        <v>656</v>
      </c>
      <c r="C1007" s="2" t="s">
        <v>932</v>
      </c>
      <c r="D1007" s="2" t="s">
        <v>554</v>
      </c>
      <c r="E1007" s="2">
        <v>2.5</v>
      </c>
      <c r="F1007" s="1" t="str">
        <f>VLOOKUP(H1007,'RM Used'!A:B,2,0)</f>
        <v>3644CS</v>
      </c>
      <c r="G1007" s="1" t="str">
        <f>IFERROR(VLOOKUP(F1007,'RM Cost'!A:B,2,0),"")</f>
        <v>RM - SPRING ONION x 2KG</v>
      </c>
      <c r="H1007" s="2" t="s">
        <v>1580</v>
      </c>
      <c r="I1007" s="1" t="str">
        <f>VLOOKUP(F1007,'RM Used'!B:D,3,0)</f>
        <v>RM-FOOD</v>
      </c>
      <c r="J1007" s="66">
        <v>1</v>
      </c>
      <c r="K1007" s="35">
        <f t="shared" si="300"/>
        <v>2.5</v>
      </c>
      <c r="L1007" s="35">
        <f t="shared" si="288"/>
        <v>2.5</v>
      </c>
      <c r="M1007" s="77" cm="1">
        <f t="array" ref="M1007">_xlfn.IFS(BOM!I1007="RM-PACKING","100%",B1007="Reynolds",VLOOKUP(H1007,'Yield &amp; Time'!A:V,22,0),BOM!B1007="Dnata",VLOOKUP(BOM!H1007,'Yield &amp; Time'!A:M,13,0),B1007="NK",VLOOKUP(H1007,'Yield &amp; Time'!A:X,24,0))</f>
        <v>0.69932258064516128</v>
      </c>
      <c r="N1007" s="35">
        <f t="shared" si="299"/>
        <v>3.5748881405968911</v>
      </c>
      <c r="O1007" s="1" t="str">
        <f>VLOOKUP(H1007,'RM Used'!A:E,5,0)</f>
        <v>KG</v>
      </c>
      <c r="P1007" s="11">
        <f>VLOOKUP(H1007,'RM Used'!A:F,6,0)</f>
        <v>3.08</v>
      </c>
      <c r="Q1007" s="11">
        <f t="shared" si="297"/>
        <v>11.010655473038424</v>
      </c>
      <c r="R1007" s="11">
        <f>IFERROR(IF(B1007="Reynolds",VLOOKUP(H1007,'Yield &amp; Time'!A:U,21,0),VLOOKUP(H1007,'Yield &amp; Time'!A:L,12,0)),0)</f>
        <v>9.6798245614035086</v>
      </c>
      <c r="S1007" s="11">
        <f t="shared" si="289"/>
        <v>8.1915515350877186</v>
      </c>
      <c r="T1007" s="11">
        <f t="shared" si="290"/>
        <v>0.40332602339181284</v>
      </c>
      <c r="U1007" s="11">
        <f>IF(A1006=A1007,0,VLOOKUP(A1007,'Packing Time'!A:F,6,0))</f>
        <v>0.875</v>
      </c>
      <c r="V1007" s="11">
        <f t="shared" si="301"/>
        <v>0.29618749999999999</v>
      </c>
      <c r="W1007" s="11">
        <f t="shared" si="302"/>
        <v>1.4583333333333334E-2</v>
      </c>
      <c r="X1007" s="11">
        <f t="shared" si="291"/>
        <v>13.580382456140351</v>
      </c>
      <c r="Y1007" s="11">
        <f t="shared" si="303"/>
        <v>13.580382456140351</v>
      </c>
      <c r="Z1007" s="37">
        <v>1</v>
      </c>
      <c r="AA1007" s="36">
        <f t="shared" si="292"/>
        <v>3.5748881405968911</v>
      </c>
      <c r="AB1007" s="36">
        <f t="shared" si="293"/>
        <v>11.010655473038424</v>
      </c>
      <c r="AC1007" s="11">
        <f t="shared" si="294"/>
        <v>0.66865497076023395</v>
      </c>
      <c r="AD1007" s="36">
        <f t="shared" si="304"/>
        <v>13.580382456140351</v>
      </c>
      <c r="AE1007" s="36" t="str">
        <f>VLOOKUP(H1007,'Yield &amp; Time'!A:I,9,0)</f>
        <v>CHLORINE</v>
      </c>
      <c r="AF1007" s="36">
        <f>IFERROR(VLOOKUP(AE1007,'Chemical Cost'!A:D,4,0),0)</f>
        <v>2.7756518066439469E-2</v>
      </c>
      <c r="AG1007" s="114">
        <f t="shared" si="295"/>
        <v>3.3075482419992606E-2</v>
      </c>
      <c r="AH1007" s="36">
        <f t="shared" si="298"/>
        <v>3.3075482419992606E-2</v>
      </c>
      <c r="AI1007" s="36">
        <f t="shared" si="305"/>
        <v>24.624113411598767</v>
      </c>
      <c r="AJ1007" s="36">
        <f>IFERROR(VLOOKUP(A1007,'All Products'!A:F,6,0),0)</f>
        <v>28.67</v>
      </c>
      <c r="AK1007" s="36">
        <f>AJ1007*Z1007*J1007</f>
        <v>28.67</v>
      </c>
      <c r="AL1007" s="23">
        <v>0.8</v>
      </c>
      <c r="AM1007" s="23">
        <v>0.2</v>
      </c>
      <c r="AN1007" s="54" t="e">
        <v>#N/A</v>
      </c>
      <c r="AO1007" s="47"/>
      <c r="AP1007" s="4">
        <v>1.6</v>
      </c>
      <c r="AQ1007" s="111">
        <f t="shared" si="296"/>
        <v>0.66865497076023395</v>
      </c>
      <c r="AR1007">
        <f>_xlfn.XLOOKUP(F1007,'RM Cost'!A:A,'RM Cost'!S:S)</f>
        <v>0</v>
      </c>
      <c r="AS1007" t="e">
        <f>_xlfn.XLOOKUP(A1007,[3]Sheet1!$B:$B,[3]Sheet1!$B:$B)</f>
        <v>#N/A</v>
      </c>
    </row>
    <row r="1008" spans="1:46" x14ac:dyDescent="0.25">
      <c r="A1008" s="2" t="s">
        <v>37</v>
      </c>
      <c r="B1008" s="2" t="s">
        <v>656</v>
      </c>
      <c r="C1008" s="2" t="s">
        <v>932</v>
      </c>
      <c r="D1008" s="2" t="s">
        <v>554</v>
      </c>
      <c r="E1008" s="2">
        <v>2.5</v>
      </c>
      <c r="F1008" s="1" t="str">
        <f>VLOOKUP(H1008,'RM Used'!A:B,2,0)</f>
        <v>P0008</v>
      </c>
      <c r="G1008" s="1" t="str">
        <f>IFERROR(VLOOKUP(F1008,'RM Cost'!A:B,2,0),"")</f>
        <v>PALE BLUE BAG 470X750MM</v>
      </c>
      <c r="H1008" s="2" t="s">
        <v>1323</v>
      </c>
      <c r="I1008" s="1" t="str">
        <f>VLOOKUP(F1008,'RM Used'!B:D,3,0)</f>
        <v>RM-PACKING</v>
      </c>
      <c r="J1008" s="66">
        <v>1</v>
      </c>
      <c r="K1008" s="35" t="str">
        <f t="shared" si="300"/>
        <v/>
      </c>
      <c r="L1008" s="35">
        <f t="shared" si="288"/>
        <v>0</v>
      </c>
      <c r="M1008" s="77" t="str" cm="1">
        <f t="array" ref="M1008">_xlfn.IFS(BOM!I1008="RM-PACKING","100%",B1008="Reynolds",VLOOKUP(H1008,'Yield &amp; Time'!A:V,22,0),BOM!B1008="Dnata",VLOOKUP(BOM!H1008,'Yield &amp; Time'!A:M,13,0),B1008="NK",VLOOKUP(H1008,'Yield &amp; Time'!A:X,24,0))</f>
        <v>100%</v>
      </c>
      <c r="N1008" s="35">
        <f t="shared" si="299"/>
        <v>1</v>
      </c>
      <c r="O1008" s="1" t="str">
        <f>VLOOKUP(H1008,'RM Used'!A:E,5,0)</f>
        <v>Count</v>
      </c>
      <c r="P1008" s="11">
        <f>VLOOKUP(H1008,'RM Used'!A:F,6,0)</f>
        <v>0.14000000000000001</v>
      </c>
      <c r="Q1008" s="11">
        <f t="shared" si="297"/>
        <v>0.14000000000000001</v>
      </c>
      <c r="R1008" s="11">
        <f>IFERROR(IF(B1008="Reynolds",VLOOKUP(H1008,'Yield &amp; Time'!A:U,21,0),VLOOKUP(H1008,'Yield &amp; Time'!A:L,12,0)),0)</f>
        <v>0</v>
      </c>
      <c r="S1008" s="11">
        <f t="shared" si="289"/>
        <v>0</v>
      </c>
      <c r="T1008" s="11">
        <f t="shared" si="290"/>
        <v>0</v>
      </c>
      <c r="U1008" s="11">
        <f>IF(A1007=A1008,0,VLOOKUP(A1008,'Packing Time'!A:F,6,0))</f>
        <v>0</v>
      </c>
      <c r="V1008" s="11">
        <f t="shared" si="301"/>
        <v>0</v>
      </c>
      <c r="W1008" s="11">
        <f t="shared" si="302"/>
        <v>0</v>
      </c>
      <c r="X1008" s="11">
        <f t="shared" si="291"/>
        <v>0</v>
      </c>
      <c r="Y1008" s="11">
        <f t="shared" si="303"/>
        <v>0</v>
      </c>
      <c r="Z1008" s="37">
        <v>1</v>
      </c>
      <c r="AA1008" s="36">
        <f t="shared" si="292"/>
        <v>1</v>
      </c>
      <c r="AB1008" s="36">
        <f t="shared" si="293"/>
        <v>0.14000000000000001</v>
      </c>
      <c r="AC1008" s="11">
        <f t="shared" si="294"/>
        <v>0</v>
      </c>
      <c r="AD1008" s="36">
        <f t="shared" si="304"/>
        <v>0</v>
      </c>
      <c r="AE1008" s="36"/>
      <c r="AF1008" s="36">
        <f>IFERROR(VLOOKUP(AE1008,'Chemical Cost'!A:D,4,0),0)</f>
        <v>0</v>
      </c>
      <c r="AG1008" s="114">
        <f t="shared" si="295"/>
        <v>0</v>
      </c>
      <c r="AH1008" s="36">
        <f t="shared" si="298"/>
        <v>0</v>
      </c>
      <c r="AI1008" s="36">
        <f t="shared" si="305"/>
        <v>0.14000000000000001</v>
      </c>
      <c r="AJ1008" s="36">
        <f>IFERROR(VLOOKUP(A1008,'All Products'!A:F,6,0),0)</f>
        <v>28.67</v>
      </c>
      <c r="AK1008" s="36"/>
      <c r="AL1008" s="23">
        <v>0.8</v>
      </c>
      <c r="AM1008" s="23">
        <v>0.2</v>
      </c>
      <c r="AN1008" s="54" t="e">
        <v>#N/A</v>
      </c>
      <c r="AO1008" s="47"/>
      <c r="AP1008" s="4">
        <v>1.6</v>
      </c>
      <c r="AQ1008" s="111">
        <f t="shared" si="296"/>
        <v>0</v>
      </c>
      <c r="AR1008">
        <f>_xlfn.XLOOKUP(F1008,'RM Cost'!A:A,'RM Cost'!S:S)</f>
        <v>0</v>
      </c>
      <c r="AS1008" t="e">
        <f>_xlfn.XLOOKUP(A1008,[3]Sheet1!$B:$B,[3]Sheet1!$B:$B)</f>
        <v>#N/A</v>
      </c>
    </row>
    <row r="1009" spans="1:46" x14ac:dyDescent="0.25">
      <c r="A1009" s="2" t="s">
        <v>434</v>
      </c>
      <c r="B1009" s="2" t="s">
        <v>656</v>
      </c>
      <c r="C1009" s="2" t="s">
        <v>435</v>
      </c>
      <c r="D1009" s="2" t="s">
        <v>554</v>
      </c>
      <c r="E1009" s="2">
        <v>1</v>
      </c>
      <c r="F1009" s="1" t="str">
        <f>VLOOKUP(H1009,'RM Used'!A:B,2,0)</f>
        <v>3644CS</v>
      </c>
      <c r="G1009" s="1" t="str">
        <f>IFERROR(VLOOKUP(F1009,'RM Cost'!A:B,2,0),"")</f>
        <v>RM - SPRING ONION x 2KG</v>
      </c>
      <c r="H1009" s="2" t="s">
        <v>1581</v>
      </c>
      <c r="I1009" s="1" t="str">
        <f>VLOOKUP(F1009,'RM Used'!B:D,3,0)</f>
        <v>RM-FOOD</v>
      </c>
      <c r="J1009" s="66">
        <v>1</v>
      </c>
      <c r="K1009" s="35">
        <f t="shared" si="300"/>
        <v>1</v>
      </c>
      <c r="L1009" s="35">
        <f t="shared" si="288"/>
        <v>1</v>
      </c>
      <c r="M1009" s="77" cm="1">
        <f t="array" ref="M1009">_xlfn.IFS(BOM!I1009="RM-PACKING","100%",B1009="Reynolds",VLOOKUP(H1009,'Yield &amp; Time'!A:V,22,0),BOM!B1009="Dnata",VLOOKUP(BOM!H1009,'Yield &amp; Time'!A:M,13,0),B1009="NK",VLOOKUP(H1009,'Yield &amp; Time'!A:X,24,0))</f>
        <v>0.65818830242510706</v>
      </c>
      <c r="N1009" s="35">
        <f t="shared" si="299"/>
        <v>1.5193220485922969</v>
      </c>
      <c r="O1009" s="1" t="str">
        <f>VLOOKUP(H1009,'RM Used'!A:E,5,0)</f>
        <v>KG</v>
      </c>
      <c r="P1009" s="11">
        <f>VLOOKUP(H1009,'RM Used'!A:F,6,0)</f>
        <v>3.08</v>
      </c>
      <c r="Q1009" s="11">
        <f t="shared" si="297"/>
        <v>4.6795119096642743</v>
      </c>
      <c r="R1009" s="11">
        <f>IFERROR(IF(B1009="Reynolds",VLOOKUP(H1009,'Yield &amp; Time'!A:U,21,0),VLOOKUP(H1009,'Yield &amp; Time'!A:L,12,0)),0)</f>
        <v>10.835585585585585</v>
      </c>
      <c r="S1009" s="11">
        <f t="shared" si="289"/>
        <v>3.6678457207207202</v>
      </c>
      <c r="T1009" s="11">
        <f t="shared" si="290"/>
        <v>0.1805930930930931</v>
      </c>
      <c r="U1009" s="11">
        <f>IF(A1008=A1009,0,VLOOKUP(A1009,'Packing Time'!A:F,6,0))</f>
        <v>0.64166666666666661</v>
      </c>
      <c r="V1009" s="11">
        <f t="shared" si="301"/>
        <v>0.21720416666666661</v>
      </c>
      <c r="W1009" s="11">
        <f t="shared" si="302"/>
        <v>1.0694444444444444E-2</v>
      </c>
      <c r="X1009" s="11">
        <f t="shared" si="291"/>
        <v>6.2160798198198197</v>
      </c>
      <c r="Y1009" s="11">
        <f t="shared" si="303"/>
        <v>6.2160798198198197</v>
      </c>
      <c r="Z1009" s="37">
        <v>1</v>
      </c>
      <c r="AA1009" s="36">
        <f t="shared" si="292"/>
        <v>1.5193220485922969</v>
      </c>
      <c r="AB1009" s="36">
        <f t="shared" si="293"/>
        <v>4.6795119096642743</v>
      </c>
      <c r="AC1009" s="11">
        <f t="shared" si="294"/>
        <v>0.30606006006006009</v>
      </c>
      <c r="AD1009" s="36">
        <f t="shared" si="304"/>
        <v>6.2160798198198197</v>
      </c>
      <c r="AE1009" s="36" t="str">
        <f>VLOOKUP(H1009,'Yield &amp; Time'!A:I,9,0)</f>
        <v>CHLORINE</v>
      </c>
      <c r="AF1009" s="36">
        <f>IFERROR(VLOOKUP(AE1009,'Chemical Cost'!A:D,4,0),0)</f>
        <v>2.7756518066439469E-2</v>
      </c>
      <c r="AG1009" s="114">
        <f t="shared" si="295"/>
        <v>1.4057029963497303E-2</v>
      </c>
      <c r="AH1009" s="36">
        <f t="shared" si="298"/>
        <v>1.4057029963497303E-2</v>
      </c>
      <c r="AI1009" s="36">
        <f t="shared" si="305"/>
        <v>10.909648759447592</v>
      </c>
      <c r="AJ1009" s="36">
        <f>IFERROR(VLOOKUP(A1009,'All Products'!A:F,6,0),0)</f>
        <v>10.55</v>
      </c>
      <c r="AK1009" s="36">
        <f>AJ1009*Z1009*J1009</f>
        <v>10.55</v>
      </c>
      <c r="AL1009" s="23">
        <v>0.8</v>
      </c>
      <c r="AM1009" s="23">
        <v>0.2</v>
      </c>
      <c r="AN1009" s="54" t="e">
        <v>#N/A</v>
      </c>
      <c r="AO1009" s="47"/>
      <c r="AP1009" s="4">
        <v>1.6</v>
      </c>
      <c r="AQ1009" s="111">
        <f t="shared" si="296"/>
        <v>0.30606006006006009</v>
      </c>
      <c r="AR1009">
        <f>_xlfn.XLOOKUP(F1009,'RM Cost'!A:A,'RM Cost'!S:S)</f>
        <v>0</v>
      </c>
      <c r="AS1009" t="str">
        <f>_xlfn.XLOOKUP(A1009,[3]Sheet1!$B:$B,[3]Sheet1!$B:$B)</f>
        <v>Z218CS</v>
      </c>
      <c r="AT1009">
        <f>_xlfn.XLOOKUP(H1009,'Yield &amp; Time'!A:A,'Yield &amp; Time'!F:F)</f>
        <v>0</v>
      </c>
    </row>
    <row r="1010" spans="1:46" x14ac:dyDescent="0.25">
      <c r="A1010" s="2" t="s">
        <v>434</v>
      </c>
      <c r="B1010" s="2" t="s">
        <v>656</v>
      </c>
      <c r="C1010" s="2" t="s">
        <v>435</v>
      </c>
      <c r="D1010" s="2" t="s">
        <v>554</v>
      </c>
      <c r="E1010" s="2">
        <v>1</v>
      </c>
      <c r="F1010" s="1" t="str">
        <f>VLOOKUP(H1010,'RM Used'!A:B,2,0)</f>
        <v>P0008</v>
      </c>
      <c r="G1010" s="1" t="str">
        <f>IFERROR(VLOOKUP(F1010,'RM Cost'!A:B,2,0),"")</f>
        <v>PALE BLUE BAG 470X750MM</v>
      </c>
      <c r="H1010" s="2" t="s">
        <v>1323</v>
      </c>
      <c r="I1010" s="1" t="str">
        <f>VLOOKUP(F1010,'RM Used'!B:D,3,0)</f>
        <v>RM-PACKING</v>
      </c>
      <c r="J1010" s="66">
        <v>1</v>
      </c>
      <c r="K1010" s="35" t="str">
        <f t="shared" si="300"/>
        <v/>
      </c>
      <c r="L1010" s="35">
        <f t="shared" si="288"/>
        <v>0</v>
      </c>
      <c r="M1010" s="77" t="str" cm="1">
        <f t="array" ref="M1010">_xlfn.IFS(BOM!I1010="RM-PACKING","100%",B1010="Reynolds",VLOOKUP(H1010,'Yield &amp; Time'!A:V,22,0),BOM!B1010="Dnata",VLOOKUP(BOM!H1010,'Yield &amp; Time'!A:M,13,0),B1010="NK",VLOOKUP(H1010,'Yield &amp; Time'!A:X,24,0))</f>
        <v>100%</v>
      </c>
      <c r="N1010" s="35">
        <f t="shared" si="299"/>
        <v>1</v>
      </c>
      <c r="O1010" s="1" t="str">
        <f>VLOOKUP(H1010,'RM Used'!A:E,5,0)</f>
        <v>Count</v>
      </c>
      <c r="P1010" s="11">
        <f>VLOOKUP(H1010,'RM Used'!A:F,6,0)</f>
        <v>0.14000000000000001</v>
      </c>
      <c r="Q1010" s="11">
        <f t="shared" si="297"/>
        <v>0.14000000000000001</v>
      </c>
      <c r="R1010" s="11">
        <f>IFERROR(IF(B1010="Reynolds",VLOOKUP(H1010,'Yield &amp; Time'!A:U,21,0),VLOOKUP(H1010,'Yield &amp; Time'!A:L,12,0)),0)</f>
        <v>0</v>
      </c>
      <c r="S1010" s="11">
        <f t="shared" si="289"/>
        <v>0</v>
      </c>
      <c r="T1010" s="11">
        <f t="shared" si="290"/>
        <v>0</v>
      </c>
      <c r="U1010" s="11">
        <f>IF(A1009=A1010,0,VLOOKUP(A1010,'Packing Time'!A:F,6,0))</f>
        <v>0</v>
      </c>
      <c r="V1010" s="11">
        <f t="shared" si="301"/>
        <v>0</v>
      </c>
      <c r="W1010" s="11">
        <f t="shared" si="302"/>
        <v>0</v>
      </c>
      <c r="X1010" s="11">
        <f t="shared" si="291"/>
        <v>0</v>
      </c>
      <c r="Y1010" s="11">
        <f t="shared" si="303"/>
        <v>0</v>
      </c>
      <c r="Z1010" s="37">
        <v>1</v>
      </c>
      <c r="AA1010" s="36">
        <f t="shared" si="292"/>
        <v>1</v>
      </c>
      <c r="AB1010" s="36">
        <f t="shared" si="293"/>
        <v>0.14000000000000001</v>
      </c>
      <c r="AC1010" s="11">
        <f t="shared" si="294"/>
        <v>0</v>
      </c>
      <c r="AD1010" s="36">
        <f t="shared" si="304"/>
        <v>0</v>
      </c>
      <c r="AE1010" s="36"/>
      <c r="AF1010" s="36">
        <f>IFERROR(VLOOKUP(AE1010,'Chemical Cost'!A:D,4,0),0)</f>
        <v>0</v>
      </c>
      <c r="AG1010" s="114">
        <f t="shared" si="295"/>
        <v>0</v>
      </c>
      <c r="AH1010" s="36">
        <f t="shared" si="298"/>
        <v>0</v>
      </c>
      <c r="AI1010" s="36">
        <f t="shared" si="305"/>
        <v>0.14000000000000001</v>
      </c>
      <c r="AJ1010" s="36">
        <f>IFERROR(VLOOKUP(A1010,'All Products'!A:F,6,0),0)</f>
        <v>10.55</v>
      </c>
      <c r="AK1010" s="36"/>
      <c r="AL1010" s="23">
        <v>0.8</v>
      </c>
      <c r="AM1010" s="23">
        <v>0.2</v>
      </c>
      <c r="AN1010" s="54" t="e">
        <v>#N/A</v>
      </c>
      <c r="AO1010" s="47"/>
      <c r="AP1010" s="4">
        <v>1.6</v>
      </c>
      <c r="AQ1010" s="111">
        <f t="shared" si="296"/>
        <v>0</v>
      </c>
      <c r="AR1010">
        <f>_xlfn.XLOOKUP(F1010,'RM Cost'!A:A,'RM Cost'!S:S)</f>
        <v>0</v>
      </c>
      <c r="AS1010" t="str">
        <f>_xlfn.XLOOKUP(A1010,[3]Sheet1!$B:$B,[3]Sheet1!$B:$B)</f>
        <v>Z218CS</v>
      </c>
      <c r="AT1010" t="e">
        <f>_xlfn.XLOOKUP(H1010,'Yield &amp; Time'!A:A,'Yield &amp; Time'!F:F)</f>
        <v>#N/A</v>
      </c>
    </row>
    <row r="1011" spans="1:46" x14ac:dyDescent="0.25">
      <c r="A1011" s="2" t="s">
        <v>35</v>
      </c>
      <c r="B1011" s="2" t="s">
        <v>656</v>
      </c>
      <c r="C1011" s="2" t="s">
        <v>36</v>
      </c>
      <c r="D1011" s="2" t="s">
        <v>554</v>
      </c>
      <c r="E1011" s="2">
        <v>2.5</v>
      </c>
      <c r="F1011" s="1" t="str">
        <f>VLOOKUP(H1011,'RM Used'!A:B,2,0)</f>
        <v>3644CS</v>
      </c>
      <c r="G1011" s="1" t="str">
        <f>IFERROR(VLOOKUP(F1011,'RM Cost'!A:B,2,0),"")</f>
        <v>RM - SPRING ONION x 2KG</v>
      </c>
      <c r="H1011" s="2" t="s">
        <v>1581</v>
      </c>
      <c r="I1011" s="1" t="str">
        <f>VLOOKUP(F1011,'RM Used'!B:D,3,0)</f>
        <v>RM-FOOD</v>
      </c>
      <c r="J1011" s="66">
        <v>1</v>
      </c>
      <c r="K1011" s="35">
        <f t="shared" si="300"/>
        <v>2.5</v>
      </c>
      <c r="L1011" s="35">
        <f t="shared" si="288"/>
        <v>2.5</v>
      </c>
      <c r="M1011" s="77" cm="1">
        <f t="array" ref="M1011">_xlfn.IFS(BOM!I1011="RM-PACKING","100%",B1011="Reynolds",VLOOKUP(H1011,'Yield &amp; Time'!A:V,22,0),BOM!B1011="Dnata",VLOOKUP(BOM!H1011,'Yield &amp; Time'!A:M,13,0),B1011="NK",VLOOKUP(H1011,'Yield &amp; Time'!A:X,24,0))</f>
        <v>0.65818830242510706</v>
      </c>
      <c r="N1011" s="35">
        <f t="shared" si="299"/>
        <v>3.7983051214807424</v>
      </c>
      <c r="O1011" s="1" t="str">
        <f>VLOOKUP(H1011,'RM Used'!A:E,5,0)</f>
        <v>KG</v>
      </c>
      <c r="P1011" s="11">
        <f>VLOOKUP(H1011,'RM Used'!A:F,6,0)</f>
        <v>3.08</v>
      </c>
      <c r="Q1011" s="11">
        <f t="shared" si="297"/>
        <v>11.698779774160688</v>
      </c>
      <c r="R1011" s="11">
        <f>IFERROR(IF(B1011="Reynolds",VLOOKUP(H1011,'Yield &amp; Time'!A:U,21,0),VLOOKUP(H1011,'Yield &amp; Time'!A:L,12,0)),0)</f>
        <v>10.835585585585585</v>
      </c>
      <c r="S1011" s="11">
        <f t="shared" si="289"/>
        <v>9.1696143018018006</v>
      </c>
      <c r="T1011" s="11">
        <f t="shared" si="290"/>
        <v>0.45148273273273271</v>
      </c>
      <c r="U1011" s="11">
        <f>IF(A1010=A1011,0,VLOOKUP(A1011,'Packing Time'!A:F,6,0))</f>
        <v>0.875</v>
      </c>
      <c r="V1011" s="11">
        <f t="shared" si="301"/>
        <v>0.29618749999999999</v>
      </c>
      <c r="W1011" s="11">
        <f t="shared" si="302"/>
        <v>1.4583333333333334E-2</v>
      </c>
      <c r="X1011" s="11">
        <f t="shared" si="291"/>
        <v>13.252122522522521</v>
      </c>
      <c r="Y1011" s="11">
        <f t="shared" si="303"/>
        <v>13.252122522522521</v>
      </c>
      <c r="Z1011" s="37">
        <v>1</v>
      </c>
      <c r="AA1011" s="36">
        <f t="shared" si="292"/>
        <v>3.7983051214807424</v>
      </c>
      <c r="AB1011" s="36">
        <f t="shared" si="293"/>
        <v>11.698779774160688</v>
      </c>
      <c r="AC1011" s="11">
        <f t="shared" si="294"/>
        <v>0.65249249249249242</v>
      </c>
      <c r="AD1011" s="36">
        <f t="shared" si="304"/>
        <v>13.252122522522521</v>
      </c>
      <c r="AE1011" s="36" t="str">
        <f>VLOOKUP(H1011,'Yield &amp; Time'!A:I,9,0)</f>
        <v>CHLORINE</v>
      </c>
      <c r="AF1011" s="36">
        <f>IFERROR(VLOOKUP(AE1011,'Chemical Cost'!A:D,4,0),0)</f>
        <v>2.7756518066439469E-2</v>
      </c>
      <c r="AG1011" s="114">
        <f t="shared" si="295"/>
        <v>3.5142574908743264E-2</v>
      </c>
      <c r="AH1011" s="36">
        <f t="shared" si="298"/>
        <v>3.5142574908743264E-2</v>
      </c>
      <c r="AI1011" s="36">
        <f t="shared" si="305"/>
        <v>24.986044871591954</v>
      </c>
      <c r="AJ1011" s="36">
        <f>IFERROR(VLOOKUP(A1011,'All Products'!A:F,6,0),0)</f>
        <v>26.35</v>
      </c>
      <c r="AK1011" s="36">
        <f>AJ1011*Z1011*J1011</f>
        <v>26.35</v>
      </c>
      <c r="AL1011" s="23">
        <v>0.8</v>
      </c>
      <c r="AM1011" s="23">
        <v>0.2</v>
      </c>
      <c r="AN1011" s="54" t="e">
        <v>#N/A</v>
      </c>
      <c r="AO1011" s="47"/>
      <c r="AP1011" s="4">
        <v>1.4</v>
      </c>
      <c r="AQ1011" s="111">
        <f t="shared" si="296"/>
        <v>0.65249249249249242</v>
      </c>
      <c r="AR1011">
        <f>_xlfn.XLOOKUP(F1011,'RM Cost'!A:A,'RM Cost'!S:S)</f>
        <v>0</v>
      </c>
      <c r="AS1011" t="str">
        <f>_xlfn.XLOOKUP(A1011,[3]Sheet1!$B:$B,[3]Sheet1!$B:$B)</f>
        <v>Z217CS</v>
      </c>
      <c r="AT1011">
        <f>_xlfn.XLOOKUP(H1011,'Yield &amp; Time'!A:A,'Yield &amp; Time'!F:F)</f>
        <v>0</v>
      </c>
    </row>
    <row r="1012" spans="1:46" x14ac:dyDescent="0.25">
      <c r="A1012" s="2" t="s">
        <v>35</v>
      </c>
      <c r="B1012" s="2" t="s">
        <v>656</v>
      </c>
      <c r="C1012" s="2" t="s">
        <v>36</v>
      </c>
      <c r="D1012" s="2" t="s">
        <v>554</v>
      </c>
      <c r="E1012" s="2">
        <v>2.5</v>
      </c>
      <c r="F1012" s="1" t="str">
        <f>VLOOKUP(H1012,'RM Used'!A:B,2,0)</f>
        <v>P0008</v>
      </c>
      <c r="G1012" s="1" t="str">
        <f>IFERROR(VLOOKUP(F1012,'RM Cost'!A:B,2,0),"")</f>
        <v>PALE BLUE BAG 470X750MM</v>
      </c>
      <c r="H1012" s="2" t="s">
        <v>1323</v>
      </c>
      <c r="I1012" s="1" t="str">
        <f>VLOOKUP(F1012,'RM Used'!B:D,3,0)</f>
        <v>RM-PACKING</v>
      </c>
      <c r="J1012" s="66">
        <v>1</v>
      </c>
      <c r="K1012" s="35" t="str">
        <f t="shared" si="300"/>
        <v/>
      </c>
      <c r="L1012" s="35">
        <f t="shared" si="288"/>
        <v>0</v>
      </c>
      <c r="M1012" s="77" t="str" cm="1">
        <f t="array" ref="M1012">_xlfn.IFS(BOM!I1012="RM-PACKING","100%",B1012="Reynolds",VLOOKUP(H1012,'Yield &amp; Time'!A:V,22,0),BOM!B1012="Dnata",VLOOKUP(BOM!H1012,'Yield &amp; Time'!A:M,13,0),B1012="NK",VLOOKUP(H1012,'Yield &amp; Time'!A:X,24,0))</f>
        <v>100%</v>
      </c>
      <c r="N1012" s="35">
        <f t="shared" si="299"/>
        <v>1</v>
      </c>
      <c r="O1012" s="1" t="str">
        <f>VLOOKUP(H1012,'RM Used'!A:E,5,0)</f>
        <v>Count</v>
      </c>
      <c r="P1012" s="11">
        <f>VLOOKUP(H1012,'RM Used'!A:F,6,0)</f>
        <v>0.14000000000000001</v>
      </c>
      <c r="Q1012" s="11">
        <f t="shared" si="297"/>
        <v>0.14000000000000001</v>
      </c>
      <c r="R1012" s="11">
        <f>IFERROR(IF(B1012="Reynolds",VLOOKUP(H1012,'Yield &amp; Time'!A:U,21,0),VLOOKUP(H1012,'Yield &amp; Time'!A:L,12,0)),0)</f>
        <v>0</v>
      </c>
      <c r="S1012" s="11">
        <f t="shared" si="289"/>
        <v>0</v>
      </c>
      <c r="T1012" s="11">
        <f t="shared" si="290"/>
        <v>0</v>
      </c>
      <c r="U1012" s="11">
        <f>IF(A1011=A1012,0,VLOOKUP(A1012,'Packing Time'!A:F,6,0))</f>
        <v>0</v>
      </c>
      <c r="V1012" s="11">
        <f t="shared" si="301"/>
        <v>0</v>
      </c>
      <c r="W1012" s="11">
        <f t="shared" si="302"/>
        <v>0</v>
      </c>
      <c r="X1012" s="11">
        <f t="shared" si="291"/>
        <v>0</v>
      </c>
      <c r="Y1012" s="11">
        <f t="shared" si="303"/>
        <v>0</v>
      </c>
      <c r="Z1012" s="37">
        <v>1</v>
      </c>
      <c r="AA1012" s="36">
        <f t="shared" si="292"/>
        <v>1</v>
      </c>
      <c r="AB1012" s="36">
        <f t="shared" si="293"/>
        <v>0.14000000000000001</v>
      </c>
      <c r="AC1012" s="11">
        <f t="shared" si="294"/>
        <v>0</v>
      </c>
      <c r="AD1012" s="36">
        <f t="shared" si="304"/>
        <v>0</v>
      </c>
      <c r="AE1012" s="36"/>
      <c r="AF1012" s="36">
        <f>IFERROR(VLOOKUP(AE1012,'Chemical Cost'!A:D,4,0),0)</f>
        <v>0</v>
      </c>
      <c r="AG1012" s="114">
        <f t="shared" si="295"/>
        <v>0</v>
      </c>
      <c r="AH1012" s="36">
        <f t="shared" si="298"/>
        <v>0</v>
      </c>
      <c r="AI1012" s="36">
        <f t="shared" si="305"/>
        <v>0.14000000000000001</v>
      </c>
      <c r="AJ1012" s="36">
        <f>IFERROR(VLOOKUP(A1012,'All Products'!A:F,6,0),0)</f>
        <v>26.35</v>
      </c>
      <c r="AK1012" s="36"/>
      <c r="AL1012" s="23">
        <v>0.8</v>
      </c>
      <c r="AM1012" s="23">
        <v>0.2</v>
      </c>
      <c r="AN1012" s="54" t="e">
        <v>#N/A</v>
      </c>
      <c r="AO1012" s="47"/>
      <c r="AP1012" s="4">
        <v>1.4</v>
      </c>
      <c r="AQ1012" s="111">
        <f t="shared" si="296"/>
        <v>0</v>
      </c>
      <c r="AR1012">
        <f>_xlfn.XLOOKUP(F1012,'RM Cost'!A:A,'RM Cost'!S:S)</f>
        <v>0</v>
      </c>
      <c r="AS1012" t="str">
        <f>_xlfn.XLOOKUP(A1012,[3]Sheet1!$B:$B,[3]Sheet1!$B:$B)</f>
        <v>Z217CS</v>
      </c>
      <c r="AT1012" t="e">
        <f>_xlfn.XLOOKUP(H1012,'Yield &amp; Time'!A:A,'Yield &amp; Time'!F:F)</f>
        <v>#N/A</v>
      </c>
    </row>
    <row r="1013" spans="1:46" x14ac:dyDescent="0.25">
      <c r="A1013" s="2" t="s">
        <v>33</v>
      </c>
      <c r="B1013" s="2" t="s">
        <v>656</v>
      </c>
      <c r="C1013" s="2" t="s">
        <v>34</v>
      </c>
      <c r="D1013" s="2" t="s">
        <v>554</v>
      </c>
      <c r="E1013" s="2">
        <v>1</v>
      </c>
      <c r="F1013" s="1" t="str">
        <f>VLOOKUP(H1013,'RM Used'!A:B,2,0)</f>
        <v>3644CS</v>
      </c>
      <c r="G1013" s="1" t="str">
        <f>IFERROR(VLOOKUP(F1013,'RM Cost'!A:B,2,0),"")</f>
        <v>RM - SPRING ONION x 2KG</v>
      </c>
      <c r="H1013" s="2" t="s">
        <v>1582</v>
      </c>
      <c r="I1013" s="1" t="str">
        <f>VLOOKUP(F1013,'RM Used'!B:D,3,0)</f>
        <v>RM-FOOD</v>
      </c>
      <c r="J1013" s="66">
        <v>1</v>
      </c>
      <c r="K1013" s="35">
        <f t="shared" si="300"/>
        <v>1</v>
      </c>
      <c r="L1013" s="35">
        <f t="shared" si="288"/>
        <v>1</v>
      </c>
      <c r="M1013" s="77" cm="1">
        <f t="array" ref="M1013">_xlfn.IFS(BOM!I1013="RM-PACKING","100%",B1013="Reynolds",VLOOKUP(H1013,'Yield &amp; Time'!A:V,22,0),BOM!B1013="Dnata",VLOOKUP(BOM!H1013,'Yield &amp; Time'!A:M,13,0),B1013="NK",VLOOKUP(H1013,'Yield &amp; Time'!A:X,24,0))</f>
        <v>0.65818830242510706</v>
      </c>
      <c r="N1013" s="35">
        <f t="shared" si="299"/>
        <v>1.5193220485922969</v>
      </c>
      <c r="O1013" s="1" t="str">
        <f>VLOOKUP(H1013,'RM Used'!A:E,5,0)</f>
        <v>KG</v>
      </c>
      <c r="P1013" s="11">
        <f>VLOOKUP(H1013,'RM Used'!A:F,6,0)</f>
        <v>3.08</v>
      </c>
      <c r="Q1013" s="11">
        <f t="shared" si="297"/>
        <v>4.6795119096642743</v>
      </c>
      <c r="R1013" s="11">
        <f>IFERROR(IF(B1013="Reynolds",VLOOKUP(H1013,'Yield &amp; Time'!A:U,21,0),VLOOKUP(H1013,'Yield &amp; Time'!A:L,12,0)),0)</f>
        <v>10.835585585585585</v>
      </c>
      <c r="S1013" s="11">
        <f t="shared" si="289"/>
        <v>3.6678457207207202</v>
      </c>
      <c r="T1013" s="11">
        <f t="shared" si="290"/>
        <v>0.1805930930930931</v>
      </c>
      <c r="U1013" s="11">
        <f>IF(A1012=A1013,0,VLOOKUP(A1013,'Packing Time'!A:F,6,0))</f>
        <v>0.64166666666666661</v>
      </c>
      <c r="V1013" s="11">
        <f t="shared" si="301"/>
        <v>0.21720416666666661</v>
      </c>
      <c r="W1013" s="11">
        <f t="shared" si="302"/>
        <v>1.0694444444444444E-2</v>
      </c>
      <c r="X1013" s="11">
        <f t="shared" si="291"/>
        <v>6.2160798198198197</v>
      </c>
      <c r="Y1013" s="11">
        <f t="shared" si="303"/>
        <v>6.2160798198198197</v>
      </c>
      <c r="Z1013" s="37">
        <v>1</v>
      </c>
      <c r="AA1013" s="36">
        <f t="shared" si="292"/>
        <v>1.5193220485922969</v>
      </c>
      <c r="AB1013" s="36">
        <f t="shared" si="293"/>
        <v>4.6795119096642743</v>
      </c>
      <c r="AC1013" s="11">
        <f t="shared" si="294"/>
        <v>0.30606006006006009</v>
      </c>
      <c r="AD1013" s="36">
        <f t="shared" si="304"/>
        <v>6.2160798198198197</v>
      </c>
      <c r="AE1013" s="36" t="str">
        <f>VLOOKUP(H1013,'Yield &amp; Time'!A:I,9,0)</f>
        <v>CHLORINE</v>
      </c>
      <c r="AF1013" s="36">
        <f>IFERROR(VLOOKUP(AE1013,'Chemical Cost'!A:D,4,0),0)</f>
        <v>2.7756518066439469E-2</v>
      </c>
      <c r="AG1013" s="114">
        <f t="shared" si="295"/>
        <v>1.4057029963497303E-2</v>
      </c>
      <c r="AH1013" s="36">
        <f t="shared" si="298"/>
        <v>1.4057029963497303E-2</v>
      </c>
      <c r="AI1013" s="36">
        <f t="shared" si="305"/>
        <v>10.909648759447592</v>
      </c>
      <c r="AJ1013" s="36">
        <f>IFERROR(VLOOKUP(A1013,'All Products'!A:F,6,0),0)</f>
        <v>11.96</v>
      </c>
      <c r="AK1013" s="36">
        <f>AJ1013*Z1013*J1013</f>
        <v>11.96</v>
      </c>
      <c r="AL1013" s="23">
        <v>0.8</v>
      </c>
      <c r="AM1013" s="23">
        <v>0.2</v>
      </c>
      <c r="AN1013" s="54" t="e">
        <v>#N/A</v>
      </c>
      <c r="AO1013" s="47"/>
      <c r="AP1013" s="4">
        <v>1.6</v>
      </c>
      <c r="AQ1013" s="111">
        <f t="shared" si="296"/>
        <v>0.30606006006006009</v>
      </c>
      <c r="AR1013">
        <f>_xlfn.XLOOKUP(F1013,'RM Cost'!A:A,'RM Cost'!S:S)</f>
        <v>0</v>
      </c>
      <c r="AS1013" t="str">
        <f>_xlfn.XLOOKUP(A1013,[3]Sheet1!$B:$B,[3]Sheet1!$B:$B)</f>
        <v>Z220CS</v>
      </c>
      <c r="AT1013">
        <f>_xlfn.XLOOKUP(H1013,'Yield &amp; Time'!A:A,'Yield &amp; Time'!F:F)</f>
        <v>0</v>
      </c>
    </row>
    <row r="1014" spans="1:46" x14ac:dyDescent="0.25">
      <c r="A1014" s="2" t="s">
        <v>33</v>
      </c>
      <c r="B1014" s="2" t="s">
        <v>656</v>
      </c>
      <c r="C1014" s="2" t="s">
        <v>34</v>
      </c>
      <c r="D1014" s="2" t="s">
        <v>554</v>
      </c>
      <c r="E1014" s="2">
        <v>1</v>
      </c>
      <c r="F1014" s="1" t="str">
        <f>VLOOKUP(H1014,'RM Used'!A:B,2,0)</f>
        <v>P0008</v>
      </c>
      <c r="G1014" s="1" t="str">
        <f>IFERROR(VLOOKUP(F1014,'RM Cost'!A:B,2,0),"")</f>
        <v>PALE BLUE BAG 470X750MM</v>
      </c>
      <c r="H1014" s="2" t="s">
        <v>1323</v>
      </c>
      <c r="I1014" s="1" t="str">
        <f>VLOOKUP(F1014,'RM Used'!B:D,3,0)</f>
        <v>RM-PACKING</v>
      </c>
      <c r="J1014" s="66">
        <v>1</v>
      </c>
      <c r="K1014" s="35" t="str">
        <f t="shared" si="300"/>
        <v/>
      </c>
      <c r="L1014" s="35">
        <f t="shared" si="288"/>
        <v>0</v>
      </c>
      <c r="M1014" s="77" t="str" cm="1">
        <f t="array" ref="M1014">_xlfn.IFS(BOM!I1014="RM-PACKING","100%",B1014="Reynolds",VLOOKUP(H1014,'Yield &amp; Time'!A:V,22,0),BOM!B1014="Dnata",VLOOKUP(BOM!H1014,'Yield &amp; Time'!A:M,13,0),B1014="NK",VLOOKUP(H1014,'Yield &amp; Time'!A:X,24,0))</f>
        <v>100%</v>
      </c>
      <c r="N1014" s="35">
        <f t="shared" si="299"/>
        <v>1</v>
      </c>
      <c r="O1014" s="1" t="str">
        <f>VLOOKUP(H1014,'RM Used'!A:E,5,0)</f>
        <v>Count</v>
      </c>
      <c r="P1014" s="11">
        <f>VLOOKUP(H1014,'RM Used'!A:F,6,0)</f>
        <v>0.14000000000000001</v>
      </c>
      <c r="Q1014" s="11">
        <f t="shared" si="297"/>
        <v>0.14000000000000001</v>
      </c>
      <c r="R1014" s="11">
        <f>IFERROR(IF(B1014="Reynolds",VLOOKUP(H1014,'Yield &amp; Time'!A:U,21,0),VLOOKUP(H1014,'Yield &amp; Time'!A:L,12,0)),0)</f>
        <v>0</v>
      </c>
      <c r="S1014" s="11">
        <f t="shared" si="289"/>
        <v>0</v>
      </c>
      <c r="T1014" s="11">
        <f t="shared" si="290"/>
        <v>0</v>
      </c>
      <c r="U1014" s="11">
        <f>IF(A1013=A1014,0,VLOOKUP(A1014,'Packing Time'!A:F,6,0))</f>
        <v>0</v>
      </c>
      <c r="V1014" s="11">
        <f t="shared" si="301"/>
        <v>0</v>
      </c>
      <c r="W1014" s="11">
        <f t="shared" si="302"/>
        <v>0</v>
      </c>
      <c r="X1014" s="11">
        <f t="shared" si="291"/>
        <v>0</v>
      </c>
      <c r="Y1014" s="11">
        <f t="shared" si="303"/>
        <v>0</v>
      </c>
      <c r="Z1014" s="37">
        <v>1</v>
      </c>
      <c r="AA1014" s="36">
        <f t="shared" si="292"/>
        <v>1</v>
      </c>
      <c r="AB1014" s="36">
        <f t="shared" si="293"/>
        <v>0.14000000000000001</v>
      </c>
      <c r="AC1014" s="11">
        <f t="shared" si="294"/>
        <v>0</v>
      </c>
      <c r="AD1014" s="36">
        <f t="shared" si="304"/>
        <v>0</v>
      </c>
      <c r="AE1014" s="36"/>
      <c r="AF1014" s="36">
        <f>IFERROR(VLOOKUP(AE1014,'Chemical Cost'!A:D,4,0),0)</f>
        <v>0</v>
      </c>
      <c r="AG1014" s="114">
        <f t="shared" si="295"/>
        <v>0</v>
      </c>
      <c r="AH1014" s="36">
        <f t="shared" si="298"/>
        <v>0</v>
      </c>
      <c r="AI1014" s="36">
        <f t="shared" si="305"/>
        <v>0.14000000000000001</v>
      </c>
      <c r="AJ1014" s="36">
        <f>IFERROR(VLOOKUP(A1014,'All Products'!A:F,6,0),0)</f>
        <v>11.96</v>
      </c>
      <c r="AK1014" s="36"/>
      <c r="AL1014" s="23">
        <v>0.8</v>
      </c>
      <c r="AM1014" s="23">
        <v>0.2</v>
      </c>
      <c r="AN1014" s="54" t="e">
        <v>#N/A</v>
      </c>
      <c r="AO1014" s="47"/>
      <c r="AP1014" s="4">
        <v>1.6</v>
      </c>
      <c r="AQ1014" s="111">
        <f t="shared" si="296"/>
        <v>0</v>
      </c>
      <c r="AR1014">
        <f>_xlfn.XLOOKUP(F1014,'RM Cost'!A:A,'RM Cost'!S:S)</f>
        <v>0</v>
      </c>
      <c r="AS1014" t="str">
        <f>_xlfn.XLOOKUP(A1014,[3]Sheet1!$B:$B,[3]Sheet1!$B:$B)</f>
        <v>Z220CS</v>
      </c>
      <c r="AT1014" t="e">
        <f>_xlfn.XLOOKUP(H1014,'Yield &amp; Time'!A:A,'Yield &amp; Time'!F:F)</f>
        <v>#N/A</v>
      </c>
    </row>
    <row r="1015" spans="1:46" x14ac:dyDescent="0.25">
      <c r="A1015" s="2" t="s">
        <v>31</v>
      </c>
      <c r="B1015" s="2" t="s">
        <v>656</v>
      </c>
      <c r="C1015" s="2" t="s">
        <v>32</v>
      </c>
      <c r="D1015" s="2" t="s">
        <v>554</v>
      </c>
      <c r="E1015" s="2">
        <v>2.5</v>
      </c>
      <c r="F1015" s="1" t="str">
        <f>VLOOKUP(H1015,'RM Used'!A:B,2,0)</f>
        <v>3644CS</v>
      </c>
      <c r="G1015" s="1" t="str">
        <f>IFERROR(VLOOKUP(F1015,'RM Cost'!A:B,2,0),"")</f>
        <v>RM - SPRING ONION x 2KG</v>
      </c>
      <c r="H1015" s="2" t="s">
        <v>1582</v>
      </c>
      <c r="I1015" s="1" t="str">
        <f>VLOOKUP(F1015,'RM Used'!B:D,3,0)</f>
        <v>RM-FOOD</v>
      </c>
      <c r="J1015" s="66">
        <v>1</v>
      </c>
      <c r="K1015" s="35">
        <f t="shared" si="300"/>
        <v>2.5</v>
      </c>
      <c r="L1015" s="35">
        <f t="shared" si="288"/>
        <v>2.5</v>
      </c>
      <c r="M1015" s="77" cm="1">
        <f t="array" ref="M1015">_xlfn.IFS(BOM!I1015="RM-PACKING","100%",B1015="Reynolds",VLOOKUP(H1015,'Yield &amp; Time'!A:V,22,0),BOM!B1015="Dnata",VLOOKUP(BOM!H1015,'Yield &amp; Time'!A:M,13,0),B1015="NK",VLOOKUP(H1015,'Yield &amp; Time'!A:X,24,0))</f>
        <v>0.65818830242510706</v>
      </c>
      <c r="N1015" s="35">
        <f t="shared" si="299"/>
        <v>3.7983051214807424</v>
      </c>
      <c r="O1015" s="1" t="str">
        <f>VLOOKUP(H1015,'RM Used'!A:E,5,0)</f>
        <v>KG</v>
      </c>
      <c r="P1015" s="11">
        <f>VLOOKUP(H1015,'RM Used'!A:F,6,0)</f>
        <v>3.08</v>
      </c>
      <c r="Q1015" s="11">
        <f t="shared" si="297"/>
        <v>11.698779774160688</v>
      </c>
      <c r="R1015" s="11">
        <f>IFERROR(IF(B1015="Reynolds",VLOOKUP(H1015,'Yield &amp; Time'!A:U,21,0),VLOOKUP(H1015,'Yield &amp; Time'!A:L,12,0)),0)</f>
        <v>10.835585585585585</v>
      </c>
      <c r="S1015" s="11">
        <f t="shared" si="289"/>
        <v>9.1696143018018006</v>
      </c>
      <c r="T1015" s="11">
        <f t="shared" si="290"/>
        <v>0.45148273273273271</v>
      </c>
      <c r="U1015" s="11">
        <f>IF(A1014=A1015,0,VLOOKUP(A1015,'Packing Time'!A:F,6,0))</f>
        <v>0.875</v>
      </c>
      <c r="V1015" s="11">
        <f t="shared" si="301"/>
        <v>0.29618749999999999</v>
      </c>
      <c r="W1015" s="11">
        <f t="shared" si="302"/>
        <v>1.4583333333333334E-2</v>
      </c>
      <c r="X1015" s="11">
        <f t="shared" si="291"/>
        <v>15.145282882882881</v>
      </c>
      <c r="Y1015" s="11">
        <f t="shared" si="303"/>
        <v>15.145282882882881</v>
      </c>
      <c r="Z1015" s="37">
        <v>1</v>
      </c>
      <c r="AA1015" s="36">
        <f t="shared" si="292"/>
        <v>3.7983051214807424</v>
      </c>
      <c r="AB1015" s="36">
        <f t="shared" si="293"/>
        <v>11.698779774160688</v>
      </c>
      <c r="AC1015" s="11">
        <f t="shared" si="294"/>
        <v>0.74570570570570571</v>
      </c>
      <c r="AD1015" s="36">
        <f t="shared" si="304"/>
        <v>15.145282882882881</v>
      </c>
      <c r="AE1015" s="36" t="str">
        <f>VLOOKUP(H1015,'Yield &amp; Time'!A:I,9,0)</f>
        <v>CHLORINE</v>
      </c>
      <c r="AF1015" s="36">
        <f>IFERROR(VLOOKUP(AE1015,'Chemical Cost'!A:D,4,0),0)</f>
        <v>2.7756518066439469E-2</v>
      </c>
      <c r="AG1015" s="114">
        <f t="shared" si="295"/>
        <v>3.5142574908743264E-2</v>
      </c>
      <c r="AH1015" s="36">
        <f t="shared" si="298"/>
        <v>3.5142574908743264E-2</v>
      </c>
      <c r="AI1015" s="36">
        <f t="shared" si="305"/>
        <v>26.879205231952312</v>
      </c>
      <c r="AJ1015" s="36">
        <f>IFERROR(VLOOKUP(A1015,'All Products'!A:F,6,0),0)</f>
        <v>29.66</v>
      </c>
      <c r="AK1015" s="36">
        <f>AJ1015*Z1015*J1015</f>
        <v>29.66</v>
      </c>
      <c r="AL1015" s="23">
        <v>0.8</v>
      </c>
      <c r="AM1015" s="23">
        <v>0.2</v>
      </c>
      <c r="AN1015" s="54" t="e">
        <v>#N/A</v>
      </c>
      <c r="AO1015" s="47"/>
      <c r="AP1015" s="4">
        <v>1.6</v>
      </c>
      <c r="AQ1015" s="111">
        <f t="shared" si="296"/>
        <v>0.74570570570570571</v>
      </c>
      <c r="AR1015">
        <f>_xlfn.XLOOKUP(F1015,'RM Cost'!A:A,'RM Cost'!S:S)</f>
        <v>0</v>
      </c>
      <c r="AS1015" t="str">
        <f>_xlfn.XLOOKUP(A1015,[3]Sheet1!$B:$B,[3]Sheet1!$B:$B)</f>
        <v>Z219CS</v>
      </c>
      <c r="AT1015">
        <f>_xlfn.XLOOKUP(H1015,'Yield &amp; Time'!A:A,'Yield &amp; Time'!F:F)</f>
        <v>0</v>
      </c>
    </row>
    <row r="1016" spans="1:46" x14ac:dyDescent="0.25">
      <c r="A1016" s="2" t="s">
        <v>31</v>
      </c>
      <c r="B1016" s="2" t="s">
        <v>656</v>
      </c>
      <c r="C1016" s="2" t="s">
        <v>32</v>
      </c>
      <c r="D1016" s="2" t="s">
        <v>554</v>
      </c>
      <c r="E1016" s="2">
        <v>2.5</v>
      </c>
      <c r="F1016" s="1" t="str">
        <f>VLOOKUP(H1016,'RM Used'!A:B,2,0)</f>
        <v>P0008</v>
      </c>
      <c r="G1016" s="1" t="str">
        <f>IFERROR(VLOOKUP(F1016,'RM Cost'!A:B,2,0),"")</f>
        <v>PALE BLUE BAG 470X750MM</v>
      </c>
      <c r="H1016" s="2" t="s">
        <v>1323</v>
      </c>
      <c r="I1016" s="1" t="str">
        <f>VLOOKUP(F1016,'RM Used'!B:D,3,0)</f>
        <v>RM-PACKING</v>
      </c>
      <c r="J1016" s="66">
        <v>1</v>
      </c>
      <c r="K1016" s="35" t="str">
        <f t="shared" si="300"/>
        <v/>
      </c>
      <c r="L1016" s="35">
        <f t="shared" si="288"/>
        <v>0</v>
      </c>
      <c r="M1016" s="77" t="str" cm="1">
        <f t="array" ref="M1016">_xlfn.IFS(BOM!I1016="RM-PACKING","100%",B1016="Reynolds",VLOOKUP(H1016,'Yield &amp; Time'!A:V,22,0),BOM!B1016="Dnata",VLOOKUP(BOM!H1016,'Yield &amp; Time'!A:M,13,0),B1016="NK",VLOOKUP(H1016,'Yield &amp; Time'!A:X,24,0))</f>
        <v>100%</v>
      </c>
      <c r="N1016" s="35">
        <f t="shared" si="299"/>
        <v>1</v>
      </c>
      <c r="O1016" s="1" t="str">
        <f>VLOOKUP(H1016,'RM Used'!A:E,5,0)</f>
        <v>Count</v>
      </c>
      <c r="P1016" s="11">
        <f>VLOOKUP(H1016,'RM Used'!A:F,6,0)</f>
        <v>0.14000000000000001</v>
      </c>
      <c r="Q1016" s="11">
        <f t="shared" si="297"/>
        <v>0.14000000000000001</v>
      </c>
      <c r="R1016" s="11">
        <f>IFERROR(IF(B1016="Reynolds",VLOOKUP(H1016,'Yield &amp; Time'!A:U,21,0),VLOOKUP(H1016,'Yield &amp; Time'!A:L,12,0)),0)</f>
        <v>0</v>
      </c>
      <c r="S1016" s="11">
        <f t="shared" si="289"/>
        <v>0</v>
      </c>
      <c r="T1016" s="11">
        <f t="shared" si="290"/>
        <v>0</v>
      </c>
      <c r="U1016" s="11">
        <f>IF(A1015=A1016,0,VLOOKUP(A1016,'Packing Time'!A:F,6,0))</f>
        <v>0</v>
      </c>
      <c r="V1016" s="11">
        <f t="shared" si="301"/>
        <v>0</v>
      </c>
      <c r="W1016" s="11">
        <f t="shared" si="302"/>
        <v>0</v>
      </c>
      <c r="X1016" s="11">
        <f t="shared" si="291"/>
        <v>0</v>
      </c>
      <c r="Y1016" s="11">
        <f t="shared" si="303"/>
        <v>0</v>
      </c>
      <c r="Z1016" s="37">
        <v>1</v>
      </c>
      <c r="AA1016" s="36">
        <f t="shared" si="292"/>
        <v>1</v>
      </c>
      <c r="AB1016" s="36">
        <f t="shared" si="293"/>
        <v>0.14000000000000001</v>
      </c>
      <c r="AC1016" s="11">
        <f t="shared" si="294"/>
        <v>0</v>
      </c>
      <c r="AD1016" s="36">
        <f t="shared" si="304"/>
        <v>0</v>
      </c>
      <c r="AE1016" s="36"/>
      <c r="AF1016" s="36">
        <f>IFERROR(VLOOKUP(AE1016,'Chemical Cost'!A:D,4,0),0)</f>
        <v>0</v>
      </c>
      <c r="AG1016" s="114">
        <f t="shared" si="295"/>
        <v>0</v>
      </c>
      <c r="AH1016" s="36">
        <f t="shared" si="298"/>
        <v>0</v>
      </c>
      <c r="AI1016" s="36">
        <f t="shared" si="305"/>
        <v>0.14000000000000001</v>
      </c>
      <c r="AJ1016" s="36">
        <f>IFERROR(VLOOKUP(A1016,'All Products'!A:F,6,0),0)</f>
        <v>29.66</v>
      </c>
      <c r="AK1016" s="36"/>
      <c r="AL1016" s="23">
        <v>0.8</v>
      </c>
      <c r="AM1016" s="23">
        <v>0.2</v>
      </c>
      <c r="AN1016" s="54" t="e">
        <v>#N/A</v>
      </c>
      <c r="AO1016" s="47"/>
      <c r="AP1016" s="4">
        <v>1.6</v>
      </c>
      <c r="AQ1016" s="111">
        <f t="shared" si="296"/>
        <v>0</v>
      </c>
      <c r="AR1016">
        <f>_xlfn.XLOOKUP(F1016,'RM Cost'!A:A,'RM Cost'!S:S)</f>
        <v>0</v>
      </c>
      <c r="AS1016" t="str">
        <f>_xlfn.XLOOKUP(A1016,[3]Sheet1!$B:$B,[3]Sheet1!$B:$B)</f>
        <v>Z219CS</v>
      </c>
      <c r="AT1016" t="e">
        <f>_xlfn.XLOOKUP(H1016,'Yield &amp; Time'!A:A,'Yield &amp; Time'!F:F)</f>
        <v>#N/A</v>
      </c>
    </row>
    <row r="1017" spans="1:46" x14ac:dyDescent="0.25">
      <c r="A1017" s="2" t="s">
        <v>933</v>
      </c>
      <c r="B1017" s="2" t="s">
        <v>656</v>
      </c>
      <c r="C1017" s="2" t="s">
        <v>934</v>
      </c>
      <c r="D1017" s="2" t="s">
        <v>554</v>
      </c>
      <c r="E1017" s="2">
        <v>1</v>
      </c>
      <c r="F1017" s="1" t="str">
        <f>VLOOKUP(H1017,'RM Used'!A:B,2,0)</f>
        <v>283ACS</v>
      </c>
      <c r="G1017" s="1" t="str">
        <f>IFERROR(VLOOKUP(F1017,'RM Cost'!A:B,2,0),"")</f>
        <v>RM - BUTTERNUT SQUASH BIN X 625KG</v>
      </c>
      <c r="H1017" s="2" t="s">
        <v>1583</v>
      </c>
      <c r="I1017" s="1" t="str">
        <f>VLOOKUP(F1017,'RM Used'!B:D,3,0)</f>
        <v>RM-FOOD</v>
      </c>
      <c r="J1017" s="66">
        <v>1</v>
      </c>
      <c r="K1017" s="35">
        <f t="shared" si="300"/>
        <v>1</v>
      </c>
      <c r="L1017" s="35">
        <f t="shared" si="288"/>
        <v>1</v>
      </c>
      <c r="M1017" s="77" cm="1">
        <f t="array" ref="M1017">_xlfn.IFS(BOM!I1017="RM-PACKING","100%",B1017="Reynolds",VLOOKUP(H1017,'Yield &amp; Time'!A:V,22,0),BOM!B1017="Dnata",VLOOKUP(BOM!H1017,'Yield &amp; Time'!A:M,13,0),B1017="NK",VLOOKUP(H1017,'Yield &amp; Time'!A:X,24,0))</f>
        <v>0.63291139240506333</v>
      </c>
      <c r="N1017" s="35">
        <f t="shared" si="299"/>
        <v>1.5799999999999998</v>
      </c>
      <c r="O1017" s="1" t="str">
        <f>VLOOKUP(H1017,'RM Used'!A:E,5,0)</f>
        <v>KG</v>
      </c>
      <c r="P1017" s="11">
        <f>VLOOKUP(H1017,'RM Used'!A:F,6,0)</f>
        <v>0.65</v>
      </c>
      <c r="Q1017" s="11">
        <f t="shared" si="297"/>
        <v>1.0269999999999999</v>
      </c>
      <c r="R1017" s="11">
        <f>IFERROR(IF(B1017="Reynolds",VLOOKUP(H1017,'Yield &amp; Time'!A:U,21,0),VLOOKUP(H1017,'Yield &amp; Time'!A:L,12,0)),0)</f>
        <v>6.6358024691358022</v>
      </c>
      <c r="S1017" s="11">
        <f t="shared" si="289"/>
        <v>2.2462191358024688</v>
      </c>
      <c r="T1017" s="11">
        <f t="shared" si="290"/>
        <v>0.11059670781893004</v>
      </c>
      <c r="U1017" s="11">
        <f>IF(A1016=A1017,0,VLOOKUP(A1017,'Packing Time'!A:F,6,0))</f>
        <v>0.64166666666666661</v>
      </c>
      <c r="V1017" s="11">
        <f t="shared" si="301"/>
        <v>0.21720416666666661</v>
      </c>
      <c r="W1017" s="11">
        <f t="shared" si="302"/>
        <v>1.0694444444444444E-2</v>
      </c>
      <c r="X1017" s="11">
        <f t="shared" si="291"/>
        <v>3.9414772839506171</v>
      </c>
      <c r="Y1017" s="11">
        <f t="shared" si="303"/>
        <v>3.9414772839506171</v>
      </c>
      <c r="Z1017" s="37">
        <v>1</v>
      </c>
      <c r="AA1017" s="36">
        <f t="shared" si="292"/>
        <v>1.5799999999999998</v>
      </c>
      <c r="AB1017" s="36">
        <f t="shared" si="293"/>
        <v>1.0269999999999999</v>
      </c>
      <c r="AC1017" s="11">
        <f t="shared" si="294"/>
        <v>0.19406584362139917</v>
      </c>
      <c r="AD1017" s="36">
        <f t="shared" si="304"/>
        <v>3.9414772839506167</v>
      </c>
      <c r="AE1017" s="36"/>
      <c r="AF1017" s="36">
        <f>IFERROR(VLOOKUP(AE1017,'Chemical Cost'!A:D,4,0),0)</f>
        <v>0</v>
      </c>
      <c r="AG1017" s="114">
        <f t="shared" si="295"/>
        <v>0</v>
      </c>
      <c r="AH1017" s="36">
        <f t="shared" si="298"/>
        <v>0</v>
      </c>
      <c r="AI1017" s="36">
        <f t="shared" si="305"/>
        <v>4.9684772839506168</v>
      </c>
      <c r="AJ1017" s="36">
        <f>IFERROR(VLOOKUP(A1017,'All Products'!A:F,6,0),0)</f>
        <v>7.25</v>
      </c>
      <c r="AK1017" s="36">
        <f>AJ1017*Z1017*J1017</f>
        <v>7.25</v>
      </c>
      <c r="AL1017" s="23">
        <v>1</v>
      </c>
      <c r="AM1017" s="23"/>
      <c r="AN1017" s="54" t="e">
        <v>#N/A</v>
      </c>
      <c r="AO1017" s="47"/>
      <c r="AP1017" s="4">
        <v>1.6</v>
      </c>
      <c r="AQ1017" s="111">
        <f t="shared" si="296"/>
        <v>0.19406584362139917</v>
      </c>
      <c r="AR1017">
        <f>_xlfn.XLOOKUP(F1017,'RM Cost'!A:A,'RM Cost'!S:S)</f>
        <v>0</v>
      </c>
      <c r="AS1017" t="e">
        <f>_xlfn.XLOOKUP(A1017,[3]Sheet1!$B:$B,[3]Sheet1!$B:$B)</f>
        <v>#N/A</v>
      </c>
    </row>
    <row r="1018" spans="1:46" x14ac:dyDescent="0.25">
      <c r="A1018" s="2" t="s">
        <v>933</v>
      </c>
      <c r="B1018" s="2" t="s">
        <v>656</v>
      </c>
      <c r="C1018" s="2" t="s">
        <v>934</v>
      </c>
      <c r="D1018" s="2" t="s">
        <v>554</v>
      </c>
      <c r="E1018" s="2">
        <v>1</v>
      </c>
      <c r="F1018" s="1" t="str">
        <f>VLOOKUP(H1018,'RM Used'!A:B,2,0)</f>
        <v>P0008</v>
      </c>
      <c r="G1018" s="1" t="str">
        <f>IFERROR(VLOOKUP(F1018,'RM Cost'!A:B,2,0),"")</f>
        <v>PALE BLUE BAG 470X750MM</v>
      </c>
      <c r="H1018" s="2" t="s">
        <v>1323</v>
      </c>
      <c r="I1018" s="1" t="str">
        <f>VLOOKUP(F1018,'RM Used'!B:D,3,0)</f>
        <v>RM-PACKING</v>
      </c>
      <c r="J1018" s="66">
        <v>1</v>
      </c>
      <c r="K1018" s="35" t="str">
        <f t="shared" si="300"/>
        <v/>
      </c>
      <c r="L1018" s="35">
        <f t="shared" si="288"/>
        <v>0</v>
      </c>
      <c r="M1018" s="77" t="str" cm="1">
        <f t="array" ref="M1018">_xlfn.IFS(BOM!I1018="RM-PACKING","100%",B1018="Reynolds",VLOOKUP(H1018,'Yield &amp; Time'!A:V,22,0),BOM!B1018="Dnata",VLOOKUP(BOM!H1018,'Yield &amp; Time'!A:M,13,0),B1018="NK",VLOOKUP(H1018,'Yield &amp; Time'!A:X,24,0))</f>
        <v>100%</v>
      </c>
      <c r="N1018" s="35">
        <f t="shared" si="299"/>
        <v>1</v>
      </c>
      <c r="O1018" s="1" t="str">
        <f>VLOOKUP(H1018,'RM Used'!A:E,5,0)</f>
        <v>Count</v>
      </c>
      <c r="P1018" s="11">
        <f>VLOOKUP(H1018,'RM Used'!A:F,6,0)</f>
        <v>0.14000000000000001</v>
      </c>
      <c r="Q1018" s="11">
        <f t="shared" si="297"/>
        <v>0.14000000000000001</v>
      </c>
      <c r="R1018" s="11">
        <f>IFERROR(IF(B1018="Reynolds",VLOOKUP(H1018,'Yield &amp; Time'!A:U,21,0),VLOOKUP(H1018,'Yield &amp; Time'!A:L,12,0)),0)</f>
        <v>0</v>
      </c>
      <c r="S1018" s="11">
        <f t="shared" si="289"/>
        <v>0</v>
      </c>
      <c r="T1018" s="11">
        <f t="shared" si="290"/>
        <v>0</v>
      </c>
      <c r="U1018" s="11">
        <f>IF(A1017=A1018,0,VLOOKUP(A1018,'Packing Time'!A:F,6,0))</f>
        <v>0</v>
      </c>
      <c r="V1018" s="11">
        <f t="shared" si="301"/>
        <v>0</v>
      </c>
      <c r="W1018" s="11">
        <f t="shared" si="302"/>
        <v>0</v>
      </c>
      <c r="X1018" s="11">
        <f t="shared" si="291"/>
        <v>0</v>
      </c>
      <c r="Y1018" s="11">
        <f t="shared" si="303"/>
        <v>0</v>
      </c>
      <c r="Z1018" s="37">
        <v>1</v>
      </c>
      <c r="AA1018" s="36">
        <f t="shared" si="292"/>
        <v>1</v>
      </c>
      <c r="AB1018" s="36">
        <f t="shared" si="293"/>
        <v>0.14000000000000001</v>
      </c>
      <c r="AC1018" s="11">
        <f t="shared" si="294"/>
        <v>0</v>
      </c>
      <c r="AD1018" s="36">
        <f t="shared" si="304"/>
        <v>0</v>
      </c>
      <c r="AE1018" s="36"/>
      <c r="AF1018" s="36">
        <f>IFERROR(VLOOKUP(AE1018,'Chemical Cost'!A:D,4,0),0)</f>
        <v>0</v>
      </c>
      <c r="AG1018" s="114">
        <f t="shared" si="295"/>
        <v>0</v>
      </c>
      <c r="AH1018" s="36">
        <f t="shared" si="298"/>
        <v>0</v>
      </c>
      <c r="AI1018" s="36">
        <f t="shared" si="305"/>
        <v>0.14000000000000001</v>
      </c>
      <c r="AJ1018" s="36">
        <f>IFERROR(VLOOKUP(A1018,'All Products'!A:F,6,0),0)</f>
        <v>7.25</v>
      </c>
      <c r="AK1018" s="36"/>
      <c r="AL1018" s="23">
        <v>1</v>
      </c>
      <c r="AM1018" s="23"/>
      <c r="AN1018" s="54" t="e">
        <v>#N/A</v>
      </c>
      <c r="AO1018" s="47"/>
      <c r="AP1018" s="4">
        <v>1.6</v>
      </c>
      <c r="AQ1018" s="111">
        <f t="shared" si="296"/>
        <v>0</v>
      </c>
      <c r="AR1018">
        <f>_xlfn.XLOOKUP(F1018,'RM Cost'!A:A,'RM Cost'!S:S)</f>
        <v>0</v>
      </c>
      <c r="AS1018" t="e">
        <f>_xlfn.XLOOKUP(A1018,[3]Sheet1!$B:$B,[3]Sheet1!$B:$B)</f>
        <v>#N/A</v>
      </c>
    </row>
    <row r="1019" spans="1:46" x14ac:dyDescent="0.25">
      <c r="A1019" s="2" t="s">
        <v>935</v>
      </c>
      <c r="B1019" s="2" t="s">
        <v>656</v>
      </c>
      <c r="C1019" s="2" t="s">
        <v>936</v>
      </c>
      <c r="D1019" s="2" t="s">
        <v>554</v>
      </c>
      <c r="E1019" s="2">
        <v>2.5</v>
      </c>
      <c r="F1019" s="1" t="str">
        <f>VLOOKUP(H1019,'RM Used'!A:B,2,0)</f>
        <v>283ACS</v>
      </c>
      <c r="G1019" s="1" t="str">
        <f>IFERROR(VLOOKUP(F1019,'RM Cost'!A:B,2,0),"")</f>
        <v>RM - BUTTERNUT SQUASH BIN X 625KG</v>
      </c>
      <c r="H1019" s="2" t="s">
        <v>1583</v>
      </c>
      <c r="I1019" s="1" t="str">
        <f>VLOOKUP(F1019,'RM Used'!B:D,3,0)</f>
        <v>RM-FOOD</v>
      </c>
      <c r="J1019" s="66">
        <v>1</v>
      </c>
      <c r="K1019" s="35">
        <f t="shared" si="300"/>
        <v>2.5</v>
      </c>
      <c r="L1019" s="35">
        <f t="shared" si="288"/>
        <v>2.5</v>
      </c>
      <c r="M1019" s="77" cm="1">
        <f t="array" ref="M1019">_xlfn.IFS(BOM!I1019="RM-PACKING","100%",B1019="Reynolds",VLOOKUP(H1019,'Yield &amp; Time'!A:V,22,0),BOM!B1019="Dnata",VLOOKUP(BOM!H1019,'Yield &amp; Time'!A:M,13,0),B1019="NK",VLOOKUP(H1019,'Yield &amp; Time'!A:X,24,0))</f>
        <v>0.63291139240506333</v>
      </c>
      <c r="N1019" s="35">
        <f t="shared" si="299"/>
        <v>3.9499999999999997</v>
      </c>
      <c r="O1019" s="1" t="str">
        <f>VLOOKUP(H1019,'RM Used'!A:E,5,0)</f>
        <v>KG</v>
      </c>
      <c r="P1019" s="11">
        <f>VLOOKUP(H1019,'RM Used'!A:F,6,0)</f>
        <v>0.65</v>
      </c>
      <c r="Q1019" s="11">
        <f t="shared" si="297"/>
        <v>2.5674999999999999</v>
      </c>
      <c r="R1019" s="11">
        <f>IFERROR(IF(B1019="Reynolds",VLOOKUP(H1019,'Yield &amp; Time'!A:U,21,0),VLOOKUP(H1019,'Yield &amp; Time'!A:L,12,0)),0)</f>
        <v>6.6358024691358022</v>
      </c>
      <c r="S1019" s="11">
        <f t="shared" si="289"/>
        <v>5.6155478395061724</v>
      </c>
      <c r="T1019" s="11">
        <f t="shared" si="290"/>
        <v>0.27649176954732513</v>
      </c>
      <c r="U1019" s="11">
        <f>IF(A1018=A1019,0,VLOOKUP(A1019,'Packing Time'!A:F,6,0))</f>
        <v>0.875</v>
      </c>
      <c r="V1019" s="11">
        <f t="shared" si="301"/>
        <v>0.29618749999999999</v>
      </c>
      <c r="W1019" s="11">
        <f t="shared" si="302"/>
        <v>1.4583333333333334E-2</v>
      </c>
      <c r="X1019" s="11">
        <f t="shared" si="291"/>
        <v>9.4587765432098774</v>
      </c>
      <c r="Y1019" s="11">
        <f t="shared" si="303"/>
        <v>9.4587765432098774</v>
      </c>
      <c r="Z1019" s="37">
        <v>1</v>
      </c>
      <c r="AA1019" s="36">
        <f t="shared" si="292"/>
        <v>3.9499999999999997</v>
      </c>
      <c r="AB1019" s="36">
        <f t="shared" si="293"/>
        <v>2.5674999999999999</v>
      </c>
      <c r="AC1019" s="11">
        <f t="shared" si="294"/>
        <v>0.46572016460905358</v>
      </c>
      <c r="AD1019" s="36">
        <f t="shared" si="304"/>
        <v>9.4587765432098774</v>
      </c>
      <c r="AE1019" s="36"/>
      <c r="AF1019" s="36">
        <f>IFERROR(VLOOKUP(AE1019,'Chemical Cost'!A:D,4,0),0)</f>
        <v>0</v>
      </c>
      <c r="AG1019" s="114">
        <f t="shared" si="295"/>
        <v>0</v>
      </c>
      <c r="AH1019" s="36">
        <f t="shared" si="298"/>
        <v>0</v>
      </c>
      <c r="AI1019" s="36">
        <f t="shared" si="305"/>
        <v>12.026276543209878</v>
      </c>
      <c r="AJ1019" s="36">
        <f>IFERROR(VLOOKUP(A1019,'All Products'!A:F,6,0),0)</f>
        <v>18.100000000000001</v>
      </c>
      <c r="AK1019" s="36">
        <f>AJ1019*Z1019*J1019</f>
        <v>18.100000000000001</v>
      </c>
      <c r="AL1019" s="23">
        <v>1</v>
      </c>
      <c r="AM1019" s="23"/>
      <c r="AN1019" s="54" t="e">
        <v>#N/A</v>
      </c>
      <c r="AO1019" s="47"/>
      <c r="AP1019" s="4">
        <v>1.6</v>
      </c>
      <c r="AQ1019" s="111">
        <f t="shared" si="296"/>
        <v>0.46572016460905358</v>
      </c>
      <c r="AR1019">
        <f>_xlfn.XLOOKUP(F1019,'RM Cost'!A:A,'RM Cost'!S:S)</f>
        <v>0</v>
      </c>
      <c r="AS1019" t="e">
        <f>_xlfn.XLOOKUP(A1019,[3]Sheet1!$B:$B,[3]Sheet1!$B:$B)</f>
        <v>#N/A</v>
      </c>
    </row>
    <row r="1020" spans="1:46" x14ac:dyDescent="0.25">
      <c r="A1020" s="2" t="s">
        <v>935</v>
      </c>
      <c r="B1020" s="2" t="s">
        <v>656</v>
      </c>
      <c r="C1020" s="2" t="s">
        <v>936</v>
      </c>
      <c r="D1020" s="2" t="s">
        <v>554</v>
      </c>
      <c r="E1020" s="2">
        <v>2.5</v>
      </c>
      <c r="F1020" s="1" t="str">
        <f>VLOOKUP(H1020,'RM Used'!A:B,2,0)</f>
        <v>P0008</v>
      </c>
      <c r="G1020" s="1" t="str">
        <f>IFERROR(VLOOKUP(F1020,'RM Cost'!A:B,2,0),"")</f>
        <v>PALE BLUE BAG 470X750MM</v>
      </c>
      <c r="H1020" s="2" t="s">
        <v>1323</v>
      </c>
      <c r="I1020" s="1" t="str">
        <f>VLOOKUP(F1020,'RM Used'!B:D,3,0)</f>
        <v>RM-PACKING</v>
      </c>
      <c r="J1020" s="66">
        <v>1</v>
      </c>
      <c r="K1020" s="35" t="str">
        <f t="shared" si="300"/>
        <v/>
      </c>
      <c r="L1020" s="35">
        <f t="shared" si="288"/>
        <v>0</v>
      </c>
      <c r="M1020" s="77" t="str" cm="1">
        <f t="array" ref="M1020">_xlfn.IFS(BOM!I1020="RM-PACKING","100%",B1020="Reynolds",VLOOKUP(H1020,'Yield &amp; Time'!A:V,22,0),BOM!B1020="Dnata",VLOOKUP(BOM!H1020,'Yield &amp; Time'!A:M,13,0),B1020="NK",VLOOKUP(H1020,'Yield &amp; Time'!A:X,24,0))</f>
        <v>100%</v>
      </c>
      <c r="N1020" s="35">
        <f t="shared" si="299"/>
        <v>1</v>
      </c>
      <c r="O1020" s="1" t="str">
        <f>VLOOKUP(H1020,'RM Used'!A:E,5,0)</f>
        <v>Count</v>
      </c>
      <c r="P1020" s="11">
        <f>VLOOKUP(H1020,'RM Used'!A:F,6,0)</f>
        <v>0.14000000000000001</v>
      </c>
      <c r="Q1020" s="11">
        <f t="shared" si="297"/>
        <v>0.14000000000000001</v>
      </c>
      <c r="R1020" s="11">
        <f>IFERROR(IF(B1020="Reynolds",VLOOKUP(H1020,'Yield &amp; Time'!A:U,21,0),VLOOKUP(H1020,'Yield &amp; Time'!A:L,12,0)),0)</f>
        <v>0</v>
      </c>
      <c r="S1020" s="11">
        <f t="shared" si="289"/>
        <v>0</v>
      </c>
      <c r="T1020" s="11">
        <f t="shared" si="290"/>
        <v>0</v>
      </c>
      <c r="U1020" s="11">
        <f>IF(A1019=A1020,0,VLOOKUP(A1020,'Packing Time'!A:F,6,0))</f>
        <v>0</v>
      </c>
      <c r="V1020" s="11">
        <f t="shared" si="301"/>
        <v>0</v>
      </c>
      <c r="W1020" s="11">
        <f t="shared" si="302"/>
        <v>0</v>
      </c>
      <c r="X1020" s="11">
        <f t="shared" si="291"/>
        <v>0</v>
      </c>
      <c r="Y1020" s="11">
        <f t="shared" si="303"/>
        <v>0</v>
      </c>
      <c r="Z1020" s="37">
        <v>1</v>
      </c>
      <c r="AA1020" s="36">
        <f t="shared" si="292"/>
        <v>1</v>
      </c>
      <c r="AB1020" s="36">
        <f t="shared" si="293"/>
        <v>0.14000000000000001</v>
      </c>
      <c r="AC1020" s="11">
        <f t="shared" si="294"/>
        <v>0</v>
      </c>
      <c r="AD1020" s="36">
        <f t="shared" si="304"/>
        <v>0</v>
      </c>
      <c r="AE1020" s="36"/>
      <c r="AF1020" s="36">
        <f>IFERROR(VLOOKUP(AE1020,'Chemical Cost'!A:D,4,0),0)</f>
        <v>0</v>
      </c>
      <c r="AG1020" s="114">
        <f t="shared" si="295"/>
        <v>0</v>
      </c>
      <c r="AH1020" s="36">
        <f t="shared" si="298"/>
        <v>0</v>
      </c>
      <c r="AI1020" s="36">
        <f t="shared" si="305"/>
        <v>0.14000000000000001</v>
      </c>
      <c r="AJ1020" s="36">
        <f>IFERROR(VLOOKUP(A1020,'All Products'!A:F,6,0),0)</f>
        <v>18.100000000000001</v>
      </c>
      <c r="AK1020" s="36"/>
      <c r="AL1020" s="23">
        <v>1</v>
      </c>
      <c r="AM1020" s="23"/>
      <c r="AN1020" s="54" t="e">
        <v>#N/A</v>
      </c>
      <c r="AO1020" s="47"/>
      <c r="AP1020" s="4">
        <v>1.6</v>
      </c>
      <c r="AQ1020" s="111">
        <f t="shared" si="296"/>
        <v>0</v>
      </c>
      <c r="AR1020">
        <f>_xlfn.XLOOKUP(F1020,'RM Cost'!A:A,'RM Cost'!S:S)</f>
        <v>0</v>
      </c>
      <c r="AS1020" t="e">
        <f>_xlfn.XLOOKUP(A1020,[3]Sheet1!$B:$B,[3]Sheet1!$B:$B)</f>
        <v>#N/A</v>
      </c>
    </row>
    <row r="1021" spans="1:46" x14ac:dyDescent="0.25">
      <c r="A1021" s="2" t="s">
        <v>937</v>
      </c>
      <c r="B1021" s="2" t="s">
        <v>656</v>
      </c>
      <c r="C1021" s="2" t="s">
        <v>938</v>
      </c>
      <c r="D1021" s="2" t="s">
        <v>554</v>
      </c>
      <c r="E1021" s="2">
        <v>1</v>
      </c>
      <c r="F1021" s="1" t="str">
        <f>VLOOKUP(H1021,'RM Used'!A:B,2,0)</f>
        <v>3277CS</v>
      </c>
      <c r="G1021" s="1" t="str">
        <f>IFERROR(VLOOKUP(F1021,'RM Cost'!A:B,2,0),"")</f>
        <v>RM - SWEDE 12.5KG</v>
      </c>
      <c r="H1021" s="2" t="s">
        <v>1368</v>
      </c>
      <c r="I1021" s="1" t="str">
        <f>VLOOKUP(F1021,'RM Used'!B:D,3,0)</f>
        <v>RM-FOOD</v>
      </c>
      <c r="J1021" s="66">
        <v>1</v>
      </c>
      <c r="K1021" s="35">
        <f t="shared" si="300"/>
        <v>1</v>
      </c>
      <c r="L1021" s="35">
        <f t="shared" si="288"/>
        <v>1</v>
      </c>
      <c r="M1021" s="77" cm="1">
        <f t="array" ref="M1021">_xlfn.IFS(BOM!I1021="RM-PACKING","100%",B1021="Reynolds",VLOOKUP(H1021,'Yield &amp; Time'!A:V,22,0),BOM!B1021="Dnata",VLOOKUP(BOM!H1021,'Yield &amp; Time'!A:M,13,0),B1021="NK",VLOOKUP(H1021,'Yield &amp; Time'!A:X,24,0))</f>
        <v>0.64390243902439015</v>
      </c>
      <c r="N1021" s="35">
        <f t="shared" si="299"/>
        <v>1.5530303030303032</v>
      </c>
      <c r="O1021" s="1" t="str">
        <f>VLOOKUP(H1021,'RM Used'!A:E,5,0)</f>
        <v>KG</v>
      </c>
      <c r="P1021" s="11">
        <f>VLOOKUP(H1021,'RM Used'!A:F,6,0)</f>
        <v>0.52</v>
      </c>
      <c r="Q1021" s="11">
        <f t="shared" si="297"/>
        <v>0.80757575757575772</v>
      </c>
      <c r="R1021" s="11">
        <f>IFERROR(IF(B1021="Reynolds",VLOOKUP(H1021,'Yield &amp; Time'!A:U,21,0),VLOOKUP(H1021,'Yield &amp; Time'!A:L,12,0)),0)</f>
        <v>2.7056799882886842</v>
      </c>
      <c r="S1021" s="11">
        <f t="shared" si="289"/>
        <v>0.91587267603571954</v>
      </c>
      <c r="T1021" s="11">
        <f t="shared" si="290"/>
        <v>4.509466647147807E-2</v>
      </c>
      <c r="U1021" s="11">
        <f>IF(A1020=A1021,0,VLOOKUP(A1021,'Packing Time'!A:F,6,0))</f>
        <v>0.64166666666666661</v>
      </c>
      <c r="V1021" s="11">
        <f t="shared" si="301"/>
        <v>0.21720416666666661</v>
      </c>
      <c r="W1021" s="11">
        <f t="shared" si="302"/>
        <v>1.0694444444444444E-2</v>
      </c>
      <c r="X1021" s="11">
        <f t="shared" si="291"/>
        <v>1.8129229483238178</v>
      </c>
      <c r="Y1021" s="11">
        <f t="shared" si="303"/>
        <v>1.8129229483238178</v>
      </c>
      <c r="Z1021" s="37">
        <v>1</v>
      </c>
      <c r="AA1021" s="36">
        <f t="shared" si="292"/>
        <v>1.5530303030303032</v>
      </c>
      <c r="AB1021" s="36">
        <f t="shared" si="293"/>
        <v>0.80757575757575772</v>
      </c>
      <c r="AC1021" s="11">
        <f t="shared" si="294"/>
        <v>8.9262577465476028E-2</v>
      </c>
      <c r="AD1021" s="36">
        <f t="shared" si="304"/>
        <v>1.8129229483238178</v>
      </c>
      <c r="AE1021" s="36"/>
      <c r="AF1021" s="36">
        <f>IFERROR(VLOOKUP(AE1021,'Chemical Cost'!A:D,4,0),0)</f>
        <v>0</v>
      </c>
      <c r="AG1021" s="114">
        <f t="shared" si="295"/>
        <v>0</v>
      </c>
      <c r="AH1021" s="36">
        <f t="shared" si="298"/>
        <v>0</v>
      </c>
      <c r="AI1021" s="36">
        <f t="shared" si="305"/>
        <v>2.6204987058995757</v>
      </c>
      <c r="AJ1021" s="36">
        <f>IFERROR(VLOOKUP(A1021,'All Products'!A:F,6,0),0)</f>
        <v>2.9</v>
      </c>
      <c r="AK1021" s="36">
        <f>AJ1021*Z1021*J1021</f>
        <v>2.9</v>
      </c>
      <c r="AL1021" s="23">
        <v>1</v>
      </c>
      <c r="AM1021" s="23"/>
      <c r="AN1021" s="54" t="e">
        <v>#N/A</v>
      </c>
      <c r="AO1021" s="47"/>
      <c r="AP1021" s="4">
        <v>1.6</v>
      </c>
      <c r="AQ1021" s="111">
        <f t="shared" si="296"/>
        <v>8.9262577465476028E-2</v>
      </c>
      <c r="AR1021">
        <f>_xlfn.XLOOKUP(F1021,'RM Cost'!A:A,'RM Cost'!S:S)</f>
        <v>0</v>
      </c>
      <c r="AS1021" t="str">
        <f>_xlfn.XLOOKUP(A1021,[3]Sheet1!$B:$B,[3]Sheet1!$B:$B)</f>
        <v>Z204CS</v>
      </c>
      <c r="AT1021">
        <f>_xlfn.XLOOKUP(H1021,'Yield &amp; Time'!A:A,'Yield &amp; Time'!F:F)</f>
        <v>0</v>
      </c>
    </row>
    <row r="1022" spans="1:46" x14ac:dyDescent="0.25">
      <c r="A1022" s="2" t="s">
        <v>937</v>
      </c>
      <c r="B1022" s="2" t="s">
        <v>656</v>
      </c>
      <c r="C1022" s="2" t="s">
        <v>938</v>
      </c>
      <c r="D1022" s="2" t="s">
        <v>554</v>
      </c>
      <c r="E1022" s="2">
        <v>1</v>
      </c>
      <c r="F1022" s="1" t="str">
        <f>VLOOKUP(H1022,'RM Used'!A:B,2,0)</f>
        <v>P0008</v>
      </c>
      <c r="G1022" s="1" t="str">
        <f>IFERROR(VLOOKUP(F1022,'RM Cost'!A:B,2,0),"")</f>
        <v>PALE BLUE BAG 470X750MM</v>
      </c>
      <c r="H1022" s="2" t="s">
        <v>1323</v>
      </c>
      <c r="I1022" s="1" t="str">
        <f>VLOOKUP(F1022,'RM Used'!B:D,3,0)</f>
        <v>RM-PACKING</v>
      </c>
      <c r="J1022" s="66">
        <v>1</v>
      </c>
      <c r="K1022" s="35" t="str">
        <f t="shared" si="300"/>
        <v/>
      </c>
      <c r="L1022" s="35">
        <f t="shared" si="288"/>
        <v>0</v>
      </c>
      <c r="M1022" s="77" t="str" cm="1">
        <f t="array" ref="M1022">_xlfn.IFS(BOM!I1022="RM-PACKING","100%",B1022="Reynolds",VLOOKUP(H1022,'Yield &amp; Time'!A:V,22,0),BOM!B1022="Dnata",VLOOKUP(BOM!H1022,'Yield &amp; Time'!A:M,13,0),B1022="NK",VLOOKUP(H1022,'Yield &amp; Time'!A:X,24,0))</f>
        <v>100%</v>
      </c>
      <c r="N1022" s="35">
        <f t="shared" si="299"/>
        <v>1</v>
      </c>
      <c r="O1022" s="1" t="str">
        <f>VLOOKUP(H1022,'RM Used'!A:E,5,0)</f>
        <v>Count</v>
      </c>
      <c r="P1022" s="11">
        <f>VLOOKUP(H1022,'RM Used'!A:F,6,0)</f>
        <v>0.14000000000000001</v>
      </c>
      <c r="Q1022" s="11">
        <f t="shared" si="297"/>
        <v>0.14000000000000001</v>
      </c>
      <c r="R1022" s="11">
        <f>IFERROR(IF(B1022="Reynolds",VLOOKUP(H1022,'Yield &amp; Time'!A:U,21,0),VLOOKUP(H1022,'Yield &amp; Time'!A:L,12,0)),0)</f>
        <v>0</v>
      </c>
      <c r="S1022" s="11">
        <f t="shared" si="289"/>
        <v>0</v>
      </c>
      <c r="T1022" s="11">
        <f t="shared" si="290"/>
        <v>0</v>
      </c>
      <c r="U1022" s="11">
        <f>IF(A1021=A1022,0,VLOOKUP(A1022,'Packing Time'!A:F,6,0))</f>
        <v>0</v>
      </c>
      <c r="V1022" s="11">
        <f t="shared" si="301"/>
        <v>0</v>
      </c>
      <c r="W1022" s="11">
        <f t="shared" si="302"/>
        <v>0</v>
      </c>
      <c r="X1022" s="11">
        <f t="shared" si="291"/>
        <v>0</v>
      </c>
      <c r="Y1022" s="11">
        <f t="shared" si="303"/>
        <v>0</v>
      </c>
      <c r="Z1022" s="37">
        <v>1</v>
      </c>
      <c r="AA1022" s="36">
        <f t="shared" si="292"/>
        <v>1</v>
      </c>
      <c r="AB1022" s="36">
        <f t="shared" si="293"/>
        <v>0.14000000000000001</v>
      </c>
      <c r="AC1022" s="11">
        <f t="shared" si="294"/>
        <v>0</v>
      </c>
      <c r="AD1022" s="36">
        <f t="shared" si="304"/>
        <v>0</v>
      </c>
      <c r="AE1022" s="36"/>
      <c r="AF1022" s="36">
        <f>IFERROR(VLOOKUP(AE1022,'Chemical Cost'!A:D,4,0),0)</f>
        <v>0</v>
      </c>
      <c r="AG1022" s="114">
        <f t="shared" si="295"/>
        <v>0</v>
      </c>
      <c r="AH1022" s="36">
        <f t="shared" si="298"/>
        <v>0</v>
      </c>
      <c r="AI1022" s="36">
        <f t="shared" si="305"/>
        <v>0.14000000000000001</v>
      </c>
      <c r="AJ1022" s="36">
        <f>IFERROR(VLOOKUP(A1022,'All Products'!A:F,6,0),0)</f>
        <v>2.9</v>
      </c>
      <c r="AK1022" s="36"/>
      <c r="AL1022" s="23">
        <v>1</v>
      </c>
      <c r="AM1022" s="23"/>
      <c r="AN1022" s="54" t="e">
        <v>#N/A</v>
      </c>
      <c r="AO1022" s="47"/>
      <c r="AP1022" s="4">
        <v>1.6</v>
      </c>
      <c r="AQ1022" s="111">
        <f t="shared" si="296"/>
        <v>0</v>
      </c>
      <c r="AR1022">
        <f>_xlfn.XLOOKUP(F1022,'RM Cost'!A:A,'RM Cost'!S:S)</f>
        <v>0</v>
      </c>
      <c r="AS1022" t="str">
        <f>_xlfn.XLOOKUP(A1022,[3]Sheet1!$B:$B,[3]Sheet1!$B:$B)</f>
        <v>Z204CS</v>
      </c>
      <c r="AT1022" t="e">
        <f>_xlfn.XLOOKUP(H1022,'Yield &amp; Time'!A:A,'Yield &amp; Time'!F:F)</f>
        <v>#N/A</v>
      </c>
    </row>
    <row r="1023" spans="1:46" x14ac:dyDescent="0.25">
      <c r="A1023" s="2" t="s">
        <v>21</v>
      </c>
      <c r="B1023" s="2" t="s">
        <v>656</v>
      </c>
      <c r="C1023" s="2" t="s">
        <v>22</v>
      </c>
      <c r="D1023" s="2" t="s">
        <v>554</v>
      </c>
      <c r="E1023" s="2">
        <v>2.5</v>
      </c>
      <c r="F1023" s="1" t="str">
        <f>VLOOKUP(H1023,'RM Used'!A:B,2,0)</f>
        <v>3277CS</v>
      </c>
      <c r="G1023" s="1" t="str">
        <f>IFERROR(VLOOKUP(F1023,'RM Cost'!A:B,2,0),"")</f>
        <v>RM - SWEDE 12.5KG</v>
      </c>
      <c r="H1023" s="2" t="s">
        <v>1368</v>
      </c>
      <c r="I1023" s="1" t="str">
        <f>VLOOKUP(F1023,'RM Used'!B:D,3,0)</f>
        <v>RM-FOOD</v>
      </c>
      <c r="J1023" s="66">
        <v>1</v>
      </c>
      <c r="K1023" s="35">
        <f t="shared" si="300"/>
        <v>2.5</v>
      </c>
      <c r="L1023" s="35">
        <f t="shared" si="288"/>
        <v>2.5</v>
      </c>
      <c r="M1023" s="77" cm="1">
        <f t="array" ref="M1023">_xlfn.IFS(BOM!I1023="RM-PACKING","100%",B1023="Reynolds",VLOOKUP(H1023,'Yield &amp; Time'!A:V,22,0),BOM!B1023="Dnata",VLOOKUP(BOM!H1023,'Yield &amp; Time'!A:M,13,0),B1023="NK",VLOOKUP(H1023,'Yield &amp; Time'!A:X,24,0))</f>
        <v>0.64390243902439015</v>
      </c>
      <c r="N1023" s="35">
        <f t="shared" si="299"/>
        <v>3.8825757575757582</v>
      </c>
      <c r="O1023" s="1" t="str">
        <f>VLOOKUP(H1023,'RM Used'!A:E,5,0)</f>
        <v>KG</v>
      </c>
      <c r="P1023" s="11">
        <f>VLOOKUP(H1023,'RM Used'!A:F,6,0)</f>
        <v>0.52</v>
      </c>
      <c r="Q1023" s="11">
        <f t="shared" si="297"/>
        <v>2.0189393939393945</v>
      </c>
      <c r="R1023" s="11">
        <f>IFERROR(IF(B1023="Reynolds",VLOOKUP(H1023,'Yield &amp; Time'!A:U,21,0),VLOOKUP(H1023,'Yield &amp; Time'!A:L,12,0)),0)</f>
        <v>2.7056799882886842</v>
      </c>
      <c r="S1023" s="11">
        <f t="shared" si="289"/>
        <v>2.2896816900892989</v>
      </c>
      <c r="T1023" s="11">
        <f t="shared" si="290"/>
        <v>0.11273666617869518</v>
      </c>
      <c r="U1023" s="11">
        <f>IF(A1022=A1023,0,VLOOKUP(A1023,'Packing Time'!A:F,6,0))</f>
        <v>0.875</v>
      </c>
      <c r="V1023" s="11">
        <f t="shared" si="301"/>
        <v>0.29618749999999999</v>
      </c>
      <c r="W1023" s="11">
        <f t="shared" si="302"/>
        <v>1.4583333333333334E-2</v>
      </c>
      <c r="X1023" s="11">
        <f t="shared" si="291"/>
        <v>4.1373907041428781</v>
      </c>
      <c r="Y1023" s="11">
        <f t="shared" si="303"/>
        <v>4.1373907041428781</v>
      </c>
      <c r="Z1023" s="37">
        <v>1</v>
      </c>
      <c r="AA1023" s="36">
        <f t="shared" si="292"/>
        <v>3.8825757575757582</v>
      </c>
      <c r="AB1023" s="36">
        <f t="shared" si="293"/>
        <v>2.0189393939393945</v>
      </c>
      <c r="AC1023" s="11">
        <f t="shared" si="294"/>
        <v>0.20371199921924565</v>
      </c>
      <c r="AD1023" s="36">
        <f t="shared" si="304"/>
        <v>4.137390704142879</v>
      </c>
      <c r="AE1023" s="36"/>
      <c r="AF1023" s="36">
        <f>IFERROR(VLOOKUP(AE1023,'Chemical Cost'!A:D,4,0),0)</f>
        <v>0</v>
      </c>
      <c r="AG1023" s="114">
        <f t="shared" si="295"/>
        <v>0</v>
      </c>
      <c r="AH1023" s="36">
        <f t="shared" si="298"/>
        <v>0</v>
      </c>
      <c r="AI1023" s="36">
        <f t="shared" si="305"/>
        <v>6.1563300980822726</v>
      </c>
      <c r="AJ1023" s="36">
        <f>IFERROR(VLOOKUP(A1023,'All Products'!A:F,6,0),0)</f>
        <v>7.24</v>
      </c>
      <c r="AK1023" s="36">
        <f>AJ1023*Z1023*J1023</f>
        <v>7.24</v>
      </c>
      <c r="AL1023" s="23">
        <v>1</v>
      </c>
      <c r="AM1023" s="23"/>
      <c r="AN1023" s="54" t="e">
        <v>#N/A</v>
      </c>
      <c r="AO1023" s="47"/>
      <c r="AP1023" s="4">
        <v>1.6</v>
      </c>
      <c r="AQ1023" s="111">
        <f t="shared" si="296"/>
        <v>0.20371199921924565</v>
      </c>
      <c r="AR1023">
        <f>_xlfn.XLOOKUP(F1023,'RM Cost'!A:A,'RM Cost'!S:S)</f>
        <v>0</v>
      </c>
      <c r="AS1023" t="str">
        <f>_xlfn.XLOOKUP(A1023,[3]Sheet1!$B:$B,[3]Sheet1!$B:$B)</f>
        <v>Z203CS</v>
      </c>
      <c r="AT1023">
        <f>_xlfn.XLOOKUP(H1023,'Yield &amp; Time'!A:A,'Yield &amp; Time'!F:F)</f>
        <v>0</v>
      </c>
    </row>
    <row r="1024" spans="1:46" x14ac:dyDescent="0.25">
      <c r="A1024" s="2" t="s">
        <v>21</v>
      </c>
      <c r="B1024" s="2" t="s">
        <v>656</v>
      </c>
      <c r="C1024" s="2" t="s">
        <v>22</v>
      </c>
      <c r="D1024" s="2" t="s">
        <v>554</v>
      </c>
      <c r="E1024" s="2">
        <v>2.5</v>
      </c>
      <c r="F1024" s="1" t="str">
        <f>VLOOKUP(H1024,'RM Used'!A:B,2,0)</f>
        <v>P0008</v>
      </c>
      <c r="G1024" s="1" t="str">
        <f>IFERROR(VLOOKUP(F1024,'RM Cost'!A:B,2,0),"")</f>
        <v>PALE BLUE BAG 470X750MM</v>
      </c>
      <c r="H1024" s="2" t="s">
        <v>1323</v>
      </c>
      <c r="I1024" s="1" t="str">
        <f>VLOOKUP(F1024,'RM Used'!B:D,3,0)</f>
        <v>RM-PACKING</v>
      </c>
      <c r="J1024" s="66">
        <v>1</v>
      </c>
      <c r="K1024" s="35" t="str">
        <f t="shared" si="300"/>
        <v/>
      </c>
      <c r="L1024" s="35">
        <f t="shared" si="288"/>
        <v>0</v>
      </c>
      <c r="M1024" s="77" t="str" cm="1">
        <f t="array" ref="M1024">_xlfn.IFS(BOM!I1024="RM-PACKING","100%",B1024="Reynolds",VLOOKUP(H1024,'Yield &amp; Time'!A:V,22,0),BOM!B1024="Dnata",VLOOKUP(BOM!H1024,'Yield &amp; Time'!A:M,13,0),B1024="NK",VLOOKUP(H1024,'Yield &amp; Time'!A:X,24,0))</f>
        <v>100%</v>
      </c>
      <c r="N1024" s="35">
        <f t="shared" si="299"/>
        <v>1</v>
      </c>
      <c r="O1024" s="1" t="str">
        <f>VLOOKUP(H1024,'RM Used'!A:E,5,0)</f>
        <v>Count</v>
      </c>
      <c r="P1024" s="11">
        <f>VLOOKUP(H1024,'RM Used'!A:F,6,0)</f>
        <v>0.14000000000000001</v>
      </c>
      <c r="Q1024" s="11">
        <f t="shared" si="297"/>
        <v>0.14000000000000001</v>
      </c>
      <c r="R1024" s="11">
        <f>IFERROR(IF(B1024="Reynolds",VLOOKUP(H1024,'Yield &amp; Time'!A:U,21,0),VLOOKUP(H1024,'Yield &amp; Time'!A:L,12,0)),0)</f>
        <v>0</v>
      </c>
      <c r="S1024" s="11">
        <f t="shared" si="289"/>
        <v>0</v>
      </c>
      <c r="T1024" s="11">
        <f t="shared" si="290"/>
        <v>0</v>
      </c>
      <c r="U1024" s="11">
        <f>IF(A1023=A1024,0,VLOOKUP(A1024,'Packing Time'!A:F,6,0))</f>
        <v>0</v>
      </c>
      <c r="V1024" s="11">
        <f t="shared" si="301"/>
        <v>0</v>
      </c>
      <c r="W1024" s="11">
        <f t="shared" si="302"/>
        <v>0</v>
      </c>
      <c r="X1024" s="11">
        <f t="shared" si="291"/>
        <v>0</v>
      </c>
      <c r="Y1024" s="11">
        <f t="shared" si="303"/>
        <v>0</v>
      </c>
      <c r="Z1024" s="37">
        <v>1</v>
      </c>
      <c r="AA1024" s="36">
        <f t="shared" si="292"/>
        <v>1</v>
      </c>
      <c r="AB1024" s="36">
        <f t="shared" si="293"/>
        <v>0.14000000000000001</v>
      </c>
      <c r="AC1024" s="11">
        <f t="shared" si="294"/>
        <v>0</v>
      </c>
      <c r="AD1024" s="36">
        <f t="shared" si="304"/>
        <v>0</v>
      </c>
      <c r="AE1024" s="36"/>
      <c r="AF1024" s="36">
        <f>IFERROR(VLOOKUP(AE1024,'Chemical Cost'!A:D,4,0),0)</f>
        <v>0</v>
      </c>
      <c r="AG1024" s="114">
        <f t="shared" si="295"/>
        <v>0</v>
      </c>
      <c r="AH1024" s="36">
        <f t="shared" si="298"/>
        <v>0</v>
      </c>
      <c r="AI1024" s="36">
        <f t="shared" si="305"/>
        <v>0.14000000000000001</v>
      </c>
      <c r="AJ1024" s="36">
        <f>IFERROR(VLOOKUP(A1024,'All Products'!A:F,6,0),0)</f>
        <v>7.24</v>
      </c>
      <c r="AK1024" s="36"/>
      <c r="AL1024" s="23">
        <v>1</v>
      </c>
      <c r="AM1024" s="23"/>
      <c r="AN1024" s="54" t="e">
        <v>#N/A</v>
      </c>
      <c r="AO1024" s="47"/>
      <c r="AP1024" s="4">
        <v>1.6</v>
      </c>
      <c r="AQ1024" s="111">
        <f t="shared" si="296"/>
        <v>0</v>
      </c>
      <c r="AR1024">
        <f>_xlfn.XLOOKUP(F1024,'RM Cost'!A:A,'RM Cost'!S:S)</f>
        <v>0</v>
      </c>
      <c r="AS1024" t="str">
        <f>_xlfn.XLOOKUP(A1024,[3]Sheet1!$B:$B,[3]Sheet1!$B:$B)</f>
        <v>Z203CS</v>
      </c>
      <c r="AT1024" t="e">
        <f>_xlfn.XLOOKUP(H1024,'Yield &amp; Time'!A:A,'Yield &amp; Time'!F:F)</f>
        <v>#N/A</v>
      </c>
    </row>
    <row r="1025" spans="1:46" x14ac:dyDescent="0.25">
      <c r="A1025" s="2" t="s">
        <v>939</v>
      </c>
      <c r="B1025" s="2" t="s">
        <v>656</v>
      </c>
      <c r="C1025" s="2" t="s">
        <v>940</v>
      </c>
      <c r="D1025" s="2" t="s">
        <v>554</v>
      </c>
      <c r="E1025" s="2">
        <v>1</v>
      </c>
      <c r="F1025" s="1" t="str">
        <f>VLOOKUP(H1025,'RM Used'!A:B,2,0)</f>
        <v>3428CS</v>
      </c>
      <c r="G1025" s="1" t="str">
        <f>IFERROR(VLOOKUP(F1025,'RM Cost'!A:B,2,0),"")</f>
        <v/>
      </c>
      <c r="H1025" s="2" t="s">
        <v>1584</v>
      </c>
      <c r="I1025" s="1" t="str">
        <f>VLOOKUP(F1025,'RM Used'!B:D,3,0)</f>
        <v>RM-FOOD</v>
      </c>
      <c r="J1025" s="66">
        <v>1</v>
      </c>
      <c r="K1025" s="35">
        <f t="shared" si="300"/>
        <v>1</v>
      </c>
      <c r="L1025" s="35">
        <f t="shared" si="288"/>
        <v>1</v>
      </c>
      <c r="M1025" s="77" cm="1">
        <f t="array" ref="M1025">_xlfn.IFS(BOM!I1025="RM-PACKING","100%",B1025="Reynolds",VLOOKUP(H1025,'Yield &amp; Time'!A:V,22,0),BOM!B1025="Dnata",VLOOKUP(BOM!H1025,'Yield &amp; Time'!A:M,13,0),B1025="NK",VLOOKUP(H1025,'Yield &amp; Time'!A:X,24,0))</f>
        <v>0</v>
      </c>
      <c r="N1025" s="35">
        <f t="shared" si="299"/>
        <v>0</v>
      </c>
      <c r="O1025" s="1" t="str">
        <f>VLOOKUP(H1025,'RM Used'!A:E,5,0)</f>
        <v>KG</v>
      </c>
      <c r="P1025" s="11" t="e">
        <f>VLOOKUP(H1025,'RM Used'!A:F,6,0)</f>
        <v>#N/A</v>
      </c>
      <c r="Q1025" s="11" t="e">
        <f t="shared" si="297"/>
        <v>#N/A</v>
      </c>
      <c r="R1025" s="11">
        <f>IFERROR(IF(B1025="Reynolds",VLOOKUP(H1025,'Yield &amp; Time'!A:U,21,0),VLOOKUP(H1025,'Yield &amp; Time'!A:L,12,0)),0)</f>
        <v>0</v>
      </c>
      <c r="S1025" s="11">
        <f t="shared" si="289"/>
        <v>0</v>
      </c>
      <c r="T1025" s="11">
        <f t="shared" si="290"/>
        <v>0</v>
      </c>
      <c r="U1025" s="11">
        <f>IF(A1024=A1025,0,VLOOKUP(A1025,'Packing Time'!A:F,6,0))</f>
        <v>0.64166666666666661</v>
      </c>
      <c r="V1025" s="11">
        <f t="shared" si="301"/>
        <v>0.21720416666666661</v>
      </c>
      <c r="W1025" s="11">
        <f t="shared" si="302"/>
        <v>1.0694444444444444E-2</v>
      </c>
      <c r="X1025" s="11">
        <f t="shared" si="291"/>
        <v>0.34752666666666659</v>
      </c>
      <c r="Y1025" s="11">
        <f t="shared" si="303"/>
        <v>0.34752666666666659</v>
      </c>
      <c r="Z1025" s="37">
        <v>1</v>
      </c>
      <c r="AA1025" s="36">
        <f t="shared" si="292"/>
        <v>0</v>
      </c>
      <c r="AB1025" s="36" t="e">
        <f t="shared" si="293"/>
        <v>#N/A</v>
      </c>
      <c r="AC1025" s="11">
        <f t="shared" si="294"/>
        <v>1.7111111111111112E-2</v>
      </c>
      <c r="AD1025" s="36">
        <f t="shared" si="304"/>
        <v>0.34752666666666659</v>
      </c>
      <c r="AE1025" s="36"/>
      <c r="AF1025" s="36">
        <f>IFERROR(VLOOKUP(AE1025,'Chemical Cost'!A:D,4,0),0)</f>
        <v>0</v>
      </c>
      <c r="AG1025" s="114">
        <f t="shared" si="295"/>
        <v>0</v>
      </c>
      <c r="AH1025" s="36">
        <f t="shared" si="298"/>
        <v>0</v>
      </c>
      <c r="AI1025" s="36">
        <f t="shared" si="305"/>
        <v>0</v>
      </c>
      <c r="AJ1025" s="36">
        <f>IFERROR(VLOOKUP(A1025,'All Products'!A:F,6,0),0)</f>
        <v>4.25</v>
      </c>
      <c r="AK1025" s="36">
        <f>AJ1025*Z1025*J1025</f>
        <v>4.25</v>
      </c>
      <c r="AL1025" s="23">
        <v>1</v>
      </c>
      <c r="AM1025" s="23"/>
      <c r="AN1025" s="54" t="e">
        <v>#N/A</v>
      </c>
      <c r="AO1025" s="47"/>
      <c r="AP1025" s="4">
        <v>1.6</v>
      </c>
      <c r="AQ1025" s="111">
        <f t="shared" si="296"/>
        <v>1.7111111111111112E-2</v>
      </c>
      <c r="AR1025" t="e">
        <f>_xlfn.XLOOKUP(F1025,'RM Cost'!A:A,'RM Cost'!S:S)</f>
        <v>#N/A</v>
      </c>
      <c r="AS1025" t="e">
        <f>_xlfn.XLOOKUP(A1025,[3]Sheet1!$B:$B,[3]Sheet1!$B:$B)</f>
        <v>#N/A</v>
      </c>
    </row>
    <row r="1026" spans="1:46" x14ac:dyDescent="0.25">
      <c r="A1026" s="2" t="s">
        <v>939</v>
      </c>
      <c r="B1026" s="2" t="s">
        <v>656</v>
      </c>
      <c r="C1026" s="2" t="s">
        <v>940</v>
      </c>
      <c r="D1026" s="2" t="s">
        <v>554</v>
      </c>
      <c r="E1026" s="2">
        <v>1</v>
      </c>
      <c r="F1026" s="1" t="str">
        <f>VLOOKUP(H1026,'RM Used'!A:B,2,0)</f>
        <v>P0008</v>
      </c>
      <c r="G1026" s="1" t="str">
        <f>IFERROR(VLOOKUP(F1026,'RM Cost'!A:B,2,0),"")</f>
        <v>PALE BLUE BAG 470X750MM</v>
      </c>
      <c r="H1026" s="2" t="s">
        <v>1323</v>
      </c>
      <c r="I1026" s="1" t="str">
        <f>VLOOKUP(F1026,'RM Used'!B:D,3,0)</f>
        <v>RM-PACKING</v>
      </c>
      <c r="J1026" s="66">
        <v>1</v>
      </c>
      <c r="K1026" s="35" t="str">
        <f t="shared" si="300"/>
        <v/>
      </c>
      <c r="L1026" s="35">
        <f t="shared" ref="L1026:L1089" si="306">IFERROR(K1026*Z1026,0)</f>
        <v>0</v>
      </c>
      <c r="M1026" s="77" t="str" cm="1">
        <f t="array" ref="M1026">_xlfn.IFS(BOM!I1026="RM-PACKING","100%",B1026="Reynolds",VLOOKUP(H1026,'Yield &amp; Time'!A:V,22,0),BOM!B1026="Dnata",VLOOKUP(BOM!H1026,'Yield &amp; Time'!A:M,13,0),B1026="NK",VLOOKUP(H1026,'Yield &amp; Time'!A:X,24,0))</f>
        <v>100%</v>
      </c>
      <c r="N1026" s="35">
        <f t="shared" si="299"/>
        <v>1</v>
      </c>
      <c r="O1026" s="1" t="str">
        <f>VLOOKUP(H1026,'RM Used'!A:E,5,0)</f>
        <v>Count</v>
      </c>
      <c r="P1026" s="11">
        <f>VLOOKUP(H1026,'RM Used'!A:F,6,0)</f>
        <v>0.14000000000000001</v>
      </c>
      <c r="Q1026" s="11">
        <f t="shared" si="297"/>
        <v>0.14000000000000001</v>
      </c>
      <c r="R1026" s="11">
        <f>IFERROR(IF(B1026="Reynolds",VLOOKUP(H1026,'Yield &amp; Time'!A:U,21,0),VLOOKUP(H1026,'Yield &amp; Time'!A:L,12,0)),0)</f>
        <v>0</v>
      </c>
      <c r="S1026" s="11">
        <f t="shared" ref="S1026:S1089" si="307">R1026*J1026*E1026*AO$1</f>
        <v>0</v>
      </c>
      <c r="T1026" s="11">
        <f t="shared" ref="T1026:T1089" si="308">(R1026*Z1026*J1026*E1026)/60</f>
        <v>0</v>
      </c>
      <c r="U1026" s="11">
        <f>IF(A1025=A1026,0,VLOOKUP(A1026,'Packing Time'!A:F,6,0))</f>
        <v>0</v>
      </c>
      <c r="V1026" s="11">
        <f t="shared" si="301"/>
        <v>0</v>
      </c>
      <c r="W1026" s="11">
        <f t="shared" si="302"/>
        <v>0</v>
      </c>
      <c r="X1026" s="11">
        <f t="shared" ref="X1026:X1089" si="309">((R1026*J1026*E1026)+U1026)*AO$1*AP1026</f>
        <v>0</v>
      </c>
      <c r="Y1026" s="11">
        <f t="shared" si="303"/>
        <v>0</v>
      </c>
      <c r="Z1026" s="37">
        <v>1</v>
      </c>
      <c r="AA1026" s="36">
        <f t="shared" ref="AA1026:AA1089" si="310">Z1026*N1026</f>
        <v>1</v>
      </c>
      <c r="AB1026" s="36">
        <f t="shared" ref="AB1026:AB1089" si="311">AA1026*P1026</f>
        <v>0.14000000000000001</v>
      </c>
      <c r="AC1026" s="11">
        <f t="shared" ref="AC1026:AC1089" si="312">(((R1026*J1026*E1026)+U1026)/60)*Z1026*AP1026</f>
        <v>0</v>
      </c>
      <c r="AD1026" s="36">
        <f t="shared" si="304"/>
        <v>0</v>
      </c>
      <c r="AE1026" s="36"/>
      <c r="AF1026" s="36">
        <f>IFERROR(VLOOKUP(AE1026,'Chemical Cost'!A:D,4,0),0)</f>
        <v>0</v>
      </c>
      <c r="AG1026" s="114">
        <f t="shared" ref="AG1026:AG1089" si="313">AF1026*N1026/3</f>
        <v>0</v>
      </c>
      <c r="AH1026" s="36">
        <f t="shared" si="298"/>
        <v>0</v>
      </c>
      <c r="AI1026" s="36">
        <f t="shared" si="305"/>
        <v>0.14000000000000001</v>
      </c>
      <c r="AJ1026" s="36">
        <f>IFERROR(VLOOKUP(A1026,'All Products'!A:F,6,0),0)</f>
        <v>4.25</v>
      </c>
      <c r="AK1026" s="36"/>
      <c r="AL1026" s="23">
        <v>1</v>
      </c>
      <c r="AM1026" s="23"/>
      <c r="AN1026" s="54" t="e">
        <v>#N/A</v>
      </c>
      <c r="AO1026" s="47"/>
      <c r="AP1026" s="4">
        <v>1.6</v>
      </c>
      <c r="AQ1026" s="111">
        <f t="shared" ref="AQ1026:AQ1089" si="314">(((R1026*J1026*E1026)+U1026)/60)*AP1026</f>
        <v>0</v>
      </c>
      <c r="AR1026">
        <f>_xlfn.XLOOKUP(F1026,'RM Cost'!A:A,'RM Cost'!S:S)</f>
        <v>0</v>
      </c>
      <c r="AS1026" t="e">
        <f>_xlfn.XLOOKUP(A1026,[3]Sheet1!$B:$B,[3]Sheet1!$B:$B)</f>
        <v>#N/A</v>
      </c>
    </row>
    <row r="1027" spans="1:46" x14ac:dyDescent="0.25">
      <c r="A1027" s="2" t="s">
        <v>941</v>
      </c>
      <c r="B1027" s="2" t="s">
        <v>656</v>
      </c>
      <c r="C1027" s="2" t="s">
        <v>942</v>
      </c>
      <c r="D1027" s="2" t="s">
        <v>554</v>
      </c>
      <c r="E1027" s="2">
        <v>2.5</v>
      </c>
      <c r="F1027" s="1" t="str">
        <f>VLOOKUP(H1027,'RM Used'!A:B,2,0)</f>
        <v>3428CS</v>
      </c>
      <c r="G1027" s="1" t="str">
        <f>IFERROR(VLOOKUP(F1027,'RM Cost'!A:B,2,0),"")</f>
        <v/>
      </c>
      <c r="H1027" s="2" t="s">
        <v>1584</v>
      </c>
      <c r="I1027" s="1" t="str">
        <f>VLOOKUP(F1027,'RM Used'!B:D,3,0)</f>
        <v>RM-FOOD</v>
      </c>
      <c r="J1027" s="66">
        <v>1</v>
      </c>
      <c r="K1027" s="35">
        <f t="shared" si="300"/>
        <v>2.5</v>
      </c>
      <c r="L1027" s="35">
        <f t="shared" si="306"/>
        <v>2.5</v>
      </c>
      <c r="M1027" s="77" cm="1">
        <f t="array" ref="M1027">_xlfn.IFS(BOM!I1027="RM-PACKING","100%",B1027="Reynolds",VLOOKUP(H1027,'Yield &amp; Time'!A:V,22,0),BOM!B1027="Dnata",VLOOKUP(BOM!H1027,'Yield &amp; Time'!A:M,13,0),B1027="NK",VLOOKUP(H1027,'Yield &amp; Time'!A:X,24,0))</f>
        <v>0</v>
      </c>
      <c r="N1027" s="35">
        <f t="shared" si="299"/>
        <v>0</v>
      </c>
      <c r="O1027" s="1" t="str">
        <f>VLOOKUP(H1027,'RM Used'!A:E,5,0)</f>
        <v>KG</v>
      </c>
      <c r="P1027" s="11" t="e">
        <f>VLOOKUP(H1027,'RM Used'!A:F,6,0)</f>
        <v>#N/A</v>
      </c>
      <c r="Q1027" s="11" t="e">
        <f t="shared" ref="Q1027:Q1090" si="315">P1027*N1027</f>
        <v>#N/A</v>
      </c>
      <c r="R1027" s="11">
        <f>IFERROR(IF(B1027="Reynolds",VLOOKUP(H1027,'Yield &amp; Time'!A:U,21,0),VLOOKUP(H1027,'Yield &amp; Time'!A:L,12,0)),0)</f>
        <v>0</v>
      </c>
      <c r="S1027" s="11">
        <f t="shared" si="307"/>
        <v>0</v>
      </c>
      <c r="T1027" s="11">
        <f t="shared" si="308"/>
        <v>0</v>
      </c>
      <c r="U1027" s="11">
        <f>IF(A1026=A1027,0,VLOOKUP(A1027,'Packing Time'!A:F,6,0))</f>
        <v>0.875</v>
      </c>
      <c r="V1027" s="11">
        <f t="shared" si="301"/>
        <v>0.29618749999999999</v>
      </c>
      <c r="W1027" s="11">
        <f t="shared" si="302"/>
        <v>1.4583333333333334E-2</v>
      </c>
      <c r="X1027" s="11">
        <f t="shared" si="309"/>
        <v>0.47389999999999999</v>
      </c>
      <c r="Y1027" s="11">
        <f t="shared" si="303"/>
        <v>0.47389999999999999</v>
      </c>
      <c r="Z1027" s="37">
        <v>1</v>
      </c>
      <c r="AA1027" s="36">
        <f t="shared" si="310"/>
        <v>0</v>
      </c>
      <c r="AB1027" s="36" t="e">
        <f t="shared" si="311"/>
        <v>#N/A</v>
      </c>
      <c r="AC1027" s="11">
        <f t="shared" si="312"/>
        <v>2.3333333333333334E-2</v>
      </c>
      <c r="AD1027" s="36">
        <f t="shared" si="304"/>
        <v>0.47389999999999999</v>
      </c>
      <c r="AE1027" s="36"/>
      <c r="AF1027" s="36">
        <f>IFERROR(VLOOKUP(AE1027,'Chemical Cost'!A:D,4,0),0)</f>
        <v>0</v>
      </c>
      <c r="AG1027" s="114">
        <f t="shared" si="313"/>
        <v>0</v>
      </c>
      <c r="AH1027" s="36">
        <f t="shared" si="298"/>
        <v>0</v>
      </c>
      <c r="AI1027" s="36">
        <f t="shared" si="305"/>
        <v>0</v>
      </c>
      <c r="AJ1027" s="36">
        <f>IFERROR(VLOOKUP(A1027,'All Products'!A:F,6,0),0)</f>
        <v>10.61</v>
      </c>
      <c r="AK1027" s="36">
        <f>AJ1027*Z1027*J1027</f>
        <v>10.61</v>
      </c>
      <c r="AL1027" s="23">
        <v>1</v>
      </c>
      <c r="AM1027" s="23"/>
      <c r="AN1027" s="54" t="e">
        <v>#N/A</v>
      </c>
      <c r="AO1027" s="47"/>
      <c r="AP1027" s="4">
        <v>1.6</v>
      </c>
      <c r="AQ1027" s="111">
        <f t="shared" si="314"/>
        <v>2.3333333333333334E-2</v>
      </c>
      <c r="AR1027" t="e">
        <f>_xlfn.XLOOKUP(F1027,'RM Cost'!A:A,'RM Cost'!S:S)</f>
        <v>#N/A</v>
      </c>
      <c r="AS1027" t="e">
        <f>_xlfn.XLOOKUP(A1027,[3]Sheet1!$B:$B,[3]Sheet1!$B:$B)</f>
        <v>#N/A</v>
      </c>
    </row>
    <row r="1028" spans="1:46" x14ac:dyDescent="0.25">
      <c r="A1028" s="2" t="s">
        <v>941</v>
      </c>
      <c r="B1028" s="2" t="s">
        <v>656</v>
      </c>
      <c r="C1028" s="2" t="s">
        <v>942</v>
      </c>
      <c r="D1028" s="2" t="s">
        <v>554</v>
      </c>
      <c r="E1028" s="2">
        <v>2.5</v>
      </c>
      <c r="F1028" s="1" t="str">
        <f>VLOOKUP(H1028,'RM Used'!A:B,2,0)</f>
        <v>P0008</v>
      </c>
      <c r="G1028" s="1" t="str">
        <f>IFERROR(VLOOKUP(F1028,'RM Cost'!A:B,2,0),"")</f>
        <v>PALE BLUE BAG 470X750MM</v>
      </c>
      <c r="H1028" s="2" t="s">
        <v>1323</v>
      </c>
      <c r="I1028" s="1" t="str">
        <f>VLOOKUP(F1028,'RM Used'!B:D,3,0)</f>
        <v>RM-PACKING</v>
      </c>
      <c r="J1028" s="66">
        <v>1</v>
      </c>
      <c r="K1028" s="35" t="str">
        <f t="shared" si="300"/>
        <v/>
      </c>
      <c r="L1028" s="35">
        <f t="shared" si="306"/>
        <v>0</v>
      </c>
      <c r="M1028" s="77" t="str" cm="1">
        <f t="array" ref="M1028">_xlfn.IFS(BOM!I1028="RM-PACKING","100%",B1028="Reynolds",VLOOKUP(H1028,'Yield &amp; Time'!A:V,22,0),BOM!B1028="Dnata",VLOOKUP(BOM!H1028,'Yield &amp; Time'!A:M,13,0),B1028="NK",VLOOKUP(H1028,'Yield &amp; Time'!A:X,24,0))</f>
        <v>100%</v>
      </c>
      <c r="N1028" s="35">
        <f t="shared" si="299"/>
        <v>1</v>
      </c>
      <c r="O1028" s="1" t="str">
        <f>VLOOKUP(H1028,'RM Used'!A:E,5,0)</f>
        <v>Count</v>
      </c>
      <c r="P1028" s="11">
        <f>VLOOKUP(H1028,'RM Used'!A:F,6,0)</f>
        <v>0.14000000000000001</v>
      </c>
      <c r="Q1028" s="11">
        <f t="shared" si="315"/>
        <v>0.14000000000000001</v>
      </c>
      <c r="R1028" s="11">
        <f>IFERROR(IF(B1028="Reynolds",VLOOKUP(H1028,'Yield &amp; Time'!A:U,21,0),VLOOKUP(H1028,'Yield &amp; Time'!A:L,12,0)),0)</f>
        <v>0</v>
      </c>
      <c r="S1028" s="11">
        <f t="shared" si="307"/>
        <v>0</v>
      </c>
      <c r="T1028" s="11">
        <f t="shared" si="308"/>
        <v>0</v>
      </c>
      <c r="U1028" s="11">
        <f>IF(A1027=A1028,0,VLOOKUP(A1028,'Packing Time'!A:F,6,0))</f>
        <v>0</v>
      </c>
      <c r="V1028" s="11">
        <f t="shared" si="301"/>
        <v>0</v>
      </c>
      <c r="W1028" s="11">
        <f t="shared" si="302"/>
        <v>0</v>
      </c>
      <c r="X1028" s="11">
        <f t="shared" si="309"/>
        <v>0</v>
      </c>
      <c r="Y1028" s="11">
        <f t="shared" si="303"/>
        <v>0</v>
      </c>
      <c r="Z1028" s="37">
        <v>1</v>
      </c>
      <c r="AA1028" s="36">
        <f t="shared" si="310"/>
        <v>1</v>
      </c>
      <c r="AB1028" s="36">
        <f t="shared" si="311"/>
        <v>0.14000000000000001</v>
      </c>
      <c r="AC1028" s="11">
        <f t="shared" si="312"/>
        <v>0</v>
      </c>
      <c r="AD1028" s="36">
        <f t="shared" si="304"/>
        <v>0</v>
      </c>
      <c r="AE1028" s="36"/>
      <c r="AF1028" s="36">
        <f>IFERROR(VLOOKUP(AE1028,'Chemical Cost'!A:D,4,0),0)</f>
        <v>0</v>
      </c>
      <c r="AG1028" s="114">
        <f t="shared" si="313"/>
        <v>0</v>
      </c>
      <c r="AH1028" s="36">
        <f t="shared" si="298"/>
        <v>0</v>
      </c>
      <c r="AI1028" s="36">
        <f t="shared" si="305"/>
        <v>0.14000000000000001</v>
      </c>
      <c r="AJ1028" s="36">
        <f>IFERROR(VLOOKUP(A1028,'All Products'!A:F,6,0),0)</f>
        <v>10.61</v>
      </c>
      <c r="AK1028" s="36"/>
      <c r="AL1028" s="23">
        <v>1</v>
      </c>
      <c r="AM1028" s="23"/>
      <c r="AN1028" s="54" t="e">
        <v>#N/A</v>
      </c>
      <c r="AO1028" s="47"/>
      <c r="AP1028" s="4">
        <v>1.6</v>
      </c>
      <c r="AQ1028" s="111">
        <f t="shared" si="314"/>
        <v>0</v>
      </c>
      <c r="AR1028">
        <f>_xlfn.XLOOKUP(F1028,'RM Cost'!A:A,'RM Cost'!S:S)</f>
        <v>0</v>
      </c>
      <c r="AS1028" t="e">
        <f>_xlfn.XLOOKUP(A1028,[3]Sheet1!$B:$B,[3]Sheet1!$B:$B)</f>
        <v>#N/A</v>
      </c>
    </row>
    <row r="1029" spans="1:46" x14ac:dyDescent="0.25">
      <c r="A1029" s="2" t="s">
        <v>17</v>
      </c>
      <c r="B1029" s="2" t="s">
        <v>656</v>
      </c>
      <c r="C1029" s="2" t="s">
        <v>18</v>
      </c>
      <c r="D1029" s="2" t="s">
        <v>554</v>
      </c>
      <c r="E1029" s="2">
        <v>1</v>
      </c>
      <c r="F1029" s="1" t="str">
        <f>VLOOKUP(H1029,'RM Used'!A:B,2,0)</f>
        <v>3689CS</v>
      </c>
      <c r="G1029" s="1" t="str">
        <f>IFERROR(VLOOKUP(F1029,'RM Cost'!A:B,2,0),"")</f>
        <v>RM - BEEF TOMATO 1 X 7KG</v>
      </c>
      <c r="H1029" s="2" t="s">
        <v>1585</v>
      </c>
      <c r="I1029" s="1" t="str">
        <f>VLOOKUP(F1029,'RM Used'!B:D,3,0)</f>
        <v>RM-FOOD</v>
      </c>
      <c r="J1029" s="66">
        <v>1</v>
      </c>
      <c r="K1029" s="35">
        <f t="shared" si="300"/>
        <v>1</v>
      </c>
      <c r="L1029" s="35">
        <f t="shared" si="306"/>
        <v>1</v>
      </c>
      <c r="M1029" s="77" cm="1">
        <f t="array" ref="M1029">_xlfn.IFS(BOM!I1029="RM-PACKING","100%",B1029="Reynolds",VLOOKUP(H1029,'Yield &amp; Time'!A:V,22,0),BOM!B1029="Dnata",VLOOKUP(BOM!H1029,'Yield &amp; Time'!A:M,13,0),B1029="NK",VLOOKUP(H1029,'Yield &amp; Time'!A:X,24,0))</f>
        <v>0.44658227848101267</v>
      </c>
      <c r="N1029" s="35">
        <f t="shared" si="299"/>
        <v>2.2392290249433104</v>
      </c>
      <c r="O1029" s="1" t="str">
        <f>VLOOKUP(H1029,'RM Used'!A:E,5,0)</f>
        <v>KG</v>
      </c>
      <c r="P1029" s="11">
        <f>VLOOKUP(H1029,'RM Used'!A:F,6,0)</f>
        <v>1.32</v>
      </c>
      <c r="Q1029" s="11">
        <f t="shared" si="315"/>
        <v>2.9557823129251699</v>
      </c>
      <c r="R1029" s="11">
        <f>IFERROR(IF(B1029="Reynolds",VLOOKUP(H1029,'Yield &amp; Time'!A:U,21,0),VLOOKUP(H1029,'Yield &amp; Time'!A:L,12,0)),0)</f>
        <v>6.1173469387755102</v>
      </c>
      <c r="S1029" s="11">
        <f t="shared" si="307"/>
        <v>2.07072193877551</v>
      </c>
      <c r="T1029" s="11">
        <f t="shared" si="308"/>
        <v>0.10195578231292517</v>
      </c>
      <c r="U1029" s="11">
        <f>IF(A1028=A1029,0,VLOOKUP(A1029,'Packing Time'!A:F,6,0))</f>
        <v>0.64166666666666661</v>
      </c>
      <c r="V1029" s="11">
        <f t="shared" si="301"/>
        <v>0.21720416666666661</v>
      </c>
      <c r="W1029" s="11">
        <f t="shared" si="302"/>
        <v>1.0694444444444444E-2</v>
      </c>
      <c r="X1029" s="11">
        <f t="shared" si="309"/>
        <v>3.6606817687074824</v>
      </c>
      <c r="Y1029" s="11">
        <f t="shared" si="303"/>
        <v>3.6606817687074824</v>
      </c>
      <c r="Z1029" s="37">
        <v>1</v>
      </c>
      <c r="AA1029" s="36">
        <f t="shared" si="310"/>
        <v>2.2392290249433104</v>
      </c>
      <c r="AB1029" s="36">
        <f t="shared" si="311"/>
        <v>2.9557823129251699</v>
      </c>
      <c r="AC1029" s="11">
        <f t="shared" si="312"/>
        <v>0.1802403628117914</v>
      </c>
      <c r="AD1029" s="36">
        <f t="shared" si="304"/>
        <v>3.6606817687074833</v>
      </c>
      <c r="AE1029" s="36" t="str">
        <f>VLOOKUP(H1029,'Yield &amp; Time'!A:I,9,0)</f>
        <v>CHLORINE</v>
      </c>
      <c r="AF1029" s="36">
        <f>IFERROR(VLOOKUP(AE1029,'Chemical Cost'!A:D,4,0),0)</f>
        <v>2.7756518066439469E-2</v>
      </c>
      <c r="AG1029" s="114">
        <f t="shared" si="313"/>
        <v>2.0717733628578209E-2</v>
      </c>
      <c r="AH1029" s="36">
        <f t="shared" si="298"/>
        <v>2.0717733628578209E-2</v>
      </c>
      <c r="AI1029" s="36">
        <f t="shared" si="305"/>
        <v>6.637181815261231</v>
      </c>
      <c r="AJ1029" s="36">
        <f>IFERROR(VLOOKUP(A1029,'All Products'!A:F,6,0),0)</f>
        <v>6.6</v>
      </c>
      <c r="AK1029" s="36">
        <f>AJ1029*Z1029*J1029</f>
        <v>6.6</v>
      </c>
      <c r="AL1029" s="23">
        <v>0.8</v>
      </c>
      <c r="AM1029" s="23">
        <v>0.2</v>
      </c>
      <c r="AN1029" s="54" t="e">
        <v>#N/A</v>
      </c>
      <c r="AO1029" s="47"/>
      <c r="AP1029" s="4">
        <v>1.6</v>
      </c>
      <c r="AQ1029" s="111">
        <f t="shared" si="314"/>
        <v>0.1802403628117914</v>
      </c>
      <c r="AR1029">
        <f>_xlfn.XLOOKUP(F1029,'RM Cost'!A:A,'RM Cost'!S:S)</f>
        <v>0</v>
      </c>
      <c r="AS1029" t="str">
        <f>_xlfn.XLOOKUP(A1029,[3]Sheet1!$B:$B,[3]Sheet1!$B:$B)</f>
        <v>Z115CS</v>
      </c>
      <c r="AT1029">
        <f>_xlfn.XLOOKUP(H1029,'Yield &amp; Time'!A:A,'Yield &amp; Time'!F:F)</f>
        <v>0</v>
      </c>
    </row>
    <row r="1030" spans="1:46" x14ac:dyDescent="0.25">
      <c r="A1030" s="2" t="s">
        <v>17</v>
      </c>
      <c r="B1030" s="2" t="s">
        <v>656</v>
      </c>
      <c r="C1030" s="2" t="s">
        <v>18</v>
      </c>
      <c r="D1030" s="2" t="s">
        <v>554</v>
      </c>
      <c r="E1030" s="2">
        <v>1</v>
      </c>
      <c r="F1030" s="1" t="str">
        <f>VLOOKUP(H1030,'RM Used'!A:B,2,0)</f>
        <v>P0008</v>
      </c>
      <c r="G1030" s="1" t="str">
        <f>IFERROR(VLOOKUP(F1030,'RM Cost'!A:B,2,0),"")</f>
        <v>PALE BLUE BAG 470X750MM</v>
      </c>
      <c r="H1030" s="2" t="s">
        <v>1323</v>
      </c>
      <c r="I1030" s="1" t="str">
        <f>VLOOKUP(F1030,'RM Used'!B:D,3,0)</f>
        <v>RM-PACKING</v>
      </c>
      <c r="J1030" s="66">
        <v>1</v>
      </c>
      <c r="K1030" s="35" t="str">
        <f t="shared" si="300"/>
        <v/>
      </c>
      <c r="L1030" s="35">
        <f t="shared" si="306"/>
        <v>0</v>
      </c>
      <c r="M1030" s="77" t="str" cm="1">
        <f t="array" ref="M1030">_xlfn.IFS(BOM!I1030="RM-PACKING","100%",B1030="Reynolds",VLOOKUP(H1030,'Yield &amp; Time'!A:V,22,0),BOM!B1030="Dnata",VLOOKUP(BOM!H1030,'Yield &amp; Time'!A:M,13,0),B1030="NK",VLOOKUP(H1030,'Yield &amp; Time'!A:X,24,0))</f>
        <v>100%</v>
      </c>
      <c r="N1030" s="35">
        <f t="shared" si="299"/>
        <v>1</v>
      </c>
      <c r="O1030" s="1" t="str">
        <f>VLOOKUP(H1030,'RM Used'!A:E,5,0)</f>
        <v>Count</v>
      </c>
      <c r="P1030" s="11">
        <f>VLOOKUP(H1030,'RM Used'!A:F,6,0)</f>
        <v>0.14000000000000001</v>
      </c>
      <c r="Q1030" s="11">
        <f t="shared" si="315"/>
        <v>0.14000000000000001</v>
      </c>
      <c r="R1030" s="11">
        <f>IFERROR(IF(B1030="Reynolds",VLOOKUP(H1030,'Yield &amp; Time'!A:U,21,0),VLOOKUP(H1030,'Yield &amp; Time'!A:L,12,0)),0)</f>
        <v>0</v>
      </c>
      <c r="S1030" s="11">
        <f t="shared" si="307"/>
        <v>0</v>
      </c>
      <c r="T1030" s="11">
        <f t="shared" si="308"/>
        <v>0</v>
      </c>
      <c r="U1030" s="11">
        <f>IF(A1029=A1030,0,VLOOKUP(A1030,'Packing Time'!A:F,6,0))</f>
        <v>0</v>
      </c>
      <c r="V1030" s="11">
        <f t="shared" si="301"/>
        <v>0</v>
      </c>
      <c r="W1030" s="11">
        <f t="shared" si="302"/>
        <v>0</v>
      </c>
      <c r="X1030" s="11">
        <f t="shared" si="309"/>
        <v>0</v>
      </c>
      <c r="Y1030" s="11">
        <f t="shared" si="303"/>
        <v>0</v>
      </c>
      <c r="Z1030" s="37">
        <v>1</v>
      </c>
      <c r="AA1030" s="36">
        <f t="shared" si="310"/>
        <v>1</v>
      </c>
      <c r="AB1030" s="36">
        <f t="shared" si="311"/>
        <v>0.14000000000000001</v>
      </c>
      <c r="AC1030" s="11">
        <f t="shared" si="312"/>
        <v>0</v>
      </c>
      <c r="AD1030" s="36">
        <f t="shared" si="304"/>
        <v>0</v>
      </c>
      <c r="AE1030" s="36"/>
      <c r="AF1030" s="36">
        <f>IFERROR(VLOOKUP(AE1030,'Chemical Cost'!A:D,4,0),0)</f>
        <v>0</v>
      </c>
      <c r="AG1030" s="114">
        <f t="shared" si="313"/>
        <v>0</v>
      </c>
      <c r="AH1030" s="36">
        <f t="shared" si="298"/>
        <v>0</v>
      </c>
      <c r="AI1030" s="36">
        <f t="shared" si="305"/>
        <v>0.14000000000000001</v>
      </c>
      <c r="AJ1030" s="36">
        <f>IFERROR(VLOOKUP(A1030,'All Products'!A:F,6,0),0)</f>
        <v>6.6</v>
      </c>
      <c r="AK1030" s="36"/>
      <c r="AL1030" s="23">
        <v>0.8</v>
      </c>
      <c r="AM1030" s="23">
        <v>0.2</v>
      </c>
      <c r="AN1030" s="54" t="e">
        <v>#N/A</v>
      </c>
      <c r="AO1030" s="47"/>
      <c r="AP1030" s="4">
        <v>1.6</v>
      </c>
      <c r="AQ1030" s="111">
        <f t="shared" si="314"/>
        <v>0</v>
      </c>
      <c r="AR1030">
        <f>_xlfn.XLOOKUP(F1030,'RM Cost'!A:A,'RM Cost'!S:S)</f>
        <v>0</v>
      </c>
      <c r="AS1030" t="str">
        <f>_xlfn.XLOOKUP(A1030,[3]Sheet1!$B:$B,[3]Sheet1!$B:$B)</f>
        <v>Z115CS</v>
      </c>
      <c r="AT1030" t="e">
        <f>_xlfn.XLOOKUP(H1030,'Yield &amp; Time'!A:A,'Yield &amp; Time'!F:F)</f>
        <v>#N/A</v>
      </c>
    </row>
    <row r="1031" spans="1:46" x14ac:dyDescent="0.25">
      <c r="A1031" s="2" t="s">
        <v>517</v>
      </c>
      <c r="B1031" s="2" t="s">
        <v>656</v>
      </c>
      <c r="C1031" s="2" t="s">
        <v>518</v>
      </c>
      <c r="D1031" s="2" t="s">
        <v>554</v>
      </c>
      <c r="E1031" s="2">
        <v>2.5</v>
      </c>
      <c r="F1031" s="1" t="str">
        <f>VLOOKUP(H1031,'RM Used'!A:B,2,0)</f>
        <v>3689CS</v>
      </c>
      <c r="G1031" s="1" t="str">
        <f>IFERROR(VLOOKUP(F1031,'RM Cost'!A:B,2,0),"")</f>
        <v>RM - BEEF TOMATO 1 X 7KG</v>
      </c>
      <c r="H1031" s="2" t="s">
        <v>1585</v>
      </c>
      <c r="I1031" s="1" t="str">
        <f>VLOOKUP(F1031,'RM Used'!B:D,3,0)</f>
        <v>RM-FOOD</v>
      </c>
      <c r="J1031" s="66">
        <v>1</v>
      </c>
      <c r="K1031" s="35">
        <f t="shared" si="300"/>
        <v>2.5</v>
      </c>
      <c r="L1031" s="35">
        <f t="shared" si="306"/>
        <v>2.5</v>
      </c>
      <c r="M1031" s="77" cm="1">
        <f t="array" ref="M1031">_xlfn.IFS(BOM!I1031="RM-PACKING","100%",B1031="Reynolds",VLOOKUP(H1031,'Yield &amp; Time'!A:V,22,0),BOM!B1031="Dnata",VLOOKUP(BOM!H1031,'Yield &amp; Time'!A:M,13,0),B1031="NK",VLOOKUP(H1031,'Yield &amp; Time'!A:X,24,0))</f>
        <v>0.44658227848101267</v>
      </c>
      <c r="N1031" s="35">
        <f t="shared" si="299"/>
        <v>5.5980725623582765</v>
      </c>
      <c r="O1031" s="1" t="str">
        <f>VLOOKUP(H1031,'RM Used'!A:E,5,0)</f>
        <v>KG</v>
      </c>
      <c r="P1031" s="11">
        <f>VLOOKUP(H1031,'RM Used'!A:F,6,0)</f>
        <v>1.32</v>
      </c>
      <c r="Q1031" s="11">
        <f t="shared" si="315"/>
        <v>7.3894557823129254</v>
      </c>
      <c r="R1031" s="11">
        <f>IFERROR(IF(B1031="Reynolds",VLOOKUP(H1031,'Yield &amp; Time'!A:U,21,0),VLOOKUP(H1031,'Yield &amp; Time'!A:L,12,0)),0)</f>
        <v>6.1173469387755102</v>
      </c>
      <c r="S1031" s="11">
        <f t="shared" si="307"/>
        <v>5.1768048469387749</v>
      </c>
      <c r="T1031" s="11">
        <f t="shared" si="308"/>
        <v>0.25488945578231292</v>
      </c>
      <c r="U1031" s="11">
        <f>IF(A1030=A1031,0,VLOOKUP(A1031,'Packing Time'!A:F,6,0))</f>
        <v>0.875</v>
      </c>
      <c r="V1031" s="11">
        <f t="shared" si="301"/>
        <v>0.29618749999999999</v>
      </c>
      <c r="W1031" s="11">
        <f t="shared" si="302"/>
        <v>1.4583333333333334E-2</v>
      </c>
      <c r="X1031" s="11">
        <f t="shared" si="309"/>
        <v>8.7567877551020405</v>
      </c>
      <c r="Y1031" s="11">
        <f t="shared" si="303"/>
        <v>8.7567877551020405</v>
      </c>
      <c r="Z1031" s="37">
        <v>1</v>
      </c>
      <c r="AA1031" s="36">
        <f t="shared" si="310"/>
        <v>5.5980725623582765</v>
      </c>
      <c r="AB1031" s="36">
        <f t="shared" si="311"/>
        <v>7.3894557823129254</v>
      </c>
      <c r="AC1031" s="11">
        <f t="shared" si="312"/>
        <v>0.43115646258503404</v>
      </c>
      <c r="AD1031" s="36">
        <f t="shared" si="304"/>
        <v>8.7567877551020405</v>
      </c>
      <c r="AE1031" s="36" t="str">
        <f>VLOOKUP(H1031,'Yield &amp; Time'!A:I,9,0)</f>
        <v>CHLORINE</v>
      </c>
      <c r="AF1031" s="36">
        <f>IFERROR(VLOOKUP(AE1031,'Chemical Cost'!A:D,4,0),0)</f>
        <v>2.7756518066439469E-2</v>
      </c>
      <c r="AG1031" s="114">
        <f t="shared" si="313"/>
        <v>5.1794334071445534E-2</v>
      </c>
      <c r="AH1031" s="36">
        <f t="shared" si="298"/>
        <v>5.1794334071445534E-2</v>
      </c>
      <c r="AI1031" s="36">
        <f t="shared" si="305"/>
        <v>16.198037871486413</v>
      </c>
      <c r="AJ1031" s="36">
        <f>IFERROR(VLOOKUP(A1031,'All Products'!A:F,6,0),0)</f>
        <v>16.489999999999998</v>
      </c>
      <c r="AK1031" s="36">
        <f>AJ1031*Z1031*J1031</f>
        <v>16.489999999999998</v>
      </c>
      <c r="AL1031" s="23">
        <v>0.8</v>
      </c>
      <c r="AM1031" s="23">
        <v>0.2</v>
      </c>
      <c r="AN1031" s="54" t="e">
        <v>#N/A</v>
      </c>
      <c r="AO1031" s="47"/>
      <c r="AP1031" s="4">
        <v>1.6</v>
      </c>
      <c r="AQ1031" s="111">
        <f t="shared" si="314"/>
        <v>0.43115646258503404</v>
      </c>
      <c r="AR1031">
        <f>_xlfn.XLOOKUP(F1031,'RM Cost'!A:A,'RM Cost'!S:S)</f>
        <v>0</v>
      </c>
      <c r="AS1031" t="str">
        <f>_xlfn.XLOOKUP(A1031,[3]Sheet1!$B:$B,[3]Sheet1!$B:$B)</f>
        <v>Z114CS</v>
      </c>
      <c r="AT1031">
        <f>_xlfn.XLOOKUP(H1031,'Yield &amp; Time'!A:A,'Yield &amp; Time'!F:F)</f>
        <v>0</v>
      </c>
    </row>
    <row r="1032" spans="1:46" x14ac:dyDescent="0.25">
      <c r="A1032" s="2" t="s">
        <v>517</v>
      </c>
      <c r="B1032" s="2" t="s">
        <v>656</v>
      </c>
      <c r="C1032" s="2" t="s">
        <v>518</v>
      </c>
      <c r="D1032" s="2" t="s">
        <v>554</v>
      </c>
      <c r="E1032" s="2">
        <v>2.5</v>
      </c>
      <c r="F1032" s="1" t="str">
        <f>VLOOKUP(H1032,'RM Used'!A:B,2,0)</f>
        <v>P0008</v>
      </c>
      <c r="G1032" s="1" t="str">
        <f>IFERROR(VLOOKUP(F1032,'RM Cost'!A:B,2,0),"")</f>
        <v>PALE BLUE BAG 470X750MM</v>
      </c>
      <c r="H1032" s="2" t="s">
        <v>1323</v>
      </c>
      <c r="I1032" s="1" t="str">
        <f>VLOOKUP(F1032,'RM Used'!B:D,3,0)</f>
        <v>RM-PACKING</v>
      </c>
      <c r="J1032" s="66">
        <v>1</v>
      </c>
      <c r="K1032" s="35" t="str">
        <f t="shared" si="300"/>
        <v/>
      </c>
      <c r="L1032" s="35">
        <f t="shared" si="306"/>
        <v>0</v>
      </c>
      <c r="M1032" s="77" t="str" cm="1">
        <f t="array" ref="M1032">_xlfn.IFS(BOM!I1032="RM-PACKING","100%",B1032="Reynolds",VLOOKUP(H1032,'Yield &amp; Time'!A:V,22,0),BOM!B1032="Dnata",VLOOKUP(BOM!H1032,'Yield &amp; Time'!A:M,13,0),B1032="NK",VLOOKUP(H1032,'Yield &amp; Time'!A:X,24,0))</f>
        <v>100%</v>
      </c>
      <c r="N1032" s="35">
        <f t="shared" si="299"/>
        <v>1</v>
      </c>
      <c r="O1032" s="1" t="str">
        <f>VLOOKUP(H1032,'RM Used'!A:E,5,0)</f>
        <v>Count</v>
      </c>
      <c r="P1032" s="11">
        <f>VLOOKUP(H1032,'RM Used'!A:F,6,0)</f>
        <v>0.14000000000000001</v>
      </c>
      <c r="Q1032" s="11">
        <f t="shared" si="315"/>
        <v>0.14000000000000001</v>
      </c>
      <c r="R1032" s="11">
        <f>IFERROR(IF(B1032="Reynolds",VLOOKUP(H1032,'Yield &amp; Time'!A:U,21,0),VLOOKUP(H1032,'Yield &amp; Time'!A:L,12,0)),0)</f>
        <v>0</v>
      </c>
      <c r="S1032" s="11">
        <f t="shared" si="307"/>
        <v>0</v>
      </c>
      <c r="T1032" s="11">
        <f t="shared" si="308"/>
        <v>0</v>
      </c>
      <c r="U1032" s="11">
        <f>IF(A1031=A1032,0,VLOOKUP(A1032,'Packing Time'!A:F,6,0))</f>
        <v>0</v>
      </c>
      <c r="V1032" s="11">
        <f t="shared" si="301"/>
        <v>0</v>
      </c>
      <c r="W1032" s="11">
        <f t="shared" si="302"/>
        <v>0</v>
      </c>
      <c r="X1032" s="11">
        <f t="shared" si="309"/>
        <v>0</v>
      </c>
      <c r="Y1032" s="11">
        <f t="shared" si="303"/>
        <v>0</v>
      </c>
      <c r="Z1032" s="37">
        <v>1</v>
      </c>
      <c r="AA1032" s="36">
        <f t="shared" si="310"/>
        <v>1</v>
      </c>
      <c r="AB1032" s="36">
        <f t="shared" si="311"/>
        <v>0.14000000000000001</v>
      </c>
      <c r="AC1032" s="11">
        <f t="shared" si="312"/>
        <v>0</v>
      </c>
      <c r="AD1032" s="36">
        <f t="shared" si="304"/>
        <v>0</v>
      </c>
      <c r="AE1032" s="36"/>
      <c r="AF1032" s="36">
        <f>IFERROR(VLOOKUP(AE1032,'Chemical Cost'!A:D,4,0),0)</f>
        <v>0</v>
      </c>
      <c r="AG1032" s="114">
        <f t="shared" si="313"/>
        <v>0</v>
      </c>
      <c r="AH1032" s="36">
        <f t="shared" si="298"/>
        <v>0</v>
      </c>
      <c r="AI1032" s="36">
        <f t="shared" si="305"/>
        <v>0.14000000000000001</v>
      </c>
      <c r="AJ1032" s="36">
        <f>IFERROR(VLOOKUP(A1032,'All Products'!A:F,6,0),0)</f>
        <v>16.489999999999998</v>
      </c>
      <c r="AK1032" s="36"/>
      <c r="AL1032" s="23">
        <v>0.8</v>
      </c>
      <c r="AM1032" s="23">
        <v>0.2</v>
      </c>
      <c r="AN1032" s="54" t="e">
        <v>#N/A</v>
      </c>
      <c r="AO1032" s="47"/>
      <c r="AP1032" s="4">
        <v>1.6</v>
      </c>
      <c r="AQ1032" s="111">
        <f t="shared" si="314"/>
        <v>0</v>
      </c>
      <c r="AR1032">
        <f>_xlfn.XLOOKUP(F1032,'RM Cost'!A:A,'RM Cost'!S:S)</f>
        <v>0</v>
      </c>
      <c r="AS1032" t="str">
        <f>_xlfn.XLOOKUP(A1032,[3]Sheet1!$B:$B,[3]Sheet1!$B:$B)</f>
        <v>Z114CS</v>
      </c>
      <c r="AT1032" t="e">
        <f>_xlfn.XLOOKUP(H1032,'Yield &amp; Time'!A:A,'Yield &amp; Time'!F:F)</f>
        <v>#N/A</v>
      </c>
    </row>
    <row r="1033" spans="1:46" x14ac:dyDescent="0.25">
      <c r="A1033" s="2" t="s">
        <v>15</v>
      </c>
      <c r="B1033" s="2" t="s">
        <v>656</v>
      </c>
      <c r="C1033" s="2" t="s">
        <v>16</v>
      </c>
      <c r="D1033" s="2" t="s">
        <v>554</v>
      </c>
      <c r="E1033" s="2">
        <v>1</v>
      </c>
      <c r="F1033" s="1" t="str">
        <f>VLOOKUP(H1033,'RM Used'!A:B,2,0)</f>
        <v>3689CS</v>
      </c>
      <c r="G1033" s="1" t="str">
        <f>IFERROR(VLOOKUP(F1033,'RM Cost'!A:B,2,0),"")</f>
        <v>RM - BEEF TOMATO 1 X 7KG</v>
      </c>
      <c r="H1033" s="2" t="s">
        <v>1586</v>
      </c>
      <c r="I1033" s="1" t="str">
        <f>VLOOKUP(F1033,'RM Used'!B:D,3,0)</f>
        <v>RM-FOOD</v>
      </c>
      <c r="J1033" s="66">
        <v>1</v>
      </c>
      <c r="K1033" s="35">
        <f t="shared" si="300"/>
        <v>1</v>
      </c>
      <c r="L1033" s="35">
        <f t="shared" si="306"/>
        <v>1</v>
      </c>
      <c r="M1033" s="77" cm="1">
        <f t="array" ref="M1033">_xlfn.IFS(BOM!I1033="RM-PACKING","100%",B1033="Reynolds",VLOOKUP(H1033,'Yield &amp; Time'!A:V,22,0),BOM!B1033="Dnata",VLOOKUP(BOM!H1033,'Yield &amp; Time'!A:M,13,0),B1033="NK",VLOOKUP(H1033,'Yield &amp; Time'!A:X,24,0))</f>
        <v>0.50835021097046418</v>
      </c>
      <c r="N1033" s="35">
        <f t="shared" si="299"/>
        <v>1.9671478016915809</v>
      </c>
      <c r="O1033" s="1" t="str">
        <f>VLOOKUP(H1033,'RM Used'!A:E,5,0)</f>
        <v>KG</v>
      </c>
      <c r="P1033" s="11">
        <f>VLOOKUP(H1033,'RM Used'!A:F,6,0)</f>
        <v>1.32</v>
      </c>
      <c r="Q1033" s="11">
        <f t="shared" si="315"/>
        <v>2.5966350982328867</v>
      </c>
      <c r="R1033" s="11">
        <f>IFERROR(IF(B1033="Reynolds",VLOOKUP(H1033,'Yield &amp; Time'!A:U,21,0),VLOOKUP(H1033,'Yield &amp; Time'!A:L,12,0)),0)</f>
        <v>5.1063096749917678</v>
      </c>
      <c r="S1033" s="11">
        <f t="shared" si="307"/>
        <v>1.7284858249847133</v>
      </c>
      <c r="T1033" s="11">
        <f t="shared" si="308"/>
        <v>8.5105161249862796E-2</v>
      </c>
      <c r="U1033" s="11">
        <f>IF(A1032=A1033,0,VLOOKUP(A1033,'Packing Time'!A:F,6,0))</f>
        <v>0.64166666666666661</v>
      </c>
      <c r="V1033" s="11">
        <f t="shared" si="301"/>
        <v>0.21720416666666661</v>
      </c>
      <c r="W1033" s="11">
        <f t="shared" si="302"/>
        <v>1.0694444444444444E-2</v>
      </c>
      <c r="X1033" s="11">
        <f t="shared" si="309"/>
        <v>3.1131039866422081</v>
      </c>
      <c r="Y1033" s="11">
        <f t="shared" si="303"/>
        <v>3.1131039866422081</v>
      </c>
      <c r="Z1033" s="37">
        <v>1</v>
      </c>
      <c r="AA1033" s="36">
        <f t="shared" si="310"/>
        <v>1.9671478016915809</v>
      </c>
      <c r="AB1033" s="36">
        <f t="shared" si="311"/>
        <v>2.5966350982328867</v>
      </c>
      <c r="AC1033" s="11">
        <f t="shared" si="312"/>
        <v>0.1532793691108916</v>
      </c>
      <c r="AD1033" s="36">
        <f t="shared" si="304"/>
        <v>3.1131039866422081</v>
      </c>
      <c r="AE1033" s="36" t="str">
        <f>VLOOKUP(H1033,'Yield &amp; Time'!A:I,9,0)</f>
        <v>CHLORINE</v>
      </c>
      <c r="AF1033" s="36">
        <f>IFERROR(VLOOKUP(AE1033,'Chemical Cost'!A:D,4,0),0)</f>
        <v>2.7756518066439469E-2</v>
      </c>
      <c r="AG1033" s="114">
        <f t="shared" si="313"/>
        <v>1.8200391165669683E-2</v>
      </c>
      <c r="AH1033" s="36">
        <f t="shared" si="298"/>
        <v>1.8200391165669683E-2</v>
      </c>
      <c r="AI1033" s="36">
        <f t="shared" si="305"/>
        <v>5.7279394760407643</v>
      </c>
      <c r="AJ1033" s="36">
        <f>IFERROR(VLOOKUP(A1033,'All Products'!A:F,6,0),0)</f>
        <v>7.93</v>
      </c>
      <c r="AK1033" s="36">
        <f>AJ1033*Z1033*J1033</f>
        <v>7.93</v>
      </c>
      <c r="AL1033" s="23">
        <v>0.8</v>
      </c>
      <c r="AM1033" s="23">
        <v>0.2</v>
      </c>
      <c r="AN1033" s="54" t="e">
        <v>#N/A</v>
      </c>
      <c r="AO1033" s="47"/>
      <c r="AP1033" s="4">
        <v>1.6</v>
      </c>
      <c r="AQ1033" s="111">
        <f t="shared" si="314"/>
        <v>0.1532793691108916</v>
      </c>
      <c r="AR1033">
        <f>_xlfn.XLOOKUP(F1033,'RM Cost'!A:A,'RM Cost'!S:S)</f>
        <v>0</v>
      </c>
      <c r="AS1033" t="str">
        <f>_xlfn.XLOOKUP(A1033,[3]Sheet1!$B:$B,[3]Sheet1!$B:$B)</f>
        <v>Z113CS</v>
      </c>
      <c r="AT1033">
        <f>_xlfn.XLOOKUP(H1033,'Yield &amp; Time'!A:A,'Yield &amp; Time'!F:F)</f>
        <v>0</v>
      </c>
    </row>
    <row r="1034" spans="1:46" x14ac:dyDescent="0.25">
      <c r="A1034" s="2" t="s">
        <v>15</v>
      </c>
      <c r="B1034" s="2" t="s">
        <v>656</v>
      </c>
      <c r="C1034" s="2" t="s">
        <v>16</v>
      </c>
      <c r="D1034" s="2" t="s">
        <v>554</v>
      </c>
      <c r="E1034" s="2">
        <v>1</v>
      </c>
      <c r="F1034" s="1" t="str">
        <f>VLOOKUP(H1034,'RM Used'!A:B,2,0)</f>
        <v>P0008</v>
      </c>
      <c r="G1034" s="1" t="str">
        <f>IFERROR(VLOOKUP(F1034,'RM Cost'!A:B,2,0),"")</f>
        <v>PALE BLUE BAG 470X750MM</v>
      </c>
      <c r="H1034" s="2" t="s">
        <v>1323</v>
      </c>
      <c r="I1034" s="1" t="str">
        <f>VLOOKUP(F1034,'RM Used'!B:D,3,0)</f>
        <v>RM-PACKING</v>
      </c>
      <c r="J1034" s="66">
        <v>1</v>
      </c>
      <c r="K1034" s="35" t="str">
        <f t="shared" si="300"/>
        <v/>
      </c>
      <c r="L1034" s="35">
        <f t="shared" si="306"/>
        <v>0</v>
      </c>
      <c r="M1034" s="77" t="str" cm="1">
        <f t="array" ref="M1034">_xlfn.IFS(BOM!I1034="RM-PACKING","100%",B1034="Reynolds",VLOOKUP(H1034,'Yield &amp; Time'!A:V,22,0),BOM!B1034="Dnata",VLOOKUP(BOM!H1034,'Yield &amp; Time'!A:M,13,0),B1034="NK",VLOOKUP(H1034,'Yield &amp; Time'!A:X,24,0))</f>
        <v>100%</v>
      </c>
      <c r="N1034" s="35">
        <f t="shared" si="299"/>
        <v>1</v>
      </c>
      <c r="O1034" s="1" t="str">
        <f>VLOOKUP(H1034,'RM Used'!A:E,5,0)</f>
        <v>Count</v>
      </c>
      <c r="P1034" s="11">
        <f>VLOOKUP(H1034,'RM Used'!A:F,6,0)</f>
        <v>0.14000000000000001</v>
      </c>
      <c r="Q1034" s="11">
        <f t="shared" si="315"/>
        <v>0.14000000000000001</v>
      </c>
      <c r="R1034" s="11">
        <f>IFERROR(IF(B1034="Reynolds",VLOOKUP(H1034,'Yield &amp; Time'!A:U,21,0),VLOOKUP(H1034,'Yield &amp; Time'!A:L,12,0)),0)</f>
        <v>0</v>
      </c>
      <c r="S1034" s="11">
        <f t="shared" si="307"/>
        <v>0</v>
      </c>
      <c r="T1034" s="11">
        <f t="shared" si="308"/>
        <v>0</v>
      </c>
      <c r="U1034" s="11">
        <f>IF(A1033=A1034,0,VLOOKUP(A1034,'Packing Time'!A:F,6,0))</f>
        <v>0</v>
      </c>
      <c r="V1034" s="11">
        <f t="shared" si="301"/>
        <v>0</v>
      </c>
      <c r="W1034" s="11">
        <f t="shared" si="302"/>
        <v>0</v>
      </c>
      <c r="X1034" s="11">
        <f t="shared" si="309"/>
        <v>0</v>
      </c>
      <c r="Y1034" s="11">
        <f t="shared" si="303"/>
        <v>0</v>
      </c>
      <c r="Z1034" s="37">
        <v>1</v>
      </c>
      <c r="AA1034" s="36">
        <f t="shared" si="310"/>
        <v>1</v>
      </c>
      <c r="AB1034" s="36">
        <f t="shared" si="311"/>
        <v>0.14000000000000001</v>
      </c>
      <c r="AC1034" s="11">
        <f t="shared" si="312"/>
        <v>0</v>
      </c>
      <c r="AD1034" s="36">
        <f t="shared" si="304"/>
        <v>0</v>
      </c>
      <c r="AE1034" s="36"/>
      <c r="AF1034" s="36">
        <f>IFERROR(VLOOKUP(AE1034,'Chemical Cost'!A:D,4,0),0)</f>
        <v>0</v>
      </c>
      <c r="AG1034" s="114">
        <f t="shared" si="313"/>
        <v>0</v>
      </c>
      <c r="AH1034" s="36">
        <f t="shared" si="298"/>
        <v>0</v>
      </c>
      <c r="AI1034" s="36">
        <f t="shared" si="305"/>
        <v>0.14000000000000001</v>
      </c>
      <c r="AJ1034" s="36">
        <f>IFERROR(VLOOKUP(A1034,'All Products'!A:F,6,0),0)</f>
        <v>7.93</v>
      </c>
      <c r="AK1034" s="36"/>
      <c r="AL1034" s="23">
        <v>0.8</v>
      </c>
      <c r="AM1034" s="23">
        <v>0.2</v>
      </c>
      <c r="AN1034" s="54" t="e">
        <v>#N/A</v>
      </c>
      <c r="AO1034" s="47"/>
      <c r="AP1034" s="4">
        <v>1.6</v>
      </c>
      <c r="AQ1034" s="111">
        <f t="shared" si="314"/>
        <v>0</v>
      </c>
      <c r="AR1034">
        <f>_xlfn.XLOOKUP(F1034,'RM Cost'!A:A,'RM Cost'!S:S)</f>
        <v>0</v>
      </c>
      <c r="AS1034" t="str">
        <f>_xlfn.XLOOKUP(A1034,[3]Sheet1!$B:$B,[3]Sheet1!$B:$B)</f>
        <v>Z113CS</v>
      </c>
      <c r="AT1034" t="e">
        <f>_xlfn.XLOOKUP(H1034,'Yield &amp; Time'!A:A,'Yield &amp; Time'!F:F)</f>
        <v>#N/A</v>
      </c>
    </row>
    <row r="1035" spans="1:46" x14ac:dyDescent="0.25">
      <c r="A1035" s="2" t="s">
        <v>13</v>
      </c>
      <c r="B1035" s="2" t="s">
        <v>656</v>
      </c>
      <c r="C1035" s="2" t="s">
        <v>14</v>
      </c>
      <c r="D1035" s="2" t="s">
        <v>554</v>
      </c>
      <c r="E1035" s="2">
        <v>2.5</v>
      </c>
      <c r="F1035" s="1" t="str">
        <f>VLOOKUP(H1035,'RM Used'!A:B,2,0)</f>
        <v>3689CS</v>
      </c>
      <c r="G1035" s="1" t="str">
        <f>IFERROR(VLOOKUP(F1035,'RM Cost'!A:B,2,0),"")</f>
        <v>RM - BEEF TOMATO 1 X 7KG</v>
      </c>
      <c r="H1035" s="2" t="s">
        <v>1586</v>
      </c>
      <c r="I1035" s="1" t="str">
        <f>VLOOKUP(F1035,'RM Used'!B:D,3,0)</f>
        <v>RM-FOOD</v>
      </c>
      <c r="J1035" s="66">
        <v>1</v>
      </c>
      <c r="K1035" s="35">
        <f t="shared" si="300"/>
        <v>2.5</v>
      </c>
      <c r="L1035" s="35">
        <f t="shared" si="306"/>
        <v>2.5</v>
      </c>
      <c r="M1035" s="77" cm="1">
        <f t="array" ref="M1035">_xlfn.IFS(BOM!I1035="RM-PACKING","100%",B1035="Reynolds",VLOOKUP(H1035,'Yield &amp; Time'!A:V,22,0),BOM!B1035="Dnata",VLOOKUP(BOM!H1035,'Yield &amp; Time'!A:M,13,0),B1035="NK",VLOOKUP(H1035,'Yield &amp; Time'!A:X,24,0))</f>
        <v>0.50835021097046418</v>
      </c>
      <c r="N1035" s="35">
        <f t="shared" si="299"/>
        <v>4.9178695042289524</v>
      </c>
      <c r="O1035" s="1" t="str">
        <f>VLOOKUP(H1035,'RM Used'!A:E,5,0)</f>
        <v>KG</v>
      </c>
      <c r="P1035" s="11">
        <f>VLOOKUP(H1035,'RM Used'!A:F,6,0)</f>
        <v>1.32</v>
      </c>
      <c r="Q1035" s="11">
        <f t="shared" si="315"/>
        <v>6.4915877455822173</v>
      </c>
      <c r="R1035" s="11">
        <f>IFERROR(IF(B1035="Reynolds",VLOOKUP(H1035,'Yield &amp; Time'!A:U,21,0),VLOOKUP(H1035,'Yield &amp; Time'!A:L,12,0)),0)</f>
        <v>5.1063096749917678</v>
      </c>
      <c r="S1035" s="11">
        <f t="shared" si="307"/>
        <v>4.3212145624617833</v>
      </c>
      <c r="T1035" s="11">
        <f t="shared" si="308"/>
        <v>0.21276290312465698</v>
      </c>
      <c r="U1035" s="11">
        <f>IF(A1034=A1035,0,VLOOKUP(A1035,'Packing Time'!A:F,6,0))</f>
        <v>0.875</v>
      </c>
      <c r="V1035" s="11">
        <f t="shared" si="301"/>
        <v>0.29618749999999999</v>
      </c>
      <c r="W1035" s="11">
        <f t="shared" si="302"/>
        <v>1.4583333333333334E-2</v>
      </c>
      <c r="X1035" s="11">
        <f t="shared" si="309"/>
        <v>5.7717525780772281</v>
      </c>
      <c r="Y1035" s="11">
        <f t="shared" si="303"/>
        <v>5.7717525780772281</v>
      </c>
      <c r="Z1035" s="37">
        <v>1</v>
      </c>
      <c r="AA1035" s="36">
        <f t="shared" si="310"/>
        <v>4.9178695042289524</v>
      </c>
      <c r="AB1035" s="36">
        <f t="shared" si="311"/>
        <v>6.4915877455822173</v>
      </c>
      <c r="AC1035" s="11">
        <f t="shared" si="312"/>
        <v>0.28418279557248788</v>
      </c>
      <c r="AD1035" s="36">
        <f t="shared" si="304"/>
        <v>5.7717525780772281</v>
      </c>
      <c r="AE1035" s="36" t="str">
        <f>VLOOKUP(H1035,'Yield &amp; Time'!A:I,9,0)</f>
        <v>CHLORINE</v>
      </c>
      <c r="AF1035" s="36">
        <f>IFERROR(VLOOKUP(AE1035,'Chemical Cost'!A:D,4,0),0)</f>
        <v>2.7756518066439469E-2</v>
      </c>
      <c r="AG1035" s="114">
        <f t="shared" si="313"/>
        <v>4.5500977914174214E-2</v>
      </c>
      <c r="AH1035" s="36">
        <f t="shared" si="298"/>
        <v>4.5500977914174214E-2</v>
      </c>
      <c r="AI1035" s="36">
        <f t="shared" si="305"/>
        <v>12.30884130157362</v>
      </c>
      <c r="AJ1035" s="36">
        <f>IFERROR(VLOOKUP(A1035,'All Products'!A:F,6,0),0)</f>
        <v>19.82</v>
      </c>
      <c r="AK1035" s="36">
        <f>AJ1035*Z1035*J1035</f>
        <v>19.82</v>
      </c>
      <c r="AL1035" s="23">
        <v>0.8</v>
      </c>
      <c r="AM1035" s="23">
        <v>0.2</v>
      </c>
      <c r="AN1035" s="54" t="e">
        <v>#N/A</v>
      </c>
      <c r="AO1035" s="47"/>
      <c r="AP1035" s="4">
        <v>1.25</v>
      </c>
      <c r="AQ1035" s="111">
        <f t="shared" si="314"/>
        <v>0.28418279557248788</v>
      </c>
      <c r="AR1035">
        <f>_xlfn.XLOOKUP(F1035,'RM Cost'!A:A,'RM Cost'!S:S)</f>
        <v>0</v>
      </c>
      <c r="AS1035" t="str">
        <f>_xlfn.XLOOKUP(A1035,[3]Sheet1!$B:$B,[3]Sheet1!$B:$B)</f>
        <v>Z112CS</v>
      </c>
      <c r="AT1035">
        <f>_xlfn.XLOOKUP(H1035,'Yield &amp; Time'!A:A,'Yield &amp; Time'!F:F)</f>
        <v>0</v>
      </c>
    </row>
    <row r="1036" spans="1:46" x14ac:dyDescent="0.25">
      <c r="A1036" s="2" t="s">
        <v>13</v>
      </c>
      <c r="B1036" s="2" t="s">
        <v>656</v>
      </c>
      <c r="C1036" s="2" t="s">
        <v>14</v>
      </c>
      <c r="D1036" s="2" t="s">
        <v>554</v>
      </c>
      <c r="E1036" s="2">
        <v>2.5</v>
      </c>
      <c r="F1036" s="1" t="str">
        <f>VLOOKUP(H1036,'RM Used'!A:B,2,0)</f>
        <v>P0008</v>
      </c>
      <c r="G1036" s="1" t="str">
        <f>IFERROR(VLOOKUP(F1036,'RM Cost'!A:B,2,0),"")</f>
        <v>PALE BLUE BAG 470X750MM</v>
      </c>
      <c r="H1036" s="2" t="s">
        <v>1323</v>
      </c>
      <c r="I1036" s="1" t="str">
        <f>VLOOKUP(F1036,'RM Used'!B:D,3,0)</f>
        <v>RM-PACKING</v>
      </c>
      <c r="J1036" s="66">
        <v>1</v>
      </c>
      <c r="K1036" s="35" t="str">
        <f t="shared" si="300"/>
        <v/>
      </c>
      <c r="L1036" s="35">
        <f t="shared" si="306"/>
        <v>0</v>
      </c>
      <c r="M1036" s="77" t="str" cm="1">
        <f t="array" ref="M1036">_xlfn.IFS(BOM!I1036="RM-PACKING","100%",B1036="Reynolds",VLOOKUP(H1036,'Yield &amp; Time'!A:V,22,0),BOM!B1036="Dnata",VLOOKUP(BOM!H1036,'Yield &amp; Time'!A:M,13,0),B1036="NK",VLOOKUP(H1036,'Yield &amp; Time'!A:X,24,0))</f>
        <v>100%</v>
      </c>
      <c r="N1036" s="35">
        <f t="shared" si="299"/>
        <v>1</v>
      </c>
      <c r="O1036" s="1" t="str">
        <f>VLOOKUP(H1036,'RM Used'!A:E,5,0)</f>
        <v>Count</v>
      </c>
      <c r="P1036" s="11">
        <f>VLOOKUP(H1036,'RM Used'!A:F,6,0)</f>
        <v>0.14000000000000001</v>
      </c>
      <c r="Q1036" s="11">
        <f t="shared" si="315"/>
        <v>0.14000000000000001</v>
      </c>
      <c r="R1036" s="11">
        <f>IFERROR(IF(B1036="Reynolds",VLOOKUP(H1036,'Yield &amp; Time'!A:U,21,0),VLOOKUP(H1036,'Yield &amp; Time'!A:L,12,0)),0)</f>
        <v>0</v>
      </c>
      <c r="S1036" s="11">
        <f t="shared" si="307"/>
        <v>0</v>
      </c>
      <c r="T1036" s="11">
        <f t="shared" si="308"/>
        <v>0</v>
      </c>
      <c r="U1036" s="11">
        <f>IF(A1035=A1036,0,VLOOKUP(A1036,'Packing Time'!A:F,6,0))</f>
        <v>0</v>
      </c>
      <c r="V1036" s="11">
        <f t="shared" si="301"/>
        <v>0</v>
      </c>
      <c r="W1036" s="11">
        <f t="shared" si="302"/>
        <v>0</v>
      </c>
      <c r="X1036" s="11">
        <f t="shared" si="309"/>
        <v>0</v>
      </c>
      <c r="Y1036" s="11">
        <f t="shared" si="303"/>
        <v>0</v>
      </c>
      <c r="Z1036" s="37">
        <v>1</v>
      </c>
      <c r="AA1036" s="36">
        <f t="shared" si="310"/>
        <v>1</v>
      </c>
      <c r="AB1036" s="36">
        <f t="shared" si="311"/>
        <v>0.14000000000000001</v>
      </c>
      <c r="AC1036" s="11">
        <f t="shared" si="312"/>
        <v>0</v>
      </c>
      <c r="AD1036" s="36">
        <f t="shared" si="304"/>
        <v>0</v>
      </c>
      <c r="AE1036" s="36"/>
      <c r="AF1036" s="36">
        <f>IFERROR(VLOOKUP(AE1036,'Chemical Cost'!A:D,4,0),0)</f>
        <v>0</v>
      </c>
      <c r="AG1036" s="114">
        <f t="shared" si="313"/>
        <v>0</v>
      </c>
      <c r="AH1036" s="36">
        <f t="shared" si="298"/>
        <v>0</v>
      </c>
      <c r="AI1036" s="36">
        <f t="shared" si="305"/>
        <v>0.14000000000000001</v>
      </c>
      <c r="AJ1036" s="36">
        <f>IFERROR(VLOOKUP(A1036,'All Products'!A:F,6,0),0)</f>
        <v>19.82</v>
      </c>
      <c r="AK1036" s="36"/>
      <c r="AL1036" s="23">
        <v>0.8</v>
      </c>
      <c r="AM1036" s="23">
        <v>0.2</v>
      </c>
      <c r="AN1036" s="54" t="e">
        <v>#N/A</v>
      </c>
      <c r="AO1036" s="47"/>
      <c r="AP1036" s="4">
        <v>1.25</v>
      </c>
      <c r="AQ1036" s="111">
        <f t="shared" si="314"/>
        <v>0</v>
      </c>
      <c r="AR1036">
        <f>_xlfn.XLOOKUP(F1036,'RM Cost'!A:A,'RM Cost'!S:S)</f>
        <v>0</v>
      </c>
      <c r="AS1036" t="str">
        <f>_xlfn.XLOOKUP(A1036,[3]Sheet1!$B:$B,[3]Sheet1!$B:$B)</f>
        <v>Z112CS</v>
      </c>
      <c r="AT1036" t="e">
        <f>_xlfn.XLOOKUP(H1036,'Yield &amp; Time'!A:A,'Yield &amp; Time'!F:F)</f>
        <v>#N/A</v>
      </c>
    </row>
    <row r="1037" spans="1:46" x14ac:dyDescent="0.25">
      <c r="A1037" s="2" t="s">
        <v>449</v>
      </c>
      <c r="B1037" s="2" t="s">
        <v>656</v>
      </c>
      <c r="C1037" s="2" t="s">
        <v>450</v>
      </c>
      <c r="D1037" s="2" t="s">
        <v>554</v>
      </c>
      <c r="E1037" s="2">
        <v>1</v>
      </c>
      <c r="F1037" s="1" t="str">
        <f>VLOOKUP(H1037,'RM Used'!A:B,2,0)</f>
        <v>3656CS</v>
      </c>
      <c r="G1037" s="1" t="str">
        <f>IFERROR(VLOOKUP(F1037,'RM Cost'!A:B,2,0),"")</f>
        <v>RM - TOMATOES PLUM 6KG</v>
      </c>
      <c r="H1037" s="2" t="s">
        <v>1587</v>
      </c>
      <c r="I1037" s="1" t="str">
        <f>VLOOKUP(F1037,'RM Used'!B:D,3,0)</f>
        <v>RM-FOOD</v>
      </c>
      <c r="J1037" s="66">
        <v>1</v>
      </c>
      <c r="K1037" s="35">
        <f t="shared" si="300"/>
        <v>1</v>
      </c>
      <c r="L1037" s="35">
        <f t="shared" si="306"/>
        <v>1</v>
      </c>
      <c r="M1037" s="77" cm="1">
        <f t="array" ref="M1037">_xlfn.IFS(BOM!I1037="RM-PACKING","100%",B1037="Reynolds",VLOOKUP(H1037,'Yield &amp; Time'!A:V,22,0),BOM!B1037="Dnata",VLOOKUP(BOM!H1037,'Yield &amp; Time'!A:M,13,0),B1037="NK",VLOOKUP(H1037,'Yield &amp; Time'!A:X,24,0))</f>
        <v>1</v>
      </c>
      <c r="N1037" s="35">
        <f t="shared" si="299"/>
        <v>1</v>
      </c>
      <c r="O1037" s="1" t="str">
        <f>VLOOKUP(H1037,'RM Used'!A:E,5,0)</f>
        <v>KG</v>
      </c>
      <c r="P1037" s="11">
        <f>VLOOKUP(H1037,'RM Used'!A:F,6,0)</f>
        <v>1.1200000000000001</v>
      </c>
      <c r="Q1037" s="11">
        <f t="shared" si="315"/>
        <v>1.1200000000000001</v>
      </c>
      <c r="R1037" s="11">
        <f>IFERROR(IF(B1037="Reynolds",VLOOKUP(H1037,'Yield &amp; Time'!A:U,21,0),VLOOKUP(H1037,'Yield &amp; Time'!A:L,12,0)),0)</f>
        <v>0.1</v>
      </c>
      <c r="S1037" s="11">
        <f t="shared" si="307"/>
        <v>3.3849999999999998E-2</v>
      </c>
      <c r="T1037" s="11">
        <f t="shared" si="308"/>
        <v>1.6666666666666668E-3</v>
      </c>
      <c r="U1037" s="11">
        <f>IF(A1036=A1037,0,VLOOKUP(A1037,'Packing Time'!A:F,6,0))</f>
        <v>0.64166666666666661</v>
      </c>
      <c r="V1037" s="11">
        <f t="shared" si="301"/>
        <v>0.21720416666666661</v>
      </c>
      <c r="W1037" s="11">
        <f t="shared" si="302"/>
        <v>1.0694444444444444E-2</v>
      </c>
      <c r="X1037" s="11">
        <f t="shared" si="309"/>
        <v>0.40168666666666664</v>
      </c>
      <c r="Y1037" s="11">
        <f t="shared" si="303"/>
        <v>0.40168666666666664</v>
      </c>
      <c r="Z1037" s="37">
        <v>1</v>
      </c>
      <c r="AA1037" s="36">
        <f t="shared" si="310"/>
        <v>1</v>
      </c>
      <c r="AB1037" s="36">
        <f t="shared" si="311"/>
        <v>1.1200000000000001</v>
      </c>
      <c r="AC1037" s="11">
        <f t="shared" si="312"/>
        <v>1.9777777777777776E-2</v>
      </c>
      <c r="AD1037" s="36">
        <f t="shared" si="304"/>
        <v>0.40168666666666658</v>
      </c>
      <c r="AE1037" s="36" t="str">
        <f>VLOOKUP(H1037,'Yield &amp; Time'!A:I,9,0)</f>
        <v>CHLORINE</v>
      </c>
      <c r="AF1037" s="36">
        <f>IFERROR(VLOOKUP(AE1037,'Chemical Cost'!A:D,4,0),0)</f>
        <v>2.7756518066439469E-2</v>
      </c>
      <c r="AG1037" s="114">
        <f t="shared" si="313"/>
        <v>9.252172688813157E-3</v>
      </c>
      <c r="AH1037" s="36">
        <f t="shared" si="298"/>
        <v>9.252172688813157E-3</v>
      </c>
      <c r="AI1037" s="36">
        <f t="shared" si="305"/>
        <v>1.5309388393554797</v>
      </c>
      <c r="AJ1037" s="36">
        <f>IFERROR(VLOOKUP(A1037,'All Products'!A:F,6,0),0)</f>
        <v>2.35</v>
      </c>
      <c r="AK1037" s="36">
        <f>AJ1037*Z1037*J1037</f>
        <v>2.35</v>
      </c>
      <c r="AL1037" s="23">
        <v>0</v>
      </c>
      <c r="AM1037" s="23">
        <v>1</v>
      </c>
      <c r="AN1037" s="54" t="e">
        <v>#N/A</v>
      </c>
      <c r="AO1037" s="47"/>
      <c r="AP1037" s="4">
        <v>1.6</v>
      </c>
      <c r="AQ1037" s="111">
        <f t="shared" si="314"/>
        <v>1.9777777777777776E-2</v>
      </c>
      <c r="AR1037">
        <f>_xlfn.XLOOKUP(F1037,'RM Cost'!A:A,'RM Cost'!S:S)</f>
        <v>0</v>
      </c>
      <c r="AS1037" t="str">
        <f>_xlfn.XLOOKUP(A1037,[3]Sheet1!$B:$B,[3]Sheet1!$B:$B)</f>
        <v>Z111CS</v>
      </c>
      <c r="AT1037">
        <f>_xlfn.XLOOKUP(H1037,'Yield &amp; Time'!A:A,'Yield &amp; Time'!F:F)</f>
        <v>0</v>
      </c>
    </row>
    <row r="1038" spans="1:46" x14ac:dyDescent="0.25">
      <c r="A1038" s="2" t="s">
        <v>449</v>
      </c>
      <c r="B1038" s="2" t="s">
        <v>656</v>
      </c>
      <c r="C1038" s="2" t="s">
        <v>450</v>
      </c>
      <c r="D1038" s="2" t="s">
        <v>554</v>
      </c>
      <c r="E1038" s="2">
        <v>1</v>
      </c>
      <c r="F1038" s="1" t="str">
        <f>VLOOKUP(H1038,'RM Used'!A:B,2,0)</f>
        <v>P0008</v>
      </c>
      <c r="G1038" s="1" t="str">
        <f>IFERROR(VLOOKUP(F1038,'RM Cost'!A:B,2,0),"")</f>
        <v>PALE BLUE BAG 470X750MM</v>
      </c>
      <c r="H1038" s="2" t="s">
        <v>1323</v>
      </c>
      <c r="I1038" s="1" t="str">
        <f>VLOOKUP(F1038,'RM Used'!B:D,3,0)</f>
        <v>RM-PACKING</v>
      </c>
      <c r="J1038" s="66">
        <v>1</v>
      </c>
      <c r="K1038" s="35" t="str">
        <f t="shared" si="300"/>
        <v/>
      </c>
      <c r="L1038" s="35">
        <f t="shared" si="306"/>
        <v>0</v>
      </c>
      <c r="M1038" s="77" t="str" cm="1">
        <f t="array" ref="M1038">_xlfn.IFS(BOM!I1038="RM-PACKING","100%",B1038="Reynolds",VLOOKUP(H1038,'Yield &amp; Time'!A:V,22,0),BOM!B1038="Dnata",VLOOKUP(BOM!H1038,'Yield &amp; Time'!A:M,13,0),B1038="NK",VLOOKUP(H1038,'Yield &amp; Time'!A:X,24,0))</f>
        <v>100%</v>
      </c>
      <c r="N1038" s="35">
        <f t="shared" si="299"/>
        <v>1</v>
      </c>
      <c r="O1038" s="1" t="str">
        <f>VLOOKUP(H1038,'RM Used'!A:E,5,0)</f>
        <v>Count</v>
      </c>
      <c r="P1038" s="11">
        <f>VLOOKUP(H1038,'RM Used'!A:F,6,0)</f>
        <v>0.14000000000000001</v>
      </c>
      <c r="Q1038" s="11">
        <f t="shared" si="315"/>
        <v>0.14000000000000001</v>
      </c>
      <c r="R1038" s="11">
        <f>IFERROR(IF(B1038="Reynolds",VLOOKUP(H1038,'Yield &amp; Time'!A:U,21,0),VLOOKUP(H1038,'Yield &amp; Time'!A:L,12,0)),0)</f>
        <v>0</v>
      </c>
      <c r="S1038" s="11">
        <f t="shared" si="307"/>
        <v>0</v>
      </c>
      <c r="T1038" s="11">
        <f t="shared" si="308"/>
        <v>0</v>
      </c>
      <c r="U1038" s="11">
        <f>IF(A1037=A1038,0,VLOOKUP(A1038,'Packing Time'!A:F,6,0))</f>
        <v>0</v>
      </c>
      <c r="V1038" s="11">
        <f t="shared" si="301"/>
        <v>0</v>
      </c>
      <c r="W1038" s="11">
        <f t="shared" si="302"/>
        <v>0</v>
      </c>
      <c r="X1038" s="11">
        <f t="shared" si="309"/>
        <v>0</v>
      </c>
      <c r="Y1038" s="11">
        <f t="shared" si="303"/>
        <v>0</v>
      </c>
      <c r="Z1038" s="37">
        <v>1</v>
      </c>
      <c r="AA1038" s="36">
        <f t="shared" si="310"/>
        <v>1</v>
      </c>
      <c r="AB1038" s="36">
        <f t="shared" si="311"/>
        <v>0.14000000000000001</v>
      </c>
      <c r="AC1038" s="11">
        <f t="shared" si="312"/>
        <v>0</v>
      </c>
      <c r="AD1038" s="36">
        <f t="shared" si="304"/>
        <v>0</v>
      </c>
      <c r="AE1038" s="36"/>
      <c r="AF1038" s="36">
        <f>IFERROR(VLOOKUP(AE1038,'Chemical Cost'!A:D,4,0),0)</f>
        <v>0</v>
      </c>
      <c r="AG1038" s="114">
        <f t="shared" si="313"/>
        <v>0</v>
      </c>
      <c r="AH1038" s="36">
        <f t="shared" si="298"/>
        <v>0</v>
      </c>
      <c r="AI1038" s="36">
        <f t="shared" si="305"/>
        <v>0.14000000000000001</v>
      </c>
      <c r="AJ1038" s="36">
        <f>IFERROR(VLOOKUP(A1038,'All Products'!A:F,6,0),0)</f>
        <v>2.35</v>
      </c>
      <c r="AK1038" s="36"/>
      <c r="AL1038" s="23">
        <v>0</v>
      </c>
      <c r="AM1038" s="23">
        <v>1</v>
      </c>
      <c r="AN1038" s="54" t="e">
        <v>#N/A</v>
      </c>
      <c r="AO1038" s="47"/>
      <c r="AP1038" s="4">
        <v>1.6</v>
      </c>
      <c r="AQ1038" s="111">
        <f t="shared" si="314"/>
        <v>0</v>
      </c>
      <c r="AR1038">
        <f>_xlfn.XLOOKUP(F1038,'RM Cost'!A:A,'RM Cost'!S:S)</f>
        <v>0</v>
      </c>
      <c r="AS1038" t="str">
        <f>_xlfn.XLOOKUP(A1038,[3]Sheet1!$B:$B,[3]Sheet1!$B:$B)</f>
        <v>Z111CS</v>
      </c>
      <c r="AT1038" t="e">
        <f>_xlfn.XLOOKUP(H1038,'Yield &amp; Time'!A:A,'Yield &amp; Time'!F:F)</f>
        <v>#N/A</v>
      </c>
    </row>
    <row r="1039" spans="1:46" x14ac:dyDescent="0.25">
      <c r="A1039" s="2" t="s">
        <v>943</v>
      </c>
      <c r="B1039" s="2" t="s">
        <v>656</v>
      </c>
      <c r="C1039" s="2" t="s">
        <v>944</v>
      </c>
      <c r="D1039" s="2" t="s">
        <v>554</v>
      </c>
      <c r="E1039" s="2">
        <v>2.5</v>
      </c>
      <c r="F1039" s="1" t="str">
        <f>VLOOKUP(H1039,'RM Used'!A:B,2,0)</f>
        <v>3656CS</v>
      </c>
      <c r="G1039" s="1" t="str">
        <f>IFERROR(VLOOKUP(F1039,'RM Cost'!A:B,2,0),"")</f>
        <v>RM - TOMATOES PLUM 6KG</v>
      </c>
      <c r="H1039" s="2" t="s">
        <v>1587</v>
      </c>
      <c r="I1039" s="1" t="str">
        <f>VLOOKUP(F1039,'RM Used'!B:D,3,0)</f>
        <v>RM-FOOD</v>
      </c>
      <c r="J1039" s="66">
        <v>1</v>
      </c>
      <c r="K1039" s="35">
        <f t="shared" si="300"/>
        <v>2.5</v>
      </c>
      <c r="L1039" s="35">
        <f t="shared" si="306"/>
        <v>2.5</v>
      </c>
      <c r="M1039" s="77" cm="1">
        <f t="array" ref="M1039">_xlfn.IFS(BOM!I1039="RM-PACKING","100%",B1039="Reynolds",VLOOKUP(H1039,'Yield &amp; Time'!A:V,22,0),BOM!B1039="Dnata",VLOOKUP(BOM!H1039,'Yield &amp; Time'!A:M,13,0),B1039="NK",VLOOKUP(H1039,'Yield &amp; Time'!A:X,24,0))</f>
        <v>1</v>
      </c>
      <c r="N1039" s="35">
        <f t="shared" si="299"/>
        <v>2.5</v>
      </c>
      <c r="O1039" s="1" t="str">
        <f>VLOOKUP(H1039,'RM Used'!A:E,5,0)</f>
        <v>KG</v>
      </c>
      <c r="P1039" s="11">
        <f>VLOOKUP(H1039,'RM Used'!A:F,6,0)</f>
        <v>1.1200000000000001</v>
      </c>
      <c r="Q1039" s="11">
        <f t="shared" si="315"/>
        <v>2.8000000000000003</v>
      </c>
      <c r="R1039" s="11">
        <f>IFERROR(IF(B1039="Reynolds",VLOOKUP(H1039,'Yield &amp; Time'!A:U,21,0),VLOOKUP(H1039,'Yield &amp; Time'!A:L,12,0)),0)</f>
        <v>0.1</v>
      </c>
      <c r="S1039" s="11">
        <f t="shared" si="307"/>
        <v>8.4624999999999992E-2</v>
      </c>
      <c r="T1039" s="11">
        <f t="shared" si="308"/>
        <v>4.1666666666666666E-3</v>
      </c>
      <c r="U1039" s="11">
        <f>IF(A1038=A1039,0,VLOOKUP(A1039,'Packing Time'!A:F,6,0))</f>
        <v>0.875</v>
      </c>
      <c r="V1039" s="11">
        <f t="shared" si="301"/>
        <v>0.29618749999999999</v>
      </c>
      <c r="W1039" s="11">
        <f t="shared" si="302"/>
        <v>1.4583333333333334E-2</v>
      </c>
      <c r="X1039" s="11">
        <f t="shared" si="309"/>
        <v>0.60929999999999995</v>
      </c>
      <c r="Y1039" s="11">
        <f t="shared" si="303"/>
        <v>0.60929999999999995</v>
      </c>
      <c r="Z1039" s="37">
        <v>1</v>
      </c>
      <c r="AA1039" s="36">
        <f t="shared" si="310"/>
        <v>2.5</v>
      </c>
      <c r="AB1039" s="36">
        <f t="shared" si="311"/>
        <v>2.8000000000000003</v>
      </c>
      <c r="AC1039" s="11">
        <f t="shared" si="312"/>
        <v>0.03</v>
      </c>
      <c r="AD1039" s="36">
        <f t="shared" si="304"/>
        <v>0.60929999999999984</v>
      </c>
      <c r="AE1039" s="36" t="str">
        <f>VLOOKUP(H1039,'Yield &amp; Time'!A:I,9,0)</f>
        <v>CHLORINE</v>
      </c>
      <c r="AF1039" s="36">
        <f>IFERROR(VLOOKUP(AE1039,'Chemical Cost'!A:D,4,0),0)</f>
        <v>2.7756518066439469E-2</v>
      </c>
      <c r="AG1039" s="114">
        <f t="shared" si="313"/>
        <v>2.3130431722032888E-2</v>
      </c>
      <c r="AH1039" s="36">
        <f t="shared" si="298"/>
        <v>2.3130431722032888E-2</v>
      </c>
      <c r="AI1039" s="36">
        <f t="shared" si="305"/>
        <v>3.4324304317220329</v>
      </c>
      <c r="AJ1039" s="36">
        <f>IFERROR(VLOOKUP(A1039,'All Products'!A:F,6,0),0)</f>
        <v>5.87</v>
      </c>
      <c r="AK1039" s="36">
        <f>AJ1039*Z1039*J1039</f>
        <v>5.87</v>
      </c>
      <c r="AL1039" s="23">
        <v>0</v>
      </c>
      <c r="AM1039" s="23">
        <v>1</v>
      </c>
      <c r="AN1039" s="54" t="e">
        <v>#N/A</v>
      </c>
      <c r="AO1039" s="47"/>
      <c r="AP1039" s="4">
        <v>1.6</v>
      </c>
      <c r="AQ1039" s="111">
        <f t="shared" si="314"/>
        <v>0.03</v>
      </c>
      <c r="AR1039">
        <f>_xlfn.XLOOKUP(F1039,'RM Cost'!A:A,'RM Cost'!S:S)</f>
        <v>0</v>
      </c>
      <c r="AS1039" t="e">
        <f>_xlfn.XLOOKUP(A1039,[3]Sheet1!$B:$B,[3]Sheet1!$B:$B)</f>
        <v>#N/A</v>
      </c>
    </row>
    <row r="1040" spans="1:46" x14ac:dyDescent="0.25">
      <c r="A1040" s="2" t="s">
        <v>943</v>
      </c>
      <c r="B1040" s="2" t="s">
        <v>656</v>
      </c>
      <c r="C1040" s="2" t="s">
        <v>944</v>
      </c>
      <c r="D1040" s="2" t="s">
        <v>554</v>
      </c>
      <c r="E1040" s="2">
        <v>2.5</v>
      </c>
      <c r="F1040" s="1" t="str">
        <f>VLOOKUP(H1040,'RM Used'!A:B,2,0)</f>
        <v>P0008</v>
      </c>
      <c r="G1040" s="1" t="str">
        <f>IFERROR(VLOOKUP(F1040,'RM Cost'!A:B,2,0),"")</f>
        <v>PALE BLUE BAG 470X750MM</v>
      </c>
      <c r="H1040" s="2" t="s">
        <v>1323</v>
      </c>
      <c r="I1040" s="1" t="str">
        <f>VLOOKUP(F1040,'RM Used'!B:D,3,0)</f>
        <v>RM-PACKING</v>
      </c>
      <c r="J1040" s="66">
        <v>1</v>
      </c>
      <c r="K1040" s="35" t="str">
        <f t="shared" si="300"/>
        <v/>
      </c>
      <c r="L1040" s="35">
        <f t="shared" si="306"/>
        <v>0</v>
      </c>
      <c r="M1040" s="77" t="str" cm="1">
        <f t="array" ref="M1040">_xlfn.IFS(BOM!I1040="RM-PACKING","100%",B1040="Reynolds",VLOOKUP(H1040,'Yield &amp; Time'!A:V,22,0),BOM!B1040="Dnata",VLOOKUP(BOM!H1040,'Yield &amp; Time'!A:M,13,0),B1040="NK",VLOOKUP(H1040,'Yield &amp; Time'!A:X,24,0))</f>
        <v>100%</v>
      </c>
      <c r="N1040" s="35">
        <f t="shared" si="299"/>
        <v>1</v>
      </c>
      <c r="O1040" s="1" t="str">
        <f>VLOOKUP(H1040,'RM Used'!A:E,5,0)</f>
        <v>Count</v>
      </c>
      <c r="P1040" s="11">
        <f>VLOOKUP(H1040,'RM Used'!A:F,6,0)</f>
        <v>0.14000000000000001</v>
      </c>
      <c r="Q1040" s="11">
        <f t="shared" si="315"/>
        <v>0.14000000000000001</v>
      </c>
      <c r="R1040" s="11">
        <f>IFERROR(IF(B1040="Reynolds",VLOOKUP(H1040,'Yield &amp; Time'!A:U,21,0),VLOOKUP(H1040,'Yield &amp; Time'!A:L,12,0)),0)</f>
        <v>0</v>
      </c>
      <c r="S1040" s="11">
        <f t="shared" si="307"/>
        <v>0</v>
      </c>
      <c r="T1040" s="11">
        <f t="shared" si="308"/>
        <v>0</v>
      </c>
      <c r="U1040" s="11">
        <f>IF(A1039=A1040,0,VLOOKUP(A1040,'Packing Time'!A:F,6,0))</f>
        <v>0</v>
      </c>
      <c r="V1040" s="11">
        <f t="shared" si="301"/>
        <v>0</v>
      </c>
      <c r="W1040" s="11">
        <f t="shared" si="302"/>
        <v>0</v>
      </c>
      <c r="X1040" s="11">
        <f t="shared" si="309"/>
        <v>0</v>
      </c>
      <c r="Y1040" s="11">
        <f t="shared" si="303"/>
        <v>0</v>
      </c>
      <c r="Z1040" s="37">
        <v>1</v>
      </c>
      <c r="AA1040" s="36">
        <f t="shared" si="310"/>
        <v>1</v>
      </c>
      <c r="AB1040" s="36">
        <f t="shared" si="311"/>
        <v>0.14000000000000001</v>
      </c>
      <c r="AC1040" s="11">
        <f t="shared" si="312"/>
        <v>0</v>
      </c>
      <c r="AD1040" s="36">
        <f t="shared" si="304"/>
        <v>0</v>
      </c>
      <c r="AE1040" s="36"/>
      <c r="AF1040" s="36">
        <f>IFERROR(VLOOKUP(AE1040,'Chemical Cost'!A:D,4,0),0)</f>
        <v>0</v>
      </c>
      <c r="AG1040" s="114">
        <f t="shared" si="313"/>
        <v>0</v>
      </c>
      <c r="AH1040" s="36">
        <f t="shared" si="298"/>
        <v>0</v>
      </c>
      <c r="AI1040" s="36">
        <f t="shared" si="305"/>
        <v>0.14000000000000001</v>
      </c>
      <c r="AJ1040" s="36">
        <f>IFERROR(VLOOKUP(A1040,'All Products'!A:F,6,0),0)</f>
        <v>5.87</v>
      </c>
      <c r="AK1040" s="36"/>
      <c r="AL1040" s="23">
        <v>0</v>
      </c>
      <c r="AM1040" s="23">
        <v>1</v>
      </c>
      <c r="AN1040" s="54" t="e">
        <v>#N/A</v>
      </c>
      <c r="AO1040" s="47"/>
      <c r="AP1040" s="4">
        <v>1.6</v>
      </c>
      <c r="AQ1040" s="111">
        <f t="shared" si="314"/>
        <v>0</v>
      </c>
      <c r="AR1040">
        <f>_xlfn.XLOOKUP(F1040,'RM Cost'!A:A,'RM Cost'!S:S)</f>
        <v>0</v>
      </c>
      <c r="AS1040" t="e">
        <f>_xlfn.XLOOKUP(A1040,[3]Sheet1!$B:$B,[3]Sheet1!$B:$B)</f>
        <v>#N/A</v>
      </c>
    </row>
    <row r="1041" spans="1:46" x14ac:dyDescent="0.25">
      <c r="A1041" s="2" t="s">
        <v>447</v>
      </c>
      <c r="B1041" s="2" t="s">
        <v>656</v>
      </c>
      <c r="C1041" s="2" t="s">
        <v>448</v>
      </c>
      <c r="D1041" s="2" t="s">
        <v>554</v>
      </c>
      <c r="E1041" s="2">
        <v>1</v>
      </c>
      <c r="F1041" s="1" t="str">
        <f>VLOOKUP(H1041,'RM Used'!A:B,2,0)</f>
        <v>3659CS</v>
      </c>
      <c r="G1041" s="1" t="str">
        <f>IFERROR(VLOOKUP(F1041,'RM Cost'!A:B,2,0),"")</f>
        <v>RM - TOMATOES VINE 5KG</v>
      </c>
      <c r="H1041" s="2" t="s">
        <v>1588</v>
      </c>
      <c r="I1041" s="1" t="str">
        <f>VLOOKUP(F1041,'RM Used'!B:D,3,0)</f>
        <v>RM-FOOD</v>
      </c>
      <c r="J1041" s="66">
        <v>1</v>
      </c>
      <c r="K1041" s="35">
        <f t="shared" si="300"/>
        <v>1</v>
      </c>
      <c r="L1041" s="35">
        <f t="shared" si="306"/>
        <v>1</v>
      </c>
      <c r="M1041" s="77" cm="1">
        <f t="array" ref="M1041">_xlfn.IFS(BOM!I1041="RM-PACKING","100%",B1041="Reynolds",VLOOKUP(H1041,'Yield &amp; Time'!A:V,22,0),BOM!B1041="Dnata",VLOOKUP(BOM!H1041,'Yield &amp; Time'!A:M,13,0),B1041="NK",VLOOKUP(H1041,'Yield &amp; Time'!A:X,24,0))</f>
        <v>0.52800000000000002</v>
      </c>
      <c r="N1041" s="35">
        <f t="shared" si="299"/>
        <v>1.8939393939393938</v>
      </c>
      <c r="O1041" s="1" t="str">
        <f>VLOOKUP(H1041,'RM Used'!A:E,5,0)</f>
        <v>KG</v>
      </c>
      <c r="P1041" s="11">
        <f>VLOOKUP(H1041,'RM Used'!A:F,6,0)</f>
        <v>1.02</v>
      </c>
      <c r="Q1041" s="11">
        <f t="shared" si="315"/>
        <v>1.9318181818181817</v>
      </c>
      <c r="R1041" s="11">
        <f>IFERROR(IF(B1041="Reynolds",VLOOKUP(H1041,'Yield &amp; Time'!A:U,21,0),VLOOKUP(H1041,'Yield &amp; Time'!A:L,12,0)),0)</f>
        <v>3.75</v>
      </c>
      <c r="S1041" s="11">
        <f t="shared" si="307"/>
        <v>1.2693749999999999</v>
      </c>
      <c r="T1041" s="11">
        <f t="shared" si="308"/>
        <v>6.25E-2</v>
      </c>
      <c r="U1041" s="11">
        <f>IF(A1040=A1041,0,VLOOKUP(A1041,'Packing Time'!A:F,6,0))</f>
        <v>0.64166666666666661</v>
      </c>
      <c r="V1041" s="11">
        <f t="shared" si="301"/>
        <v>0.21720416666666661</v>
      </c>
      <c r="W1041" s="11">
        <f t="shared" si="302"/>
        <v>1.0694444444444444E-2</v>
      </c>
      <c r="X1041" s="11">
        <f t="shared" si="309"/>
        <v>2.3785266666666667</v>
      </c>
      <c r="Y1041" s="11">
        <f t="shared" si="303"/>
        <v>2.3785266666666667</v>
      </c>
      <c r="Z1041" s="37">
        <v>1</v>
      </c>
      <c r="AA1041" s="36">
        <f t="shared" si="310"/>
        <v>1.8939393939393938</v>
      </c>
      <c r="AB1041" s="36">
        <f t="shared" si="311"/>
        <v>1.9318181818181817</v>
      </c>
      <c r="AC1041" s="11">
        <f t="shared" si="312"/>
        <v>0.11711111111111111</v>
      </c>
      <c r="AD1041" s="36">
        <f t="shared" si="304"/>
        <v>2.3785266666666662</v>
      </c>
      <c r="AE1041" s="36" t="str">
        <f>VLOOKUP(H1041,'Yield &amp; Time'!A:I,9,0)</f>
        <v>CHLORINE</v>
      </c>
      <c r="AF1041" s="36">
        <f>IFERROR(VLOOKUP(AE1041,'Chemical Cost'!A:D,4,0),0)</f>
        <v>2.7756518066439469E-2</v>
      </c>
      <c r="AG1041" s="114">
        <f t="shared" si="313"/>
        <v>1.75230543348734E-2</v>
      </c>
      <c r="AH1041" s="36">
        <f t="shared" si="298"/>
        <v>1.75230543348734E-2</v>
      </c>
      <c r="AI1041" s="36">
        <f t="shared" si="305"/>
        <v>4.3278679028197216</v>
      </c>
      <c r="AJ1041" s="36">
        <f>IFERROR(VLOOKUP(A1041,'All Products'!A:F,6,0),0)</f>
        <v>7.35</v>
      </c>
      <c r="AK1041" s="36">
        <f>AJ1041*Z1041*J1041</f>
        <v>7.35</v>
      </c>
      <c r="AL1041" s="23">
        <v>0.8</v>
      </c>
      <c r="AM1041" s="23">
        <v>0.2</v>
      </c>
      <c r="AN1041" s="54" t="e">
        <v>#N/A</v>
      </c>
      <c r="AO1041" s="47"/>
      <c r="AP1041" s="4">
        <v>1.6</v>
      </c>
      <c r="AQ1041" s="111">
        <f t="shared" si="314"/>
        <v>0.11711111111111111</v>
      </c>
      <c r="AR1041">
        <f>_xlfn.XLOOKUP(F1041,'RM Cost'!A:A,'RM Cost'!S:S)</f>
        <v>0</v>
      </c>
      <c r="AS1041" t="str">
        <f>_xlfn.XLOOKUP(A1041,[3]Sheet1!$B:$B,[3]Sheet1!$B:$B)</f>
        <v>Z117CS</v>
      </c>
      <c r="AT1041">
        <f>_xlfn.XLOOKUP(H1041,'Yield &amp; Time'!A:A,'Yield &amp; Time'!F:F)</f>
        <v>0</v>
      </c>
    </row>
    <row r="1042" spans="1:46" x14ac:dyDescent="0.25">
      <c r="A1042" s="2" t="s">
        <v>447</v>
      </c>
      <c r="B1042" s="2" t="s">
        <v>656</v>
      </c>
      <c r="C1042" s="2" t="s">
        <v>448</v>
      </c>
      <c r="D1042" s="2" t="s">
        <v>554</v>
      </c>
      <c r="E1042" s="2">
        <v>1</v>
      </c>
      <c r="F1042" s="1" t="str">
        <f>VLOOKUP(H1042,'RM Used'!A:B,2,0)</f>
        <v>P0008</v>
      </c>
      <c r="G1042" s="1" t="str">
        <f>IFERROR(VLOOKUP(F1042,'RM Cost'!A:B,2,0),"")</f>
        <v>PALE BLUE BAG 470X750MM</v>
      </c>
      <c r="H1042" s="2" t="s">
        <v>1323</v>
      </c>
      <c r="I1042" s="1" t="str">
        <f>VLOOKUP(F1042,'RM Used'!B:D,3,0)</f>
        <v>RM-PACKING</v>
      </c>
      <c r="J1042" s="66">
        <v>1</v>
      </c>
      <c r="K1042" s="35" t="str">
        <f t="shared" si="300"/>
        <v/>
      </c>
      <c r="L1042" s="35">
        <f t="shared" si="306"/>
        <v>0</v>
      </c>
      <c r="M1042" s="77" t="str" cm="1">
        <f t="array" ref="M1042">_xlfn.IFS(BOM!I1042="RM-PACKING","100%",B1042="Reynolds",VLOOKUP(H1042,'Yield &amp; Time'!A:V,22,0),BOM!B1042="Dnata",VLOOKUP(BOM!H1042,'Yield &amp; Time'!A:M,13,0),B1042="NK",VLOOKUP(H1042,'Yield &amp; Time'!A:X,24,0))</f>
        <v>100%</v>
      </c>
      <c r="N1042" s="35">
        <f t="shared" si="299"/>
        <v>1</v>
      </c>
      <c r="O1042" s="1" t="str">
        <f>VLOOKUP(H1042,'RM Used'!A:E,5,0)</f>
        <v>Count</v>
      </c>
      <c r="P1042" s="11">
        <f>VLOOKUP(H1042,'RM Used'!A:F,6,0)</f>
        <v>0.14000000000000001</v>
      </c>
      <c r="Q1042" s="11">
        <f t="shared" si="315"/>
        <v>0.14000000000000001</v>
      </c>
      <c r="R1042" s="11">
        <f>IFERROR(IF(B1042="Reynolds",VLOOKUP(H1042,'Yield &amp; Time'!A:U,21,0),VLOOKUP(H1042,'Yield &amp; Time'!A:L,12,0)),0)</f>
        <v>0</v>
      </c>
      <c r="S1042" s="11">
        <f t="shared" si="307"/>
        <v>0</v>
      </c>
      <c r="T1042" s="11">
        <f t="shared" si="308"/>
        <v>0</v>
      </c>
      <c r="U1042" s="11">
        <f>IF(A1041=A1042,0,VLOOKUP(A1042,'Packing Time'!A:F,6,0))</f>
        <v>0</v>
      </c>
      <c r="V1042" s="11">
        <f t="shared" si="301"/>
        <v>0</v>
      </c>
      <c r="W1042" s="11">
        <f t="shared" si="302"/>
        <v>0</v>
      </c>
      <c r="X1042" s="11">
        <f t="shared" si="309"/>
        <v>0</v>
      </c>
      <c r="Y1042" s="11">
        <f t="shared" si="303"/>
        <v>0</v>
      </c>
      <c r="Z1042" s="37">
        <v>1</v>
      </c>
      <c r="AA1042" s="36">
        <f t="shared" si="310"/>
        <v>1</v>
      </c>
      <c r="AB1042" s="36">
        <f t="shared" si="311"/>
        <v>0.14000000000000001</v>
      </c>
      <c r="AC1042" s="11">
        <f t="shared" si="312"/>
        <v>0</v>
      </c>
      <c r="AD1042" s="36">
        <f t="shared" si="304"/>
        <v>0</v>
      </c>
      <c r="AE1042" s="36"/>
      <c r="AF1042" s="36">
        <f>IFERROR(VLOOKUP(AE1042,'Chemical Cost'!A:D,4,0),0)</f>
        <v>0</v>
      </c>
      <c r="AG1042" s="114">
        <f t="shared" si="313"/>
        <v>0</v>
      </c>
      <c r="AH1042" s="36">
        <f t="shared" si="298"/>
        <v>0</v>
      </c>
      <c r="AI1042" s="36">
        <f t="shared" si="305"/>
        <v>0.14000000000000001</v>
      </c>
      <c r="AJ1042" s="36">
        <f>IFERROR(VLOOKUP(A1042,'All Products'!A:F,6,0),0)</f>
        <v>7.35</v>
      </c>
      <c r="AK1042" s="36"/>
      <c r="AL1042" s="23">
        <v>0.8</v>
      </c>
      <c r="AM1042" s="23">
        <v>0.2</v>
      </c>
      <c r="AN1042" s="54" t="e">
        <v>#N/A</v>
      </c>
      <c r="AO1042" s="47"/>
      <c r="AP1042" s="4">
        <v>1.6</v>
      </c>
      <c r="AQ1042" s="111">
        <f t="shared" si="314"/>
        <v>0</v>
      </c>
      <c r="AR1042">
        <f>_xlfn.XLOOKUP(F1042,'RM Cost'!A:A,'RM Cost'!S:S)</f>
        <v>0</v>
      </c>
      <c r="AS1042" t="str">
        <f>_xlfn.XLOOKUP(A1042,[3]Sheet1!$B:$B,[3]Sheet1!$B:$B)</f>
        <v>Z117CS</v>
      </c>
      <c r="AT1042" t="e">
        <f>_xlfn.XLOOKUP(H1042,'Yield &amp; Time'!A:A,'Yield &amp; Time'!F:F)</f>
        <v>#N/A</v>
      </c>
    </row>
    <row r="1043" spans="1:46" x14ac:dyDescent="0.25">
      <c r="A1043" s="2" t="s">
        <v>11</v>
      </c>
      <c r="B1043" s="2" t="s">
        <v>656</v>
      </c>
      <c r="C1043" s="2" t="s">
        <v>12</v>
      </c>
      <c r="D1043" s="2" t="s">
        <v>554</v>
      </c>
      <c r="E1043" s="2">
        <v>2.5</v>
      </c>
      <c r="F1043" s="1" t="str">
        <f>VLOOKUP(H1043,'RM Used'!A:B,2,0)</f>
        <v>3659CS</v>
      </c>
      <c r="G1043" s="1" t="str">
        <f>IFERROR(VLOOKUP(F1043,'RM Cost'!A:B,2,0),"")</f>
        <v>RM - TOMATOES VINE 5KG</v>
      </c>
      <c r="H1043" s="2" t="s">
        <v>1588</v>
      </c>
      <c r="I1043" s="1" t="str">
        <f>VLOOKUP(F1043,'RM Used'!B:D,3,0)</f>
        <v>RM-FOOD</v>
      </c>
      <c r="J1043" s="66">
        <v>1</v>
      </c>
      <c r="K1043" s="35">
        <f t="shared" si="300"/>
        <v>2.5</v>
      </c>
      <c r="L1043" s="35">
        <f t="shared" si="306"/>
        <v>2.5</v>
      </c>
      <c r="M1043" s="77" cm="1">
        <f t="array" ref="M1043">_xlfn.IFS(BOM!I1043="RM-PACKING","100%",B1043="Reynolds",VLOOKUP(H1043,'Yield &amp; Time'!A:V,22,0),BOM!B1043="Dnata",VLOOKUP(BOM!H1043,'Yield &amp; Time'!A:M,13,0),B1043="NK",VLOOKUP(H1043,'Yield &amp; Time'!A:X,24,0))</f>
        <v>0.52800000000000002</v>
      </c>
      <c r="N1043" s="35">
        <f t="shared" si="299"/>
        <v>4.7348484848484844</v>
      </c>
      <c r="O1043" s="1" t="str">
        <f>VLOOKUP(H1043,'RM Used'!A:E,5,0)</f>
        <v>KG</v>
      </c>
      <c r="P1043" s="11">
        <f>VLOOKUP(H1043,'RM Used'!A:F,6,0)</f>
        <v>1.02</v>
      </c>
      <c r="Q1043" s="11">
        <f t="shared" si="315"/>
        <v>4.8295454545454541</v>
      </c>
      <c r="R1043" s="11">
        <f>IFERROR(IF(B1043="Reynolds",VLOOKUP(H1043,'Yield &amp; Time'!A:U,21,0),VLOOKUP(H1043,'Yield &amp; Time'!A:L,12,0)),0)</f>
        <v>3.75</v>
      </c>
      <c r="S1043" s="11">
        <f t="shared" si="307"/>
        <v>3.1734374999999999</v>
      </c>
      <c r="T1043" s="11">
        <f t="shared" si="308"/>
        <v>0.15625</v>
      </c>
      <c r="U1043" s="11">
        <f>IF(A1042=A1043,0,VLOOKUP(A1043,'Packing Time'!A:F,6,0))</f>
        <v>0.875</v>
      </c>
      <c r="V1043" s="11">
        <f t="shared" si="301"/>
        <v>0.29618749999999999</v>
      </c>
      <c r="W1043" s="11">
        <f t="shared" si="302"/>
        <v>1.4583333333333334E-2</v>
      </c>
      <c r="X1043" s="11">
        <f t="shared" si="309"/>
        <v>3.8165874999999998</v>
      </c>
      <c r="Y1043" s="11">
        <f t="shared" si="303"/>
        <v>3.8165874999999998</v>
      </c>
      <c r="Z1043" s="37">
        <v>1</v>
      </c>
      <c r="AA1043" s="36">
        <f t="shared" si="310"/>
        <v>4.7348484848484844</v>
      </c>
      <c r="AB1043" s="36">
        <f t="shared" si="311"/>
        <v>4.8295454545454541</v>
      </c>
      <c r="AC1043" s="11">
        <f t="shared" si="312"/>
        <v>0.18791666666666668</v>
      </c>
      <c r="AD1043" s="36">
        <f t="shared" si="304"/>
        <v>3.8165874999999998</v>
      </c>
      <c r="AE1043" s="36" t="str">
        <f>VLOOKUP(H1043,'Yield &amp; Time'!A:I,9,0)</f>
        <v>CHLORINE</v>
      </c>
      <c r="AF1043" s="36">
        <f>IFERROR(VLOOKUP(AE1043,'Chemical Cost'!A:D,4,0),0)</f>
        <v>2.7756518066439469E-2</v>
      </c>
      <c r="AG1043" s="114">
        <f t="shared" si="313"/>
        <v>4.3807635837183501E-2</v>
      </c>
      <c r="AH1043" s="36">
        <f t="shared" si="298"/>
        <v>4.3807635837183501E-2</v>
      </c>
      <c r="AI1043" s="36">
        <f t="shared" si="305"/>
        <v>8.689940590382637</v>
      </c>
      <c r="AJ1043" s="36">
        <f>IFERROR(VLOOKUP(A1043,'All Products'!A:F,6,0),0)</f>
        <v>18.350000000000001</v>
      </c>
      <c r="AK1043" s="36">
        <f>AJ1043*Z1043*J1043</f>
        <v>18.350000000000001</v>
      </c>
      <c r="AL1043" s="23">
        <v>0.8</v>
      </c>
      <c r="AM1043" s="23">
        <v>0.2</v>
      </c>
      <c r="AN1043" s="54" t="e">
        <v>#N/A</v>
      </c>
      <c r="AO1043" s="47"/>
      <c r="AP1043" s="4">
        <v>1.1000000000000001</v>
      </c>
      <c r="AQ1043" s="111">
        <f t="shared" si="314"/>
        <v>0.18791666666666668</v>
      </c>
      <c r="AR1043">
        <f>_xlfn.XLOOKUP(F1043,'RM Cost'!A:A,'RM Cost'!S:S)</f>
        <v>0</v>
      </c>
      <c r="AS1043" t="str">
        <f>_xlfn.XLOOKUP(A1043,[3]Sheet1!$B:$B,[3]Sheet1!$B:$B)</f>
        <v>Z116CS</v>
      </c>
      <c r="AT1043">
        <f>_xlfn.XLOOKUP(H1043,'Yield &amp; Time'!A:A,'Yield &amp; Time'!F:F)</f>
        <v>0</v>
      </c>
    </row>
    <row r="1044" spans="1:46" x14ac:dyDescent="0.25">
      <c r="A1044" s="2" t="s">
        <v>11</v>
      </c>
      <c r="B1044" s="2" t="s">
        <v>656</v>
      </c>
      <c r="C1044" s="2" t="s">
        <v>12</v>
      </c>
      <c r="D1044" s="2" t="s">
        <v>554</v>
      </c>
      <c r="E1044" s="2">
        <v>2.5</v>
      </c>
      <c r="F1044" s="1" t="str">
        <f>VLOOKUP(H1044,'RM Used'!A:B,2,0)</f>
        <v>P0008</v>
      </c>
      <c r="G1044" s="1" t="str">
        <f>IFERROR(VLOOKUP(F1044,'RM Cost'!A:B,2,0),"")</f>
        <v>PALE BLUE BAG 470X750MM</v>
      </c>
      <c r="H1044" s="2" t="s">
        <v>1323</v>
      </c>
      <c r="I1044" s="1" t="str">
        <f>VLOOKUP(F1044,'RM Used'!B:D,3,0)</f>
        <v>RM-PACKING</v>
      </c>
      <c r="J1044" s="66">
        <v>1</v>
      </c>
      <c r="K1044" s="35" t="str">
        <f t="shared" si="300"/>
        <v/>
      </c>
      <c r="L1044" s="35">
        <f t="shared" si="306"/>
        <v>0</v>
      </c>
      <c r="M1044" s="77" t="str" cm="1">
        <f t="array" ref="M1044">_xlfn.IFS(BOM!I1044="RM-PACKING","100%",B1044="Reynolds",VLOOKUP(H1044,'Yield &amp; Time'!A:V,22,0),BOM!B1044="Dnata",VLOOKUP(BOM!H1044,'Yield &amp; Time'!A:M,13,0),B1044="NK",VLOOKUP(H1044,'Yield &amp; Time'!A:X,24,0))</f>
        <v>100%</v>
      </c>
      <c r="N1044" s="35">
        <f t="shared" si="299"/>
        <v>1</v>
      </c>
      <c r="O1044" s="1" t="str">
        <f>VLOOKUP(H1044,'RM Used'!A:E,5,0)</f>
        <v>Count</v>
      </c>
      <c r="P1044" s="11">
        <f>VLOOKUP(H1044,'RM Used'!A:F,6,0)</f>
        <v>0.14000000000000001</v>
      </c>
      <c r="Q1044" s="11">
        <f t="shared" si="315"/>
        <v>0.14000000000000001</v>
      </c>
      <c r="R1044" s="11">
        <f>IFERROR(IF(B1044="Reynolds",VLOOKUP(H1044,'Yield &amp; Time'!A:U,21,0),VLOOKUP(H1044,'Yield &amp; Time'!A:L,12,0)),0)</f>
        <v>0</v>
      </c>
      <c r="S1044" s="11">
        <f t="shared" si="307"/>
        <v>0</v>
      </c>
      <c r="T1044" s="11">
        <f t="shared" si="308"/>
        <v>0</v>
      </c>
      <c r="U1044" s="11">
        <f>IF(A1043=A1044,0,VLOOKUP(A1044,'Packing Time'!A:F,6,0))</f>
        <v>0</v>
      </c>
      <c r="V1044" s="11">
        <f t="shared" si="301"/>
        <v>0</v>
      </c>
      <c r="W1044" s="11">
        <f t="shared" si="302"/>
        <v>0</v>
      </c>
      <c r="X1044" s="11">
        <f t="shared" si="309"/>
        <v>0</v>
      </c>
      <c r="Y1044" s="11">
        <f t="shared" si="303"/>
        <v>0</v>
      </c>
      <c r="Z1044" s="37">
        <v>1</v>
      </c>
      <c r="AA1044" s="36">
        <f t="shared" si="310"/>
        <v>1</v>
      </c>
      <c r="AB1044" s="36">
        <f t="shared" si="311"/>
        <v>0.14000000000000001</v>
      </c>
      <c r="AC1044" s="11">
        <f t="shared" si="312"/>
        <v>0</v>
      </c>
      <c r="AD1044" s="36">
        <f t="shared" si="304"/>
        <v>0</v>
      </c>
      <c r="AE1044" s="36"/>
      <c r="AF1044" s="36">
        <f>IFERROR(VLOOKUP(AE1044,'Chemical Cost'!A:D,4,0),0)</f>
        <v>0</v>
      </c>
      <c r="AG1044" s="114">
        <f t="shared" si="313"/>
        <v>0</v>
      </c>
      <c r="AH1044" s="36">
        <f t="shared" si="298"/>
        <v>0</v>
      </c>
      <c r="AI1044" s="36">
        <f t="shared" si="305"/>
        <v>0.14000000000000001</v>
      </c>
      <c r="AJ1044" s="36">
        <f>IFERROR(VLOOKUP(A1044,'All Products'!A:F,6,0),0)</f>
        <v>18.350000000000001</v>
      </c>
      <c r="AK1044" s="36"/>
      <c r="AL1044" s="23">
        <v>0.8</v>
      </c>
      <c r="AM1044" s="23">
        <v>0.2</v>
      </c>
      <c r="AN1044" s="54" t="e">
        <v>#N/A</v>
      </c>
      <c r="AO1044" s="47"/>
      <c r="AP1044" s="4">
        <v>1.1000000000000001</v>
      </c>
      <c r="AQ1044" s="111">
        <f t="shared" si="314"/>
        <v>0</v>
      </c>
      <c r="AR1044">
        <f>_xlfn.XLOOKUP(F1044,'RM Cost'!A:A,'RM Cost'!S:S)</f>
        <v>0</v>
      </c>
      <c r="AS1044" t="str">
        <f>_xlfn.XLOOKUP(A1044,[3]Sheet1!$B:$B,[3]Sheet1!$B:$B)</f>
        <v>Z116CS</v>
      </c>
      <c r="AT1044" t="e">
        <f>_xlfn.XLOOKUP(H1044,'Yield &amp; Time'!A:A,'Yield &amp; Time'!F:F)</f>
        <v>#N/A</v>
      </c>
    </row>
    <row r="1045" spans="1:46" x14ac:dyDescent="0.25">
      <c r="A1045" s="2" t="s">
        <v>7</v>
      </c>
      <c r="B1045" s="2" t="s">
        <v>656</v>
      </c>
      <c r="C1045" s="2" t="s">
        <v>8</v>
      </c>
      <c r="D1045" s="2" t="s">
        <v>554</v>
      </c>
      <c r="E1045" s="2">
        <v>1</v>
      </c>
      <c r="F1045" s="1" t="str">
        <f>VLOOKUP(H1045,'RM Used'!A:B,2,0)</f>
        <v>3288CS</v>
      </c>
      <c r="G1045" s="1" t="str">
        <f>IFERROR(VLOOKUP(F1045,'RM Cost'!A:B,2,0),"")</f>
        <v>RM - TURNIPS X5KG</v>
      </c>
      <c r="H1045" s="2" t="s">
        <v>1371</v>
      </c>
      <c r="I1045" s="1" t="str">
        <f>VLOOKUP(F1045,'RM Used'!B:D,3,0)</f>
        <v>RM-FOOD</v>
      </c>
      <c r="J1045" s="66">
        <v>1</v>
      </c>
      <c r="K1045" s="35">
        <f t="shared" si="300"/>
        <v>1</v>
      </c>
      <c r="L1045" s="35">
        <f t="shared" si="306"/>
        <v>1</v>
      </c>
      <c r="M1045" s="77" cm="1">
        <f t="array" ref="M1045">_xlfn.IFS(BOM!I1045="RM-PACKING","100%",B1045="Reynolds",VLOOKUP(H1045,'Yield &amp; Time'!A:V,22,0),BOM!B1045="Dnata",VLOOKUP(BOM!H1045,'Yield &amp; Time'!A:M,13,0),B1045="NK",VLOOKUP(H1045,'Yield &amp; Time'!A:X,24,0))</f>
        <v>0.68688585231193933</v>
      </c>
      <c r="N1045" s="35">
        <f t="shared" si="299"/>
        <v>1.4558459700897499</v>
      </c>
      <c r="O1045" s="1" t="str">
        <f>VLOOKUP(H1045,'RM Used'!A:E,5,0)</f>
        <v>KG</v>
      </c>
      <c r="P1045" s="11">
        <f>VLOOKUP(H1045,'RM Used'!A:F,6,0)</f>
        <v>0.68</v>
      </c>
      <c r="Q1045" s="11">
        <f t="shared" si="315"/>
        <v>0.98997525966103006</v>
      </c>
      <c r="R1045" s="11">
        <f>IFERROR(IF(B1045="Reynolds",VLOOKUP(H1045,'Yield &amp; Time'!A:U,21,0),VLOOKUP(H1045,'Yield &amp; Time'!A:L,12,0)),0)</f>
        <v>1.90291727820905</v>
      </c>
      <c r="S1045" s="11">
        <f t="shared" si="307"/>
        <v>0.64413749867376335</v>
      </c>
      <c r="T1045" s="11">
        <f t="shared" si="308"/>
        <v>3.1715287970150836E-2</v>
      </c>
      <c r="U1045" s="11">
        <f>IF(A1044=A1045,0,VLOOKUP(A1045,'Packing Time'!A:F,6,0))</f>
        <v>0.64166666666666661</v>
      </c>
      <c r="V1045" s="11">
        <f t="shared" si="301"/>
        <v>0.21720416666666661</v>
      </c>
      <c r="W1045" s="11">
        <f t="shared" si="302"/>
        <v>1.0694444444444444E-2</v>
      </c>
      <c r="X1045" s="11">
        <f t="shared" si="309"/>
        <v>1.378146664544688</v>
      </c>
      <c r="Y1045" s="11">
        <f t="shared" si="303"/>
        <v>1.378146664544688</v>
      </c>
      <c r="Z1045" s="37">
        <v>1</v>
      </c>
      <c r="AA1045" s="36">
        <f t="shared" si="310"/>
        <v>1.4558459700897499</v>
      </c>
      <c r="AB1045" s="36">
        <f t="shared" si="311"/>
        <v>0.98997525966103006</v>
      </c>
      <c r="AC1045" s="11">
        <f t="shared" si="312"/>
        <v>6.7855571863352435E-2</v>
      </c>
      <c r="AD1045" s="36">
        <f t="shared" si="304"/>
        <v>1.3781466645446878</v>
      </c>
      <c r="AE1045" s="36"/>
      <c r="AF1045" s="36">
        <f>IFERROR(VLOOKUP(AE1045,'Chemical Cost'!A:D,4,0),0)</f>
        <v>0</v>
      </c>
      <c r="AG1045" s="114">
        <f t="shared" si="313"/>
        <v>0</v>
      </c>
      <c r="AH1045" s="36">
        <f t="shared" si="298"/>
        <v>0</v>
      </c>
      <c r="AI1045" s="36">
        <f t="shared" si="305"/>
        <v>2.3681219242057181</v>
      </c>
      <c r="AJ1045" s="36">
        <f>IFERROR(VLOOKUP(A1045,'All Products'!A:F,6,0),0)</f>
        <v>11.54</v>
      </c>
      <c r="AK1045" s="36">
        <f>AJ1045*Z1045*J1045</f>
        <v>11.54</v>
      </c>
      <c r="AL1045" s="23">
        <v>1</v>
      </c>
      <c r="AM1045" s="23"/>
      <c r="AN1045" s="54" t="e">
        <v>#N/A</v>
      </c>
      <c r="AO1045" s="47"/>
      <c r="AP1045" s="4">
        <v>1.6</v>
      </c>
      <c r="AQ1045" s="111">
        <f t="shared" si="314"/>
        <v>6.7855571863352435E-2</v>
      </c>
      <c r="AR1045">
        <f>_xlfn.XLOOKUP(F1045,'RM Cost'!A:A,'RM Cost'!S:S)</f>
        <v>0</v>
      </c>
      <c r="AS1045" t="str">
        <f>_xlfn.XLOOKUP(A1045,[3]Sheet1!$B:$B,[3]Sheet1!$B:$B)</f>
        <v>Z347CS</v>
      </c>
      <c r="AT1045">
        <f>_xlfn.XLOOKUP(H1045,'Yield &amp; Time'!A:A,'Yield &amp; Time'!F:F)</f>
        <v>0</v>
      </c>
    </row>
    <row r="1046" spans="1:46" x14ac:dyDescent="0.25">
      <c r="A1046" s="2" t="s">
        <v>7</v>
      </c>
      <c r="B1046" s="2" t="s">
        <v>656</v>
      </c>
      <c r="C1046" s="2" t="s">
        <v>8</v>
      </c>
      <c r="D1046" s="2" t="s">
        <v>554</v>
      </c>
      <c r="E1046" s="2">
        <v>1</v>
      </c>
      <c r="F1046" s="1" t="str">
        <f>VLOOKUP(H1046,'RM Used'!A:B,2,0)</f>
        <v>P0008</v>
      </c>
      <c r="G1046" s="1" t="str">
        <f>IFERROR(VLOOKUP(F1046,'RM Cost'!A:B,2,0),"")</f>
        <v>PALE BLUE BAG 470X750MM</v>
      </c>
      <c r="H1046" s="2" t="s">
        <v>1323</v>
      </c>
      <c r="I1046" s="1" t="str">
        <f>VLOOKUP(F1046,'RM Used'!B:D,3,0)</f>
        <v>RM-PACKING</v>
      </c>
      <c r="J1046" s="66">
        <v>1</v>
      </c>
      <c r="K1046" s="35" t="str">
        <f t="shared" si="300"/>
        <v/>
      </c>
      <c r="L1046" s="35">
        <f t="shared" si="306"/>
        <v>0</v>
      </c>
      <c r="M1046" s="77" t="str" cm="1">
        <f t="array" ref="M1046">_xlfn.IFS(BOM!I1046="RM-PACKING","100%",B1046="Reynolds",VLOOKUP(H1046,'Yield &amp; Time'!A:V,22,0),BOM!B1046="Dnata",VLOOKUP(BOM!H1046,'Yield &amp; Time'!A:M,13,0),B1046="NK",VLOOKUP(H1046,'Yield &amp; Time'!A:X,24,0))</f>
        <v>100%</v>
      </c>
      <c r="N1046" s="35">
        <f t="shared" si="299"/>
        <v>1</v>
      </c>
      <c r="O1046" s="1" t="str">
        <f>VLOOKUP(H1046,'RM Used'!A:E,5,0)</f>
        <v>Count</v>
      </c>
      <c r="P1046" s="11">
        <f>VLOOKUP(H1046,'RM Used'!A:F,6,0)</f>
        <v>0.14000000000000001</v>
      </c>
      <c r="Q1046" s="11">
        <f t="shared" si="315"/>
        <v>0.14000000000000001</v>
      </c>
      <c r="R1046" s="11">
        <f>IFERROR(IF(B1046="Reynolds",VLOOKUP(H1046,'Yield &amp; Time'!A:U,21,0),VLOOKUP(H1046,'Yield &amp; Time'!A:L,12,0)),0)</f>
        <v>0</v>
      </c>
      <c r="S1046" s="11">
        <f t="shared" si="307"/>
        <v>0</v>
      </c>
      <c r="T1046" s="11">
        <f t="shared" si="308"/>
        <v>0</v>
      </c>
      <c r="U1046" s="11">
        <f>IF(A1045=A1046,0,VLOOKUP(A1046,'Packing Time'!A:F,6,0))</f>
        <v>0</v>
      </c>
      <c r="V1046" s="11">
        <f t="shared" si="301"/>
        <v>0</v>
      </c>
      <c r="W1046" s="11">
        <f t="shared" si="302"/>
        <v>0</v>
      </c>
      <c r="X1046" s="11">
        <f t="shared" si="309"/>
        <v>0</v>
      </c>
      <c r="Y1046" s="11">
        <f t="shared" si="303"/>
        <v>0</v>
      </c>
      <c r="Z1046" s="37">
        <v>1</v>
      </c>
      <c r="AA1046" s="36">
        <f t="shared" si="310"/>
        <v>1</v>
      </c>
      <c r="AB1046" s="36">
        <f t="shared" si="311"/>
        <v>0.14000000000000001</v>
      </c>
      <c r="AC1046" s="11">
        <f t="shared" si="312"/>
        <v>0</v>
      </c>
      <c r="AD1046" s="36">
        <f t="shared" si="304"/>
        <v>0</v>
      </c>
      <c r="AE1046" s="36"/>
      <c r="AF1046" s="36">
        <f>IFERROR(VLOOKUP(AE1046,'Chemical Cost'!A:D,4,0),0)</f>
        <v>0</v>
      </c>
      <c r="AG1046" s="114">
        <f t="shared" si="313"/>
        <v>0</v>
      </c>
      <c r="AH1046" s="36">
        <f t="shared" ref="AH1046:AH1109" si="316">AF1046*AA1046/3</f>
        <v>0</v>
      </c>
      <c r="AI1046" s="36">
        <f t="shared" si="305"/>
        <v>0.14000000000000001</v>
      </c>
      <c r="AJ1046" s="36">
        <f>IFERROR(VLOOKUP(A1046,'All Products'!A:F,6,0),0)</f>
        <v>11.54</v>
      </c>
      <c r="AK1046" s="36"/>
      <c r="AL1046" s="23">
        <v>1</v>
      </c>
      <c r="AM1046" s="23"/>
      <c r="AN1046" s="54" t="e">
        <v>#N/A</v>
      </c>
      <c r="AO1046" s="47"/>
      <c r="AP1046" s="4">
        <v>1.6</v>
      </c>
      <c r="AQ1046" s="111">
        <f t="shared" si="314"/>
        <v>0</v>
      </c>
      <c r="AR1046">
        <f>_xlfn.XLOOKUP(F1046,'RM Cost'!A:A,'RM Cost'!S:S)</f>
        <v>0</v>
      </c>
      <c r="AS1046" t="str">
        <f>_xlfn.XLOOKUP(A1046,[3]Sheet1!$B:$B,[3]Sheet1!$B:$B)</f>
        <v>Z347CS</v>
      </c>
      <c r="AT1046" t="e">
        <f>_xlfn.XLOOKUP(H1046,'Yield &amp; Time'!A:A,'Yield &amp; Time'!F:F)</f>
        <v>#N/A</v>
      </c>
    </row>
    <row r="1047" spans="1:46" x14ac:dyDescent="0.25">
      <c r="A1047" s="2" t="s">
        <v>945</v>
      </c>
      <c r="B1047" s="2" t="s">
        <v>656</v>
      </c>
      <c r="C1047" s="2" t="s">
        <v>946</v>
      </c>
      <c r="D1047" s="2" t="s">
        <v>554</v>
      </c>
      <c r="E1047" s="2">
        <v>2.5</v>
      </c>
      <c r="F1047" s="1" t="str">
        <f>VLOOKUP(H1047,'RM Used'!A:B,2,0)</f>
        <v>3288CS</v>
      </c>
      <c r="G1047" s="1" t="str">
        <f>IFERROR(VLOOKUP(F1047,'RM Cost'!A:B,2,0),"")</f>
        <v>RM - TURNIPS X5KG</v>
      </c>
      <c r="H1047" s="2" t="s">
        <v>1371</v>
      </c>
      <c r="I1047" s="1" t="str">
        <f>VLOOKUP(F1047,'RM Used'!B:D,3,0)</f>
        <v>RM-FOOD</v>
      </c>
      <c r="J1047" s="66">
        <v>1</v>
      </c>
      <c r="K1047" s="35">
        <f t="shared" si="300"/>
        <v>2.5</v>
      </c>
      <c r="L1047" s="35">
        <f t="shared" si="306"/>
        <v>2.5</v>
      </c>
      <c r="M1047" s="77" cm="1">
        <f t="array" ref="M1047">_xlfn.IFS(BOM!I1047="RM-PACKING","100%",B1047="Reynolds",VLOOKUP(H1047,'Yield &amp; Time'!A:V,22,0),BOM!B1047="Dnata",VLOOKUP(BOM!H1047,'Yield &amp; Time'!A:M,13,0),B1047="NK",VLOOKUP(H1047,'Yield &amp; Time'!A:X,24,0))</f>
        <v>0.68688585231193933</v>
      </c>
      <c r="N1047" s="35">
        <f t="shared" si="299"/>
        <v>3.6396149252243748</v>
      </c>
      <c r="O1047" s="1" t="str">
        <f>VLOOKUP(H1047,'RM Used'!A:E,5,0)</f>
        <v>KG</v>
      </c>
      <c r="P1047" s="11">
        <f>VLOOKUP(H1047,'RM Used'!A:F,6,0)</f>
        <v>0.68</v>
      </c>
      <c r="Q1047" s="11">
        <f t="shared" si="315"/>
        <v>2.474938149152575</v>
      </c>
      <c r="R1047" s="11">
        <f>IFERROR(IF(B1047="Reynolds",VLOOKUP(H1047,'Yield &amp; Time'!A:U,21,0),VLOOKUP(H1047,'Yield &amp; Time'!A:L,12,0)),0)</f>
        <v>1.90291727820905</v>
      </c>
      <c r="S1047" s="11">
        <f t="shared" si="307"/>
        <v>1.6103437466844082</v>
      </c>
      <c r="T1047" s="11">
        <f t="shared" si="308"/>
        <v>7.9288219925377074E-2</v>
      </c>
      <c r="U1047" s="11">
        <f>IF(A1046=A1047,0,VLOOKUP(A1047,'Packing Time'!A:F,6,0))</f>
        <v>0.875</v>
      </c>
      <c r="V1047" s="11">
        <f t="shared" si="301"/>
        <v>0.29618749999999999</v>
      </c>
      <c r="W1047" s="11">
        <f t="shared" si="302"/>
        <v>1.4583333333333334E-2</v>
      </c>
      <c r="X1047" s="11">
        <f t="shared" si="309"/>
        <v>3.0504499946950534</v>
      </c>
      <c r="Y1047" s="11">
        <f t="shared" si="303"/>
        <v>3.0504499946950534</v>
      </c>
      <c r="Z1047" s="37">
        <v>1</v>
      </c>
      <c r="AA1047" s="36">
        <f t="shared" si="310"/>
        <v>3.6396149252243748</v>
      </c>
      <c r="AB1047" s="36">
        <f t="shared" si="311"/>
        <v>2.474938149152575</v>
      </c>
      <c r="AC1047" s="11">
        <f t="shared" si="312"/>
        <v>0.15019448521393666</v>
      </c>
      <c r="AD1047" s="36">
        <f t="shared" si="304"/>
        <v>3.0504499946950534</v>
      </c>
      <c r="AE1047" s="36"/>
      <c r="AF1047" s="36">
        <f>IFERROR(VLOOKUP(AE1047,'Chemical Cost'!A:D,4,0),0)</f>
        <v>0</v>
      </c>
      <c r="AG1047" s="114">
        <f t="shared" si="313"/>
        <v>0</v>
      </c>
      <c r="AH1047" s="36">
        <f t="shared" si="316"/>
        <v>0</v>
      </c>
      <c r="AI1047" s="36">
        <f t="shared" si="305"/>
        <v>5.5253881438476284</v>
      </c>
      <c r="AJ1047" s="36">
        <f>IFERROR(VLOOKUP(A1047,'All Products'!A:F,6,0),0)</f>
        <v>28.83</v>
      </c>
      <c r="AK1047" s="36">
        <f>AJ1047*Z1047*J1047</f>
        <v>28.83</v>
      </c>
      <c r="AL1047" s="23">
        <v>1</v>
      </c>
      <c r="AM1047" s="23"/>
      <c r="AN1047" s="54" t="e">
        <v>#N/A</v>
      </c>
      <c r="AO1047" s="47"/>
      <c r="AP1047" s="4">
        <v>1.6</v>
      </c>
      <c r="AQ1047" s="111">
        <f t="shared" si="314"/>
        <v>0.15019448521393666</v>
      </c>
      <c r="AR1047">
        <f>_xlfn.XLOOKUP(F1047,'RM Cost'!A:A,'RM Cost'!S:S)</f>
        <v>0</v>
      </c>
      <c r="AS1047" t="str">
        <f>_xlfn.XLOOKUP(A1047,[3]Sheet1!$B:$B,[3]Sheet1!$B:$B)</f>
        <v>Z346CS</v>
      </c>
      <c r="AT1047">
        <f>_xlfn.XLOOKUP(H1047,'Yield &amp; Time'!A:A,'Yield &amp; Time'!F:F)</f>
        <v>0</v>
      </c>
    </row>
    <row r="1048" spans="1:46" x14ac:dyDescent="0.25">
      <c r="A1048" s="2" t="s">
        <v>945</v>
      </c>
      <c r="B1048" s="2" t="s">
        <v>656</v>
      </c>
      <c r="C1048" s="2" t="s">
        <v>946</v>
      </c>
      <c r="D1048" s="2" t="s">
        <v>554</v>
      </c>
      <c r="E1048" s="2">
        <v>2.5</v>
      </c>
      <c r="F1048" s="1" t="str">
        <f>VLOOKUP(H1048,'RM Used'!A:B,2,0)</f>
        <v>P0008</v>
      </c>
      <c r="G1048" s="1" t="str">
        <f>IFERROR(VLOOKUP(F1048,'RM Cost'!A:B,2,0),"")</f>
        <v>PALE BLUE BAG 470X750MM</v>
      </c>
      <c r="H1048" s="2" t="s">
        <v>1323</v>
      </c>
      <c r="I1048" s="1" t="str">
        <f>VLOOKUP(F1048,'RM Used'!B:D,3,0)</f>
        <v>RM-PACKING</v>
      </c>
      <c r="J1048" s="66">
        <v>1</v>
      </c>
      <c r="K1048" s="35" t="str">
        <f t="shared" si="300"/>
        <v/>
      </c>
      <c r="L1048" s="35">
        <f t="shared" si="306"/>
        <v>0</v>
      </c>
      <c r="M1048" s="77" t="str" cm="1">
        <f t="array" ref="M1048">_xlfn.IFS(BOM!I1048="RM-PACKING","100%",B1048="Reynolds",VLOOKUP(H1048,'Yield &amp; Time'!A:V,22,0),BOM!B1048="Dnata",VLOOKUP(BOM!H1048,'Yield &amp; Time'!A:M,13,0),B1048="NK",VLOOKUP(H1048,'Yield &amp; Time'!A:X,24,0))</f>
        <v>100%</v>
      </c>
      <c r="N1048" s="35">
        <f t="shared" si="299"/>
        <v>1</v>
      </c>
      <c r="O1048" s="1" t="str">
        <f>VLOOKUP(H1048,'RM Used'!A:E,5,0)</f>
        <v>Count</v>
      </c>
      <c r="P1048" s="11">
        <f>VLOOKUP(H1048,'RM Used'!A:F,6,0)</f>
        <v>0.14000000000000001</v>
      </c>
      <c r="Q1048" s="11">
        <f t="shared" si="315"/>
        <v>0.14000000000000001</v>
      </c>
      <c r="R1048" s="11">
        <f>IFERROR(IF(B1048="Reynolds",VLOOKUP(H1048,'Yield &amp; Time'!A:U,21,0),VLOOKUP(H1048,'Yield &amp; Time'!A:L,12,0)),0)</f>
        <v>0</v>
      </c>
      <c r="S1048" s="11">
        <f t="shared" si="307"/>
        <v>0</v>
      </c>
      <c r="T1048" s="11">
        <f t="shared" si="308"/>
        <v>0</v>
      </c>
      <c r="U1048" s="11">
        <f>IF(A1047=A1048,0,VLOOKUP(A1048,'Packing Time'!A:F,6,0))</f>
        <v>0</v>
      </c>
      <c r="V1048" s="11">
        <f t="shared" si="301"/>
        <v>0</v>
      </c>
      <c r="W1048" s="11">
        <f t="shared" si="302"/>
        <v>0</v>
      </c>
      <c r="X1048" s="11">
        <f t="shared" si="309"/>
        <v>0</v>
      </c>
      <c r="Y1048" s="11">
        <f t="shared" si="303"/>
        <v>0</v>
      </c>
      <c r="Z1048" s="37">
        <v>1</v>
      </c>
      <c r="AA1048" s="36">
        <f t="shared" si="310"/>
        <v>1</v>
      </c>
      <c r="AB1048" s="36">
        <f t="shared" si="311"/>
        <v>0.14000000000000001</v>
      </c>
      <c r="AC1048" s="11">
        <f t="shared" si="312"/>
        <v>0</v>
      </c>
      <c r="AD1048" s="36">
        <f t="shared" si="304"/>
        <v>0</v>
      </c>
      <c r="AE1048" s="36"/>
      <c r="AF1048" s="36">
        <f>IFERROR(VLOOKUP(AE1048,'Chemical Cost'!A:D,4,0),0)</f>
        <v>0</v>
      </c>
      <c r="AG1048" s="114">
        <f t="shared" si="313"/>
        <v>0</v>
      </c>
      <c r="AH1048" s="36">
        <f t="shared" si="316"/>
        <v>0</v>
      </c>
      <c r="AI1048" s="36">
        <f t="shared" si="305"/>
        <v>0.14000000000000001</v>
      </c>
      <c r="AJ1048" s="36">
        <f>IFERROR(VLOOKUP(A1048,'All Products'!A:F,6,0),0)</f>
        <v>28.83</v>
      </c>
      <c r="AK1048" s="36"/>
      <c r="AL1048" s="23">
        <v>1</v>
      </c>
      <c r="AM1048" s="23"/>
      <c r="AN1048" s="54" t="e">
        <v>#N/A</v>
      </c>
      <c r="AO1048" s="47"/>
      <c r="AP1048" s="4">
        <v>1.6</v>
      </c>
      <c r="AQ1048" s="111">
        <f t="shared" si="314"/>
        <v>0</v>
      </c>
      <c r="AR1048">
        <f>_xlfn.XLOOKUP(F1048,'RM Cost'!A:A,'RM Cost'!S:S)</f>
        <v>0</v>
      </c>
      <c r="AS1048" t="str">
        <f>_xlfn.XLOOKUP(A1048,[3]Sheet1!$B:$B,[3]Sheet1!$B:$B)</f>
        <v>Z346CS</v>
      </c>
      <c r="AT1048" t="e">
        <f>_xlfn.XLOOKUP(H1048,'Yield &amp; Time'!A:A,'Yield &amp; Time'!F:F)</f>
        <v>#N/A</v>
      </c>
    </row>
    <row r="1049" spans="1:46" x14ac:dyDescent="0.25">
      <c r="A1049" s="2" t="s">
        <v>947</v>
      </c>
      <c r="B1049" s="2" t="s">
        <v>656</v>
      </c>
      <c r="C1049" s="2" t="s">
        <v>948</v>
      </c>
      <c r="D1049" s="2" t="s">
        <v>554</v>
      </c>
      <c r="E1049" s="2">
        <v>1</v>
      </c>
      <c r="F1049" s="1" t="str">
        <f>VLOOKUP(H1049,'RM Used'!A:B,2,0)</f>
        <v>3288CS</v>
      </c>
      <c r="G1049" s="1" t="str">
        <f>IFERROR(VLOOKUP(F1049,'RM Cost'!A:B,2,0),"")</f>
        <v>RM - TURNIPS X5KG</v>
      </c>
      <c r="H1049" s="2" t="s">
        <v>1589</v>
      </c>
      <c r="I1049" s="1" t="str">
        <f>VLOOKUP(F1049,'RM Used'!B:D,3,0)</f>
        <v>RM-FOOD</v>
      </c>
      <c r="J1049" s="66">
        <v>1</v>
      </c>
      <c r="K1049" s="35">
        <f t="shared" si="300"/>
        <v>1</v>
      </c>
      <c r="L1049" s="35">
        <f t="shared" si="306"/>
        <v>1</v>
      </c>
      <c r="M1049" s="77" cm="1">
        <f t="array" ref="M1049">_xlfn.IFS(BOM!I1049="RM-PACKING","100%",B1049="Reynolds",VLOOKUP(H1049,'Yield &amp; Time'!A:V,22,0),BOM!B1049="Dnata",VLOOKUP(BOM!H1049,'Yield &amp; Time'!A:M,13,0),B1049="NK",VLOOKUP(H1049,'Yield &amp; Time'!A:X,24,0))</f>
        <v>0.7911111111111111</v>
      </c>
      <c r="N1049" s="35">
        <f t="shared" si="299"/>
        <v>1.2640449438202248</v>
      </c>
      <c r="O1049" s="1" t="str">
        <f>VLOOKUP(H1049,'RM Used'!A:E,5,0)</f>
        <v>KG</v>
      </c>
      <c r="P1049" s="11">
        <f>VLOOKUP(H1049,'RM Used'!A:F,6,0)</f>
        <v>0.68</v>
      </c>
      <c r="Q1049" s="11">
        <f t="shared" si="315"/>
        <v>0.85955056179775291</v>
      </c>
      <c r="R1049" s="11">
        <f>IFERROR(IF(B1049="Reynolds",VLOOKUP(H1049,'Yield &amp; Time'!A:U,21,0),VLOOKUP(H1049,'Yield &amp; Time'!A:L,12,0)),0)</f>
        <v>3.3707865168539324</v>
      </c>
      <c r="S1049" s="11">
        <f t="shared" si="307"/>
        <v>1.1410112359550559</v>
      </c>
      <c r="T1049" s="11">
        <f t="shared" si="308"/>
        <v>5.6179775280898875E-2</v>
      </c>
      <c r="U1049" s="11">
        <f>IF(A1048=A1049,0,VLOOKUP(A1049,'Packing Time'!A:F,6,0))</f>
        <v>0.64166666666666661</v>
      </c>
      <c r="V1049" s="11">
        <f t="shared" si="301"/>
        <v>0.21720416666666661</v>
      </c>
      <c r="W1049" s="11">
        <f t="shared" si="302"/>
        <v>1.0694444444444444E-2</v>
      </c>
      <c r="X1049" s="11">
        <f t="shared" si="309"/>
        <v>2.1731446441947564</v>
      </c>
      <c r="Y1049" s="11">
        <f t="shared" si="303"/>
        <v>2.1731446441947564</v>
      </c>
      <c r="Z1049" s="37">
        <v>1</v>
      </c>
      <c r="AA1049" s="36">
        <f t="shared" si="310"/>
        <v>1.2640449438202248</v>
      </c>
      <c r="AB1049" s="36">
        <f t="shared" si="311"/>
        <v>0.85955056179775291</v>
      </c>
      <c r="AC1049" s="11">
        <f t="shared" si="312"/>
        <v>0.1069987515605493</v>
      </c>
      <c r="AD1049" s="36">
        <f t="shared" si="304"/>
        <v>2.1731446441947564</v>
      </c>
      <c r="AE1049" s="36"/>
      <c r="AF1049" s="36">
        <f>IFERROR(VLOOKUP(AE1049,'Chemical Cost'!A:D,4,0),0)</f>
        <v>0</v>
      </c>
      <c r="AG1049" s="114">
        <f t="shared" si="313"/>
        <v>0</v>
      </c>
      <c r="AH1049" s="36">
        <f t="shared" si="316"/>
        <v>0</v>
      </c>
      <c r="AI1049" s="36">
        <f t="shared" si="305"/>
        <v>3.0326952059925092</v>
      </c>
      <c r="AJ1049" s="36">
        <f>IFERROR(VLOOKUP(A1049,'All Products'!A:F,6,0),0)</f>
        <v>8.31</v>
      </c>
      <c r="AK1049" s="36">
        <f>AJ1049*Z1049*J1049</f>
        <v>8.31</v>
      </c>
      <c r="AL1049" s="23">
        <v>1</v>
      </c>
      <c r="AM1049" s="23"/>
      <c r="AN1049" s="54" t="e">
        <v>#N/A</v>
      </c>
      <c r="AO1049" s="47"/>
      <c r="AP1049" s="4">
        <v>1.6</v>
      </c>
      <c r="AQ1049" s="111">
        <f t="shared" si="314"/>
        <v>0.1069987515605493</v>
      </c>
      <c r="AR1049">
        <f>_xlfn.XLOOKUP(F1049,'RM Cost'!A:A,'RM Cost'!S:S)</f>
        <v>0</v>
      </c>
      <c r="AS1049" t="e">
        <f>_xlfn.XLOOKUP(A1049,[3]Sheet1!$B:$B,[3]Sheet1!$B:$B)</f>
        <v>#N/A</v>
      </c>
    </row>
    <row r="1050" spans="1:46" x14ac:dyDescent="0.25">
      <c r="A1050" s="2" t="s">
        <v>947</v>
      </c>
      <c r="B1050" s="2" t="s">
        <v>656</v>
      </c>
      <c r="C1050" s="2" t="s">
        <v>948</v>
      </c>
      <c r="D1050" s="2" t="s">
        <v>554</v>
      </c>
      <c r="E1050" s="2">
        <v>1</v>
      </c>
      <c r="F1050" s="1" t="str">
        <f>VLOOKUP(H1050,'RM Used'!A:B,2,0)</f>
        <v>P0008</v>
      </c>
      <c r="G1050" s="1" t="str">
        <f>IFERROR(VLOOKUP(F1050,'RM Cost'!A:B,2,0),"")</f>
        <v>PALE BLUE BAG 470X750MM</v>
      </c>
      <c r="H1050" s="2" t="s">
        <v>1323</v>
      </c>
      <c r="I1050" s="1" t="str">
        <f>VLOOKUP(F1050,'RM Used'!B:D,3,0)</f>
        <v>RM-PACKING</v>
      </c>
      <c r="J1050" s="66">
        <v>1</v>
      </c>
      <c r="K1050" s="35" t="str">
        <f t="shared" si="300"/>
        <v/>
      </c>
      <c r="L1050" s="35">
        <f t="shared" si="306"/>
        <v>0</v>
      </c>
      <c r="M1050" s="77" t="str" cm="1">
        <f t="array" ref="M1050">_xlfn.IFS(BOM!I1050="RM-PACKING","100%",B1050="Reynolds",VLOOKUP(H1050,'Yield &amp; Time'!A:V,22,0),BOM!B1050="Dnata",VLOOKUP(BOM!H1050,'Yield &amp; Time'!A:M,13,0),B1050="NK",VLOOKUP(H1050,'Yield &amp; Time'!A:X,24,0))</f>
        <v>100%</v>
      </c>
      <c r="N1050" s="35">
        <f t="shared" si="299"/>
        <v>1</v>
      </c>
      <c r="O1050" s="1" t="str">
        <f>VLOOKUP(H1050,'RM Used'!A:E,5,0)</f>
        <v>Count</v>
      </c>
      <c r="P1050" s="11">
        <f>VLOOKUP(H1050,'RM Used'!A:F,6,0)</f>
        <v>0.14000000000000001</v>
      </c>
      <c r="Q1050" s="11">
        <f t="shared" si="315"/>
        <v>0.14000000000000001</v>
      </c>
      <c r="R1050" s="11">
        <f>IFERROR(IF(B1050="Reynolds",VLOOKUP(H1050,'Yield &amp; Time'!A:U,21,0),VLOOKUP(H1050,'Yield &amp; Time'!A:L,12,0)),0)</f>
        <v>0</v>
      </c>
      <c r="S1050" s="11">
        <f t="shared" si="307"/>
        <v>0</v>
      </c>
      <c r="T1050" s="11">
        <f t="shared" si="308"/>
        <v>0</v>
      </c>
      <c r="U1050" s="11">
        <f>IF(A1049=A1050,0,VLOOKUP(A1050,'Packing Time'!A:F,6,0))</f>
        <v>0</v>
      </c>
      <c r="V1050" s="11">
        <f t="shared" si="301"/>
        <v>0</v>
      </c>
      <c r="W1050" s="11">
        <f t="shared" si="302"/>
        <v>0</v>
      </c>
      <c r="X1050" s="11">
        <f t="shared" si="309"/>
        <v>0</v>
      </c>
      <c r="Y1050" s="11">
        <f t="shared" si="303"/>
        <v>0</v>
      </c>
      <c r="Z1050" s="37">
        <v>1</v>
      </c>
      <c r="AA1050" s="36">
        <f t="shared" si="310"/>
        <v>1</v>
      </c>
      <c r="AB1050" s="36">
        <f t="shared" si="311"/>
        <v>0.14000000000000001</v>
      </c>
      <c r="AC1050" s="11">
        <f t="shared" si="312"/>
        <v>0</v>
      </c>
      <c r="AD1050" s="36">
        <f t="shared" si="304"/>
        <v>0</v>
      </c>
      <c r="AE1050" s="36"/>
      <c r="AF1050" s="36">
        <f>IFERROR(VLOOKUP(AE1050,'Chemical Cost'!A:D,4,0),0)</f>
        <v>0</v>
      </c>
      <c r="AG1050" s="114">
        <f t="shared" si="313"/>
        <v>0</v>
      </c>
      <c r="AH1050" s="36">
        <f t="shared" si="316"/>
        <v>0</v>
      </c>
      <c r="AI1050" s="36">
        <f t="shared" si="305"/>
        <v>0.14000000000000001</v>
      </c>
      <c r="AJ1050" s="36">
        <f>IFERROR(VLOOKUP(A1050,'All Products'!A:F,6,0),0)</f>
        <v>8.31</v>
      </c>
      <c r="AK1050" s="36"/>
      <c r="AL1050" s="23">
        <v>1</v>
      </c>
      <c r="AM1050" s="23"/>
      <c r="AN1050" s="54" t="e">
        <v>#N/A</v>
      </c>
      <c r="AO1050" s="47"/>
      <c r="AP1050" s="4">
        <v>1.6</v>
      </c>
      <c r="AQ1050" s="111">
        <f t="shared" si="314"/>
        <v>0</v>
      </c>
      <c r="AR1050">
        <f>_xlfn.XLOOKUP(F1050,'RM Cost'!A:A,'RM Cost'!S:S)</f>
        <v>0</v>
      </c>
      <c r="AS1050" t="e">
        <f>_xlfn.XLOOKUP(A1050,[3]Sheet1!$B:$B,[3]Sheet1!$B:$B)</f>
        <v>#N/A</v>
      </c>
    </row>
    <row r="1051" spans="1:46" x14ac:dyDescent="0.25">
      <c r="A1051" s="2" t="s">
        <v>949</v>
      </c>
      <c r="B1051" s="2" t="s">
        <v>656</v>
      </c>
      <c r="C1051" s="2" t="s">
        <v>950</v>
      </c>
      <c r="D1051" s="2" t="s">
        <v>554</v>
      </c>
      <c r="E1051" s="2">
        <v>2.5</v>
      </c>
      <c r="F1051" s="1" t="str">
        <f>VLOOKUP(H1051,'RM Used'!A:B,2,0)</f>
        <v>3288CS</v>
      </c>
      <c r="G1051" s="1" t="str">
        <f>IFERROR(VLOOKUP(F1051,'RM Cost'!A:B,2,0),"")</f>
        <v>RM - TURNIPS X5KG</v>
      </c>
      <c r="H1051" s="2" t="s">
        <v>1589</v>
      </c>
      <c r="I1051" s="1" t="str">
        <f>VLOOKUP(F1051,'RM Used'!B:D,3,0)</f>
        <v>RM-FOOD</v>
      </c>
      <c r="J1051" s="66">
        <v>1</v>
      </c>
      <c r="K1051" s="35">
        <f t="shared" si="300"/>
        <v>2.5</v>
      </c>
      <c r="L1051" s="35">
        <f t="shared" si="306"/>
        <v>2.5</v>
      </c>
      <c r="M1051" s="77" cm="1">
        <f t="array" ref="M1051">_xlfn.IFS(BOM!I1051="RM-PACKING","100%",B1051="Reynolds",VLOOKUP(H1051,'Yield &amp; Time'!A:V,22,0),BOM!B1051="Dnata",VLOOKUP(BOM!H1051,'Yield &amp; Time'!A:M,13,0),B1051="NK",VLOOKUP(H1051,'Yield &amp; Time'!A:X,24,0))</f>
        <v>0.7911111111111111</v>
      </c>
      <c r="N1051" s="35">
        <f t="shared" si="299"/>
        <v>3.160112359550562</v>
      </c>
      <c r="O1051" s="1" t="str">
        <f>VLOOKUP(H1051,'RM Used'!A:E,5,0)</f>
        <v>KG</v>
      </c>
      <c r="P1051" s="11">
        <f>VLOOKUP(H1051,'RM Used'!A:F,6,0)</f>
        <v>0.68</v>
      </c>
      <c r="Q1051" s="11">
        <f t="shared" si="315"/>
        <v>2.1488764044943824</v>
      </c>
      <c r="R1051" s="11">
        <f>IFERROR(IF(B1051="Reynolds",VLOOKUP(H1051,'Yield &amp; Time'!A:U,21,0),VLOOKUP(H1051,'Yield &amp; Time'!A:L,12,0)),0)</f>
        <v>3.3707865168539324</v>
      </c>
      <c r="S1051" s="11">
        <f t="shared" si="307"/>
        <v>2.85252808988764</v>
      </c>
      <c r="T1051" s="11">
        <f t="shared" si="308"/>
        <v>0.14044943820224717</v>
      </c>
      <c r="U1051" s="11">
        <f>IF(A1050=A1051,0,VLOOKUP(A1051,'Packing Time'!A:F,6,0))</f>
        <v>0.875</v>
      </c>
      <c r="V1051" s="11">
        <f t="shared" si="301"/>
        <v>0.29618749999999999</v>
      </c>
      <c r="W1051" s="11">
        <f t="shared" si="302"/>
        <v>1.4583333333333334E-2</v>
      </c>
      <c r="X1051" s="11">
        <f t="shared" si="309"/>
        <v>5.0379449438202242</v>
      </c>
      <c r="Y1051" s="11">
        <f t="shared" si="303"/>
        <v>5.0379449438202242</v>
      </c>
      <c r="Z1051" s="37">
        <v>1</v>
      </c>
      <c r="AA1051" s="36">
        <f t="shared" si="310"/>
        <v>3.160112359550562</v>
      </c>
      <c r="AB1051" s="36">
        <f t="shared" si="311"/>
        <v>2.1488764044943824</v>
      </c>
      <c r="AC1051" s="11">
        <f t="shared" si="312"/>
        <v>0.24805243445692882</v>
      </c>
      <c r="AD1051" s="36">
        <f t="shared" si="304"/>
        <v>5.0379449438202242</v>
      </c>
      <c r="AE1051" s="36"/>
      <c r="AF1051" s="36">
        <f>IFERROR(VLOOKUP(AE1051,'Chemical Cost'!A:D,4,0),0)</f>
        <v>0</v>
      </c>
      <c r="AG1051" s="114">
        <f t="shared" si="313"/>
        <v>0</v>
      </c>
      <c r="AH1051" s="36">
        <f t="shared" si="316"/>
        <v>0</v>
      </c>
      <c r="AI1051" s="36">
        <f t="shared" si="305"/>
        <v>7.1868213483146066</v>
      </c>
      <c r="AJ1051" s="36">
        <f>IFERROR(VLOOKUP(A1051,'All Products'!A:F,6,0),0)</f>
        <v>20.58</v>
      </c>
      <c r="AK1051" s="36">
        <f>AJ1051*Z1051*J1051</f>
        <v>20.58</v>
      </c>
      <c r="AL1051" s="23">
        <v>1</v>
      </c>
      <c r="AM1051" s="23"/>
      <c r="AN1051" s="54" t="e">
        <v>#N/A</v>
      </c>
      <c r="AO1051" s="47"/>
      <c r="AP1051" s="4">
        <v>1.6</v>
      </c>
      <c r="AQ1051" s="111">
        <f t="shared" si="314"/>
        <v>0.24805243445692882</v>
      </c>
      <c r="AR1051">
        <f>_xlfn.XLOOKUP(F1051,'RM Cost'!A:A,'RM Cost'!S:S)</f>
        <v>0</v>
      </c>
      <c r="AS1051" t="e">
        <f>_xlfn.XLOOKUP(A1051,[3]Sheet1!$B:$B,[3]Sheet1!$B:$B)</f>
        <v>#N/A</v>
      </c>
    </row>
    <row r="1052" spans="1:46" x14ac:dyDescent="0.25">
      <c r="A1052" s="2" t="s">
        <v>949</v>
      </c>
      <c r="B1052" s="2" t="s">
        <v>656</v>
      </c>
      <c r="C1052" s="2" t="s">
        <v>950</v>
      </c>
      <c r="D1052" s="2" t="s">
        <v>554</v>
      </c>
      <c r="E1052" s="2">
        <v>2.5</v>
      </c>
      <c r="F1052" s="1" t="str">
        <f>VLOOKUP(H1052,'RM Used'!A:B,2,0)</f>
        <v>P0008</v>
      </c>
      <c r="G1052" s="1" t="str">
        <f>IFERROR(VLOOKUP(F1052,'RM Cost'!A:B,2,0),"")</f>
        <v>PALE BLUE BAG 470X750MM</v>
      </c>
      <c r="H1052" s="2" t="s">
        <v>1323</v>
      </c>
      <c r="I1052" s="1" t="str">
        <f>VLOOKUP(F1052,'RM Used'!B:D,3,0)</f>
        <v>RM-PACKING</v>
      </c>
      <c r="J1052" s="66">
        <v>1</v>
      </c>
      <c r="K1052" s="35" t="str">
        <f t="shared" si="300"/>
        <v/>
      </c>
      <c r="L1052" s="35">
        <f t="shared" si="306"/>
        <v>0</v>
      </c>
      <c r="M1052" s="77" t="str" cm="1">
        <f t="array" ref="M1052">_xlfn.IFS(BOM!I1052="RM-PACKING","100%",B1052="Reynolds",VLOOKUP(H1052,'Yield &amp; Time'!A:V,22,0),BOM!B1052="Dnata",VLOOKUP(BOM!H1052,'Yield &amp; Time'!A:M,13,0),B1052="NK",VLOOKUP(H1052,'Yield &amp; Time'!A:X,24,0))</f>
        <v>100%</v>
      </c>
      <c r="N1052" s="35">
        <f t="shared" si="299"/>
        <v>1</v>
      </c>
      <c r="O1052" s="1" t="str">
        <f>VLOOKUP(H1052,'RM Used'!A:E,5,0)</f>
        <v>Count</v>
      </c>
      <c r="P1052" s="11">
        <f>VLOOKUP(H1052,'RM Used'!A:F,6,0)</f>
        <v>0.14000000000000001</v>
      </c>
      <c r="Q1052" s="11">
        <f t="shared" si="315"/>
        <v>0.14000000000000001</v>
      </c>
      <c r="R1052" s="11">
        <f>IFERROR(IF(B1052="Reynolds",VLOOKUP(H1052,'Yield &amp; Time'!A:U,21,0),VLOOKUP(H1052,'Yield &amp; Time'!A:L,12,0)),0)</f>
        <v>0</v>
      </c>
      <c r="S1052" s="11">
        <f t="shared" si="307"/>
        <v>0</v>
      </c>
      <c r="T1052" s="11">
        <f t="shared" si="308"/>
        <v>0</v>
      </c>
      <c r="U1052" s="11">
        <f>IF(A1051=A1052,0,VLOOKUP(A1052,'Packing Time'!A:F,6,0))</f>
        <v>0</v>
      </c>
      <c r="V1052" s="11">
        <f t="shared" si="301"/>
        <v>0</v>
      </c>
      <c r="W1052" s="11">
        <f t="shared" si="302"/>
        <v>0</v>
      </c>
      <c r="X1052" s="11">
        <f t="shared" si="309"/>
        <v>0</v>
      </c>
      <c r="Y1052" s="11">
        <f t="shared" si="303"/>
        <v>0</v>
      </c>
      <c r="Z1052" s="37">
        <v>1</v>
      </c>
      <c r="AA1052" s="36">
        <f t="shared" si="310"/>
        <v>1</v>
      </c>
      <c r="AB1052" s="36">
        <f t="shared" si="311"/>
        <v>0.14000000000000001</v>
      </c>
      <c r="AC1052" s="11">
        <f t="shared" si="312"/>
        <v>0</v>
      </c>
      <c r="AD1052" s="36">
        <f t="shared" si="304"/>
        <v>0</v>
      </c>
      <c r="AE1052" s="36"/>
      <c r="AF1052" s="36">
        <f>IFERROR(VLOOKUP(AE1052,'Chemical Cost'!A:D,4,0),0)</f>
        <v>0</v>
      </c>
      <c r="AG1052" s="114">
        <f t="shared" si="313"/>
        <v>0</v>
      </c>
      <c r="AH1052" s="36">
        <f t="shared" si="316"/>
        <v>0</v>
      </c>
      <c r="AI1052" s="36">
        <f t="shared" si="305"/>
        <v>0.14000000000000001</v>
      </c>
      <c r="AJ1052" s="36">
        <f>IFERROR(VLOOKUP(A1052,'All Products'!A:F,6,0),0)</f>
        <v>20.58</v>
      </c>
      <c r="AK1052" s="36"/>
      <c r="AL1052" s="23">
        <v>1</v>
      </c>
      <c r="AM1052" s="23"/>
      <c r="AN1052" s="54" t="e">
        <v>#N/A</v>
      </c>
      <c r="AO1052" s="47"/>
      <c r="AP1052" s="4">
        <v>1.6</v>
      </c>
      <c r="AQ1052" s="111">
        <f t="shared" si="314"/>
        <v>0</v>
      </c>
      <c r="AR1052">
        <f>_xlfn.XLOOKUP(F1052,'RM Cost'!A:A,'RM Cost'!S:S)</f>
        <v>0</v>
      </c>
      <c r="AS1052" t="e">
        <f>_xlfn.XLOOKUP(A1052,[3]Sheet1!$B:$B,[3]Sheet1!$B:$B)</f>
        <v>#N/A</v>
      </c>
    </row>
    <row r="1053" spans="1:46" x14ac:dyDescent="0.25">
      <c r="A1053" s="2" t="s">
        <v>5</v>
      </c>
      <c r="B1053" s="2" t="s">
        <v>656</v>
      </c>
      <c r="C1053" s="2" t="s">
        <v>6</v>
      </c>
      <c r="D1053" s="2" t="s">
        <v>554</v>
      </c>
      <c r="E1053" s="2">
        <v>1</v>
      </c>
      <c r="F1053" s="1" t="str">
        <f>VLOOKUP(H1053,'RM Used'!A:B,2,0)</f>
        <v>0930CS</v>
      </c>
      <c r="G1053" s="1" t="str">
        <f>IFERROR(VLOOKUP(F1053,'RM Cost'!A:B,2,0),"")</f>
        <v>RM - COURGETTE STANDARD</v>
      </c>
      <c r="H1053" s="2" t="s">
        <v>1408</v>
      </c>
      <c r="I1053" s="1" t="str">
        <f>VLOOKUP(F1053,'RM Used'!B:D,3,0)</f>
        <v>RM-FOOD</v>
      </c>
      <c r="J1053" s="66">
        <v>0.2</v>
      </c>
      <c r="K1053" s="35">
        <f t="shared" si="300"/>
        <v>0.2</v>
      </c>
      <c r="L1053" s="35">
        <f t="shared" si="306"/>
        <v>0.2</v>
      </c>
      <c r="M1053" s="77" cm="1">
        <f t="array" ref="M1053">_xlfn.IFS(BOM!I1053="RM-PACKING","100%",B1053="Reynolds",VLOOKUP(H1053,'Yield &amp; Time'!A:V,22,0),BOM!B1053="Dnata",VLOOKUP(BOM!H1053,'Yield &amp; Time'!A:M,13,0),B1053="NK",VLOOKUP(H1053,'Yield &amp; Time'!A:X,24,0))</f>
        <v>0.80999999999999994</v>
      </c>
      <c r="N1053" s="35">
        <f t="shared" si="299"/>
        <v>0.24691358024691362</v>
      </c>
      <c r="O1053" s="1" t="str">
        <f>VLOOKUP(H1053,'RM Used'!A:E,5,0)</f>
        <v>KG</v>
      </c>
      <c r="P1053" s="11">
        <f>VLOOKUP(H1053,'RM Used'!A:F,6,0)</f>
        <v>1.1000000000000001</v>
      </c>
      <c r="Q1053" s="11">
        <f t="shared" si="315"/>
        <v>0.27160493827160498</v>
      </c>
      <c r="R1053" s="11">
        <f>IFERROR(IF(B1053="Reynolds",VLOOKUP(H1053,'Yield &amp; Time'!A:U,21,0),VLOOKUP(H1053,'Yield &amp; Time'!A:L,12,0)),0)</f>
        <v>1.5432098765432098</v>
      </c>
      <c r="S1053" s="11">
        <f t="shared" si="307"/>
        <v>0.10447530864197531</v>
      </c>
      <c r="T1053" s="11">
        <f t="shared" si="308"/>
        <v>5.1440329218107005E-3</v>
      </c>
      <c r="U1053" s="11">
        <f>IF(A1052=A1053,0,VLOOKUP(A1053,'Packing Time'!A:F,6,0))</f>
        <v>0.64166666666666661</v>
      </c>
      <c r="V1053" s="11">
        <f t="shared" si="301"/>
        <v>0.21720416666666661</v>
      </c>
      <c r="W1053" s="11">
        <f t="shared" si="302"/>
        <v>1.0694444444444444E-2</v>
      </c>
      <c r="X1053" s="11">
        <f t="shared" si="309"/>
        <v>0.51468716049382712</v>
      </c>
      <c r="Y1053" s="11">
        <f t="shared" si="303"/>
        <v>0.51468716049382712</v>
      </c>
      <c r="Z1053" s="37">
        <v>1</v>
      </c>
      <c r="AA1053" s="36">
        <f t="shared" si="310"/>
        <v>0.24691358024691362</v>
      </c>
      <c r="AB1053" s="36">
        <f t="shared" si="311"/>
        <v>0.27160493827160498</v>
      </c>
      <c r="AC1053" s="11">
        <f t="shared" si="312"/>
        <v>2.5341563786008232E-2</v>
      </c>
      <c r="AD1053" s="36">
        <f t="shared" si="304"/>
        <v>0.51468716049382712</v>
      </c>
      <c r="AE1053" s="36"/>
      <c r="AF1053" s="36">
        <f>IFERROR(VLOOKUP(AE1053,'Chemical Cost'!A:D,4,0),0)</f>
        <v>0</v>
      </c>
      <c r="AG1053" s="114">
        <f t="shared" si="313"/>
        <v>0</v>
      </c>
      <c r="AH1053" s="36">
        <f t="shared" si="316"/>
        <v>0</v>
      </c>
      <c r="AI1053" s="36">
        <f t="shared" si="305"/>
        <v>0.78629209876543205</v>
      </c>
      <c r="AJ1053" s="36">
        <f>IFERROR(VLOOKUP(A1053,'All Products'!A:F,6,0),0)</f>
        <v>6.32</v>
      </c>
      <c r="AK1053" s="36">
        <f>AJ1053*Z1053*J1053</f>
        <v>1.2640000000000002</v>
      </c>
      <c r="AL1053" s="23">
        <v>1</v>
      </c>
      <c r="AM1053" s="23"/>
      <c r="AN1053" s="54" t="e">
        <v>#N/A</v>
      </c>
      <c r="AO1053" s="47"/>
      <c r="AP1053" s="4">
        <v>1.6</v>
      </c>
      <c r="AQ1053" s="111">
        <f t="shared" si="314"/>
        <v>2.5341563786008232E-2</v>
      </c>
      <c r="AR1053">
        <f>_xlfn.XLOOKUP(F1053,'RM Cost'!A:A,'RM Cost'!S:S)</f>
        <v>1.1644775886170367</v>
      </c>
      <c r="AS1053" t="e">
        <f>_xlfn.XLOOKUP(A1053,[3]Sheet1!$B:$B,[3]Sheet1!$B:$B)</f>
        <v>#N/A</v>
      </c>
    </row>
    <row r="1054" spans="1:46" x14ac:dyDescent="0.25">
      <c r="A1054" s="2" t="s">
        <v>5</v>
      </c>
      <c r="B1054" s="2" t="s">
        <v>656</v>
      </c>
      <c r="C1054" s="2" t="s">
        <v>6</v>
      </c>
      <c r="D1054" s="2" t="s">
        <v>554</v>
      </c>
      <c r="E1054" s="2">
        <v>1</v>
      </c>
      <c r="F1054" s="1" t="str">
        <f>VLOOKUP(H1054,'RM Used'!A:B,2,0)</f>
        <v>1318CS</v>
      </c>
      <c r="G1054" s="1" t="str">
        <f>IFERROR(VLOOKUP(F1054,'RM Cost'!A:B,2,0),"")</f>
        <v>RM - PREP ONION RED WHOLE 2.5KG</v>
      </c>
      <c r="H1054" s="2" t="s">
        <v>1409</v>
      </c>
      <c r="I1054" s="1" t="str">
        <f>VLOOKUP(F1054,'RM Used'!B:D,3,0)</f>
        <v>RM-FOOD</v>
      </c>
      <c r="J1054" s="66">
        <v>0.2</v>
      </c>
      <c r="K1054" s="35">
        <f t="shared" si="300"/>
        <v>0.2</v>
      </c>
      <c r="L1054" s="35">
        <f t="shared" si="306"/>
        <v>0.2</v>
      </c>
      <c r="M1054" s="77" cm="1">
        <f t="array" ref="M1054">_xlfn.IFS(BOM!I1054="RM-PACKING","100%",B1054="Reynolds",VLOOKUP(H1054,'Yield &amp; Time'!A:V,22,0),BOM!B1054="Dnata",VLOOKUP(BOM!H1054,'Yield &amp; Time'!A:M,13,0),B1054="NK",VLOOKUP(H1054,'Yield &amp; Time'!A:X,24,0))</f>
        <v>0.8367952522255192</v>
      </c>
      <c r="N1054" s="35">
        <f t="shared" si="299"/>
        <v>0.2390070921985816</v>
      </c>
      <c r="O1054" s="1" t="str">
        <f>VLOOKUP(H1054,'RM Used'!A:E,5,0)</f>
        <v>KG</v>
      </c>
      <c r="P1054" s="11">
        <f>VLOOKUP(H1054,'RM Used'!A:F,6,0)</f>
        <v>1.08</v>
      </c>
      <c r="Q1054" s="11">
        <f t="shared" si="315"/>
        <v>0.25812765957446815</v>
      </c>
      <c r="R1054" s="11">
        <f>IFERROR(IF(B1054="Reynolds",VLOOKUP(H1054,'Yield &amp; Time'!A:U,21,0),VLOOKUP(H1054,'Yield &amp; Time'!A:L,12,0)),0)</f>
        <v>2.8368794326241136</v>
      </c>
      <c r="S1054" s="11">
        <f t="shared" si="307"/>
        <v>0.19205673758865247</v>
      </c>
      <c r="T1054" s="11">
        <f t="shared" si="308"/>
        <v>9.4562647754137131E-3</v>
      </c>
      <c r="U1054" s="11">
        <f>IF(A1053=A1054,0,VLOOKUP(A1054,'Packing Time'!A:F,6,0))</f>
        <v>0</v>
      </c>
      <c r="V1054" s="11">
        <f t="shared" si="301"/>
        <v>0</v>
      </c>
      <c r="W1054" s="11">
        <f t="shared" si="302"/>
        <v>0</v>
      </c>
      <c r="X1054" s="11">
        <f t="shared" si="309"/>
        <v>0.30729078014184397</v>
      </c>
      <c r="Y1054" s="11">
        <f t="shared" si="303"/>
        <v>0.30729078014184397</v>
      </c>
      <c r="Z1054" s="37">
        <v>1</v>
      </c>
      <c r="AA1054" s="36">
        <f t="shared" si="310"/>
        <v>0.2390070921985816</v>
      </c>
      <c r="AB1054" s="36">
        <f t="shared" si="311"/>
        <v>0.25812765957446815</v>
      </c>
      <c r="AC1054" s="11">
        <f t="shared" si="312"/>
        <v>1.5130023640661941E-2</v>
      </c>
      <c r="AD1054" s="36">
        <f t="shared" si="304"/>
        <v>0.30729078014184402</v>
      </c>
      <c r="AE1054" s="36"/>
      <c r="AF1054" s="36">
        <f>IFERROR(VLOOKUP(AE1054,'Chemical Cost'!A:D,4,0),0)</f>
        <v>0</v>
      </c>
      <c r="AG1054" s="114">
        <f t="shared" si="313"/>
        <v>0</v>
      </c>
      <c r="AH1054" s="36">
        <f t="shared" si="316"/>
        <v>0</v>
      </c>
      <c r="AI1054" s="36">
        <f t="shared" si="305"/>
        <v>0.56541843971631212</v>
      </c>
      <c r="AJ1054" s="36">
        <f>IFERROR(VLOOKUP(A1054,'All Products'!A:F,6,0),0)</f>
        <v>6.32</v>
      </c>
      <c r="AK1054" s="36">
        <f>AJ1054*Z1054*J1054</f>
        <v>1.2640000000000002</v>
      </c>
      <c r="AL1054" s="23">
        <v>1</v>
      </c>
      <c r="AM1054" s="23"/>
      <c r="AN1054" s="54" t="e">
        <v>#N/A</v>
      </c>
      <c r="AO1054" s="47"/>
      <c r="AP1054" s="4">
        <v>1.6</v>
      </c>
      <c r="AQ1054" s="111">
        <f t="shared" si="314"/>
        <v>1.5130023640661941E-2</v>
      </c>
      <c r="AR1054">
        <f>_xlfn.XLOOKUP(F1054,'RM Cost'!A:A,'RM Cost'!S:S)</f>
        <v>0</v>
      </c>
      <c r="AS1054" t="e">
        <f>_xlfn.XLOOKUP(A1054,[3]Sheet1!$B:$B,[3]Sheet1!$B:$B)</f>
        <v>#N/A</v>
      </c>
    </row>
    <row r="1055" spans="1:46" x14ac:dyDescent="0.25">
      <c r="A1055" s="2" t="s">
        <v>5</v>
      </c>
      <c r="B1055" s="2" t="s">
        <v>656</v>
      </c>
      <c r="C1055" s="2" t="s">
        <v>6</v>
      </c>
      <c r="D1055" s="2" t="s">
        <v>554</v>
      </c>
      <c r="E1055" s="2">
        <v>1</v>
      </c>
      <c r="F1055" s="1" t="str">
        <f>VLOOKUP(H1055,'RM Used'!A:B,2,0)</f>
        <v>3565CS</v>
      </c>
      <c r="G1055" s="1" t="str">
        <f>IFERROR(VLOOKUP(F1055,'RM Cost'!A:B,2,0),"")</f>
        <v>RM - PEPPERS GREEN  X 5KG</v>
      </c>
      <c r="H1055" s="1" t="s">
        <v>1412</v>
      </c>
      <c r="I1055" s="1" t="str">
        <f>VLOOKUP(F1055,'RM Used'!B:D,3,0)</f>
        <v>RM-FOOD</v>
      </c>
      <c r="J1055" s="66">
        <v>0.2</v>
      </c>
      <c r="K1055" s="35">
        <f t="shared" si="300"/>
        <v>0.2</v>
      </c>
      <c r="L1055" s="35">
        <f t="shared" si="306"/>
        <v>0.2</v>
      </c>
      <c r="M1055" s="77" cm="1">
        <f t="array" ref="M1055">_xlfn.IFS(BOM!I1055="RM-PACKING","100%",B1055="Reynolds",VLOOKUP(H1055,'Yield &amp; Time'!A:V,22,0),BOM!B1055="Dnata",VLOOKUP(BOM!H1055,'Yield &amp; Time'!A:M,13,0),B1055="NK",VLOOKUP(H1055,'Yield &amp; Time'!A:X,24,0))</f>
        <v>0.44</v>
      </c>
      <c r="N1055" s="35">
        <f t="shared" ref="N1055:N1118" si="317">IFERROR(IF(I1055="RM-FOOD",(E1055*J1055)/M1055,1),0)</f>
        <v>0.45454545454545459</v>
      </c>
      <c r="O1055" s="1" t="str">
        <f>VLOOKUP(H1055,'RM Used'!A:E,5,0)</f>
        <v>KG</v>
      </c>
      <c r="P1055" s="11">
        <f>VLOOKUP(H1055,'RM Used'!A:F,6,0)</f>
        <v>1.76</v>
      </c>
      <c r="Q1055" s="11">
        <f t="shared" si="315"/>
        <v>0.8</v>
      </c>
      <c r="R1055" s="11">
        <f>IFERROR(IF(B1055="Reynolds",VLOOKUP(H1055,'Yield &amp; Time'!A:U,21,0),VLOOKUP(H1055,'Yield &amp; Time'!A:L,12,0)),0)</f>
        <v>6.25</v>
      </c>
      <c r="S1055" s="11">
        <f t="shared" si="307"/>
        <v>0.42312499999999997</v>
      </c>
      <c r="T1055" s="11">
        <f t="shared" si="308"/>
        <v>2.0833333333333332E-2</v>
      </c>
      <c r="U1055" s="11">
        <f>IF(A1054=A1055,0,VLOOKUP(A1055,'Packing Time'!A:F,6,0))</f>
        <v>0</v>
      </c>
      <c r="V1055" s="11">
        <f t="shared" si="301"/>
        <v>0</v>
      </c>
      <c r="W1055" s="11">
        <f t="shared" si="302"/>
        <v>0</v>
      </c>
      <c r="X1055" s="11">
        <f t="shared" si="309"/>
        <v>0.67700000000000005</v>
      </c>
      <c r="Y1055" s="11">
        <f t="shared" si="303"/>
        <v>0.67700000000000005</v>
      </c>
      <c r="Z1055" s="37">
        <v>1</v>
      </c>
      <c r="AA1055" s="36">
        <f t="shared" si="310"/>
        <v>0.45454545454545459</v>
      </c>
      <c r="AB1055" s="36">
        <f t="shared" si="311"/>
        <v>0.8</v>
      </c>
      <c r="AC1055" s="11">
        <f t="shared" si="312"/>
        <v>3.3333333333333333E-2</v>
      </c>
      <c r="AD1055" s="36">
        <f t="shared" si="304"/>
        <v>0.67699999999999994</v>
      </c>
      <c r="AE1055" s="36"/>
      <c r="AF1055" s="36">
        <f>IFERROR(VLOOKUP(AE1055,'Chemical Cost'!A:D,4,0),0)</f>
        <v>0</v>
      </c>
      <c r="AG1055" s="114">
        <f t="shared" si="313"/>
        <v>0</v>
      </c>
      <c r="AH1055" s="36">
        <f t="shared" si="316"/>
        <v>0</v>
      </c>
      <c r="AI1055" s="36">
        <f t="shared" si="305"/>
        <v>1.4770000000000001</v>
      </c>
      <c r="AJ1055" s="36">
        <f>IFERROR(VLOOKUP(A1055,'All Products'!A:F,6,0),0)</f>
        <v>6.32</v>
      </c>
      <c r="AK1055" s="36">
        <f>AJ1055*Z1055*J1055</f>
        <v>1.2640000000000002</v>
      </c>
      <c r="AL1055" s="23">
        <v>1</v>
      </c>
      <c r="AM1055" s="23"/>
      <c r="AN1055" s="54" t="e">
        <v>#N/A</v>
      </c>
      <c r="AO1055" s="47"/>
      <c r="AP1055" s="4">
        <v>1.6</v>
      </c>
      <c r="AQ1055" s="111">
        <f t="shared" si="314"/>
        <v>3.3333333333333333E-2</v>
      </c>
      <c r="AR1055">
        <f>_xlfn.XLOOKUP(F1055,'RM Cost'!A:A,'RM Cost'!S:S)</f>
        <v>0</v>
      </c>
      <c r="AS1055" t="e">
        <f>_xlfn.XLOOKUP(A1055,[3]Sheet1!$B:$B,[3]Sheet1!$B:$B)</f>
        <v>#N/A</v>
      </c>
    </row>
    <row r="1056" spans="1:46" x14ac:dyDescent="0.25">
      <c r="A1056" s="2" t="s">
        <v>5</v>
      </c>
      <c r="B1056" s="2" t="s">
        <v>656</v>
      </c>
      <c r="C1056" s="2" t="s">
        <v>6</v>
      </c>
      <c r="D1056" s="2" t="s">
        <v>554</v>
      </c>
      <c r="E1056" s="2">
        <v>1</v>
      </c>
      <c r="F1056" s="1" t="str">
        <f>VLOOKUP(H1056,'RM Used'!A:B,2,0)</f>
        <v>3566CS</v>
      </c>
      <c r="G1056" s="1" t="str">
        <f>IFERROR(VLOOKUP(F1056,'RM Cost'!A:B,2,0),"")</f>
        <v>PEPPERS RED X 5KG</v>
      </c>
      <c r="H1056" s="1" t="s">
        <v>1411</v>
      </c>
      <c r="I1056" s="1" t="str">
        <f>VLOOKUP(F1056,'RM Used'!B:D,3,0)</f>
        <v>RM-FOOD</v>
      </c>
      <c r="J1056" s="66">
        <v>0.2</v>
      </c>
      <c r="K1056" s="35">
        <f t="shared" si="300"/>
        <v>0.2</v>
      </c>
      <c r="L1056" s="35">
        <f t="shared" si="306"/>
        <v>0.2</v>
      </c>
      <c r="M1056" s="77" cm="1">
        <f t="array" ref="M1056">_xlfn.IFS(BOM!I1056="RM-PACKING","100%",B1056="Reynolds",VLOOKUP(H1056,'Yield &amp; Time'!A:V,22,0),BOM!B1056="Dnata",VLOOKUP(BOM!H1056,'Yield &amp; Time'!A:M,13,0),B1056="NK",VLOOKUP(H1056,'Yield &amp; Time'!A:X,24,0))</f>
        <v>0.44</v>
      </c>
      <c r="N1056" s="35">
        <f t="shared" si="317"/>
        <v>0.45454545454545459</v>
      </c>
      <c r="O1056" s="1" t="str">
        <f>VLOOKUP(H1056,'RM Used'!A:E,5,0)</f>
        <v>KG</v>
      </c>
      <c r="P1056" s="11">
        <f>VLOOKUP(H1056,'RM Used'!A:F,6,0)</f>
        <v>1.72</v>
      </c>
      <c r="Q1056" s="11">
        <f t="shared" si="315"/>
        <v>0.78181818181818186</v>
      </c>
      <c r="R1056" s="11">
        <f>IFERROR(IF(B1056="Reynolds",VLOOKUP(H1056,'Yield &amp; Time'!A:U,21,0),VLOOKUP(H1056,'Yield &amp; Time'!A:L,12,0)),0)</f>
        <v>6</v>
      </c>
      <c r="S1056" s="11">
        <f t="shared" si="307"/>
        <v>0.40620000000000001</v>
      </c>
      <c r="T1056" s="11">
        <f t="shared" si="308"/>
        <v>2.0000000000000004E-2</v>
      </c>
      <c r="U1056" s="11">
        <f>IF(A1055=A1056,0,VLOOKUP(A1056,'Packing Time'!A:F,6,0))</f>
        <v>0</v>
      </c>
      <c r="V1056" s="11">
        <f t="shared" si="301"/>
        <v>0</v>
      </c>
      <c r="W1056" s="11">
        <f t="shared" si="302"/>
        <v>0</v>
      </c>
      <c r="X1056" s="11">
        <f t="shared" si="309"/>
        <v>0.64992000000000005</v>
      </c>
      <c r="Y1056" s="11">
        <f t="shared" si="303"/>
        <v>0.64992000000000005</v>
      </c>
      <c r="Z1056" s="37">
        <v>1</v>
      </c>
      <c r="AA1056" s="36">
        <f t="shared" si="310"/>
        <v>0.45454545454545459</v>
      </c>
      <c r="AB1056" s="36">
        <f t="shared" si="311"/>
        <v>0.78181818181818186</v>
      </c>
      <c r="AC1056" s="11">
        <f t="shared" si="312"/>
        <v>3.2000000000000008E-2</v>
      </c>
      <c r="AD1056" s="36">
        <f t="shared" si="304"/>
        <v>0.64992000000000005</v>
      </c>
      <c r="AE1056" s="36"/>
      <c r="AF1056" s="36">
        <f>IFERROR(VLOOKUP(AE1056,'Chemical Cost'!A:D,4,0),0)</f>
        <v>0</v>
      </c>
      <c r="AG1056" s="114">
        <f t="shared" si="313"/>
        <v>0</v>
      </c>
      <c r="AH1056" s="36">
        <f t="shared" si="316"/>
        <v>0</v>
      </c>
      <c r="AI1056" s="36">
        <f t="shared" si="305"/>
        <v>1.431738181818182</v>
      </c>
      <c r="AJ1056" s="36">
        <f>IFERROR(VLOOKUP(A1056,'All Products'!A:F,6,0),0)</f>
        <v>6.32</v>
      </c>
      <c r="AK1056" s="36">
        <f>AJ1056*Z1056*J1056</f>
        <v>1.2640000000000002</v>
      </c>
      <c r="AL1056" s="23">
        <v>1</v>
      </c>
      <c r="AM1056" s="23"/>
      <c r="AN1056" s="54" t="e">
        <v>#N/A</v>
      </c>
      <c r="AO1056" s="47"/>
      <c r="AP1056" s="4">
        <v>1.6</v>
      </c>
      <c r="AQ1056" s="111">
        <f t="shared" si="314"/>
        <v>3.2000000000000008E-2</v>
      </c>
      <c r="AR1056">
        <f>_xlfn.XLOOKUP(F1056,'RM Cost'!A:A,'RM Cost'!S:S)</f>
        <v>0</v>
      </c>
      <c r="AS1056" t="e">
        <f>_xlfn.XLOOKUP(A1056,[3]Sheet1!$B:$B,[3]Sheet1!$B:$B)</f>
        <v>#N/A</v>
      </c>
    </row>
    <row r="1057" spans="1:45" x14ac:dyDescent="0.25">
      <c r="A1057" s="2" t="s">
        <v>5</v>
      </c>
      <c r="B1057" s="2" t="s">
        <v>656</v>
      </c>
      <c r="C1057" s="2" t="s">
        <v>6</v>
      </c>
      <c r="D1057" s="2" t="s">
        <v>554</v>
      </c>
      <c r="E1057" s="2">
        <v>1</v>
      </c>
      <c r="F1057" s="1" t="str">
        <f>VLOOKUP(H1057,'RM Used'!A:B,2,0)</f>
        <v>3567CS</v>
      </c>
      <c r="G1057" s="1" t="str">
        <f>IFERROR(VLOOKUP(F1057,'RM Cost'!A:B,2,0),"")</f>
        <v>RM - PEPPERS YELLOW  X 5KG</v>
      </c>
      <c r="H1057" s="1" t="s">
        <v>1413</v>
      </c>
      <c r="I1057" s="1" t="str">
        <f>VLOOKUP(F1057,'RM Used'!B:D,3,0)</f>
        <v>RM-FOOD</v>
      </c>
      <c r="J1057" s="66">
        <v>0.2</v>
      </c>
      <c r="K1057" s="35">
        <f t="shared" ref="K1057:K1120" si="318">IF(I1057="RM-FOOD",J1057*E1057,"")</f>
        <v>0.2</v>
      </c>
      <c r="L1057" s="35">
        <f t="shared" si="306"/>
        <v>0.2</v>
      </c>
      <c r="M1057" s="77" cm="1">
        <f t="array" ref="M1057">_xlfn.IFS(BOM!I1057="RM-PACKING","100%",B1057="Reynolds",VLOOKUP(H1057,'Yield &amp; Time'!A:V,22,0),BOM!B1057="Dnata",VLOOKUP(BOM!H1057,'Yield &amp; Time'!A:M,13,0),B1057="NK",VLOOKUP(H1057,'Yield &amp; Time'!A:X,24,0))</f>
        <v>0.44</v>
      </c>
      <c r="N1057" s="35">
        <f t="shared" si="317"/>
        <v>0.45454545454545459</v>
      </c>
      <c r="O1057" s="1" t="str">
        <f>VLOOKUP(H1057,'RM Used'!A:E,5,0)</f>
        <v>KG</v>
      </c>
      <c r="P1057" s="11">
        <f>VLOOKUP(H1057,'RM Used'!A:F,6,0)</f>
        <v>1.68</v>
      </c>
      <c r="Q1057" s="11">
        <f t="shared" si="315"/>
        <v>0.76363636363636367</v>
      </c>
      <c r="R1057" s="11">
        <f>IFERROR(IF(B1057="Reynolds",VLOOKUP(H1057,'Yield &amp; Time'!A:U,21,0),VLOOKUP(H1057,'Yield &amp; Time'!A:L,12,0)),0)</f>
        <v>6.25</v>
      </c>
      <c r="S1057" s="11">
        <f t="shared" si="307"/>
        <v>0.42312499999999997</v>
      </c>
      <c r="T1057" s="11">
        <f t="shared" si="308"/>
        <v>2.0833333333333332E-2</v>
      </c>
      <c r="U1057" s="11">
        <f>IF(A1056=A1057,0,VLOOKUP(A1057,'Packing Time'!A:F,6,0))</f>
        <v>0</v>
      </c>
      <c r="V1057" s="11">
        <f t="shared" si="301"/>
        <v>0</v>
      </c>
      <c r="W1057" s="11">
        <f t="shared" si="302"/>
        <v>0</v>
      </c>
      <c r="X1057" s="11">
        <f t="shared" si="309"/>
        <v>0.67700000000000005</v>
      </c>
      <c r="Y1057" s="11">
        <f t="shared" si="303"/>
        <v>0.67700000000000005</v>
      </c>
      <c r="Z1057" s="37">
        <v>1</v>
      </c>
      <c r="AA1057" s="36">
        <f t="shared" si="310"/>
        <v>0.45454545454545459</v>
      </c>
      <c r="AB1057" s="36">
        <f t="shared" si="311"/>
        <v>0.76363636363636367</v>
      </c>
      <c r="AC1057" s="11">
        <f t="shared" si="312"/>
        <v>3.3333333333333333E-2</v>
      </c>
      <c r="AD1057" s="36">
        <f t="shared" si="304"/>
        <v>0.67699999999999994</v>
      </c>
      <c r="AE1057" s="36"/>
      <c r="AF1057" s="36">
        <f>IFERROR(VLOOKUP(AE1057,'Chemical Cost'!A:D,4,0),0)</f>
        <v>0</v>
      </c>
      <c r="AG1057" s="114">
        <f t="shared" si="313"/>
        <v>0</v>
      </c>
      <c r="AH1057" s="36">
        <f t="shared" si="316"/>
        <v>0</v>
      </c>
      <c r="AI1057" s="36">
        <f t="shared" si="305"/>
        <v>1.4406363636363637</v>
      </c>
      <c r="AJ1057" s="36">
        <f>IFERROR(VLOOKUP(A1057,'All Products'!A:F,6,0),0)</f>
        <v>6.32</v>
      </c>
      <c r="AK1057" s="36">
        <f>AJ1057*Z1057*J1057</f>
        <v>1.2640000000000002</v>
      </c>
      <c r="AL1057" s="23">
        <v>1</v>
      </c>
      <c r="AM1057" s="23"/>
      <c r="AN1057" s="54" t="e">
        <v>#N/A</v>
      </c>
      <c r="AO1057" s="47"/>
      <c r="AP1057" s="4">
        <v>1.6</v>
      </c>
      <c r="AQ1057" s="111">
        <f t="shared" si="314"/>
        <v>3.3333333333333333E-2</v>
      </c>
      <c r="AR1057">
        <f>_xlfn.XLOOKUP(F1057,'RM Cost'!A:A,'RM Cost'!S:S)</f>
        <v>0</v>
      </c>
      <c r="AS1057" t="e">
        <f>_xlfn.XLOOKUP(A1057,[3]Sheet1!$B:$B,[3]Sheet1!$B:$B)</f>
        <v>#N/A</v>
      </c>
    </row>
    <row r="1058" spans="1:45" x14ac:dyDescent="0.25">
      <c r="A1058" s="2" t="s">
        <v>5</v>
      </c>
      <c r="B1058" s="2" t="s">
        <v>656</v>
      </c>
      <c r="C1058" s="2" t="s">
        <v>6</v>
      </c>
      <c r="D1058" s="2" t="s">
        <v>554</v>
      </c>
      <c r="E1058" s="2">
        <v>1</v>
      </c>
      <c r="F1058" s="1" t="str">
        <f>VLOOKUP(H1058,'RM Used'!A:B,2,0)</f>
        <v>P0008</v>
      </c>
      <c r="G1058" s="1" t="str">
        <f>IFERROR(VLOOKUP(F1058,'RM Cost'!A:B,2,0),"")</f>
        <v>PALE BLUE BAG 470X750MM</v>
      </c>
      <c r="H1058" s="2" t="s">
        <v>1323</v>
      </c>
      <c r="I1058" s="1" t="str">
        <f>VLOOKUP(F1058,'RM Used'!B:D,3,0)</f>
        <v>RM-PACKING</v>
      </c>
      <c r="J1058" s="66">
        <v>1</v>
      </c>
      <c r="K1058" s="35" t="str">
        <f t="shared" si="318"/>
        <v/>
      </c>
      <c r="L1058" s="35">
        <f t="shared" si="306"/>
        <v>0</v>
      </c>
      <c r="M1058" s="77" t="str" cm="1">
        <f t="array" ref="M1058">_xlfn.IFS(BOM!I1058="RM-PACKING","100%",B1058="Reynolds",VLOOKUP(H1058,'Yield &amp; Time'!A:V,22,0),BOM!B1058="Dnata",VLOOKUP(BOM!H1058,'Yield &amp; Time'!A:M,13,0),B1058="NK",VLOOKUP(H1058,'Yield &amp; Time'!A:X,24,0))</f>
        <v>100%</v>
      </c>
      <c r="N1058" s="35">
        <f t="shared" si="317"/>
        <v>1</v>
      </c>
      <c r="O1058" s="1" t="str">
        <f>VLOOKUP(H1058,'RM Used'!A:E,5,0)</f>
        <v>Count</v>
      </c>
      <c r="P1058" s="11">
        <f>VLOOKUP(H1058,'RM Used'!A:F,6,0)</f>
        <v>0.14000000000000001</v>
      </c>
      <c r="Q1058" s="11">
        <f t="shared" si="315"/>
        <v>0.14000000000000001</v>
      </c>
      <c r="R1058" s="11">
        <f>IFERROR(IF(B1058="Reynolds",VLOOKUP(H1058,'Yield &amp; Time'!A:U,21,0),VLOOKUP(H1058,'Yield &amp; Time'!A:L,12,0)),0)</f>
        <v>0</v>
      </c>
      <c r="S1058" s="11">
        <f t="shared" si="307"/>
        <v>0</v>
      </c>
      <c r="T1058" s="11">
        <f t="shared" si="308"/>
        <v>0</v>
      </c>
      <c r="U1058" s="11">
        <f>IF(A1057=A1058,0,VLOOKUP(A1058,'Packing Time'!A:F,6,0))</f>
        <v>0</v>
      </c>
      <c r="V1058" s="11">
        <f t="shared" ref="V1058:V1121" si="319">U1058*AO$1</f>
        <v>0</v>
      </c>
      <c r="W1058" s="11">
        <f t="shared" ref="W1058:W1121" si="320">(U1058*Z1058)/60</f>
        <v>0</v>
      </c>
      <c r="X1058" s="11">
        <f t="shared" si="309"/>
        <v>0</v>
      </c>
      <c r="Y1058" s="11">
        <f t="shared" ref="Y1058:Y1121" si="321">X1058*Z1058</f>
        <v>0</v>
      </c>
      <c r="Z1058" s="37">
        <v>1</v>
      </c>
      <c r="AA1058" s="36">
        <f t="shared" si="310"/>
        <v>1</v>
      </c>
      <c r="AB1058" s="36">
        <f t="shared" si="311"/>
        <v>0.14000000000000001</v>
      </c>
      <c r="AC1058" s="11">
        <f t="shared" si="312"/>
        <v>0</v>
      </c>
      <c r="AD1058" s="36">
        <f t="shared" ref="AD1058:AD1121" si="322">AC1058*60*AO$1</f>
        <v>0</v>
      </c>
      <c r="AE1058" s="36"/>
      <c r="AF1058" s="36">
        <f>IFERROR(VLOOKUP(AE1058,'Chemical Cost'!A:D,4,0),0)</f>
        <v>0</v>
      </c>
      <c r="AG1058" s="114">
        <f t="shared" si="313"/>
        <v>0</v>
      </c>
      <c r="AH1058" s="36">
        <f t="shared" si="316"/>
        <v>0</v>
      </c>
      <c r="AI1058" s="36">
        <f t="shared" ref="AI1058:AI1121" si="323">IFERROR((Q1058*Z1058)+(Z1058*X1058)+AH1058,0)</f>
        <v>0.14000000000000001</v>
      </c>
      <c r="AJ1058" s="36">
        <f>IFERROR(VLOOKUP(A1058,'All Products'!A:F,6,0),0)</f>
        <v>6.32</v>
      </c>
      <c r="AK1058" s="36"/>
      <c r="AL1058" s="23">
        <v>1</v>
      </c>
      <c r="AM1058" s="23"/>
      <c r="AN1058" s="54" t="e">
        <v>#N/A</v>
      </c>
      <c r="AO1058" s="47"/>
      <c r="AP1058" s="4">
        <v>1.6</v>
      </c>
      <c r="AQ1058" s="111">
        <f t="shared" si="314"/>
        <v>0</v>
      </c>
      <c r="AR1058">
        <f>_xlfn.XLOOKUP(F1058,'RM Cost'!A:A,'RM Cost'!S:S)</f>
        <v>0</v>
      </c>
      <c r="AS1058" t="e">
        <f>_xlfn.XLOOKUP(A1058,[3]Sheet1!$B:$B,[3]Sheet1!$B:$B)</f>
        <v>#N/A</v>
      </c>
    </row>
    <row r="1059" spans="1:45" x14ac:dyDescent="0.25">
      <c r="A1059" s="2" t="s">
        <v>951</v>
      </c>
      <c r="B1059" s="2" t="s">
        <v>656</v>
      </c>
      <c r="C1059" s="2" t="s">
        <v>952</v>
      </c>
      <c r="D1059" s="2" t="s">
        <v>554</v>
      </c>
      <c r="E1059" s="2">
        <v>2.5</v>
      </c>
      <c r="F1059" s="1" t="str">
        <f>VLOOKUP(H1059,'RM Used'!A:B,2,0)</f>
        <v>0930CS</v>
      </c>
      <c r="G1059" s="1" t="str">
        <f>IFERROR(VLOOKUP(F1059,'RM Cost'!A:B,2,0),"")</f>
        <v>RM - COURGETTE STANDARD</v>
      </c>
      <c r="H1059" s="2" t="s">
        <v>1408</v>
      </c>
      <c r="I1059" s="1" t="str">
        <f>VLOOKUP(F1059,'RM Used'!B:D,3,0)</f>
        <v>RM-FOOD</v>
      </c>
      <c r="J1059" s="66">
        <v>0.2</v>
      </c>
      <c r="K1059" s="35">
        <f t="shared" si="318"/>
        <v>0.5</v>
      </c>
      <c r="L1059" s="35">
        <f t="shared" si="306"/>
        <v>0.5</v>
      </c>
      <c r="M1059" s="77" cm="1">
        <f t="array" ref="M1059">_xlfn.IFS(BOM!I1059="RM-PACKING","100%",B1059="Reynolds",VLOOKUP(H1059,'Yield &amp; Time'!A:V,22,0),BOM!B1059="Dnata",VLOOKUP(BOM!H1059,'Yield &amp; Time'!A:M,13,0),B1059="NK",VLOOKUP(H1059,'Yield &amp; Time'!A:X,24,0))</f>
        <v>0.80999999999999994</v>
      </c>
      <c r="N1059" s="35">
        <f t="shared" si="317"/>
        <v>0.61728395061728403</v>
      </c>
      <c r="O1059" s="1" t="str">
        <f>VLOOKUP(H1059,'RM Used'!A:E,5,0)</f>
        <v>KG</v>
      </c>
      <c r="P1059" s="11">
        <f>VLOOKUP(H1059,'RM Used'!A:F,6,0)</f>
        <v>1.1000000000000001</v>
      </c>
      <c r="Q1059" s="11">
        <f t="shared" si="315"/>
        <v>0.67901234567901247</v>
      </c>
      <c r="R1059" s="11">
        <f>IFERROR(IF(B1059="Reynolds",VLOOKUP(H1059,'Yield &amp; Time'!A:U,21,0),VLOOKUP(H1059,'Yield &amp; Time'!A:L,12,0)),0)</f>
        <v>1.5432098765432098</v>
      </c>
      <c r="S1059" s="11">
        <f t="shared" si="307"/>
        <v>0.26118827160493829</v>
      </c>
      <c r="T1059" s="11">
        <f t="shared" si="308"/>
        <v>1.2860082304526751E-2</v>
      </c>
      <c r="U1059" s="11">
        <f>IF(A1058=A1059,0,VLOOKUP(A1059,'Packing Time'!A:F,6,0))</f>
        <v>0.875</v>
      </c>
      <c r="V1059" s="11">
        <f t="shared" si="319"/>
        <v>0.29618749999999999</v>
      </c>
      <c r="W1059" s="11">
        <f t="shared" si="320"/>
        <v>1.4583333333333334E-2</v>
      </c>
      <c r="X1059" s="11">
        <f t="shared" si="309"/>
        <v>0.89180123456790117</v>
      </c>
      <c r="Y1059" s="11">
        <f t="shared" si="321"/>
        <v>0.89180123456790117</v>
      </c>
      <c r="Z1059" s="37">
        <v>1</v>
      </c>
      <c r="AA1059" s="36">
        <f t="shared" si="310"/>
        <v>0.61728395061728403</v>
      </c>
      <c r="AB1059" s="36">
        <f t="shared" si="311"/>
        <v>0.67901234567901247</v>
      </c>
      <c r="AC1059" s="11">
        <f t="shared" si="312"/>
        <v>4.3909465020576133E-2</v>
      </c>
      <c r="AD1059" s="36">
        <f t="shared" si="322"/>
        <v>0.89180123456790117</v>
      </c>
      <c r="AE1059" s="36"/>
      <c r="AF1059" s="36">
        <f>IFERROR(VLOOKUP(AE1059,'Chemical Cost'!A:D,4,0),0)</f>
        <v>0</v>
      </c>
      <c r="AG1059" s="114">
        <f t="shared" si="313"/>
        <v>0</v>
      </c>
      <c r="AH1059" s="36">
        <f t="shared" si="316"/>
        <v>0</v>
      </c>
      <c r="AI1059" s="36">
        <f t="shared" si="323"/>
        <v>1.5708135802469136</v>
      </c>
      <c r="AJ1059" s="36">
        <f>IFERROR(VLOOKUP(A1059,'All Products'!A:F,6,0),0)</f>
        <v>15.77</v>
      </c>
      <c r="AK1059" s="36">
        <f>AJ1059*Z1059*J1059</f>
        <v>3.1539999999999999</v>
      </c>
      <c r="AL1059" s="23">
        <v>1</v>
      </c>
      <c r="AM1059" s="23"/>
      <c r="AN1059" s="54" t="e">
        <v>#N/A</v>
      </c>
      <c r="AO1059" s="47"/>
      <c r="AP1059" s="4">
        <v>1.6</v>
      </c>
      <c r="AQ1059" s="111">
        <f t="shared" si="314"/>
        <v>4.3909465020576133E-2</v>
      </c>
      <c r="AR1059">
        <f>_xlfn.XLOOKUP(F1059,'RM Cost'!A:A,'RM Cost'!S:S)</f>
        <v>1.1644775886170367</v>
      </c>
      <c r="AS1059" t="e">
        <f>_xlfn.XLOOKUP(A1059,[3]Sheet1!$B:$B,[3]Sheet1!$B:$B)</f>
        <v>#N/A</v>
      </c>
    </row>
    <row r="1060" spans="1:45" x14ac:dyDescent="0.25">
      <c r="A1060" s="2" t="s">
        <v>951</v>
      </c>
      <c r="B1060" s="2" t="s">
        <v>656</v>
      </c>
      <c r="C1060" s="2" t="s">
        <v>952</v>
      </c>
      <c r="D1060" s="2" t="s">
        <v>554</v>
      </c>
      <c r="E1060" s="2">
        <v>2.5</v>
      </c>
      <c r="F1060" s="1" t="str">
        <f>VLOOKUP(H1060,'RM Used'!A:B,2,0)</f>
        <v>1318CS</v>
      </c>
      <c r="G1060" s="1" t="str">
        <f>IFERROR(VLOOKUP(F1060,'RM Cost'!A:B,2,0),"")</f>
        <v>RM - PREP ONION RED WHOLE 2.5KG</v>
      </c>
      <c r="H1060" s="2" t="s">
        <v>1409</v>
      </c>
      <c r="I1060" s="1" t="str">
        <f>VLOOKUP(F1060,'RM Used'!B:D,3,0)</f>
        <v>RM-FOOD</v>
      </c>
      <c r="J1060" s="66">
        <v>0.2</v>
      </c>
      <c r="K1060" s="35">
        <f t="shared" si="318"/>
        <v>0.5</v>
      </c>
      <c r="L1060" s="35">
        <f t="shared" si="306"/>
        <v>0.5</v>
      </c>
      <c r="M1060" s="77" cm="1">
        <f t="array" ref="M1060">_xlfn.IFS(BOM!I1060="RM-PACKING","100%",B1060="Reynolds",VLOOKUP(H1060,'Yield &amp; Time'!A:V,22,0),BOM!B1060="Dnata",VLOOKUP(BOM!H1060,'Yield &amp; Time'!A:M,13,0),B1060="NK",VLOOKUP(H1060,'Yield &amp; Time'!A:X,24,0))</f>
        <v>0.8367952522255192</v>
      </c>
      <c r="N1060" s="35">
        <f t="shared" si="317"/>
        <v>0.59751773049645396</v>
      </c>
      <c r="O1060" s="1" t="str">
        <f>VLOOKUP(H1060,'RM Used'!A:E,5,0)</f>
        <v>KG</v>
      </c>
      <c r="P1060" s="11">
        <f>VLOOKUP(H1060,'RM Used'!A:F,6,0)</f>
        <v>1.08</v>
      </c>
      <c r="Q1060" s="11">
        <f t="shared" si="315"/>
        <v>0.64531914893617037</v>
      </c>
      <c r="R1060" s="11">
        <f>IFERROR(IF(B1060="Reynolds",VLOOKUP(H1060,'Yield &amp; Time'!A:U,21,0),VLOOKUP(H1060,'Yield &amp; Time'!A:L,12,0)),0)</f>
        <v>2.8368794326241136</v>
      </c>
      <c r="S1060" s="11">
        <f t="shared" si="307"/>
        <v>0.48014184397163118</v>
      </c>
      <c r="T1060" s="11">
        <f t="shared" si="308"/>
        <v>2.3640661938534278E-2</v>
      </c>
      <c r="U1060" s="11">
        <f>IF(A1059=A1060,0,VLOOKUP(A1060,'Packing Time'!A:F,6,0))</f>
        <v>0</v>
      </c>
      <c r="V1060" s="11">
        <f t="shared" si="319"/>
        <v>0</v>
      </c>
      <c r="W1060" s="11">
        <f t="shared" si="320"/>
        <v>0</v>
      </c>
      <c r="X1060" s="11">
        <f t="shared" si="309"/>
        <v>0.76822695035460997</v>
      </c>
      <c r="Y1060" s="11">
        <f t="shared" si="321"/>
        <v>0.76822695035460997</v>
      </c>
      <c r="Z1060" s="37">
        <v>1</v>
      </c>
      <c r="AA1060" s="36">
        <f t="shared" si="310"/>
        <v>0.59751773049645396</v>
      </c>
      <c r="AB1060" s="36">
        <f t="shared" si="311"/>
        <v>0.64531914893617037</v>
      </c>
      <c r="AC1060" s="11">
        <f t="shared" si="312"/>
        <v>3.7825059101654845E-2</v>
      </c>
      <c r="AD1060" s="36">
        <f t="shared" si="322"/>
        <v>0.76822695035460975</v>
      </c>
      <c r="AE1060" s="36"/>
      <c r="AF1060" s="36">
        <f>IFERROR(VLOOKUP(AE1060,'Chemical Cost'!A:D,4,0),0)</f>
        <v>0</v>
      </c>
      <c r="AG1060" s="114">
        <f t="shared" si="313"/>
        <v>0</v>
      </c>
      <c r="AH1060" s="36">
        <f t="shared" si="316"/>
        <v>0</v>
      </c>
      <c r="AI1060" s="36">
        <f t="shared" si="323"/>
        <v>1.4135460992907802</v>
      </c>
      <c r="AJ1060" s="36">
        <f>IFERROR(VLOOKUP(A1060,'All Products'!A:F,6,0),0)</f>
        <v>15.77</v>
      </c>
      <c r="AK1060" s="36">
        <f>AJ1060*Z1060*J1060</f>
        <v>3.1539999999999999</v>
      </c>
      <c r="AL1060" s="23">
        <v>1</v>
      </c>
      <c r="AM1060" s="23"/>
      <c r="AN1060" s="54" t="e">
        <v>#N/A</v>
      </c>
      <c r="AO1060" s="47"/>
      <c r="AP1060" s="4">
        <v>1.6</v>
      </c>
      <c r="AQ1060" s="111">
        <f t="shared" si="314"/>
        <v>3.7825059101654845E-2</v>
      </c>
      <c r="AR1060">
        <f>_xlfn.XLOOKUP(F1060,'RM Cost'!A:A,'RM Cost'!S:S)</f>
        <v>0</v>
      </c>
      <c r="AS1060" t="e">
        <f>_xlfn.XLOOKUP(A1060,[3]Sheet1!$B:$B,[3]Sheet1!$B:$B)</f>
        <v>#N/A</v>
      </c>
    </row>
    <row r="1061" spans="1:45" x14ac:dyDescent="0.25">
      <c r="A1061" s="2" t="s">
        <v>951</v>
      </c>
      <c r="B1061" s="2" t="s">
        <v>656</v>
      </c>
      <c r="C1061" s="2" t="s">
        <v>952</v>
      </c>
      <c r="D1061" s="2" t="s">
        <v>554</v>
      </c>
      <c r="E1061" s="2">
        <v>2.5</v>
      </c>
      <c r="F1061" s="1" t="str">
        <f>VLOOKUP(H1061,'RM Used'!A:B,2,0)</f>
        <v>3565CS</v>
      </c>
      <c r="G1061" s="1" t="str">
        <f>IFERROR(VLOOKUP(F1061,'RM Cost'!A:B,2,0),"")</f>
        <v>RM - PEPPERS GREEN  X 5KG</v>
      </c>
      <c r="H1061" s="1" t="s">
        <v>1412</v>
      </c>
      <c r="I1061" s="1" t="str">
        <f>VLOOKUP(F1061,'RM Used'!B:D,3,0)</f>
        <v>RM-FOOD</v>
      </c>
      <c r="J1061" s="66">
        <v>0.2</v>
      </c>
      <c r="K1061" s="35">
        <f t="shared" si="318"/>
        <v>0.5</v>
      </c>
      <c r="L1061" s="35">
        <f t="shared" si="306"/>
        <v>0.5</v>
      </c>
      <c r="M1061" s="77" cm="1">
        <f t="array" ref="M1061">_xlfn.IFS(BOM!I1061="RM-PACKING","100%",B1061="Reynolds",VLOOKUP(H1061,'Yield &amp; Time'!A:V,22,0),BOM!B1061="Dnata",VLOOKUP(BOM!H1061,'Yield &amp; Time'!A:M,13,0),B1061="NK",VLOOKUP(H1061,'Yield &amp; Time'!A:X,24,0))</f>
        <v>0.44</v>
      </c>
      <c r="N1061" s="35">
        <f t="shared" si="317"/>
        <v>1.1363636363636365</v>
      </c>
      <c r="O1061" s="1" t="str">
        <f>VLOOKUP(H1061,'RM Used'!A:E,5,0)</f>
        <v>KG</v>
      </c>
      <c r="P1061" s="11">
        <f>VLOOKUP(H1061,'RM Used'!A:F,6,0)</f>
        <v>1.76</v>
      </c>
      <c r="Q1061" s="11">
        <f t="shared" si="315"/>
        <v>2</v>
      </c>
      <c r="R1061" s="11">
        <f>IFERROR(IF(B1061="Reynolds",VLOOKUP(H1061,'Yield &amp; Time'!A:U,21,0),VLOOKUP(H1061,'Yield &amp; Time'!A:L,12,0)),0)</f>
        <v>6.25</v>
      </c>
      <c r="S1061" s="11">
        <f t="shared" si="307"/>
        <v>1.0578124999999998</v>
      </c>
      <c r="T1061" s="11">
        <f t="shared" si="308"/>
        <v>5.2083333333333336E-2</v>
      </c>
      <c r="U1061" s="11">
        <f>IF(A1060=A1061,0,VLOOKUP(A1061,'Packing Time'!A:F,6,0))</f>
        <v>0</v>
      </c>
      <c r="V1061" s="11">
        <f t="shared" si="319"/>
        <v>0</v>
      </c>
      <c r="W1061" s="11">
        <f t="shared" si="320"/>
        <v>0</v>
      </c>
      <c r="X1061" s="11">
        <f t="shared" si="309"/>
        <v>1.6924999999999999</v>
      </c>
      <c r="Y1061" s="11">
        <f t="shared" si="321"/>
        <v>1.6924999999999999</v>
      </c>
      <c r="Z1061" s="37">
        <v>1</v>
      </c>
      <c r="AA1061" s="36">
        <f t="shared" si="310"/>
        <v>1.1363636363636365</v>
      </c>
      <c r="AB1061" s="36">
        <f t="shared" si="311"/>
        <v>2</v>
      </c>
      <c r="AC1061" s="11">
        <f t="shared" si="312"/>
        <v>8.3333333333333343E-2</v>
      </c>
      <c r="AD1061" s="36">
        <f t="shared" si="322"/>
        <v>1.6925000000000001</v>
      </c>
      <c r="AE1061" s="36"/>
      <c r="AF1061" s="36">
        <f>IFERROR(VLOOKUP(AE1061,'Chemical Cost'!A:D,4,0),0)</f>
        <v>0</v>
      </c>
      <c r="AG1061" s="114">
        <f t="shared" si="313"/>
        <v>0</v>
      </c>
      <c r="AH1061" s="36">
        <f t="shared" si="316"/>
        <v>0</v>
      </c>
      <c r="AI1061" s="36">
        <f t="shared" si="323"/>
        <v>3.6924999999999999</v>
      </c>
      <c r="AJ1061" s="36">
        <f>IFERROR(VLOOKUP(A1061,'All Products'!A:F,6,0),0)</f>
        <v>15.77</v>
      </c>
      <c r="AK1061" s="36">
        <f>AJ1061*Z1061*J1061</f>
        <v>3.1539999999999999</v>
      </c>
      <c r="AL1061" s="23">
        <v>1</v>
      </c>
      <c r="AM1061" s="23"/>
      <c r="AN1061" s="54" t="e">
        <v>#N/A</v>
      </c>
      <c r="AO1061" s="47"/>
      <c r="AP1061" s="4">
        <v>1.6</v>
      </c>
      <c r="AQ1061" s="111">
        <f t="shared" si="314"/>
        <v>8.3333333333333343E-2</v>
      </c>
      <c r="AR1061">
        <f>_xlfn.XLOOKUP(F1061,'RM Cost'!A:A,'RM Cost'!S:S)</f>
        <v>0</v>
      </c>
      <c r="AS1061" t="e">
        <f>_xlfn.XLOOKUP(A1061,[3]Sheet1!$B:$B,[3]Sheet1!$B:$B)</f>
        <v>#N/A</v>
      </c>
    </row>
    <row r="1062" spans="1:45" x14ac:dyDescent="0.25">
      <c r="A1062" s="2" t="s">
        <v>951</v>
      </c>
      <c r="B1062" s="2" t="s">
        <v>656</v>
      </c>
      <c r="C1062" s="2" t="s">
        <v>952</v>
      </c>
      <c r="D1062" s="2" t="s">
        <v>554</v>
      </c>
      <c r="E1062" s="2">
        <v>2.5</v>
      </c>
      <c r="F1062" s="1" t="str">
        <f>VLOOKUP(H1062,'RM Used'!A:B,2,0)</f>
        <v>3566CS</v>
      </c>
      <c r="G1062" s="1" t="str">
        <f>IFERROR(VLOOKUP(F1062,'RM Cost'!A:B,2,0),"")</f>
        <v>PEPPERS RED X 5KG</v>
      </c>
      <c r="H1062" s="1" t="s">
        <v>1411</v>
      </c>
      <c r="I1062" s="1" t="str">
        <f>VLOOKUP(F1062,'RM Used'!B:D,3,0)</f>
        <v>RM-FOOD</v>
      </c>
      <c r="J1062" s="66">
        <v>0.2</v>
      </c>
      <c r="K1062" s="35">
        <f t="shared" si="318"/>
        <v>0.5</v>
      </c>
      <c r="L1062" s="35">
        <f t="shared" si="306"/>
        <v>0.5</v>
      </c>
      <c r="M1062" s="77" cm="1">
        <f t="array" ref="M1062">_xlfn.IFS(BOM!I1062="RM-PACKING","100%",B1062="Reynolds",VLOOKUP(H1062,'Yield &amp; Time'!A:V,22,0),BOM!B1062="Dnata",VLOOKUP(BOM!H1062,'Yield &amp; Time'!A:M,13,0),B1062="NK",VLOOKUP(H1062,'Yield &amp; Time'!A:X,24,0))</f>
        <v>0.44</v>
      </c>
      <c r="N1062" s="35">
        <f t="shared" si="317"/>
        <v>1.1363636363636365</v>
      </c>
      <c r="O1062" s="1" t="str">
        <f>VLOOKUP(H1062,'RM Used'!A:E,5,0)</f>
        <v>KG</v>
      </c>
      <c r="P1062" s="11">
        <f>VLOOKUP(H1062,'RM Used'!A:F,6,0)</f>
        <v>1.72</v>
      </c>
      <c r="Q1062" s="11">
        <f t="shared" si="315"/>
        <v>1.9545454545454546</v>
      </c>
      <c r="R1062" s="11">
        <f>IFERROR(IF(B1062="Reynolds",VLOOKUP(H1062,'Yield &amp; Time'!A:U,21,0),VLOOKUP(H1062,'Yield &amp; Time'!A:L,12,0)),0)</f>
        <v>6</v>
      </c>
      <c r="S1062" s="11">
        <f t="shared" si="307"/>
        <v>1.0155000000000001</v>
      </c>
      <c r="T1062" s="11">
        <f t="shared" si="308"/>
        <v>5.000000000000001E-2</v>
      </c>
      <c r="U1062" s="11">
        <f>IF(A1061=A1062,0,VLOOKUP(A1062,'Packing Time'!A:F,6,0))</f>
        <v>0</v>
      </c>
      <c r="V1062" s="11">
        <f t="shared" si="319"/>
        <v>0</v>
      </c>
      <c r="W1062" s="11">
        <f t="shared" si="320"/>
        <v>0</v>
      </c>
      <c r="X1062" s="11">
        <f t="shared" si="309"/>
        <v>1.6248000000000002</v>
      </c>
      <c r="Y1062" s="11">
        <f t="shared" si="321"/>
        <v>1.6248000000000002</v>
      </c>
      <c r="Z1062" s="37">
        <v>1</v>
      </c>
      <c r="AA1062" s="36">
        <f t="shared" si="310"/>
        <v>1.1363636363636365</v>
      </c>
      <c r="AB1062" s="36">
        <f t="shared" si="311"/>
        <v>1.9545454545454546</v>
      </c>
      <c r="AC1062" s="11">
        <f t="shared" si="312"/>
        <v>8.0000000000000016E-2</v>
      </c>
      <c r="AD1062" s="36">
        <f t="shared" si="322"/>
        <v>1.6248</v>
      </c>
      <c r="AE1062" s="36"/>
      <c r="AF1062" s="36">
        <f>IFERROR(VLOOKUP(AE1062,'Chemical Cost'!A:D,4,0),0)</f>
        <v>0</v>
      </c>
      <c r="AG1062" s="114">
        <f t="shared" si="313"/>
        <v>0</v>
      </c>
      <c r="AH1062" s="36">
        <f t="shared" si="316"/>
        <v>0</v>
      </c>
      <c r="AI1062" s="36">
        <f t="shared" si="323"/>
        <v>3.5793454545454546</v>
      </c>
      <c r="AJ1062" s="36">
        <f>IFERROR(VLOOKUP(A1062,'All Products'!A:F,6,0),0)</f>
        <v>15.77</v>
      </c>
      <c r="AK1062" s="36">
        <f>AJ1062*Z1062*J1062</f>
        <v>3.1539999999999999</v>
      </c>
      <c r="AL1062" s="23">
        <v>1</v>
      </c>
      <c r="AM1062" s="23"/>
      <c r="AN1062" s="54" t="e">
        <v>#N/A</v>
      </c>
      <c r="AO1062" s="47"/>
      <c r="AP1062" s="4">
        <v>1.6</v>
      </c>
      <c r="AQ1062" s="111">
        <f t="shared" si="314"/>
        <v>8.0000000000000016E-2</v>
      </c>
      <c r="AR1062">
        <f>_xlfn.XLOOKUP(F1062,'RM Cost'!A:A,'RM Cost'!S:S)</f>
        <v>0</v>
      </c>
      <c r="AS1062" t="e">
        <f>_xlfn.XLOOKUP(A1062,[3]Sheet1!$B:$B,[3]Sheet1!$B:$B)</f>
        <v>#N/A</v>
      </c>
    </row>
    <row r="1063" spans="1:45" x14ac:dyDescent="0.25">
      <c r="A1063" s="2" t="s">
        <v>951</v>
      </c>
      <c r="B1063" s="2" t="s">
        <v>656</v>
      </c>
      <c r="C1063" s="2" t="s">
        <v>952</v>
      </c>
      <c r="D1063" s="2" t="s">
        <v>554</v>
      </c>
      <c r="E1063" s="2">
        <v>2.5</v>
      </c>
      <c r="F1063" s="1" t="str">
        <f>VLOOKUP(H1063,'RM Used'!A:B,2,0)</f>
        <v>3567CS</v>
      </c>
      <c r="G1063" s="1" t="str">
        <f>IFERROR(VLOOKUP(F1063,'RM Cost'!A:B,2,0),"")</f>
        <v>RM - PEPPERS YELLOW  X 5KG</v>
      </c>
      <c r="H1063" s="1" t="s">
        <v>1413</v>
      </c>
      <c r="I1063" s="1" t="str">
        <f>VLOOKUP(F1063,'RM Used'!B:D,3,0)</f>
        <v>RM-FOOD</v>
      </c>
      <c r="J1063" s="66">
        <v>0.2</v>
      </c>
      <c r="K1063" s="35">
        <f t="shared" si="318"/>
        <v>0.5</v>
      </c>
      <c r="L1063" s="35">
        <f t="shared" si="306"/>
        <v>0.5</v>
      </c>
      <c r="M1063" s="77" cm="1">
        <f t="array" ref="M1063">_xlfn.IFS(BOM!I1063="RM-PACKING","100%",B1063="Reynolds",VLOOKUP(H1063,'Yield &amp; Time'!A:V,22,0),BOM!B1063="Dnata",VLOOKUP(BOM!H1063,'Yield &amp; Time'!A:M,13,0),B1063="NK",VLOOKUP(H1063,'Yield &amp; Time'!A:X,24,0))</f>
        <v>0.44</v>
      </c>
      <c r="N1063" s="35">
        <f t="shared" si="317"/>
        <v>1.1363636363636365</v>
      </c>
      <c r="O1063" s="1" t="str">
        <f>VLOOKUP(H1063,'RM Used'!A:E,5,0)</f>
        <v>KG</v>
      </c>
      <c r="P1063" s="11">
        <f>VLOOKUP(H1063,'RM Used'!A:F,6,0)</f>
        <v>1.68</v>
      </c>
      <c r="Q1063" s="11">
        <f t="shared" si="315"/>
        <v>1.9090909090909092</v>
      </c>
      <c r="R1063" s="11">
        <f>IFERROR(IF(B1063="Reynolds",VLOOKUP(H1063,'Yield &amp; Time'!A:U,21,0),VLOOKUP(H1063,'Yield &amp; Time'!A:L,12,0)),0)</f>
        <v>6.25</v>
      </c>
      <c r="S1063" s="11">
        <f t="shared" si="307"/>
        <v>1.0578124999999998</v>
      </c>
      <c r="T1063" s="11">
        <f t="shared" si="308"/>
        <v>5.2083333333333336E-2</v>
      </c>
      <c r="U1063" s="11">
        <f>IF(A1062=A1063,0,VLOOKUP(A1063,'Packing Time'!A:F,6,0))</f>
        <v>0</v>
      </c>
      <c r="V1063" s="11">
        <f t="shared" si="319"/>
        <v>0</v>
      </c>
      <c r="W1063" s="11">
        <f t="shared" si="320"/>
        <v>0</v>
      </c>
      <c r="X1063" s="11">
        <f t="shared" si="309"/>
        <v>1.6924999999999999</v>
      </c>
      <c r="Y1063" s="11">
        <f t="shared" si="321"/>
        <v>1.6924999999999999</v>
      </c>
      <c r="Z1063" s="37">
        <v>1</v>
      </c>
      <c r="AA1063" s="36">
        <f t="shared" si="310"/>
        <v>1.1363636363636365</v>
      </c>
      <c r="AB1063" s="36">
        <f t="shared" si="311"/>
        <v>1.9090909090909092</v>
      </c>
      <c r="AC1063" s="11">
        <f t="shared" si="312"/>
        <v>8.3333333333333343E-2</v>
      </c>
      <c r="AD1063" s="36">
        <f t="shared" si="322"/>
        <v>1.6925000000000001</v>
      </c>
      <c r="AE1063" s="36"/>
      <c r="AF1063" s="36">
        <f>IFERROR(VLOOKUP(AE1063,'Chemical Cost'!A:D,4,0),0)</f>
        <v>0</v>
      </c>
      <c r="AG1063" s="114">
        <f t="shared" si="313"/>
        <v>0</v>
      </c>
      <c r="AH1063" s="36">
        <f t="shared" si="316"/>
        <v>0</v>
      </c>
      <c r="AI1063" s="36">
        <f t="shared" si="323"/>
        <v>3.6015909090909091</v>
      </c>
      <c r="AJ1063" s="36">
        <f>IFERROR(VLOOKUP(A1063,'All Products'!A:F,6,0),0)</f>
        <v>15.77</v>
      </c>
      <c r="AK1063" s="36">
        <f>AJ1063*Z1063*J1063</f>
        <v>3.1539999999999999</v>
      </c>
      <c r="AL1063" s="23">
        <v>1</v>
      </c>
      <c r="AM1063" s="23"/>
      <c r="AN1063" s="54" t="e">
        <v>#N/A</v>
      </c>
      <c r="AO1063" s="47"/>
      <c r="AP1063" s="4">
        <v>1.6</v>
      </c>
      <c r="AQ1063" s="111">
        <f t="shared" si="314"/>
        <v>8.3333333333333343E-2</v>
      </c>
      <c r="AR1063">
        <f>_xlfn.XLOOKUP(F1063,'RM Cost'!A:A,'RM Cost'!S:S)</f>
        <v>0</v>
      </c>
      <c r="AS1063" t="e">
        <f>_xlfn.XLOOKUP(A1063,[3]Sheet1!$B:$B,[3]Sheet1!$B:$B)</f>
        <v>#N/A</v>
      </c>
    </row>
    <row r="1064" spans="1:45" x14ac:dyDescent="0.25">
      <c r="A1064" s="2" t="s">
        <v>951</v>
      </c>
      <c r="B1064" s="2" t="s">
        <v>656</v>
      </c>
      <c r="C1064" s="2" t="s">
        <v>952</v>
      </c>
      <c r="D1064" s="2" t="s">
        <v>554</v>
      </c>
      <c r="E1064" s="2">
        <v>2.5</v>
      </c>
      <c r="F1064" s="1" t="str">
        <f>VLOOKUP(H1064,'RM Used'!A:B,2,0)</f>
        <v>P0008</v>
      </c>
      <c r="G1064" s="1" t="str">
        <f>IFERROR(VLOOKUP(F1064,'RM Cost'!A:B,2,0),"")</f>
        <v>PALE BLUE BAG 470X750MM</v>
      </c>
      <c r="H1064" s="2" t="s">
        <v>1323</v>
      </c>
      <c r="I1064" s="1" t="str">
        <f>VLOOKUP(F1064,'RM Used'!B:D,3,0)</f>
        <v>RM-PACKING</v>
      </c>
      <c r="J1064" s="66">
        <v>1</v>
      </c>
      <c r="K1064" s="35" t="str">
        <f t="shared" si="318"/>
        <v/>
      </c>
      <c r="L1064" s="35">
        <f t="shared" si="306"/>
        <v>0</v>
      </c>
      <c r="M1064" s="77" t="str" cm="1">
        <f t="array" ref="M1064">_xlfn.IFS(BOM!I1064="RM-PACKING","100%",B1064="Reynolds",VLOOKUP(H1064,'Yield &amp; Time'!A:V,22,0),BOM!B1064="Dnata",VLOOKUP(BOM!H1064,'Yield &amp; Time'!A:M,13,0),B1064="NK",VLOOKUP(H1064,'Yield &amp; Time'!A:X,24,0))</f>
        <v>100%</v>
      </c>
      <c r="N1064" s="35">
        <f t="shared" si="317"/>
        <v>1</v>
      </c>
      <c r="O1064" s="1" t="str">
        <f>VLOOKUP(H1064,'RM Used'!A:E,5,0)</f>
        <v>Count</v>
      </c>
      <c r="P1064" s="11">
        <f>VLOOKUP(H1064,'RM Used'!A:F,6,0)</f>
        <v>0.14000000000000001</v>
      </c>
      <c r="Q1064" s="11">
        <f t="shared" si="315"/>
        <v>0.14000000000000001</v>
      </c>
      <c r="R1064" s="11">
        <f>IFERROR(IF(B1064="Reynolds",VLOOKUP(H1064,'Yield &amp; Time'!A:U,21,0),VLOOKUP(H1064,'Yield &amp; Time'!A:L,12,0)),0)</f>
        <v>0</v>
      </c>
      <c r="S1064" s="11">
        <f t="shared" si="307"/>
        <v>0</v>
      </c>
      <c r="T1064" s="11">
        <f t="shared" si="308"/>
        <v>0</v>
      </c>
      <c r="U1064" s="11">
        <f>IF(A1063=A1064,0,VLOOKUP(A1064,'Packing Time'!A:F,6,0))</f>
        <v>0</v>
      </c>
      <c r="V1064" s="11">
        <f t="shared" si="319"/>
        <v>0</v>
      </c>
      <c r="W1064" s="11">
        <f t="shared" si="320"/>
        <v>0</v>
      </c>
      <c r="X1064" s="11">
        <f t="shared" si="309"/>
        <v>0</v>
      </c>
      <c r="Y1064" s="11">
        <f t="shared" si="321"/>
        <v>0</v>
      </c>
      <c r="Z1064" s="37">
        <v>1</v>
      </c>
      <c r="AA1064" s="36">
        <f t="shared" si="310"/>
        <v>1</v>
      </c>
      <c r="AB1064" s="36">
        <f t="shared" si="311"/>
        <v>0.14000000000000001</v>
      </c>
      <c r="AC1064" s="11">
        <f t="shared" si="312"/>
        <v>0</v>
      </c>
      <c r="AD1064" s="36">
        <f t="shared" si="322"/>
        <v>0</v>
      </c>
      <c r="AE1064" s="36"/>
      <c r="AF1064" s="36">
        <f>IFERROR(VLOOKUP(AE1064,'Chemical Cost'!A:D,4,0),0)</f>
        <v>0</v>
      </c>
      <c r="AG1064" s="114">
        <f t="shared" si="313"/>
        <v>0</v>
      </c>
      <c r="AH1064" s="36">
        <f t="shared" si="316"/>
        <v>0</v>
      </c>
      <c r="AI1064" s="36">
        <f t="shared" si="323"/>
        <v>0.14000000000000001</v>
      </c>
      <c r="AJ1064" s="36">
        <f>IFERROR(VLOOKUP(A1064,'All Products'!A:F,6,0),0)</f>
        <v>15.77</v>
      </c>
      <c r="AK1064" s="36"/>
      <c r="AL1064" s="23">
        <v>1</v>
      </c>
      <c r="AM1064" s="23"/>
      <c r="AN1064" s="54" t="e">
        <v>#N/A</v>
      </c>
      <c r="AO1064" s="47"/>
      <c r="AP1064" s="4">
        <v>1.6</v>
      </c>
      <c r="AQ1064" s="111">
        <f t="shared" si="314"/>
        <v>0</v>
      </c>
      <c r="AR1064">
        <f>_xlfn.XLOOKUP(F1064,'RM Cost'!A:A,'RM Cost'!S:S)</f>
        <v>0</v>
      </c>
      <c r="AS1064" t="e">
        <f>_xlfn.XLOOKUP(A1064,[3]Sheet1!$B:$B,[3]Sheet1!$B:$B)</f>
        <v>#N/A</v>
      </c>
    </row>
    <row r="1065" spans="1:45" x14ac:dyDescent="0.25">
      <c r="A1065" s="2" t="s">
        <v>200</v>
      </c>
      <c r="B1065" s="2" t="s">
        <v>656</v>
      </c>
      <c r="C1065" s="2" t="s">
        <v>953</v>
      </c>
      <c r="D1065" s="2" t="s">
        <v>554</v>
      </c>
      <c r="E1065" s="2">
        <v>2.5</v>
      </c>
      <c r="F1065" s="1" t="str">
        <f>VLOOKUP(H1065,'RM Used'!A:B,2,0)</f>
        <v>3389CS</v>
      </c>
      <c r="G1065" s="1" t="str">
        <f>IFERROR(VLOOKUP(F1065,'RM Cost'!A:B,2,0),"")</f>
        <v>RM - PAK CHOI X2KG</v>
      </c>
      <c r="H1065" s="2" t="s">
        <v>1470</v>
      </c>
      <c r="I1065" s="1" t="str">
        <f>VLOOKUP(F1065,'RM Used'!B:D,3,0)</f>
        <v>RM-FOOD</v>
      </c>
      <c r="J1065" s="66">
        <v>1</v>
      </c>
      <c r="K1065" s="35">
        <f t="shared" si="318"/>
        <v>2.5</v>
      </c>
      <c r="L1065" s="35">
        <f t="shared" si="306"/>
        <v>2.5</v>
      </c>
      <c r="M1065" s="77" cm="1">
        <f t="array" ref="M1065">_xlfn.IFS(BOM!I1065="RM-PACKING","100%",B1065="Reynolds",VLOOKUP(H1065,'Yield &amp; Time'!A:V,22,0),BOM!B1065="Dnata",VLOOKUP(BOM!H1065,'Yield &amp; Time'!A:M,13,0),B1065="NK",VLOOKUP(H1065,'Yield &amp; Time'!A:X,24,0))</f>
        <v>0.67272727272727262</v>
      </c>
      <c r="N1065" s="35">
        <f t="shared" si="317"/>
        <v>3.7162162162162167</v>
      </c>
      <c r="O1065" s="1" t="str">
        <f>VLOOKUP(H1065,'RM Used'!A:E,5,0)</f>
        <v>KG</v>
      </c>
      <c r="P1065" s="11">
        <f>VLOOKUP(H1065,'RM Used'!A:F,6,0)</f>
        <v>1.81</v>
      </c>
      <c r="Q1065" s="11">
        <f t="shared" si="315"/>
        <v>6.7263513513513526</v>
      </c>
      <c r="R1065" s="11">
        <f>IFERROR(IF(B1065="Reynolds",VLOOKUP(H1065,'Yield &amp; Time'!A:U,21,0),VLOOKUP(H1065,'Yield &amp; Time'!A:L,12,0)),0)</f>
        <v>3.5360360360360361</v>
      </c>
      <c r="S1065" s="11">
        <f t="shared" si="307"/>
        <v>2.9923704954954951</v>
      </c>
      <c r="T1065" s="11">
        <f t="shared" si="308"/>
        <v>0.14733483483483484</v>
      </c>
      <c r="U1065" s="11">
        <f>IF(A1064=A1065,0,VLOOKUP(A1065,'Packing Time'!A:F,6,0))</f>
        <v>0.875</v>
      </c>
      <c r="V1065" s="11">
        <f t="shared" si="319"/>
        <v>0.29618749999999999</v>
      </c>
      <c r="W1065" s="11">
        <f t="shared" si="320"/>
        <v>1.4583333333333334E-2</v>
      </c>
      <c r="X1065" s="11">
        <f t="shared" si="309"/>
        <v>5.2616927927927932</v>
      </c>
      <c r="Y1065" s="11">
        <f t="shared" si="321"/>
        <v>5.2616927927927932</v>
      </c>
      <c r="Z1065" s="37">
        <v>1</v>
      </c>
      <c r="AA1065" s="36">
        <f t="shared" si="310"/>
        <v>3.7162162162162167</v>
      </c>
      <c r="AB1065" s="36">
        <f t="shared" si="311"/>
        <v>6.7263513513513526</v>
      </c>
      <c r="AC1065" s="11">
        <f t="shared" si="312"/>
        <v>0.25906906906906907</v>
      </c>
      <c r="AD1065" s="36">
        <f t="shared" si="322"/>
        <v>5.2616927927927923</v>
      </c>
      <c r="AE1065" s="36"/>
      <c r="AF1065" s="36">
        <f>IFERROR(VLOOKUP(AE1065,'Chemical Cost'!A:D,4,0),0)</f>
        <v>0</v>
      </c>
      <c r="AG1065" s="114">
        <f t="shared" si="313"/>
        <v>0</v>
      </c>
      <c r="AH1065" s="36">
        <f t="shared" si="316"/>
        <v>0</v>
      </c>
      <c r="AI1065" s="36">
        <f t="shared" si="323"/>
        <v>11.988044144144146</v>
      </c>
      <c r="AJ1065" s="36">
        <f>IFERROR(VLOOKUP(A1065,'All Products'!A:F,6,0),0)</f>
        <v>14.83</v>
      </c>
      <c r="AK1065" s="36">
        <f>AJ1065*Z1065*J1065</f>
        <v>14.83</v>
      </c>
      <c r="AL1065" s="23">
        <v>1</v>
      </c>
      <c r="AM1065" s="23"/>
      <c r="AN1065" s="54" t="e">
        <v>#N/A</v>
      </c>
      <c r="AO1065" s="47"/>
      <c r="AP1065" s="4">
        <v>1.6</v>
      </c>
      <c r="AQ1065" s="111">
        <f t="shared" si="314"/>
        <v>0.25906906906906907</v>
      </c>
      <c r="AR1065">
        <f>_xlfn.XLOOKUP(F1065,'RM Cost'!A:A,'RM Cost'!S:S)</f>
        <v>0</v>
      </c>
      <c r="AS1065" t="e">
        <f>_xlfn.XLOOKUP(A1065,[3]Sheet1!$B:$B,[3]Sheet1!$B:$B)</f>
        <v>#N/A</v>
      </c>
    </row>
    <row r="1066" spans="1:45" x14ac:dyDescent="0.25">
      <c r="A1066" s="2" t="s">
        <v>200</v>
      </c>
      <c r="B1066" s="2" t="s">
        <v>656</v>
      </c>
      <c r="C1066" s="2" t="s">
        <v>953</v>
      </c>
      <c r="D1066" s="2" t="s">
        <v>554</v>
      </c>
      <c r="E1066" s="2">
        <v>2.5</v>
      </c>
      <c r="F1066" s="1" t="str">
        <f>VLOOKUP(H1066,'RM Used'!A:B,2,0)</f>
        <v>P0008</v>
      </c>
      <c r="G1066" s="1" t="str">
        <f>IFERROR(VLOOKUP(F1066,'RM Cost'!A:B,2,0),"")</f>
        <v>PALE BLUE BAG 470X750MM</v>
      </c>
      <c r="H1066" s="2" t="s">
        <v>1323</v>
      </c>
      <c r="I1066" s="1" t="str">
        <f>VLOOKUP(F1066,'RM Used'!B:D,3,0)</f>
        <v>RM-PACKING</v>
      </c>
      <c r="J1066" s="66">
        <v>1</v>
      </c>
      <c r="K1066" s="35" t="str">
        <f t="shared" si="318"/>
        <v/>
      </c>
      <c r="L1066" s="35">
        <f t="shared" si="306"/>
        <v>0</v>
      </c>
      <c r="M1066" s="77" t="str" cm="1">
        <f t="array" ref="M1066">_xlfn.IFS(BOM!I1066="RM-PACKING","100%",B1066="Reynolds",VLOOKUP(H1066,'Yield &amp; Time'!A:V,22,0),BOM!B1066="Dnata",VLOOKUP(BOM!H1066,'Yield &amp; Time'!A:M,13,0),B1066="NK",VLOOKUP(H1066,'Yield &amp; Time'!A:X,24,0))</f>
        <v>100%</v>
      </c>
      <c r="N1066" s="35">
        <f t="shared" si="317"/>
        <v>1</v>
      </c>
      <c r="O1066" s="1" t="str">
        <f>VLOOKUP(H1066,'RM Used'!A:E,5,0)</f>
        <v>Count</v>
      </c>
      <c r="P1066" s="11">
        <f>VLOOKUP(H1066,'RM Used'!A:F,6,0)</f>
        <v>0.14000000000000001</v>
      </c>
      <c r="Q1066" s="11">
        <f t="shared" si="315"/>
        <v>0.14000000000000001</v>
      </c>
      <c r="R1066" s="11">
        <f>IFERROR(IF(B1066="Reynolds",VLOOKUP(H1066,'Yield &amp; Time'!A:U,21,0),VLOOKUP(H1066,'Yield &amp; Time'!A:L,12,0)),0)</f>
        <v>0</v>
      </c>
      <c r="S1066" s="11">
        <f t="shared" si="307"/>
        <v>0</v>
      </c>
      <c r="T1066" s="11">
        <f t="shared" si="308"/>
        <v>0</v>
      </c>
      <c r="U1066" s="11">
        <f>IF(A1065=A1066,0,VLOOKUP(A1066,'Packing Time'!A:F,6,0))</f>
        <v>0</v>
      </c>
      <c r="V1066" s="11">
        <f t="shared" si="319"/>
        <v>0</v>
      </c>
      <c r="W1066" s="11">
        <f t="shared" si="320"/>
        <v>0</v>
      </c>
      <c r="X1066" s="11">
        <f t="shared" si="309"/>
        <v>0</v>
      </c>
      <c r="Y1066" s="11">
        <f t="shared" si="321"/>
        <v>0</v>
      </c>
      <c r="Z1066" s="37">
        <v>1</v>
      </c>
      <c r="AA1066" s="36">
        <f t="shared" si="310"/>
        <v>1</v>
      </c>
      <c r="AB1066" s="36">
        <f t="shared" si="311"/>
        <v>0.14000000000000001</v>
      </c>
      <c r="AC1066" s="11">
        <f t="shared" si="312"/>
        <v>0</v>
      </c>
      <c r="AD1066" s="36">
        <f t="shared" si="322"/>
        <v>0</v>
      </c>
      <c r="AE1066" s="36"/>
      <c r="AF1066" s="36">
        <f>IFERROR(VLOOKUP(AE1066,'Chemical Cost'!A:D,4,0),0)</f>
        <v>0</v>
      </c>
      <c r="AG1066" s="114">
        <f t="shared" si="313"/>
        <v>0</v>
      </c>
      <c r="AH1066" s="36">
        <f t="shared" si="316"/>
        <v>0</v>
      </c>
      <c r="AI1066" s="36">
        <f t="shared" si="323"/>
        <v>0.14000000000000001</v>
      </c>
      <c r="AJ1066" s="36">
        <f>IFERROR(VLOOKUP(A1066,'All Products'!A:F,6,0),0)</f>
        <v>14.83</v>
      </c>
      <c r="AK1066" s="36"/>
      <c r="AL1066" s="23">
        <v>1</v>
      </c>
      <c r="AM1066" s="23"/>
      <c r="AN1066" s="54" t="e">
        <v>#N/A</v>
      </c>
      <c r="AO1066" s="47"/>
      <c r="AP1066" s="4">
        <v>1.6</v>
      </c>
      <c r="AQ1066" s="111">
        <f t="shared" si="314"/>
        <v>0</v>
      </c>
      <c r="AR1066">
        <f>_xlfn.XLOOKUP(F1066,'RM Cost'!A:A,'RM Cost'!S:S)</f>
        <v>0</v>
      </c>
      <c r="AS1066" t="e">
        <f>_xlfn.XLOOKUP(A1066,[3]Sheet1!$B:$B,[3]Sheet1!$B:$B)</f>
        <v>#N/A</v>
      </c>
    </row>
    <row r="1067" spans="1:45" x14ac:dyDescent="0.25">
      <c r="A1067" s="2" t="s">
        <v>954</v>
      </c>
      <c r="B1067" s="2" t="s">
        <v>656</v>
      </c>
      <c r="C1067" s="2" t="s">
        <v>955</v>
      </c>
      <c r="D1067" s="2" t="s">
        <v>554</v>
      </c>
      <c r="E1067" s="2">
        <v>2.5</v>
      </c>
      <c r="F1067" s="1" t="str">
        <f>VLOOKUP(H1067,'RM Used'!A:B,2,0)</f>
        <v>3205CS</v>
      </c>
      <c r="G1067" s="1" t="str">
        <f>IFERROR(VLOOKUP(F1067,'RM Cost'!A:B,2,0),"")</f>
        <v>RM - PREMIUM CHIPPING POTATO 1X25KG</v>
      </c>
      <c r="H1067" s="2" t="s">
        <v>1471</v>
      </c>
      <c r="I1067" s="1" t="str">
        <f>VLOOKUP(F1067,'RM Used'!B:D,3,0)</f>
        <v>RM-FOOD</v>
      </c>
      <c r="J1067" s="66">
        <v>1</v>
      </c>
      <c r="K1067" s="35">
        <f t="shared" si="318"/>
        <v>2.5</v>
      </c>
      <c r="L1067" s="35">
        <f t="shared" si="306"/>
        <v>2.5</v>
      </c>
      <c r="M1067" s="77" cm="1">
        <f t="array" ref="M1067">_xlfn.IFS(BOM!I1067="RM-PACKING","100%",B1067="Reynolds",VLOOKUP(H1067,'Yield &amp; Time'!A:V,22,0),BOM!B1067="Dnata",VLOOKUP(BOM!H1067,'Yield &amp; Time'!A:M,13,0),B1067="NK",VLOOKUP(H1067,'Yield &amp; Time'!A:X,24,0))</f>
        <v>0</v>
      </c>
      <c r="N1067" s="35">
        <f t="shared" si="317"/>
        <v>0</v>
      </c>
      <c r="O1067" s="1" t="str">
        <f>VLOOKUP(H1067,'RM Used'!A:E,5,0)</f>
        <v>KG</v>
      </c>
      <c r="P1067" s="11">
        <f>VLOOKUP(H1067,'RM Used'!A:F,6,0)</f>
        <v>0.45</v>
      </c>
      <c r="Q1067" s="11">
        <f t="shared" si="315"/>
        <v>0</v>
      </c>
      <c r="R1067" s="11">
        <f>IFERROR(IF(B1067="Reynolds",VLOOKUP(H1067,'Yield &amp; Time'!A:U,21,0),VLOOKUP(H1067,'Yield &amp; Time'!A:L,12,0)),0)</f>
        <v>0.1</v>
      </c>
      <c r="S1067" s="11">
        <f t="shared" si="307"/>
        <v>8.4624999999999992E-2</v>
      </c>
      <c r="T1067" s="11">
        <f t="shared" si="308"/>
        <v>4.1666666666666666E-3</v>
      </c>
      <c r="U1067" s="11">
        <f>IF(A1066=A1067,0,VLOOKUP(A1067,'Packing Time'!A:F,6,0))</f>
        <v>0.875</v>
      </c>
      <c r="V1067" s="11">
        <f t="shared" si="319"/>
        <v>0.29618749999999999</v>
      </c>
      <c r="W1067" s="11">
        <f t="shared" si="320"/>
        <v>1.4583333333333334E-2</v>
      </c>
      <c r="X1067" s="11">
        <f t="shared" si="309"/>
        <v>0.60929999999999995</v>
      </c>
      <c r="Y1067" s="11">
        <f t="shared" si="321"/>
        <v>0.60929999999999995</v>
      </c>
      <c r="Z1067" s="37">
        <v>1</v>
      </c>
      <c r="AA1067" s="36">
        <f t="shared" si="310"/>
        <v>0</v>
      </c>
      <c r="AB1067" s="36">
        <f t="shared" si="311"/>
        <v>0</v>
      </c>
      <c r="AC1067" s="11">
        <f t="shared" si="312"/>
        <v>0.03</v>
      </c>
      <c r="AD1067" s="36">
        <f t="shared" si="322"/>
        <v>0.60929999999999984</v>
      </c>
      <c r="AE1067" s="36" t="str">
        <f>VLOOKUP(H1067,'Yield &amp; Time'!A:I,9,0)</f>
        <v>SODIUM METABISULPHITE</v>
      </c>
      <c r="AF1067" s="36">
        <f>IFERROR(VLOOKUP(AE1067,'Chemical Cost'!A:D,4,0),0)</f>
        <v>9.7586225455882462E-3</v>
      </c>
      <c r="AG1067" s="114">
        <f t="shared" si="313"/>
        <v>0</v>
      </c>
      <c r="AH1067" s="36">
        <f t="shared" si="316"/>
        <v>0</v>
      </c>
      <c r="AI1067" s="36">
        <f t="shared" si="323"/>
        <v>0.60929999999999995</v>
      </c>
      <c r="AJ1067" s="36">
        <f>IFERROR(VLOOKUP(A1067,'All Products'!A:F,6,0),0)</f>
        <v>15.06</v>
      </c>
      <c r="AK1067" s="36">
        <f>AJ1067*Z1067*J1067</f>
        <v>15.06</v>
      </c>
      <c r="AL1067" s="29">
        <v>1</v>
      </c>
      <c r="AM1067" s="23"/>
      <c r="AN1067" s="54" t="e">
        <v>#N/A</v>
      </c>
      <c r="AO1067" s="47"/>
      <c r="AP1067" s="4">
        <v>1.6</v>
      </c>
      <c r="AQ1067" s="111">
        <f t="shared" si="314"/>
        <v>0.03</v>
      </c>
      <c r="AR1067">
        <f>_xlfn.XLOOKUP(F1067,'RM Cost'!A:A,'RM Cost'!S:S)</f>
        <v>0</v>
      </c>
      <c r="AS1067" t="e">
        <f>_xlfn.XLOOKUP(A1067,[3]Sheet1!$B:$B,[3]Sheet1!$B:$B)</f>
        <v>#N/A</v>
      </c>
    </row>
    <row r="1068" spans="1:45" x14ac:dyDescent="0.25">
      <c r="A1068" s="2" t="s">
        <v>954</v>
      </c>
      <c r="B1068" s="2" t="s">
        <v>656</v>
      </c>
      <c r="C1068" s="2" t="s">
        <v>955</v>
      </c>
      <c r="D1068" s="2" t="s">
        <v>554</v>
      </c>
      <c r="E1068" s="2">
        <v>2.5</v>
      </c>
      <c r="F1068" s="1" t="str">
        <f>VLOOKUP(H1068,'RM Used'!A:B,2,0)</f>
        <v>P0008</v>
      </c>
      <c r="G1068" s="1" t="str">
        <f>IFERROR(VLOOKUP(F1068,'RM Cost'!A:B,2,0),"")</f>
        <v>PALE BLUE BAG 470X750MM</v>
      </c>
      <c r="H1068" s="2" t="s">
        <v>1323</v>
      </c>
      <c r="I1068" s="1" t="str">
        <f>VLOOKUP(F1068,'RM Used'!B:D,3,0)</f>
        <v>RM-PACKING</v>
      </c>
      <c r="J1068" s="66">
        <v>1</v>
      </c>
      <c r="K1068" s="35" t="str">
        <f t="shared" si="318"/>
        <v/>
      </c>
      <c r="L1068" s="35">
        <f t="shared" si="306"/>
        <v>0</v>
      </c>
      <c r="M1068" s="77" t="str" cm="1">
        <f t="array" ref="M1068">_xlfn.IFS(BOM!I1068="RM-PACKING","100%",B1068="Reynolds",VLOOKUP(H1068,'Yield &amp; Time'!A:V,22,0),BOM!B1068="Dnata",VLOOKUP(BOM!H1068,'Yield &amp; Time'!A:M,13,0),B1068="NK",VLOOKUP(H1068,'Yield &amp; Time'!A:X,24,0))</f>
        <v>100%</v>
      </c>
      <c r="N1068" s="35">
        <f t="shared" si="317"/>
        <v>1</v>
      </c>
      <c r="O1068" s="1" t="str">
        <f>VLOOKUP(H1068,'RM Used'!A:E,5,0)</f>
        <v>Count</v>
      </c>
      <c r="P1068" s="11">
        <f>VLOOKUP(H1068,'RM Used'!A:F,6,0)</f>
        <v>0.14000000000000001</v>
      </c>
      <c r="Q1068" s="11">
        <f t="shared" si="315"/>
        <v>0.14000000000000001</v>
      </c>
      <c r="R1068" s="11">
        <f>IFERROR(IF(B1068="Reynolds",VLOOKUP(H1068,'Yield &amp; Time'!A:U,21,0),VLOOKUP(H1068,'Yield &amp; Time'!A:L,12,0)),0)</f>
        <v>0</v>
      </c>
      <c r="S1068" s="11">
        <f t="shared" si="307"/>
        <v>0</v>
      </c>
      <c r="T1068" s="11">
        <f t="shared" si="308"/>
        <v>0</v>
      </c>
      <c r="U1068" s="11">
        <f>IF(A1067=A1068,0,VLOOKUP(A1068,'Packing Time'!A:F,6,0))</f>
        <v>0</v>
      </c>
      <c r="V1068" s="11">
        <f t="shared" si="319"/>
        <v>0</v>
      </c>
      <c r="W1068" s="11">
        <f t="shared" si="320"/>
        <v>0</v>
      </c>
      <c r="X1068" s="11">
        <f t="shared" si="309"/>
        <v>0</v>
      </c>
      <c r="Y1068" s="11">
        <f t="shared" si="321"/>
        <v>0</v>
      </c>
      <c r="Z1068" s="37">
        <v>1</v>
      </c>
      <c r="AA1068" s="36">
        <f t="shared" si="310"/>
        <v>1</v>
      </c>
      <c r="AB1068" s="36">
        <f t="shared" si="311"/>
        <v>0.14000000000000001</v>
      </c>
      <c r="AC1068" s="11">
        <f t="shared" si="312"/>
        <v>0</v>
      </c>
      <c r="AD1068" s="36">
        <f t="shared" si="322"/>
        <v>0</v>
      </c>
      <c r="AE1068" s="36"/>
      <c r="AF1068" s="36">
        <f>IFERROR(VLOOKUP(AE1068,'Chemical Cost'!A:D,4,0),0)</f>
        <v>0</v>
      </c>
      <c r="AG1068" s="114">
        <f t="shared" si="313"/>
        <v>0</v>
      </c>
      <c r="AH1068" s="36">
        <f t="shared" si="316"/>
        <v>0</v>
      </c>
      <c r="AI1068" s="36">
        <f t="shared" si="323"/>
        <v>0.14000000000000001</v>
      </c>
      <c r="AJ1068" s="36">
        <f>IFERROR(VLOOKUP(A1068,'All Products'!A:F,6,0),0)</f>
        <v>15.06</v>
      </c>
      <c r="AK1068" s="36"/>
      <c r="AL1068" s="29">
        <v>1</v>
      </c>
      <c r="AM1068" s="23"/>
      <c r="AN1068" s="54" t="e">
        <v>#N/A</v>
      </c>
      <c r="AO1068" s="47"/>
      <c r="AP1068" s="4">
        <v>1.6</v>
      </c>
      <c r="AQ1068" s="111">
        <f t="shared" si="314"/>
        <v>0</v>
      </c>
      <c r="AR1068">
        <f>_xlfn.XLOOKUP(F1068,'RM Cost'!A:A,'RM Cost'!S:S)</f>
        <v>0</v>
      </c>
      <c r="AS1068" t="e">
        <f>_xlfn.XLOOKUP(A1068,[3]Sheet1!$B:$B,[3]Sheet1!$B:$B)</f>
        <v>#N/A</v>
      </c>
    </row>
    <row r="1069" spans="1:45" x14ac:dyDescent="0.25">
      <c r="A1069" s="16" t="s">
        <v>23</v>
      </c>
      <c r="B1069" s="2" t="s">
        <v>656</v>
      </c>
      <c r="C1069" s="2" t="s">
        <v>24</v>
      </c>
      <c r="D1069" s="2" t="s">
        <v>554</v>
      </c>
      <c r="E1069" s="2">
        <v>2.5</v>
      </c>
      <c r="F1069" s="1" t="str">
        <f>VLOOKUP(H1069,'RM Used'!A:B,2,0)</f>
        <v>3270CS</v>
      </c>
      <c r="G1069" s="1" t="str">
        <f>IFERROR(VLOOKUP(F1069,'RM Cost'!A:B,2,0),"")</f>
        <v>RM - SUGAR SNAP 2KG</v>
      </c>
      <c r="H1069" s="1" t="s">
        <v>1590</v>
      </c>
      <c r="I1069" s="1" t="str">
        <f>VLOOKUP(F1069,'RM Used'!B:D,3,0)</f>
        <v>RM-FOOD</v>
      </c>
      <c r="J1069" s="66">
        <v>1</v>
      </c>
      <c r="K1069" s="35">
        <f t="shared" si="318"/>
        <v>2.5</v>
      </c>
      <c r="L1069" s="35">
        <f t="shared" si="306"/>
        <v>2.5</v>
      </c>
      <c r="M1069" s="77" cm="1">
        <f t="array" ref="M1069">_xlfn.IFS(BOM!I1069="RM-PACKING","100%",B1069="Reynolds",VLOOKUP(H1069,'Yield &amp; Time'!A:V,22,0),BOM!B1069="Dnata",VLOOKUP(BOM!H1069,'Yield &amp; Time'!A:M,13,0),B1069="NK",VLOOKUP(H1069,'Yield &amp; Time'!A:X,24,0))</f>
        <v>0.85</v>
      </c>
      <c r="N1069" s="35">
        <f t="shared" si="317"/>
        <v>2.9411764705882355</v>
      </c>
      <c r="O1069" s="1" t="str">
        <f>VLOOKUP(H1069,'RM Used'!A:E,5,0)</f>
        <v>KG</v>
      </c>
      <c r="P1069" s="11">
        <f>VLOOKUP(H1069,'RM Used'!A:F,6,0)</f>
        <v>3.37</v>
      </c>
      <c r="Q1069" s="11">
        <f t="shared" si="315"/>
        <v>9.9117647058823533</v>
      </c>
      <c r="R1069" s="11">
        <f>IFERROR(IF(B1069="Reynolds",VLOOKUP(H1069,'Yield &amp; Time'!A:U,21,0),VLOOKUP(H1069,'Yield &amp; Time'!A:L,12,0)),0)</f>
        <v>13.6</v>
      </c>
      <c r="S1069" s="11">
        <f t="shared" si="307"/>
        <v>11.508999999999999</v>
      </c>
      <c r="T1069" s="11">
        <f t="shared" si="308"/>
        <v>0.56666666666666665</v>
      </c>
      <c r="U1069" s="11">
        <f>IF(A1068=A1069,0,VLOOKUP(A1069,'Packing Time'!A:F,6,0))</f>
        <v>0.875</v>
      </c>
      <c r="V1069" s="11">
        <f t="shared" si="319"/>
        <v>0.29618749999999999</v>
      </c>
      <c r="W1069" s="11">
        <f t="shared" si="320"/>
        <v>1.4583333333333334E-2</v>
      </c>
      <c r="X1069" s="11">
        <f t="shared" si="309"/>
        <v>12.98570625</v>
      </c>
      <c r="Y1069" s="11">
        <f t="shared" si="321"/>
        <v>12.98570625</v>
      </c>
      <c r="Z1069" s="37">
        <v>1</v>
      </c>
      <c r="AA1069" s="36">
        <f t="shared" si="310"/>
        <v>2.9411764705882355</v>
      </c>
      <c r="AB1069" s="36">
        <f t="shared" si="311"/>
        <v>9.9117647058823533</v>
      </c>
      <c r="AC1069" s="11">
        <f t="shared" si="312"/>
        <v>0.63937500000000014</v>
      </c>
      <c r="AD1069" s="36">
        <f t="shared" si="322"/>
        <v>12.985706250000003</v>
      </c>
      <c r="AE1069" s="36" t="str">
        <f>VLOOKUP(H1069,'Yield &amp; Time'!A:I,9,0)</f>
        <v>CHLORINE</v>
      </c>
      <c r="AF1069" s="36">
        <f>IFERROR(VLOOKUP(AE1069,'Chemical Cost'!A:D,4,0),0)</f>
        <v>2.7756518066439469E-2</v>
      </c>
      <c r="AG1069" s="114">
        <f t="shared" si="313"/>
        <v>2.7212272614156346E-2</v>
      </c>
      <c r="AH1069" s="36">
        <f t="shared" si="316"/>
        <v>2.7212272614156346E-2</v>
      </c>
      <c r="AI1069" s="36">
        <f t="shared" si="323"/>
        <v>22.924683228496512</v>
      </c>
      <c r="AJ1069" s="36">
        <f>IFERROR(VLOOKUP(A1069,'All Products'!A:F,6,0),0)</f>
        <v>32.11</v>
      </c>
      <c r="AK1069" s="36">
        <f>AJ1069*Z1069*J1069</f>
        <v>32.11</v>
      </c>
      <c r="AL1069" s="23">
        <v>1</v>
      </c>
      <c r="AM1069" s="23"/>
      <c r="AN1069" s="54" t="e">
        <v>#N/A</v>
      </c>
      <c r="AO1069" s="47"/>
      <c r="AP1069" s="4">
        <v>1.1000000000000001</v>
      </c>
      <c r="AQ1069" s="111">
        <f t="shared" si="314"/>
        <v>0.63937500000000014</v>
      </c>
      <c r="AR1069">
        <f>_xlfn.XLOOKUP(F1069,'RM Cost'!A:A,'RM Cost'!S:S)</f>
        <v>0</v>
      </c>
      <c r="AS1069" t="e">
        <f>_xlfn.XLOOKUP(A1069,[3]Sheet1!$B:$B,[3]Sheet1!$B:$B)</f>
        <v>#N/A</v>
      </c>
    </row>
    <row r="1070" spans="1:45" x14ac:dyDescent="0.25">
      <c r="A1070" s="16" t="s">
        <v>23</v>
      </c>
      <c r="B1070" s="2" t="s">
        <v>656</v>
      </c>
      <c r="C1070" s="2" t="s">
        <v>24</v>
      </c>
      <c r="D1070" s="2" t="s">
        <v>554</v>
      </c>
      <c r="E1070" s="2">
        <v>2.5</v>
      </c>
      <c r="F1070" s="1" t="str">
        <f>VLOOKUP(H1070,'RM Used'!A:B,2,0)</f>
        <v>P0008</v>
      </c>
      <c r="G1070" s="1" t="str">
        <f>IFERROR(VLOOKUP(F1070,'RM Cost'!A:B,2,0),"")</f>
        <v>PALE BLUE BAG 470X750MM</v>
      </c>
      <c r="H1070" s="1" t="s">
        <v>1323</v>
      </c>
      <c r="I1070" s="1" t="str">
        <f>VLOOKUP(F1070,'RM Used'!B:D,3,0)</f>
        <v>RM-PACKING</v>
      </c>
      <c r="J1070" s="66">
        <v>1</v>
      </c>
      <c r="K1070" s="35" t="str">
        <f t="shared" si="318"/>
        <v/>
      </c>
      <c r="L1070" s="35">
        <f t="shared" si="306"/>
        <v>0</v>
      </c>
      <c r="M1070" s="77" t="str" cm="1">
        <f t="array" ref="M1070">_xlfn.IFS(BOM!I1070="RM-PACKING","100%",B1070="Reynolds",VLOOKUP(H1070,'Yield &amp; Time'!A:V,22,0),BOM!B1070="Dnata",VLOOKUP(BOM!H1070,'Yield &amp; Time'!A:M,13,0),B1070="NK",VLOOKUP(H1070,'Yield &amp; Time'!A:X,24,0))</f>
        <v>100%</v>
      </c>
      <c r="N1070" s="35">
        <f t="shared" si="317"/>
        <v>1</v>
      </c>
      <c r="O1070" s="1" t="str">
        <f>VLOOKUP(H1070,'RM Used'!A:E,5,0)</f>
        <v>Count</v>
      </c>
      <c r="P1070" s="11">
        <f>VLOOKUP(H1070,'RM Used'!A:F,6,0)</f>
        <v>0.14000000000000001</v>
      </c>
      <c r="Q1070" s="11">
        <f t="shared" si="315"/>
        <v>0.14000000000000001</v>
      </c>
      <c r="R1070" s="11">
        <f>IFERROR(IF(B1070="Reynolds",VLOOKUP(H1070,'Yield &amp; Time'!A:U,21,0),VLOOKUP(H1070,'Yield &amp; Time'!A:L,12,0)),0)</f>
        <v>0</v>
      </c>
      <c r="S1070" s="11">
        <f t="shared" si="307"/>
        <v>0</v>
      </c>
      <c r="T1070" s="11">
        <f t="shared" si="308"/>
        <v>0</v>
      </c>
      <c r="U1070" s="11">
        <f>IF(A1069=A1070,0,VLOOKUP(A1070,'Packing Time'!A:F,6,0))</f>
        <v>0</v>
      </c>
      <c r="V1070" s="11">
        <f t="shared" si="319"/>
        <v>0</v>
      </c>
      <c r="W1070" s="11">
        <f t="shared" si="320"/>
        <v>0</v>
      </c>
      <c r="X1070" s="11">
        <f t="shared" si="309"/>
        <v>0</v>
      </c>
      <c r="Y1070" s="11">
        <f t="shared" si="321"/>
        <v>0</v>
      </c>
      <c r="Z1070" s="37">
        <v>1</v>
      </c>
      <c r="AA1070" s="36">
        <f t="shared" si="310"/>
        <v>1</v>
      </c>
      <c r="AB1070" s="36">
        <f t="shared" si="311"/>
        <v>0.14000000000000001</v>
      </c>
      <c r="AC1070" s="11">
        <f t="shared" si="312"/>
        <v>0</v>
      </c>
      <c r="AD1070" s="36">
        <f t="shared" si="322"/>
        <v>0</v>
      </c>
      <c r="AE1070" s="36"/>
      <c r="AF1070" s="36">
        <f>IFERROR(VLOOKUP(AE1070,'Chemical Cost'!A:D,4,0),0)</f>
        <v>0</v>
      </c>
      <c r="AG1070" s="114">
        <f t="shared" si="313"/>
        <v>0</v>
      </c>
      <c r="AH1070" s="36">
        <f t="shared" si="316"/>
        <v>0</v>
      </c>
      <c r="AI1070" s="36">
        <f t="shared" si="323"/>
        <v>0.14000000000000001</v>
      </c>
      <c r="AJ1070" s="36">
        <f>IFERROR(VLOOKUP(A1070,'All Products'!A:F,6,0),0)</f>
        <v>32.11</v>
      </c>
      <c r="AK1070" s="36"/>
      <c r="AL1070" s="23">
        <v>1</v>
      </c>
      <c r="AM1070" s="23"/>
      <c r="AN1070" s="54" t="e">
        <v>#N/A</v>
      </c>
      <c r="AO1070" s="47"/>
      <c r="AP1070" s="4">
        <v>1.1000000000000001</v>
      </c>
      <c r="AQ1070" s="111">
        <f t="shared" si="314"/>
        <v>0</v>
      </c>
      <c r="AR1070">
        <f>_xlfn.XLOOKUP(F1070,'RM Cost'!A:A,'RM Cost'!S:S)</f>
        <v>0</v>
      </c>
      <c r="AS1070" t="e">
        <f>_xlfn.XLOOKUP(A1070,[3]Sheet1!$B:$B,[3]Sheet1!$B:$B)</f>
        <v>#N/A</v>
      </c>
    </row>
    <row r="1071" spans="1:45" x14ac:dyDescent="0.25">
      <c r="A1071" s="16" t="s">
        <v>9</v>
      </c>
      <c r="B1071" s="2" t="s">
        <v>656</v>
      </c>
      <c r="C1071" s="2" t="s">
        <v>10</v>
      </c>
      <c r="D1071" s="2" t="s">
        <v>554</v>
      </c>
      <c r="E1071" s="2">
        <v>1</v>
      </c>
      <c r="F1071" s="1" t="str">
        <f>VLOOKUP(H1071,'RM Used'!A:B,2,0)</f>
        <v>3798CS</v>
      </c>
      <c r="G1071" s="1" t="str">
        <f>IFERROR(VLOOKUP(F1071,'RM Cost'!A:B,2,0),"")</f>
        <v>RM - TURNIP BABY 6 X 150G</v>
      </c>
      <c r="H1071" s="1" t="s">
        <v>1591</v>
      </c>
      <c r="I1071" s="1" t="str">
        <f>VLOOKUP(F1071,'RM Used'!B:D,3,0)</f>
        <v>RM-FOOD</v>
      </c>
      <c r="J1071" s="66">
        <v>1</v>
      </c>
      <c r="K1071" s="35">
        <f t="shared" si="318"/>
        <v>1</v>
      </c>
      <c r="L1071" s="35">
        <f t="shared" si="306"/>
        <v>1</v>
      </c>
      <c r="M1071" s="77" cm="1">
        <f t="array" ref="M1071">_xlfn.IFS(BOM!I1071="RM-PACKING","100%",B1071="Reynolds",VLOOKUP(H1071,'Yield &amp; Time'!A:V,22,0),BOM!B1071="Dnata",VLOOKUP(BOM!H1071,'Yield &amp; Time'!A:M,13,0),B1071="NK",VLOOKUP(H1071,'Yield &amp; Time'!A:X,24,0))</f>
        <v>0.84677419354838712</v>
      </c>
      <c r="N1071" s="35">
        <f t="shared" si="317"/>
        <v>1.180952380952381</v>
      </c>
      <c r="O1071" s="1" t="str">
        <f>VLOOKUP(H1071,'RM Used'!A:E,5,0)</f>
        <v>KG</v>
      </c>
      <c r="P1071" s="11">
        <f>VLOOKUP(H1071,'RM Used'!A:F,6,0)</f>
        <v>10.5</v>
      </c>
      <c r="Q1071" s="11">
        <f t="shared" si="315"/>
        <v>12.4</v>
      </c>
      <c r="R1071" s="11">
        <f>IFERROR(IF(B1071="Reynolds",VLOOKUP(H1071,'Yield &amp; Time'!A:U,21,0),VLOOKUP(H1071,'Yield &amp; Time'!A:L,12,0)),0)</f>
        <v>11.428571428571429</v>
      </c>
      <c r="S1071" s="11">
        <f t="shared" si="307"/>
        <v>3.8685714285714283</v>
      </c>
      <c r="T1071" s="11">
        <f t="shared" si="308"/>
        <v>0.19047619047619049</v>
      </c>
      <c r="U1071" s="11">
        <f>IF(A1070=A1071,0,VLOOKUP(A1071,'Packing Time'!A:F,6,0))</f>
        <v>0.64166666666666661</v>
      </c>
      <c r="V1071" s="11">
        <f t="shared" si="319"/>
        <v>0.21720416666666661</v>
      </c>
      <c r="W1071" s="11">
        <f t="shared" si="320"/>
        <v>1.0694444444444444E-2</v>
      </c>
      <c r="X1071" s="11">
        <f t="shared" si="309"/>
        <v>6.5372409523809525</v>
      </c>
      <c r="Y1071" s="11">
        <f t="shared" si="321"/>
        <v>6.5372409523809525</v>
      </c>
      <c r="Z1071" s="37">
        <v>1</v>
      </c>
      <c r="AA1071" s="36">
        <f t="shared" si="310"/>
        <v>1.180952380952381</v>
      </c>
      <c r="AB1071" s="36">
        <f t="shared" si="311"/>
        <v>12.4</v>
      </c>
      <c r="AC1071" s="11">
        <f t="shared" si="312"/>
        <v>0.32187301587301592</v>
      </c>
      <c r="AD1071" s="36">
        <f t="shared" si="322"/>
        <v>6.5372409523809525</v>
      </c>
      <c r="AE1071" s="36"/>
      <c r="AF1071" s="36">
        <f>IFERROR(VLOOKUP(AE1071,'Chemical Cost'!A:D,4,0),0)</f>
        <v>0</v>
      </c>
      <c r="AG1071" s="114">
        <f t="shared" si="313"/>
        <v>0</v>
      </c>
      <c r="AH1071" s="36">
        <f t="shared" si="316"/>
        <v>0</v>
      </c>
      <c r="AI1071" s="36">
        <f t="shared" si="323"/>
        <v>18.937240952380954</v>
      </c>
      <c r="AJ1071" s="36">
        <f>IFERROR(VLOOKUP(A1071,'All Products'!A:F,6,0),0)</f>
        <v>44.29</v>
      </c>
      <c r="AK1071" s="36">
        <f>AJ1071*Z1071*J1071</f>
        <v>44.29</v>
      </c>
      <c r="AL1071" s="23">
        <v>1</v>
      </c>
      <c r="AM1071" s="23"/>
      <c r="AN1071" s="54" t="e">
        <v>#N/A</v>
      </c>
      <c r="AO1071" s="47"/>
      <c r="AP1071" s="4">
        <v>1.6</v>
      </c>
      <c r="AQ1071" s="111">
        <f t="shared" si="314"/>
        <v>0.32187301587301592</v>
      </c>
      <c r="AR1071">
        <f>_xlfn.XLOOKUP(F1071,'RM Cost'!A:A,'RM Cost'!S:S)</f>
        <v>0</v>
      </c>
      <c r="AS1071" t="e">
        <f>_xlfn.XLOOKUP(A1071,[3]Sheet1!$B:$B,[3]Sheet1!$B:$B)</f>
        <v>#N/A</v>
      </c>
    </row>
    <row r="1072" spans="1:45" x14ac:dyDescent="0.25">
      <c r="A1072" s="16" t="s">
        <v>9</v>
      </c>
      <c r="B1072" s="2" t="s">
        <v>656</v>
      </c>
      <c r="C1072" s="2" t="s">
        <v>10</v>
      </c>
      <c r="D1072" s="2" t="s">
        <v>554</v>
      </c>
      <c r="E1072" s="2">
        <v>1</v>
      </c>
      <c r="F1072" s="1" t="str">
        <f>VLOOKUP(H1072,'RM Used'!A:B,2,0)</f>
        <v>P0008</v>
      </c>
      <c r="G1072" s="1" t="str">
        <f>IFERROR(VLOOKUP(F1072,'RM Cost'!A:B,2,0),"")</f>
        <v>PALE BLUE BAG 470X750MM</v>
      </c>
      <c r="H1072" s="1" t="s">
        <v>1323</v>
      </c>
      <c r="I1072" s="1" t="str">
        <f>VLOOKUP(F1072,'RM Used'!B:D,3,0)</f>
        <v>RM-PACKING</v>
      </c>
      <c r="J1072" s="66">
        <v>1</v>
      </c>
      <c r="K1072" s="35" t="str">
        <f t="shared" si="318"/>
        <v/>
      </c>
      <c r="L1072" s="35">
        <f t="shared" si="306"/>
        <v>0</v>
      </c>
      <c r="M1072" s="77" t="str" cm="1">
        <f t="array" ref="M1072">_xlfn.IFS(BOM!I1072="RM-PACKING","100%",B1072="Reynolds",VLOOKUP(H1072,'Yield &amp; Time'!A:V,22,0),BOM!B1072="Dnata",VLOOKUP(BOM!H1072,'Yield &amp; Time'!A:M,13,0),B1072="NK",VLOOKUP(H1072,'Yield &amp; Time'!A:X,24,0))</f>
        <v>100%</v>
      </c>
      <c r="N1072" s="35">
        <f t="shared" si="317"/>
        <v>1</v>
      </c>
      <c r="O1072" s="1" t="str">
        <f>VLOOKUP(H1072,'RM Used'!A:E,5,0)</f>
        <v>Count</v>
      </c>
      <c r="P1072" s="11">
        <f>VLOOKUP(H1072,'RM Used'!A:F,6,0)</f>
        <v>0.14000000000000001</v>
      </c>
      <c r="Q1072" s="11">
        <f t="shared" si="315"/>
        <v>0.14000000000000001</v>
      </c>
      <c r="R1072" s="11">
        <f>IFERROR(IF(B1072="Reynolds",VLOOKUP(H1072,'Yield &amp; Time'!A:U,21,0),VLOOKUP(H1072,'Yield &amp; Time'!A:L,12,0)),0)</f>
        <v>0</v>
      </c>
      <c r="S1072" s="11">
        <f t="shared" si="307"/>
        <v>0</v>
      </c>
      <c r="T1072" s="11">
        <f t="shared" si="308"/>
        <v>0</v>
      </c>
      <c r="U1072" s="11">
        <f>IF(A1071=A1072,0,VLOOKUP(A1072,'Packing Time'!A:F,6,0))</f>
        <v>0</v>
      </c>
      <c r="V1072" s="11">
        <f t="shared" si="319"/>
        <v>0</v>
      </c>
      <c r="W1072" s="11">
        <f t="shared" si="320"/>
        <v>0</v>
      </c>
      <c r="X1072" s="11">
        <f t="shared" si="309"/>
        <v>0</v>
      </c>
      <c r="Y1072" s="11">
        <f t="shared" si="321"/>
        <v>0</v>
      </c>
      <c r="Z1072" s="37">
        <v>1</v>
      </c>
      <c r="AA1072" s="36">
        <f t="shared" si="310"/>
        <v>1</v>
      </c>
      <c r="AB1072" s="36">
        <f t="shared" si="311"/>
        <v>0.14000000000000001</v>
      </c>
      <c r="AC1072" s="11">
        <f t="shared" si="312"/>
        <v>0</v>
      </c>
      <c r="AD1072" s="36">
        <f t="shared" si="322"/>
        <v>0</v>
      </c>
      <c r="AE1072" s="36"/>
      <c r="AF1072" s="36">
        <f>IFERROR(VLOOKUP(AE1072,'Chemical Cost'!A:D,4,0),0)</f>
        <v>0</v>
      </c>
      <c r="AG1072" s="114">
        <f t="shared" si="313"/>
        <v>0</v>
      </c>
      <c r="AH1072" s="36">
        <f t="shared" si="316"/>
        <v>0</v>
      </c>
      <c r="AI1072" s="36">
        <f t="shared" si="323"/>
        <v>0.14000000000000001</v>
      </c>
      <c r="AJ1072" s="36">
        <f>IFERROR(VLOOKUP(A1072,'All Products'!A:F,6,0),0)</f>
        <v>44.29</v>
      </c>
      <c r="AK1072" s="36"/>
      <c r="AL1072" s="23">
        <v>1</v>
      </c>
      <c r="AM1072" s="23"/>
      <c r="AN1072" s="54" t="e">
        <v>#N/A</v>
      </c>
      <c r="AO1072" s="47"/>
      <c r="AP1072" s="4">
        <v>1.6</v>
      </c>
      <c r="AQ1072" s="111">
        <f t="shared" si="314"/>
        <v>0</v>
      </c>
      <c r="AR1072">
        <f>_xlfn.XLOOKUP(F1072,'RM Cost'!A:A,'RM Cost'!S:S)</f>
        <v>0</v>
      </c>
      <c r="AS1072" t="e">
        <f>_xlfn.XLOOKUP(A1072,[3]Sheet1!$B:$B,[3]Sheet1!$B:$B)</f>
        <v>#N/A</v>
      </c>
    </row>
    <row r="1073" spans="1:45" x14ac:dyDescent="0.25">
      <c r="A1073" s="16" t="s">
        <v>323</v>
      </c>
      <c r="B1073" s="2" t="s">
        <v>656</v>
      </c>
      <c r="C1073" s="2" t="s">
        <v>324</v>
      </c>
      <c r="D1073" s="2" t="s">
        <v>554</v>
      </c>
      <c r="E1073" s="2">
        <v>2.5</v>
      </c>
      <c r="F1073" s="1" t="str">
        <f>VLOOKUP(H1073,'RM Used'!A:B,2,0)</f>
        <v>3794CS</v>
      </c>
      <c r="G1073" s="1" t="str">
        <f>IFERROR(VLOOKUP(F1073,'RM Cost'!A:B,2,0),"")</f>
        <v>RM - CARROT BABY 6 X 200G</v>
      </c>
      <c r="H1073" s="2" t="s">
        <v>1592</v>
      </c>
      <c r="I1073" s="1" t="str">
        <f>VLOOKUP(F1073,'RM Used'!B:D,3,0)</f>
        <v>RM-FOOD</v>
      </c>
      <c r="J1073" s="66">
        <v>1</v>
      </c>
      <c r="K1073" s="35">
        <f t="shared" si="318"/>
        <v>2.5</v>
      </c>
      <c r="L1073" s="35">
        <f t="shared" si="306"/>
        <v>2.5</v>
      </c>
      <c r="M1073" s="77" cm="1">
        <f t="array" ref="M1073">_xlfn.IFS(BOM!I1073="RM-PACKING","100%",B1073="Reynolds",VLOOKUP(H1073,'Yield &amp; Time'!A:V,22,0),BOM!B1073="Dnata",VLOOKUP(BOM!H1073,'Yield &amp; Time'!A:M,13,0),B1073="NK",VLOOKUP(H1073,'Yield &amp; Time'!A:X,24,0))</f>
        <v>0.7069767441860465</v>
      </c>
      <c r="N1073" s="35">
        <f t="shared" si="317"/>
        <v>3.5361842105263159</v>
      </c>
      <c r="O1073" s="1" t="str">
        <f>VLOOKUP(H1073,'RM Used'!A:E,5,0)</f>
        <v>KG</v>
      </c>
      <c r="P1073" s="11">
        <f>VLOOKUP(H1073,'RM Used'!A:F,6,0)</f>
        <v>7.25</v>
      </c>
      <c r="Q1073" s="11">
        <f t="shared" si="315"/>
        <v>25.637335526315791</v>
      </c>
      <c r="R1073" s="11">
        <f>IFERROR(IF(B1073="Reynolds",VLOOKUP(H1073,'Yield &amp; Time'!A:U,21,0),VLOOKUP(H1073,'Yield &amp; Time'!A:L,12,0)),0)</f>
        <v>12.171052631578947</v>
      </c>
      <c r="S1073" s="11">
        <f t="shared" si="307"/>
        <v>10.299753289473683</v>
      </c>
      <c r="T1073" s="11">
        <f t="shared" si="308"/>
        <v>0.50712719298245612</v>
      </c>
      <c r="U1073" s="11">
        <f>IF(A1072=A1073,0,VLOOKUP(A1073,'Packing Time'!A:F,6,0))</f>
        <v>0.875</v>
      </c>
      <c r="V1073" s="11">
        <f t="shared" si="319"/>
        <v>0.29618749999999999</v>
      </c>
      <c r="W1073" s="11">
        <f t="shared" si="320"/>
        <v>1.4583333333333334E-2</v>
      </c>
      <c r="X1073" s="11">
        <f t="shared" si="309"/>
        <v>13.244925986842102</v>
      </c>
      <c r="Y1073" s="11">
        <f t="shared" si="321"/>
        <v>13.244925986842102</v>
      </c>
      <c r="Z1073" s="37">
        <v>1</v>
      </c>
      <c r="AA1073" s="36">
        <f t="shared" si="310"/>
        <v>3.5361842105263159</v>
      </c>
      <c r="AB1073" s="36">
        <f t="shared" si="311"/>
        <v>25.637335526315791</v>
      </c>
      <c r="AC1073" s="11">
        <f t="shared" si="312"/>
        <v>0.65213815789473673</v>
      </c>
      <c r="AD1073" s="36">
        <f t="shared" si="322"/>
        <v>13.244925986842102</v>
      </c>
      <c r="AE1073" s="36"/>
      <c r="AF1073" s="36">
        <f>IFERROR(VLOOKUP(AE1073,'Chemical Cost'!A:D,4,0),0)</f>
        <v>0</v>
      </c>
      <c r="AG1073" s="114">
        <f t="shared" si="313"/>
        <v>0</v>
      </c>
      <c r="AH1073" s="36">
        <f t="shared" si="316"/>
        <v>0</v>
      </c>
      <c r="AI1073" s="36">
        <f t="shared" si="323"/>
        <v>38.882261513157893</v>
      </c>
      <c r="AJ1073" s="36">
        <f>IFERROR(VLOOKUP(A1073,'All Products'!A:F,6,0),0)</f>
        <v>147.18</v>
      </c>
      <c r="AK1073" s="36">
        <f>AJ1073*Z1073*J1073</f>
        <v>147.18</v>
      </c>
      <c r="AL1073" s="23">
        <v>1</v>
      </c>
      <c r="AM1073" s="23"/>
      <c r="AN1073" s="54" t="e">
        <v>#N/A</v>
      </c>
      <c r="AO1073" s="47"/>
      <c r="AP1073" s="4">
        <v>1.25</v>
      </c>
      <c r="AQ1073" s="111">
        <f t="shared" si="314"/>
        <v>0.65213815789473673</v>
      </c>
      <c r="AR1073">
        <f>_xlfn.XLOOKUP(F1073,'RM Cost'!A:A,'RM Cost'!S:S)</f>
        <v>0</v>
      </c>
      <c r="AS1073" t="e">
        <f>_xlfn.XLOOKUP(A1073,[3]Sheet1!$B:$B,[3]Sheet1!$B:$B)</f>
        <v>#N/A</v>
      </c>
    </row>
    <row r="1074" spans="1:45" x14ac:dyDescent="0.25">
      <c r="A1074" s="16" t="s">
        <v>323</v>
      </c>
      <c r="B1074" s="2" t="s">
        <v>656</v>
      </c>
      <c r="C1074" s="2" t="s">
        <v>324</v>
      </c>
      <c r="D1074" s="2" t="s">
        <v>554</v>
      </c>
      <c r="E1074" s="2">
        <v>2.5</v>
      </c>
      <c r="F1074" s="1" t="str">
        <f>VLOOKUP(H1074,'RM Used'!A:B,2,0)</f>
        <v>P0008</v>
      </c>
      <c r="G1074" s="1" t="str">
        <f>IFERROR(VLOOKUP(F1074,'RM Cost'!A:B,2,0),"")</f>
        <v>PALE BLUE BAG 470X750MM</v>
      </c>
      <c r="H1074" s="2" t="s">
        <v>1323</v>
      </c>
      <c r="I1074" s="1" t="str">
        <f>VLOOKUP(F1074,'RM Used'!B:D,3,0)</f>
        <v>RM-PACKING</v>
      </c>
      <c r="J1074" s="66">
        <v>1</v>
      </c>
      <c r="K1074" s="35" t="str">
        <f t="shared" si="318"/>
        <v/>
      </c>
      <c r="L1074" s="35">
        <f t="shared" si="306"/>
        <v>0</v>
      </c>
      <c r="M1074" s="77" t="str" cm="1">
        <f t="array" ref="M1074">_xlfn.IFS(BOM!I1074="RM-PACKING","100%",B1074="Reynolds",VLOOKUP(H1074,'Yield &amp; Time'!A:V,22,0),BOM!B1074="Dnata",VLOOKUP(BOM!H1074,'Yield &amp; Time'!A:M,13,0),B1074="NK",VLOOKUP(H1074,'Yield &amp; Time'!A:X,24,0))</f>
        <v>100%</v>
      </c>
      <c r="N1074" s="35">
        <f t="shared" si="317"/>
        <v>1</v>
      </c>
      <c r="O1074" s="1" t="str">
        <f>VLOOKUP(H1074,'RM Used'!A:E,5,0)</f>
        <v>Count</v>
      </c>
      <c r="P1074" s="11">
        <f>VLOOKUP(H1074,'RM Used'!A:F,6,0)</f>
        <v>0.14000000000000001</v>
      </c>
      <c r="Q1074" s="11">
        <f t="shared" si="315"/>
        <v>0.14000000000000001</v>
      </c>
      <c r="R1074" s="11">
        <f>IFERROR(IF(B1074="Reynolds",VLOOKUP(H1074,'Yield &amp; Time'!A:U,21,0),VLOOKUP(H1074,'Yield &amp; Time'!A:L,12,0)),0)</f>
        <v>0</v>
      </c>
      <c r="S1074" s="11">
        <f t="shared" si="307"/>
        <v>0</v>
      </c>
      <c r="T1074" s="11">
        <f t="shared" si="308"/>
        <v>0</v>
      </c>
      <c r="U1074" s="11">
        <f>IF(A1073=A1074,0,VLOOKUP(A1074,'Packing Time'!A:F,6,0))</f>
        <v>0</v>
      </c>
      <c r="V1074" s="11">
        <f t="shared" si="319"/>
        <v>0</v>
      </c>
      <c r="W1074" s="11">
        <f t="shared" si="320"/>
        <v>0</v>
      </c>
      <c r="X1074" s="11">
        <f t="shared" si="309"/>
        <v>0</v>
      </c>
      <c r="Y1074" s="11">
        <f t="shared" si="321"/>
        <v>0</v>
      </c>
      <c r="Z1074" s="37">
        <v>1</v>
      </c>
      <c r="AA1074" s="36">
        <f t="shared" si="310"/>
        <v>1</v>
      </c>
      <c r="AB1074" s="36">
        <f t="shared" si="311"/>
        <v>0.14000000000000001</v>
      </c>
      <c r="AC1074" s="11">
        <f t="shared" si="312"/>
        <v>0</v>
      </c>
      <c r="AD1074" s="36">
        <f t="shared" si="322"/>
        <v>0</v>
      </c>
      <c r="AE1074" s="36"/>
      <c r="AF1074" s="36">
        <f>IFERROR(VLOOKUP(AE1074,'Chemical Cost'!A:D,4,0),0)</f>
        <v>0</v>
      </c>
      <c r="AG1074" s="114">
        <f t="shared" si="313"/>
        <v>0</v>
      </c>
      <c r="AH1074" s="36">
        <f t="shared" si="316"/>
        <v>0</v>
      </c>
      <c r="AI1074" s="36">
        <f t="shared" si="323"/>
        <v>0.14000000000000001</v>
      </c>
      <c r="AJ1074" s="36">
        <f>IFERROR(VLOOKUP(A1074,'All Products'!A:F,6,0),0)</f>
        <v>147.18</v>
      </c>
      <c r="AK1074" s="36"/>
      <c r="AL1074" s="23">
        <v>1</v>
      </c>
      <c r="AM1074" s="23"/>
      <c r="AN1074" s="54" t="e">
        <v>#N/A</v>
      </c>
      <c r="AO1074" s="47"/>
      <c r="AP1074" s="4">
        <v>1.25</v>
      </c>
      <c r="AQ1074" s="111">
        <f t="shared" si="314"/>
        <v>0</v>
      </c>
      <c r="AR1074">
        <f>_xlfn.XLOOKUP(F1074,'RM Cost'!A:A,'RM Cost'!S:S)</f>
        <v>0</v>
      </c>
      <c r="AS1074" t="e">
        <f>_xlfn.XLOOKUP(A1074,[3]Sheet1!$B:$B,[3]Sheet1!$B:$B)</f>
        <v>#N/A</v>
      </c>
    </row>
    <row r="1075" spans="1:45" x14ac:dyDescent="0.25">
      <c r="A1075" s="16" t="s">
        <v>956</v>
      </c>
      <c r="B1075" s="2" t="s">
        <v>656</v>
      </c>
      <c r="C1075" s="2" t="s">
        <v>957</v>
      </c>
      <c r="D1075" s="2" t="s">
        <v>554</v>
      </c>
      <c r="E1075" s="2">
        <v>1</v>
      </c>
      <c r="F1075" s="1" t="str">
        <f>VLOOKUP(H1075,'RM Used'!A:B,2,0)</f>
        <v>3794CS</v>
      </c>
      <c r="G1075" s="1" t="str">
        <f>IFERROR(VLOOKUP(F1075,'RM Cost'!A:B,2,0),"")</f>
        <v>RM - CARROT BABY 6 X 200G</v>
      </c>
      <c r="H1075" s="2" t="s">
        <v>1593</v>
      </c>
      <c r="I1075" s="1" t="str">
        <f>VLOOKUP(F1075,'RM Used'!B:D,3,0)</f>
        <v>RM-FOOD</v>
      </c>
      <c r="J1075" s="66">
        <v>1</v>
      </c>
      <c r="K1075" s="35">
        <f t="shared" si="318"/>
        <v>1</v>
      </c>
      <c r="L1075" s="35">
        <f t="shared" si="306"/>
        <v>1</v>
      </c>
      <c r="M1075" s="77" cm="1">
        <f t="array" ref="M1075">_xlfn.IFS(BOM!I1075="RM-PACKING","100%",B1075="Reynolds",VLOOKUP(H1075,'Yield &amp; Time'!A:V,22,0),BOM!B1075="Dnata",VLOOKUP(BOM!H1075,'Yield &amp; Time'!A:M,13,0),B1075="NK",VLOOKUP(H1075,'Yield &amp; Time'!A:X,24,0))</f>
        <v>0.70967741935483875</v>
      </c>
      <c r="N1075" s="35">
        <f t="shared" si="317"/>
        <v>1.4090909090909089</v>
      </c>
      <c r="O1075" s="1" t="str">
        <f>VLOOKUP(H1075,'RM Used'!A:E,5,0)</f>
        <v>KG</v>
      </c>
      <c r="P1075" s="11">
        <f>VLOOKUP(H1075,'RM Used'!A:F,6,0)</f>
        <v>7.25</v>
      </c>
      <c r="Q1075" s="11">
        <f t="shared" si="315"/>
        <v>10.21590909090909</v>
      </c>
      <c r="R1075" s="11">
        <f>IFERROR(IF(B1075="Reynolds",VLOOKUP(H1075,'Yield &amp; Time'!A:U,21,0),VLOOKUP(H1075,'Yield &amp; Time'!A:L,12,0)),0)</f>
        <v>20.129870129870131</v>
      </c>
      <c r="S1075" s="11">
        <f t="shared" si="307"/>
        <v>6.8139610389610388</v>
      </c>
      <c r="T1075" s="11">
        <f t="shared" si="308"/>
        <v>0.33549783549783552</v>
      </c>
      <c r="U1075" s="11">
        <f>IF(A1074=A1075,0,VLOOKUP(A1075,'Packing Time'!A:F,6,0))</f>
        <v>0.64166666666666661</v>
      </c>
      <c r="V1075" s="11">
        <f t="shared" si="319"/>
        <v>0.21720416666666661</v>
      </c>
      <c r="W1075" s="11">
        <f t="shared" si="320"/>
        <v>1.0694444444444444E-2</v>
      </c>
      <c r="X1075" s="11">
        <f t="shared" si="309"/>
        <v>11.249864329004328</v>
      </c>
      <c r="Y1075" s="11">
        <f t="shared" si="321"/>
        <v>11.249864329004328</v>
      </c>
      <c r="Z1075" s="37">
        <v>1</v>
      </c>
      <c r="AA1075" s="36">
        <f t="shared" si="310"/>
        <v>1.4090909090909089</v>
      </c>
      <c r="AB1075" s="36">
        <f t="shared" si="311"/>
        <v>10.21590909090909</v>
      </c>
      <c r="AC1075" s="11">
        <f t="shared" si="312"/>
        <v>0.55390764790764802</v>
      </c>
      <c r="AD1075" s="36">
        <f t="shared" si="322"/>
        <v>11.24986432900433</v>
      </c>
      <c r="AE1075" s="36"/>
      <c r="AF1075" s="36">
        <f>IFERROR(VLOOKUP(AE1075,'Chemical Cost'!A:D,4,0),0)</f>
        <v>0</v>
      </c>
      <c r="AG1075" s="114">
        <f t="shared" si="313"/>
        <v>0</v>
      </c>
      <c r="AH1075" s="36">
        <f t="shared" si="316"/>
        <v>0</v>
      </c>
      <c r="AI1075" s="36">
        <f t="shared" si="323"/>
        <v>21.465773419913418</v>
      </c>
      <c r="AJ1075" s="36">
        <f>IFERROR(VLOOKUP(A1075,'All Products'!A:F,6,0),0)</f>
        <v>58.99</v>
      </c>
      <c r="AK1075" s="36">
        <f>AJ1075*Z1075*J1075</f>
        <v>58.99</v>
      </c>
      <c r="AL1075" s="23">
        <v>1</v>
      </c>
      <c r="AM1075" s="23"/>
      <c r="AN1075" s="54" t="e">
        <v>#N/A</v>
      </c>
      <c r="AO1075" s="47"/>
      <c r="AP1075" s="4">
        <v>1.6</v>
      </c>
      <c r="AQ1075" s="111">
        <f t="shared" si="314"/>
        <v>0.55390764790764802</v>
      </c>
      <c r="AR1075">
        <f>_xlfn.XLOOKUP(F1075,'RM Cost'!A:A,'RM Cost'!S:S)</f>
        <v>0</v>
      </c>
      <c r="AS1075" t="e">
        <f>_xlfn.XLOOKUP(A1075,[3]Sheet1!$B:$B,[3]Sheet1!$B:$B)</f>
        <v>#N/A</v>
      </c>
    </row>
    <row r="1076" spans="1:45" x14ac:dyDescent="0.25">
      <c r="A1076" s="16" t="s">
        <v>956</v>
      </c>
      <c r="B1076" s="2" t="s">
        <v>656</v>
      </c>
      <c r="C1076" s="2" t="s">
        <v>957</v>
      </c>
      <c r="D1076" s="2" t="s">
        <v>554</v>
      </c>
      <c r="E1076" s="2">
        <v>1</v>
      </c>
      <c r="F1076" s="1" t="str">
        <f>VLOOKUP(H1076,'RM Used'!A:B,2,0)</f>
        <v>P0008</v>
      </c>
      <c r="G1076" s="1" t="str">
        <f>IFERROR(VLOOKUP(F1076,'RM Cost'!A:B,2,0),"")</f>
        <v>PALE BLUE BAG 470X750MM</v>
      </c>
      <c r="H1076" s="2" t="s">
        <v>1323</v>
      </c>
      <c r="I1076" s="1" t="str">
        <f>VLOOKUP(F1076,'RM Used'!B:D,3,0)</f>
        <v>RM-PACKING</v>
      </c>
      <c r="J1076" s="66">
        <v>1</v>
      </c>
      <c r="K1076" s="35" t="str">
        <f t="shared" si="318"/>
        <v/>
      </c>
      <c r="L1076" s="35">
        <f t="shared" si="306"/>
        <v>0</v>
      </c>
      <c r="M1076" s="77" t="str" cm="1">
        <f t="array" ref="M1076">_xlfn.IFS(BOM!I1076="RM-PACKING","100%",B1076="Reynolds",VLOOKUP(H1076,'Yield &amp; Time'!A:V,22,0),BOM!B1076="Dnata",VLOOKUP(BOM!H1076,'Yield &amp; Time'!A:M,13,0),B1076="NK",VLOOKUP(H1076,'Yield &amp; Time'!A:X,24,0))</f>
        <v>100%</v>
      </c>
      <c r="N1076" s="35">
        <f t="shared" si="317"/>
        <v>1</v>
      </c>
      <c r="O1076" s="1" t="str">
        <f>VLOOKUP(H1076,'RM Used'!A:E,5,0)</f>
        <v>Count</v>
      </c>
      <c r="P1076" s="11">
        <f>VLOOKUP(H1076,'RM Used'!A:F,6,0)</f>
        <v>0.14000000000000001</v>
      </c>
      <c r="Q1076" s="11">
        <f t="shared" si="315"/>
        <v>0.14000000000000001</v>
      </c>
      <c r="R1076" s="11">
        <f>IFERROR(IF(B1076="Reynolds",VLOOKUP(H1076,'Yield &amp; Time'!A:U,21,0),VLOOKUP(H1076,'Yield &amp; Time'!A:L,12,0)),0)</f>
        <v>0</v>
      </c>
      <c r="S1076" s="11">
        <f t="shared" si="307"/>
        <v>0</v>
      </c>
      <c r="T1076" s="11">
        <f t="shared" si="308"/>
        <v>0</v>
      </c>
      <c r="U1076" s="11">
        <f>IF(A1075=A1076,0,VLOOKUP(A1076,'Packing Time'!A:F,6,0))</f>
        <v>0</v>
      </c>
      <c r="V1076" s="11">
        <f t="shared" si="319"/>
        <v>0</v>
      </c>
      <c r="W1076" s="11">
        <f t="shared" si="320"/>
        <v>0</v>
      </c>
      <c r="X1076" s="11">
        <f t="shared" si="309"/>
        <v>0</v>
      </c>
      <c r="Y1076" s="11">
        <f t="shared" si="321"/>
        <v>0</v>
      </c>
      <c r="Z1076" s="37">
        <v>1</v>
      </c>
      <c r="AA1076" s="36">
        <f t="shared" si="310"/>
        <v>1</v>
      </c>
      <c r="AB1076" s="36">
        <f t="shared" si="311"/>
        <v>0.14000000000000001</v>
      </c>
      <c r="AC1076" s="11">
        <f t="shared" si="312"/>
        <v>0</v>
      </c>
      <c r="AD1076" s="36">
        <f t="shared" si="322"/>
        <v>0</v>
      </c>
      <c r="AE1076" s="36"/>
      <c r="AF1076" s="36">
        <f>IFERROR(VLOOKUP(AE1076,'Chemical Cost'!A:D,4,0),0)</f>
        <v>0</v>
      </c>
      <c r="AG1076" s="114">
        <f t="shared" si="313"/>
        <v>0</v>
      </c>
      <c r="AH1076" s="36">
        <f t="shared" si="316"/>
        <v>0</v>
      </c>
      <c r="AI1076" s="36">
        <f t="shared" si="323"/>
        <v>0.14000000000000001</v>
      </c>
      <c r="AJ1076" s="36">
        <f>IFERROR(VLOOKUP(A1076,'All Products'!A:F,6,0),0)</f>
        <v>58.99</v>
      </c>
      <c r="AK1076" s="36"/>
      <c r="AL1076" s="23">
        <v>1</v>
      </c>
      <c r="AM1076" s="23"/>
      <c r="AN1076" s="54" t="e">
        <v>#N/A</v>
      </c>
      <c r="AO1076" s="47"/>
      <c r="AP1076" s="4">
        <v>1.6</v>
      </c>
      <c r="AQ1076" s="111">
        <f t="shared" si="314"/>
        <v>0</v>
      </c>
      <c r="AR1076">
        <f>_xlfn.XLOOKUP(F1076,'RM Cost'!A:A,'RM Cost'!S:S)</f>
        <v>0</v>
      </c>
      <c r="AS1076" t="e">
        <f>_xlfn.XLOOKUP(A1076,[3]Sheet1!$B:$B,[3]Sheet1!$B:$B)</f>
        <v>#N/A</v>
      </c>
    </row>
    <row r="1077" spans="1:45" x14ac:dyDescent="0.25">
      <c r="A1077" s="16" t="s">
        <v>958</v>
      </c>
      <c r="B1077" s="2" t="s">
        <v>656</v>
      </c>
      <c r="C1077" s="2" t="s">
        <v>959</v>
      </c>
      <c r="D1077" s="2" t="s">
        <v>554</v>
      </c>
      <c r="E1077" s="2">
        <v>2.5</v>
      </c>
      <c r="F1077" s="1" t="str">
        <f>VLOOKUP(H1077,'RM Used'!A:B,2,0)</f>
        <v>3798CS</v>
      </c>
      <c r="G1077" s="1" t="str">
        <f>IFERROR(VLOOKUP(F1077,'RM Cost'!A:B,2,0),"")</f>
        <v>RM - TURNIP BABY 6 X 150G</v>
      </c>
      <c r="H1077" s="1" t="s">
        <v>1591</v>
      </c>
      <c r="I1077" s="1" t="str">
        <f>VLOOKUP(F1077,'RM Used'!B:D,3,0)</f>
        <v>RM-FOOD</v>
      </c>
      <c r="J1077" s="66">
        <v>1</v>
      </c>
      <c r="K1077" s="35">
        <f t="shared" si="318"/>
        <v>2.5</v>
      </c>
      <c r="L1077" s="35">
        <f t="shared" si="306"/>
        <v>2.5</v>
      </c>
      <c r="M1077" s="77" cm="1">
        <f t="array" ref="M1077">_xlfn.IFS(BOM!I1077="RM-PACKING","100%",B1077="Reynolds",VLOOKUP(H1077,'Yield &amp; Time'!A:V,22,0),BOM!B1077="Dnata",VLOOKUP(BOM!H1077,'Yield &amp; Time'!A:M,13,0),B1077="NK",VLOOKUP(H1077,'Yield &amp; Time'!A:X,24,0))</f>
        <v>0.84677419354838712</v>
      </c>
      <c r="N1077" s="35">
        <f t="shared" si="317"/>
        <v>2.9523809523809521</v>
      </c>
      <c r="O1077" s="1" t="str">
        <f>VLOOKUP(H1077,'RM Used'!A:E,5,0)</f>
        <v>KG</v>
      </c>
      <c r="P1077" s="11">
        <f>VLOOKUP(H1077,'RM Used'!A:F,6,0)</f>
        <v>10.5</v>
      </c>
      <c r="Q1077" s="11">
        <f t="shared" si="315"/>
        <v>30.999999999999996</v>
      </c>
      <c r="R1077" s="11">
        <f>IFERROR(IF(B1077="Reynolds",VLOOKUP(H1077,'Yield &amp; Time'!A:U,21,0),VLOOKUP(H1077,'Yield &amp; Time'!A:L,12,0)),0)</f>
        <v>11.428571428571429</v>
      </c>
      <c r="S1077" s="11">
        <f t="shared" si="307"/>
        <v>9.6714285714285708</v>
      </c>
      <c r="T1077" s="11">
        <f t="shared" si="308"/>
        <v>0.47619047619047622</v>
      </c>
      <c r="U1077" s="11">
        <f>IF(A1076=A1077,0,VLOOKUP(A1077,'Packing Time'!A:F,6,0))</f>
        <v>0.875</v>
      </c>
      <c r="V1077" s="11">
        <f t="shared" si="319"/>
        <v>0.29618749999999999</v>
      </c>
      <c r="W1077" s="11">
        <f t="shared" si="320"/>
        <v>1.4583333333333334E-2</v>
      </c>
      <c r="X1077" s="11">
        <f t="shared" si="309"/>
        <v>12.459520089285714</v>
      </c>
      <c r="Y1077" s="11">
        <f t="shared" si="321"/>
        <v>12.459520089285714</v>
      </c>
      <c r="Z1077" s="37">
        <v>1</v>
      </c>
      <c r="AA1077" s="36">
        <f t="shared" si="310"/>
        <v>2.9523809523809521</v>
      </c>
      <c r="AB1077" s="36">
        <f t="shared" si="311"/>
        <v>30.999999999999996</v>
      </c>
      <c r="AC1077" s="11">
        <f t="shared" si="312"/>
        <v>0.61346726190476197</v>
      </c>
      <c r="AD1077" s="36">
        <f t="shared" si="322"/>
        <v>12.459520089285714</v>
      </c>
      <c r="AE1077" s="36"/>
      <c r="AF1077" s="36">
        <f>IFERROR(VLOOKUP(AE1077,'Chemical Cost'!A:D,4,0),0)</f>
        <v>0</v>
      </c>
      <c r="AG1077" s="114">
        <f t="shared" si="313"/>
        <v>0</v>
      </c>
      <c r="AH1077" s="36">
        <f t="shared" si="316"/>
        <v>0</v>
      </c>
      <c r="AI1077" s="36">
        <f t="shared" si="323"/>
        <v>43.459520089285711</v>
      </c>
      <c r="AJ1077" s="36">
        <f>IFERROR(VLOOKUP(A1077,'All Products'!A:F,6,0),0)</f>
        <v>110.71</v>
      </c>
      <c r="AK1077" s="36">
        <f>AJ1077*Z1077*J1077</f>
        <v>110.71</v>
      </c>
      <c r="AL1077" s="23">
        <v>1</v>
      </c>
      <c r="AM1077" s="23"/>
      <c r="AN1077" s="54" t="e">
        <v>#N/A</v>
      </c>
      <c r="AO1077" s="47"/>
      <c r="AP1077" s="4">
        <v>1.25</v>
      </c>
      <c r="AQ1077" s="111">
        <f t="shared" si="314"/>
        <v>0.61346726190476197</v>
      </c>
      <c r="AR1077">
        <f>_xlfn.XLOOKUP(F1077,'RM Cost'!A:A,'RM Cost'!S:S)</f>
        <v>0</v>
      </c>
      <c r="AS1077" t="e">
        <f>_xlfn.XLOOKUP(A1077,[3]Sheet1!$B:$B,[3]Sheet1!$B:$B)</f>
        <v>#N/A</v>
      </c>
    </row>
    <row r="1078" spans="1:45" x14ac:dyDescent="0.25">
      <c r="A1078" s="16" t="s">
        <v>958</v>
      </c>
      <c r="B1078" s="2" t="s">
        <v>656</v>
      </c>
      <c r="C1078" s="2" t="s">
        <v>959</v>
      </c>
      <c r="D1078" s="2" t="s">
        <v>554</v>
      </c>
      <c r="E1078" s="2">
        <v>2.5</v>
      </c>
      <c r="F1078" s="1" t="str">
        <f>VLOOKUP(H1078,'RM Used'!A:B,2,0)</f>
        <v>P0008</v>
      </c>
      <c r="G1078" s="1" t="str">
        <f>IFERROR(VLOOKUP(F1078,'RM Cost'!A:B,2,0),"")</f>
        <v>PALE BLUE BAG 470X750MM</v>
      </c>
      <c r="H1078" s="1" t="s">
        <v>1323</v>
      </c>
      <c r="I1078" s="1" t="str">
        <f>VLOOKUP(F1078,'RM Used'!B:D,3,0)</f>
        <v>RM-PACKING</v>
      </c>
      <c r="J1078" s="66">
        <v>1</v>
      </c>
      <c r="K1078" s="35" t="str">
        <f t="shared" si="318"/>
        <v/>
      </c>
      <c r="L1078" s="35">
        <f t="shared" si="306"/>
        <v>0</v>
      </c>
      <c r="M1078" s="77" t="str" cm="1">
        <f t="array" ref="M1078">_xlfn.IFS(BOM!I1078="RM-PACKING","100%",B1078="Reynolds",VLOOKUP(H1078,'Yield &amp; Time'!A:V,22,0),BOM!B1078="Dnata",VLOOKUP(BOM!H1078,'Yield &amp; Time'!A:M,13,0),B1078="NK",VLOOKUP(H1078,'Yield &amp; Time'!A:X,24,0))</f>
        <v>100%</v>
      </c>
      <c r="N1078" s="35">
        <f t="shared" si="317"/>
        <v>1</v>
      </c>
      <c r="O1078" s="1" t="str">
        <f>VLOOKUP(H1078,'RM Used'!A:E,5,0)</f>
        <v>Count</v>
      </c>
      <c r="P1078" s="11">
        <f>VLOOKUP(H1078,'RM Used'!A:F,6,0)</f>
        <v>0.14000000000000001</v>
      </c>
      <c r="Q1078" s="11">
        <f t="shared" si="315"/>
        <v>0.14000000000000001</v>
      </c>
      <c r="R1078" s="11">
        <f>IFERROR(IF(B1078="Reynolds",VLOOKUP(H1078,'Yield &amp; Time'!A:U,21,0),VLOOKUP(H1078,'Yield &amp; Time'!A:L,12,0)),0)</f>
        <v>0</v>
      </c>
      <c r="S1078" s="11">
        <f t="shared" si="307"/>
        <v>0</v>
      </c>
      <c r="T1078" s="11">
        <f t="shared" si="308"/>
        <v>0</v>
      </c>
      <c r="U1078" s="11">
        <f>IF(A1077=A1078,0,VLOOKUP(A1078,'Packing Time'!A:F,6,0))</f>
        <v>0</v>
      </c>
      <c r="V1078" s="11">
        <f t="shared" si="319"/>
        <v>0</v>
      </c>
      <c r="W1078" s="11">
        <f t="shared" si="320"/>
        <v>0</v>
      </c>
      <c r="X1078" s="11">
        <f t="shared" si="309"/>
        <v>0</v>
      </c>
      <c r="Y1078" s="11">
        <f t="shared" si="321"/>
        <v>0</v>
      </c>
      <c r="Z1078" s="37">
        <v>1</v>
      </c>
      <c r="AA1078" s="36">
        <f t="shared" si="310"/>
        <v>1</v>
      </c>
      <c r="AB1078" s="36">
        <f t="shared" si="311"/>
        <v>0.14000000000000001</v>
      </c>
      <c r="AC1078" s="11">
        <f t="shared" si="312"/>
        <v>0</v>
      </c>
      <c r="AD1078" s="36">
        <f t="shared" si="322"/>
        <v>0</v>
      </c>
      <c r="AE1078" s="36"/>
      <c r="AF1078" s="36">
        <f>IFERROR(VLOOKUP(AE1078,'Chemical Cost'!A:D,4,0),0)</f>
        <v>0</v>
      </c>
      <c r="AG1078" s="114">
        <f t="shared" si="313"/>
        <v>0</v>
      </c>
      <c r="AH1078" s="36">
        <f t="shared" si="316"/>
        <v>0</v>
      </c>
      <c r="AI1078" s="36">
        <f t="shared" si="323"/>
        <v>0.14000000000000001</v>
      </c>
      <c r="AJ1078" s="36">
        <f>IFERROR(VLOOKUP(A1078,'All Products'!A:F,6,0),0)</f>
        <v>110.71</v>
      </c>
      <c r="AK1078" s="36"/>
      <c r="AL1078" s="23">
        <v>1</v>
      </c>
      <c r="AM1078" s="23"/>
      <c r="AN1078" s="54" t="e">
        <v>#N/A</v>
      </c>
      <c r="AO1078" s="47"/>
      <c r="AP1078" s="4">
        <v>1.25</v>
      </c>
      <c r="AQ1078" s="111">
        <f t="shared" si="314"/>
        <v>0</v>
      </c>
      <c r="AR1078">
        <f>_xlfn.XLOOKUP(F1078,'RM Cost'!A:A,'RM Cost'!S:S)</f>
        <v>0</v>
      </c>
      <c r="AS1078" t="e">
        <f>_xlfn.XLOOKUP(A1078,[3]Sheet1!$B:$B,[3]Sheet1!$B:$B)</f>
        <v>#N/A</v>
      </c>
    </row>
    <row r="1079" spans="1:45" x14ac:dyDescent="0.25">
      <c r="A1079" s="16" t="s">
        <v>421</v>
      </c>
      <c r="B1079" s="2" t="s">
        <v>656</v>
      </c>
      <c r="C1079" s="2" t="s">
        <v>422</v>
      </c>
      <c r="D1079" s="2" t="s">
        <v>554</v>
      </c>
      <c r="E1079" s="2">
        <v>1</v>
      </c>
      <c r="F1079" s="1" t="str">
        <f>VLOOKUP(H1079,'RM Used'!A:B,2,0)</f>
        <v>3794CS</v>
      </c>
      <c r="G1079" s="1" t="str">
        <f>IFERROR(VLOOKUP(F1079,'RM Cost'!A:B,2,0),"")</f>
        <v>RM - CARROT BABY 6 X 200G</v>
      </c>
      <c r="H1079" s="2" t="s">
        <v>1592</v>
      </c>
      <c r="I1079" s="1" t="str">
        <f>VLOOKUP(F1079,'RM Used'!B:D,3,0)</f>
        <v>RM-FOOD</v>
      </c>
      <c r="J1079" s="66">
        <v>1</v>
      </c>
      <c r="K1079" s="35">
        <f t="shared" si="318"/>
        <v>1</v>
      </c>
      <c r="L1079" s="35">
        <f t="shared" si="306"/>
        <v>1</v>
      </c>
      <c r="M1079" s="77" cm="1">
        <f t="array" ref="M1079">_xlfn.IFS(BOM!I1079="RM-PACKING","100%",B1079="Reynolds",VLOOKUP(H1079,'Yield &amp; Time'!A:V,22,0),BOM!B1079="Dnata",VLOOKUP(BOM!H1079,'Yield &amp; Time'!A:M,13,0),B1079="NK",VLOOKUP(H1079,'Yield &amp; Time'!A:X,24,0))</f>
        <v>0.7069767441860465</v>
      </c>
      <c r="N1079" s="35">
        <f t="shared" si="317"/>
        <v>1.4144736842105263</v>
      </c>
      <c r="O1079" s="1" t="str">
        <f>VLOOKUP(H1079,'RM Used'!A:E,5,0)</f>
        <v>KG</v>
      </c>
      <c r="P1079" s="11">
        <f>VLOOKUP(H1079,'RM Used'!A:F,6,0)</f>
        <v>7.25</v>
      </c>
      <c r="Q1079" s="11">
        <f t="shared" si="315"/>
        <v>10.254934210526315</v>
      </c>
      <c r="R1079" s="11">
        <f>IFERROR(IF(B1079="Reynolds",VLOOKUP(H1079,'Yield &amp; Time'!A:U,21,0),VLOOKUP(H1079,'Yield &amp; Time'!A:L,12,0)),0)</f>
        <v>12.171052631578947</v>
      </c>
      <c r="S1079" s="11">
        <f t="shared" si="307"/>
        <v>4.1199013157894733</v>
      </c>
      <c r="T1079" s="11">
        <f t="shared" si="308"/>
        <v>0.20285087719298245</v>
      </c>
      <c r="U1079" s="11">
        <f>IF(A1078=A1079,0,VLOOKUP(A1079,'Packing Time'!A:F,6,0))</f>
        <v>0.64166666666666661</v>
      </c>
      <c r="V1079" s="11">
        <f t="shared" si="319"/>
        <v>0.21720416666666661</v>
      </c>
      <c r="W1079" s="11">
        <f t="shared" si="320"/>
        <v>1.0694444444444444E-2</v>
      </c>
      <c r="X1079" s="11">
        <f t="shared" si="309"/>
        <v>6.9393687719298249</v>
      </c>
      <c r="Y1079" s="11">
        <f t="shared" si="321"/>
        <v>6.9393687719298249</v>
      </c>
      <c r="Z1079" s="37">
        <v>1</v>
      </c>
      <c r="AA1079" s="36">
        <f t="shared" si="310"/>
        <v>1.4144736842105263</v>
      </c>
      <c r="AB1079" s="36">
        <f t="shared" si="311"/>
        <v>10.254934210526315</v>
      </c>
      <c r="AC1079" s="11">
        <f t="shared" si="312"/>
        <v>0.34167251461988307</v>
      </c>
      <c r="AD1079" s="36">
        <f t="shared" si="322"/>
        <v>6.9393687719298249</v>
      </c>
      <c r="AE1079" s="36"/>
      <c r="AF1079" s="36">
        <f>IFERROR(VLOOKUP(AE1079,'Chemical Cost'!A:D,4,0),0)</f>
        <v>0</v>
      </c>
      <c r="AG1079" s="114">
        <f t="shared" si="313"/>
        <v>0</v>
      </c>
      <c r="AH1079" s="36">
        <f t="shared" si="316"/>
        <v>0</v>
      </c>
      <c r="AI1079" s="36">
        <f t="shared" si="323"/>
        <v>17.19430298245614</v>
      </c>
      <c r="AJ1079" s="36">
        <f>IFERROR(VLOOKUP(A1079,'All Products'!A:F,6,0),0)</f>
        <v>58.87</v>
      </c>
      <c r="AK1079" s="36">
        <f>AJ1079*Z1079*J1079</f>
        <v>58.87</v>
      </c>
      <c r="AL1079" s="23">
        <v>1</v>
      </c>
      <c r="AM1079" s="23"/>
      <c r="AN1079" s="54" t="e">
        <v>#N/A</v>
      </c>
      <c r="AO1079" s="47"/>
      <c r="AP1079" s="4">
        <v>1.6</v>
      </c>
      <c r="AQ1079" s="111">
        <f t="shared" si="314"/>
        <v>0.34167251461988307</v>
      </c>
      <c r="AR1079">
        <f>_xlfn.XLOOKUP(F1079,'RM Cost'!A:A,'RM Cost'!S:S)</f>
        <v>0</v>
      </c>
      <c r="AS1079" t="e">
        <f>_xlfn.XLOOKUP(A1079,[3]Sheet1!$B:$B,[3]Sheet1!$B:$B)</f>
        <v>#N/A</v>
      </c>
    </row>
    <row r="1080" spans="1:45" x14ac:dyDescent="0.25">
      <c r="A1080" s="16" t="s">
        <v>421</v>
      </c>
      <c r="B1080" s="2" t="s">
        <v>656</v>
      </c>
      <c r="C1080" s="2" t="s">
        <v>422</v>
      </c>
      <c r="D1080" s="2" t="s">
        <v>554</v>
      </c>
      <c r="E1080" s="2">
        <v>1</v>
      </c>
      <c r="F1080" s="1" t="str">
        <f>VLOOKUP(H1080,'RM Used'!A:B,2,0)</f>
        <v>P0008</v>
      </c>
      <c r="G1080" s="1" t="str">
        <f>IFERROR(VLOOKUP(F1080,'RM Cost'!A:B,2,0),"")</f>
        <v>PALE BLUE BAG 470X750MM</v>
      </c>
      <c r="H1080" s="2" t="s">
        <v>1323</v>
      </c>
      <c r="I1080" s="1" t="str">
        <f>VLOOKUP(F1080,'RM Used'!B:D,3,0)</f>
        <v>RM-PACKING</v>
      </c>
      <c r="J1080" s="66">
        <v>1</v>
      </c>
      <c r="K1080" s="35" t="str">
        <f t="shared" si="318"/>
        <v/>
      </c>
      <c r="L1080" s="35">
        <f t="shared" si="306"/>
        <v>0</v>
      </c>
      <c r="M1080" s="77" t="str" cm="1">
        <f t="array" ref="M1080">_xlfn.IFS(BOM!I1080="RM-PACKING","100%",B1080="Reynolds",VLOOKUP(H1080,'Yield &amp; Time'!A:V,22,0),BOM!B1080="Dnata",VLOOKUP(BOM!H1080,'Yield &amp; Time'!A:M,13,0),B1080="NK",VLOOKUP(H1080,'Yield &amp; Time'!A:X,24,0))</f>
        <v>100%</v>
      </c>
      <c r="N1080" s="35">
        <f t="shared" si="317"/>
        <v>1</v>
      </c>
      <c r="O1080" s="1" t="str">
        <f>VLOOKUP(H1080,'RM Used'!A:E,5,0)</f>
        <v>Count</v>
      </c>
      <c r="P1080" s="11">
        <f>VLOOKUP(H1080,'RM Used'!A:F,6,0)</f>
        <v>0.14000000000000001</v>
      </c>
      <c r="Q1080" s="11">
        <f t="shared" si="315"/>
        <v>0.14000000000000001</v>
      </c>
      <c r="R1080" s="11">
        <f>IFERROR(IF(B1080="Reynolds",VLOOKUP(H1080,'Yield &amp; Time'!A:U,21,0),VLOOKUP(H1080,'Yield &amp; Time'!A:L,12,0)),0)</f>
        <v>0</v>
      </c>
      <c r="S1080" s="11">
        <f t="shared" si="307"/>
        <v>0</v>
      </c>
      <c r="T1080" s="11">
        <f t="shared" si="308"/>
        <v>0</v>
      </c>
      <c r="U1080" s="11">
        <f>IF(A1079=A1080,0,VLOOKUP(A1080,'Packing Time'!A:F,6,0))</f>
        <v>0</v>
      </c>
      <c r="V1080" s="11">
        <f t="shared" si="319"/>
        <v>0</v>
      </c>
      <c r="W1080" s="11">
        <f t="shared" si="320"/>
        <v>0</v>
      </c>
      <c r="X1080" s="11">
        <f t="shared" si="309"/>
        <v>0</v>
      </c>
      <c r="Y1080" s="11">
        <f t="shared" si="321"/>
        <v>0</v>
      </c>
      <c r="Z1080" s="37">
        <v>1</v>
      </c>
      <c r="AA1080" s="36">
        <f t="shared" si="310"/>
        <v>1</v>
      </c>
      <c r="AB1080" s="36">
        <f t="shared" si="311"/>
        <v>0.14000000000000001</v>
      </c>
      <c r="AC1080" s="11">
        <f t="shared" si="312"/>
        <v>0</v>
      </c>
      <c r="AD1080" s="36">
        <f t="shared" si="322"/>
        <v>0</v>
      </c>
      <c r="AE1080" s="36"/>
      <c r="AF1080" s="36">
        <f>IFERROR(VLOOKUP(AE1080,'Chemical Cost'!A:D,4,0),0)</f>
        <v>0</v>
      </c>
      <c r="AG1080" s="114">
        <f t="shared" si="313"/>
        <v>0</v>
      </c>
      <c r="AH1080" s="36">
        <f t="shared" si="316"/>
        <v>0</v>
      </c>
      <c r="AI1080" s="36">
        <f t="shared" si="323"/>
        <v>0.14000000000000001</v>
      </c>
      <c r="AJ1080" s="36">
        <f>IFERROR(VLOOKUP(A1080,'All Products'!A:F,6,0),0)</f>
        <v>58.87</v>
      </c>
      <c r="AK1080" s="36"/>
      <c r="AL1080" s="23">
        <v>1</v>
      </c>
      <c r="AM1080" s="23"/>
      <c r="AN1080" s="54" t="e">
        <v>#N/A</v>
      </c>
      <c r="AO1080" s="47"/>
      <c r="AP1080" s="4">
        <v>1.6</v>
      </c>
      <c r="AQ1080" s="111">
        <f t="shared" si="314"/>
        <v>0</v>
      </c>
      <c r="AR1080">
        <f>_xlfn.XLOOKUP(F1080,'RM Cost'!A:A,'RM Cost'!S:S)</f>
        <v>0</v>
      </c>
      <c r="AS1080" t="e">
        <f>_xlfn.XLOOKUP(A1080,[3]Sheet1!$B:$B,[3]Sheet1!$B:$B)</f>
        <v>#N/A</v>
      </c>
    </row>
    <row r="1081" spans="1:45" x14ac:dyDescent="0.25">
      <c r="A1081" s="16" t="s">
        <v>339</v>
      </c>
      <c r="B1081" s="2" t="s">
        <v>656</v>
      </c>
      <c r="C1081" s="2" t="s">
        <v>340</v>
      </c>
      <c r="D1081" s="2" t="s">
        <v>554</v>
      </c>
      <c r="E1081" s="2">
        <v>2.5</v>
      </c>
      <c r="F1081" s="1" t="str">
        <f>VLOOKUP(H1081,'RM Used'!A:B,2,0)</f>
        <v>3794CS</v>
      </c>
      <c r="G1081" s="1" t="str">
        <f>IFERROR(VLOOKUP(F1081,'RM Cost'!A:B,2,0),"")</f>
        <v>RM - CARROT BABY 6 X 200G</v>
      </c>
      <c r="H1081" s="2" t="s">
        <v>1593</v>
      </c>
      <c r="I1081" s="1" t="str">
        <f>VLOOKUP(F1081,'RM Used'!B:D,3,0)</f>
        <v>RM-FOOD</v>
      </c>
      <c r="J1081" s="66">
        <v>1</v>
      </c>
      <c r="K1081" s="35">
        <f t="shared" si="318"/>
        <v>2.5</v>
      </c>
      <c r="L1081" s="35">
        <f t="shared" si="306"/>
        <v>2.5</v>
      </c>
      <c r="M1081" s="77" cm="1">
        <f t="array" ref="M1081">_xlfn.IFS(BOM!I1081="RM-PACKING","100%",B1081="Reynolds",VLOOKUP(H1081,'Yield &amp; Time'!A:V,22,0),BOM!B1081="Dnata",VLOOKUP(BOM!H1081,'Yield &amp; Time'!A:M,13,0),B1081="NK",VLOOKUP(H1081,'Yield &amp; Time'!A:X,24,0))</f>
        <v>0.70967741935483875</v>
      </c>
      <c r="N1081" s="35">
        <f t="shared" si="317"/>
        <v>3.5227272727272725</v>
      </c>
      <c r="O1081" s="1" t="str">
        <f>VLOOKUP(H1081,'RM Used'!A:E,5,0)</f>
        <v>KG</v>
      </c>
      <c r="P1081" s="11">
        <f>VLOOKUP(H1081,'RM Used'!A:F,6,0)</f>
        <v>7.25</v>
      </c>
      <c r="Q1081" s="11">
        <f t="shared" si="315"/>
        <v>25.539772727272727</v>
      </c>
      <c r="R1081" s="11">
        <f>IFERROR(IF(B1081="Reynolds",VLOOKUP(H1081,'Yield &amp; Time'!A:U,21,0),VLOOKUP(H1081,'Yield &amp; Time'!A:L,12,0)),0)</f>
        <v>20.129870129870131</v>
      </c>
      <c r="S1081" s="11">
        <f t="shared" si="307"/>
        <v>17.034902597402596</v>
      </c>
      <c r="T1081" s="11">
        <f t="shared" si="308"/>
        <v>0.83874458874458879</v>
      </c>
      <c r="U1081" s="11">
        <f>IF(A1080=A1081,0,VLOOKUP(A1081,'Packing Time'!A:F,6,0))</f>
        <v>0.875</v>
      </c>
      <c r="V1081" s="11">
        <f t="shared" si="319"/>
        <v>0.29618749999999999</v>
      </c>
      <c r="W1081" s="11">
        <f t="shared" si="320"/>
        <v>1.4583333333333334E-2</v>
      </c>
      <c r="X1081" s="11">
        <f t="shared" si="309"/>
        <v>24.263526136363634</v>
      </c>
      <c r="Y1081" s="11">
        <f t="shared" si="321"/>
        <v>24.263526136363634</v>
      </c>
      <c r="Z1081" s="37">
        <v>1</v>
      </c>
      <c r="AA1081" s="36">
        <f t="shared" si="310"/>
        <v>3.5227272727272725</v>
      </c>
      <c r="AB1081" s="36">
        <f t="shared" si="311"/>
        <v>25.539772727272727</v>
      </c>
      <c r="AC1081" s="11">
        <f t="shared" si="312"/>
        <v>1.1946590909090908</v>
      </c>
      <c r="AD1081" s="36">
        <f t="shared" si="322"/>
        <v>24.26352613636363</v>
      </c>
      <c r="AE1081" s="36"/>
      <c r="AF1081" s="36">
        <f>IFERROR(VLOOKUP(AE1081,'Chemical Cost'!A:D,4,0),0)</f>
        <v>0</v>
      </c>
      <c r="AG1081" s="114">
        <f t="shared" si="313"/>
        <v>0</v>
      </c>
      <c r="AH1081" s="36">
        <f t="shared" si="316"/>
        <v>0</v>
      </c>
      <c r="AI1081" s="36">
        <f t="shared" si="323"/>
        <v>49.803298863636357</v>
      </c>
      <c r="AJ1081" s="36">
        <f>IFERROR(VLOOKUP(A1081,'All Products'!A:F,6,0),0)</f>
        <v>147.46</v>
      </c>
      <c r="AK1081" s="36">
        <f>AJ1081*Z1081*J1081</f>
        <v>147.46</v>
      </c>
      <c r="AL1081" s="23">
        <v>1</v>
      </c>
      <c r="AM1081" s="23"/>
      <c r="AN1081" s="54" t="e">
        <v>#N/A</v>
      </c>
      <c r="AO1081" s="47"/>
      <c r="AP1081" s="4">
        <v>1.4</v>
      </c>
      <c r="AQ1081" s="111">
        <f t="shared" si="314"/>
        <v>1.1946590909090908</v>
      </c>
      <c r="AR1081">
        <f>_xlfn.XLOOKUP(F1081,'RM Cost'!A:A,'RM Cost'!S:S)</f>
        <v>0</v>
      </c>
      <c r="AS1081" t="e">
        <f>_xlfn.XLOOKUP(A1081,[3]Sheet1!$B:$B,[3]Sheet1!$B:$B)</f>
        <v>#N/A</v>
      </c>
    </row>
    <row r="1082" spans="1:45" x14ac:dyDescent="0.25">
      <c r="A1082" s="16" t="s">
        <v>339</v>
      </c>
      <c r="B1082" s="2" t="s">
        <v>656</v>
      </c>
      <c r="C1082" s="2" t="s">
        <v>340</v>
      </c>
      <c r="D1082" s="2" t="s">
        <v>554</v>
      </c>
      <c r="E1082" s="2">
        <v>2.5</v>
      </c>
      <c r="F1082" s="1" t="str">
        <f>VLOOKUP(H1082,'RM Used'!A:B,2,0)</f>
        <v>P0008</v>
      </c>
      <c r="G1082" s="1" t="str">
        <f>IFERROR(VLOOKUP(F1082,'RM Cost'!A:B,2,0),"")</f>
        <v>PALE BLUE BAG 470X750MM</v>
      </c>
      <c r="H1082" s="2" t="s">
        <v>1323</v>
      </c>
      <c r="I1082" s="1" t="str">
        <f>VLOOKUP(F1082,'RM Used'!B:D,3,0)</f>
        <v>RM-PACKING</v>
      </c>
      <c r="J1082" s="66">
        <v>1</v>
      </c>
      <c r="K1082" s="35" t="str">
        <f t="shared" si="318"/>
        <v/>
      </c>
      <c r="L1082" s="35">
        <f t="shared" si="306"/>
        <v>0</v>
      </c>
      <c r="M1082" s="77" t="str" cm="1">
        <f t="array" ref="M1082">_xlfn.IFS(BOM!I1082="RM-PACKING","100%",B1082="Reynolds",VLOOKUP(H1082,'Yield &amp; Time'!A:V,22,0),BOM!B1082="Dnata",VLOOKUP(BOM!H1082,'Yield &amp; Time'!A:M,13,0),B1082="NK",VLOOKUP(H1082,'Yield &amp; Time'!A:X,24,0))</f>
        <v>100%</v>
      </c>
      <c r="N1082" s="35">
        <f t="shared" si="317"/>
        <v>1</v>
      </c>
      <c r="O1082" s="1" t="str">
        <f>VLOOKUP(H1082,'RM Used'!A:E,5,0)</f>
        <v>Count</v>
      </c>
      <c r="P1082" s="11">
        <f>VLOOKUP(H1082,'RM Used'!A:F,6,0)</f>
        <v>0.14000000000000001</v>
      </c>
      <c r="Q1082" s="11">
        <f t="shared" si="315"/>
        <v>0.14000000000000001</v>
      </c>
      <c r="R1082" s="11">
        <f>IFERROR(IF(B1082="Reynolds",VLOOKUP(H1082,'Yield &amp; Time'!A:U,21,0),VLOOKUP(H1082,'Yield &amp; Time'!A:L,12,0)),0)</f>
        <v>0</v>
      </c>
      <c r="S1082" s="11">
        <f t="shared" si="307"/>
        <v>0</v>
      </c>
      <c r="T1082" s="11">
        <f t="shared" si="308"/>
        <v>0</v>
      </c>
      <c r="U1082" s="11">
        <f>IF(A1081=A1082,0,VLOOKUP(A1082,'Packing Time'!A:F,6,0))</f>
        <v>0</v>
      </c>
      <c r="V1082" s="11">
        <f t="shared" si="319"/>
        <v>0</v>
      </c>
      <c r="W1082" s="11">
        <f t="shared" si="320"/>
        <v>0</v>
      </c>
      <c r="X1082" s="11">
        <f t="shared" si="309"/>
        <v>0</v>
      </c>
      <c r="Y1082" s="11">
        <f t="shared" si="321"/>
        <v>0</v>
      </c>
      <c r="Z1082" s="37">
        <v>1</v>
      </c>
      <c r="AA1082" s="36">
        <f t="shared" si="310"/>
        <v>1</v>
      </c>
      <c r="AB1082" s="36">
        <f t="shared" si="311"/>
        <v>0.14000000000000001</v>
      </c>
      <c r="AC1082" s="11">
        <f t="shared" si="312"/>
        <v>0</v>
      </c>
      <c r="AD1082" s="36">
        <f t="shared" si="322"/>
        <v>0</v>
      </c>
      <c r="AE1082" s="36"/>
      <c r="AF1082" s="36">
        <f>IFERROR(VLOOKUP(AE1082,'Chemical Cost'!A:D,4,0),0)</f>
        <v>0</v>
      </c>
      <c r="AG1082" s="114">
        <f t="shared" si="313"/>
        <v>0</v>
      </c>
      <c r="AH1082" s="36">
        <f t="shared" si="316"/>
        <v>0</v>
      </c>
      <c r="AI1082" s="36">
        <f t="shared" si="323"/>
        <v>0.14000000000000001</v>
      </c>
      <c r="AJ1082" s="36">
        <f>IFERROR(VLOOKUP(A1082,'All Products'!A:F,6,0),0)</f>
        <v>147.46</v>
      </c>
      <c r="AK1082" s="36"/>
      <c r="AL1082" s="23">
        <v>1</v>
      </c>
      <c r="AM1082" s="23"/>
      <c r="AN1082" s="54" t="e">
        <v>#N/A</v>
      </c>
      <c r="AO1082" s="47"/>
      <c r="AP1082" s="4">
        <v>1.4</v>
      </c>
      <c r="AQ1082" s="111">
        <f t="shared" si="314"/>
        <v>0</v>
      </c>
      <c r="AR1082">
        <f>_xlfn.XLOOKUP(F1082,'RM Cost'!A:A,'RM Cost'!S:S)</f>
        <v>0</v>
      </c>
      <c r="AS1082" t="e">
        <f>_xlfn.XLOOKUP(A1082,[3]Sheet1!$B:$B,[3]Sheet1!$B:$B)</f>
        <v>#N/A</v>
      </c>
    </row>
    <row r="1083" spans="1:45" x14ac:dyDescent="0.25">
      <c r="A1083" s="16" t="s">
        <v>375</v>
      </c>
      <c r="B1083" s="2" t="s">
        <v>656</v>
      </c>
      <c r="C1083" s="2" t="s">
        <v>962</v>
      </c>
      <c r="D1083" s="2" t="s">
        <v>554</v>
      </c>
      <c r="E1083" s="2">
        <v>2.5</v>
      </c>
      <c r="F1083" s="1" t="str">
        <f>VLOOKUP(H1083,'RM Used'!A:B,2,0)</f>
        <v>106ACS</v>
      </c>
      <c r="G1083" s="1" t="str">
        <f>IFERROR(VLOOKUP(F1083,'RM Cost'!A:B,2,0),"")</f>
        <v>RM - BABY GOLDEN BEETROOT 6 X 200G</v>
      </c>
      <c r="H1083" s="2" t="s">
        <v>1594</v>
      </c>
      <c r="I1083" s="1" t="str">
        <f>VLOOKUP(F1083,'RM Used'!B:D,3,0)</f>
        <v>RM-FOOD</v>
      </c>
      <c r="J1083" s="66">
        <v>1</v>
      </c>
      <c r="K1083" s="35">
        <f t="shared" si="318"/>
        <v>2.5</v>
      </c>
      <c r="L1083" s="35">
        <f t="shared" si="306"/>
        <v>2.5</v>
      </c>
      <c r="M1083" s="77" cm="1">
        <f t="array" ref="M1083">_xlfn.IFS(BOM!I1083="RM-PACKING","100%",B1083="Reynolds",VLOOKUP(H1083,'Yield &amp; Time'!A:V,22,0),BOM!B1083="Dnata",VLOOKUP(BOM!H1083,'Yield &amp; Time'!A:M,13,0),B1083="NK",VLOOKUP(H1083,'Yield &amp; Time'!A:X,24,0))</f>
        <v>0.78571428571428581</v>
      </c>
      <c r="N1083" s="35">
        <f t="shared" si="317"/>
        <v>3.1818181818181812</v>
      </c>
      <c r="O1083" s="1" t="str">
        <f>VLOOKUP(H1083,'RM Used'!A:E,5,0)</f>
        <v>KG</v>
      </c>
      <c r="P1083" s="11">
        <f>VLOOKUP(H1083,'RM Used'!A:F,6,0)</f>
        <v>9.35</v>
      </c>
      <c r="Q1083" s="11">
        <f t="shared" si="315"/>
        <v>29.749999999999993</v>
      </c>
      <c r="R1083" s="11">
        <f>IFERROR(IF(B1083="Reynolds",VLOOKUP(H1083,'Yield &amp; Time'!A:U,21,0),VLOOKUP(H1083,'Yield &amp; Time'!A:L,12,0)),0)</f>
        <v>21.918181818181818</v>
      </c>
      <c r="S1083" s="11">
        <f t="shared" si="307"/>
        <v>18.548261363636364</v>
      </c>
      <c r="T1083" s="11">
        <f t="shared" si="308"/>
        <v>0.91325757575757582</v>
      </c>
      <c r="U1083" s="11">
        <f>IF(A1082=A1083,0,VLOOKUP(A1083,'Packing Time'!A:F,6,0))</f>
        <v>0.875</v>
      </c>
      <c r="V1083" s="11">
        <f t="shared" si="319"/>
        <v>0.29618749999999999</v>
      </c>
      <c r="W1083" s="11">
        <f t="shared" si="320"/>
        <v>1.4583333333333334E-2</v>
      </c>
      <c r="X1083" s="11">
        <f t="shared" si="309"/>
        <v>26.382228409090906</v>
      </c>
      <c r="Y1083" s="11">
        <f t="shared" si="321"/>
        <v>26.382228409090906</v>
      </c>
      <c r="Z1083" s="37">
        <v>1</v>
      </c>
      <c r="AA1083" s="36">
        <f t="shared" si="310"/>
        <v>3.1818181818181812</v>
      </c>
      <c r="AB1083" s="36">
        <f t="shared" si="311"/>
        <v>29.749999999999993</v>
      </c>
      <c r="AC1083" s="11">
        <f t="shared" si="312"/>
        <v>1.2989772727272726</v>
      </c>
      <c r="AD1083" s="36">
        <f t="shared" si="322"/>
        <v>26.382228409090906</v>
      </c>
      <c r="AE1083" s="36" t="str">
        <f>VLOOKUP(H1083,'Yield &amp; Time'!A:I,9,0)</f>
        <v>SODIUM METABISULPHITE</v>
      </c>
      <c r="AF1083" s="36">
        <f>IFERROR(VLOOKUP(AE1083,'Chemical Cost'!A:D,4,0),0)</f>
        <v>9.7586225455882462E-3</v>
      </c>
      <c r="AG1083" s="114">
        <f t="shared" si="313"/>
        <v>1.0350054215017836E-2</v>
      </c>
      <c r="AH1083" s="36">
        <f t="shared" si="316"/>
        <v>1.0350054215017836E-2</v>
      </c>
      <c r="AI1083" s="36">
        <f t="shared" si="323"/>
        <v>56.142578463305917</v>
      </c>
      <c r="AJ1083" s="36">
        <f>IFERROR(VLOOKUP(A1083,'All Products'!A:F,6,0),0)</f>
        <v>113.89</v>
      </c>
      <c r="AK1083" s="36">
        <f>AJ1083*Z1083*J1083</f>
        <v>113.89</v>
      </c>
      <c r="AL1083" s="23">
        <v>1</v>
      </c>
      <c r="AM1083" s="23"/>
      <c r="AN1083" s="54" t="e">
        <v>#N/A</v>
      </c>
      <c r="AO1083" s="47"/>
      <c r="AP1083" s="4">
        <v>1.4</v>
      </c>
      <c r="AQ1083" s="111">
        <f t="shared" si="314"/>
        <v>1.2989772727272726</v>
      </c>
      <c r="AR1083">
        <f>_xlfn.XLOOKUP(F1083,'RM Cost'!A:A,'RM Cost'!S:S)</f>
        <v>0</v>
      </c>
      <c r="AS1083" t="e">
        <f>_xlfn.XLOOKUP(A1083,[3]Sheet1!$B:$B,[3]Sheet1!$B:$B)</f>
        <v>#N/A</v>
      </c>
    </row>
    <row r="1084" spans="1:45" x14ac:dyDescent="0.25">
      <c r="A1084" s="16" t="s">
        <v>375</v>
      </c>
      <c r="B1084" s="2" t="s">
        <v>656</v>
      </c>
      <c r="C1084" s="2" t="s">
        <v>962</v>
      </c>
      <c r="D1084" s="2" t="s">
        <v>554</v>
      </c>
      <c r="E1084" s="2">
        <v>2.5</v>
      </c>
      <c r="F1084" s="1" t="str">
        <f>VLOOKUP(H1084,'RM Used'!A:B,2,0)</f>
        <v>P0008</v>
      </c>
      <c r="G1084" s="1" t="str">
        <f>IFERROR(VLOOKUP(F1084,'RM Cost'!A:B,2,0),"")</f>
        <v>PALE BLUE BAG 470X750MM</v>
      </c>
      <c r="H1084" s="2" t="s">
        <v>1323</v>
      </c>
      <c r="I1084" s="1" t="str">
        <f>VLOOKUP(F1084,'RM Used'!B:D,3,0)</f>
        <v>RM-PACKING</v>
      </c>
      <c r="J1084" s="66">
        <v>1</v>
      </c>
      <c r="K1084" s="35" t="str">
        <f t="shared" si="318"/>
        <v/>
      </c>
      <c r="L1084" s="35">
        <f t="shared" si="306"/>
        <v>0</v>
      </c>
      <c r="M1084" s="77" t="str" cm="1">
        <f t="array" ref="M1084">_xlfn.IFS(BOM!I1084="RM-PACKING","100%",B1084="Reynolds",VLOOKUP(H1084,'Yield &amp; Time'!A:V,22,0),BOM!B1084="Dnata",VLOOKUP(BOM!H1084,'Yield &amp; Time'!A:M,13,0),B1084="NK",VLOOKUP(H1084,'Yield &amp; Time'!A:X,24,0))</f>
        <v>100%</v>
      </c>
      <c r="N1084" s="35">
        <f t="shared" si="317"/>
        <v>1</v>
      </c>
      <c r="O1084" s="1" t="str">
        <f>VLOOKUP(H1084,'RM Used'!A:E,5,0)</f>
        <v>Count</v>
      </c>
      <c r="P1084" s="11">
        <f>VLOOKUP(H1084,'RM Used'!A:F,6,0)</f>
        <v>0.14000000000000001</v>
      </c>
      <c r="Q1084" s="11">
        <f t="shared" si="315"/>
        <v>0.14000000000000001</v>
      </c>
      <c r="R1084" s="11">
        <f>IFERROR(IF(B1084="Reynolds",VLOOKUP(H1084,'Yield &amp; Time'!A:U,21,0),VLOOKUP(H1084,'Yield &amp; Time'!A:L,12,0)),0)</f>
        <v>0</v>
      </c>
      <c r="S1084" s="11">
        <f t="shared" si="307"/>
        <v>0</v>
      </c>
      <c r="T1084" s="11">
        <f t="shared" si="308"/>
        <v>0</v>
      </c>
      <c r="U1084" s="11">
        <f>IF(A1083=A1084,0,VLOOKUP(A1084,'Packing Time'!A:F,6,0))</f>
        <v>0</v>
      </c>
      <c r="V1084" s="11">
        <f t="shared" si="319"/>
        <v>0</v>
      </c>
      <c r="W1084" s="11">
        <f t="shared" si="320"/>
        <v>0</v>
      </c>
      <c r="X1084" s="11">
        <f t="shared" si="309"/>
        <v>0</v>
      </c>
      <c r="Y1084" s="11">
        <f t="shared" si="321"/>
        <v>0</v>
      </c>
      <c r="Z1084" s="37">
        <v>1</v>
      </c>
      <c r="AA1084" s="36">
        <f t="shared" si="310"/>
        <v>1</v>
      </c>
      <c r="AB1084" s="36">
        <f t="shared" si="311"/>
        <v>0.14000000000000001</v>
      </c>
      <c r="AC1084" s="11">
        <f t="shared" si="312"/>
        <v>0</v>
      </c>
      <c r="AD1084" s="36">
        <f t="shared" si="322"/>
        <v>0</v>
      </c>
      <c r="AE1084" s="36"/>
      <c r="AF1084" s="36">
        <f>IFERROR(VLOOKUP(AE1084,'Chemical Cost'!A:D,4,0),0)</f>
        <v>0</v>
      </c>
      <c r="AG1084" s="114">
        <f t="shared" si="313"/>
        <v>0</v>
      </c>
      <c r="AH1084" s="36">
        <f t="shared" si="316"/>
        <v>0</v>
      </c>
      <c r="AI1084" s="36">
        <f t="shared" si="323"/>
        <v>0.14000000000000001</v>
      </c>
      <c r="AJ1084" s="36">
        <f>IFERROR(VLOOKUP(A1084,'All Products'!A:F,6,0),0)</f>
        <v>113.89</v>
      </c>
      <c r="AK1084" s="36"/>
      <c r="AL1084" s="23">
        <v>1</v>
      </c>
      <c r="AM1084" s="23"/>
      <c r="AN1084" s="54" t="e">
        <v>#N/A</v>
      </c>
      <c r="AO1084" s="47"/>
      <c r="AP1084" s="4">
        <v>1.4</v>
      </c>
      <c r="AQ1084" s="111">
        <f t="shared" si="314"/>
        <v>0</v>
      </c>
      <c r="AR1084">
        <f>_xlfn.XLOOKUP(F1084,'RM Cost'!A:A,'RM Cost'!S:S)</f>
        <v>0</v>
      </c>
      <c r="AS1084" t="e">
        <f>_xlfn.XLOOKUP(A1084,[3]Sheet1!$B:$B,[3]Sheet1!$B:$B)</f>
        <v>#N/A</v>
      </c>
    </row>
    <row r="1085" spans="1:45" x14ac:dyDescent="0.25">
      <c r="A1085" s="16" t="s">
        <v>431</v>
      </c>
      <c r="B1085" s="2" t="s">
        <v>656</v>
      </c>
      <c r="C1085" s="2" t="s">
        <v>965</v>
      </c>
      <c r="D1085" s="2" t="s">
        <v>554</v>
      </c>
      <c r="E1085" s="2">
        <v>1</v>
      </c>
      <c r="F1085" s="1" t="str">
        <f>VLOOKUP(H1085,'RM Used'!A:B,2,0)</f>
        <v>106ACS</v>
      </c>
      <c r="G1085" s="1" t="str">
        <f>IFERROR(VLOOKUP(F1085,'RM Cost'!A:B,2,0),"")</f>
        <v>RM - BABY GOLDEN BEETROOT 6 X 200G</v>
      </c>
      <c r="H1085" s="2" t="s">
        <v>1594</v>
      </c>
      <c r="I1085" s="1" t="str">
        <f>VLOOKUP(F1085,'RM Used'!B:D,3,0)</f>
        <v>RM-FOOD</v>
      </c>
      <c r="J1085" s="66">
        <v>1</v>
      </c>
      <c r="K1085" s="35">
        <f t="shared" si="318"/>
        <v>1</v>
      </c>
      <c r="L1085" s="35">
        <f t="shared" si="306"/>
        <v>1</v>
      </c>
      <c r="M1085" s="77" cm="1">
        <f t="array" ref="M1085">_xlfn.IFS(BOM!I1085="RM-PACKING","100%",B1085="Reynolds",VLOOKUP(H1085,'Yield &amp; Time'!A:V,22,0),BOM!B1085="Dnata",VLOOKUP(BOM!H1085,'Yield &amp; Time'!A:M,13,0),B1085="NK",VLOOKUP(H1085,'Yield &amp; Time'!A:X,24,0))</f>
        <v>0.78571428571428581</v>
      </c>
      <c r="N1085" s="35">
        <f t="shared" si="317"/>
        <v>1.2727272727272725</v>
      </c>
      <c r="O1085" s="1" t="str">
        <f>VLOOKUP(H1085,'RM Used'!A:E,5,0)</f>
        <v>KG</v>
      </c>
      <c r="P1085" s="11">
        <f>VLOOKUP(H1085,'RM Used'!A:F,6,0)</f>
        <v>9.35</v>
      </c>
      <c r="Q1085" s="11">
        <f t="shared" si="315"/>
        <v>11.899999999999997</v>
      </c>
      <c r="R1085" s="11">
        <f>IFERROR(IF(B1085="Reynolds",VLOOKUP(H1085,'Yield &amp; Time'!A:U,21,0),VLOOKUP(H1085,'Yield &amp; Time'!A:L,12,0)),0)</f>
        <v>21.918181818181818</v>
      </c>
      <c r="S1085" s="11">
        <f t="shared" si="307"/>
        <v>7.419304545454545</v>
      </c>
      <c r="T1085" s="11">
        <f t="shared" si="308"/>
        <v>0.3653030303030303</v>
      </c>
      <c r="U1085" s="11">
        <f>IF(A1084=A1085,0,VLOOKUP(A1085,'Packing Time'!A:F,6,0))</f>
        <v>0.64166666666666661</v>
      </c>
      <c r="V1085" s="11">
        <f t="shared" si="319"/>
        <v>0.21720416666666661</v>
      </c>
      <c r="W1085" s="11">
        <f t="shared" si="320"/>
        <v>1.0694444444444444E-2</v>
      </c>
      <c r="X1085" s="11">
        <f t="shared" si="309"/>
        <v>12.218413939393939</v>
      </c>
      <c r="Y1085" s="11">
        <f t="shared" si="321"/>
        <v>12.218413939393939</v>
      </c>
      <c r="Z1085" s="37">
        <v>1</v>
      </c>
      <c r="AA1085" s="36">
        <f t="shared" si="310"/>
        <v>1.2727272727272725</v>
      </c>
      <c r="AB1085" s="36">
        <f t="shared" si="311"/>
        <v>11.899999999999997</v>
      </c>
      <c r="AC1085" s="11">
        <f t="shared" si="312"/>
        <v>0.60159595959595968</v>
      </c>
      <c r="AD1085" s="36">
        <f t="shared" si="322"/>
        <v>12.21841393939394</v>
      </c>
      <c r="AE1085" s="36" t="str">
        <f>VLOOKUP(H1085,'Yield &amp; Time'!A:I,9,0)</f>
        <v>SODIUM METABISULPHITE</v>
      </c>
      <c r="AF1085" s="36">
        <f>IFERROR(VLOOKUP(AE1085,'Chemical Cost'!A:D,4,0),0)</f>
        <v>9.7586225455882462E-3</v>
      </c>
      <c r="AG1085" s="114">
        <f t="shared" si="313"/>
        <v>4.1400216860071337E-3</v>
      </c>
      <c r="AH1085" s="36">
        <f t="shared" si="316"/>
        <v>4.1400216860071337E-3</v>
      </c>
      <c r="AI1085" s="36">
        <f t="shared" si="323"/>
        <v>24.122553961079941</v>
      </c>
      <c r="AJ1085" s="36">
        <f>IFERROR(VLOOKUP(A1085,'All Products'!A:F,6,0),0)</f>
        <v>45.56</v>
      </c>
      <c r="AK1085" s="36">
        <f>AJ1085*Z1085*J1085</f>
        <v>45.56</v>
      </c>
      <c r="AL1085" s="23">
        <v>1</v>
      </c>
      <c r="AM1085" s="23"/>
      <c r="AN1085" s="54" t="e">
        <v>#N/A</v>
      </c>
      <c r="AO1085" s="47"/>
      <c r="AP1085" s="4">
        <v>1.6</v>
      </c>
      <c r="AQ1085" s="111">
        <f t="shared" si="314"/>
        <v>0.60159595959595968</v>
      </c>
      <c r="AR1085">
        <f>_xlfn.XLOOKUP(F1085,'RM Cost'!A:A,'RM Cost'!S:S)</f>
        <v>0</v>
      </c>
      <c r="AS1085" t="e">
        <f>_xlfn.XLOOKUP(A1085,[3]Sheet1!$B:$B,[3]Sheet1!$B:$B)</f>
        <v>#N/A</v>
      </c>
    </row>
    <row r="1086" spans="1:45" x14ac:dyDescent="0.25">
      <c r="A1086" s="16" t="s">
        <v>431</v>
      </c>
      <c r="B1086" s="2" t="s">
        <v>656</v>
      </c>
      <c r="C1086" s="2" t="s">
        <v>965</v>
      </c>
      <c r="D1086" s="2" t="s">
        <v>554</v>
      </c>
      <c r="E1086" s="2">
        <v>1</v>
      </c>
      <c r="F1086" s="1" t="str">
        <f>VLOOKUP(H1086,'RM Used'!A:B,2,0)</f>
        <v>P0008</v>
      </c>
      <c r="G1086" s="1" t="str">
        <f>IFERROR(VLOOKUP(F1086,'RM Cost'!A:B,2,0),"")</f>
        <v>PALE BLUE BAG 470X750MM</v>
      </c>
      <c r="H1086" s="2" t="s">
        <v>1323</v>
      </c>
      <c r="I1086" s="1" t="str">
        <f>VLOOKUP(F1086,'RM Used'!B:D,3,0)</f>
        <v>RM-PACKING</v>
      </c>
      <c r="J1086" s="66">
        <v>1</v>
      </c>
      <c r="K1086" s="35" t="str">
        <f t="shared" si="318"/>
        <v/>
      </c>
      <c r="L1086" s="35">
        <f t="shared" si="306"/>
        <v>0</v>
      </c>
      <c r="M1086" s="77" t="str" cm="1">
        <f t="array" ref="M1086">_xlfn.IFS(BOM!I1086="RM-PACKING","100%",B1086="Reynolds",VLOOKUP(H1086,'Yield &amp; Time'!A:V,22,0),BOM!B1086="Dnata",VLOOKUP(BOM!H1086,'Yield &amp; Time'!A:M,13,0),B1086="NK",VLOOKUP(H1086,'Yield &amp; Time'!A:X,24,0))</f>
        <v>100%</v>
      </c>
      <c r="N1086" s="35">
        <f t="shared" si="317"/>
        <v>1</v>
      </c>
      <c r="O1086" s="1" t="str">
        <f>VLOOKUP(H1086,'RM Used'!A:E,5,0)</f>
        <v>Count</v>
      </c>
      <c r="P1086" s="11">
        <f>VLOOKUP(H1086,'RM Used'!A:F,6,0)</f>
        <v>0.14000000000000001</v>
      </c>
      <c r="Q1086" s="11">
        <f t="shared" si="315"/>
        <v>0.14000000000000001</v>
      </c>
      <c r="R1086" s="11">
        <f>IFERROR(IF(B1086="Reynolds",VLOOKUP(H1086,'Yield &amp; Time'!A:U,21,0),VLOOKUP(H1086,'Yield &amp; Time'!A:L,12,0)),0)</f>
        <v>0</v>
      </c>
      <c r="S1086" s="11">
        <f t="shared" si="307"/>
        <v>0</v>
      </c>
      <c r="T1086" s="11">
        <f t="shared" si="308"/>
        <v>0</v>
      </c>
      <c r="U1086" s="11">
        <f>IF(A1085=A1086,0,VLOOKUP(A1086,'Packing Time'!A:F,6,0))</f>
        <v>0</v>
      </c>
      <c r="V1086" s="11">
        <f t="shared" si="319"/>
        <v>0</v>
      </c>
      <c r="W1086" s="11">
        <f t="shared" si="320"/>
        <v>0</v>
      </c>
      <c r="X1086" s="11">
        <f t="shared" si="309"/>
        <v>0</v>
      </c>
      <c r="Y1086" s="11">
        <f t="shared" si="321"/>
        <v>0</v>
      </c>
      <c r="Z1086" s="37">
        <v>1</v>
      </c>
      <c r="AA1086" s="36">
        <f t="shared" si="310"/>
        <v>1</v>
      </c>
      <c r="AB1086" s="36">
        <f t="shared" si="311"/>
        <v>0.14000000000000001</v>
      </c>
      <c r="AC1086" s="11">
        <f t="shared" si="312"/>
        <v>0</v>
      </c>
      <c r="AD1086" s="36">
        <f t="shared" si="322"/>
        <v>0</v>
      </c>
      <c r="AE1086" s="36"/>
      <c r="AF1086" s="36">
        <f>IFERROR(VLOOKUP(AE1086,'Chemical Cost'!A:D,4,0),0)</f>
        <v>0</v>
      </c>
      <c r="AG1086" s="114">
        <f t="shared" si="313"/>
        <v>0</v>
      </c>
      <c r="AH1086" s="36">
        <f t="shared" si="316"/>
        <v>0</v>
      </c>
      <c r="AI1086" s="36">
        <f t="shared" si="323"/>
        <v>0.14000000000000001</v>
      </c>
      <c r="AJ1086" s="36">
        <f>IFERROR(VLOOKUP(A1086,'All Products'!A:F,6,0),0)</f>
        <v>45.56</v>
      </c>
      <c r="AK1086" s="36"/>
      <c r="AL1086" s="23">
        <v>1</v>
      </c>
      <c r="AM1086" s="23"/>
      <c r="AN1086" s="54" t="e">
        <v>#N/A</v>
      </c>
      <c r="AO1086" s="47"/>
      <c r="AP1086" s="4">
        <v>1.6</v>
      </c>
      <c r="AQ1086" s="111">
        <f t="shared" si="314"/>
        <v>0</v>
      </c>
      <c r="AR1086">
        <f>_xlfn.XLOOKUP(F1086,'RM Cost'!A:A,'RM Cost'!S:S)</f>
        <v>0</v>
      </c>
      <c r="AS1086" t="e">
        <f>_xlfn.XLOOKUP(A1086,[3]Sheet1!$B:$B,[3]Sheet1!$B:$B)</f>
        <v>#N/A</v>
      </c>
    </row>
    <row r="1087" spans="1:45" x14ac:dyDescent="0.25">
      <c r="A1087" s="16" t="s">
        <v>966</v>
      </c>
      <c r="B1087" s="2" t="s">
        <v>656</v>
      </c>
      <c r="C1087" s="2" t="s">
        <v>967</v>
      </c>
      <c r="D1087" s="2" t="s">
        <v>554</v>
      </c>
      <c r="E1087" s="2">
        <v>2.5</v>
      </c>
      <c r="F1087" s="1" t="str">
        <f>VLOOKUP(H1087,'RM Used'!A:B,2,0)</f>
        <v>3259CS</v>
      </c>
      <c r="G1087" s="1" t="str">
        <f>IFERROR(VLOOKUP(F1087,'RM Cost'!A:B,2,0),"")</f>
        <v>RM - SALSIFY   X5KG</v>
      </c>
      <c r="H1087" s="2" t="s">
        <v>1595</v>
      </c>
      <c r="I1087" s="1" t="str">
        <f>VLOOKUP(F1087,'RM Used'!B:D,3,0)</f>
        <v>RM-FOOD</v>
      </c>
      <c r="J1087" s="66">
        <v>1</v>
      </c>
      <c r="K1087" s="35">
        <f t="shared" si="318"/>
        <v>2.5</v>
      </c>
      <c r="L1087" s="35">
        <f t="shared" si="306"/>
        <v>2.5</v>
      </c>
      <c r="M1087" s="77" cm="1">
        <f t="array" ref="M1087">_xlfn.IFS(BOM!I1087="RM-PACKING","100%",B1087="Reynolds",VLOOKUP(H1087,'Yield &amp; Time'!A:V,22,0),BOM!B1087="Dnata",VLOOKUP(BOM!H1087,'Yield &amp; Time'!A:M,13,0),B1087="NK",VLOOKUP(H1087,'Yield &amp; Time'!A:X,24,0))</f>
        <v>0.33999999999999997</v>
      </c>
      <c r="N1087" s="35">
        <f t="shared" si="317"/>
        <v>7.3529411764705888</v>
      </c>
      <c r="O1087" s="1" t="str">
        <f>VLOOKUP(H1087,'RM Used'!A:E,5,0)</f>
        <v>KG</v>
      </c>
      <c r="P1087" s="11" t="e">
        <f>VLOOKUP(H1087,'RM Used'!A:F,6,0)</f>
        <v>#N/A</v>
      </c>
      <c r="Q1087" s="11" t="e">
        <f t="shared" si="315"/>
        <v>#N/A</v>
      </c>
      <c r="R1087" s="11">
        <f>IFERROR(IF(B1087="Reynolds",VLOOKUP(H1087,'Yield &amp; Time'!A:U,21,0),VLOOKUP(H1087,'Yield &amp; Time'!A:L,12,0)),0)</f>
        <v>21.766666666666669</v>
      </c>
      <c r="S1087" s="11">
        <f t="shared" si="307"/>
        <v>18.420041666666666</v>
      </c>
      <c r="T1087" s="11">
        <f t="shared" si="308"/>
        <v>0.90694444444444455</v>
      </c>
      <c r="U1087" s="11">
        <f>IF(A1086=A1087,0,VLOOKUP(A1087,'Packing Time'!A:F,6,0))</f>
        <v>0.875</v>
      </c>
      <c r="V1087" s="11">
        <f t="shared" si="319"/>
        <v>0.29618749999999999</v>
      </c>
      <c r="W1087" s="11">
        <f t="shared" si="320"/>
        <v>1.4583333333333334E-2</v>
      </c>
      <c r="X1087" s="11">
        <f t="shared" si="309"/>
        <v>29.945966666666671</v>
      </c>
      <c r="Y1087" s="11">
        <f t="shared" si="321"/>
        <v>29.945966666666671</v>
      </c>
      <c r="Z1087" s="37">
        <v>1</v>
      </c>
      <c r="AA1087" s="36">
        <f t="shared" si="310"/>
        <v>7.3529411764705888</v>
      </c>
      <c r="AB1087" s="36" t="e">
        <f t="shared" si="311"/>
        <v>#N/A</v>
      </c>
      <c r="AC1087" s="11">
        <f t="shared" si="312"/>
        <v>1.4744444444444447</v>
      </c>
      <c r="AD1087" s="36">
        <f t="shared" si="322"/>
        <v>29.945966666666671</v>
      </c>
      <c r="AE1087" s="36" t="str">
        <f>VLOOKUP(H1087,'Yield &amp; Time'!A:I,9,0)</f>
        <v>SODIUM METABISULPHITE</v>
      </c>
      <c r="AF1087" s="36">
        <f>IFERROR(VLOOKUP(AE1087,'Chemical Cost'!A:D,4,0),0)</f>
        <v>9.7586225455882462E-3</v>
      </c>
      <c r="AG1087" s="114">
        <f t="shared" si="313"/>
        <v>2.3918192513696684E-2</v>
      </c>
      <c r="AH1087" s="36">
        <f t="shared" si="316"/>
        <v>2.3918192513696684E-2</v>
      </c>
      <c r="AI1087" s="36">
        <f t="shared" si="323"/>
        <v>0</v>
      </c>
      <c r="AJ1087" s="36">
        <f>IFERROR(VLOOKUP(A1087,'All Products'!A:F,6,0),0)</f>
        <v>55.35</v>
      </c>
      <c r="AK1087" s="36">
        <f>AJ1087*Z1087*J1087</f>
        <v>55.35</v>
      </c>
      <c r="AL1087" s="23">
        <v>1</v>
      </c>
      <c r="AM1087" s="23"/>
      <c r="AN1087" s="54" t="e">
        <v>#N/A</v>
      </c>
      <c r="AO1087" s="47"/>
      <c r="AP1087" s="4">
        <v>1.6</v>
      </c>
      <c r="AQ1087" s="111">
        <f t="shared" si="314"/>
        <v>1.4744444444444447</v>
      </c>
      <c r="AR1087">
        <f>_xlfn.XLOOKUP(F1087,'RM Cost'!A:A,'RM Cost'!S:S)</f>
        <v>0</v>
      </c>
      <c r="AS1087" t="e">
        <f>_xlfn.XLOOKUP(A1087,[3]Sheet1!$B:$B,[3]Sheet1!$B:$B)</f>
        <v>#N/A</v>
      </c>
    </row>
    <row r="1088" spans="1:45" x14ac:dyDescent="0.25">
      <c r="A1088" s="16" t="s">
        <v>966</v>
      </c>
      <c r="B1088" s="2" t="s">
        <v>656</v>
      </c>
      <c r="C1088" s="2" t="s">
        <v>967</v>
      </c>
      <c r="D1088" s="2" t="s">
        <v>554</v>
      </c>
      <c r="E1088" s="2">
        <v>2.5</v>
      </c>
      <c r="F1088" s="1" t="str">
        <f>VLOOKUP(H1088,'RM Used'!A:B,2,0)</f>
        <v>P0008</v>
      </c>
      <c r="G1088" s="1" t="str">
        <f>IFERROR(VLOOKUP(F1088,'RM Cost'!A:B,2,0),"")</f>
        <v>PALE BLUE BAG 470X750MM</v>
      </c>
      <c r="H1088" s="2" t="s">
        <v>1323</v>
      </c>
      <c r="I1088" s="1" t="str">
        <f>VLOOKUP(F1088,'RM Used'!B:D,3,0)</f>
        <v>RM-PACKING</v>
      </c>
      <c r="J1088" s="66">
        <v>1</v>
      </c>
      <c r="K1088" s="35" t="str">
        <f t="shared" si="318"/>
        <v/>
      </c>
      <c r="L1088" s="35">
        <f t="shared" si="306"/>
        <v>0</v>
      </c>
      <c r="M1088" s="77" t="str" cm="1">
        <f t="array" ref="M1088">_xlfn.IFS(BOM!I1088="RM-PACKING","100%",B1088="Reynolds",VLOOKUP(H1088,'Yield &amp; Time'!A:V,22,0),BOM!B1088="Dnata",VLOOKUP(BOM!H1088,'Yield &amp; Time'!A:M,13,0),B1088="NK",VLOOKUP(H1088,'Yield &amp; Time'!A:X,24,0))</f>
        <v>100%</v>
      </c>
      <c r="N1088" s="35">
        <f t="shared" si="317"/>
        <v>1</v>
      </c>
      <c r="O1088" s="1" t="str">
        <f>VLOOKUP(H1088,'RM Used'!A:E,5,0)</f>
        <v>Count</v>
      </c>
      <c r="P1088" s="11">
        <f>VLOOKUP(H1088,'RM Used'!A:F,6,0)</f>
        <v>0.14000000000000001</v>
      </c>
      <c r="Q1088" s="11">
        <f t="shared" si="315"/>
        <v>0.14000000000000001</v>
      </c>
      <c r="R1088" s="11">
        <f>IFERROR(IF(B1088="Reynolds",VLOOKUP(H1088,'Yield &amp; Time'!A:U,21,0),VLOOKUP(H1088,'Yield &amp; Time'!A:L,12,0)),0)</f>
        <v>0</v>
      </c>
      <c r="S1088" s="11">
        <f t="shared" si="307"/>
        <v>0</v>
      </c>
      <c r="T1088" s="11">
        <f t="shared" si="308"/>
        <v>0</v>
      </c>
      <c r="U1088" s="11">
        <f>IF(A1087=A1088,0,VLOOKUP(A1088,'Packing Time'!A:F,6,0))</f>
        <v>0</v>
      </c>
      <c r="V1088" s="11">
        <f t="shared" si="319"/>
        <v>0</v>
      </c>
      <c r="W1088" s="11">
        <f t="shared" si="320"/>
        <v>0</v>
      </c>
      <c r="X1088" s="11">
        <f t="shared" si="309"/>
        <v>0</v>
      </c>
      <c r="Y1088" s="11">
        <f t="shared" si="321"/>
        <v>0</v>
      </c>
      <c r="Z1088" s="37">
        <v>1</v>
      </c>
      <c r="AA1088" s="36">
        <f t="shared" si="310"/>
        <v>1</v>
      </c>
      <c r="AB1088" s="36">
        <f t="shared" si="311"/>
        <v>0.14000000000000001</v>
      </c>
      <c r="AC1088" s="11">
        <f t="shared" si="312"/>
        <v>0</v>
      </c>
      <c r="AD1088" s="36">
        <f t="shared" si="322"/>
        <v>0</v>
      </c>
      <c r="AE1088" s="36"/>
      <c r="AF1088" s="36">
        <f>IFERROR(VLOOKUP(AE1088,'Chemical Cost'!A:D,4,0),0)</f>
        <v>0</v>
      </c>
      <c r="AG1088" s="114">
        <f t="shared" si="313"/>
        <v>0</v>
      </c>
      <c r="AH1088" s="36">
        <f t="shared" si="316"/>
        <v>0</v>
      </c>
      <c r="AI1088" s="36">
        <f t="shared" si="323"/>
        <v>0.14000000000000001</v>
      </c>
      <c r="AJ1088" s="36">
        <f>IFERROR(VLOOKUP(A1088,'All Products'!A:F,6,0),0)</f>
        <v>55.35</v>
      </c>
      <c r="AK1088" s="36"/>
      <c r="AL1088" s="23">
        <v>1</v>
      </c>
      <c r="AM1088" s="23"/>
      <c r="AN1088" s="54" t="e">
        <v>#N/A</v>
      </c>
      <c r="AO1088" s="47"/>
      <c r="AP1088" s="4">
        <v>1.6</v>
      </c>
      <c r="AQ1088" s="111">
        <f t="shared" si="314"/>
        <v>0</v>
      </c>
      <c r="AR1088">
        <f>_xlfn.XLOOKUP(F1088,'RM Cost'!A:A,'RM Cost'!S:S)</f>
        <v>0</v>
      </c>
      <c r="AS1088" t="e">
        <f>_xlfn.XLOOKUP(A1088,[3]Sheet1!$B:$B,[3]Sheet1!$B:$B)</f>
        <v>#N/A</v>
      </c>
    </row>
    <row r="1089" spans="1:46" x14ac:dyDescent="0.25">
      <c r="A1089" s="16" t="s">
        <v>968</v>
      </c>
      <c r="B1089" s="2" t="s">
        <v>656</v>
      </c>
      <c r="C1089" s="2" t="s">
        <v>969</v>
      </c>
      <c r="D1089" s="2" t="s">
        <v>554</v>
      </c>
      <c r="E1089" s="2">
        <v>1</v>
      </c>
      <c r="F1089" s="1" t="str">
        <f>VLOOKUP(H1089,'RM Used'!A:B,2,0)</f>
        <v>3259CS</v>
      </c>
      <c r="G1089" s="1" t="str">
        <f>IFERROR(VLOOKUP(F1089,'RM Cost'!A:B,2,0),"")</f>
        <v>RM - SALSIFY   X5KG</v>
      </c>
      <c r="H1089" s="2" t="s">
        <v>1595</v>
      </c>
      <c r="I1089" s="1" t="str">
        <f>VLOOKUP(F1089,'RM Used'!B:D,3,0)</f>
        <v>RM-FOOD</v>
      </c>
      <c r="J1089" s="66">
        <v>1</v>
      </c>
      <c r="K1089" s="35">
        <f t="shared" si="318"/>
        <v>1</v>
      </c>
      <c r="L1089" s="35">
        <f t="shared" si="306"/>
        <v>1</v>
      </c>
      <c r="M1089" s="77" cm="1">
        <f t="array" ref="M1089">_xlfn.IFS(BOM!I1089="RM-PACKING","100%",B1089="Reynolds",VLOOKUP(H1089,'Yield &amp; Time'!A:V,22,0),BOM!B1089="Dnata",VLOOKUP(BOM!H1089,'Yield &amp; Time'!A:M,13,0),B1089="NK",VLOOKUP(H1089,'Yield &amp; Time'!A:X,24,0))</f>
        <v>0.33999999999999997</v>
      </c>
      <c r="N1089" s="35">
        <f t="shared" si="317"/>
        <v>2.9411764705882355</v>
      </c>
      <c r="O1089" s="1" t="str">
        <f>VLOOKUP(H1089,'RM Used'!A:E,5,0)</f>
        <v>KG</v>
      </c>
      <c r="P1089" s="11" t="e">
        <f>VLOOKUP(H1089,'RM Used'!A:F,6,0)</f>
        <v>#N/A</v>
      </c>
      <c r="Q1089" s="11" t="e">
        <f t="shared" si="315"/>
        <v>#N/A</v>
      </c>
      <c r="R1089" s="11">
        <f>IFERROR(IF(B1089="Reynolds",VLOOKUP(H1089,'Yield &amp; Time'!A:U,21,0),VLOOKUP(H1089,'Yield &amp; Time'!A:L,12,0)),0)</f>
        <v>21.766666666666669</v>
      </c>
      <c r="S1089" s="11">
        <f t="shared" si="307"/>
        <v>7.3680166666666667</v>
      </c>
      <c r="T1089" s="11">
        <f t="shared" si="308"/>
        <v>0.36277777777777781</v>
      </c>
      <c r="U1089" s="11">
        <f>IF(A1088=A1089,0,VLOOKUP(A1089,'Packing Time'!A:F,6,0))</f>
        <v>0.64166666666666661</v>
      </c>
      <c r="V1089" s="11">
        <f t="shared" si="319"/>
        <v>0.21720416666666661</v>
      </c>
      <c r="W1089" s="11">
        <f t="shared" si="320"/>
        <v>1.0694444444444444E-2</v>
      </c>
      <c r="X1089" s="11">
        <f t="shared" si="309"/>
        <v>12.136353333333334</v>
      </c>
      <c r="Y1089" s="11">
        <f t="shared" si="321"/>
        <v>12.136353333333334</v>
      </c>
      <c r="Z1089" s="37">
        <v>1</v>
      </c>
      <c r="AA1089" s="36">
        <f t="shared" si="310"/>
        <v>2.9411764705882355</v>
      </c>
      <c r="AB1089" s="36" t="e">
        <f t="shared" si="311"/>
        <v>#N/A</v>
      </c>
      <c r="AC1089" s="11">
        <f t="shared" si="312"/>
        <v>0.59755555555555562</v>
      </c>
      <c r="AD1089" s="36">
        <f t="shared" si="322"/>
        <v>12.136353333333334</v>
      </c>
      <c r="AE1089" s="36" t="str">
        <f>VLOOKUP(H1089,'Yield &amp; Time'!A:I,9,0)</f>
        <v>SODIUM METABISULPHITE</v>
      </c>
      <c r="AF1089" s="36">
        <f>IFERROR(VLOOKUP(AE1089,'Chemical Cost'!A:D,4,0),0)</f>
        <v>9.7586225455882462E-3</v>
      </c>
      <c r="AG1089" s="114">
        <f t="shared" si="313"/>
        <v>9.5672770054786738E-3</v>
      </c>
      <c r="AH1089" s="36">
        <f t="shared" si="316"/>
        <v>9.5672770054786738E-3</v>
      </c>
      <c r="AI1089" s="36">
        <f t="shared" si="323"/>
        <v>0</v>
      </c>
      <c r="AJ1089" s="36">
        <f>IFERROR(VLOOKUP(A1089,'All Products'!A:F,6,0),0)</f>
        <v>23.17</v>
      </c>
      <c r="AK1089" s="36">
        <f>AJ1089*Z1089*J1089</f>
        <v>23.17</v>
      </c>
      <c r="AL1089" s="23">
        <v>1</v>
      </c>
      <c r="AM1089" s="23"/>
      <c r="AN1089" s="54" t="e">
        <v>#N/A</v>
      </c>
      <c r="AO1089" s="47"/>
      <c r="AP1089" s="4">
        <v>1.6</v>
      </c>
      <c r="AQ1089" s="111">
        <f t="shared" si="314"/>
        <v>0.59755555555555562</v>
      </c>
      <c r="AR1089">
        <f>_xlfn.XLOOKUP(F1089,'RM Cost'!A:A,'RM Cost'!S:S)</f>
        <v>0</v>
      </c>
      <c r="AS1089" t="e">
        <f>_xlfn.XLOOKUP(A1089,[3]Sheet1!$B:$B,[3]Sheet1!$B:$B)</f>
        <v>#N/A</v>
      </c>
    </row>
    <row r="1090" spans="1:46" x14ac:dyDescent="0.25">
      <c r="A1090" s="16" t="s">
        <v>968</v>
      </c>
      <c r="B1090" s="2" t="s">
        <v>656</v>
      </c>
      <c r="C1090" s="2" t="s">
        <v>969</v>
      </c>
      <c r="D1090" s="2" t="s">
        <v>554</v>
      </c>
      <c r="E1090" s="2">
        <v>1</v>
      </c>
      <c r="F1090" s="1" t="str">
        <f>VLOOKUP(H1090,'RM Used'!A:B,2,0)</f>
        <v>P0008</v>
      </c>
      <c r="G1090" s="1" t="str">
        <f>IFERROR(VLOOKUP(F1090,'RM Cost'!A:B,2,0),"")</f>
        <v>PALE BLUE BAG 470X750MM</v>
      </c>
      <c r="H1090" s="2" t="s">
        <v>1323</v>
      </c>
      <c r="I1090" s="1" t="str">
        <f>VLOOKUP(F1090,'RM Used'!B:D,3,0)</f>
        <v>RM-PACKING</v>
      </c>
      <c r="J1090" s="66">
        <v>1</v>
      </c>
      <c r="K1090" s="35" t="str">
        <f t="shared" si="318"/>
        <v/>
      </c>
      <c r="L1090" s="35">
        <f t="shared" ref="L1090:L1153" si="324">IFERROR(K1090*Z1090,0)</f>
        <v>0</v>
      </c>
      <c r="M1090" s="77" t="str" cm="1">
        <f t="array" ref="M1090">_xlfn.IFS(BOM!I1090="RM-PACKING","100%",B1090="Reynolds",VLOOKUP(H1090,'Yield &amp; Time'!A:V,22,0),BOM!B1090="Dnata",VLOOKUP(BOM!H1090,'Yield &amp; Time'!A:M,13,0),B1090="NK",VLOOKUP(H1090,'Yield &amp; Time'!A:X,24,0))</f>
        <v>100%</v>
      </c>
      <c r="N1090" s="35">
        <f t="shared" si="317"/>
        <v>1</v>
      </c>
      <c r="O1090" s="1" t="str">
        <f>VLOOKUP(H1090,'RM Used'!A:E,5,0)</f>
        <v>Count</v>
      </c>
      <c r="P1090" s="11">
        <f>VLOOKUP(H1090,'RM Used'!A:F,6,0)</f>
        <v>0.14000000000000001</v>
      </c>
      <c r="Q1090" s="11">
        <f t="shared" si="315"/>
        <v>0.14000000000000001</v>
      </c>
      <c r="R1090" s="11">
        <f>IFERROR(IF(B1090="Reynolds",VLOOKUP(H1090,'Yield &amp; Time'!A:U,21,0),VLOOKUP(H1090,'Yield &amp; Time'!A:L,12,0)),0)</f>
        <v>0</v>
      </c>
      <c r="S1090" s="11">
        <f t="shared" ref="S1090:S1153" si="325">R1090*J1090*E1090*AO$1</f>
        <v>0</v>
      </c>
      <c r="T1090" s="11">
        <f t="shared" ref="T1090:T1153" si="326">(R1090*Z1090*J1090*E1090)/60</f>
        <v>0</v>
      </c>
      <c r="U1090" s="11">
        <f>IF(A1089=A1090,0,VLOOKUP(A1090,'Packing Time'!A:F,6,0))</f>
        <v>0</v>
      </c>
      <c r="V1090" s="11">
        <f t="shared" si="319"/>
        <v>0</v>
      </c>
      <c r="W1090" s="11">
        <f t="shared" si="320"/>
        <v>0</v>
      </c>
      <c r="X1090" s="11">
        <f t="shared" ref="X1090:X1153" si="327">((R1090*J1090*E1090)+U1090)*AO$1*AP1090</f>
        <v>0</v>
      </c>
      <c r="Y1090" s="11">
        <f t="shared" si="321"/>
        <v>0</v>
      </c>
      <c r="Z1090" s="37">
        <v>1</v>
      </c>
      <c r="AA1090" s="36">
        <f t="shared" ref="AA1090:AA1153" si="328">Z1090*N1090</f>
        <v>1</v>
      </c>
      <c r="AB1090" s="36">
        <f t="shared" ref="AB1090:AB1153" si="329">AA1090*P1090</f>
        <v>0.14000000000000001</v>
      </c>
      <c r="AC1090" s="11">
        <f t="shared" ref="AC1090:AC1153" si="330">(((R1090*J1090*E1090)+U1090)/60)*Z1090*AP1090</f>
        <v>0</v>
      </c>
      <c r="AD1090" s="36">
        <f t="shared" si="322"/>
        <v>0</v>
      </c>
      <c r="AE1090" s="36"/>
      <c r="AF1090" s="36">
        <f>IFERROR(VLOOKUP(AE1090,'Chemical Cost'!A:D,4,0),0)</f>
        <v>0</v>
      </c>
      <c r="AG1090" s="114">
        <f t="shared" ref="AG1090:AG1153" si="331">AF1090*N1090/3</f>
        <v>0</v>
      </c>
      <c r="AH1090" s="36">
        <f t="shared" si="316"/>
        <v>0</v>
      </c>
      <c r="AI1090" s="36">
        <f t="shared" si="323"/>
        <v>0.14000000000000001</v>
      </c>
      <c r="AJ1090" s="36">
        <f>IFERROR(VLOOKUP(A1090,'All Products'!A:F,6,0),0)</f>
        <v>23.17</v>
      </c>
      <c r="AK1090" s="36"/>
      <c r="AL1090" s="23">
        <v>1</v>
      </c>
      <c r="AM1090" s="23"/>
      <c r="AN1090" s="54" t="e">
        <v>#N/A</v>
      </c>
      <c r="AO1090" s="47"/>
      <c r="AP1090" s="4">
        <v>1.6</v>
      </c>
      <c r="AQ1090" s="111">
        <f t="shared" ref="AQ1090:AQ1153" si="332">(((R1090*J1090*E1090)+U1090)/60)*AP1090</f>
        <v>0</v>
      </c>
      <c r="AR1090">
        <f>_xlfn.XLOOKUP(F1090,'RM Cost'!A:A,'RM Cost'!S:S)</f>
        <v>0</v>
      </c>
      <c r="AS1090" t="e">
        <f>_xlfn.XLOOKUP(A1090,[3]Sheet1!$B:$B,[3]Sheet1!$B:$B)</f>
        <v>#N/A</v>
      </c>
    </row>
    <row r="1091" spans="1:46" x14ac:dyDescent="0.25">
      <c r="A1091" s="16" t="s">
        <v>970</v>
      </c>
      <c r="B1091" s="2" t="s">
        <v>656</v>
      </c>
      <c r="C1091" s="2" t="s">
        <v>824</v>
      </c>
      <c r="D1091" s="2" t="s">
        <v>554</v>
      </c>
      <c r="E1091" s="2">
        <v>1</v>
      </c>
      <c r="F1091" s="1" t="str">
        <f>VLOOKUP(H1091,'RM Used'!A:B,2,0)</f>
        <v>024BCS</v>
      </c>
      <c r="G1091" s="1" t="str">
        <f>IFERROR(VLOOKUP(F1091,'RM Cost'!A:B,2,0),"")</f>
        <v>RM - MUSHROOM BUTTON 30-40M 3KG</v>
      </c>
      <c r="H1091" s="2" t="s">
        <v>1532</v>
      </c>
      <c r="I1091" s="1" t="str">
        <f>VLOOKUP(F1091,'RM Used'!B:D,3,0)</f>
        <v>RM-FOOD</v>
      </c>
      <c r="J1091" s="66">
        <v>1</v>
      </c>
      <c r="K1091" s="35">
        <f t="shared" si="318"/>
        <v>1</v>
      </c>
      <c r="L1091" s="35">
        <f t="shared" si="324"/>
        <v>1</v>
      </c>
      <c r="M1091" s="77" cm="1">
        <f t="array" ref="M1091">_xlfn.IFS(BOM!I1091="RM-PACKING","100%",B1091="Reynolds",VLOOKUP(H1091,'Yield &amp; Time'!A:V,22,0),BOM!B1091="Dnata",VLOOKUP(BOM!H1091,'Yield &amp; Time'!A:M,13,0),B1091="NK",VLOOKUP(H1091,'Yield &amp; Time'!A:X,24,0))</f>
        <v>1</v>
      </c>
      <c r="N1091" s="35">
        <f t="shared" si="317"/>
        <v>1</v>
      </c>
      <c r="O1091" s="1" t="str">
        <f>VLOOKUP(H1091,'RM Used'!A:E,5,0)</f>
        <v>KG</v>
      </c>
      <c r="P1091" s="11">
        <f>VLOOKUP(H1091,'RM Used'!A:F,6,0)</f>
        <v>1.85</v>
      </c>
      <c r="Q1091" s="11">
        <f t="shared" ref="Q1091:Q1154" si="333">P1091*N1091</f>
        <v>1.85</v>
      </c>
      <c r="R1091" s="11">
        <f>IFERROR(IF(B1091="Reynolds",VLOOKUP(H1091,'Yield &amp; Time'!A:U,21,0),VLOOKUP(H1091,'Yield &amp; Time'!A:L,12,0)),0)</f>
        <v>0.15</v>
      </c>
      <c r="S1091" s="11">
        <f t="shared" si="325"/>
        <v>5.0774999999999994E-2</v>
      </c>
      <c r="T1091" s="11">
        <f t="shared" si="326"/>
        <v>2.5000000000000001E-3</v>
      </c>
      <c r="U1091" s="11">
        <f>IF(A1090=A1091,0,VLOOKUP(A1091,'Packing Time'!A:F,6,0))</f>
        <v>0.64166666666666661</v>
      </c>
      <c r="V1091" s="11">
        <f t="shared" si="319"/>
        <v>0.21720416666666661</v>
      </c>
      <c r="W1091" s="11">
        <f t="shared" si="320"/>
        <v>1.0694444444444444E-2</v>
      </c>
      <c r="X1091" s="11">
        <f t="shared" si="327"/>
        <v>0.42876666666666657</v>
      </c>
      <c r="Y1091" s="11">
        <f t="shared" si="321"/>
        <v>0.42876666666666657</v>
      </c>
      <c r="Z1091" s="37">
        <v>1</v>
      </c>
      <c r="AA1091" s="36">
        <f t="shared" si="328"/>
        <v>1</v>
      </c>
      <c r="AB1091" s="36">
        <f t="shared" si="329"/>
        <v>1.85</v>
      </c>
      <c r="AC1091" s="11">
        <f t="shared" si="330"/>
        <v>2.1111111111111112E-2</v>
      </c>
      <c r="AD1091" s="36">
        <f t="shared" si="322"/>
        <v>0.42876666666666663</v>
      </c>
      <c r="AE1091" s="36"/>
      <c r="AF1091" s="36">
        <f>IFERROR(VLOOKUP(AE1091,'Chemical Cost'!A:D,4,0),0)</f>
        <v>0</v>
      </c>
      <c r="AG1091" s="114">
        <f t="shared" si="331"/>
        <v>0</v>
      </c>
      <c r="AH1091" s="36">
        <f t="shared" si="316"/>
        <v>0</v>
      </c>
      <c r="AI1091" s="36">
        <f t="shared" si="323"/>
        <v>2.2787666666666668</v>
      </c>
      <c r="AJ1091" s="36">
        <f>IFERROR(VLOOKUP(A1091,'All Products'!A:F,6,0),0)</f>
        <v>2.5099999999999998</v>
      </c>
      <c r="AK1091" s="36">
        <f>AJ1091*Z1091*J1091</f>
        <v>2.5099999999999998</v>
      </c>
      <c r="AL1091" s="29">
        <v>1</v>
      </c>
      <c r="AM1091" s="23"/>
      <c r="AN1091" s="54" t="e">
        <v>#N/A</v>
      </c>
      <c r="AO1091" s="47"/>
      <c r="AP1091" s="4">
        <v>1.6</v>
      </c>
      <c r="AQ1091" s="111">
        <f t="shared" si="332"/>
        <v>2.1111111111111112E-2</v>
      </c>
      <c r="AR1091">
        <f>_xlfn.XLOOKUP(F1091,'RM Cost'!A:A,'RM Cost'!S:S)</f>
        <v>0</v>
      </c>
      <c r="AS1091" t="e">
        <f>_xlfn.XLOOKUP(A1091,[3]Sheet1!$B:$B,[3]Sheet1!$B:$B)</f>
        <v>#N/A</v>
      </c>
    </row>
    <row r="1092" spans="1:46" x14ac:dyDescent="0.25">
      <c r="A1092" s="16" t="s">
        <v>970</v>
      </c>
      <c r="B1092" s="2" t="s">
        <v>656</v>
      </c>
      <c r="C1092" s="2" t="s">
        <v>824</v>
      </c>
      <c r="D1092" s="2" t="s">
        <v>554</v>
      </c>
      <c r="E1092" s="2">
        <v>1</v>
      </c>
      <c r="F1092" s="1" t="str">
        <f>VLOOKUP(H1092,'RM Used'!A:B,2,0)</f>
        <v>P0008</v>
      </c>
      <c r="G1092" s="1" t="str">
        <f>IFERROR(VLOOKUP(F1092,'RM Cost'!A:B,2,0),"")</f>
        <v>PALE BLUE BAG 470X750MM</v>
      </c>
      <c r="H1092" s="2" t="s">
        <v>1323</v>
      </c>
      <c r="I1092" s="1" t="str">
        <f>VLOOKUP(F1092,'RM Used'!B:D,3,0)</f>
        <v>RM-PACKING</v>
      </c>
      <c r="J1092" s="66">
        <v>1</v>
      </c>
      <c r="K1092" s="35" t="str">
        <f t="shared" si="318"/>
        <v/>
      </c>
      <c r="L1092" s="35">
        <f t="shared" si="324"/>
        <v>0</v>
      </c>
      <c r="M1092" s="77" t="str" cm="1">
        <f t="array" ref="M1092">_xlfn.IFS(BOM!I1092="RM-PACKING","100%",B1092="Reynolds",VLOOKUP(H1092,'Yield &amp; Time'!A:V,22,0),BOM!B1092="Dnata",VLOOKUP(BOM!H1092,'Yield &amp; Time'!A:M,13,0),B1092="NK",VLOOKUP(H1092,'Yield &amp; Time'!A:X,24,0))</f>
        <v>100%</v>
      </c>
      <c r="N1092" s="35">
        <f t="shared" si="317"/>
        <v>1</v>
      </c>
      <c r="O1092" s="1" t="str">
        <f>VLOOKUP(H1092,'RM Used'!A:E,5,0)</f>
        <v>Count</v>
      </c>
      <c r="P1092" s="11">
        <f>VLOOKUP(H1092,'RM Used'!A:F,6,0)</f>
        <v>0.14000000000000001</v>
      </c>
      <c r="Q1092" s="11">
        <f t="shared" si="333"/>
        <v>0.14000000000000001</v>
      </c>
      <c r="R1092" s="11">
        <f>IFERROR(IF(B1092="Reynolds",VLOOKUP(H1092,'Yield &amp; Time'!A:U,21,0),VLOOKUP(H1092,'Yield &amp; Time'!A:L,12,0)),0)</f>
        <v>0</v>
      </c>
      <c r="S1092" s="11">
        <f t="shared" si="325"/>
        <v>0</v>
      </c>
      <c r="T1092" s="11">
        <f t="shared" si="326"/>
        <v>0</v>
      </c>
      <c r="U1092" s="11">
        <f>IF(A1091=A1092,0,VLOOKUP(A1092,'Packing Time'!A:F,6,0))</f>
        <v>0</v>
      </c>
      <c r="V1092" s="11">
        <f t="shared" si="319"/>
        <v>0</v>
      </c>
      <c r="W1092" s="11">
        <f t="shared" si="320"/>
        <v>0</v>
      </c>
      <c r="X1092" s="11">
        <f t="shared" si="327"/>
        <v>0</v>
      </c>
      <c r="Y1092" s="11">
        <f t="shared" si="321"/>
        <v>0</v>
      </c>
      <c r="Z1092" s="37">
        <v>1</v>
      </c>
      <c r="AA1092" s="36">
        <f t="shared" si="328"/>
        <v>1</v>
      </c>
      <c r="AB1092" s="36">
        <f t="shared" si="329"/>
        <v>0.14000000000000001</v>
      </c>
      <c r="AC1092" s="11">
        <f t="shared" si="330"/>
        <v>0</v>
      </c>
      <c r="AD1092" s="36">
        <f t="shared" si="322"/>
        <v>0</v>
      </c>
      <c r="AE1092" s="36"/>
      <c r="AF1092" s="36">
        <f>IFERROR(VLOOKUP(AE1092,'Chemical Cost'!A:D,4,0),0)</f>
        <v>0</v>
      </c>
      <c r="AG1092" s="114">
        <f t="shared" si="331"/>
        <v>0</v>
      </c>
      <c r="AH1092" s="36">
        <f t="shared" si="316"/>
        <v>0</v>
      </c>
      <c r="AI1092" s="36">
        <f t="shared" si="323"/>
        <v>0.14000000000000001</v>
      </c>
      <c r="AJ1092" s="36">
        <f>IFERROR(VLOOKUP(A1092,'All Products'!A:F,6,0),0)</f>
        <v>2.5099999999999998</v>
      </c>
      <c r="AK1092" s="36"/>
      <c r="AL1092" s="29">
        <v>1</v>
      </c>
      <c r="AM1092" s="23"/>
      <c r="AN1092" s="54" t="e">
        <v>#N/A</v>
      </c>
      <c r="AO1092" s="47"/>
      <c r="AP1092" s="4">
        <v>1.6</v>
      </c>
      <c r="AQ1092" s="111">
        <f t="shared" si="332"/>
        <v>0</v>
      </c>
      <c r="AR1092">
        <f>_xlfn.XLOOKUP(F1092,'RM Cost'!A:A,'RM Cost'!S:S)</f>
        <v>0</v>
      </c>
      <c r="AS1092" t="e">
        <f>_xlfn.XLOOKUP(A1092,[3]Sheet1!$B:$B,[3]Sheet1!$B:$B)</f>
        <v>#N/A</v>
      </c>
    </row>
    <row r="1093" spans="1:46" x14ac:dyDescent="0.25">
      <c r="A1093" s="16" t="s">
        <v>971</v>
      </c>
      <c r="B1093" s="2" t="s">
        <v>656</v>
      </c>
      <c r="C1093" s="2" t="s">
        <v>972</v>
      </c>
      <c r="D1093" s="2" t="s">
        <v>554</v>
      </c>
      <c r="E1093" s="2">
        <v>0.25</v>
      </c>
      <c r="F1093" s="1" t="str">
        <f>VLOOKUP(H1093,'RM Used'!A:B,2,0)</f>
        <v>3264CS</v>
      </c>
      <c r="G1093" s="1" t="str">
        <f>IFERROR(VLOOKUP(F1093,'RM Cost'!A:B,2,0),"")</f>
        <v>RM - SHALLOTS ROUND 5KG</v>
      </c>
      <c r="H1093" s="2" t="s">
        <v>1575</v>
      </c>
      <c r="I1093" s="1" t="str">
        <f>VLOOKUP(F1093,'RM Used'!B:D,3,0)</f>
        <v>RM-FOOD</v>
      </c>
      <c r="J1093" s="66">
        <v>1</v>
      </c>
      <c r="K1093" s="35">
        <f t="shared" si="318"/>
        <v>0.25</v>
      </c>
      <c r="L1093" s="35">
        <f t="shared" si="324"/>
        <v>0.25</v>
      </c>
      <c r="M1093" s="77" cm="1">
        <f t="array" ref="M1093">_xlfn.IFS(BOM!I1093="RM-PACKING","100%",B1093="Reynolds",VLOOKUP(H1093,'Yield &amp; Time'!A:V,22,0),BOM!B1093="Dnata",VLOOKUP(BOM!H1093,'Yield &amp; Time'!A:M,13,0),B1093="NK",VLOOKUP(H1093,'Yield &amp; Time'!A:X,24,0))</f>
        <v>0.77</v>
      </c>
      <c r="N1093" s="35">
        <f t="shared" si="317"/>
        <v>0.32467532467532467</v>
      </c>
      <c r="O1093" s="1" t="str">
        <f>VLOOKUP(H1093,'RM Used'!A:E,5,0)</f>
        <v>KG</v>
      </c>
      <c r="P1093" s="11">
        <f>VLOOKUP(H1093,'RM Used'!A:F,6,0)</f>
        <v>0.79</v>
      </c>
      <c r="Q1093" s="11">
        <f t="shared" si="333"/>
        <v>0.2564935064935065</v>
      </c>
      <c r="R1093" s="11">
        <f>IFERROR(IF(B1093="Reynolds",VLOOKUP(H1093,'Yield &amp; Time'!A:U,21,0),VLOOKUP(H1093,'Yield &amp; Time'!A:L,12,0)),0)</f>
        <v>7.7922077922077921</v>
      </c>
      <c r="S1093" s="11">
        <f t="shared" si="325"/>
        <v>0.65941558441558434</v>
      </c>
      <c r="T1093" s="11">
        <f t="shared" si="326"/>
        <v>3.2467532467532464E-2</v>
      </c>
      <c r="U1093" s="11">
        <f>IF(A1092=A1093,0,VLOOKUP(A1093,'Packing Time'!A:F,6,0))</f>
        <v>0.47499999999999998</v>
      </c>
      <c r="V1093" s="11">
        <f t="shared" si="319"/>
        <v>0.16078749999999997</v>
      </c>
      <c r="W1093" s="11">
        <f t="shared" si="320"/>
        <v>7.9166666666666656E-3</v>
      </c>
      <c r="X1093" s="11">
        <f t="shared" si="327"/>
        <v>1.3123249350649351</v>
      </c>
      <c r="Y1093" s="11">
        <f t="shared" si="321"/>
        <v>1.3123249350649351</v>
      </c>
      <c r="Z1093" s="37">
        <v>1</v>
      </c>
      <c r="AA1093" s="36">
        <f t="shared" si="328"/>
        <v>0.32467532467532467</v>
      </c>
      <c r="AB1093" s="36">
        <f t="shared" si="329"/>
        <v>0.2564935064935065</v>
      </c>
      <c r="AC1093" s="11">
        <f t="shared" si="330"/>
        <v>6.4614718614718611E-2</v>
      </c>
      <c r="AD1093" s="36">
        <f t="shared" si="322"/>
        <v>1.3123249350649349</v>
      </c>
      <c r="AE1093" s="36"/>
      <c r="AF1093" s="36">
        <f>IFERROR(VLOOKUP(AE1093,'Chemical Cost'!A:D,4,0),0)</f>
        <v>0</v>
      </c>
      <c r="AG1093" s="114">
        <f t="shared" si="331"/>
        <v>0</v>
      </c>
      <c r="AH1093" s="36">
        <f t="shared" si="316"/>
        <v>0</v>
      </c>
      <c r="AI1093" s="36">
        <f t="shared" si="323"/>
        <v>1.5688184415584416</v>
      </c>
      <c r="AJ1093" s="36">
        <f>IFERROR(VLOOKUP(A1093,'All Products'!A:F,6,0),0)</f>
        <v>2.0499999999999998</v>
      </c>
      <c r="AK1093" s="36">
        <f>AJ1093*Z1093*J1093</f>
        <v>2.0499999999999998</v>
      </c>
      <c r="AL1093" s="29">
        <v>1</v>
      </c>
      <c r="AM1093" s="23"/>
      <c r="AN1093" s="54" t="e">
        <v>#N/A</v>
      </c>
      <c r="AO1093" s="47"/>
      <c r="AP1093" s="4">
        <v>1.6</v>
      </c>
      <c r="AQ1093" s="111">
        <f t="shared" si="332"/>
        <v>6.4614718614718611E-2</v>
      </c>
      <c r="AR1093">
        <f>_xlfn.XLOOKUP(F1093,'RM Cost'!A:A,'RM Cost'!S:S)</f>
        <v>0</v>
      </c>
      <c r="AS1093" t="e">
        <f>_xlfn.XLOOKUP(A1093,[3]Sheet1!$B:$B,[3]Sheet1!$B:$B)</f>
        <v>#N/A</v>
      </c>
    </row>
    <row r="1094" spans="1:46" x14ac:dyDescent="0.25">
      <c r="A1094" s="16" t="s">
        <v>971</v>
      </c>
      <c r="B1094" s="2" t="s">
        <v>656</v>
      </c>
      <c r="C1094" s="2" t="s">
        <v>972</v>
      </c>
      <c r="D1094" s="2" t="s">
        <v>554</v>
      </c>
      <c r="E1094" s="2">
        <v>0.25</v>
      </c>
      <c r="F1094" s="1" t="str">
        <f>VLOOKUP(H1094,'RM Used'!A:B,2,0)</f>
        <v>P0017</v>
      </c>
      <c r="G1094" s="1" t="str">
        <f>IFERROR(VLOOKUP(F1094,'RM Cost'!A:B,2,0),"")</f>
        <v>PALE BLUE BAG 250X300MM</v>
      </c>
      <c r="H1094" s="2" t="s">
        <v>1334</v>
      </c>
      <c r="I1094" s="1" t="str">
        <f>VLOOKUP(F1094,'RM Used'!B:D,3,0)</f>
        <v>RM-PACKING</v>
      </c>
      <c r="J1094" s="66">
        <v>1</v>
      </c>
      <c r="K1094" s="35" t="str">
        <f t="shared" si="318"/>
        <v/>
      </c>
      <c r="L1094" s="35">
        <f t="shared" si="324"/>
        <v>0</v>
      </c>
      <c r="M1094" s="77" t="str" cm="1">
        <f t="array" ref="M1094">_xlfn.IFS(BOM!I1094="RM-PACKING","100%",B1094="Reynolds",VLOOKUP(H1094,'Yield &amp; Time'!A:V,22,0),BOM!B1094="Dnata",VLOOKUP(BOM!H1094,'Yield &amp; Time'!A:M,13,0),B1094="NK",VLOOKUP(H1094,'Yield &amp; Time'!A:X,24,0))</f>
        <v>100%</v>
      </c>
      <c r="N1094" s="35">
        <f t="shared" si="317"/>
        <v>1</v>
      </c>
      <c r="O1094" s="1" t="str">
        <f>VLOOKUP(H1094,'RM Used'!A:E,5,0)</f>
        <v>Count</v>
      </c>
      <c r="P1094" s="11">
        <f>VLOOKUP(H1094,'RM Used'!A:F,6,0)</f>
        <v>0.05</v>
      </c>
      <c r="Q1094" s="11">
        <f t="shared" si="333"/>
        <v>0.05</v>
      </c>
      <c r="R1094" s="11">
        <f>IFERROR(IF(B1094="Reynolds",VLOOKUP(H1094,'Yield &amp; Time'!A:U,21,0),VLOOKUP(H1094,'Yield &amp; Time'!A:L,12,0)),0)</f>
        <v>0</v>
      </c>
      <c r="S1094" s="11">
        <f t="shared" si="325"/>
        <v>0</v>
      </c>
      <c r="T1094" s="11">
        <f t="shared" si="326"/>
        <v>0</v>
      </c>
      <c r="U1094" s="11">
        <f>IF(A1093=A1094,0,VLOOKUP(A1094,'Packing Time'!A:F,6,0))</f>
        <v>0</v>
      </c>
      <c r="V1094" s="11">
        <f t="shared" si="319"/>
        <v>0</v>
      </c>
      <c r="W1094" s="11">
        <f t="shared" si="320"/>
        <v>0</v>
      </c>
      <c r="X1094" s="11">
        <f t="shared" si="327"/>
        <v>0</v>
      </c>
      <c r="Y1094" s="11">
        <f t="shared" si="321"/>
        <v>0</v>
      </c>
      <c r="Z1094" s="37">
        <v>1</v>
      </c>
      <c r="AA1094" s="36">
        <f t="shared" si="328"/>
        <v>1</v>
      </c>
      <c r="AB1094" s="36">
        <f t="shared" si="329"/>
        <v>0.05</v>
      </c>
      <c r="AC1094" s="11">
        <f t="shared" si="330"/>
        <v>0</v>
      </c>
      <c r="AD1094" s="36">
        <f t="shared" si="322"/>
        <v>0</v>
      </c>
      <c r="AE1094" s="36"/>
      <c r="AF1094" s="36">
        <f>IFERROR(VLOOKUP(AE1094,'Chemical Cost'!A:D,4,0),0)</f>
        <v>0</v>
      </c>
      <c r="AG1094" s="114">
        <f t="shared" si="331"/>
        <v>0</v>
      </c>
      <c r="AH1094" s="36">
        <f t="shared" si="316"/>
        <v>0</v>
      </c>
      <c r="AI1094" s="36">
        <f t="shared" si="323"/>
        <v>0.05</v>
      </c>
      <c r="AJ1094" s="36">
        <f>IFERROR(VLOOKUP(A1094,'All Products'!A:F,6,0),0)</f>
        <v>2.0499999999999998</v>
      </c>
      <c r="AK1094" s="36"/>
      <c r="AL1094" s="29">
        <v>1</v>
      </c>
      <c r="AM1094" s="23"/>
      <c r="AN1094" s="54" t="e">
        <v>#N/A</v>
      </c>
      <c r="AO1094" s="47"/>
      <c r="AP1094" s="4">
        <v>1.6</v>
      </c>
      <c r="AQ1094" s="111">
        <f t="shared" si="332"/>
        <v>0</v>
      </c>
      <c r="AR1094">
        <f>_xlfn.XLOOKUP(F1094,'RM Cost'!A:A,'RM Cost'!S:S)</f>
        <v>0</v>
      </c>
      <c r="AS1094" t="e">
        <f>_xlfn.XLOOKUP(A1094,[3]Sheet1!$B:$B,[3]Sheet1!$B:$B)</f>
        <v>#N/A</v>
      </c>
    </row>
    <row r="1095" spans="1:46" x14ac:dyDescent="0.25">
      <c r="A1095" s="16" t="s">
        <v>973</v>
      </c>
      <c r="B1095" s="2" t="s">
        <v>656</v>
      </c>
      <c r="C1095" s="2" t="s">
        <v>974</v>
      </c>
      <c r="D1095" s="2" t="s">
        <v>554</v>
      </c>
      <c r="E1095" s="2">
        <v>0.25</v>
      </c>
      <c r="F1095" s="1" t="str">
        <f>VLOOKUP(H1095,'RM Used'!A:B,2,0)</f>
        <v>1318CS</v>
      </c>
      <c r="G1095" s="1" t="str">
        <f>IFERROR(VLOOKUP(F1095,'RM Cost'!A:B,2,0),"")</f>
        <v>RM - PREP ONION RED WHOLE 2.5KG</v>
      </c>
      <c r="H1095" s="2" t="s">
        <v>1574</v>
      </c>
      <c r="I1095" s="1" t="str">
        <f>VLOOKUP(F1095,'RM Used'!B:D,3,0)</f>
        <v>RM-FOOD</v>
      </c>
      <c r="J1095" s="66">
        <v>1</v>
      </c>
      <c r="K1095" s="35">
        <f t="shared" si="318"/>
        <v>0.25</v>
      </c>
      <c r="L1095" s="35">
        <f t="shared" si="324"/>
        <v>0.25</v>
      </c>
      <c r="M1095" s="77" cm="1">
        <f t="array" ref="M1095">_xlfn.IFS(BOM!I1095="RM-PACKING","100%",B1095="Reynolds",VLOOKUP(H1095,'Yield &amp; Time'!A:V,22,0),BOM!B1095="Dnata",VLOOKUP(BOM!H1095,'Yield &amp; Time'!A:M,13,0),B1095="NK",VLOOKUP(H1095,'Yield &amp; Time'!A:X,24,0))</f>
        <v>0.87219999999999998</v>
      </c>
      <c r="N1095" s="35">
        <f t="shared" si="317"/>
        <v>0.28663150653519837</v>
      </c>
      <c r="O1095" s="1" t="str">
        <f>VLOOKUP(H1095,'RM Used'!A:E,5,0)</f>
        <v>KG</v>
      </c>
      <c r="P1095" s="11">
        <f>VLOOKUP(H1095,'RM Used'!A:F,6,0)</f>
        <v>1.08</v>
      </c>
      <c r="Q1095" s="11">
        <f t="shared" si="333"/>
        <v>0.30956202705801428</v>
      </c>
      <c r="R1095" s="11">
        <f>IFERROR(IF(B1095="Reynolds",VLOOKUP(H1095,'Yield &amp; Time'!A:U,21,0),VLOOKUP(H1095,'Yield &amp; Time'!A:L,12,0)),0)</f>
        <v>1.1166666666666667</v>
      </c>
      <c r="S1095" s="11">
        <f t="shared" si="325"/>
        <v>9.4497916666666654E-2</v>
      </c>
      <c r="T1095" s="11">
        <f t="shared" si="326"/>
        <v>4.6527777777777782E-3</v>
      </c>
      <c r="U1095" s="11">
        <f>IF(A1094=A1095,0,VLOOKUP(A1095,'Packing Time'!A:F,6,0))</f>
        <v>0.47499999999999998</v>
      </c>
      <c r="V1095" s="11">
        <f t="shared" si="319"/>
        <v>0.16078749999999997</v>
      </c>
      <c r="W1095" s="11">
        <f t="shared" si="320"/>
        <v>7.9166666666666656E-3</v>
      </c>
      <c r="X1095" s="11">
        <f t="shared" si="327"/>
        <v>0.40845666666666669</v>
      </c>
      <c r="Y1095" s="11">
        <f t="shared" si="321"/>
        <v>0.40845666666666669</v>
      </c>
      <c r="Z1095" s="37">
        <v>1</v>
      </c>
      <c r="AA1095" s="36">
        <f t="shared" si="328"/>
        <v>0.28663150653519837</v>
      </c>
      <c r="AB1095" s="36">
        <f t="shared" si="329"/>
        <v>0.30956202705801428</v>
      </c>
      <c r="AC1095" s="11">
        <f t="shared" si="330"/>
        <v>2.0111111111111111E-2</v>
      </c>
      <c r="AD1095" s="36">
        <f t="shared" si="322"/>
        <v>0.40845666666666658</v>
      </c>
      <c r="AE1095" s="36" t="str">
        <f>VLOOKUP(H1095,'Yield &amp; Time'!A:I,9,0)</f>
        <v>CHLORINE</v>
      </c>
      <c r="AF1095" s="36">
        <f>IFERROR(VLOOKUP(AE1095,'Chemical Cost'!A:D,4,0),0)</f>
        <v>2.7756518066439469E-2</v>
      </c>
      <c r="AG1095" s="114">
        <f t="shared" si="331"/>
        <v>2.6519641965183321E-3</v>
      </c>
      <c r="AH1095" s="36">
        <f t="shared" si="316"/>
        <v>2.6519641965183321E-3</v>
      </c>
      <c r="AI1095" s="36">
        <f t="shared" si="323"/>
        <v>0.72067065792119933</v>
      </c>
      <c r="AJ1095" s="36">
        <f>IFERROR(VLOOKUP(A1095,'All Products'!A:F,6,0),0)</f>
        <v>0.82</v>
      </c>
      <c r="AK1095" s="36">
        <f>AJ1095*Z1095*J1095</f>
        <v>0.82</v>
      </c>
      <c r="AL1095" s="29">
        <v>0.8</v>
      </c>
      <c r="AM1095" s="23">
        <v>0.2</v>
      </c>
      <c r="AN1095" s="54" t="e">
        <v>#N/A</v>
      </c>
      <c r="AO1095" s="47"/>
      <c r="AP1095" s="4">
        <v>1.6</v>
      </c>
      <c r="AQ1095" s="111">
        <f t="shared" si="332"/>
        <v>2.0111111111111111E-2</v>
      </c>
      <c r="AR1095">
        <f>_xlfn.XLOOKUP(F1095,'RM Cost'!A:A,'RM Cost'!S:S)</f>
        <v>0</v>
      </c>
      <c r="AS1095" t="e">
        <f>_xlfn.XLOOKUP(A1095,[3]Sheet1!$B:$B,[3]Sheet1!$B:$B)</f>
        <v>#N/A</v>
      </c>
    </row>
    <row r="1096" spans="1:46" x14ac:dyDescent="0.25">
      <c r="A1096" s="16" t="s">
        <v>973</v>
      </c>
      <c r="B1096" s="2" t="s">
        <v>656</v>
      </c>
      <c r="C1096" s="2" t="s">
        <v>974</v>
      </c>
      <c r="D1096" s="2" t="s">
        <v>554</v>
      </c>
      <c r="E1096" s="2">
        <v>0.25</v>
      </c>
      <c r="F1096" s="1" t="str">
        <f>VLOOKUP(H1096,'RM Used'!A:B,2,0)</f>
        <v>P0017</v>
      </c>
      <c r="G1096" s="1" t="str">
        <f>IFERROR(VLOOKUP(F1096,'RM Cost'!A:B,2,0),"")</f>
        <v>PALE BLUE BAG 250X300MM</v>
      </c>
      <c r="H1096" s="2" t="s">
        <v>1334</v>
      </c>
      <c r="I1096" s="1" t="str">
        <f>VLOOKUP(F1096,'RM Used'!B:D,3,0)</f>
        <v>RM-PACKING</v>
      </c>
      <c r="J1096" s="66">
        <v>1</v>
      </c>
      <c r="K1096" s="35" t="str">
        <f t="shared" si="318"/>
        <v/>
      </c>
      <c r="L1096" s="35">
        <f t="shared" si="324"/>
        <v>0</v>
      </c>
      <c r="M1096" s="77" t="str" cm="1">
        <f t="array" ref="M1096">_xlfn.IFS(BOM!I1096="RM-PACKING","100%",B1096="Reynolds",VLOOKUP(H1096,'Yield &amp; Time'!A:V,22,0),BOM!B1096="Dnata",VLOOKUP(BOM!H1096,'Yield &amp; Time'!A:M,13,0),B1096="NK",VLOOKUP(H1096,'Yield &amp; Time'!A:X,24,0))</f>
        <v>100%</v>
      </c>
      <c r="N1096" s="35">
        <f t="shared" si="317"/>
        <v>1</v>
      </c>
      <c r="O1096" s="1" t="str">
        <f>VLOOKUP(H1096,'RM Used'!A:E,5,0)</f>
        <v>Count</v>
      </c>
      <c r="P1096" s="11">
        <f>VLOOKUP(H1096,'RM Used'!A:F,6,0)</f>
        <v>0.05</v>
      </c>
      <c r="Q1096" s="11">
        <f t="shared" si="333"/>
        <v>0.05</v>
      </c>
      <c r="R1096" s="11">
        <f>IFERROR(IF(B1096="Reynolds",VLOOKUP(H1096,'Yield &amp; Time'!A:U,21,0),VLOOKUP(H1096,'Yield &amp; Time'!A:L,12,0)),0)</f>
        <v>0</v>
      </c>
      <c r="S1096" s="11">
        <f t="shared" si="325"/>
        <v>0</v>
      </c>
      <c r="T1096" s="11">
        <f t="shared" si="326"/>
        <v>0</v>
      </c>
      <c r="U1096" s="11">
        <f>IF(A1095=A1096,0,VLOOKUP(A1096,'Packing Time'!A:F,6,0))</f>
        <v>0</v>
      </c>
      <c r="V1096" s="11">
        <f t="shared" si="319"/>
        <v>0</v>
      </c>
      <c r="W1096" s="11">
        <f t="shared" si="320"/>
        <v>0</v>
      </c>
      <c r="X1096" s="11">
        <f t="shared" si="327"/>
        <v>0</v>
      </c>
      <c r="Y1096" s="11">
        <f t="shared" si="321"/>
        <v>0</v>
      </c>
      <c r="Z1096" s="37">
        <v>1</v>
      </c>
      <c r="AA1096" s="36">
        <f t="shared" si="328"/>
        <v>1</v>
      </c>
      <c r="AB1096" s="36">
        <f t="shared" si="329"/>
        <v>0.05</v>
      </c>
      <c r="AC1096" s="11">
        <f t="shared" si="330"/>
        <v>0</v>
      </c>
      <c r="AD1096" s="36">
        <f t="shared" si="322"/>
        <v>0</v>
      </c>
      <c r="AE1096" s="36"/>
      <c r="AF1096" s="36">
        <f>IFERROR(VLOOKUP(AE1096,'Chemical Cost'!A:D,4,0),0)</f>
        <v>0</v>
      </c>
      <c r="AG1096" s="114">
        <f t="shared" si="331"/>
        <v>0</v>
      </c>
      <c r="AH1096" s="36">
        <f t="shared" si="316"/>
        <v>0</v>
      </c>
      <c r="AI1096" s="36">
        <f t="shared" si="323"/>
        <v>0.05</v>
      </c>
      <c r="AJ1096" s="36">
        <f>IFERROR(VLOOKUP(A1096,'All Products'!A:F,6,0),0)</f>
        <v>0.82</v>
      </c>
      <c r="AK1096" s="36"/>
      <c r="AL1096" s="29">
        <v>0.8</v>
      </c>
      <c r="AM1096" s="23">
        <v>0.2</v>
      </c>
      <c r="AN1096" s="54" t="e">
        <v>#N/A</v>
      </c>
      <c r="AO1096" s="47"/>
      <c r="AP1096" s="4">
        <v>1.6</v>
      </c>
      <c r="AQ1096" s="111">
        <f t="shared" si="332"/>
        <v>0</v>
      </c>
      <c r="AR1096">
        <f>_xlfn.XLOOKUP(F1096,'RM Cost'!A:A,'RM Cost'!S:S)</f>
        <v>0</v>
      </c>
      <c r="AS1096" t="e">
        <f>_xlfn.XLOOKUP(A1096,[3]Sheet1!$B:$B,[3]Sheet1!$B:$B)</f>
        <v>#N/A</v>
      </c>
    </row>
    <row r="1097" spans="1:46" x14ac:dyDescent="0.25">
      <c r="A1097" s="16" t="s">
        <v>347</v>
      </c>
      <c r="B1097" s="2" t="s">
        <v>656</v>
      </c>
      <c r="C1097" s="2" t="s">
        <v>348</v>
      </c>
      <c r="D1097" s="2" t="s">
        <v>554</v>
      </c>
      <c r="E1097" s="2">
        <v>0.25</v>
      </c>
      <c r="F1097" s="1" t="str">
        <f>VLOOKUP(H1097,'RM Used'!A:B,2,0)</f>
        <v>S3997CS</v>
      </c>
      <c r="G1097" s="1" t="str">
        <f>IFERROR(VLOOKUP(F1097,'RM Cost'!A:B,2,0),"")</f>
        <v>RM - DECORE WHITE CABBAGE 1/3 1200KG</v>
      </c>
      <c r="H1097" s="2" t="s">
        <v>1484</v>
      </c>
      <c r="I1097" s="1" t="str">
        <f>VLOOKUP(F1097,'RM Used'!B:D,3,0)</f>
        <v>RM-FOOD</v>
      </c>
      <c r="J1097" s="66">
        <v>1</v>
      </c>
      <c r="K1097" s="35">
        <f t="shared" si="318"/>
        <v>0.25</v>
      </c>
      <c r="L1097" s="35">
        <f t="shared" si="324"/>
        <v>0.25</v>
      </c>
      <c r="M1097" s="77" cm="1">
        <f t="array" ref="M1097">_xlfn.IFS(BOM!I1097="RM-PACKING","100%",B1097="Reynolds",VLOOKUP(H1097,'Yield &amp; Time'!A:V,22,0),BOM!B1097="Dnata",VLOOKUP(BOM!H1097,'Yield &amp; Time'!A:M,13,0),B1097="NK",VLOOKUP(H1097,'Yield &amp; Time'!A:X,24,0))</f>
        <v>0.80459580307560874</v>
      </c>
      <c r="N1097" s="35">
        <f t="shared" si="317"/>
        <v>0.31071501870176577</v>
      </c>
      <c r="O1097" s="1" t="str">
        <f>VLOOKUP(H1097,'RM Used'!A:E,5,0)</f>
        <v>KG</v>
      </c>
      <c r="P1097" s="11">
        <f>VLOOKUP(H1097,'RM Used'!A:F,6,0)</f>
        <v>0.34</v>
      </c>
      <c r="Q1097" s="11">
        <f t="shared" si="333"/>
        <v>0.10564310635860037</v>
      </c>
      <c r="R1097" s="11">
        <f>IFERROR(IF(B1097="Reynolds",VLOOKUP(H1097,'Yield &amp; Time'!A:U,21,0),VLOOKUP(H1097,'Yield &amp; Time'!A:L,12,0)),0)</f>
        <v>0.59055241144076676</v>
      </c>
      <c r="S1097" s="11">
        <f t="shared" si="325"/>
        <v>4.9975497818174883E-2</v>
      </c>
      <c r="T1097" s="11">
        <f t="shared" si="326"/>
        <v>2.4606350476698616E-3</v>
      </c>
      <c r="U1097" s="11">
        <f>IF(A1096=A1097,0,VLOOKUP(A1097,'Packing Time'!A:F,6,0))</f>
        <v>0.47499999999999998</v>
      </c>
      <c r="V1097" s="11">
        <f t="shared" si="319"/>
        <v>0.16078749999999997</v>
      </c>
      <c r="W1097" s="11">
        <f t="shared" si="320"/>
        <v>7.9166666666666656E-3</v>
      </c>
      <c r="X1097" s="11">
        <f t="shared" si="327"/>
        <v>0.33722079650907982</v>
      </c>
      <c r="Y1097" s="11">
        <f t="shared" si="321"/>
        <v>0.33722079650907982</v>
      </c>
      <c r="Z1097" s="37">
        <v>1</v>
      </c>
      <c r="AA1097" s="36">
        <f t="shared" si="328"/>
        <v>0.31071501870176577</v>
      </c>
      <c r="AB1097" s="36">
        <f t="shared" si="329"/>
        <v>0.10564310635860037</v>
      </c>
      <c r="AC1097" s="11">
        <f t="shared" si="330"/>
        <v>1.6603682742938448E-2</v>
      </c>
      <c r="AD1097" s="36">
        <f t="shared" si="322"/>
        <v>0.33722079650907988</v>
      </c>
      <c r="AE1097" s="36" t="str">
        <f>VLOOKUP(H1097,'Yield &amp; Time'!A:I,9,0)</f>
        <v>CHLORINE</v>
      </c>
      <c r="AF1097" s="36">
        <f>IFERROR(VLOOKUP(AE1097,'Chemical Cost'!A:D,4,0),0)</f>
        <v>2.7756518066439469E-2</v>
      </c>
      <c r="AG1097" s="114">
        <f t="shared" si="331"/>
        <v>2.8747890100365467E-3</v>
      </c>
      <c r="AH1097" s="36">
        <f t="shared" si="316"/>
        <v>2.8747890100365467E-3</v>
      </c>
      <c r="AI1097" s="36">
        <f t="shared" si="323"/>
        <v>0.44573869187771675</v>
      </c>
      <c r="AJ1097" s="36">
        <f>IFERROR(VLOOKUP(A1097,'All Products'!A:F,6,0),0)</f>
        <v>0.8</v>
      </c>
      <c r="AK1097" s="36">
        <f>AJ1097*Z1097*J1097</f>
        <v>0.8</v>
      </c>
      <c r="AL1097" s="29">
        <v>0.8</v>
      </c>
      <c r="AM1097" s="23">
        <v>0.2</v>
      </c>
      <c r="AN1097" s="54" t="e">
        <v>#N/A</v>
      </c>
      <c r="AO1097" s="47"/>
      <c r="AP1097" s="4">
        <v>1.6</v>
      </c>
      <c r="AQ1097" s="111">
        <f t="shared" si="332"/>
        <v>1.6603682742938448E-2</v>
      </c>
      <c r="AR1097">
        <f>_xlfn.XLOOKUP(F1097,'RM Cost'!A:A,'RM Cost'!S:S)</f>
        <v>0.29914853989077506</v>
      </c>
      <c r="AS1097" t="str">
        <f>_xlfn.XLOOKUP(A1097,[3]Sheet1!$B:$B,[3]Sheet1!$B:$B)</f>
        <v>Z408CS</v>
      </c>
      <c r="AT1097">
        <f>_xlfn.XLOOKUP(H1097,'Yield &amp; Time'!A:A,'Yield &amp; Time'!F:F)</f>
        <v>0</v>
      </c>
    </row>
    <row r="1098" spans="1:46" x14ac:dyDescent="0.25">
      <c r="A1098" s="16" t="s">
        <v>347</v>
      </c>
      <c r="B1098" s="2" t="s">
        <v>656</v>
      </c>
      <c r="C1098" s="2" t="s">
        <v>348</v>
      </c>
      <c r="D1098" s="2" t="s">
        <v>554</v>
      </c>
      <c r="E1098" s="2">
        <v>0.25</v>
      </c>
      <c r="F1098" s="1" t="str">
        <f>VLOOKUP(H1098,'RM Used'!A:B,2,0)</f>
        <v>P0017</v>
      </c>
      <c r="G1098" s="1" t="str">
        <f>IFERROR(VLOOKUP(F1098,'RM Cost'!A:B,2,0),"")</f>
        <v>PALE BLUE BAG 250X300MM</v>
      </c>
      <c r="H1098" s="2" t="s">
        <v>1334</v>
      </c>
      <c r="I1098" s="1" t="str">
        <f>VLOOKUP(F1098,'RM Used'!B:D,3,0)</f>
        <v>RM-PACKING</v>
      </c>
      <c r="J1098" s="66">
        <v>1</v>
      </c>
      <c r="K1098" s="35" t="str">
        <f t="shared" si="318"/>
        <v/>
      </c>
      <c r="L1098" s="35">
        <f t="shared" si="324"/>
        <v>0</v>
      </c>
      <c r="M1098" s="77" t="str" cm="1">
        <f t="array" ref="M1098">_xlfn.IFS(BOM!I1098="RM-PACKING","100%",B1098="Reynolds",VLOOKUP(H1098,'Yield &amp; Time'!A:V,22,0),BOM!B1098="Dnata",VLOOKUP(BOM!H1098,'Yield &amp; Time'!A:M,13,0),B1098="NK",VLOOKUP(H1098,'Yield &amp; Time'!A:X,24,0))</f>
        <v>100%</v>
      </c>
      <c r="N1098" s="35">
        <f t="shared" si="317"/>
        <v>1</v>
      </c>
      <c r="O1098" s="1" t="str">
        <f>VLOOKUP(H1098,'RM Used'!A:E,5,0)</f>
        <v>Count</v>
      </c>
      <c r="P1098" s="11">
        <f>VLOOKUP(H1098,'RM Used'!A:F,6,0)</f>
        <v>0.05</v>
      </c>
      <c r="Q1098" s="11">
        <f t="shared" si="333"/>
        <v>0.05</v>
      </c>
      <c r="R1098" s="11">
        <f>IFERROR(IF(B1098="Reynolds",VLOOKUP(H1098,'Yield &amp; Time'!A:U,21,0),VLOOKUP(H1098,'Yield &amp; Time'!A:L,12,0)),0)</f>
        <v>0</v>
      </c>
      <c r="S1098" s="11">
        <f t="shared" si="325"/>
        <v>0</v>
      </c>
      <c r="T1098" s="11">
        <f t="shared" si="326"/>
        <v>0</v>
      </c>
      <c r="U1098" s="11">
        <f>IF(A1097=A1098,0,VLOOKUP(A1098,'Packing Time'!A:F,6,0))</f>
        <v>0</v>
      </c>
      <c r="V1098" s="11">
        <f t="shared" si="319"/>
        <v>0</v>
      </c>
      <c r="W1098" s="11">
        <f t="shared" si="320"/>
        <v>0</v>
      </c>
      <c r="X1098" s="11">
        <f t="shared" si="327"/>
        <v>0</v>
      </c>
      <c r="Y1098" s="11">
        <f t="shared" si="321"/>
        <v>0</v>
      </c>
      <c r="Z1098" s="37">
        <v>1</v>
      </c>
      <c r="AA1098" s="36">
        <f t="shared" si="328"/>
        <v>1</v>
      </c>
      <c r="AB1098" s="36">
        <f t="shared" si="329"/>
        <v>0.05</v>
      </c>
      <c r="AC1098" s="11">
        <f t="shared" si="330"/>
        <v>0</v>
      </c>
      <c r="AD1098" s="36">
        <f t="shared" si="322"/>
        <v>0</v>
      </c>
      <c r="AE1098" s="36"/>
      <c r="AF1098" s="36">
        <f>IFERROR(VLOOKUP(AE1098,'Chemical Cost'!A:D,4,0),0)</f>
        <v>0</v>
      </c>
      <c r="AG1098" s="114">
        <f t="shared" si="331"/>
        <v>0</v>
      </c>
      <c r="AH1098" s="36">
        <f t="shared" si="316"/>
        <v>0</v>
      </c>
      <c r="AI1098" s="36">
        <f t="shared" si="323"/>
        <v>0.05</v>
      </c>
      <c r="AJ1098" s="36">
        <f>IFERROR(VLOOKUP(A1098,'All Products'!A:F,6,0),0)</f>
        <v>0.8</v>
      </c>
      <c r="AK1098" s="36"/>
      <c r="AL1098" s="29">
        <v>0.8</v>
      </c>
      <c r="AM1098" s="23">
        <v>0.2</v>
      </c>
      <c r="AN1098" s="54" t="e">
        <v>#N/A</v>
      </c>
      <c r="AO1098" s="47"/>
      <c r="AP1098" s="4">
        <v>1.6</v>
      </c>
      <c r="AQ1098" s="111">
        <f t="shared" si="332"/>
        <v>0</v>
      </c>
      <c r="AR1098">
        <f>_xlfn.XLOOKUP(F1098,'RM Cost'!A:A,'RM Cost'!S:S)</f>
        <v>0</v>
      </c>
      <c r="AS1098" t="str">
        <f>_xlfn.XLOOKUP(A1098,[3]Sheet1!$B:$B,[3]Sheet1!$B:$B)</f>
        <v>Z408CS</v>
      </c>
      <c r="AT1098" t="e">
        <f>_xlfn.XLOOKUP(H1098,'Yield &amp; Time'!A:A,'Yield &amp; Time'!F:F)</f>
        <v>#N/A</v>
      </c>
    </row>
    <row r="1099" spans="1:46" x14ac:dyDescent="0.25">
      <c r="A1099" s="16" t="s">
        <v>377</v>
      </c>
      <c r="B1099" s="2" t="s">
        <v>656</v>
      </c>
      <c r="C1099" s="2" t="s">
        <v>378</v>
      </c>
      <c r="D1099" s="2" t="s">
        <v>554</v>
      </c>
      <c r="E1099" s="2">
        <v>2.5</v>
      </c>
      <c r="F1099" s="1" t="str">
        <f>VLOOKUP(H1099,'RM Used'!A:B,2,0)</f>
        <v>F294CS</v>
      </c>
      <c r="G1099" s="1" t="str">
        <f>IFERROR(VLOOKUP(F1099,'RM Cost'!A:B,2,0),"")</f>
        <v>RM - FROZEN BROAD BEANS 10X1KG</v>
      </c>
      <c r="H1099" s="2" t="s">
        <v>1596</v>
      </c>
      <c r="I1099" s="1" t="str">
        <f>VLOOKUP(F1099,'RM Used'!B:D,3,0)</f>
        <v>RM-FOOD</v>
      </c>
      <c r="J1099" s="66">
        <v>1</v>
      </c>
      <c r="K1099" s="35">
        <f t="shared" si="318"/>
        <v>2.5</v>
      </c>
      <c r="L1099" s="35">
        <f t="shared" si="324"/>
        <v>2.5</v>
      </c>
      <c r="M1099" s="77" cm="1">
        <f t="array" ref="M1099">_xlfn.IFS(BOM!I1099="RM-PACKING","100%",B1099="Reynolds",VLOOKUP(H1099,'Yield &amp; Time'!A:V,22,0),BOM!B1099="Dnata",VLOOKUP(BOM!H1099,'Yield &amp; Time'!A:M,13,0),B1099="NK",VLOOKUP(H1099,'Yield &amp; Time'!A:X,24,0))</f>
        <v>0.72599999999999998</v>
      </c>
      <c r="N1099" s="35">
        <f t="shared" si="317"/>
        <v>3.443526170798898</v>
      </c>
      <c r="O1099" s="1" t="str">
        <f>VLOOKUP(H1099,'RM Used'!A:E,5,0)</f>
        <v>KG</v>
      </c>
      <c r="P1099" s="11">
        <f>VLOOKUP(H1099,'RM Used'!A:F,6,0)</f>
        <v>1.81</v>
      </c>
      <c r="Q1099" s="11">
        <f t="shared" si="333"/>
        <v>6.2327823691460056</v>
      </c>
      <c r="R1099" s="11">
        <f>IFERROR(IF(B1099="Reynolds",VLOOKUP(H1099,'Yield &amp; Time'!A:U,21,0),VLOOKUP(H1099,'Yield &amp; Time'!A:L,12,0)),0)</f>
        <v>26.170798898071627</v>
      </c>
      <c r="S1099" s="11">
        <f t="shared" si="325"/>
        <v>22.147038567493112</v>
      </c>
      <c r="T1099" s="11">
        <f t="shared" si="326"/>
        <v>1.0904499540863177</v>
      </c>
      <c r="U1099" s="11">
        <f>IF(A1098=A1099,0,VLOOKUP(A1099,'Packing Time'!A:F,6,0))</f>
        <v>0.875</v>
      </c>
      <c r="V1099" s="11">
        <f t="shared" si="319"/>
        <v>0.29618749999999999</v>
      </c>
      <c r="W1099" s="11">
        <f t="shared" si="320"/>
        <v>1.4583333333333334E-2</v>
      </c>
      <c r="X1099" s="11">
        <f t="shared" si="327"/>
        <v>31.420516494490354</v>
      </c>
      <c r="Y1099" s="11">
        <f t="shared" si="321"/>
        <v>31.420516494490354</v>
      </c>
      <c r="Z1099" s="37">
        <v>1</v>
      </c>
      <c r="AA1099" s="36">
        <f t="shared" si="328"/>
        <v>3.443526170798898</v>
      </c>
      <c r="AB1099" s="36">
        <f t="shared" si="329"/>
        <v>6.2327823691460056</v>
      </c>
      <c r="AC1099" s="11">
        <f t="shared" si="330"/>
        <v>1.5470466023875116</v>
      </c>
      <c r="AD1099" s="36">
        <f t="shared" si="322"/>
        <v>31.420516494490357</v>
      </c>
      <c r="AE1099" s="36"/>
      <c r="AF1099" s="36">
        <f>IFERROR(VLOOKUP(AE1099,'Chemical Cost'!A:D,4,0),0)</f>
        <v>0</v>
      </c>
      <c r="AG1099" s="114">
        <f t="shared" si="331"/>
        <v>0</v>
      </c>
      <c r="AH1099" s="36">
        <f t="shared" si="316"/>
        <v>0</v>
      </c>
      <c r="AI1099" s="36">
        <f t="shared" si="323"/>
        <v>37.653298863636358</v>
      </c>
      <c r="AJ1099" s="36">
        <f>IFERROR(VLOOKUP(A1099,'All Products'!A:F,6,0),0)</f>
        <v>46.56</v>
      </c>
      <c r="AK1099" s="36">
        <f>AJ1099*Z1099*J1099</f>
        <v>46.56</v>
      </c>
      <c r="AL1099" s="23">
        <v>1</v>
      </c>
      <c r="AM1099" s="23"/>
      <c r="AN1099" s="54" t="e">
        <v>#N/A</v>
      </c>
      <c r="AO1099" s="47"/>
      <c r="AP1099" s="4">
        <v>1.4</v>
      </c>
      <c r="AQ1099" s="111">
        <f t="shared" si="332"/>
        <v>1.5470466023875116</v>
      </c>
      <c r="AR1099">
        <f>_xlfn.XLOOKUP(F1099,'RM Cost'!A:A,'RM Cost'!S:S)</f>
        <v>0</v>
      </c>
      <c r="AS1099" t="e">
        <f>_xlfn.XLOOKUP(A1099,[3]Sheet1!$B:$B,[3]Sheet1!$B:$B)</f>
        <v>#N/A</v>
      </c>
    </row>
    <row r="1100" spans="1:46" x14ac:dyDescent="0.25">
      <c r="A1100" s="16" t="s">
        <v>377</v>
      </c>
      <c r="B1100" s="2" t="s">
        <v>656</v>
      </c>
      <c r="C1100" s="2" t="s">
        <v>378</v>
      </c>
      <c r="D1100" s="2" t="s">
        <v>554</v>
      </c>
      <c r="E1100" s="2">
        <v>2.5</v>
      </c>
      <c r="F1100" s="1" t="str">
        <f>VLOOKUP(H1100,'RM Used'!A:B,2,0)</f>
        <v>P0008</v>
      </c>
      <c r="G1100" s="1" t="str">
        <f>IFERROR(VLOOKUP(F1100,'RM Cost'!A:B,2,0),"")</f>
        <v>PALE BLUE BAG 470X750MM</v>
      </c>
      <c r="H1100" s="2" t="s">
        <v>1323</v>
      </c>
      <c r="I1100" s="1" t="str">
        <f>VLOOKUP(F1100,'RM Used'!B:D,3,0)</f>
        <v>RM-PACKING</v>
      </c>
      <c r="J1100" s="66">
        <v>1</v>
      </c>
      <c r="K1100" s="35" t="str">
        <f t="shared" si="318"/>
        <v/>
      </c>
      <c r="L1100" s="35">
        <f t="shared" si="324"/>
        <v>0</v>
      </c>
      <c r="M1100" s="77" t="str" cm="1">
        <f t="array" ref="M1100">_xlfn.IFS(BOM!I1100="RM-PACKING","100%",B1100="Reynolds",VLOOKUP(H1100,'Yield &amp; Time'!A:V,22,0),BOM!B1100="Dnata",VLOOKUP(BOM!H1100,'Yield &amp; Time'!A:M,13,0),B1100="NK",VLOOKUP(H1100,'Yield &amp; Time'!A:X,24,0))</f>
        <v>100%</v>
      </c>
      <c r="N1100" s="35">
        <f t="shared" si="317"/>
        <v>1</v>
      </c>
      <c r="O1100" s="1" t="str">
        <f>VLOOKUP(H1100,'RM Used'!A:E,5,0)</f>
        <v>Count</v>
      </c>
      <c r="P1100" s="11">
        <f>VLOOKUP(H1100,'RM Used'!A:F,6,0)</f>
        <v>0.14000000000000001</v>
      </c>
      <c r="Q1100" s="11">
        <f t="shared" si="333"/>
        <v>0.14000000000000001</v>
      </c>
      <c r="R1100" s="11">
        <f>IFERROR(IF(B1100="Reynolds",VLOOKUP(H1100,'Yield &amp; Time'!A:U,21,0),VLOOKUP(H1100,'Yield &amp; Time'!A:L,12,0)),0)</f>
        <v>0</v>
      </c>
      <c r="S1100" s="11">
        <f t="shared" si="325"/>
        <v>0</v>
      </c>
      <c r="T1100" s="11">
        <f t="shared" si="326"/>
        <v>0</v>
      </c>
      <c r="U1100" s="11">
        <f>IF(A1099=A1100,0,VLOOKUP(A1100,'Packing Time'!A:F,6,0))</f>
        <v>0</v>
      </c>
      <c r="V1100" s="11">
        <f t="shared" si="319"/>
        <v>0</v>
      </c>
      <c r="W1100" s="11">
        <f t="shared" si="320"/>
        <v>0</v>
      </c>
      <c r="X1100" s="11">
        <f t="shared" si="327"/>
        <v>0</v>
      </c>
      <c r="Y1100" s="11">
        <f t="shared" si="321"/>
        <v>0</v>
      </c>
      <c r="Z1100" s="37">
        <v>1</v>
      </c>
      <c r="AA1100" s="36">
        <f t="shared" si="328"/>
        <v>1</v>
      </c>
      <c r="AB1100" s="36">
        <f t="shared" si="329"/>
        <v>0.14000000000000001</v>
      </c>
      <c r="AC1100" s="11">
        <f t="shared" si="330"/>
        <v>0</v>
      </c>
      <c r="AD1100" s="36">
        <f t="shared" si="322"/>
        <v>0</v>
      </c>
      <c r="AE1100" s="36"/>
      <c r="AF1100" s="36">
        <f>IFERROR(VLOOKUP(AE1100,'Chemical Cost'!A:D,4,0),0)</f>
        <v>0</v>
      </c>
      <c r="AG1100" s="114">
        <f t="shared" si="331"/>
        <v>0</v>
      </c>
      <c r="AH1100" s="36">
        <f t="shared" si="316"/>
        <v>0</v>
      </c>
      <c r="AI1100" s="36">
        <f t="shared" si="323"/>
        <v>0.14000000000000001</v>
      </c>
      <c r="AJ1100" s="36">
        <f>IFERROR(VLOOKUP(A1100,'All Products'!A:F,6,0),0)</f>
        <v>46.56</v>
      </c>
      <c r="AK1100" s="36"/>
      <c r="AL1100" s="23">
        <v>1</v>
      </c>
      <c r="AM1100" s="23"/>
      <c r="AN1100" s="54" t="e">
        <v>#N/A</v>
      </c>
      <c r="AO1100" s="47"/>
      <c r="AP1100" s="4">
        <v>1.4</v>
      </c>
      <c r="AQ1100" s="111">
        <f t="shared" si="332"/>
        <v>0</v>
      </c>
      <c r="AR1100">
        <f>_xlfn.XLOOKUP(F1100,'RM Cost'!A:A,'RM Cost'!S:S)</f>
        <v>0</v>
      </c>
      <c r="AS1100" t="e">
        <f>_xlfn.XLOOKUP(A1100,[3]Sheet1!$B:$B,[3]Sheet1!$B:$B)</f>
        <v>#N/A</v>
      </c>
    </row>
    <row r="1101" spans="1:46" x14ac:dyDescent="0.25">
      <c r="A1101" s="16" t="s">
        <v>379</v>
      </c>
      <c r="B1101" s="2" t="s">
        <v>656</v>
      </c>
      <c r="C1101" s="2" t="s">
        <v>380</v>
      </c>
      <c r="D1101" s="2" t="s">
        <v>554</v>
      </c>
      <c r="E1101" s="2">
        <v>1</v>
      </c>
      <c r="F1101" s="1" t="str">
        <f>VLOOKUP(H1101,'RM Used'!A:B,2,0)</f>
        <v>F294CS</v>
      </c>
      <c r="G1101" s="1" t="str">
        <f>IFERROR(VLOOKUP(F1101,'RM Cost'!A:B,2,0),"")</f>
        <v>RM - FROZEN BROAD BEANS 10X1KG</v>
      </c>
      <c r="H1101" s="1" t="s">
        <v>1596</v>
      </c>
      <c r="I1101" s="1" t="str">
        <f>VLOOKUP(F1101,'RM Used'!B:D,3,0)</f>
        <v>RM-FOOD</v>
      </c>
      <c r="J1101" s="66">
        <v>1</v>
      </c>
      <c r="K1101" s="35">
        <f t="shared" si="318"/>
        <v>1</v>
      </c>
      <c r="L1101" s="35">
        <f t="shared" si="324"/>
        <v>1</v>
      </c>
      <c r="M1101" s="77" cm="1">
        <f t="array" ref="M1101">_xlfn.IFS(BOM!I1101="RM-PACKING","100%",B1101="Reynolds",VLOOKUP(H1101,'Yield &amp; Time'!A:V,22,0),BOM!B1101="Dnata",VLOOKUP(BOM!H1101,'Yield &amp; Time'!A:M,13,0),B1101="NK",VLOOKUP(H1101,'Yield &amp; Time'!A:X,24,0))</f>
        <v>0.72599999999999998</v>
      </c>
      <c r="N1101" s="35">
        <f t="shared" si="317"/>
        <v>1.3774104683195594</v>
      </c>
      <c r="O1101" s="1" t="str">
        <f>VLOOKUP(H1101,'RM Used'!A:E,5,0)</f>
        <v>KG</v>
      </c>
      <c r="P1101" s="11">
        <f>VLOOKUP(H1101,'RM Used'!A:F,6,0)</f>
        <v>1.81</v>
      </c>
      <c r="Q1101" s="11">
        <f t="shared" si="333"/>
        <v>2.4931129476584024</v>
      </c>
      <c r="R1101" s="11">
        <f>IFERROR(IF(B1101="Reynolds",VLOOKUP(H1101,'Yield &amp; Time'!A:U,21,0),VLOOKUP(H1101,'Yield &amp; Time'!A:L,12,0)),0)</f>
        <v>26.170798898071627</v>
      </c>
      <c r="S1101" s="11">
        <f t="shared" si="325"/>
        <v>8.8588154269972446</v>
      </c>
      <c r="T1101" s="11">
        <f t="shared" si="326"/>
        <v>0.43617998163452715</v>
      </c>
      <c r="U1101" s="11">
        <f>IF(A1100=A1101,0,VLOOKUP(A1101,'Packing Time'!A:F,6,0))</f>
        <v>0.64166666666666661</v>
      </c>
      <c r="V1101" s="11">
        <f t="shared" si="319"/>
        <v>0.21720416666666661</v>
      </c>
      <c r="W1101" s="11">
        <f t="shared" si="320"/>
        <v>1.0694444444444444E-2</v>
      </c>
      <c r="X1101" s="11">
        <f t="shared" si="327"/>
        <v>14.521631349862259</v>
      </c>
      <c r="Y1101" s="11">
        <f t="shared" si="321"/>
        <v>14.521631349862259</v>
      </c>
      <c r="Z1101" s="37">
        <v>1</v>
      </c>
      <c r="AA1101" s="36">
        <f t="shared" si="328"/>
        <v>1.3774104683195594</v>
      </c>
      <c r="AB1101" s="36">
        <f t="shared" si="329"/>
        <v>2.4931129476584024</v>
      </c>
      <c r="AC1101" s="11">
        <f t="shared" si="330"/>
        <v>0.71499908172635451</v>
      </c>
      <c r="AD1101" s="36">
        <f t="shared" si="322"/>
        <v>14.521631349862259</v>
      </c>
      <c r="AE1101" s="36"/>
      <c r="AF1101" s="36">
        <f>IFERROR(VLOOKUP(AE1101,'Chemical Cost'!A:D,4,0),0)</f>
        <v>0</v>
      </c>
      <c r="AG1101" s="114">
        <f t="shared" si="331"/>
        <v>0</v>
      </c>
      <c r="AH1101" s="36">
        <f t="shared" si="316"/>
        <v>0</v>
      </c>
      <c r="AI1101" s="36">
        <f t="shared" si="323"/>
        <v>17.014744297520661</v>
      </c>
      <c r="AJ1101" s="36">
        <f>IFERROR(VLOOKUP(A1101,'All Products'!A:F,6,0),0)</f>
        <v>18.600000000000001</v>
      </c>
      <c r="AK1101" s="36">
        <f>AJ1101*Z1101*J1101</f>
        <v>18.600000000000001</v>
      </c>
      <c r="AL1101" s="23">
        <v>1</v>
      </c>
      <c r="AM1101" s="23"/>
      <c r="AN1101" s="54" t="e">
        <v>#N/A</v>
      </c>
      <c r="AO1101" s="47"/>
      <c r="AP1101" s="4">
        <v>1.6</v>
      </c>
      <c r="AQ1101" s="111">
        <f t="shared" si="332"/>
        <v>0.71499908172635451</v>
      </c>
      <c r="AR1101">
        <f>_xlfn.XLOOKUP(F1101,'RM Cost'!A:A,'RM Cost'!S:S)</f>
        <v>0</v>
      </c>
      <c r="AS1101" t="e">
        <f>_xlfn.XLOOKUP(A1101,[3]Sheet1!$B:$B,[3]Sheet1!$B:$B)</f>
        <v>#N/A</v>
      </c>
    </row>
    <row r="1102" spans="1:46" x14ac:dyDescent="0.25">
      <c r="A1102" s="16" t="s">
        <v>379</v>
      </c>
      <c r="B1102" s="2" t="s">
        <v>656</v>
      </c>
      <c r="C1102" s="2" t="s">
        <v>380</v>
      </c>
      <c r="D1102" s="2" t="s">
        <v>554</v>
      </c>
      <c r="E1102" s="2">
        <v>1</v>
      </c>
      <c r="F1102" s="1" t="str">
        <f>VLOOKUP(H1102,'RM Used'!A:B,2,0)</f>
        <v>P0008</v>
      </c>
      <c r="G1102" s="1" t="str">
        <f>IFERROR(VLOOKUP(F1102,'RM Cost'!A:B,2,0),"")</f>
        <v>PALE BLUE BAG 470X750MM</v>
      </c>
      <c r="H1102" s="1" t="s">
        <v>1323</v>
      </c>
      <c r="I1102" s="1" t="str">
        <f>VLOOKUP(F1102,'RM Used'!B:D,3,0)</f>
        <v>RM-PACKING</v>
      </c>
      <c r="J1102" s="66">
        <v>1</v>
      </c>
      <c r="K1102" s="35" t="str">
        <f t="shared" si="318"/>
        <v/>
      </c>
      <c r="L1102" s="35">
        <f t="shared" si="324"/>
        <v>0</v>
      </c>
      <c r="M1102" s="77" t="str" cm="1">
        <f t="array" ref="M1102">_xlfn.IFS(BOM!I1102="RM-PACKING","100%",B1102="Reynolds",VLOOKUP(H1102,'Yield &amp; Time'!A:V,22,0),BOM!B1102="Dnata",VLOOKUP(BOM!H1102,'Yield &amp; Time'!A:M,13,0),B1102="NK",VLOOKUP(H1102,'Yield &amp; Time'!A:X,24,0))</f>
        <v>100%</v>
      </c>
      <c r="N1102" s="35">
        <f t="shared" si="317"/>
        <v>1</v>
      </c>
      <c r="O1102" s="1" t="str">
        <f>VLOOKUP(H1102,'RM Used'!A:E,5,0)</f>
        <v>Count</v>
      </c>
      <c r="P1102" s="11">
        <f>VLOOKUP(H1102,'RM Used'!A:F,6,0)</f>
        <v>0.14000000000000001</v>
      </c>
      <c r="Q1102" s="11">
        <f t="shared" si="333"/>
        <v>0.14000000000000001</v>
      </c>
      <c r="R1102" s="11">
        <f>IFERROR(IF(B1102="Reynolds",VLOOKUP(H1102,'Yield &amp; Time'!A:U,21,0),VLOOKUP(H1102,'Yield &amp; Time'!A:L,12,0)),0)</f>
        <v>0</v>
      </c>
      <c r="S1102" s="11">
        <f t="shared" si="325"/>
        <v>0</v>
      </c>
      <c r="T1102" s="11">
        <f t="shared" si="326"/>
        <v>0</v>
      </c>
      <c r="U1102" s="11">
        <f>IF(A1101=A1102,0,VLOOKUP(A1102,'Packing Time'!A:F,6,0))</f>
        <v>0</v>
      </c>
      <c r="V1102" s="11">
        <f t="shared" si="319"/>
        <v>0</v>
      </c>
      <c r="W1102" s="11">
        <f t="shared" si="320"/>
        <v>0</v>
      </c>
      <c r="X1102" s="11">
        <f t="shared" si="327"/>
        <v>0</v>
      </c>
      <c r="Y1102" s="11">
        <f t="shared" si="321"/>
        <v>0</v>
      </c>
      <c r="Z1102" s="37">
        <v>1</v>
      </c>
      <c r="AA1102" s="36">
        <f t="shared" si="328"/>
        <v>1</v>
      </c>
      <c r="AB1102" s="36">
        <f t="shared" si="329"/>
        <v>0.14000000000000001</v>
      </c>
      <c r="AC1102" s="11">
        <f t="shared" si="330"/>
        <v>0</v>
      </c>
      <c r="AD1102" s="36">
        <f t="shared" si="322"/>
        <v>0</v>
      </c>
      <c r="AE1102" s="36"/>
      <c r="AF1102" s="36">
        <f>IFERROR(VLOOKUP(AE1102,'Chemical Cost'!A:D,4,0),0)</f>
        <v>0</v>
      </c>
      <c r="AG1102" s="114">
        <f t="shared" si="331"/>
        <v>0</v>
      </c>
      <c r="AH1102" s="36">
        <f t="shared" si="316"/>
        <v>0</v>
      </c>
      <c r="AI1102" s="36">
        <f t="shared" si="323"/>
        <v>0.14000000000000001</v>
      </c>
      <c r="AJ1102" s="36">
        <f>IFERROR(VLOOKUP(A1102,'All Products'!A:F,6,0),0)</f>
        <v>18.600000000000001</v>
      </c>
      <c r="AK1102" s="36"/>
      <c r="AL1102" s="23">
        <v>1</v>
      </c>
      <c r="AM1102" s="23"/>
      <c r="AN1102" s="54" t="e">
        <v>#N/A</v>
      </c>
      <c r="AO1102" s="47"/>
      <c r="AP1102" s="4">
        <v>1.6</v>
      </c>
      <c r="AQ1102" s="111">
        <f t="shared" si="332"/>
        <v>0</v>
      </c>
      <c r="AR1102">
        <f>_xlfn.XLOOKUP(F1102,'RM Cost'!A:A,'RM Cost'!S:S)</f>
        <v>0</v>
      </c>
      <c r="AS1102" t="e">
        <f>_xlfn.XLOOKUP(A1102,[3]Sheet1!$B:$B,[3]Sheet1!$B:$B)</f>
        <v>#N/A</v>
      </c>
    </row>
    <row r="1103" spans="1:46" x14ac:dyDescent="0.25">
      <c r="A1103" s="16" t="s">
        <v>975</v>
      </c>
      <c r="B1103" s="2" t="s">
        <v>656</v>
      </c>
      <c r="C1103" s="2" t="s">
        <v>976</v>
      </c>
      <c r="D1103" s="2" t="s">
        <v>554</v>
      </c>
      <c r="E1103" s="2">
        <v>1</v>
      </c>
      <c r="F1103" s="1" t="str">
        <f>VLOOKUP(H1103,'RM Used'!A:B,2,0)</f>
        <v>2961CS</v>
      </c>
      <c r="G1103" s="1" t="str">
        <f>IFERROR(VLOOKUP(F1103,'RM Cost'!A:B,2,0),"")</f>
        <v>RM - ARTICHOKES JERUSALEM  X5KG</v>
      </c>
      <c r="H1103" s="2" t="s">
        <v>1597</v>
      </c>
      <c r="I1103" s="1" t="str">
        <f>VLOOKUP(F1103,'RM Used'!B:D,3,0)</f>
        <v>RM-FOOD</v>
      </c>
      <c r="J1103" s="66">
        <v>1</v>
      </c>
      <c r="K1103" s="35">
        <f t="shared" si="318"/>
        <v>1</v>
      </c>
      <c r="L1103" s="35">
        <f t="shared" si="324"/>
        <v>1</v>
      </c>
      <c r="M1103" s="77" cm="1">
        <f t="array" ref="M1103">_xlfn.IFS(BOM!I1103="RM-PACKING","100%",B1103="Reynolds",VLOOKUP(H1103,'Yield &amp; Time'!A:V,22,0),BOM!B1103="Dnata",VLOOKUP(BOM!H1103,'Yield &amp; Time'!A:M,13,0),B1103="NK",VLOOKUP(H1103,'Yield &amp; Time'!A:X,24,0))</f>
        <v>0.6298701298701298</v>
      </c>
      <c r="N1103" s="35">
        <f t="shared" si="317"/>
        <v>1.5876288659793816</v>
      </c>
      <c r="O1103" s="1" t="str">
        <f>VLOOKUP(H1103,'RM Used'!A:E,5,0)</f>
        <v>KG</v>
      </c>
      <c r="P1103" s="11">
        <f>VLOOKUP(H1103,'RM Used'!A:F,6,0)</f>
        <v>1.57</v>
      </c>
      <c r="Q1103" s="11">
        <f t="shared" si="333"/>
        <v>2.4925773195876291</v>
      </c>
      <c r="R1103" s="11">
        <f>IFERROR(IF(B1103="Reynolds",VLOOKUP(H1103,'Yield &amp; Time'!A:U,21,0),VLOOKUP(H1103,'Yield &amp; Time'!A:L,12,0)),0)</f>
        <v>7.8319587628865976</v>
      </c>
      <c r="S1103" s="11">
        <f t="shared" si="325"/>
        <v>2.6511180412371131</v>
      </c>
      <c r="T1103" s="11">
        <f t="shared" si="326"/>
        <v>0.13053264604810996</v>
      </c>
      <c r="U1103" s="11">
        <f>IF(A1102=A1103,0,VLOOKUP(A1103,'Packing Time'!A:F,6,0))</f>
        <v>0.64166666666666661</v>
      </c>
      <c r="V1103" s="11">
        <f t="shared" si="319"/>
        <v>0.21720416666666661</v>
      </c>
      <c r="W1103" s="11">
        <f t="shared" si="320"/>
        <v>1.0694444444444444E-2</v>
      </c>
      <c r="X1103" s="11">
        <f t="shared" si="327"/>
        <v>4.5893155326460473</v>
      </c>
      <c r="Y1103" s="11">
        <f t="shared" si="321"/>
        <v>4.5893155326460473</v>
      </c>
      <c r="Z1103" s="37">
        <v>1</v>
      </c>
      <c r="AA1103" s="36">
        <f t="shared" si="328"/>
        <v>1.5876288659793816</v>
      </c>
      <c r="AB1103" s="36">
        <f t="shared" si="329"/>
        <v>2.4925773195876291</v>
      </c>
      <c r="AC1103" s="11">
        <f t="shared" si="330"/>
        <v>0.22596334478808708</v>
      </c>
      <c r="AD1103" s="36">
        <f t="shared" si="322"/>
        <v>4.5893155326460482</v>
      </c>
      <c r="AE1103" s="36" t="str">
        <f>VLOOKUP(H1103,'Yield &amp; Time'!A:I,9,0)</f>
        <v>NATURE SEAL A5</v>
      </c>
      <c r="AF1103" s="36">
        <f>IFERROR(VLOOKUP(AE1103,'Chemical Cost'!A:D,4,0),0)</f>
        <v>0.51079223287545206</v>
      </c>
      <c r="AG1103" s="114">
        <f t="shared" si="331"/>
        <v>0.27031616447704337</v>
      </c>
      <c r="AH1103" s="36">
        <f t="shared" si="316"/>
        <v>0.27031616447704337</v>
      </c>
      <c r="AI1103" s="36">
        <f t="shared" si="323"/>
        <v>7.3522090167107201</v>
      </c>
      <c r="AJ1103" s="36">
        <f>IFERROR(VLOOKUP(A1103,'All Products'!A:F,6,0),0)</f>
        <v>8.18</v>
      </c>
      <c r="AK1103" s="36">
        <f>AJ1103*Z1103*J1103</f>
        <v>8.18</v>
      </c>
      <c r="AL1103" s="23">
        <v>1</v>
      </c>
      <c r="AM1103" s="23"/>
      <c r="AN1103" s="54" t="e">
        <v>#N/A</v>
      </c>
      <c r="AO1103" s="47"/>
      <c r="AP1103" s="4">
        <v>1.6</v>
      </c>
      <c r="AQ1103" s="111">
        <f t="shared" si="332"/>
        <v>0.22596334478808708</v>
      </c>
      <c r="AR1103">
        <f>_xlfn.XLOOKUP(F1103,'RM Cost'!A:A,'RM Cost'!S:S)</f>
        <v>0</v>
      </c>
      <c r="AS1103" t="e">
        <f>_xlfn.XLOOKUP(A1103,[3]Sheet1!$B:$B,[3]Sheet1!$B:$B)</f>
        <v>#N/A</v>
      </c>
    </row>
    <row r="1104" spans="1:46" x14ac:dyDescent="0.25">
      <c r="A1104" s="16" t="s">
        <v>975</v>
      </c>
      <c r="B1104" s="2" t="s">
        <v>656</v>
      </c>
      <c r="C1104" s="2" t="s">
        <v>976</v>
      </c>
      <c r="D1104" s="2" t="s">
        <v>554</v>
      </c>
      <c r="E1104" s="2">
        <v>1</v>
      </c>
      <c r="F1104" s="1" t="str">
        <f>VLOOKUP(H1104,'RM Used'!A:B,2,0)</f>
        <v>P0008</v>
      </c>
      <c r="G1104" s="1" t="str">
        <f>IFERROR(VLOOKUP(F1104,'RM Cost'!A:B,2,0),"")</f>
        <v>PALE BLUE BAG 470X750MM</v>
      </c>
      <c r="H1104" s="2" t="s">
        <v>1323</v>
      </c>
      <c r="I1104" s="1" t="str">
        <f>VLOOKUP(F1104,'RM Used'!B:D,3,0)</f>
        <v>RM-PACKING</v>
      </c>
      <c r="J1104" s="66">
        <v>1</v>
      </c>
      <c r="K1104" s="35" t="str">
        <f t="shared" si="318"/>
        <v/>
      </c>
      <c r="L1104" s="35">
        <f t="shared" si="324"/>
        <v>0</v>
      </c>
      <c r="M1104" s="77" t="str" cm="1">
        <f t="array" ref="M1104">_xlfn.IFS(BOM!I1104="RM-PACKING","100%",B1104="Reynolds",VLOOKUP(H1104,'Yield &amp; Time'!A:V,22,0),BOM!B1104="Dnata",VLOOKUP(BOM!H1104,'Yield &amp; Time'!A:M,13,0),B1104="NK",VLOOKUP(H1104,'Yield &amp; Time'!A:X,24,0))</f>
        <v>100%</v>
      </c>
      <c r="N1104" s="35">
        <f t="shared" si="317"/>
        <v>1</v>
      </c>
      <c r="O1104" s="1" t="str">
        <f>VLOOKUP(H1104,'RM Used'!A:E,5,0)</f>
        <v>Count</v>
      </c>
      <c r="P1104" s="11">
        <f>VLOOKUP(H1104,'RM Used'!A:F,6,0)</f>
        <v>0.14000000000000001</v>
      </c>
      <c r="Q1104" s="11">
        <f t="shared" si="333"/>
        <v>0.14000000000000001</v>
      </c>
      <c r="R1104" s="11">
        <f>IFERROR(IF(B1104="Reynolds",VLOOKUP(H1104,'Yield &amp; Time'!A:U,21,0),VLOOKUP(H1104,'Yield &amp; Time'!A:L,12,0)),0)</f>
        <v>0</v>
      </c>
      <c r="S1104" s="11">
        <f t="shared" si="325"/>
        <v>0</v>
      </c>
      <c r="T1104" s="11">
        <f t="shared" si="326"/>
        <v>0</v>
      </c>
      <c r="U1104" s="11">
        <f>IF(A1103=A1104,0,VLOOKUP(A1104,'Packing Time'!A:F,6,0))</f>
        <v>0</v>
      </c>
      <c r="V1104" s="11">
        <f t="shared" si="319"/>
        <v>0</v>
      </c>
      <c r="W1104" s="11">
        <f t="shared" si="320"/>
        <v>0</v>
      </c>
      <c r="X1104" s="11">
        <f t="shared" si="327"/>
        <v>0</v>
      </c>
      <c r="Y1104" s="11">
        <f t="shared" si="321"/>
        <v>0</v>
      </c>
      <c r="Z1104" s="37">
        <v>1</v>
      </c>
      <c r="AA1104" s="36">
        <f t="shared" si="328"/>
        <v>1</v>
      </c>
      <c r="AB1104" s="36">
        <f t="shared" si="329"/>
        <v>0.14000000000000001</v>
      </c>
      <c r="AC1104" s="11">
        <f t="shared" si="330"/>
        <v>0</v>
      </c>
      <c r="AD1104" s="36">
        <f t="shared" si="322"/>
        <v>0</v>
      </c>
      <c r="AE1104" s="36"/>
      <c r="AF1104" s="36">
        <f>IFERROR(VLOOKUP(AE1104,'Chemical Cost'!A:D,4,0),0)</f>
        <v>0</v>
      </c>
      <c r="AG1104" s="114">
        <f t="shared" si="331"/>
        <v>0</v>
      </c>
      <c r="AH1104" s="36">
        <f t="shared" si="316"/>
        <v>0</v>
      </c>
      <c r="AI1104" s="36">
        <f t="shared" si="323"/>
        <v>0.14000000000000001</v>
      </c>
      <c r="AJ1104" s="36">
        <f>IFERROR(VLOOKUP(A1104,'All Products'!A:F,6,0),0)</f>
        <v>8.18</v>
      </c>
      <c r="AK1104" s="36"/>
      <c r="AL1104" s="23">
        <v>1</v>
      </c>
      <c r="AM1104" s="23"/>
      <c r="AN1104" s="54" t="e">
        <v>#N/A</v>
      </c>
      <c r="AO1104" s="47"/>
      <c r="AP1104" s="4">
        <v>1.6</v>
      </c>
      <c r="AQ1104" s="111">
        <f t="shared" si="332"/>
        <v>0</v>
      </c>
      <c r="AR1104">
        <f>_xlfn.XLOOKUP(F1104,'RM Cost'!A:A,'RM Cost'!S:S)</f>
        <v>0</v>
      </c>
      <c r="AS1104" t="e">
        <f>_xlfn.XLOOKUP(A1104,[3]Sheet1!$B:$B,[3]Sheet1!$B:$B)</f>
        <v>#N/A</v>
      </c>
    </row>
    <row r="1105" spans="1:46" x14ac:dyDescent="0.25">
      <c r="A1105" s="16" t="s">
        <v>977</v>
      </c>
      <c r="B1105" s="2" t="s">
        <v>656</v>
      </c>
      <c r="C1105" s="2" t="s">
        <v>978</v>
      </c>
      <c r="D1105" s="2" t="s">
        <v>554</v>
      </c>
      <c r="E1105" s="2">
        <v>1</v>
      </c>
      <c r="F1105" s="1" t="str">
        <f>VLOOKUP(H1105,'RM Used'!A:B,2,0)</f>
        <v>2461CS</v>
      </c>
      <c r="G1105" s="1" t="str">
        <f>IFERROR(VLOOKUP(F1105,'RM Cost'!A:B,2,0),"")</f>
        <v>RM - BABY RAINBOW CARROTS 6 X 200G</v>
      </c>
      <c r="H1105" s="2" t="s">
        <v>1598</v>
      </c>
      <c r="I1105" s="1" t="str">
        <f>VLOOKUP(F1105,'RM Used'!B:D,3,0)</f>
        <v>RM-FOOD</v>
      </c>
      <c r="J1105" s="66">
        <v>1</v>
      </c>
      <c r="K1105" s="35">
        <f t="shared" si="318"/>
        <v>1</v>
      </c>
      <c r="L1105" s="35">
        <f t="shared" si="324"/>
        <v>1</v>
      </c>
      <c r="M1105" s="77" cm="1">
        <f t="array" ref="M1105">_xlfn.IFS(BOM!I1105="RM-PACKING","100%",B1105="Reynolds",VLOOKUP(H1105,'Yield &amp; Time'!A:V,22,0),BOM!B1105="Dnata",VLOOKUP(BOM!H1105,'Yield &amp; Time'!A:M,13,0),B1105="NK",VLOOKUP(H1105,'Yield &amp; Time'!A:X,24,0))</f>
        <v>0.70967741935483875</v>
      </c>
      <c r="N1105" s="35">
        <f t="shared" si="317"/>
        <v>1.4090909090909089</v>
      </c>
      <c r="O1105" s="1" t="str">
        <f>VLOOKUP(H1105,'RM Used'!A:E,5,0)</f>
        <v>KG</v>
      </c>
      <c r="P1105" s="11">
        <f>VLOOKUP(H1105,'RM Used'!A:F,6,0)</f>
        <v>9.5</v>
      </c>
      <c r="Q1105" s="11">
        <f t="shared" si="333"/>
        <v>13.386363636363635</v>
      </c>
      <c r="R1105" s="11">
        <f>IFERROR(IF(B1105="Reynolds",VLOOKUP(H1105,'Yield &amp; Time'!A:U,21,0),VLOOKUP(H1105,'Yield &amp; Time'!A:L,12,0)),0)</f>
        <v>20.129870129870131</v>
      </c>
      <c r="S1105" s="11">
        <f t="shared" si="325"/>
        <v>6.8139610389610388</v>
      </c>
      <c r="T1105" s="11">
        <f t="shared" si="326"/>
        <v>0.33549783549783552</v>
      </c>
      <c r="U1105" s="11">
        <f>IF(A1104=A1105,0,VLOOKUP(A1105,'Packing Time'!A:F,6,0))</f>
        <v>0.64166666666666661</v>
      </c>
      <c r="V1105" s="11">
        <f t="shared" si="319"/>
        <v>0.21720416666666661</v>
      </c>
      <c r="W1105" s="11">
        <f t="shared" si="320"/>
        <v>1.0694444444444444E-2</v>
      </c>
      <c r="X1105" s="11">
        <f t="shared" si="327"/>
        <v>11.249864329004328</v>
      </c>
      <c r="Y1105" s="11">
        <f t="shared" si="321"/>
        <v>11.249864329004328</v>
      </c>
      <c r="Z1105" s="37">
        <v>1</v>
      </c>
      <c r="AA1105" s="36">
        <f t="shared" si="328"/>
        <v>1.4090909090909089</v>
      </c>
      <c r="AB1105" s="36">
        <f t="shared" si="329"/>
        <v>13.386363636363635</v>
      </c>
      <c r="AC1105" s="11">
        <f t="shared" si="330"/>
        <v>0.55390764790764802</v>
      </c>
      <c r="AD1105" s="36">
        <f t="shared" si="322"/>
        <v>11.24986432900433</v>
      </c>
      <c r="AE1105" s="36"/>
      <c r="AF1105" s="36">
        <f>IFERROR(VLOOKUP(AE1105,'Chemical Cost'!A:D,4,0),0)</f>
        <v>0</v>
      </c>
      <c r="AG1105" s="114">
        <f t="shared" si="331"/>
        <v>0</v>
      </c>
      <c r="AH1105" s="36">
        <f t="shared" si="316"/>
        <v>0</v>
      </c>
      <c r="AI1105" s="36">
        <f t="shared" si="323"/>
        <v>24.636227965367965</v>
      </c>
      <c r="AJ1105" s="36">
        <f>IFERROR(VLOOKUP(A1105,'All Products'!A:F,6,0),0)</f>
        <v>60.54</v>
      </c>
      <c r="AK1105" s="36">
        <f>AJ1105*Z1105*J1105</f>
        <v>60.54</v>
      </c>
      <c r="AL1105" s="23">
        <v>1</v>
      </c>
      <c r="AM1105" s="23"/>
      <c r="AN1105" s="54" t="e">
        <v>#N/A</v>
      </c>
      <c r="AO1105" s="47"/>
      <c r="AP1105" s="4">
        <v>1.6</v>
      </c>
      <c r="AQ1105" s="111">
        <f t="shared" si="332"/>
        <v>0.55390764790764802</v>
      </c>
      <c r="AR1105">
        <f>_xlfn.XLOOKUP(F1105,'RM Cost'!A:A,'RM Cost'!S:S)</f>
        <v>0</v>
      </c>
      <c r="AS1105" t="e">
        <f>_xlfn.XLOOKUP(A1105,[3]Sheet1!$B:$B,[3]Sheet1!$B:$B)</f>
        <v>#N/A</v>
      </c>
    </row>
    <row r="1106" spans="1:46" x14ac:dyDescent="0.25">
      <c r="A1106" s="16" t="s">
        <v>977</v>
      </c>
      <c r="B1106" s="2" t="s">
        <v>656</v>
      </c>
      <c r="C1106" s="2" t="s">
        <v>978</v>
      </c>
      <c r="D1106" s="2" t="s">
        <v>554</v>
      </c>
      <c r="E1106" s="2">
        <v>1</v>
      </c>
      <c r="F1106" s="1" t="str">
        <f>VLOOKUP(H1106,'RM Used'!A:B,2,0)</f>
        <v>P0008</v>
      </c>
      <c r="G1106" s="1" t="str">
        <f>IFERROR(VLOOKUP(F1106,'RM Cost'!A:B,2,0),"")</f>
        <v>PALE BLUE BAG 470X750MM</v>
      </c>
      <c r="H1106" s="2" t="s">
        <v>1323</v>
      </c>
      <c r="I1106" s="1" t="str">
        <f>VLOOKUP(F1106,'RM Used'!B:D,3,0)</f>
        <v>RM-PACKING</v>
      </c>
      <c r="J1106" s="66">
        <v>1</v>
      </c>
      <c r="K1106" s="35" t="str">
        <f t="shared" si="318"/>
        <v/>
      </c>
      <c r="L1106" s="35">
        <f t="shared" si="324"/>
        <v>0</v>
      </c>
      <c r="M1106" s="77" t="str" cm="1">
        <f t="array" ref="M1106">_xlfn.IFS(BOM!I1106="RM-PACKING","100%",B1106="Reynolds",VLOOKUP(H1106,'Yield &amp; Time'!A:V,22,0),BOM!B1106="Dnata",VLOOKUP(BOM!H1106,'Yield &amp; Time'!A:M,13,0),B1106="NK",VLOOKUP(H1106,'Yield &amp; Time'!A:X,24,0))</f>
        <v>100%</v>
      </c>
      <c r="N1106" s="35">
        <f t="shared" si="317"/>
        <v>1</v>
      </c>
      <c r="O1106" s="1" t="str">
        <f>VLOOKUP(H1106,'RM Used'!A:E,5,0)</f>
        <v>Count</v>
      </c>
      <c r="P1106" s="11">
        <f>VLOOKUP(H1106,'RM Used'!A:F,6,0)</f>
        <v>0.14000000000000001</v>
      </c>
      <c r="Q1106" s="11">
        <f t="shared" si="333"/>
        <v>0.14000000000000001</v>
      </c>
      <c r="R1106" s="11">
        <f>IFERROR(IF(B1106="Reynolds",VLOOKUP(H1106,'Yield &amp; Time'!A:U,21,0),VLOOKUP(H1106,'Yield &amp; Time'!A:L,12,0)),0)</f>
        <v>0</v>
      </c>
      <c r="S1106" s="11">
        <f t="shared" si="325"/>
        <v>0</v>
      </c>
      <c r="T1106" s="11">
        <f t="shared" si="326"/>
        <v>0</v>
      </c>
      <c r="U1106" s="11">
        <f>IF(A1105=A1106,0,VLOOKUP(A1106,'Packing Time'!A:F,6,0))</f>
        <v>0</v>
      </c>
      <c r="V1106" s="11">
        <f t="shared" si="319"/>
        <v>0</v>
      </c>
      <c r="W1106" s="11">
        <f t="shared" si="320"/>
        <v>0</v>
      </c>
      <c r="X1106" s="11">
        <f t="shared" si="327"/>
        <v>0</v>
      </c>
      <c r="Y1106" s="11">
        <f t="shared" si="321"/>
        <v>0</v>
      </c>
      <c r="Z1106" s="37">
        <v>1</v>
      </c>
      <c r="AA1106" s="36">
        <f t="shared" si="328"/>
        <v>1</v>
      </c>
      <c r="AB1106" s="36">
        <f t="shared" si="329"/>
        <v>0.14000000000000001</v>
      </c>
      <c r="AC1106" s="11">
        <f t="shared" si="330"/>
        <v>0</v>
      </c>
      <c r="AD1106" s="36">
        <f t="shared" si="322"/>
        <v>0</v>
      </c>
      <c r="AE1106" s="36"/>
      <c r="AF1106" s="36">
        <f>IFERROR(VLOOKUP(AE1106,'Chemical Cost'!A:D,4,0),0)</f>
        <v>0</v>
      </c>
      <c r="AG1106" s="114">
        <f t="shared" si="331"/>
        <v>0</v>
      </c>
      <c r="AH1106" s="36">
        <f t="shared" si="316"/>
        <v>0</v>
      </c>
      <c r="AI1106" s="36">
        <f t="shared" si="323"/>
        <v>0.14000000000000001</v>
      </c>
      <c r="AJ1106" s="36">
        <f>IFERROR(VLOOKUP(A1106,'All Products'!A:F,6,0),0)</f>
        <v>60.54</v>
      </c>
      <c r="AK1106" s="36"/>
      <c r="AL1106" s="23">
        <v>1</v>
      </c>
      <c r="AM1106" s="23"/>
      <c r="AN1106" s="54" t="e">
        <v>#N/A</v>
      </c>
      <c r="AO1106" s="47"/>
      <c r="AP1106" s="4">
        <v>1.6</v>
      </c>
      <c r="AQ1106" s="111">
        <f t="shared" si="332"/>
        <v>0</v>
      </c>
      <c r="AR1106">
        <f>_xlfn.XLOOKUP(F1106,'RM Cost'!A:A,'RM Cost'!S:S)</f>
        <v>0</v>
      </c>
      <c r="AS1106" t="e">
        <f>_xlfn.XLOOKUP(A1106,[3]Sheet1!$B:$B,[3]Sheet1!$B:$B)</f>
        <v>#N/A</v>
      </c>
    </row>
    <row r="1107" spans="1:46" x14ac:dyDescent="0.25">
      <c r="A1107" s="16" t="s">
        <v>132</v>
      </c>
      <c r="B1107" s="2" t="s">
        <v>656</v>
      </c>
      <c r="C1107" s="2" t="s">
        <v>133</v>
      </c>
      <c r="D1107" s="2" t="s">
        <v>554</v>
      </c>
      <c r="E1107" s="2">
        <v>2.5</v>
      </c>
      <c r="F1107" s="1" t="str">
        <f>VLOOKUP(H1107,'RM Used'!A:B,2,0)</f>
        <v>3242CS</v>
      </c>
      <c r="G1107" s="1" t="str">
        <f>IFERROR(VLOOKUP(F1107,'RM Cost'!A:B,2,0),"")</f>
        <v>RM - SWEET POTATOES ORANGE FLESH 6K</v>
      </c>
      <c r="H1107" s="2" t="s">
        <v>1599</v>
      </c>
      <c r="I1107" s="1" t="str">
        <f>VLOOKUP(F1107,'RM Used'!B:D,3,0)</f>
        <v>RM-FOOD</v>
      </c>
      <c r="J1107" s="66">
        <v>1</v>
      </c>
      <c r="K1107" s="35">
        <f t="shared" si="318"/>
        <v>2.5</v>
      </c>
      <c r="L1107" s="35">
        <f t="shared" si="324"/>
        <v>2.5</v>
      </c>
      <c r="M1107" s="77" cm="1">
        <f t="array" ref="M1107">_xlfn.IFS(BOM!I1107="RM-PACKING","100%",B1107="Reynolds",VLOOKUP(H1107,'Yield &amp; Time'!A:V,22,0),BOM!B1107="Dnata",VLOOKUP(BOM!H1107,'Yield &amp; Time'!A:M,13,0),B1107="NK",VLOOKUP(H1107,'Yield &amp; Time'!A:X,24,0))</f>
        <v>0.82</v>
      </c>
      <c r="N1107" s="35">
        <f t="shared" si="317"/>
        <v>3.0487804878048781</v>
      </c>
      <c r="O1107" s="1" t="str">
        <f>VLOOKUP(H1107,'RM Used'!A:E,5,0)</f>
        <v>KG</v>
      </c>
      <c r="P1107" s="11">
        <f>VLOOKUP(H1107,'RM Used'!A:F,6,0)</f>
        <v>0.88</v>
      </c>
      <c r="Q1107" s="11">
        <f t="shared" si="333"/>
        <v>2.6829268292682928</v>
      </c>
      <c r="R1107" s="11">
        <f>IFERROR(IF(B1107="Reynolds",VLOOKUP(H1107,'Yield &amp; Time'!A:U,21,0),VLOOKUP(H1107,'Yield &amp; Time'!A:L,12,0)),0)</f>
        <v>3.68</v>
      </c>
      <c r="S1107" s="11">
        <f t="shared" si="325"/>
        <v>3.1141999999999999</v>
      </c>
      <c r="T1107" s="11">
        <f t="shared" si="326"/>
        <v>0.15333333333333335</v>
      </c>
      <c r="U1107" s="11">
        <f>IF(A1106=A1107,0,VLOOKUP(A1107,'Packing Time'!A:F,6,0))</f>
        <v>0.875</v>
      </c>
      <c r="V1107" s="11">
        <f t="shared" si="319"/>
        <v>0.29618749999999999</v>
      </c>
      <c r="W1107" s="11">
        <f t="shared" si="320"/>
        <v>1.4583333333333334E-2</v>
      </c>
      <c r="X1107" s="11">
        <f t="shared" si="327"/>
        <v>3.7514262500000006</v>
      </c>
      <c r="Y1107" s="11">
        <f t="shared" si="321"/>
        <v>3.7514262500000006</v>
      </c>
      <c r="Z1107" s="37">
        <v>1</v>
      </c>
      <c r="AA1107" s="36">
        <f t="shared" si="328"/>
        <v>3.0487804878048781</v>
      </c>
      <c r="AB1107" s="36">
        <f t="shared" si="329"/>
        <v>2.6829268292682928</v>
      </c>
      <c r="AC1107" s="11">
        <f t="shared" si="330"/>
        <v>0.18470833333333336</v>
      </c>
      <c r="AD1107" s="36">
        <f t="shared" si="322"/>
        <v>3.7514262500000002</v>
      </c>
      <c r="AE1107" s="36"/>
      <c r="AF1107" s="36">
        <f>IFERROR(VLOOKUP(AE1107,'Chemical Cost'!A:D,4,0),0)</f>
        <v>0</v>
      </c>
      <c r="AG1107" s="114">
        <f t="shared" si="331"/>
        <v>0</v>
      </c>
      <c r="AH1107" s="36">
        <f t="shared" si="316"/>
        <v>0</v>
      </c>
      <c r="AI1107" s="36">
        <f t="shared" si="323"/>
        <v>6.434353079268293</v>
      </c>
      <c r="AJ1107" s="36">
        <f>IFERROR(VLOOKUP(A1107,'All Products'!A:F,6,0),0)</f>
        <v>11.9</v>
      </c>
      <c r="AK1107" s="36">
        <f>AJ1107*Z1107*J1107</f>
        <v>11.9</v>
      </c>
      <c r="AL1107" s="23">
        <v>1</v>
      </c>
      <c r="AM1107" s="23"/>
      <c r="AN1107" s="54" t="e">
        <v>#N/A</v>
      </c>
      <c r="AO1107" s="47"/>
      <c r="AP1107" s="4">
        <v>1.1000000000000001</v>
      </c>
      <c r="AQ1107" s="111">
        <f t="shared" si="332"/>
        <v>0.18470833333333336</v>
      </c>
      <c r="AR1107">
        <f>_xlfn.XLOOKUP(F1107,'RM Cost'!A:A,'RM Cost'!S:S)</f>
        <v>0</v>
      </c>
      <c r="AS1107" t="e">
        <f>_xlfn.XLOOKUP(A1107,[3]Sheet1!$B:$B,[3]Sheet1!$B:$B)</f>
        <v>#N/A</v>
      </c>
    </row>
    <row r="1108" spans="1:46" x14ac:dyDescent="0.25">
      <c r="A1108" s="16" t="s">
        <v>132</v>
      </c>
      <c r="B1108" s="2" t="s">
        <v>656</v>
      </c>
      <c r="C1108" s="2" t="s">
        <v>133</v>
      </c>
      <c r="D1108" s="2" t="s">
        <v>554</v>
      </c>
      <c r="E1108" s="2">
        <v>2.5</v>
      </c>
      <c r="F1108" s="1" t="str">
        <f>VLOOKUP(H1108,'RM Used'!A:B,2,0)</f>
        <v>P0008</v>
      </c>
      <c r="G1108" s="1" t="str">
        <f>IFERROR(VLOOKUP(F1108,'RM Cost'!A:B,2,0),"")</f>
        <v>PALE BLUE BAG 470X750MM</v>
      </c>
      <c r="H1108" s="2" t="s">
        <v>1323</v>
      </c>
      <c r="I1108" s="1" t="str">
        <f>VLOOKUP(F1108,'RM Used'!B:D,3,0)</f>
        <v>RM-PACKING</v>
      </c>
      <c r="J1108" s="66">
        <v>1</v>
      </c>
      <c r="K1108" s="35" t="str">
        <f t="shared" si="318"/>
        <v/>
      </c>
      <c r="L1108" s="35">
        <f t="shared" si="324"/>
        <v>0</v>
      </c>
      <c r="M1108" s="77" t="str" cm="1">
        <f t="array" ref="M1108">_xlfn.IFS(BOM!I1108="RM-PACKING","100%",B1108="Reynolds",VLOOKUP(H1108,'Yield &amp; Time'!A:V,22,0),BOM!B1108="Dnata",VLOOKUP(BOM!H1108,'Yield &amp; Time'!A:M,13,0),B1108="NK",VLOOKUP(H1108,'Yield &amp; Time'!A:X,24,0))</f>
        <v>100%</v>
      </c>
      <c r="N1108" s="35">
        <f t="shared" si="317"/>
        <v>1</v>
      </c>
      <c r="O1108" s="1" t="str">
        <f>VLOOKUP(H1108,'RM Used'!A:E,5,0)</f>
        <v>Count</v>
      </c>
      <c r="P1108" s="11">
        <f>VLOOKUP(H1108,'RM Used'!A:F,6,0)</f>
        <v>0.14000000000000001</v>
      </c>
      <c r="Q1108" s="11">
        <f t="shared" si="333"/>
        <v>0.14000000000000001</v>
      </c>
      <c r="R1108" s="11">
        <f>IFERROR(IF(B1108="Reynolds",VLOOKUP(H1108,'Yield &amp; Time'!A:U,21,0),VLOOKUP(H1108,'Yield &amp; Time'!A:L,12,0)),0)</f>
        <v>0</v>
      </c>
      <c r="S1108" s="11">
        <f t="shared" si="325"/>
        <v>0</v>
      </c>
      <c r="T1108" s="11">
        <f t="shared" si="326"/>
        <v>0</v>
      </c>
      <c r="U1108" s="11">
        <f>IF(A1107=A1108,0,VLOOKUP(A1108,'Packing Time'!A:F,6,0))</f>
        <v>0</v>
      </c>
      <c r="V1108" s="11">
        <f t="shared" si="319"/>
        <v>0</v>
      </c>
      <c r="W1108" s="11">
        <f t="shared" si="320"/>
        <v>0</v>
      </c>
      <c r="X1108" s="11">
        <f t="shared" si="327"/>
        <v>0</v>
      </c>
      <c r="Y1108" s="11">
        <f t="shared" si="321"/>
        <v>0</v>
      </c>
      <c r="Z1108" s="37">
        <v>1</v>
      </c>
      <c r="AA1108" s="36">
        <f t="shared" si="328"/>
        <v>1</v>
      </c>
      <c r="AB1108" s="36">
        <f t="shared" si="329"/>
        <v>0.14000000000000001</v>
      </c>
      <c r="AC1108" s="11">
        <f t="shared" si="330"/>
        <v>0</v>
      </c>
      <c r="AD1108" s="36">
        <f t="shared" si="322"/>
        <v>0</v>
      </c>
      <c r="AE1108" s="36"/>
      <c r="AF1108" s="36">
        <f>IFERROR(VLOOKUP(AE1108,'Chemical Cost'!A:D,4,0),0)</f>
        <v>0</v>
      </c>
      <c r="AG1108" s="114">
        <f t="shared" si="331"/>
        <v>0</v>
      </c>
      <c r="AH1108" s="36">
        <f t="shared" si="316"/>
        <v>0</v>
      </c>
      <c r="AI1108" s="36">
        <f t="shared" si="323"/>
        <v>0.14000000000000001</v>
      </c>
      <c r="AJ1108" s="36">
        <f>IFERROR(VLOOKUP(A1108,'All Products'!A:F,6,0),0)</f>
        <v>11.9</v>
      </c>
      <c r="AK1108" s="36"/>
      <c r="AL1108" s="23">
        <v>1</v>
      </c>
      <c r="AM1108" s="23"/>
      <c r="AN1108" s="54" t="e">
        <v>#N/A</v>
      </c>
      <c r="AO1108" s="47"/>
      <c r="AP1108" s="4">
        <v>1.1000000000000001</v>
      </c>
      <c r="AQ1108" s="111">
        <f t="shared" si="332"/>
        <v>0</v>
      </c>
      <c r="AR1108">
        <f>_xlfn.XLOOKUP(F1108,'RM Cost'!A:A,'RM Cost'!S:S)</f>
        <v>0</v>
      </c>
      <c r="AS1108" t="e">
        <f>_xlfn.XLOOKUP(A1108,[3]Sheet1!$B:$B,[3]Sheet1!$B:$B)</f>
        <v>#N/A</v>
      </c>
    </row>
    <row r="1109" spans="1:46" x14ac:dyDescent="0.25">
      <c r="A1109" s="16" t="s">
        <v>984</v>
      </c>
      <c r="B1109" s="2" t="s">
        <v>656</v>
      </c>
      <c r="C1109" s="2" t="s">
        <v>985</v>
      </c>
      <c r="D1109" s="2" t="s">
        <v>554</v>
      </c>
      <c r="E1109" s="2">
        <v>1</v>
      </c>
      <c r="F1109" s="1" t="str">
        <f>VLOOKUP(H1109,'RM Used'!A:B,2,0)</f>
        <v>3221CS</v>
      </c>
      <c r="G1109" s="1" t="str">
        <f>IFERROR(VLOOKUP(F1109,'RM Cost'!A:B,2,0),"")</f>
        <v>BAKING POTATO X50 EA</v>
      </c>
      <c r="H1109" s="2" t="s">
        <v>1600</v>
      </c>
      <c r="I1109" s="1" t="str">
        <f>VLOOKUP(F1109,'RM Used'!B:D,3,0)</f>
        <v>RM-FOOD</v>
      </c>
      <c r="J1109" s="66">
        <v>1</v>
      </c>
      <c r="K1109" s="35">
        <f t="shared" si="318"/>
        <v>1</v>
      </c>
      <c r="L1109" s="35">
        <f t="shared" si="324"/>
        <v>1</v>
      </c>
      <c r="M1109" s="77" cm="1">
        <f t="array" ref="M1109">_xlfn.IFS(BOM!I1109="RM-PACKING","100%",B1109="Reynolds",VLOOKUP(H1109,'Yield &amp; Time'!A:V,22,0),BOM!B1109="Dnata",VLOOKUP(BOM!H1109,'Yield &amp; Time'!A:M,13,0),B1109="NK",VLOOKUP(H1109,'Yield &amp; Time'!A:X,24,0))</f>
        <v>0.29416666666666669</v>
      </c>
      <c r="N1109" s="35">
        <f t="shared" si="317"/>
        <v>3.3994334277620393</v>
      </c>
      <c r="O1109" s="1" t="str">
        <f>VLOOKUP(H1109,'RM Used'!A:E,5,0)</f>
        <v>KG</v>
      </c>
      <c r="P1109" s="11">
        <f>VLOOKUP(H1109,'RM Used'!A:F,6,0)</f>
        <v>0.57000000000000006</v>
      </c>
      <c r="Q1109" s="11">
        <f t="shared" si="333"/>
        <v>1.9376770538243626</v>
      </c>
      <c r="R1109" s="11">
        <f>IFERROR(IF(B1109="Reynolds",VLOOKUP(H1109,'Yield &amp; Time'!A:U,21,0),VLOOKUP(H1109,'Yield &amp; Time'!A:L,12,0)),0)</f>
        <v>8.6</v>
      </c>
      <c r="S1109" s="11">
        <f t="shared" si="325"/>
        <v>2.9110999999999998</v>
      </c>
      <c r="T1109" s="11">
        <f t="shared" si="326"/>
        <v>0.14333333333333334</v>
      </c>
      <c r="U1109" s="11">
        <f>IF(A1108=A1109,0,VLOOKUP(A1109,'Packing Time'!A:F,6,0))</f>
        <v>0.64166666666666661</v>
      </c>
      <c r="V1109" s="11">
        <f t="shared" si="319"/>
        <v>0.21720416666666661</v>
      </c>
      <c r="W1109" s="11">
        <f t="shared" si="320"/>
        <v>1.0694444444444444E-2</v>
      </c>
      <c r="X1109" s="11">
        <f t="shared" si="327"/>
        <v>5.0052866666666667</v>
      </c>
      <c r="Y1109" s="11">
        <f t="shared" si="321"/>
        <v>5.0052866666666667</v>
      </c>
      <c r="Z1109" s="37">
        <v>1</v>
      </c>
      <c r="AA1109" s="36">
        <f t="shared" si="328"/>
        <v>3.3994334277620393</v>
      </c>
      <c r="AB1109" s="36">
        <f t="shared" si="329"/>
        <v>1.9376770538243626</v>
      </c>
      <c r="AC1109" s="11">
        <f t="shared" si="330"/>
        <v>0.24644444444444447</v>
      </c>
      <c r="AD1109" s="36">
        <f t="shared" si="322"/>
        <v>5.0052866666666667</v>
      </c>
      <c r="AE1109" s="36" t="str">
        <f>VLOOKUP(H1109,'Yield &amp; Time'!A:I,9,0)</f>
        <v>SODIUM METABISULPHITE</v>
      </c>
      <c r="AF1109" s="36">
        <f>IFERROR(VLOOKUP(AE1109,'Chemical Cost'!A:D,4,0),0)</f>
        <v>9.7586225455882462E-3</v>
      </c>
      <c r="AG1109" s="114">
        <f t="shared" si="331"/>
        <v>1.1057929230128322E-2</v>
      </c>
      <c r="AH1109" s="36">
        <f t="shared" si="316"/>
        <v>1.1057929230128322E-2</v>
      </c>
      <c r="AI1109" s="36">
        <f t="shared" si="323"/>
        <v>6.9540216497211578</v>
      </c>
      <c r="AJ1109" s="36">
        <f>IFERROR(VLOOKUP(A1109,'All Products'!A:F,6,0),0)</f>
        <v>12.53</v>
      </c>
      <c r="AK1109" s="36">
        <f>AJ1109*Z1109*J1109</f>
        <v>12.53</v>
      </c>
      <c r="AL1109" s="23">
        <v>1</v>
      </c>
      <c r="AM1109" s="23"/>
      <c r="AN1109" s="54" t="e">
        <v>#N/A</v>
      </c>
      <c r="AO1109" s="47"/>
      <c r="AP1109" s="4">
        <v>1.6</v>
      </c>
      <c r="AQ1109" s="111">
        <f t="shared" si="332"/>
        <v>0.24644444444444447</v>
      </c>
      <c r="AR1109">
        <f>_xlfn.XLOOKUP(F1109,'RM Cost'!A:A,'RM Cost'!S:S)</f>
        <v>0</v>
      </c>
      <c r="AS1109" t="e">
        <f>_xlfn.XLOOKUP(A1109,[3]Sheet1!$B:$B,[3]Sheet1!$B:$B)</f>
        <v>#N/A</v>
      </c>
    </row>
    <row r="1110" spans="1:46" x14ac:dyDescent="0.25">
      <c r="A1110" s="16" t="s">
        <v>984</v>
      </c>
      <c r="B1110" s="2" t="s">
        <v>656</v>
      </c>
      <c r="C1110" s="2" t="s">
        <v>985</v>
      </c>
      <c r="D1110" s="2" t="s">
        <v>554</v>
      </c>
      <c r="E1110" s="2">
        <v>1</v>
      </c>
      <c r="F1110" s="1" t="str">
        <f>VLOOKUP(H1110,'RM Used'!A:B,2,0)</f>
        <v>P0008</v>
      </c>
      <c r="G1110" s="1" t="str">
        <f>IFERROR(VLOOKUP(F1110,'RM Cost'!A:B,2,0),"")</f>
        <v>PALE BLUE BAG 470X750MM</v>
      </c>
      <c r="H1110" s="2" t="s">
        <v>1323</v>
      </c>
      <c r="I1110" s="1" t="str">
        <f>VLOOKUP(F1110,'RM Used'!B:D,3,0)</f>
        <v>RM-PACKING</v>
      </c>
      <c r="J1110" s="66">
        <v>1</v>
      </c>
      <c r="K1110" s="35" t="str">
        <f t="shared" si="318"/>
        <v/>
      </c>
      <c r="L1110" s="35">
        <f t="shared" si="324"/>
        <v>0</v>
      </c>
      <c r="M1110" s="77" t="str" cm="1">
        <f t="array" ref="M1110">_xlfn.IFS(BOM!I1110="RM-PACKING","100%",B1110="Reynolds",VLOOKUP(H1110,'Yield &amp; Time'!A:V,22,0),BOM!B1110="Dnata",VLOOKUP(BOM!H1110,'Yield &amp; Time'!A:M,13,0),B1110="NK",VLOOKUP(H1110,'Yield &amp; Time'!A:X,24,0))</f>
        <v>100%</v>
      </c>
      <c r="N1110" s="35">
        <f t="shared" si="317"/>
        <v>1</v>
      </c>
      <c r="O1110" s="1" t="str">
        <f>VLOOKUP(H1110,'RM Used'!A:E,5,0)</f>
        <v>Count</v>
      </c>
      <c r="P1110" s="11">
        <f>VLOOKUP(H1110,'RM Used'!A:F,6,0)</f>
        <v>0.14000000000000001</v>
      </c>
      <c r="Q1110" s="11">
        <f t="shared" si="333"/>
        <v>0.14000000000000001</v>
      </c>
      <c r="R1110" s="11">
        <f>IFERROR(IF(B1110="Reynolds",VLOOKUP(H1110,'Yield &amp; Time'!A:U,21,0),VLOOKUP(H1110,'Yield &amp; Time'!A:L,12,0)),0)</f>
        <v>0</v>
      </c>
      <c r="S1110" s="11">
        <f t="shared" si="325"/>
        <v>0</v>
      </c>
      <c r="T1110" s="11">
        <f t="shared" si="326"/>
        <v>0</v>
      </c>
      <c r="U1110" s="11">
        <f>IF(A1109=A1110,0,VLOOKUP(A1110,'Packing Time'!A:F,6,0))</f>
        <v>0</v>
      </c>
      <c r="V1110" s="11">
        <f t="shared" si="319"/>
        <v>0</v>
      </c>
      <c r="W1110" s="11">
        <f t="shared" si="320"/>
        <v>0</v>
      </c>
      <c r="X1110" s="11">
        <f t="shared" si="327"/>
        <v>0</v>
      </c>
      <c r="Y1110" s="11">
        <f t="shared" si="321"/>
        <v>0</v>
      </c>
      <c r="Z1110" s="37">
        <v>1</v>
      </c>
      <c r="AA1110" s="36">
        <f t="shared" si="328"/>
        <v>1</v>
      </c>
      <c r="AB1110" s="36">
        <f t="shared" si="329"/>
        <v>0.14000000000000001</v>
      </c>
      <c r="AC1110" s="11">
        <f t="shared" si="330"/>
        <v>0</v>
      </c>
      <c r="AD1110" s="36">
        <f t="shared" si="322"/>
        <v>0</v>
      </c>
      <c r="AE1110" s="36"/>
      <c r="AF1110" s="36">
        <f>IFERROR(VLOOKUP(AE1110,'Chemical Cost'!A:D,4,0),0)</f>
        <v>0</v>
      </c>
      <c r="AG1110" s="114">
        <f t="shared" si="331"/>
        <v>0</v>
      </c>
      <c r="AH1110" s="36">
        <f t="shared" ref="AH1110:AH1174" si="334">AF1110*AA1110/3</f>
        <v>0</v>
      </c>
      <c r="AI1110" s="36">
        <f t="shared" si="323"/>
        <v>0.14000000000000001</v>
      </c>
      <c r="AJ1110" s="36">
        <f>IFERROR(VLOOKUP(A1110,'All Products'!A:F,6,0),0)</f>
        <v>12.53</v>
      </c>
      <c r="AK1110" s="36"/>
      <c r="AL1110" s="23">
        <v>1</v>
      </c>
      <c r="AM1110" s="23"/>
      <c r="AN1110" s="54" t="e">
        <v>#N/A</v>
      </c>
      <c r="AO1110" s="47"/>
      <c r="AP1110" s="4">
        <v>1.6</v>
      </c>
      <c r="AQ1110" s="111">
        <f t="shared" si="332"/>
        <v>0</v>
      </c>
      <c r="AR1110">
        <f>_xlfn.XLOOKUP(F1110,'RM Cost'!A:A,'RM Cost'!S:S)</f>
        <v>0</v>
      </c>
      <c r="AS1110" t="e">
        <f>_xlfn.XLOOKUP(A1110,[3]Sheet1!$B:$B,[3]Sheet1!$B:$B)</f>
        <v>#N/A</v>
      </c>
    </row>
    <row r="1111" spans="1:46" x14ac:dyDescent="0.25">
      <c r="A1111" s="16" t="s">
        <v>267</v>
      </c>
      <c r="B1111" s="2" t="s">
        <v>656</v>
      </c>
      <c r="C1111" s="2" t="s">
        <v>986</v>
      </c>
      <c r="D1111" s="2" t="s">
        <v>554</v>
      </c>
      <c r="E1111" s="2">
        <v>0.25</v>
      </c>
      <c r="F1111" s="1" t="str">
        <f>VLOOKUP(H1111,'RM Used'!A:B,2,0)</f>
        <v>1445CS</v>
      </c>
      <c r="G1111" s="1" t="str">
        <f>IFERROR(VLOOKUP(F1111,'RM Cost'!A:B,2,0),"")</f>
        <v>RM - GARLIC PEELED 10X1KG</v>
      </c>
      <c r="H1111" s="2" t="s">
        <v>1601</v>
      </c>
      <c r="I1111" s="1" t="str">
        <f>VLOOKUP(F1111,'RM Used'!B:D,3,0)</f>
        <v>RM-FOOD</v>
      </c>
      <c r="J1111" s="66">
        <v>1</v>
      </c>
      <c r="K1111" s="35">
        <f t="shared" si="318"/>
        <v>0.25</v>
      </c>
      <c r="L1111" s="35">
        <f t="shared" si="324"/>
        <v>0.25</v>
      </c>
      <c r="M1111" s="77" cm="1">
        <f t="array" ref="M1111">_xlfn.IFS(BOM!I1111="RM-PACKING","100%",B1111="Reynolds",VLOOKUP(H1111,'Yield &amp; Time'!A:V,22,0),BOM!B1111="Dnata",VLOOKUP(BOM!H1111,'Yield &amp; Time'!A:M,13,0),B1111="NK",VLOOKUP(H1111,'Yield &amp; Time'!A:X,24,0))</f>
        <v>0.70588235294117652</v>
      </c>
      <c r="N1111" s="35">
        <f t="shared" si="317"/>
        <v>0.35416666666666663</v>
      </c>
      <c r="O1111" s="1" t="str">
        <f>VLOOKUP(H1111,'RM Used'!A:E,5,0)</f>
        <v>KG</v>
      </c>
      <c r="P1111" s="11">
        <f>VLOOKUP(H1111,'RM Used'!A:F,6,0)</f>
        <v>2.76</v>
      </c>
      <c r="Q1111" s="11">
        <f t="shared" si="333"/>
        <v>0.97749999999999981</v>
      </c>
      <c r="R1111" s="11">
        <f>IFERROR(IF(B1111="Reynolds",VLOOKUP(H1111,'Yield &amp; Time'!A:U,21,0),VLOOKUP(H1111,'Yield &amp; Time'!A:L,12,0)),0)</f>
        <v>1.2111111111111112</v>
      </c>
      <c r="S1111" s="11">
        <f t="shared" si="325"/>
        <v>0.10249027777777778</v>
      </c>
      <c r="T1111" s="11">
        <f t="shared" si="326"/>
        <v>5.046296296296297E-3</v>
      </c>
      <c r="U1111" s="11">
        <f>IF(A1110=A1111,0,VLOOKUP(A1111,'Packing Time'!A:F,6,0))</f>
        <v>0.47499999999999998</v>
      </c>
      <c r="V1111" s="11">
        <f t="shared" si="319"/>
        <v>0.16078749999999997</v>
      </c>
      <c r="W1111" s="11">
        <f t="shared" si="320"/>
        <v>7.9166666666666656E-3</v>
      </c>
      <c r="X1111" s="11">
        <f t="shared" si="327"/>
        <v>0.42124444444444448</v>
      </c>
      <c r="Y1111" s="11">
        <f t="shared" si="321"/>
        <v>0.42124444444444448</v>
      </c>
      <c r="Z1111" s="37">
        <v>1</v>
      </c>
      <c r="AA1111" s="36">
        <f t="shared" si="328"/>
        <v>0.35416666666666663</v>
      </c>
      <c r="AB1111" s="36">
        <f t="shared" si="329"/>
        <v>0.97749999999999981</v>
      </c>
      <c r="AC1111" s="11">
        <f t="shared" si="330"/>
        <v>2.074074074074074E-2</v>
      </c>
      <c r="AD1111" s="36">
        <f t="shared" si="322"/>
        <v>0.42124444444444442</v>
      </c>
      <c r="AE1111" s="36" t="str">
        <f>VLOOKUP(H1111,'Yield &amp; Time'!A:I,9,0)</f>
        <v>CHLORINE</v>
      </c>
      <c r="AF1111" s="36">
        <f>IFERROR(VLOOKUP(AE1111,'Chemical Cost'!A:D,4,0),0)</f>
        <v>2.7756518066439469E-2</v>
      </c>
      <c r="AG1111" s="114">
        <f t="shared" si="331"/>
        <v>3.2768111606213258E-3</v>
      </c>
      <c r="AH1111" s="36">
        <f t="shared" si="334"/>
        <v>3.2768111606213258E-3</v>
      </c>
      <c r="AI1111" s="36">
        <f t="shared" si="323"/>
        <v>1.4020212556050657</v>
      </c>
      <c r="AJ1111" s="36">
        <f>IFERROR(VLOOKUP(A1111,'All Products'!A:F,6,0),0)</f>
        <v>2.61</v>
      </c>
      <c r="AK1111" s="36">
        <f>AJ1111*Z1111*J1111</f>
        <v>2.61</v>
      </c>
      <c r="AL1111" s="23">
        <v>1</v>
      </c>
      <c r="AM1111" s="23"/>
      <c r="AN1111" s="54" t="e">
        <v>#N/A</v>
      </c>
      <c r="AO1111" s="47"/>
      <c r="AP1111" s="4">
        <v>1.6</v>
      </c>
      <c r="AQ1111" s="111">
        <f t="shared" si="332"/>
        <v>2.074074074074074E-2</v>
      </c>
      <c r="AR1111">
        <f>_xlfn.XLOOKUP(F1111,'RM Cost'!A:A,'RM Cost'!S:S)</f>
        <v>0</v>
      </c>
      <c r="AS1111" t="str">
        <f>_xlfn.XLOOKUP(A1111,[3]Sheet1!$B:$B,[3]Sheet1!$B:$B)</f>
        <v>Z299CS</v>
      </c>
      <c r="AT1111">
        <f>_xlfn.XLOOKUP(H1111,'Yield &amp; Time'!A:A,'Yield &amp; Time'!F:F)</f>
        <v>0</v>
      </c>
    </row>
    <row r="1112" spans="1:46" x14ac:dyDescent="0.25">
      <c r="A1112" s="16" t="s">
        <v>267</v>
      </c>
      <c r="B1112" s="2" t="s">
        <v>656</v>
      </c>
      <c r="C1112" s="2" t="s">
        <v>986</v>
      </c>
      <c r="D1112" s="2" t="s">
        <v>554</v>
      </c>
      <c r="E1112" s="2">
        <v>0.25</v>
      </c>
      <c r="F1112" s="1" t="str">
        <f>VLOOKUP(H1112,'RM Used'!A:B,2,0)</f>
        <v>P0017</v>
      </c>
      <c r="G1112" s="1" t="str">
        <f>IFERROR(VLOOKUP(F1112,'RM Cost'!A:B,2,0),"")</f>
        <v>PALE BLUE BAG 250X300MM</v>
      </c>
      <c r="H1112" s="2" t="s">
        <v>1334</v>
      </c>
      <c r="I1112" s="1" t="str">
        <f>VLOOKUP(F1112,'RM Used'!B:D,3,0)</f>
        <v>RM-PACKING</v>
      </c>
      <c r="J1112" s="66">
        <v>1</v>
      </c>
      <c r="K1112" s="35" t="str">
        <f t="shared" si="318"/>
        <v/>
      </c>
      <c r="L1112" s="35">
        <f t="shared" si="324"/>
        <v>0</v>
      </c>
      <c r="M1112" s="77" t="str" cm="1">
        <f t="array" ref="M1112">_xlfn.IFS(BOM!I1112="RM-PACKING","100%",B1112="Reynolds",VLOOKUP(H1112,'Yield &amp; Time'!A:V,22,0),BOM!B1112="Dnata",VLOOKUP(BOM!H1112,'Yield &amp; Time'!A:M,13,0),B1112="NK",VLOOKUP(H1112,'Yield &amp; Time'!A:X,24,0))</f>
        <v>100%</v>
      </c>
      <c r="N1112" s="35">
        <f t="shared" si="317"/>
        <v>1</v>
      </c>
      <c r="O1112" s="1" t="str">
        <f>VLOOKUP(H1112,'RM Used'!A:E,5,0)</f>
        <v>Count</v>
      </c>
      <c r="P1112" s="11">
        <f>VLOOKUP(H1112,'RM Used'!A:F,6,0)</f>
        <v>0.05</v>
      </c>
      <c r="Q1112" s="11">
        <f t="shared" si="333"/>
        <v>0.05</v>
      </c>
      <c r="R1112" s="11">
        <f>IFERROR(IF(B1112="Reynolds",VLOOKUP(H1112,'Yield &amp; Time'!A:U,21,0),VLOOKUP(H1112,'Yield &amp; Time'!A:L,12,0)),0)</f>
        <v>0</v>
      </c>
      <c r="S1112" s="11">
        <f t="shared" si="325"/>
        <v>0</v>
      </c>
      <c r="T1112" s="11">
        <f t="shared" si="326"/>
        <v>0</v>
      </c>
      <c r="U1112" s="11">
        <f>IF(A1111=A1112,0,VLOOKUP(A1112,'Packing Time'!A:F,6,0))</f>
        <v>0</v>
      </c>
      <c r="V1112" s="11">
        <f t="shared" si="319"/>
        <v>0</v>
      </c>
      <c r="W1112" s="11">
        <f t="shared" si="320"/>
        <v>0</v>
      </c>
      <c r="X1112" s="11">
        <f t="shared" si="327"/>
        <v>0</v>
      </c>
      <c r="Y1112" s="11">
        <f t="shared" si="321"/>
        <v>0</v>
      </c>
      <c r="Z1112" s="37">
        <v>1</v>
      </c>
      <c r="AA1112" s="36">
        <f t="shared" si="328"/>
        <v>1</v>
      </c>
      <c r="AB1112" s="36">
        <f t="shared" si="329"/>
        <v>0.05</v>
      </c>
      <c r="AC1112" s="11">
        <f t="shared" si="330"/>
        <v>0</v>
      </c>
      <c r="AD1112" s="36">
        <f t="shared" si="322"/>
        <v>0</v>
      </c>
      <c r="AE1112" s="36"/>
      <c r="AF1112" s="36">
        <f>IFERROR(VLOOKUP(AE1112,'Chemical Cost'!A:D,4,0),0)</f>
        <v>0</v>
      </c>
      <c r="AG1112" s="114">
        <f t="shared" si="331"/>
        <v>0</v>
      </c>
      <c r="AH1112" s="36">
        <f t="shared" si="334"/>
        <v>0</v>
      </c>
      <c r="AI1112" s="36">
        <f t="shared" si="323"/>
        <v>0.05</v>
      </c>
      <c r="AJ1112" s="36">
        <f>IFERROR(VLOOKUP(A1112,'All Products'!A:F,6,0),0)</f>
        <v>2.61</v>
      </c>
      <c r="AK1112" s="36"/>
      <c r="AL1112" s="23">
        <v>1</v>
      </c>
      <c r="AM1112" s="23"/>
      <c r="AN1112" s="54" t="e">
        <v>#N/A</v>
      </c>
      <c r="AO1112" s="47"/>
      <c r="AP1112" s="4">
        <v>1.6</v>
      </c>
      <c r="AQ1112" s="111">
        <f t="shared" si="332"/>
        <v>0</v>
      </c>
      <c r="AR1112">
        <f>_xlfn.XLOOKUP(F1112,'RM Cost'!A:A,'RM Cost'!S:S)</f>
        <v>0</v>
      </c>
      <c r="AS1112" t="str">
        <f>_xlfn.XLOOKUP(A1112,[3]Sheet1!$B:$B,[3]Sheet1!$B:$B)</f>
        <v>Z299CS</v>
      </c>
      <c r="AT1112" t="e">
        <f>_xlfn.XLOOKUP(H1112,'Yield &amp; Time'!A:A,'Yield &amp; Time'!F:F)</f>
        <v>#N/A</v>
      </c>
    </row>
    <row r="1113" spans="1:46" x14ac:dyDescent="0.25">
      <c r="A1113" s="16" t="s">
        <v>268</v>
      </c>
      <c r="B1113" s="2" t="s">
        <v>656</v>
      </c>
      <c r="C1113" s="2" t="s">
        <v>987</v>
      </c>
      <c r="D1113" s="2" t="s">
        <v>554</v>
      </c>
      <c r="E1113" s="2">
        <v>2.5</v>
      </c>
      <c r="F1113" s="1" t="str">
        <f>VLOOKUP(H1113,'RM Used'!A:B,2,0)</f>
        <v>1445CS</v>
      </c>
      <c r="G1113" s="1" t="str">
        <f>IFERROR(VLOOKUP(F1113,'RM Cost'!A:B,2,0),"")</f>
        <v>RM - GARLIC PEELED 10X1KG</v>
      </c>
      <c r="H1113" s="2" t="s">
        <v>1601</v>
      </c>
      <c r="I1113" s="1" t="str">
        <f>VLOOKUP(F1113,'RM Used'!B:D,3,0)</f>
        <v>RM-FOOD</v>
      </c>
      <c r="J1113" s="66">
        <v>1</v>
      </c>
      <c r="K1113" s="35">
        <f t="shared" si="318"/>
        <v>2.5</v>
      </c>
      <c r="L1113" s="35">
        <f t="shared" si="324"/>
        <v>2.5</v>
      </c>
      <c r="M1113" s="77" cm="1">
        <f t="array" ref="M1113">_xlfn.IFS(BOM!I1113="RM-PACKING","100%",B1113="Reynolds",VLOOKUP(H1113,'Yield &amp; Time'!A:V,22,0),BOM!B1113="Dnata",VLOOKUP(BOM!H1113,'Yield &amp; Time'!A:M,13,0),B1113="NK",VLOOKUP(H1113,'Yield &amp; Time'!A:X,24,0))</f>
        <v>0.70588235294117652</v>
      </c>
      <c r="N1113" s="35">
        <f t="shared" si="317"/>
        <v>3.5416666666666665</v>
      </c>
      <c r="O1113" s="1" t="str">
        <f>VLOOKUP(H1113,'RM Used'!A:E,5,0)</f>
        <v>KG</v>
      </c>
      <c r="P1113" s="11">
        <f>VLOOKUP(H1113,'RM Used'!A:F,6,0)</f>
        <v>2.76</v>
      </c>
      <c r="Q1113" s="11">
        <f t="shared" si="333"/>
        <v>9.7749999999999986</v>
      </c>
      <c r="R1113" s="11">
        <f>IFERROR(IF(B1113="Reynolds",VLOOKUP(H1113,'Yield &amp; Time'!A:U,21,0),VLOOKUP(H1113,'Yield &amp; Time'!A:L,12,0)),0)</f>
        <v>1.2111111111111112</v>
      </c>
      <c r="S1113" s="11">
        <f t="shared" si="325"/>
        <v>1.0249027777777777</v>
      </c>
      <c r="T1113" s="11">
        <f t="shared" si="326"/>
        <v>5.0462962962962966E-2</v>
      </c>
      <c r="U1113" s="11">
        <f>IF(A1112=A1113,0,VLOOKUP(A1113,'Packing Time'!A:F,6,0))</f>
        <v>0.875</v>
      </c>
      <c r="V1113" s="11">
        <f t="shared" si="319"/>
        <v>0.29618749999999999</v>
      </c>
      <c r="W1113" s="11">
        <f t="shared" si="320"/>
        <v>1.4583333333333334E-2</v>
      </c>
      <c r="X1113" s="11">
        <f t="shared" si="327"/>
        <v>1.4531993055555557</v>
      </c>
      <c r="Y1113" s="11">
        <f t="shared" si="321"/>
        <v>1.4531993055555557</v>
      </c>
      <c r="Z1113" s="37">
        <v>1</v>
      </c>
      <c r="AA1113" s="36">
        <f t="shared" si="328"/>
        <v>3.5416666666666665</v>
      </c>
      <c r="AB1113" s="36">
        <f t="shared" si="329"/>
        <v>9.7749999999999986</v>
      </c>
      <c r="AC1113" s="11">
        <f t="shared" si="330"/>
        <v>7.1550925925925934E-2</v>
      </c>
      <c r="AD1113" s="36">
        <f t="shared" si="322"/>
        <v>1.4531993055555557</v>
      </c>
      <c r="AE1113" s="36" t="str">
        <f>VLOOKUP(H1113,'Yield &amp; Time'!A:I,9,0)</f>
        <v>CHLORINE</v>
      </c>
      <c r="AF1113" s="36">
        <f>IFERROR(VLOOKUP(AE1113,'Chemical Cost'!A:D,4,0),0)</f>
        <v>2.7756518066439469E-2</v>
      </c>
      <c r="AG1113" s="114">
        <f t="shared" si="331"/>
        <v>3.2768111606213263E-2</v>
      </c>
      <c r="AH1113" s="36">
        <f t="shared" si="334"/>
        <v>3.2768111606213263E-2</v>
      </c>
      <c r="AI1113" s="36">
        <f t="shared" si="323"/>
        <v>11.260967417161767</v>
      </c>
      <c r="AJ1113" s="36">
        <f>IFERROR(VLOOKUP(A1113,'All Products'!A:F,6,0),0)</f>
        <v>18.43</v>
      </c>
      <c r="AK1113" s="36">
        <f>AJ1113*Z1113*J1113</f>
        <v>18.43</v>
      </c>
      <c r="AL1113" s="23">
        <v>1</v>
      </c>
      <c r="AM1113" s="23"/>
      <c r="AN1113" s="54" t="e">
        <v>#N/A</v>
      </c>
      <c r="AO1113" s="47"/>
      <c r="AP1113" s="4">
        <v>1.1000000000000001</v>
      </c>
      <c r="AQ1113" s="111">
        <f t="shared" si="332"/>
        <v>7.1550925925925934E-2</v>
      </c>
      <c r="AR1113">
        <f>_xlfn.XLOOKUP(F1113,'RM Cost'!A:A,'RM Cost'!S:S)</f>
        <v>0</v>
      </c>
      <c r="AS1113" t="str">
        <f>_xlfn.XLOOKUP(A1113,[3]Sheet1!$B:$B,[3]Sheet1!$B:$B)</f>
        <v>Z297CS</v>
      </c>
      <c r="AT1113">
        <f>_xlfn.XLOOKUP(H1113,'Yield &amp; Time'!A:A,'Yield &amp; Time'!F:F)</f>
        <v>0</v>
      </c>
    </row>
    <row r="1114" spans="1:46" x14ac:dyDescent="0.25">
      <c r="A1114" s="16" t="s">
        <v>268</v>
      </c>
      <c r="B1114" s="2" t="s">
        <v>656</v>
      </c>
      <c r="C1114" s="2" t="s">
        <v>987</v>
      </c>
      <c r="D1114" s="2" t="s">
        <v>554</v>
      </c>
      <c r="E1114" s="2">
        <v>2.5</v>
      </c>
      <c r="F1114" s="1" t="str">
        <f>VLOOKUP(H1114,'RM Used'!A:B,2,0)</f>
        <v>P0008</v>
      </c>
      <c r="G1114" s="1" t="str">
        <f>IFERROR(VLOOKUP(F1114,'RM Cost'!A:B,2,0),"")</f>
        <v>PALE BLUE BAG 470X750MM</v>
      </c>
      <c r="H1114" s="2" t="s">
        <v>1323</v>
      </c>
      <c r="I1114" s="1" t="str">
        <f>VLOOKUP(F1114,'RM Used'!B:D,3,0)</f>
        <v>RM-PACKING</v>
      </c>
      <c r="J1114" s="66">
        <v>1</v>
      </c>
      <c r="K1114" s="35" t="str">
        <f t="shared" si="318"/>
        <v/>
      </c>
      <c r="L1114" s="35">
        <f t="shared" si="324"/>
        <v>0</v>
      </c>
      <c r="M1114" s="77" t="str" cm="1">
        <f t="array" ref="M1114">_xlfn.IFS(BOM!I1114="RM-PACKING","100%",B1114="Reynolds",VLOOKUP(H1114,'Yield &amp; Time'!A:V,22,0),BOM!B1114="Dnata",VLOOKUP(BOM!H1114,'Yield &amp; Time'!A:M,13,0),B1114="NK",VLOOKUP(H1114,'Yield &amp; Time'!A:X,24,0))</f>
        <v>100%</v>
      </c>
      <c r="N1114" s="35">
        <f t="shared" si="317"/>
        <v>1</v>
      </c>
      <c r="O1114" s="1" t="str">
        <f>VLOOKUP(H1114,'RM Used'!A:E,5,0)</f>
        <v>Count</v>
      </c>
      <c r="P1114" s="11">
        <f>VLOOKUP(H1114,'RM Used'!A:F,6,0)</f>
        <v>0.14000000000000001</v>
      </c>
      <c r="Q1114" s="11">
        <f t="shared" si="333"/>
        <v>0.14000000000000001</v>
      </c>
      <c r="R1114" s="11">
        <f>IFERROR(IF(B1114="Reynolds",VLOOKUP(H1114,'Yield &amp; Time'!A:U,21,0),VLOOKUP(H1114,'Yield &amp; Time'!A:L,12,0)),0)</f>
        <v>0</v>
      </c>
      <c r="S1114" s="11">
        <f t="shared" si="325"/>
        <v>0</v>
      </c>
      <c r="T1114" s="11">
        <f t="shared" si="326"/>
        <v>0</v>
      </c>
      <c r="U1114" s="11">
        <f>IF(A1113=A1114,0,VLOOKUP(A1114,'Packing Time'!A:F,6,0))</f>
        <v>0</v>
      </c>
      <c r="V1114" s="11">
        <f t="shared" si="319"/>
        <v>0</v>
      </c>
      <c r="W1114" s="11">
        <f t="shared" si="320"/>
        <v>0</v>
      </c>
      <c r="X1114" s="11">
        <f t="shared" si="327"/>
        <v>0</v>
      </c>
      <c r="Y1114" s="11">
        <f t="shared" si="321"/>
        <v>0</v>
      </c>
      <c r="Z1114" s="37">
        <v>1</v>
      </c>
      <c r="AA1114" s="36">
        <f t="shared" si="328"/>
        <v>1</v>
      </c>
      <c r="AB1114" s="36">
        <f t="shared" si="329"/>
        <v>0.14000000000000001</v>
      </c>
      <c r="AC1114" s="11">
        <f t="shared" si="330"/>
        <v>0</v>
      </c>
      <c r="AD1114" s="36">
        <f t="shared" si="322"/>
        <v>0</v>
      </c>
      <c r="AE1114" s="36"/>
      <c r="AF1114" s="36">
        <f>IFERROR(VLOOKUP(AE1114,'Chemical Cost'!A:D,4,0),0)</f>
        <v>0</v>
      </c>
      <c r="AG1114" s="114">
        <f t="shared" si="331"/>
        <v>0</v>
      </c>
      <c r="AH1114" s="36">
        <f t="shared" si="334"/>
        <v>0</v>
      </c>
      <c r="AI1114" s="36">
        <f t="shared" si="323"/>
        <v>0.14000000000000001</v>
      </c>
      <c r="AJ1114" s="36">
        <f>IFERROR(VLOOKUP(A1114,'All Products'!A:F,6,0),0)</f>
        <v>18.43</v>
      </c>
      <c r="AK1114" s="36"/>
      <c r="AL1114" s="23">
        <v>1</v>
      </c>
      <c r="AM1114" s="23"/>
      <c r="AN1114" s="54" t="e">
        <v>#N/A</v>
      </c>
      <c r="AO1114" s="47"/>
      <c r="AP1114" s="4">
        <v>1.1000000000000001</v>
      </c>
      <c r="AQ1114" s="111">
        <f t="shared" si="332"/>
        <v>0</v>
      </c>
      <c r="AR1114">
        <f>_xlfn.XLOOKUP(F1114,'RM Cost'!A:A,'RM Cost'!S:S)</f>
        <v>0</v>
      </c>
      <c r="AS1114" t="str">
        <f>_xlfn.XLOOKUP(A1114,[3]Sheet1!$B:$B,[3]Sheet1!$B:$B)</f>
        <v>Z297CS</v>
      </c>
      <c r="AT1114" t="e">
        <f>_xlfn.XLOOKUP(H1114,'Yield &amp; Time'!A:A,'Yield &amp; Time'!F:F)</f>
        <v>#N/A</v>
      </c>
    </row>
    <row r="1115" spans="1:46" x14ac:dyDescent="0.25">
      <c r="A1115" s="16" t="s">
        <v>373</v>
      </c>
      <c r="B1115" s="2" t="s">
        <v>656</v>
      </c>
      <c r="C1115" s="2" t="s">
        <v>374</v>
      </c>
      <c r="D1115" s="2" t="s">
        <v>554</v>
      </c>
      <c r="E1115" s="2">
        <v>2.5</v>
      </c>
      <c r="F1115" s="1" t="str">
        <f>VLOOKUP(H1115,'RM Used'!A:B,2,0)</f>
        <v>3026CS</v>
      </c>
      <c r="G1115" s="1" t="str">
        <f>IFERROR(VLOOKUP(F1115,'RM Cost'!A:B,2,0),"")</f>
        <v>RM - BEETROOT RAW  X10KG</v>
      </c>
      <c r="H1115" s="2" t="s">
        <v>1602</v>
      </c>
      <c r="I1115" s="1" t="str">
        <f>VLOOKUP(F1115,'RM Used'!B:D,3,0)</f>
        <v>RM-FOOD</v>
      </c>
      <c r="J1115" s="66">
        <v>1</v>
      </c>
      <c r="K1115" s="35">
        <f t="shared" si="318"/>
        <v>2.5</v>
      </c>
      <c r="L1115" s="35">
        <f t="shared" si="324"/>
        <v>2.5</v>
      </c>
      <c r="M1115" s="77" cm="1">
        <f t="array" ref="M1115">_xlfn.IFS(BOM!I1115="RM-PACKING","100%",B1115="Reynolds",VLOOKUP(H1115,'Yield &amp; Time'!A:V,22,0),BOM!B1115="Dnata",VLOOKUP(BOM!H1115,'Yield &amp; Time'!A:M,13,0),B1115="NK",VLOOKUP(H1115,'Yield &amp; Time'!A:X,24,0))</f>
        <v>0.37823834196891187</v>
      </c>
      <c r="N1115" s="35">
        <f t="shared" si="317"/>
        <v>6.6095890410958908</v>
      </c>
      <c r="O1115" s="1" t="str">
        <f>VLOOKUP(H1115,'RM Used'!A:E,5,0)</f>
        <v>KG</v>
      </c>
      <c r="P1115" s="11">
        <f>VLOOKUP(H1115,'RM Used'!A:F,6,0)</f>
        <v>0.47</v>
      </c>
      <c r="Q1115" s="11">
        <f t="shared" si="333"/>
        <v>3.1065068493150685</v>
      </c>
      <c r="R1115" s="11">
        <f>IFERROR(IF(B1115="Reynolds",VLOOKUP(H1115,'Yield &amp; Time'!A:U,21,0),VLOOKUP(H1115,'Yield &amp; Time'!A:L,12,0)),0)</f>
        <v>5.1999999999999993</v>
      </c>
      <c r="S1115" s="11">
        <f t="shared" si="325"/>
        <v>4.4004999999999992</v>
      </c>
      <c r="T1115" s="11">
        <f t="shared" si="326"/>
        <v>0.21666666666666665</v>
      </c>
      <c r="U1115" s="11">
        <f>IF(A1114=A1115,0,VLOOKUP(A1115,'Packing Time'!A:F,6,0))</f>
        <v>0.875</v>
      </c>
      <c r="V1115" s="11">
        <f t="shared" si="319"/>
        <v>0.29618749999999999</v>
      </c>
      <c r="W1115" s="11">
        <f t="shared" si="320"/>
        <v>1.4583333333333334E-2</v>
      </c>
      <c r="X1115" s="11">
        <f t="shared" si="327"/>
        <v>7.5146999999999977</v>
      </c>
      <c r="Y1115" s="11">
        <f t="shared" si="321"/>
        <v>7.5146999999999977</v>
      </c>
      <c r="Z1115" s="37">
        <v>1</v>
      </c>
      <c r="AA1115" s="36">
        <f t="shared" si="328"/>
        <v>6.6095890410958908</v>
      </c>
      <c r="AB1115" s="36">
        <f t="shared" si="329"/>
        <v>3.1065068493150685</v>
      </c>
      <c r="AC1115" s="11">
        <f t="shared" si="330"/>
        <v>0.37</v>
      </c>
      <c r="AD1115" s="36">
        <f t="shared" si="322"/>
        <v>7.5146999999999986</v>
      </c>
      <c r="AE1115" s="36" t="str">
        <f>VLOOKUP(H1115,'Yield &amp; Time'!A:I,9,0)</f>
        <v>CHLORINE</v>
      </c>
      <c r="AF1115" s="36">
        <f>IFERROR(VLOOKUP(AE1115,'Chemical Cost'!A:D,4,0),0)</f>
        <v>2.7756518066439469E-2</v>
      </c>
      <c r="AG1115" s="114">
        <f t="shared" si="331"/>
        <v>6.1153059210306143E-2</v>
      </c>
      <c r="AH1115" s="36">
        <f t="shared" si="334"/>
        <v>6.1153059210306143E-2</v>
      </c>
      <c r="AI1115" s="36">
        <f t="shared" si="323"/>
        <v>10.682359908525372</v>
      </c>
      <c r="AJ1115" s="36">
        <f>IFERROR(VLOOKUP(A1115,'All Products'!A:F,6,0),0)</f>
        <v>25.52</v>
      </c>
      <c r="AK1115" s="36">
        <f>AJ1115*Z1115*J1115</f>
        <v>25.52</v>
      </c>
      <c r="AL1115" s="29">
        <v>1</v>
      </c>
      <c r="AM1115" s="23"/>
      <c r="AN1115" s="54" t="e">
        <v>#N/A</v>
      </c>
      <c r="AO1115" s="47"/>
      <c r="AP1115" s="4">
        <v>1.6</v>
      </c>
      <c r="AQ1115" s="111">
        <f t="shared" si="332"/>
        <v>0.37</v>
      </c>
      <c r="AR1115">
        <f>_xlfn.XLOOKUP(F1115,'RM Cost'!A:A,'RM Cost'!S:S)</f>
        <v>0</v>
      </c>
      <c r="AS1115" t="e">
        <f>_xlfn.XLOOKUP(A1115,[3]Sheet1!$B:$B,[3]Sheet1!$B:$B)</f>
        <v>#N/A</v>
      </c>
    </row>
    <row r="1116" spans="1:46" x14ac:dyDescent="0.25">
      <c r="A1116" s="16" t="s">
        <v>373</v>
      </c>
      <c r="B1116" s="2" t="s">
        <v>656</v>
      </c>
      <c r="C1116" s="2" t="s">
        <v>374</v>
      </c>
      <c r="D1116" s="2" t="s">
        <v>554</v>
      </c>
      <c r="E1116" s="2">
        <v>2.5</v>
      </c>
      <c r="F1116" s="1" t="str">
        <f>VLOOKUP(H1116,'RM Used'!A:B,2,0)</f>
        <v>P0008</v>
      </c>
      <c r="G1116" s="1" t="str">
        <f>IFERROR(VLOOKUP(F1116,'RM Cost'!A:B,2,0),"")</f>
        <v>PALE BLUE BAG 470X750MM</v>
      </c>
      <c r="H1116" s="2" t="s">
        <v>1323</v>
      </c>
      <c r="I1116" s="1" t="str">
        <f>VLOOKUP(F1116,'RM Used'!B:D,3,0)</f>
        <v>RM-PACKING</v>
      </c>
      <c r="J1116" s="66">
        <v>1</v>
      </c>
      <c r="K1116" s="35" t="str">
        <f t="shared" si="318"/>
        <v/>
      </c>
      <c r="L1116" s="35">
        <f t="shared" si="324"/>
        <v>0</v>
      </c>
      <c r="M1116" s="77" t="str" cm="1">
        <f t="array" ref="M1116">_xlfn.IFS(BOM!I1116="RM-PACKING","100%",B1116="Reynolds",VLOOKUP(H1116,'Yield &amp; Time'!A:V,22,0),BOM!B1116="Dnata",VLOOKUP(BOM!H1116,'Yield &amp; Time'!A:M,13,0),B1116="NK",VLOOKUP(H1116,'Yield &amp; Time'!A:X,24,0))</f>
        <v>100%</v>
      </c>
      <c r="N1116" s="35">
        <f t="shared" si="317"/>
        <v>1</v>
      </c>
      <c r="O1116" s="1" t="str">
        <f>VLOOKUP(H1116,'RM Used'!A:E,5,0)</f>
        <v>Count</v>
      </c>
      <c r="P1116" s="11">
        <f>VLOOKUP(H1116,'RM Used'!A:F,6,0)</f>
        <v>0.14000000000000001</v>
      </c>
      <c r="Q1116" s="11">
        <f t="shared" si="333"/>
        <v>0.14000000000000001</v>
      </c>
      <c r="R1116" s="11">
        <f>IFERROR(IF(B1116="Reynolds",VLOOKUP(H1116,'Yield &amp; Time'!A:U,21,0),VLOOKUP(H1116,'Yield &amp; Time'!A:L,12,0)),0)</f>
        <v>0</v>
      </c>
      <c r="S1116" s="11">
        <f t="shared" si="325"/>
        <v>0</v>
      </c>
      <c r="T1116" s="11">
        <f t="shared" si="326"/>
        <v>0</v>
      </c>
      <c r="U1116" s="11">
        <f>IF(A1115=A1116,0,VLOOKUP(A1116,'Packing Time'!A:F,6,0))</f>
        <v>0</v>
      </c>
      <c r="V1116" s="11">
        <f t="shared" si="319"/>
        <v>0</v>
      </c>
      <c r="W1116" s="11">
        <f t="shared" si="320"/>
        <v>0</v>
      </c>
      <c r="X1116" s="11">
        <f t="shared" si="327"/>
        <v>0</v>
      </c>
      <c r="Y1116" s="11">
        <f t="shared" si="321"/>
        <v>0</v>
      </c>
      <c r="Z1116" s="37">
        <v>1</v>
      </c>
      <c r="AA1116" s="36">
        <f t="shared" si="328"/>
        <v>1</v>
      </c>
      <c r="AB1116" s="36">
        <f t="shared" si="329"/>
        <v>0.14000000000000001</v>
      </c>
      <c r="AC1116" s="11">
        <f t="shared" si="330"/>
        <v>0</v>
      </c>
      <c r="AD1116" s="36">
        <f t="shared" si="322"/>
        <v>0</v>
      </c>
      <c r="AE1116" s="36"/>
      <c r="AF1116" s="36">
        <f>IFERROR(VLOOKUP(AE1116,'Chemical Cost'!A:D,4,0),0)</f>
        <v>0</v>
      </c>
      <c r="AG1116" s="114">
        <f t="shared" si="331"/>
        <v>0</v>
      </c>
      <c r="AH1116" s="36">
        <f t="shared" si="334"/>
        <v>0</v>
      </c>
      <c r="AI1116" s="36">
        <f t="shared" si="323"/>
        <v>0.14000000000000001</v>
      </c>
      <c r="AJ1116" s="36">
        <f>IFERROR(VLOOKUP(A1116,'All Products'!A:F,6,0),0)</f>
        <v>25.52</v>
      </c>
      <c r="AK1116" s="36"/>
      <c r="AL1116" s="29">
        <v>1</v>
      </c>
      <c r="AM1116" s="23"/>
      <c r="AN1116" s="54" t="e">
        <v>#N/A</v>
      </c>
      <c r="AO1116" s="47"/>
      <c r="AP1116" s="4">
        <v>1.6</v>
      </c>
      <c r="AQ1116" s="111">
        <f t="shared" si="332"/>
        <v>0</v>
      </c>
      <c r="AR1116">
        <f>_xlfn.XLOOKUP(F1116,'RM Cost'!A:A,'RM Cost'!S:S)</f>
        <v>0</v>
      </c>
      <c r="AS1116" t="e">
        <f>_xlfn.XLOOKUP(A1116,[3]Sheet1!$B:$B,[3]Sheet1!$B:$B)</f>
        <v>#N/A</v>
      </c>
    </row>
    <row r="1117" spans="1:46" x14ac:dyDescent="0.25">
      <c r="A1117" s="16" t="s">
        <v>269</v>
      </c>
      <c r="B1117" s="2" t="s">
        <v>656</v>
      </c>
      <c r="C1117" s="2" t="s">
        <v>988</v>
      </c>
      <c r="D1117" s="2" t="s">
        <v>554</v>
      </c>
      <c r="E1117" s="2">
        <v>1</v>
      </c>
      <c r="F1117" s="1" t="str">
        <f>VLOOKUP(H1117,'RM Used'!A:B,2,0)</f>
        <v>1445CS</v>
      </c>
      <c r="G1117" s="1" t="str">
        <f>IFERROR(VLOOKUP(F1117,'RM Cost'!A:B,2,0),"")</f>
        <v>RM - GARLIC PEELED 10X1KG</v>
      </c>
      <c r="H1117" s="2" t="s">
        <v>1601</v>
      </c>
      <c r="I1117" s="1" t="str">
        <f>VLOOKUP(F1117,'RM Used'!B:D,3,0)</f>
        <v>RM-FOOD</v>
      </c>
      <c r="J1117" s="66">
        <v>1</v>
      </c>
      <c r="K1117" s="35">
        <f t="shared" si="318"/>
        <v>1</v>
      </c>
      <c r="L1117" s="35">
        <f t="shared" si="324"/>
        <v>1</v>
      </c>
      <c r="M1117" s="77" cm="1">
        <f t="array" ref="M1117">_xlfn.IFS(BOM!I1117="RM-PACKING","100%",B1117="Reynolds",VLOOKUP(H1117,'Yield &amp; Time'!A:V,22,0),BOM!B1117="Dnata",VLOOKUP(BOM!H1117,'Yield &amp; Time'!A:M,13,0),B1117="NK",VLOOKUP(H1117,'Yield &amp; Time'!A:X,24,0))</f>
        <v>0.70588235294117652</v>
      </c>
      <c r="N1117" s="35">
        <f t="shared" si="317"/>
        <v>1.4166666666666665</v>
      </c>
      <c r="O1117" s="1" t="str">
        <f>VLOOKUP(H1117,'RM Used'!A:E,5,0)</f>
        <v>KG</v>
      </c>
      <c r="P1117" s="11">
        <f>VLOOKUP(H1117,'RM Used'!A:F,6,0)</f>
        <v>2.76</v>
      </c>
      <c r="Q1117" s="11">
        <f t="shared" si="333"/>
        <v>3.9099999999999993</v>
      </c>
      <c r="R1117" s="11">
        <f>IFERROR(IF(B1117="Reynolds",VLOOKUP(H1117,'Yield &amp; Time'!A:U,21,0),VLOOKUP(H1117,'Yield &amp; Time'!A:L,12,0)),0)</f>
        <v>1.2111111111111112</v>
      </c>
      <c r="S1117" s="11">
        <f t="shared" si="325"/>
        <v>0.40996111111111111</v>
      </c>
      <c r="T1117" s="11">
        <f t="shared" si="326"/>
        <v>2.0185185185185188E-2</v>
      </c>
      <c r="U1117" s="11">
        <f>IF(A1116=A1117,0,VLOOKUP(A1117,'Packing Time'!A:F,6,0))</f>
        <v>0.64166666666666661</v>
      </c>
      <c r="V1117" s="11">
        <f t="shared" si="319"/>
        <v>0.21720416666666661</v>
      </c>
      <c r="W1117" s="11">
        <f t="shared" si="320"/>
        <v>1.0694444444444444E-2</v>
      </c>
      <c r="X1117" s="11">
        <f t="shared" si="327"/>
        <v>0.87803138888888876</v>
      </c>
      <c r="Y1117" s="11">
        <f t="shared" si="321"/>
        <v>0.87803138888888876</v>
      </c>
      <c r="Z1117" s="37">
        <v>1</v>
      </c>
      <c r="AA1117" s="36">
        <f t="shared" si="328"/>
        <v>1.4166666666666665</v>
      </c>
      <c r="AB1117" s="36">
        <f t="shared" si="329"/>
        <v>3.9099999999999993</v>
      </c>
      <c r="AC1117" s="11">
        <f t="shared" si="330"/>
        <v>4.3231481481481482E-2</v>
      </c>
      <c r="AD1117" s="36">
        <f t="shared" si="322"/>
        <v>0.87803138888888876</v>
      </c>
      <c r="AE1117" s="36" t="str">
        <f>VLOOKUP(H1117,'Yield &amp; Time'!A:I,9,0)</f>
        <v>CHLORINE</v>
      </c>
      <c r="AF1117" s="36">
        <f>IFERROR(VLOOKUP(AE1117,'Chemical Cost'!A:D,4,0),0)</f>
        <v>2.7756518066439469E-2</v>
      </c>
      <c r="AG1117" s="114">
        <f t="shared" si="331"/>
        <v>1.3107244642485303E-2</v>
      </c>
      <c r="AH1117" s="36">
        <f t="shared" si="334"/>
        <v>1.3107244642485303E-2</v>
      </c>
      <c r="AI1117" s="36">
        <f t="shared" si="323"/>
        <v>4.8011386335313739</v>
      </c>
      <c r="AJ1117" s="36">
        <f>IFERROR(VLOOKUP(A1117,'All Products'!A:F,6,0),0)</f>
        <v>7.37</v>
      </c>
      <c r="AK1117" s="36">
        <f>AJ1117*Z1117*J1117</f>
        <v>7.37</v>
      </c>
      <c r="AL1117" s="23">
        <v>1</v>
      </c>
      <c r="AM1117" s="23"/>
      <c r="AN1117" s="54" t="e">
        <v>#N/A</v>
      </c>
      <c r="AO1117" s="47"/>
      <c r="AP1117" s="4">
        <v>1.4</v>
      </c>
      <c r="AQ1117" s="111">
        <f t="shared" si="332"/>
        <v>4.3231481481481482E-2</v>
      </c>
      <c r="AR1117">
        <f>_xlfn.XLOOKUP(F1117,'RM Cost'!A:A,'RM Cost'!S:S)</f>
        <v>0</v>
      </c>
      <c r="AS1117" t="str">
        <f>_xlfn.XLOOKUP(A1117,[3]Sheet1!$B:$B,[3]Sheet1!$B:$B)</f>
        <v>Z298CS</v>
      </c>
      <c r="AT1117">
        <f>_xlfn.XLOOKUP(H1117,'Yield &amp; Time'!A:A,'Yield &amp; Time'!F:F)</f>
        <v>0</v>
      </c>
    </row>
    <row r="1118" spans="1:46" x14ac:dyDescent="0.25">
      <c r="A1118" s="16" t="s">
        <v>269</v>
      </c>
      <c r="B1118" s="2" t="s">
        <v>656</v>
      </c>
      <c r="C1118" s="2" t="s">
        <v>988</v>
      </c>
      <c r="D1118" s="2" t="s">
        <v>554</v>
      </c>
      <c r="E1118" s="2">
        <v>1</v>
      </c>
      <c r="F1118" s="1" t="str">
        <f>VLOOKUP(H1118,'RM Used'!A:B,2,0)</f>
        <v>P0008</v>
      </c>
      <c r="G1118" s="1" t="str">
        <f>IFERROR(VLOOKUP(F1118,'RM Cost'!A:B,2,0),"")</f>
        <v>PALE BLUE BAG 470X750MM</v>
      </c>
      <c r="H1118" s="2" t="s">
        <v>1323</v>
      </c>
      <c r="I1118" s="1" t="str">
        <f>VLOOKUP(F1118,'RM Used'!B:D,3,0)</f>
        <v>RM-PACKING</v>
      </c>
      <c r="J1118" s="66">
        <v>1</v>
      </c>
      <c r="K1118" s="35" t="str">
        <f t="shared" si="318"/>
        <v/>
      </c>
      <c r="L1118" s="35">
        <f t="shared" si="324"/>
        <v>0</v>
      </c>
      <c r="M1118" s="77" t="str" cm="1">
        <f t="array" ref="M1118">_xlfn.IFS(BOM!I1118="RM-PACKING","100%",B1118="Reynolds",VLOOKUP(H1118,'Yield &amp; Time'!A:V,22,0),BOM!B1118="Dnata",VLOOKUP(BOM!H1118,'Yield &amp; Time'!A:M,13,0),B1118="NK",VLOOKUP(H1118,'Yield &amp; Time'!A:X,24,0))</f>
        <v>100%</v>
      </c>
      <c r="N1118" s="35">
        <f t="shared" si="317"/>
        <v>1</v>
      </c>
      <c r="O1118" s="1" t="str">
        <f>VLOOKUP(H1118,'RM Used'!A:E,5,0)</f>
        <v>Count</v>
      </c>
      <c r="P1118" s="11">
        <f>VLOOKUP(H1118,'RM Used'!A:F,6,0)</f>
        <v>0.14000000000000001</v>
      </c>
      <c r="Q1118" s="11">
        <f t="shared" si="333"/>
        <v>0.14000000000000001</v>
      </c>
      <c r="R1118" s="11">
        <f>IFERROR(IF(B1118="Reynolds",VLOOKUP(H1118,'Yield &amp; Time'!A:U,21,0),VLOOKUP(H1118,'Yield &amp; Time'!A:L,12,0)),0)</f>
        <v>0</v>
      </c>
      <c r="S1118" s="11">
        <f t="shared" si="325"/>
        <v>0</v>
      </c>
      <c r="T1118" s="11">
        <f t="shared" si="326"/>
        <v>0</v>
      </c>
      <c r="U1118" s="11">
        <f>IF(A1117=A1118,0,VLOOKUP(A1118,'Packing Time'!A:F,6,0))</f>
        <v>0</v>
      </c>
      <c r="V1118" s="11">
        <f t="shared" si="319"/>
        <v>0</v>
      </c>
      <c r="W1118" s="11">
        <f t="shared" si="320"/>
        <v>0</v>
      </c>
      <c r="X1118" s="11">
        <f t="shared" si="327"/>
        <v>0</v>
      </c>
      <c r="Y1118" s="11">
        <f t="shared" si="321"/>
        <v>0</v>
      </c>
      <c r="Z1118" s="37">
        <v>1</v>
      </c>
      <c r="AA1118" s="36">
        <f t="shared" si="328"/>
        <v>1</v>
      </c>
      <c r="AB1118" s="36">
        <f t="shared" si="329"/>
        <v>0.14000000000000001</v>
      </c>
      <c r="AC1118" s="11">
        <f t="shared" si="330"/>
        <v>0</v>
      </c>
      <c r="AD1118" s="36">
        <f t="shared" si="322"/>
        <v>0</v>
      </c>
      <c r="AE1118" s="36"/>
      <c r="AF1118" s="36">
        <f>IFERROR(VLOOKUP(AE1118,'Chemical Cost'!A:D,4,0),0)</f>
        <v>0</v>
      </c>
      <c r="AG1118" s="114">
        <f t="shared" si="331"/>
        <v>0</v>
      </c>
      <c r="AH1118" s="36">
        <f t="shared" si="334"/>
        <v>0</v>
      </c>
      <c r="AI1118" s="36">
        <f t="shared" si="323"/>
        <v>0.14000000000000001</v>
      </c>
      <c r="AJ1118" s="36">
        <f>IFERROR(VLOOKUP(A1118,'All Products'!A:F,6,0),0)</f>
        <v>7.37</v>
      </c>
      <c r="AK1118" s="36"/>
      <c r="AL1118" s="23">
        <v>1</v>
      </c>
      <c r="AM1118" s="23"/>
      <c r="AN1118" s="54" t="e">
        <v>#N/A</v>
      </c>
      <c r="AO1118" s="47"/>
      <c r="AP1118" s="4">
        <v>1.4</v>
      </c>
      <c r="AQ1118" s="111">
        <f t="shared" si="332"/>
        <v>0</v>
      </c>
      <c r="AR1118">
        <f>_xlfn.XLOOKUP(F1118,'RM Cost'!A:A,'RM Cost'!S:S)</f>
        <v>0</v>
      </c>
      <c r="AS1118" t="str">
        <f>_xlfn.XLOOKUP(A1118,[3]Sheet1!$B:$B,[3]Sheet1!$B:$B)</f>
        <v>Z298CS</v>
      </c>
      <c r="AT1118" t="e">
        <f>_xlfn.XLOOKUP(H1118,'Yield &amp; Time'!A:A,'Yield &amp; Time'!F:F)</f>
        <v>#N/A</v>
      </c>
    </row>
    <row r="1119" spans="1:46" x14ac:dyDescent="0.25">
      <c r="A1119" s="16" t="s">
        <v>429</v>
      </c>
      <c r="B1119" s="2" t="s">
        <v>656</v>
      </c>
      <c r="C1119" s="2" t="s">
        <v>430</v>
      </c>
      <c r="D1119" s="2" t="s">
        <v>554</v>
      </c>
      <c r="E1119" s="2">
        <v>1</v>
      </c>
      <c r="F1119" s="1" t="str">
        <f>VLOOKUP(H1119,'RM Used'!A:B,2,0)</f>
        <v>3026CS</v>
      </c>
      <c r="G1119" s="1" t="str">
        <f>IFERROR(VLOOKUP(F1119,'RM Cost'!A:B,2,0),"")</f>
        <v>RM - BEETROOT RAW  X10KG</v>
      </c>
      <c r="H1119" s="2" t="s">
        <v>1602</v>
      </c>
      <c r="I1119" s="1" t="str">
        <f>VLOOKUP(F1119,'RM Used'!B:D,3,0)</f>
        <v>RM-FOOD</v>
      </c>
      <c r="J1119" s="66">
        <v>1</v>
      </c>
      <c r="K1119" s="35">
        <f t="shared" si="318"/>
        <v>1</v>
      </c>
      <c r="L1119" s="35">
        <f t="shared" si="324"/>
        <v>1</v>
      </c>
      <c r="M1119" s="77" cm="1">
        <f t="array" ref="M1119">_xlfn.IFS(BOM!I1119="RM-PACKING","100%",B1119="Reynolds",VLOOKUP(H1119,'Yield &amp; Time'!A:V,22,0),BOM!B1119="Dnata",VLOOKUP(BOM!H1119,'Yield &amp; Time'!A:M,13,0),B1119="NK",VLOOKUP(H1119,'Yield &amp; Time'!A:X,24,0))</f>
        <v>0.37823834196891187</v>
      </c>
      <c r="N1119" s="35">
        <f t="shared" ref="N1119:N1142" si="335">IFERROR(IF(I1119="RM-FOOD",(E1119*J1119)/M1119,1),0)</f>
        <v>2.6438356164383565</v>
      </c>
      <c r="O1119" s="1" t="str">
        <f>VLOOKUP(H1119,'RM Used'!A:E,5,0)</f>
        <v>KG</v>
      </c>
      <c r="P1119" s="11">
        <f>VLOOKUP(H1119,'RM Used'!A:F,6,0)</f>
        <v>0.47</v>
      </c>
      <c r="Q1119" s="11">
        <f t="shared" si="333"/>
        <v>1.2426027397260275</v>
      </c>
      <c r="R1119" s="11">
        <f>IFERROR(IF(B1119="Reynolds",VLOOKUP(H1119,'Yield &amp; Time'!A:U,21,0),VLOOKUP(H1119,'Yield &amp; Time'!A:L,12,0)),0)</f>
        <v>5.1999999999999993</v>
      </c>
      <c r="S1119" s="11">
        <f t="shared" si="325"/>
        <v>1.7601999999999995</v>
      </c>
      <c r="T1119" s="11">
        <f t="shared" si="326"/>
        <v>8.6666666666666656E-2</v>
      </c>
      <c r="U1119" s="11">
        <f>IF(A1118=A1119,0,VLOOKUP(A1119,'Packing Time'!A:F,6,0))</f>
        <v>0.64166666666666661</v>
      </c>
      <c r="V1119" s="11">
        <f t="shared" si="319"/>
        <v>0.21720416666666661</v>
      </c>
      <c r="W1119" s="11">
        <f t="shared" si="320"/>
        <v>1.0694444444444444E-2</v>
      </c>
      <c r="X1119" s="11">
        <f t="shared" si="327"/>
        <v>3.1638466666666663</v>
      </c>
      <c r="Y1119" s="11">
        <f t="shared" si="321"/>
        <v>3.1638466666666663</v>
      </c>
      <c r="Z1119" s="37">
        <v>1</v>
      </c>
      <c r="AA1119" s="36">
        <f t="shared" si="328"/>
        <v>2.6438356164383565</v>
      </c>
      <c r="AB1119" s="36">
        <f t="shared" si="329"/>
        <v>1.2426027397260275</v>
      </c>
      <c r="AC1119" s="11">
        <f t="shared" si="330"/>
        <v>0.15577777777777777</v>
      </c>
      <c r="AD1119" s="36">
        <f t="shared" si="322"/>
        <v>3.1638466666666663</v>
      </c>
      <c r="AE1119" s="36" t="str">
        <f>VLOOKUP(H1119,'Yield &amp; Time'!A:I,9,0)</f>
        <v>CHLORINE</v>
      </c>
      <c r="AF1119" s="36">
        <f>IFERROR(VLOOKUP(AE1119,'Chemical Cost'!A:D,4,0),0)</f>
        <v>2.7756518066439469E-2</v>
      </c>
      <c r="AG1119" s="114">
        <f t="shared" si="331"/>
        <v>2.4461223684122457E-2</v>
      </c>
      <c r="AH1119" s="36">
        <f t="shared" si="334"/>
        <v>2.4461223684122457E-2</v>
      </c>
      <c r="AI1119" s="36">
        <f t="shared" si="323"/>
        <v>4.4309106300768164</v>
      </c>
      <c r="AJ1119" s="36">
        <f>IFERROR(VLOOKUP(A1119,'All Products'!A:F,6,0),0)</f>
        <v>10.210000000000001</v>
      </c>
      <c r="AK1119" s="36">
        <f>AJ1119*Z1119*J1119</f>
        <v>10.210000000000001</v>
      </c>
      <c r="AL1119" s="29">
        <v>1</v>
      </c>
      <c r="AM1119" s="23"/>
      <c r="AN1119" s="54" t="e">
        <v>#N/A</v>
      </c>
      <c r="AO1119" s="47"/>
      <c r="AP1119" s="4">
        <v>1.6</v>
      </c>
      <c r="AQ1119" s="111">
        <f t="shared" si="332"/>
        <v>0.15577777777777777</v>
      </c>
      <c r="AR1119">
        <f>_xlfn.XLOOKUP(F1119,'RM Cost'!A:A,'RM Cost'!S:S)</f>
        <v>0</v>
      </c>
      <c r="AS1119" t="e">
        <f>_xlfn.XLOOKUP(A1119,[3]Sheet1!$B:$B,[3]Sheet1!$B:$B)</f>
        <v>#N/A</v>
      </c>
    </row>
    <row r="1120" spans="1:46" x14ac:dyDescent="0.25">
      <c r="A1120" s="16" t="s">
        <v>429</v>
      </c>
      <c r="B1120" s="2" t="s">
        <v>656</v>
      </c>
      <c r="C1120" s="2" t="s">
        <v>430</v>
      </c>
      <c r="D1120" s="2" t="s">
        <v>554</v>
      </c>
      <c r="E1120" s="2">
        <v>1</v>
      </c>
      <c r="F1120" s="1" t="str">
        <f>VLOOKUP(H1120,'RM Used'!A:B,2,0)</f>
        <v>P0008</v>
      </c>
      <c r="G1120" s="1" t="str">
        <f>IFERROR(VLOOKUP(F1120,'RM Cost'!A:B,2,0),"")</f>
        <v>PALE BLUE BAG 470X750MM</v>
      </c>
      <c r="H1120" s="2" t="s">
        <v>1323</v>
      </c>
      <c r="I1120" s="1" t="str">
        <f>VLOOKUP(F1120,'RM Used'!B:D,3,0)</f>
        <v>RM-PACKING</v>
      </c>
      <c r="J1120" s="66">
        <v>1</v>
      </c>
      <c r="K1120" s="35" t="str">
        <f t="shared" si="318"/>
        <v/>
      </c>
      <c r="L1120" s="35">
        <f t="shared" si="324"/>
        <v>0</v>
      </c>
      <c r="M1120" s="77" t="str" cm="1">
        <f t="array" ref="M1120">_xlfn.IFS(BOM!I1120="RM-PACKING","100%",B1120="Reynolds",VLOOKUP(H1120,'Yield &amp; Time'!A:V,22,0),BOM!B1120="Dnata",VLOOKUP(BOM!H1120,'Yield &amp; Time'!A:M,13,0),B1120="NK",VLOOKUP(H1120,'Yield &amp; Time'!A:X,24,0))</f>
        <v>100%</v>
      </c>
      <c r="N1120" s="35">
        <f t="shared" si="335"/>
        <v>1</v>
      </c>
      <c r="O1120" s="1" t="str">
        <f>VLOOKUP(H1120,'RM Used'!A:E,5,0)</f>
        <v>Count</v>
      </c>
      <c r="P1120" s="11">
        <f>VLOOKUP(H1120,'RM Used'!A:F,6,0)</f>
        <v>0.14000000000000001</v>
      </c>
      <c r="Q1120" s="11">
        <f t="shared" si="333"/>
        <v>0.14000000000000001</v>
      </c>
      <c r="R1120" s="11">
        <f>IFERROR(IF(B1120="Reynolds",VLOOKUP(H1120,'Yield &amp; Time'!A:U,21,0),VLOOKUP(H1120,'Yield &amp; Time'!A:L,12,0)),0)</f>
        <v>0</v>
      </c>
      <c r="S1120" s="11">
        <f t="shared" si="325"/>
        <v>0</v>
      </c>
      <c r="T1120" s="11">
        <f t="shared" si="326"/>
        <v>0</v>
      </c>
      <c r="U1120" s="11">
        <f>IF(A1119=A1120,0,VLOOKUP(A1120,'Packing Time'!A:F,6,0))</f>
        <v>0</v>
      </c>
      <c r="V1120" s="11">
        <f t="shared" si="319"/>
        <v>0</v>
      </c>
      <c r="W1120" s="11">
        <f t="shared" si="320"/>
        <v>0</v>
      </c>
      <c r="X1120" s="11">
        <f t="shared" si="327"/>
        <v>0</v>
      </c>
      <c r="Y1120" s="11">
        <f t="shared" si="321"/>
        <v>0</v>
      </c>
      <c r="Z1120" s="37">
        <v>1</v>
      </c>
      <c r="AA1120" s="36">
        <f t="shared" si="328"/>
        <v>1</v>
      </c>
      <c r="AB1120" s="36">
        <f t="shared" si="329"/>
        <v>0.14000000000000001</v>
      </c>
      <c r="AC1120" s="11">
        <f t="shared" si="330"/>
        <v>0</v>
      </c>
      <c r="AD1120" s="36">
        <f t="shared" si="322"/>
        <v>0</v>
      </c>
      <c r="AE1120" s="36"/>
      <c r="AF1120" s="36">
        <f>IFERROR(VLOOKUP(AE1120,'Chemical Cost'!A:D,4,0),0)</f>
        <v>0</v>
      </c>
      <c r="AG1120" s="114">
        <f t="shared" si="331"/>
        <v>0</v>
      </c>
      <c r="AH1120" s="36">
        <f t="shared" si="334"/>
        <v>0</v>
      </c>
      <c r="AI1120" s="36">
        <f t="shared" si="323"/>
        <v>0.14000000000000001</v>
      </c>
      <c r="AJ1120" s="36">
        <f>IFERROR(VLOOKUP(A1120,'All Products'!A:F,6,0),0)</f>
        <v>10.210000000000001</v>
      </c>
      <c r="AK1120" s="36"/>
      <c r="AL1120" s="29">
        <v>1</v>
      </c>
      <c r="AM1120" s="23"/>
      <c r="AN1120" s="54" t="e">
        <v>#N/A</v>
      </c>
      <c r="AO1120" s="47"/>
      <c r="AP1120" s="4">
        <v>1.6</v>
      </c>
      <c r="AQ1120" s="111">
        <f t="shared" si="332"/>
        <v>0</v>
      </c>
      <c r="AR1120">
        <f>_xlfn.XLOOKUP(F1120,'RM Cost'!A:A,'RM Cost'!S:S)</f>
        <v>0</v>
      </c>
      <c r="AS1120" t="e">
        <f>_xlfn.XLOOKUP(A1120,[3]Sheet1!$B:$B,[3]Sheet1!$B:$B)</f>
        <v>#N/A</v>
      </c>
    </row>
    <row r="1121" spans="1:46" x14ac:dyDescent="0.25">
      <c r="A1121" s="16" t="s">
        <v>1</v>
      </c>
      <c r="B1121" s="2" t="s">
        <v>552</v>
      </c>
      <c r="C1121" s="2" t="s">
        <v>2</v>
      </c>
      <c r="D1121" s="2" t="s">
        <v>554</v>
      </c>
      <c r="E1121" s="2">
        <v>2</v>
      </c>
      <c r="F1121" s="1" t="str">
        <f>VLOOKUP(H1121,'RM Used'!A:B,2,0)</f>
        <v>3107CS</v>
      </c>
      <c r="G1121" s="1" t="str">
        <f>IFERROR(VLOOKUP(F1121,'RM Cost'!A:B,2,0),"")</f>
        <v>RM - KOHL RABI X 20EA</v>
      </c>
      <c r="H1121" s="1" t="s">
        <v>1603</v>
      </c>
      <c r="I1121" s="1" t="str">
        <f>VLOOKUP(F1121,'RM Used'!B:D,3,0)</f>
        <v>RM-FOOD</v>
      </c>
      <c r="J1121" s="66">
        <v>1</v>
      </c>
      <c r="K1121" s="35">
        <f t="shared" ref="K1121:K1185" si="336">IF(I1121="RM-FOOD",J1121*E1121,"")</f>
        <v>2</v>
      </c>
      <c r="L1121" s="35">
        <f t="shared" si="324"/>
        <v>2</v>
      </c>
      <c r="M1121" s="77" cm="1">
        <f t="array" ref="M1121">_xlfn.IFS(BOM!I1121="RM-PACKING","100%",B1121="Reynolds",VLOOKUP(H1121,'Yield &amp; Time'!A:V,22,0),BOM!B1121="Dnata",VLOOKUP(BOM!H1121,'Yield &amp; Time'!A:M,13,0),B1121="NK",VLOOKUP(H1121,'Yield &amp; Time'!A:X,24,0))</f>
        <v>0.7</v>
      </c>
      <c r="N1121" s="35">
        <f t="shared" si="335"/>
        <v>2.8571428571428572</v>
      </c>
      <c r="O1121" s="1" t="str">
        <f>VLOOKUP(H1121,'RM Used'!A:E,5,0)</f>
        <v>KG</v>
      </c>
      <c r="P1121" s="11">
        <f>VLOOKUP(H1121,'RM Used'!A:F,6,0)</f>
        <v>2.2399999999999998</v>
      </c>
      <c r="Q1121" s="11">
        <f t="shared" si="333"/>
        <v>6.3999999999999995</v>
      </c>
      <c r="R1121" s="11">
        <f>IFERROR(IF(B1121="Reynolds",VLOOKUP(H1121,'Yield &amp; Time'!A:U,21,0),VLOOKUP(H1121,'Yield &amp; Time'!A:L,12,0)),0)</f>
        <v>3.5</v>
      </c>
      <c r="S1121" s="11">
        <f t="shared" si="325"/>
        <v>2.3694999999999999</v>
      </c>
      <c r="T1121" s="11">
        <f t="shared" si="326"/>
        <v>0.11666666666666667</v>
      </c>
      <c r="U1121" s="11">
        <f>IF(A1120=A1121,0,VLOOKUP(A1121,'Packing Time'!A:F,6,0))</f>
        <v>0.8</v>
      </c>
      <c r="V1121" s="11">
        <f t="shared" si="319"/>
        <v>0.27079999999999999</v>
      </c>
      <c r="W1121" s="11">
        <f t="shared" si="320"/>
        <v>1.3333333333333334E-2</v>
      </c>
      <c r="X1121" s="11">
        <f t="shared" si="327"/>
        <v>4.2244799999999998</v>
      </c>
      <c r="Y1121" s="11">
        <f t="shared" si="321"/>
        <v>4.2244799999999998</v>
      </c>
      <c r="Z1121" s="37">
        <v>1</v>
      </c>
      <c r="AA1121" s="36">
        <f t="shared" si="328"/>
        <v>2.8571428571428572</v>
      </c>
      <c r="AB1121" s="36">
        <f t="shared" si="329"/>
        <v>6.3999999999999995</v>
      </c>
      <c r="AC1121" s="11">
        <f t="shared" si="330"/>
        <v>0.20800000000000002</v>
      </c>
      <c r="AD1121" s="36">
        <f t="shared" si="322"/>
        <v>4.2244799999999998</v>
      </c>
      <c r="AE1121" s="36" t="str">
        <f>VLOOKUP(H1121,'Yield &amp; Time'!A:R,18,0)</f>
        <v>CHLORINE</v>
      </c>
      <c r="AF1121" s="36">
        <f>IFERROR(VLOOKUP(AE1121,'Chemical Cost'!A:D,4,0),0)</f>
        <v>2.7756518066439469E-2</v>
      </c>
      <c r="AG1121" s="114">
        <f t="shared" si="331"/>
        <v>2.6434779110894733E-2</v>
      </c>
      <c r="AH1121" s="36">
        <f t="shared" si="334"/>
        <v>2.6434779110894733E-2</v>
      </c>
      <c r="AI1121" s="36">
        <f t="shared" si="323"/>
        <v>10.650914779110893</v>
      </c>
      <c r="AJ1121" s="36">
        <f>IFERROR(VLOOKUP(A1121,'All Products'!A:F,6,0),0)</f>
        <v>4.92</v>
      </c>
      <c r="AK1121" s="36">
        <f>AJ1121*Z1121*J1121</f>
        <v>4.92</v>
      </c>
      <c r="AL1121" s="23">
        <v>1</v>
      </c>
      <c r="AM1121" s="23"/>
      <c r="AN1121" s="54" t="e">
        <v>#N/A</v>
      </c>
      <c r="AO1121" s="47"/>
      <c r="AP1121" s="4">
        <v>1.6</v>
      </c>
      <c r="AQ1121" s="111">
        <f t="shared" si="332"/>
        <v>0.20800000000000002</v>
      </c>
      <c r="AR1121">
        <f>_xlfn.XLOOKUP(F1121,'RM Cost'!A:A,'RM Cost'!S:S)</f>
        <v>0</v>
      </c>
      <c r="AS1121" t="e">
        <f>_xlfn.XLOOKUP(A1121,[3]Sheet1!$B:$B,[3]Sheet1!$B:$B)</f>
        <v>#N/A</v>
      </c>
    </row>
    <row r="1122" spans="1:46" x14ac:dyDescent="0.25">
      <c r="A1122" s="16" t="s">
        <v>1</v>
      </c>
      <c r="B1122" s="2" t="s">
        <v>552</v>
      </c>
      <c r="C1122" s="2" t="s">
        <v>2</v>
      </c>
      <c r="D1122" s="2" t="s">
        <v>554</v>
      </c>
      <c r="E1122" s="2">
        <v>2</v>
      </c>
      <c r="F1122" s="1" t="str">
        <f>VLOOKUP(H1122,'RM Used'!A:B,2,0)</f>
        <v>P0020</v>
      </c>
      <c r="G1122" s="1" t="str">
        <f>IFERROR(VLOOKUP(F1122,'RM Cost'!A:B,2,0),"")</f>
        <v>PALE BLUE BAG 430X430MM</v>
      </c>
      <c r="H1122" s="2" t="s">
        <v>1659</v>
      </c>
      <c r="I1122" s="1" t="str">
        <f>VLOOKUP(F1122,'RM Used'!B:D,3,0)</f>
        <v>RM-PACKING</v>
      </c>
      <c r="J1122" s="66">
        <v>1</v>
      </c>
      <c r="K1122" s="35" t="str">
        <f t="shared" si="336"/>
        <v/>
      </c>
      <c r="L1122" s="35">
        <f t="shared" si="324"/>
        <v>0</v>
      </c>
      <c r="M1122" s="77" t="str" cm="1">
        <f t="array" ref="M1122">_xlfn.IFS(BOM!I1122="RM-PACKING","100%",B1122="Reynolds",VLOOKUP(H1122,'Yield &amp; Time'!A:V,22,0),BOM!B1122="Dnata",VLOOKUP(BOM!H1122,'Yield &amp; Time'!A:M,13,0),B1122="NK",VLOOKUP(H1122,'Yield &amp; Time'!A:X,24,0))</f>
        <v>100%</v>
      </c>
      <c r="N1122" s="35">
        <f t="shared" si="335"/>
        <v>1</v>
      </c>
      <c r="O1122" s="1" t="str">
        <f>VLOOKUP(H1122,'RM Used'!A:E,5,0)</f>
        <v>Count</v>
      </c>
      <c r="P1122" s="11">
        <f>VLOOKUP(H1122,'RM Used'!A:F,6,0)</f>
        <v>0.09</v>
      </c>
      <c r="Q1122" s="11">
        <f t="shared" si="333"/>
        <v>0.09</v>
      </c>
      <c r="R1122" s="11">
        <f>IFERROR(IF(B1122="Reynolds",VLOOKUP(H1122,'Yield &amp; Time'!A:U,21,0),VLOOKUP(H1122,'Yield &amp; Time'!A:L,12,0)),0)</f>
        <v>0</v>
      </c>
      <c r="S1122" s="11">
        <f t="shared" si="325"/>
        <v>0</v>
      </c>
      <c r="T1122" s="11">
        <f t="shared" si="326"/>
        <v>0</v>
      </c>
      <c r="U1122" s="11">
        <f>IF(A1121=A1122,0,VLOOKUP(A1122,'Packing Time'!A:F,6,0))</f>
        <v>0</v>
      </c>
      <c r="V1122" s="11">
        <f t="shared" ref="V1122:V1186" si="337">U1122*AO$1</f>
        <v>0</v>
      </c>
      <c r="W1122" s="11">
        <f t="shared" ref="W1122:W1186" si="338">(U1122*Z1122)/60</f>
        <v>0</v>
      </c>
      <c r="X1122" s="11">
        <f t="shared" si="327"/>
        <v>0</v>
      </c>
      <c r="Y1122" s="11">
        <f t="shared" ref="Y1122:Y1186" si="339">X1122*Z1122</f>
        <v>0</v>
      </c>
      <c r="Z1122" s="37">
        <v>1</v>
      </c>
      <c r="AA1122" s="36">
        <f t="shared" si="328"/>
        <v>1</v>
      </c>
      <c r="AB1122" s="36">
        <f t="shared" si="329"/>
        <v>0.09</v>
      </c>
      <c r="AC1122" s="11">
        <f t="shared" si="330"/>
        <v>0</v>
      </c>
      <c r="AD1122" s="36">
        <f t="shared" ref="AD1122:AD1186" si="340">AC1122*60*AO$1</f>
        <v>0</v>
      </c>
      <c r="AE1122" s="36"/>
      <c r="AF1122" s="36">
        <f>IFERROR(VLOOKUP(AE1122,'Chemical Cost'!A:D,4,0),0)</f>
        <v>0</v>
      </c>
      <c r="AG1122" s="114">
        <f t="shared" si="331"/>
        <v>0</v>
      </c>
      <c r="AH1122" s="36">
        <f t="shared" si="334"/>
        <v>0</v>
      </c>
      <c r="AI1122" s="36">
        <f t="shared" ref="AI1122:AI1186" si="341">IFERROR((Q1122*Z1122)+(Z1122*X1122)+AH1122,0)</f>
        <v>0.09</v>
      </c>
      <c r="AJ1122" s="36">
        <f>IFERROR(VLOOKUP(A1122,'All Products'!A:F,6,0),0)</f>
        <v>4.92</v>
      </c>
      <c r="AK1122" s="36"/>
      <c r="AL1122" s="23">
        <v>1</v>
      </c>
      <c r="AM1122" s="23"/>
      <c r="AN1122" s="54" t="e">
        <v>#N/A</v>
      </c>
      <c r="AO1122" s="47"/>
      <c r="AP1122" s="4">
        <v>1.6</v>
      </c>
      <c r="AQ1122" s="111">
        <f t="shared" si="332"/>
        <v>0</v>
      </c>
      <c r="AR1122">
        <f>_xlfn.XLOOKUP(F1122,'RM Cost'!A:A,'RM Cost'!S:S)</f>
        <v>0</v>
      </c>
      <c r="AS1122" t="e">
        <f>_xlfn.XLOOKUP(A1122,[3]Sheet1!$B:$B,[3]Sheet1!$B:$B)</f>
        <v>#N/A</v>
      </c>
    </row>
    <row r="1123" spans="1:46" x14ac:dyDescent="0.25">
      <c r="A1123" s="16" t="s">
        <v>353</v>
      </c>
      <c r="B1123" s="2" t="s">
        <v>552</v>
      </c>
      <c r="C1123" s="2" t="s">
        <v>354</v>
      </c>
      <c r="D1123" s="2" t="s">
        <v>554</v>
      </c>
      <c r="E1123" s="2">
        <v>2.5</v>
      </c>
      <c r="F1123" s="1" t="str">
        <f>VLOOKUP(H1123,'RM Used'!A:B,2,0)</f>
        <v>283ACS</v>
      </c>
      <c r="G1123" s="1" t="str">
        <f>IFERROR(VLOOKUP(F1123,'RM Cost'!A:B,2,0),"")</f>
        <v>RM - BUTTERNUT SQUASH BIN X 625KG</v>
      </c>
      <c r="H1123" s="2" t="s">
        <v>1604</v>
      </c>
      <c r="I1123" s="1" t="str">
        <f>VLOOKUP(F1123,'RM Used'!B:D,3,0)</f>
        <v>RM-FOOD</v>
      </c>
      <c r="J1123" s="66">
        <v>1</v>
      </c>
      <c r="K1123" s="35">
        <f t="shared" si="336"/>
        <v>2.5</v>
      </c>
      <c r="L1123" s="35">
        <f t="shared" si="324"/>
        <v>2.5</v>
      </c>
      <c r="M1123" s="77" cm="1">
        <f t="array" ref="M1123">_xlfn.IFS(BOM!I1123="RM-PACKING","100%",B1123="Reynolds",VLOOKUP(H1123,'Yield &amp; Time'!A:V,22,0),BOM!B1123="Dnata",VLOOKUP(BOM!H1123,'Yield &amp; Time'!A:M,13,0),B1123="NK",VLOOKUP(H1123,'Yield &amp; Time'!A:X,24,0))</f>
        <v>0.73089545241443976</v>
      </c>
      <c r="N1123" s="35">
        <f t="shared" si="335"/>
        <v>3.4204618345093007</v>
      </c>
      <c r="O1123" s="1" t="str">
        <f>VLOOKUP(H1123,'RM Used'!A:E,5,0)</f>
        <v>KG</v>
      </c>
      <c r="P1123" s="11">
        <f>VLOOKUP(H1123,'RM Used'!A:F,6,0)</f>
        <v>0.65</v>
      </c>
      <c r="Q1123" s="11">
        <f t="shared" si="333"/>
        <v>2.2233001924310454</v>
      </c>
      <c r="R1123" s="11">
        <f>IFERROR(IF(B1123="Reynolds",VLOOKUP(H1123,'Yield &amp; Time'!A:U,21,0),VLOOKUP(H1123,'Yield &amp; Time'!A:L,12,0)),0)</f>
        <v>1.6570451143895659</v>
      </c>
      <c r="S1123" s="11">
        <f t="shared" si="325"/>
        <v>1.4022744280521702</v>
      </c>
      <c r="T1123" s="11">
        <f t="shared" si="326"/>
        <v>6.9043546432898589E-2</v>
      </c>
      <c r="U1123" s="11">
        <f>IF(A1122=A1123,0,VLOOKUP(A1123,'Packing Time'!A:F,6,0))</f>
        <v>0.875</v>
      </c>
      <c r="V1123" s="11">
        <f t="shared" si="337"/>
        <v>0.29618749999999999</v>
      </c>
      <c r="W1123" s="11">
        <f t="shared" si="338"/>
        <v>1.4583333333333334E-2</v>
      </c>
      <c r="X1123" s="11">
        <f t="shared" si="327"/>
        <v>2.7175390848834722</v>
      </c>
      <c r="Y1123" s="11">
        <f t="shared" si="339"/>
        <v>2.7175390848834722</v>
      </c>
      <c r="Z1123" s="37">
        <v>1</v>
      </c>
      <c r="AA1123" s="36">
        <f t="shared" si="328"/>
        <v>3.4204618345093007</v>
      </c>
      <c r="AB1123" s="36">
        <f t="shared" si="329"/>
        <v>2.2233001924310454</v>
      </c>
      <c r="AC1123" s="11">
        <f t="shared" si="330"/>
        <v>0.13380300762597105</v>
      </c>
      <c r="AD1123" s="36">
        <f t="shared" si="340"/>
        <v>2.7175390848834722</v>
      </c>
      <c r="AE1123" s="36"/>
      <c r="AF1123" s="36">
        <f>IFERROR(VLOOKUP(AE1123,'Chemical Cost'!A:D,4,0),0)</f>
        <v>0</v>
      </c>
      <c r="AG1123" s="114">
        <f t="shared" si="331"/>
        <v>0</v>
      </c>
      <c r="AH1123" s="36">
        <f t="shared" si="334"/>
        <v>0</v>
      </c>
      <c r="AI1123" s="36">
        <f t="shared" si="341"/>
        <v>4.9408392773145176</v>
      </c>
      <c r="AJ1123" s="36">
        <f>IFERROR(VLOOKUP(A1123,'All Products'!A:F,6,0),0)</f>
        <v>11.33</v>
      </c>
      <c r="AK1123" s="36">
        <f>AJ1123*Z1123*J1123</f>
        <v>11.33</v>
      </c>
      <c r="AL1123" s="23">
        <v>1</v>
      </c>
      <c r="AM1123" s="23"/>
      <c r="AN1123" s="54" t="e">
        <v>#N/A</v>
      </c>
      <c r="AO1123" s="47"/>
      <c r="AP1123" s="4">
        <v>1.6</v>
      </c>
      <c r="AQ1123" s="111">
        <f t="shared" si="332"/>
        <v>0.13380300762597105</v>
      </c>
      <c r="AR1123">
        <f>_xlfn.XLOOKUP(F1123,'RM Cost'!A:A,'RM Cost'!S:S)</f>
        <v>0</v>
      </c>
      <c r="AS1123" t="e">
        <f>_xlfn.XLOOKUP(A1123,[3]Sheet1!$B:$B,[3]Sheet1!$B:$B)</f>
        <v>#N/A</v>
      </c>
    </row>
    <row r="1124" spans="1:46" x14ac:dyDescent="0.25">
      <c r="A1124" s="16" t="s">
        <v>353</v>
      </c>
      <c r="B1124" s="2" t="s">
        <v>552</v>
      </c>
      <c r="C1124" s="2" t="s">
        <v>354</v>
      </c>
      <c r="D1124" s="2" t="s">
        <v>554</v>
      </c>
      <c r="E1124" s="2">
        <v>2.5</v>
      </c>
      <c r="F1124" s="1" t="str">
        <f>VLOOKUP(H1124,'RM Used'!A:B,2,0)</f>
        <v>P0020</v>
      </c>
      <c r="G1124" s="1" t="str">
        <f>IFERROR(VLOOKUP(F1124,'RM Cost'!A:B,2,0),"")</f>
        <v>PALE BLUE BAG 430X430MM</v>
      </c>
      <c r="H1124" s="2" t="s">
        <v>1659</v>
      </c>
      <c r="I1124" s="1" t="str">
        <f>VLOOKUP(F1124,'RM Used'!B:D,3,0)</f>
        <v>RM-PACKING</v>
      </c>
      <c r="J1124" s="66">
        <v>1</v>
      </c>
      <c r="K1124" s="35" t="str">
        <f t="shared" si="336"/>
        <v/>
      </c>
      <c r="L1124" s="35">
        <f t="shared" si="324"/>
        <v>0</v>
      </c>
      <c r="M1124" s="77" t="str" cm="1">
        <f t="array" ref="M1124">_xlfn.IFS(BOM!I1124="RM-PACKING","100%",B1124="Reynolds",VLOOKUP(H1124,'Yield &amp; Time'!A:V,22,0),BOM!B1124="Dnata",VLOOKUP(BOM!H1124,'Yield &amp; Time'!A:M,13,0),B1124="NK",VLOOKUP(H1124,'Yield &amp; Time'!A:X,24,0))</f>
        <v>100%</v>
      </c>
      <c r="N1124" s="35">
        <f t="shared" si="335"/>
        <v>1</v>
      </c>
      <c r="O1124" s="1" t="str">
        <f>VLOOKUP(H1124,'RM Used'!A:E,5,0)</f>
        <v>Count</v>
      </c>
      <c r="P1124" s="11">
        <f>VLOOKUP(H1124,'RM Used'!A:F,6,0)</f>
        <v>0.09</v>
      </c>
      <c r="Q1124" s="11">
        <f t="shared" si="333"/>
        <v>0.09</v>
      </c>
      <c r="R1124" s="11">
        <f>IFERROR(IF(B1124="Reynolds",VLOOKUP(H1124,'Yield &amp; Time'!A:U,21,0),VLOOKUP(H1124,'Yield &amp; Time'!A:L,12,0)),0)</f>
        <v>0</v>
      </c>
      <c r="S1124" s="11">
        <f t="shared" si="325"/>
        <v>0</v>
      </c>
      <c r="T1124" s="11">
        <f t="shared" si="326"/>
        <v>0</v>
      </c>
      <c r="U1124" s="11">
        <f>IF(A1123=A1124,0,VLOOKUP(A1124,'Packing Time'!A:F,6,0))</f>
        <v>0</v>
      </c>
      <c r="V1124" s="11">
        <f t="shared" si="337"/>
        <v>0</v>
      </c>
      <c r="W1124" s="11">
        <f t="shared" si="338"/>
        <v>0</v>
      </c>
      <c r="X1124" s="11">
        <f t="shared" si="327"/>
        <v>0</v>
      </c>
      <c r="Y1124" s="11">
        <f t="shared" si="339"/>
        <v>0</v>
      </c>
      <c r="Z1124" s="37">
        <v>1</v>
      </c>
      <c r="AA1124" s="36">
        <f t="shared" si="328"/>
        <v>1</v>
      </c>
      <c r="AB1124" s="36">
        <f t="shared" si="329"/>
        <v>0.09</v>
      </c>
      <c r="AC1124" s="11">
        <f t="shared" si="330"/>
        <v>0</v>
      </c>
      <c r="AD1124" s="36">
        <f t="shared" si="340"/>
        <v>0</v>
      </c>
      <c r="AE1124" s="36"/>
      <c r="AF1124" s="36">
        <f>IFERROR(VLOOKUP(AE1124,'Chemical Cost'!A:D,4,0),0)</f>
        <v>0</v>
      </c>
      <c r="AG1124" s="114">
        <f t="shared" si="331"/>
        <v>0</v>
      </c>
      <c r="AH1124" s="36">
        <f t="shared" si="334"/>
        <v>0</v>
      </c>
      <c r="AI1124" s="36">
        <f t="shared" si="341"/>
        <v>0.09</v>
      </c>
      <c r="AJ1124" s="36">
        <f>IFERROR(VLOOKUP(A1124,'All Products'!A:F,6,0),0)</f>
        <v>11.33</v>
      </c>
      <c r="AK1124" s="36"/>
      <c r="AL1124" s="23">
        <v>1</v>
      </c>
      <c r="AM1124" s="23"/>
      <c r="AN1124" s="54" t="e">
        <v>#N/A</v>
      </c>
      <c r="AO1124" s="47"/>
      <c r="AP1124" s="4">
        <v>1.6</v>
      </c>
      <c r="AQ1124" s="111">
        <f t="shared" si="332"/>
        <v>0</v>
      </c>
      <c r="AR1124">
        <f>_xlfn.XLOOKUP(F1124,'RM Cost'!A:A,'RM Cost'!S:S)</f>
        <v>0</v>
      </c>
      <c r="AS1124" t="e">
        <f>_xlfn.XLOOKUP(A1124,[3]Sheet1!$B:$B,[3]Sheet1!$B:$B)</f>
        <v>#N/A</v>
      </c>
    </row>
    <row r="1125" spans="1:46" x14ac:dyDescent="0.25">
      <c r="A1125" s="16" t="s">
        <v>353</v>
      </c>
      <c r="B1125" s="2" t="s">
        <v>552</v>
      </c>
      <c r="C1125" s="2" t="s">
        <v>354</v>
      </c>
      <c r="D1125" s="2" t="s">
        <v>554</v>
      </c>
      <c r="E1125" s="2">
        <v>2.5</v>
      </c>
      <c r="F1125" s="1" t="str">
        <f>VLOOKUP(H1125,'RM Used'!A:B,2,0)</f>
        <v>P0016</v>
      </c>
      <c r="G1125" s="1" t="str">
        <f>IFERROR(VLOOKUP(F1125,'RM Cost'!A:B,2,0),"")</f>
        <v>REY 40 30 BOX</v>
      </c>
      <c r="H1125" s="1" t="s">
        <v>1332</v>
      </c>
      <c r="I1125" s="1" t="str">
        <f>VLOOKUP(F1125,'RM Used'!B:D,3,0)</f>
        <v>RM-PACKING</v>
      </c>
      <c r="J1125" s="66">
        <v>1</v>
      </c>
      <c r="K1125" s="35" t="str">
        <f t="shared" si="336"/>
        <v/>
      </c>
      <c r="L1125" s="35">
        <f t="shared" si="324"/>
        <v>0</v>
      </c>
      <c r="M1125" s="77" t="str" cm="1">
        <f t="array" ref="M1125">_xlfn.IFS(BOM!I1125="RM-PACKING","100%",B1125="Reynolds",VLOOKUP(H1125,'Yield &amp; Time'!A:V,22,0),BOM!B1125="Dnata",VLOOKUP(BOM!H1125,'Yield &amp; Time'!A:M,13,0),B1125="NK",VLOOKUP(H1125,'Yield &amp; Time'!A:X,24,0))</f>
        <v>100%</v>
      </c>
      <c r="N1125" s="35">
        <f t="shared" si="335"/>
        <v>1</v>
      </c>
      <c r="O1125" s="1" t="str">
        <f>VLOOKUP(H1125,'RM Used'!A:E,5,0)</f>
        <v>Count</v>
      </c>
      <c r="P1125" s="11">
        <f>VLOOKUP(H1125,'RM Used'!A:F,6,0)</f>
        <v>0.28000000000000003</v>
      </c>
      <c r="Q1125" s="11">
        <f t="shared" si="333"/>
        <v>0.28000000000000003</v>
      </c>
      <c r="R1125" s="11">
        <f>IFERROR(IF(B1125="Reynolds",VLOOKUP(H1125,'Yield &amp; Time'!A:U,21,0),VLOOKUP(H1125,'Yield &amp; Time'!A:L,12,0)),0)</f>
        <v>0</v>
      </c>
      <c r="S1125" s="11">
        <f t="shared" si="325"/>
        <v>0</v>
      </c>
      <c r="T1125" s="11">
        <f t="shared" si="326"/>
        <v>0</v>
      </c>
      <c r="U1125" s="11">
        <f>IF(A1124=A1125,0,VLOOKUP(A1125,'Packing Time'!A:F,6,0))</f>
        <v>0</v>
      </c>
      <c r="V1125" s="11">
        <f t="shared" si="337"/>
        <v>0</v>
      </c>
      <c r="W1125" s="11">
        <f t="shared" si="338"/>
        <v>0</v>
      </c>
      <c r="X1125" s="11">
        <f t="shared" si="327"/>
        <v>0</v>
      </c>
      <c r="Y1125" s="11">
        <f t="shared" si="339"/>
        <v>0</v>
      </c>
      <c r="Z1125" s="37">
        <v>1</v>
      </c>
      <c r="AA1125" s="36">
        <f t="shared" si="328"/>
        <v>1</v>
      </c>
      <c r="AB1125" s="36">
        <f t="shared" si="329"/>
        <v>0.28000000000000003</v>
      </c>
      <c r="AC1125" s="11">
        <f t="shared" si="330"/>
        <v>0</v>
      </c>
      <c r="AD1125" s="36">
        <f t="shared" si="340"/>
        <v>0</v>
      </c>
      <c r="AE1125" s="36"/>
      <c r="AF1125" s="36">
        <f>IFERROR(VLOOKUP(AE1125,'Chemical Cost'!A:D,4,0),0)</f>
        <v>0</v>
      </c>
      <c r="AG1125" s="114">
        <f t="shared" si="331"/>
        <v>0</v>
      </c>
      <c r="AH1125" s="36">
        <f t="shared" si="334"/>
        <v>0</v>
      </c>
      <c r="AI1125" s="36">
        <f t="shared" si="341"/>
        <v>0.28000000000000003</v>
      </c>
      <c r="AJ1125" s="36">
        <f>IFERROR(VLOOKUP(A1125,'All Products'!A:F,6,0),0)</f>
        <v>11.33</v>
      </c>
      <c r="AK1125" s="36"/>
      <c r="AL1125" s="23">
        <v>1</v>
      </c>
      <c r="AM1125" s="23"/>
      <c r="AN1125" s="54" t="e">
        <v>#N/A</v>
      </c>
      <c r="AO1125" s="47"/>
      <c r="AP1125" s="4">
        <v>1.6</v>
      </c>
      <c r="AQ1125" s="111">
        <f t="shared" si="332"/>
        <v>0</v>
      </c>
      <c r="AR1125">
        <f>_xlfn.XLOOKUP(F1125,'RM Cost'!A:A,'RM Cost'!S:S)</f>
        <v>0</v>
      </c>
      <c r="AS1125" t="e">
        <f>_xlfn.XLOOKUP(A1125,[3]Sheet1!$B:$B,[3]Sheet1!$B:$B)</f>
        <v>#N/A</v>
      </c>
    </row>
    <row r="1126" spans="1:46" x14ac:dyDescent="0.25">
      <c r="A1126" s="16" t="s">
        <v>365</v>
      </c>
      <c r="B1126" s="2" t="s">
        <v>552</v>
      </c>
      <c r="C1126" s="2" t="s">
        <v>366</v>
      </c>
      <c r="D1126" s="2" t="s">
        <v>554</v>
      </c>
      <c r="E1126" s="2">
        <v>5</v>
      </c>
      <c r="F1126" s="1" t="str">
        <f>VLOOKUP(H1126,'RM Used'!A:B,2,0)</f>
        <v>3221CS</v>
      </c>
      <c r="G1126" s="1" t="str">
        <f>IFERROR(VLOOKUP(F1126,'RM Cost'!A:B,2,0),"")</f>
        <v>BAKING POTATO X50 EA</v>
      </c>
      <c r="H1126" s="2" t="s">
        <v>1605</v>
      </c>
      <c r="I1126" s="1" t="str">
        <f>VLOOKUP(F1126,'RM Used'!B:D,3,0)</f>
        <v>RM-FOOD</v>
      </c>
      <c r="J1126" s="66">
        <v>1</v>
      </c>
      <c r="K1126" s="35">
        <f t="shared" si="336"/>
        <v>5</v>
      </c>
      <c r="L1126" s="35">
        <f t="shared" si="324"/>
        <v>5</v>
      </c>
      <c r="M1126" s="77" cm="1">
        <f t="array" ref="M1126">_xlfn.IFS(BOM!I1126="RM-PACKING","100%",B1126="Reynolds",VLOOKUP(H1126,'Yield &amp; Time'!A:V,22,0),BOM!B1126="Dnata",VLOOKUP(BOM!H1126,'Yield &amp; Time'!A:M,13,0),B1126="NK",VLOOKUP(H1126,'Yield &amp; Time'!A:X,24,0))</f>
        <v>0.68220338983050854</v>
      </c>
      <c r="N1126" s="35">
        <f t="shared" si="335"/>
        <v>7.3291925465838501</v>
      </c>
      <c r="O1126" s="1" t="str">
        <f>VLOOKUP(H1126,'RM Used'!A:E,5,0)</f>
        <v>KG</v>
      </c>
      <c r="P1126" s="11">
        <f>VLOOKUP(H1126,'RM Used'!A:F,6,0)</f>
        <v>0.57000000000000006</v>
      </c>
      <c r="Q1126" s="11">
        <f t="shared" si="333"/>
        <v>4.1776397515527952</v>
      </c>
      <c r="R1126" s="11">
        <f>IFERROR(IF(B1126="Reynolds",VLOOKUP(H1126,'Yield &amp; Time'!A:U,21,0),VLOOKUP(H1126,'Yield &amp; Time'!A:L,12,0)),0)</f>
        <v>1.9012422360248447</v>
      </c>
      <c r="S1126" s="11">
        <f t="shared" si="325"/>
        <v>3.2178524844720493</v>
      </c>
      <c r="T1126" s="11">
        <f t="shared" si="326"/>
        <v>0.15843685300207039</v>
      </c>
      <c r="U1126" s="11">
        <f>IF(A1125=A1126,0,VLOOKUP(A1126,'Packing Time'!A:F,6,0))</f>
        <v>1.1850000000000001</v>
      </c>
      <c r="V1126" s="11">
        <f t="shared" si="337"/>
        <v>0.40112249999999999</v>
      </c>
      <c r="W1126" s="11">
        <f t="shared" si="338"/>
        <v>1.975E-2</v>
      </c>
      <c r="X1126" s="11">
        <f t="shared" si="327"/>
        <v>5.7903599751552797</v>
      </c>
      <c r="Y1126" s="11">
        <f t="shared" si="339"/>
        <v>5.7903599751552797</v>
      </c>
      <c r="Z1126" s="37">
        <v>1</v>
      </c>
      <c r="AA1126" s="36">
        <f t="shared" si="328"/>
        <v>7.3291925465838501</v>
      </c>
      <c r="AB1126" s="36">
        <f t="shared" si="329"/>
        <v>4.1776397515527952</v>
      </c>
      <c r="AC1126" s="11">
        <f t="shared" si="330"/>
        <v>0.28509896480331265</v>
      </c>
      <c r="AD1126" s="36">
        <f t="shared" si="340"/>
        <v>5.7903599751552797</v>
      </c>
      <c r="AE1126" s="36" t="str">
        <f>VLOOKUP(H1126,'Yield &amp; Time'!A:R,18,0)</f>
        <v>SODIUM METABISULPHITE</v>
      </c>
      <c r="AF1126" s="36">
        <f>IFERROR(VLOOKUP(AE1126,'Chemical Cost'!A:D,4,0),0)</f>
        <v>9.7586225455882462E-3</v>
      </c>
      <c r="AG1126" s="114">
        <f t="shared" si="331"/>
        <v>2.3840941208683495E-2</v>
      </c>
      <c r="AH1126" s="36">
        <f t="shared" si="334"/>
        <v>2.3840941208683495E-2</v>
      </c>
      <c r="AI1126" s="36">
        <f t="shared" si="341"/>
        <v>9.99184066791676</v>
      </c>
      <c r="AJ1126" s="36">
        <f>IFERROR(VLOOKUP(A1126,'All Products'!A:F,6,0),0)</f>
        <v>4.54</v>
      </c>
      <c r="AK1126" s="36">
        <f>AJ1126*Z1126*J1126</f>
        <v>4.54</v>
      </c>
      <c r="AL1126" s="23">
        <v>1</v>
      </c>
      <c r="AM1126" s="23"/>
      <c r="AN1126" s="54" t="e">
        <v>#N/A</v>
      </c>
      <c r="AO1126" s="47"/>
      <c r="AP1126" s="4">
        <v>1.6</v>
      </c>
      <c r="AQ1126" s="111">
        <f t="shared" si="332"/>
        <v>0.28509896480331265</v>
      </c>
      <c r="AR1126">
        <f>_xlfn.XLOOKUP(F1126,'RM Cost'!A:A,'RM Cost'!S:S)</f>
        <v>0</v>
      </c>
      <c r="AS1126" t="e">
        <f>_xlfn.XLOOKUP(A1126,[3]Sheet1!$B:$B,[3]Sheet1!$B:$B)</f>
        <v>#N/A</v>
      </c>
    </row>
    <row r="1127" spans="1:46" x14ac:dyDescent="0.25">
      <c r="A1127" s="16" t="s">
        <v>365</v>
      </c>
      <c r="B1127" s="2" t="s">
        <v>552</v>
      </c>
      <c r="C1127" s="2" t="s">
        <v>366</v>
      </c>
      <c r="D1127" s="2" t="s">
        <v>554</v>
      </c>
      <c r="E1127" s="2">
        <v>5</v>
      </c>
      <c r="F1127" s="1" t="str">
        <f>VLOOKUP(H1127,'RM Used'!A:B,2,0)</f>
        <v>P0011</v>
      </c>
      <c r="G1127" s="1" t="str">
        <f>IFERROR(VLOOKUP(F1127,'RM Cost'!A:B,2,0),"")</f>
        <v>VACK PACK 300x400</v>
      </c>
      <c r="H1127" s="1" t="s">
        <v>1326</v>
      </c>
      <c r="I1127" s="1" t="str">
        <f>VLOOKUP(F1127,'RM Used'!B:D,3,0)</f>
        <v>RM-PACKING</v>
      </c>
      <c r="J1127" s="66">
        <v>1</v>
      </c>
      <c r="K1127" s="35" t="str">
        <f t="shared" si="336"/>
        <v/>
      </c>
      <c r="L1127" s="35">
        <f t="shared" si="324"/>
        <v>0</v>
      </c>
      <c r="M1127" s="77" t="str" cm="1">
        <f t="array" ref="M1127">_xlfn.IFS(BOM!I1127="RM-PACKING","100%",B1127="Reynolds",VLOOKUP(H1127,'Yield &amp; Time'!A:V,22,0),BOM!B1127="Dnata",VLOOKUP(BOM!H1127,'Yield &amp; Time'!A:M,13,0),B1127="NK",VLOOKUP(H1127,'Yield &amp; Time'!A:X,24,0))</f>
        <v>100%</v>
      </c>
      <c r="N1127" s="35">
        <f t="shared" si="335"/>
        <v>1</v>
      </c>
      <c r="O1127" s="1" t="str">
        <f>VLOOKUP(H1127,'RM Used'!A:E,5,0)</f>
        <v>Count</v>
      </c>
      <c r="P1127" s="11">
        <f>VLOOKUP(H1127,'RM Used'!A:F,6,0)</f>
        <v>0.1</v>
      </c>
      <c r="Q1127" s="11">
        <f t="shared" si="333"/>
        <v>0.1</v>
      </c>
      <c r="R1127" s="11">
        <f>IFERROR(IF(B1127="Reynolds",VLOOKUP(H1127,'Yield &amp; Time'!A:U,21,0),VLOOKUP(H1127,'Yield &amp; Time'!A:L,12,0)),0)</f>
        <v>0</v>
      </c>
      <c r="S1127" s="11">
        <f t="shared" si="325"/>
        <v>0</v>
      </c>
      <c r="T1127" s="11">
        <f t="shared" si="326"/>
        <v>0</v>
      </c>
      <c r="U1127" s="11">
        <f>IF(A1126=A1127,0,VLOOKUP(A1127,'Packing Time'!A:F,6,0))</f>
        <v>0</v>
      </c>
      <c r="V1127" s="11">
        <f t="shared" si="337"/>
        <v>0</v>
      </c>
      <c r="W1127" s="11">
        <f t="shared" si="338"/>
        <v>0</v>
      </c>
      <c r="X1127" s="11">
        <f t="shared" si="327"/>
        <v>0</v>
      </c>
      <c r="Y1127" s="11">
        <f t="shared" si="339"/>
        <v>0</v>
      </c>
      <c r="Z1127" s="37">
        <v>1</v>
      </c>
      <c r="AA1127" s="36">
        <f t="shared" si="328"/>
        <v>1</v>
      </c>
      <c r="AB1127" s="36">
        <f t="shared" si="329"/>
        <v>0.1</v>
      </c>
      <c r="AC1127" s="11">
        <f t="shared" si="330"/>
        <v>0</v>
      </c>
      <c r="AD1127" s="36">
        <f t="shared" si="340"/>
        <v>0</v>
      </c>
      <c r="AE1127" s="36"/>
      <c r="AF1127" s="36">
        <f>IFERROR(VLOOKUP(AE1127,'Chemical Cost'!A:D,4,0),0)</f>
        <v>0</v>
      </c>
      <c r="AG1127" s="114">
        <f t="shared" si="331"/>
        <v>0</v>
      </c>
      <c r="AH1127" s="36">
        <f t="shared" si="334"/>
        <v>0</v>
      </c>
      <c r="AI1127" s="36">
        <f t="shared" si="341"/>
        <v>0.1</v>
      </c>
      <c r="AJ1127" s="36">
        <f>IFERROR(VLOOKUP(A1127,'All Products'!A:F,6,0),0)</f>
        <v>4.54</v>
      </c>
      <c r="AK1127" s="36"/>
      <c r="AL1127" s="23">
        <v>1</v>
      </c>
      <c r="AM1127" s="23"/>
      <c r="AN1127" s="54" t="e">
        <v>#N/A</v>
      </c>
      <c r="AO1127" s="47"/>
      <c r="AP1127" s="4">
        <v>1.6</v>
      </c>
      <c r="AQ1127" s="111">
        <f t="shared" si="332"/>
        <v>0</v>
      </c>
      <c r="AR1127">
        <f>_xlfn.XLOOKUP(F1127,'RM Cost'!A:A,'RM Cost'!S:S)</f>
        <v>0</v>
      </c>
      <c r="AS1127" t="e">
        <f>_xlfn.XLOOKUP(A1127,[3]Sheet1!$B:$B,[3]Sheet1!$B:$B)</f>
        <v>#N/A</v>
      </c>
    </row>
    <row r="1128" spans="1:46" x14ac:dyDescent="0.25">
      <c r="A1128" s="2" t="s">
        <v>365</v>
      </c>
      <c r="B1128" s="2" t="s">
        <v>552</v>
      </c>
      <c r="C1128" s="2" t="s">
        <v>366</v>
      </c>
      <c r="D1128" s="2" t="s">
        <v>554</v>
      </c>
      <c r="E1128" s="2">
        <v>5</v>
      </c>
      <c r="F1128" s="1" t="str">
        <f>VLOOKUP(H1128,'RM Used'!A:B,2,0)</f>
        <v>P0016</v>
      </c>
      <c r="G1128" s="1" t="str">
        <f>IFERROR(VLOOKUP(F1128,'RM Cost'!A:B,2,0),"")</f>
        <v>REY 40 30 BOX</v>
      </c>
      <c r="H1128" s="1" t="s">
        <v>1332</v>
      </c>
      <c r="I1128" s="1" t="str">
        <f>VLOOKUP(F1128,'RM Used'!B:D,3,0)</f>
        <v>RM-PACKING</v>
      </c>
      <c r="J1128" s="66">
        <v>1</v>
      </c>
      <c r="K1128" s="35" t="str">
        <f t="shared" si="336"/>
        <v/>
      </c>
      <c r="L1128" s="35">
        <f t="shared" si="324"/>
        <v>0</v>
      </c>
      <c r="M1128" s="77" t="str" cm="1">
        <f t="array" ref="M1128">_xlfn.IFS(BOM!I1128="RM-PACKING","100%",B1128="Reynolds",VLOOKUP(H1128,'Yield &amp; Time'!A:V,22,0),BOM!B1128="Dnata",VLOOKUP(BOM!H1128,'Yield &amp; Time'!A:M,13,0),B1128="NK",VLOOKUP(H1128,'Yield &amp; Time'!A:X,24,0))</f>
        <v>100%</v>
      </c>
      <c r="N1128" s="35">
        <f t="shared" si="335"/>
        <v>1</v>
      </c>
      <c r="O1128" s="1" t="str">
        <f>VLOOKUP(H1128,'RM Used'!A:E,5,0)</f>
        <v>Count</v>
      </c>
      <c r="P1128" s="11">
        <f>VLOOKUP(H1128,'RM Used'!A:F,6,0)</f>
        <v>0.28000000000000003</v>
      </c>
      <c r="Q1128" s="11">
        <f t="shared" si="333"/>
        <v>0.28000000000000003</v>
      </c>
      <c r="R1128" s="11">
        <f>IFERROR(IF(B1128="Reynolds",VLOOKUP(H1128,'Yield &amp; Time'!A:U,21,0),VLOOKUP(H1128,'Yield &amp; Time'!A:L,12,0)),0)</f>
        <v>0</v>
      </c>
      <c r="S1128" s="11">
        <f t="shared" si="325"/>
        <v>0</v>
      </c>
      <c r="T1128" s="11">
        <f t="shared" si="326"/>
        <v>0</v>
      </c>
      <c r="U1128" s="11">
        <f>IF(A1127=A1128,0,VLOOKUP(A1128,'Packing Time'!A:F,6,0))</f>
        <v>0</v>
      </c>
      <c r="V1128" s="11">
        <f t="shared" si="337"/>
        <v>0</v>
      </c>
      <c r="W1128" s="11">
        <f t="shared" si="338"/>
        <v>0</v>
      </c>
      <c r="X1128" s="11">
        <f t="shared" si="327"/>
        <v>0</v>
      </c>
      <c r="Y1128" s="11">
        <f t="shared" si="339"/>
        <v>0</v>
      </c>
      <c r="Z1128" s="37">
        <v>1</v>
      </c>
      <c r="AA1128" s="36">
        <f t="shared" si="328"/>
        <v>1</v>
      </c>
      <c r="AB1128" s="36">
        <f t="shared" si="329"/>
        <v>0.28000000000000003</v>
      </c>
      <c r="AC1128" s="11">
        <f t="shared" si="330"/>
        <v>0</v>
      </c>
      <c r="AD1128" s="36">
        <f t="shared" si="340"/>
        <v>0</v>
      </c>
      <c r="AE1128" s="36"/>
      <c r="AF1128" s="36">
        <f>IFERROR(VLOOKUP(AE1128,'Chemical Cost'!A:D,4,0),0)</f>
        <v>0</v>
      </c>
      <c r="AG1128" s="114">
        <f t="shared" si="331"/>
        <v>0</v>
      </c>
      <c r="AH1128" s="36">
        <f t="shared" si="334"/>
        <v>0</v>
      </c>
      <c r="AI1128" s="36">
        <f t="shared" si="341"/>
        <v>0.28000000000000003</v>
      </c>
      <c r="AJ1128" s="36">
        <f>IFERROR(VLOOKUP(A1128,'All Products'!A:F,6,0),0)</f>
        <v>4.54</v>
      </c>
      <c r="AK1128" s="36"/>
      <c r="AL1128" s="23">
        <v>1</v>
      </c>
      <c r="AM1128" s="23"/>
      <c r="AN1128" s="54" t="e">
        <v>#N/A</v>
      </c>
      <c r="AO1128" s="47"/>
      <c r="AP1128" s="4">
        <v>1.6</v>
      </c>
      <c r="AQ1128" s="111">
        <f t="shared" si="332"/>
        <v>0</v>
      </c>
      <c r="AR1128">
        <f>_xlfn.XLOOKUP(F1128,'RM Cost'!A:A,'RM Cost'!S:S)</f>
        <v>0</v>
      </c>
      <c r="AS1128" t="e">
        <f>_xlfn.XLOOKUP(A1128,[3]Sheet1!$B:$B,[3]Sheet1!$B:$B)</f>
        <v>#N/A</v>
      </c>
    </row>
    <row r="1129" spans="1:46" x14ac:dyDescent="0.25">
      <c r="A1129" s="16" t="s">
        <v>385</v>
      </c>
      <c r="B1129" s="2" t="s">
        <v>552</v>
      </c>
      <c r="C1129" s="2" t="s">
        <v>386</v>
      </c>
      <c r="D1129" s="2" t="s">
        <v>554</v>
      </c>
      <c r="E1129" s="2">
        <v>3</v>
      </c>
      <c r="F1129" s="1" t="str">
        <f>VLOOKUP(H1129,'RM Used'!A:B,2,0)</f>
        <v>2544CS</v>
      </c>
      <c r="G1129" s="1" t="str">
        <f>IFERROR(VLOOKUP(F1129,'RM Cost'!A:B,2,0),"")</f>
        <v>RM - APPLES  GALA X 12KG</v>
      </c>
      <c r="H1129" s="2" t="s">
        <v>1606</v>
      </c>
      <c r="I1129" s="1" t="str">
        <f>VLOOKUP(F1129,'RM Used'!B:D,3,0)</f>
        <v>RM-FOOD</v>
      </c>
      <c r="J1129" s="66">
        <v>1</v>
      </c>
      <c r="K1129" s="35">
        <f t="shared" si="336"/>
        <v>3</v>
      </c>
      <c r="L1129" s="35">
        <f t="shared" si="324"/>
        <v>3</v>
      </c>
      <c r="M1129" s="77" cm="1">
        <f t="array" ref="M1129">_xlfn.IFS(BOM!I1129="RM-PACKING","100%",B1129="Reynolds",VLOOKUP(H1129,'Yield &amp; Time'!A:V,22,0),BOM!B1129="Dnata",VLOOKUP(BOM!H1129,'Yield &amp; Time'!A:M,13,0),B1129="NK",VLOOKUP(H1129,'Yield &amp; Time'!A:X,24,0))</f>
        <v>0.61611374407582942</v>
      </c>
      <c r="N1129" s="35">
        <f t="shared" si="335"/>
        <v>4.8692307692307688</v>
      </c>
      <c r="O1129" s="1" t="str">
        <f>VLOOKUP(H1129,'RM Used'!A:E,5,0)</f>
        <v>KG</v>
      </c>
      <c r="P1129" s="11" t="e">
        <f>VLOOKUP(H1129,'RM Used'!A:F,6,0)</f>
        <v>#N/A</v>
      </c>
      <c r="Q1129" s="11" t="e">
        <f t="shared" si="333"/>
        <v>#N/A</v>
      </c>
      <c r="R1129" s="11">
        <f>IFERROR(IF(B1129="Reynolds",VLOOKUP(H1129,'Yield &amp; Time'!A:U,21,0),VLOOKUP(H1129,'Yield &amp; Time'!A:L,12,0)),0)</f>
        <v>8.9623397435897445</v>
      </c>
      <c r="S1129" s="11">
        <f t="shared" si="325"/>
        <v>9.1012560096153852</v>
      </c>
      <c r="T1129" s="11">
        <f t="shared" si="326"/>
        <v>0.44811698717948723</v>
      </c>
      <c r="U1129" s="11">
        <f>IF(A1128=A1129,0,VLOOKUP(A1129,'Packing Time'!A:F,6,0))</f>
        <v>0.8</v>
      </c>
      <c r="V1129" s="11">
        <f t="shared" si="337"/>
        <v>0.27079999999999999</v>
      </c>
      <c r="W1129" s="11">
        <f t="shared" si="338"/>
        <v>1.3333333333333334E-2</v>
      </c>
      <c r="X1129" s="11">
        <f t="shared" si="327"/>
        <v>14.995289615384616</v>
      </c>
      <c r="Y1129" s="11">
        <f t="shared" si="339"/>
        <v>14.995289615384616</v>
      </c>
      <c r="Z1129" s="37">
        <v>1</v>
      </c>
      <c r="AA1129" s="36">
        <f t="shared" si="328"/>
        <v>4.8692307692307688</v>
      </c>
      <c r="AB1129" s="36" t="e">
        <f t="shared" si="329"/>
        <v>#N/A</v>
      </c>
      <c r="AC1129" s="11">
        <f t="shared" si="330"/>
        <v>0.73832051282051303</v>
      </c>
      <c r="AD1129" s="36">
        <f t="shared" si="340"/>
        <v>14.995289615384618</v>
      </c>
      <c r="AE1129" s="36" t="str">
        <f>VLOOKUP(H1129,'Yield &amp; Time'!A:R,18,0)</f>
        <v>CHLORINE, NATURE SEAL A5</v>
      </c>
      <c r="AF1129" s="36">
        <f>IFERROR(VLOOKUP(AE1129,'Chemical Cost'!A:D,4,0),0)</f>
        <v>0.51079223287545206</v>
      </c>
      <c r="AG1129" s="114">
        <f t="shared" si="331"/>
        <v>0.82905508566707986</v>
      </c>
      <c r="AH1129" s="36">
        <f t="shared" si="334"/>
        <v>0.82905508566707986</v>
      </c>
      <c r="AI1129" s="36">
        <f t="shared" si="341"/>
        <v>0</v>
      </c>
      <c r="AJ1129" s="36">
        <f>IFERROR(VLOOKUP(A1129,'All Products'!A:F,6,0),0)</f>
        <v>9.86</v>
      </c>
      <c r="AK1129" s="36">
        <f>AJ1129*Z1129*J1129</f>
        <v>9.86</v>
      </c>
      <c r="AL1129" s="23"/>
      <c r="AM1129" s="23">
        <v>1</v>
      </c>
      <c r="AN1129" s="54" t="e">
        <v>#N/A</v>
      </c>
      <c r="AO1129" s="47"/>
      <c r="AP1129" s="4">
        <v>1.6</v>
      </c>
      <c r="AQ1129" s="111">
        <f t="shared" si="332"/>
        <v>0.73832051282051303</v>
      </c>
      <c r="AR1129">
        <f>_xlfn.XLOOKUP(F1129,'RM Cost'!A:A,'RM Cost'!S:S)</f>
        <v>0</v>
      </c>
      <c r="AS1129" t="e">
        <f>_xlfn.XLOOKUP(A1129,[3]Sheet1!$B:$B,[3]Sheet1!$B:$B)</f>
        <v>#N/A</v>
      </c>
    </row>
    <row r="1130" spans="1:46" x14ac:dyDescent="0.25">
      <c r="A1130" s="16" t="s">
        <v>385</v>
      </c>
      <c r="B1130" s="2" t="s">
        <v>552</v>
      </c>
      <c r="C1130" s="2" t="s">
        <v>386</v>
      </c>
      <c r="D1130" s="2" t="s">
        <v>554</v>
      </c>
      <c r="E1130" s="2">
        <v>3</v>
      </c>
      <c r="F1130" s="1" t="str">
        <f>VLOOKUP(H1130,'RM Used'!A:B,2,0)</f>
        <v>P0020</v>
      </c>
      <c r="G1130" s="1" t="str">
        <f>IFERROR(VLOOKUP(F1130,'RM Cost'!A:B,2,0),"")</f>
        <v>PALE BLUE BAG 430X430MM</v>
      </c>
      <c r="H1130" s="2" t="s">
        <v>1659</v>
      </c>
      <c r="I1130" s="1" t="str">
        <f>VLOOKUP(F1130,'RM Used'!B:D,3,0)</f>
        <v>RM-PACKING</v>
      </c>
      <c r="J1130" s="66">
        <v>1</v>
      </c>
      <c r="K1130" s="35" t="str">
        <f t="shared" si="336"/>
        <v/>
      </c>
      <c r="L1130" s="35">
        <f t="shared" si="324"/>
        <v>0</v>
      </c>
      <c r="M1130" s="77" t="str" cm="1">
        <f t="array" ref="M1130">_xlfn.IFS(BOM!I1130="RM-PACKING","100%",B1130="Reynolds",VLOOKUP(H1130,'Yield &amp; Time'!A:V,22,0),BOM!B1130="Dnata",VLOOKUP(BOM!H1130,'Yield &amp; Time'!A:M,13,0),B1130="NK",VLOOKUP(H1130,'Yield &amp; Time'!A:X,24,0))</f>
        <v>100%</v>
      </c>
      <c r="N1130" s="35">
        <f t="shared" si="335"/>
        <v>1</v>
      </c>
      <c r="O1130" s="1" t="str">
        <f>VLOOKUP(H1130,'RM Used'!A:E,5,0)</f>
        <v>Count</v>
      </c>
      <c r="P1130" s="11">
        <f>VLOOKUP(H1130,'RM Used'!A:F,6,0)</f>
        <v>0.09</v>
      </c>
      <c r="Q1130" s="11">
        <f t="shared" si="333"/>
        <v>0.09</v>
      </c>
      <c r="R1130" s="11">
        <f>IFERROR(IF(B1130="Reynolds",VLOOKUP(H1130,'Yield &amp; Time'!A:U,21,0),VLOOKUP(H1130,'Yield &amp; Time'!A:L,12,0)),0)</f>
        <v>0</v>
      </c>
      <c r="S1130" s="11">
        <f t="shared" si="325"/>
        <v>0</v>
      </c>
      <c r="T1130" s="11">
        <f t="shared" si="326"/>
        <v>0</v>
      </c>
      <c r="U1130" s="11">
        <f>IF(A1129=A1130,0,VLOOKUP(A1130,'Packing Time'!A:F,6,0))</f>
        <v>0</v>
      </c>
      <c r="V1130" s="11">
        <f t="shared" si="337"/>
        <v>0</v>
      </c>
      <c r="W1130" s="11">
        <f t="shared" si="338"/>
        <v>0</v>
      </c>
      <c r="X1130" s="11">
        <f t="shared" si="327"/>
        <v>0</v>
      </c>
      <c r="Y1130" s="11">
        <f t="shared" si="339"/>
        <v>0</v>
      </c>
      <c r="Z1130" s="37">
        <v>1</v>
      </c>
      <c r="AA1130" s="36">
        <f t="shared" si="328"/>
        <v>1</v>
      </c>
      <c r="AB1130" s="36">
        <f t="shared" si="329"/>
        <v>0.09</v>
      </c>
      <c r="AC1130" s="11">
        <f t="shared" si="330"/>
        <v>0</v>
      </c>
      <c r="AD1130" s="36">
        <f t="shared" si="340"/>
        <v>0</v>
      </c>
      <c r="AE1130" s="36"/>
      <c r="AF1130" s="36">
        <f>IFERROR(VLOOKUP(AE1130,'Chemical Cost'!A:D,4,0),0)</f>
        <v>0</v>
      </c>
      <c r="AG1130" s="114">
        <f t="shared" si="331"/>
        <v>0</v>
      </c>
      <c r="AH1130" s="36">
        <f t="shared" si="334"/>
        <v>0</v>
      </c>
      <c r="AI1130" s="36">
        <f t="shared" si="341"/>
        <v>0.09</v>
      </c>
      <c r="AJ1130" s="36">
        <f>IFERROR(VLOOKUP(A1130,'All Products'!A:F,6,0),0)</f>
        <v>9.86</v>
      </c>
      <c r="AK1130" s="36"/>
      <c r="AL1130" s="23"/>
      <c r="AM1130" s="23">
        <v>1</v>
      </c>
      <c r="AN1130" s="54" t="e">
        <v>#N/A</v>
      </c>
      <c r="AO1130" s="47"/>
      <c r="AP1130" s="4">
        <v>1.6</v>
      </c>
      <c r="AQ1130" s="111">
        <f t="shared" si="332"/>
        <v>0</v>
      </c>
      <c r="AR1130">
        <f>_xlfn.XLOOKUP(F1130,'RM Cost'!A:A,'RM Cost'!S:S)</f>
        <v>0</v>
      </c>
      <c r="AS1130" t="e">
        <f>_xlfn.XLOOKUP(A1130,[3]Sheet1!$B:$B,[3]Sheet1!$B:$B)</f>
        <v>#N/A</v>
      </c>
    </row>
    <row r="1131" spans="1:46" x14ac:dyDescent="0.25">
      <c r="A1131" s="16" t="s">
        <v>385</v>
      </c>
      <c r="B1131" s="2" t="s">
        <v>552</v>
      </c>
      <c r="C1131" s="2" t="s">
        <v>386</v>
      </c>
      <c r="D1131" s="2" t="s">
        <v>554</v>
      </c>
      <c r="E1131" s="2">
        <v>3</v>
      </c>
      <c r="F1131" s="1" t="str">
        <f>VLOOKUP(H1131,'RM Used'!A:B,2,0)</f>
        <v>P0016</v>
      </c>
      <c r="G1131" s="1" t="str">
        <f>IFERROR(VLOOKUP(F1131,'RM Cost'!A:B,2,0),"")</f>
        <v>REY 40 30 BOX</v>
      </c>
      <c r="H1131" s="1" t="s">
        <v>1332</v>
      </c>
      <c r="I1131" s="1" t="str">
        <f>VLOOKUP(F1131,'RM Used'!B:D,3,0)</f>
        <v>RM-PACKING</v>
      </c>
      <c r="J1131" s="66">
        <v>1</v>
      </c>
      <c r="K1131" s="35" t="str">
        <f t="shared" si="336"/>
        <v/>
      </c>
      <c r="L1131" s="35">
        <f t="shared" si="324"/>
        <v>0</v>
      </c>
      <c r="M1131" s="77" t="str" cm="1">
        <f t="array" ref="M1131">_xlfn.IFS(BOM!I1131="RM-PACKING","100%",B1131="Reynolds",VLOOKUP(H1131,'Yield &amp; Time'!A:V,22,0),BOM!B1131="Dnata",VLOOKUP(BOM!H1131,'Yield &amp; Time'!A:M,13,0),B1131="NK",VLOOKUP(H1131,'Yield &amp; Time'!A:X,24,0))</f>
        <v>100%</v>
      </c>
      <c r="N1131" s="35">
        <f t="shared" si="335"/>
        <v>1</v>
      </c>
      <c r="O1131" s="1" t="str">
        <f>VLOOKUP(H1131,'RM Used'!A:E,5,0)</f>
        <v>Count</v>
      </c>
      <c r="P1131" s="11">
        <f>VLOOKUP(H1131,'RM Used'!A:F,6,0)</f>
        <v>0.28000000000000003</v>
      </c>
      <c r="Q1131" s="11">
        <f t="shared" si="333"/>
        <v>0.28000000000000003</v>
      </c>
      <c r="R1131" s="11">
        <f>IFERROR(IF(B1131="Reynolds",VLOOKUP(H1131,'Yield &amp; Time'!A:U,21,0),VLOOKUP(H1131,'Yield &amp; Time'!A:L,12,0)),0)</f>
        <v>0</v>
      </c>
      <c r="S1131" s="11">
        <f t="shared" si="325"/>
        <v>0</v>
      </c>
      <c r="T1131" s="11">
        <f t="shared" si="326"/>
        <v>0</v>
      </c>
      <c r="U1131" s="11">
        <f>IF(A1130=A1131,0,VLOOKUP(A1131,'Packing Time'!A:F,6,0))</f>
        <v>0</v>
      </c>
      <c r="V1131" s="11">
        <f t="shared" si="337"/>
        <v>0</v>
      </c>
      <c r="W1131" s="11">
        <f t="shared" si="338"/>
        <v>0</v>
      </c>
      <c r="X1131" s="11">
        <f t="shared" si="327"/>
        <v>0</v>
      </c>
      <c r="Y1131" s="11">
        <f t="shared" si="339"/>
        <v>0</v>
      </c>
      <c r="Z1131" s="37">
        <v>1</v>
      </c>
      <c r="AA1131" s="36">
        <f t="shared" si="328"/>
        <v>1</v>
      </c>
      <c r="AB1131" s="36">
        <f t="shared" si="329"/>
        <v>0.28000000000000003</v>
      </c>
      <c r="AC1131" s="11">
        <f t="shared" si="330"/>
        <v>0</v>
      </c>
      <c r="AD1131" s="36">
        <f t="shared" si="340"/>
        <v>0</v>
      </c>
      <c r="AE1131" s="36"/>
      <c r="AF1131" s="36">
        <f>IFERROR(VLOOKUP(AE1131,'Chemical Cost'!A:D,4,0),0)</f>
        <v>0</v>
      </c>
      <c r="AG1131" s="114">
        <f t="shared" si="331"/>
        <v>0</v>
      </c>
      <c r="AH1131" s="36">
        <f t="shared" si="334"/>
        <v>0</v>
      </c>
      <c r="AI1131" s="36">
        <f t="shared" si="341"/>
        <v>0.28000000000000003</v>
      </c>
      <c r="AJ1131" s="36">
        <f>IFERROR(VLOOKUP(A1131,'All Products'!A:F,6,0),0)</f>
        <v>9.86</v>
      </c>
      <c r="AK1131" s="36"/>
      <c r="AL1131" s="23"/>
      <c r="AM1131" s="23">
        <v>1</v>
      </c>
      <c r="AN1131" s="54" t="e">
        <v>#N/A</v>
      </c>
      <c r="AO1131" s="47"/>
      <c r="AP1131" s="4">
        <v>1.6</v>
      </c>
      <c r="AQ1131" s="111">
        <f t="shared" si="332"/>
        <v>0</v>
      </c>
      <c r="AR1131">
        <f>_xlfn.XLOOKUP(F1131,'RM Cost'!A:A,'RM Cost'!S:S)</f>
        <v>0</v>
      </c>
      <c r="AS1131" t="e">
        <f>_xlfn.XLOOKUP(A1131,[3]Sheet1!$B:$B,[3]Sheet1!$B:$B)</f>
        <v>#N/A</v>
      </c>
    </row>
    <row r="1132" spans="1:46" x14ac:dyDescent="0.25">
      <c r="A1132" s="16" t="s">
        <v>25</v>
      </c>
      <c r="B1132" s="2" t="s">
        <v>552</v>
      </c>
      <c r="C1132" s="2" t="s">
        <v>26</v>
      </c>
      <c r="D1132" s="2" t="s">
        <v>554</v>
      </c>
      <c r="E1132" s="2">
        <v>3</v>
      </c>
      <c r="F1132" s="1" t="str">
        <f>VLOOKUP(H1132,'RM Used'!A:B,2,0)</f>
        <v>S3998CS</v>
      </c>
      <c r="G1132" s="1" t="str">
        <f>IFERROR(VLOOKUP(F1132,'RM Cost'!A:B,2,0),"")</f>
        <v>RM - DECORED RED CABBAGE 1/3 1200KG</v>
      </c>
      <c r="H1132" s="2" t="s">
        <v>1360</v>
      </c>
      <c r="I1132" s="1" t="str">
        <f>VLOOKUP(F1132,'RM Used'!B:D,3,0)</f>
        <v>RM-FOOD</v>
      </c>
      <c r="J1132" s="66">
        <v>0.36</v>
      </c>
      <c r="K1132" s="35">
        <f t="shared" si="336"/>
        <v>1.08</v>
      </c>
      <c r="L1132" s="35">
        <f t="shared" si="324"/>
        <v>1.08</v>
      </c>
      <c r="M1132" s="77" cm="1">
        <f t="array" ref="M1132">_xlfn.IFS(BOM!I1132="RM-PACKING","100%",B1132="Reynolds",VLOOKUP(H1132,'Yield &amp; Time'!A:V,22,0),BOM!B1132="Dnata",VLOOKUP(BOM!H1132,'Yield &amp; Time'!A:M,13,0),B1132="NK",VLOOKUP(H1132,'Yield &amp; Time'!A:X,24,0))</f>
        <v>0.70079999999999998</v>
      </c>
      <c r="N1132" s="35">
        <f t="shared" si="335"/>
        <v>1.5410958904109591</v>
      </c>
      <c r="O1132" s="1" t="str">
        <f>VLOOKUP(H1132,'RM Used'!A:E,5,0)</f>
        <v>KG</v>
      </c>
      <c r="P1132" s="11">
        <f>VLOOKUP(H1132,'RM Used'!A:F,6,0)</f>
        <v>0.38</v>
      </c>
      <c r="Q1132" s="11">
        <f t="shared" si="333"/>
        <v>0.5856164383561645</v>
      </c>
      <c r="R1132" s="11">
        <f>IFERROR(IF(B1132="Reynolds",VLOOKUP(H1132,'Yield &amp; Time'!A:U,21,0),VLOOKUP(H1132,'Yield &amp; Time'!A:L,12,0)),0)</f>
        <v>0.89425536255080118</v>
      </c>
      <c r="S1132" s="11">
        <f t="shared" si="325"/>
        <v>0.32692187544132184</v>
      </c>
      <c r="T1132" s="11">
        <f t="shared" si="326"/>
        <v>1.6096596525914421E-2</v>
      </c>
      <c r="U1132" s="11">
        <f>IF(A1131=A1132,0,VLOOKUP(A1132,'Packing Time'!A:F,6,0))</f>
        <v>2.4</v>
      </c>
      <c r="V1132" s="11">
        <f t="shared" si="337"/>
        <v>0.8123999999999999</v>
      </c>
      <c r="W1132" s="11">
        <f t="shared" si="338"/>
        <v>0.04</v>
      </c>
      <c r="X1132" s="11">
        <f t="shared" si="327"/>
        <v>1.2532540629854541</v>
      </c>
      <c r="Y1132" s="11">
        <f t="shared" si="339"/>
        <v>1.2532540629854541</v>
      </c>
      <c r="Z1132" s="37">
        <v>1</v>
      </c>
      <c r="AA1132" s="36">
        <f t="shared" si="328"/>
        <v>1.5410958904109591</v>
      </c>
      <c r="AB1132" s="36">
        <f t="shared" si="329"/>
        <v>0.5856164383561645</v>
      </c>
      <c r="AC1132" s="11">
        <f t="shared" si="330"/>
        <v>6.1706256178505864E-2</v>
      </c>
      <c r="AD1132" s="36">
        <f t="shared" si="340"/>
        <v>1.2532540629854538</v>
      </c>
      <c r="AE1132" s="36" t="str">
        <f>VLOOKUP(H1132,'Yield &amp; Time'!A:R,18,0)</f>
        <v>CHLORINE</v>
      </c>
      <c r="AF1132" s="36">
        <f>IFERROR(VLOOKUP(AE1132,'Chemical Cost'!A:D,4,0),0)</f>
        <v>2.7756518066439469E-2</v>
      </c>
      <c r="AG1132" s="114">
        <f t="shared" si="331"/>
        <v>1.4258485308102468E-2</v>
      </c>
      <c r="AH1132" s="36">
        <f t="shared" si="334"/>
        <v>1.4258485308102468E-2</v>
      </c>
      <c r="AI1132" s="36">
        <f t="shared" si="341"/>
        <v>1.8531289866497209</v>
      </c>
      <c r="AJ1132" s="36">
        <f>IFERROR(VLOOKUP(A1132,'All Products'!A:F,6,0),0)</f>
        <v>8.73</v>
      </c>
      <c r="AK1132" s="36">
        <f>AJ1132*Z1132*J1132</f>
        <v>3.1427999999999998</v>
      </c>
      <c r="AL1132" s="23">
        <v>0.85</v>
      </c>
      <c r="AM1132" s="23">
        <v>0.15</v>
      </c>
      <c r="AN1132" s="54" t="e">
        <v>#N/A</v>
      </c>
      <c r="AO1132" s="47"/>
      <c r="AP1132" s="4">
        <v>1.1000000000000001</v>
      </c>
      <c r="AQ1132" s="111">
        <f t="shared" si="332"/>
        <v>6.1706256178505864E-2</v>
      </c>
      <c r="AR1132">
        <f>_xlfn.XLOOKUP(F1132,'RM Cost'!A:A,'RM Cost'!S:S)</f>
        <v>0.29914853989077506</v>
      </c>
      <c r="AS1132" t="str">
        <f>_xlfn.XLOOKUP(A1132,[3]Sheet1!$B:$B,[3]Sheet1!$B:$B)</f>
        <v>041BCS</v>
      </c>
      <c r="AT1132" t="str">
        <f>_xlfn.XLOOKUP(H1132,'Yield &amp; Time'!A:A,'Yield &amp; Time'!O:O)</f>
        <v>Yes</v>
      </c>
    </row>
    <row r="1133" spans="1:46" x14ac:dyDescent="0.25">
      <c r="A1133" s="16" t="s">
        <v>25</v>
      </c>
      <c r="B1133" s="2" t="s">
        <v>552</v>
      </c>
      <c r="C1133" s="2" t="s">
        <v>26</v>
      </c>
      <c r="D1133" s="2" t="s">
        <v>554</v>
      </c>
      <c r="E1133" s="2">
        <v>3</v>
      </c>
      <c r="F1133" s="1" t="str">
        <f>VLOOKUP(H1133,'RM Used'!A:B,2,0)</f>
        <v>032ACS</v>
      </c>
      <c r="G1133" s="1" t="str">
        <f>IFERROR(VLOOKUP(F1133,'RM Cost'!A:B,2,0),"")</f>
        <v>RM - LRG PROCESSING CARROT X 1000KG</v>
      </c>
      <c r="H1133" s="2" t="s">
        <v>1348</v>
      </c>
      <c r="I1133" s="1" t="str">
        <f>VLOOKUP(F1133,'RM Used'!B:D,3,0)</f>
        <v>RM-FOOD</v>
      </c>
      <c r="J1133" s="66">
        <v>0.3</v>
      </c>
      <c r="K1133" s="35">
        <f t="shared" si="336"/>
        <v>0.89999999999999991</v>
      </c>
      <c r="L1133" s="35">
        <f t="shared" si="324"/>
        <v>0.89999999999999991</v>
      </c>
      <c r="M1133" s="77" cm="1">
        <f t="array" ref="M1133">_xlfn.IFS(BOM!I1133="RM-PACKING","100%",B1133="Reynolds",VLOOKUP(H1133,'Yield &amp; Time'!A:V,22,0),BOM!B1133="Dnata",VLOOKUP(BOM!H1133,'Yield &amp; Time'!A:M,13,0),B1133="NK",VLOOKUP(H1133,'Yield &amp; Time'!A:X,24,0))</f>
        <v>0.65252437163235444</v>
      </c>
      <c r="N1133" s="35">
        <f t="shared" si="335"/>
        <v>1.3792588279094629</v>
      </c>
      <c r="O1133" s="1" t="str">
        <f>VLOOKUP(H1133,'RM Used'!A:E,5,0)</f>
        <v>KG</v>
      </c>
      <c r="P1133" s="11">
        <f>VLOOKUP(H1133,'RM Used'!A:F,6,0)</f>
        <v>0.38</v>
      </c>
      <c r="Q1133" s="11">
        <f t="shared" si="333"/>
        <v>0.52411835460559586</v>
      </c>
      <c r="R1133" s="11">
        <f>IFERROR(IF(B1133="Reynolds",VLOOKUP(H1133,'Yield &amp; Time'!A:U,21,0),VLOOKUP(H1133,'Yield &amp; Time'!A:L,12,0)),0)</f>
        <v>1.8506895055776709</v>
      </c>
      <c r="S1133" s="11">
        <f t="shared" si="325"/>
        <v>0.56381255787423723</v>
      </c>
      <c r="T1133" s="11">
        <f t="shared" si="326"/>
        <v>2.7760342583665058E-2</v>
      </c>
      <c r="U1133" s="11">
        <f>IF(A1132=A1133,0,VLOOKUP(A1133,'Packing Time'!A:F,6,0))</f>
        <v>0</v>
      </c>
      <c r="V1133" s="11">
        <f t="shared" si="337"/>
        <v>0</v>
      </c>
      <c r="W1133" s="11">
        <f t="shared" si="338"/>
        <v>0</v>
      </c>
      <c r="X1133" s="11">
        <f t="shared" si="327"/>
        <v>0.62019381366166104</v>
      </c>
      <c r="Y1133" s="11">
        <f t="shared" si="339"/>
        <v>0.62019381366166104</v>
      </c>
      <c r="Z1133" s="37">
        <v>1</v>
      </c>
      <c r="AA1133" s="36">
        <f t="shared" si="328"/>
        <v>1.3792588279094629</v>
      </c>
      <c r="AB1133" s="36">
        <f t="shared" si="329"/>
        <v>0.52411835460559586</v>
      </c>
      <c r="AC1133" s="11">
        <f t="shared" si="330"/>
        <v>3.0536376842031566E-2</v>
      </c>
      <c r="AD1133" s="36">
        <f t="shared" si="340"/>
        <v>0.62019381366166104</v>
      </c>
      <c r="AE1133" s="36" t="str">
        <f>VLOOKUP(H1133,'Yield &amp; Time'!A:R,18,0)</f>
        <v>CHLORINE</v>
      </c>
      <c r="AF1133" s="36">
        <f>IFERROR(VLOOKUP(AE1133,'Chemical Cost'!A:D,4,0),0)</f>
        <v>2.7756518066439469E-2</v>
      </c>
      <c r="AG1133" s="114">
        <f t="shared" si="331"/>
        <v>1.2761140858388378E-2</v>
      </c>
      <c r="AH1133" s="36">
        <f t="shared" si="334"/>
        <v>1.2761140858388378E-2</v>
      </c>
      <c r="AI1133" s="36">
        <f t="shared" si="341"/>
        <v>1.1570733091256451</v>
      </c>
      <c r="AJ1133" s="36">
        <f>IFERROR(VLOOKUP(A1133,'All Products'!A:F,6,0),0)</f>
        <v>8.73</v>
      </c>
      <c r="AK1133" s="36">
        <f>AJ1133*Z1133*J1133</f>
        <v>2.6190000000000002</v>
      </c>
      <c r="AL1133" s="23">
        <v>0.85</v>
      </c>
      <c r="AM1133" s="23">
        <v>0.15</v>
      </c>
      <c r="AN1133" s="54" t="e">
        <v>#N/A</v>
      </c>
      <c r="AO1133" s="47"/>
      <c r="AP1133" s="4">
        <v>1.1000000000000001</v>
      </c>
      <c r="AQ1133" s="111">
        <f t="shared" si="332"/>
        <v>3.0536376842031566E-2</v>
      </c>
      <c r="AR1133">
        <f>_xlfn.XLOOKUP(F1133,'RM Cost'!A:A,'RM Cost'!S:S)</f>
        <v>0</v>
      </c>
      <c r="AS1133" t="str">
        <f>_xlfn.XLOOKUP(A1133,[3]Sheet1!$B:$B,[3]Sheet1!$B:$B)</f>
        <v>041BCS</v>
      </c>
      <c r="AT1133">
        <f>_xlfn.XLOOKUP(H1133,'Yield &amp; Time'!A:A,'Yield &amp; Time'!F:F)</f>
        <v>0</v>
      </c>
    </row>
    <row r="1134" spans="1:46" x14ac:dyDescent="0.25">
      <c r="A1134" s="16" t="s">
        <v>25</v>
      </c>
      <c r="B1134" s="2" t="s">
        <v>552</v>
      </c>
      <c r="C1134" s="2" t="s">
        <v>26</v>
      </c>
      <c r="D1134" s="2" t="s">
        <v>554</v>
      </c>
      <c r="E1134" s="2">
        <v>3</v>
      </c>
      <c r="F1134" s="1" t="str">
        <f>VLOOKUP(H1134,'RM Used'!A:B,2,0)</f>
        <v>3080CS</v>
      </c>
      <c r="G1134" s="1" t="str">
        <f>IFERROR(VLOOKUP(F1134,'RM Cost'!A:B,2,0),"")</f>
        <v>RM - SAVOY CABBAGE 1 X 5KG</v>
      </c>
      <c r="H1134" s="2" t="s">
        <v>1353</v>
      </c>
      <c r="I1134" s="1" t="str">
        <f>VLOOKUP(F1134,'RM Used'!B:D,3,0)</f>
        <v>RM-FOOD</v>
      </c>
      <c r="J1134" s="66">
        <v>0.28999999999999998</v>
      </c>
      <c r="K1134" s="35">
        <f t="shared" si="336"/>
        <v>0.86999999999999988</v>
      </c>
      <c r="L1134" s="35">
        <f t="shared" si="324"/>
        <v>0.86999999999999988</v>
      </c>
      <c r="M1134" s="77" cm="1">
        <f t="array" ref="M1134">_xlfn.IFS(BOM!I1134="RM-PACKING","100%",B1134="Reynolds",VLOOKUP(H1134,'Yield &amp; Time'!A:V,22,0),BOM!B1134="Dnata",VLOOKUP(BOM!H1134,'Yield &amp; Time'!A:M,13,0),B1134="NK",VLOOKUP(H1134,'Yield &amp; Time'!A:X,24,0))</f>
        <v>0.72000000000000008</v>
      </c>
      <c r="N1134" s="35">
        <f t="shared" si="335"/>
        <v>1.208333333333333</v>
      </c>
      <c r="O1134" s="1" t="str">
        <f>VLOOKUP(H1134,'RM Used'!A:E,5,0)</f>
        <v>KG</v>
      </c>
      <c r="P1134" s="11">
        <f>VLOOKUP(H1134,'RM Used'!A:F,6,0)</f>
        <v>0.76</v>
      </c>
      <c r="Q1134" s="11">
        <f t="shared" si="333"/>
        <v>0.91833333333333311</v>
      </c>
      <c r="R1134" s="11">
        <f>IFERROR(IF(B1134="Reynolds",VLOOKUP(H1134,'Yield &amp; Time'!A:U,21,0),VLOOKUP(H1134,'Yield &amp; Time'!A:L,12,0)),0)</f>
        <v>0.87031835205992514</v>
      </c>
      <c r="S1134" s="11">
        <f t="shared" si="325"/>
        <v>0.25630440308988761</v>
      </c>
      <c r="T1134" s="11">
        <f t="shared" si="326"/>
        <v>1.2619616104868914E-2</v>
      </c>
      <c r="U1134" s="11">
        <f>IF(A1133=A1134,0,VLOOKUP(A1134,'Packing Time'!A:F,6,0))</f>
        <v>0</v>
      </c>
      <c r="V1134" s="11">
        <f t="shared" si="337"/>
        <v>0</v>
      </c>
      <c r="W1134" s="11">
        <f t="shared" si="338"/>
        <v>0</v>
      </c>
      <c r="X1134" s="11">
        <f t="shared" si="327"/>
        <v>0.28193484339887642</v>
      </c>
      <c r="Y1134" s="11">
        <f t="shared" si="339"/>
        <v>0.28193484339887642</v>
      </c>
      <c r="Z1134" s="37">
        <v>1</v>
      </c>
      <c r="AA1134" s="36">
        <f t="shared" si="328"/>
        <v>1.208333333333333</v>
      </c>
      <c r="AB1134" s="36">
        <f t="shared" si="329"/>
        <v>0.91833333333333311</v>
      </c>
      <c r="AC1134" s="11">
        <f t="shared" si="330"/>
        <v>1.3881577715355807E-2</v>
      </c>
      <c r="AD1134" s="36">
        <f t="shared" si="340"/>
        <v>0.28193484339887642</v>
      </c>
      <c r="AE1134" s="36" t="str">
        <f>VLOOKUP(H1134,'Yield &amp; Time'!A:R,18,0)</f>
        <v>CHLORINE</v>
      </c>
      <c r="AF1134" s="36">
        <f>IFERROR(VLOOKUP(AE1134,'Chemical Cost'!A:D,4,0),0)</f>
        <v>2.7756518066439469E-2</v>
      </c>
      <c r="AG1134" s="114">
        <f t="shared" si="331"/>
        <v>1.1179708665649228E-2</v>
      </c>
      <c r="AH1134" s="36">
        <f t="shared" si="334"/>
        <v>1.1179708665649228E-2</v>
      </c>
      <c r="AI1134" s="36">
        <f t="shared" si="341"/>
        <v>1.211447885397859</v>
      </c>
      <c r="AJ1134" s="36">
        <f>IFERROR(VLOOKUP(A1134,'All Products'!A:F,6,0),0)</f>
        <v>8.73</v>
      </c>
      <c r="AK1134" s="36">
        <f>AJ1134*Z1134*J1134</f>
        <v>2.5316999999999998</v>
      </c>
      <c r="AL1134" s="23">
        <v>0.85</v>
      </c>
      <c r="AM1134" s="23">
        <v>0.15</v>
      </c>
      <c r="AN1134" s="54" t="e">
        <v>#N/A</v>
      </c>
      <c r="AO1134" s="47"/>
      <c r="AP1134" s="4">
        <v>1.1000000000000001</v>
      </c>
      <c r="AQ1134" s="111">
        <f t="shared" si="332"/>
        <v>1.3881577715355807E-2</v>
      </c>
      <c r="AR1134">
        <f>_xlfn.XLOOKUP(F1134,'RM Cost'!A:A,'RM Cost'!S:S)</f>
        <v>0</v>
      </c>
      <c r="AS1134" t="str">
        <f>_xlfn.XLOOKUP(A1134,[3]Sheet1!$B:$B,[3]Sheet1!$B:$B)</f>
        <v>041BCS</v>
      </c>
      <c r="AT1134" t="str">
        <f>_xlfn.XLOOKUP(H1134,'Yield &amp; Time'!A:A,'Yield &amp; Time'!O:O)</f>
        <v>Yes</v>
      </c>
    </row>
    <row r="1135" spans="1:46" x14ac:dyDescent="0.25">
      <c r="A1135" s="16" t="s">
        <v>25</v>
      </c>
      <c r="B1135" s="2" t="s">
        <v>552</v>
      </c>
      <c r="C1135" s="2" t="s">
        <v>26</v>
      </c>
      <c r="D1135" s="2" t="s">
        <v>554</v>
      </c>
      <c r="E1135" s="2">
        <v>3</v>
      </c>
      <c r="F1135" s="1" t="str">
        <f>VLOOKUP(H1135,'RM Used'!A:B,2,0)</f>
        <v>3112CS</v>
      </c>
      <c r="G1135" s="1" t="str">
        <f>IFERROR(VLOOKUP(F1135,'RM Cost'!A:B,2,0),"")</f>
        <v>WHOLE LEAF CURLY KALE 5X1KG</v>
      </c>
      <c r="H1135" s="2" t="s">
        <v>1354</v>
      </c>
      <c r="I1135" s="1" t="str">
        <f>VLOOKUP(F1135,'RM Used'!B:D,3,0)</f>
        <v>RM-FOOD</v>
      </c>
      <c r="J1135" s="66">
        <v>0.05</v>
      </c>
      <c r="K1135" s="35">
        <f t="shared" si="336"/>
        <v>0.15000000000000002</v>
      </c>
      <c r="L1135" s="35">
        <f t="shared" si="324"/>
        <v>0.15000000000000002</v>
      </c>
      <c r="M1135" s="77" cm="1">
        <f t="array" ref="M1135">_xlfn.IFS(BOM!I1135="RM-PACKING","100%",B1135="Reynolds",VLOOKUP(H1135,'Yield &amp; Time'!A:V,22,0),BOM!B1135="Dnata",VLOOKUP(BOM!H1135,'Yield &amp; Time'!A:M,13,0),B1135="NK",VLOOKUP(H1135,'Yield &amp; Time'!A:X,24,0))</f>
        <v>0.73052362707535112</v>
      </c>
      <c r="N1135" s="35">
        <f t="shared" si="335"/>
        <v>0.2053321678321679</v>
      </c>
      <c r="O1135" s="1" t="str">
        <f>VLOOKUP(H1135,'RM Used'!A:E,5,0)</f>
        <v>KG</v>
      </c>
      <c r="P1135" s="11">
        <f>VLOOKUP(H1135,'RM Used'!A:F,6,0)</f>
        <v>1.45</v>
      </c>
      <c r="Q1135" s="11">
        <f t="shared" si="333"/>
        <v>0.29773164335664343</v>
      </c>
      <c r="R1135" s="11">
        <f>IFERROR(IF(B1135="Reynolds",VLOOKUP(H1135,'Yield &amp; Time'!A:U,21,0),VLOOKUP(H1135,'Yield &amp; Time'!A:L,12,0)),0)</f>
        <v>3.3216783216783217</v>
      </c>
      <c r="S1135" s="11">
        <f t="shared" si="325"/>
        <v>0.16865821678321677</v>
      </c>
      <c r="T1135" s="11">
        <f t="shared" si="326"/>
        <v>8.304195804195804E-3</v>
      </c>
      <c r="U1135" s="11">
        <f>IF(A1134=A1135,0,VLOOKUP(A1135,'Packing Time'!A:F,6,0))</f>
        <v>0</v>
      </c>
      <c r="V1135" s="11">
        <f t="shared" si="337"/>
        <v>0</v>
      </c>
      <c r="W1135" s="11">
        <f t="shared" si="338"/>
        <v>0</v>
      </c>
      <c r="X1135" s="11">
        <f t="shared" si="327"/>
        <v>0.18552403846153845</v>
      </c>
      <c r="Y1135" s="11">
        <f t="shared" si="339"/>
        <v>0.18552403846153845</v>
      </c>
      <c r="Z1135" s="37">
        <v>1</v>
      </c>
      <c r="AA1135" s="36">
        <f t="shared" si="328"/>
        <v>0.2053321678321679</v>
      </c>
      <c r="AB1135" s="36">
        <f t="shared" si="329"/>
        <v>0.29773164335664343</v>
      </c>
      <c r="AC1135" s="11">
        <f t="shared" si="330"/>
        <v>9.1346153846153851E-3</v>
      </c>
      <c r="AD1135" s="36">
        <f t="shared" si="340"/>
        <v>0.18552403846153845</v>
      </c>
      <c r="AE1135" s="36" t="str">
        <f>VLOOKUP(H1135,'Yield &amp; Time'!A:R,18,0)</f>
        <v>CHLORINE</v>
      </c>
      <c r="AF1135" s="36">
        <f>IFERROR(VLOOKUP(AE1135,'Chemical Cost'!A:D,4,0),0)</f>
        <v>2.7756518066439469E-2</v>
      </c>
      <c r="AG1135" s="114">
        <f t="shared" si="331"/>
        <v>1.8997686753515833E-3</v>
      </c>
      <c r="AH1135" s="36">
        <f t="shared" si="334"/>
        <v>1.8997686753515833E-3</v>
      </c>
      <c r="AI1135" s="36">
        <f t="shared" si="341"/>
        <v>0.48515545049353348</v>
      </c>
      <c r="AJ1135" s="36">
        <f>IFERROR(VLOOKUP(A1135,'All Products'!A:F,6,0),0)</f>
        <v>8.73</v>
      </c>
      <c r="AK1135" s="36">
        <f>AJ1135*Z1135*J1135</f>
        <v>0.43650000000000005</v>
      </c>
      <c r="AL1135" s="23">
        <v>0.85</v>
      </c>
      <c r="AM1135" s="23">
        <v>0.15</v>
      </c>
      <c r="AN1135" s="54" t="e">
        <v>#N/A</v>
      </c>
      <c r="AO1135" s="47"/>
      <c r="AP1135" s="4">
        <v>1.1000000000000001</v>
      </c>
      <c r="AQ1135" s="111">
        <f t="shared" si="332"/>
        <v>9.1346153846153851E-3</v>
      </c>
      <c r="AR1135">
        <f>_xlfn.XLOOKUP(F1135,'RM Cost'!A:A,'RM Cost'!S:S)</f>
        <v>0</v>
      </c>
      <c r="AS1135" t="str">
        <f>_xlfn.XLOOKUP(A1135,[3]Sheet1!$B:$B,[3]Sheet1!$B:$B)</f>
        <v>041BCS</v>
      </c>
      <c r="AT1135" t="str">
        <f>_xlfn.XLOOKUP(H1135,'Yield &amp; Time'!A:A,'Yield &amp; Time'!O:O)</f>
        <v>Yes</v>
      </c>
    </row>
    <row r="1136" spans="1:46" x14ac:dyDescent="0.25">
      <c r="A1136" s="16" t="s">
        <v>25</v>
      </c>
      <c r="B1136" s="2" t="s">
        <v>552</v>
      </c>
      <c r="C1136" s="2" t="s">
        <v>26</v>
      </c>
      <c r="D1136" s="2" t="s">
        <v>554</v>
      </c>
      <c r="E1136" s="2">
        <v>3</v>
      </c>
      <c r="F1136" s="1" t="str">
        <f>VLOOKUP(H1136,'RM Used'!A:B,2,0)</f>
        <v>P0004</v>
      </c>
      <c r="G1136" s="1" t="str">
        <f>IFERROR(VLOOKUP(F1136,'RM Cost'!A:B,2,0),"")</f>
        <v>SOL 30EL # PPLUS 630x1000 BLUE -6</v>
      </c>
      <c r="H1136" s="1" t="s">
        <v>4680</v>
      </c>
      <c r="I1136" s="1" t="str">
        <f>VLOOKUP(F1136,'RM Used'!B:D,3,0)</f>
        <v>RM-PACKING</v>
      </c>
      <c r="J1136" s="66">
        <v>1</v>
      </c>
      <c r="K1136" s="35" t="str">
        <f t="shared" si="336"/>
        <v/>
      </c>
      <c r="L1136" s="35">
        <f t="shared" si="324"/>
        <v>0</v>
      </c>
      <c r="M1136" s="77" t="str" cm="1">
        <f t="array" ref="M1136">_xlfn.IFS(BOM!I1136="RM-PACKING","100%",B1136="Reynolds",VLOOKUP(H1136,'Yield &amp; Time'!A:V,22,0),BOM!B1136="Dnata",VLOOKUP(BOM!H1136,'Yield &amp; Time'!A:M,13,0),B1136="NK",VLOOKUP(H1136,'Yield &amp; Time'!A:X,24,0))</f>
        <v>100%</v>
      </c>
      <c r="N1136" s="35">
        <f t="shared" si="335"/>
        <v>1</v>
      </c>
      <c r="O1136" s="1" t="str">
        <f>VLOOKUP(H1136,'RM Used'!A:E,5,0)</f>
        <v>Count</v>
      </c>
      <c r="P1136" s="11">
        <f>VLOOKUP(H1136,'RM Used'!A:F,6,0)</f>
        <v>0.48</v>
      </c>
      <c r="Q1136" s="11">
        <f t="shared" si="333"/>
        <v>0.48</v>
      </c>
      <c r="R1136" s="11">
        <f>IFERROR(IF(B1136="Reynolds",VLOOKUP(H1136,'Yield &amp; Time'!A:U,21,0),VLOOKUP(H1136,'Yield &amp; Time'!A:L,12,0)),0)</f>
        <v>0</v>
      </c>
      <c r="S1136" s="11">
        <f t="shared" si="325"/>
        <v>0</v>
      </c>
      <c r="T1136" s="11">
        <f t="shared" si="326"/>
        <v>0</v>
      </c>
      <c r="U1136" s="11">
        <f>IF(A1135=A1136,0,VLOOKUP(A1136,'Packing Time'!A:F,6,0))</f>
        <v>0</v>
      </c>
      <c r="V1136" s="11">
        <f t="shared" si="337"/>
        <v>0</v>
      </c>
      <c r="W1136" s="11">
        <f t="shared" si="338"/>
        <v>0</v>
      </c>
      <c r="X1136" s="11">
        <f t="shared" si="327"/>
        <v>0</v>
      </c>
      <c r="Y1136" s="11">
        <f t="shared" si="339"/>
        <v>0</v>
      </c>
      <c r="Z1136" s="37">
        <v>1</v>
      </c>
      <c r="AA1136" s="36">
        <f t="shared" si="328"/>
        <v>1</v>
      </c>
      <c r="AB1136" s="36">
        <f t="shared" si="329"/>
        <v>0.48</v>
      </c>
      <c r="AC1136" s="11">
        <f t="shared" si="330"/>
        <v>0</v>
      </c>
      <c r="AD1136" s="36">
        <f t="shared" si="340"/>
        <v>0</v>
      </c>
      <c r="AE1136" s="36"/>
      <c r="AF1136" s="36">
        <f>IFERROR(VLOOKUP(AE1136,'Chemical Cost'!A:D,4,0),0)</f>
        <v>0</v>
      </c>
      <c r="AG1136" s="114">
        <f t="shared" si="331"/>
        <v>0</v>
      </c>
      <c r="AH1136" s="36">
        <f t="shared" si="334"/>
        <v>0</v>
      </c>
      <c r="AI1136" s="36">
        <f t="shared" si="341"/>
        <v>0.48</v>
      </c>
      <c r="AJ1136" s="36">
        <f>IFERROR(VLOOKUP(A1136,'All Products'!A:F,6,0),0)</f>
        <v>8.73</v>
      </c>
      <c r="AK1136" s="36"/>
      <c r="AL1136" s="23">
        <v>0.85</v>
      </c>
      <c r="AM1136" s="23">
        <v>0.15</v>
      </c>
      <c r="AN1136" s="54" t="e">
        <v>#N/A</v>
      </c>
      <c r="AO1136" s="47"/>
      <c r="AP1136" s="4">
        <v>1.1000000000000001</v>
      </c>
      <c r="AQ1136" s="111">
        <f t="shared" si="332"/>
        <v>0</v>
      </c>
      <c r="AR1136">
        <f>_xlfn.XLOOKUP(F1136,'RM Cost'!A:A,'RM Cost'!S:S)</f>
        <v>0</v>
      </c>
      <c r="AS1136" t="str">
        <f>_xlfn.XLOOKUP(A1136,[3]Sheet1!$B:$B,[3]Sheet1!$B:$B)</f>
        <v>041BCS</v>
      </c>
      <c r="AT1136" t="e">
        <f>_xlfn.XLOOKUP(H1136,'Yield &amp; Time'!A:A,'Yield &amp; Time'!F:F)</f>
        <v>#N/A</v>
      </c>
    </row>
    <row r="1137" spans="1:46" x14ac:dyDescent="0.25">
      <c r="A1137" s="2" t="s">
        <v>25</v>
      </c>
      <c r="B1137" s="2" t="s">
        <v>552</v>
      </c>
      <c r="C1137" s="2" t="s">
        <v>26</v>
      </c>
      <c r="D1137" s="2" t="s">
        <v>554</v>
      </c>
      <c r="E1137" s="2">
        <v>3</v>
      </c>
      <c r="F1137" s="1" t="str">
        <f>VLOOKUP(H1137,'RM Used'!A:B,2,0)</f>
        <v>P0016</v>
      </c>
      <c r="G1137" s="1" t="str">
        <f>IFERROR(VLOOKUP(F1137,'RM Cost'!A:B,2,0),"")</f>
        <v>REY 40 30 BOX</v>
      </c>
      <c r="H1137" s="1" t="s">
        <v>1332</v>
      </c>
      <c r="I1137" s="1" t="str">
        <f>VLOOKUP(F1137,'RM Used'!B:D,3,0)</f>
        <v>RM-PACKING</v>
      </c>
      <c r="J1137" s="66">
        <v>1</v>
      </c>
      <c r="K1137" s="35" t="str">
        <f t="shared" si="336"/>
        <v/>
      </c>
      <c r="L1137" s="35">
        <f t="shared" si="324"/>
        <v>0</v>
      </c>
      <c r="M1137" s="77" t="str" cm="1">
        <f t="array" ref="M1137">_xlfn.IFS(BOM!I1137="RM-PACKING","100%",B1137="Reynolds",VLOOKUP(H1137,'Yield &amp; Time'!A:V,22,0),BOM!B1137="Dnata",VLOOKUP(BOM!H1137,'Yield &amp; Time'!A:M,13,0),B1137="NK",VLOOKUP(H1137,'Yield &amp; Time'!A:X,24,0))</f>
        <v>100%</v>
      </c>
      <c r="N1137" s="35">
        <f t="shared" si="335"/>
        <v>1</v>
      </c>
      <c r="O1137" s="1" t="str">
        <f>VLOOKUP(H1137,'RM Used'!A:E,5,0)</f>
        <v>Count</v>
      </c>
      <c r="P1137" s="11">
        <f>VLOOKUP(H1137,'RM Used'!A:F,6,0)</f>
        <v>0.28000000000000003</v>
      </c>
      <c r="Q1137" s="11">
        <f t="shared" si="333"/>
        <v>0.28000000000000003</v>
      </c>
      <c r="R1137" s="11">
        <f>IFERROR(IF(B1137="Reynolds",VLOOKUP(H1137,'Yield &amp; Time'!A:U,21,0),VLOOKUP(H1137,'Yield &amp; Time'!A:L,12,0)),0)</f>
        <v>0</v>
      </c>
      <c r="S1137" s="11">
        <f t="shared" si="325"/>
        <v>0</v>
      </c>
      <c r="T1137" s="11">
        <f t="shared" si="326"/>
        <v>0</v>
      </c>
      <c r="U1137" s="11">
        <f>IF(A1136=A1137,0,VLOOKUP(A1137,'Packing Time'!A:F,6,0))</f>
        <v>0</v>
      </c>
      <c r="V1137" s="11">
        <f t="shared" si="337"/>
        <v>0</v>
      </c>
      <c r="W1137" s="11">
        <f t="shared" si="338"/>
        <v>0</v>
      </c>
      <c r="X1137" s="11">
        <f t="shared" si="327"/>
        <v>0</v>
      </c>
      <c r="Y1137" s="11">
        <f t="shared" si="339"/>
        <v>0</v>
      </c>
      <c r="Z1137" s="37">
        <v>1</v>
      </c>
      <c r="AA1137" s="36">
        <f t="shared" si="328"/>
        <v>1</v>
      </c>
      <c r="AB1137" s="36">
        <f t="shared" si="329"/>
        <v>0.28000000000000003</v>
      </c>
      <c r="AC1137" s="11">
        <f t="shared" si="330"/>
        <v>0</v>
      </c>
      <c r="AD1137" s="36">
        <f t="shared" si="340"/>
        <v>0</v>
      </c>
      <c r="AE1137" s="36"/>
      <c r="AF1137" s="36">
        <f>IFERROR(VLOOKUP(AE1137,'Chemical Cost'!A:D,4,0),0)</f>
        <v>0</v>
      </c>
      <c r="AG1137" s="114">
        <f t="shared" si="331"/>
        <v>0</v>
      </c>
      <c r="AH1137" s="36">
        <f t="shared" si="334"/>
        <v>0</v>
      </c>
      <c r="AI1137" s="36">
        <f t="shared" si="341"/>
        <v>0.28000000000000003</v>
      </c>
      <c r="AJ1137" s="36">
        <f>IFERROR(VLOOKUP(A1137,'All Products'!A:F,6,0),0)</f>
        <v>8.73</v>
      </c>
      <c r="AK1137" s="36"/>
      <c r="AL1137" s="23">
        <v>0.85</v>
      </c>
      <c r="AM1137" s="23">
        <v>0.15</v>
      </c>
      <c r="AN1137" s="54" t="e">
        <v>#N/A</v>
      </c>
      <c r="AO1137" s="47"/>
      <c r="AP1137" s="4">
        <v>1.1000000000000001</v>
      </c>
      <c r="AQ1137" s="111">
        <f t="shared" si="332"/>
        <v>0</v>
      </c>
      <c r="AR1137">
        <f>_xlfn.XLOOKUP(F1137,'RM Cost'!A:A,'RM Cost'!S:S)</f>
        <v>0</v>
      </c>
      <c r="AS1137" t="str">
        <f>_xlfn.XLOOKUP(A1137,[3]Sheet1!$B:$B,[3]Sheet1!$B:$B)</f>
        <v>041BCS</v>
      </c>
      <c r="AT1137" t="e">
        <f>_xlfn.XLOOKUP(H1137,'Yield &amp; Time'!A:A,'Yield &amp; Time'!F:F)</f>
        <v>#N/A</v>
      </c>
    </row>
    <row r="1138" spans="1:46" x14ac:dyDescent="0.25">
      <c r="A1138" s="16" t="s">
        <v>38</v>
      </c>
      <c r="B1138" s="2" t="s">
        <v>552</v>
      </c>
      <c r="C1138" s="2" t="s">
        <v>39</v>
      </c>
      <c r="D1138" s="2" t="s">
        <v>554</v>
      </c>
      <c r="E1138" s="2">
        <v>2.5</v>
      </c>
      <c r="F1138" s="1" t="str">
        <f>VLOOKUP(H1138,'RM Used'!A:B,2,0)</f>
        <v>032ACS</v>
      </c>
      <c r="G1138" s="1" t="str">
        <f>IFERROR(VLOOKUP(F1138,'RM Cost'!A:B,2,0),"")</f>
        <v>RM - LRG PROCESSING CARROT X 1000KG</v>
      </c>
      <c r="H1138" s="2" t="s">
        <v>1607</v>
      </c>
      <c r="I1138" s="1" t="str">
        <f>VLOOKUP(F1138,'RM Used'!B:D,3,0)</f>
        <v>RM-FOOD</v>
      </c>
      <c r="J1138" s="66">
        <v>1</v>
      </c>
      <c r="K1138" s="35">
        <f t="shared" si="336"/>
        <v>2.5</v>
      </c>
      <c r="L1138" s="35">
        <f t="shared" si="324"/>
        <v>2.5</v>
      </c>
      <c r="M1138" s="77" cm="1">
        <f t="array" ref="M1138">_xlfn.IFS(BOM!I1138="RM-PACKING","100%",B1138="Reynolds",VLOOKUP(H1138,'Yield &amp; Time'!A:V,22,0),BOM!B1138="Dnata",VLOOKUP(BOM!H1138,'Yield &amp; Time'!A:M,13,0),B1138="NK",VLOOKUP(H1138,'Yield &amp; Time'!A:X,24,0))</f>
        <v>0.23733455826616182</v>
      </c>
      <c r="N1138" s="35">
        <f t="shared" si="335"/>
        <v>10.533653498519772</v>
      </c>
      <c r="O1138" s="1" t="str">
        <f>VLOOKUP(H1138,'RM Used'!A:E,5,0)</f>
        <v>KG</v>
      </c>
      <c r="P1138" s="11">
        <f>VLOOKUP(H1138,'RM Used'!A:F,6,0)</f>
        <v>0.38</v>
      </c>
      <c r="Q1138" s="11">
        <f t="shared" si="333"/>
        <v>4.0027883294375135</v>
      </c>
      <c r="R1138" s="11">
        <f>IFERROR(IF(B1138="Reynolds",VLOOKUP(H1138,'Yield &amp; Time'!A:U,21,0),VLOOKUP(H1138,'Yield &amp; Time'!A:L,12,0)),0)</f>
        <v>9.7822627333725443</v>
      </c>
      <c r="S1138" s="11">
        <f t="shared" si="325"/>
        <v>8.2782398381165159</v>
      </c>
      <c r="T1138" s="11">
        <f t="shared" si="326"/>
        <v>0.40759428055718938</v>
      </c>
      <c r="U1138" s="11">
        <f>IF(A1137=A1138,0,VLOOKUP(A1138,'Packing Time'!A:F,6,0))</f>
        <v>0.875</v>
      </c>
      <c r="V1138" s="11">
        <f t="shared" si="337"/>
        <v>0.29618749999999999</v>
      </c>
      <c r="W1138" s="11">
        <f t="shared" si="338"/>
        <v>1.4583333333333334E-2</v>
      </c>
      <c r="X1138" s="11">
        <f t="shared" si="327"/>
        <v>13.719083740986427</v>
      </c>
      <c r="Y1138" s="11">
        <f t="shared" si="339"/>
        <v>13.719083740986427</v>
      </c>
      <c r="Z1138" s="37">
        <v>1</v>
      </c>
      <c r="AA1138" s="36">
        <f t="shared" si="328"/>
        <v>10.533653498519772</v>
      </c>
      <c r="AB1138" s="36">
        <f t="shared" si="329"/>
        <v>4.0027883294375135</v>
      </c>
      <c r="AC1138" s="11">
        <f t="shared" si="330"/>
        <v>0.67548418222483642</v>
      </c>
      <c r="AD1138" s="36">
        <f t="shared" si="340"/>
        <v>13.719083740986425</v>
      </c>
      <c r="AE1138" s="36" t="str">
        <f>VLOOKUP(H1138,'Yield &amp; Time'!A:R,18,0)</f>
        <v>CHLORINE</v>
      </c>
      <c r="AF1138" s="36">
        <f>IFERROR(VLOOKUP(AE1138,'Chemical Cost'!A:D,4,0),0)</f>
        <v>2.7756518066439469E-2</v>
      </c>
      <c r="AG1138" s="114">
        <f t="shared" si="331"/>
        <v>9.7459181212425791E-2</v>
      </c>
      <c r="AH1138" s="36">
        <f t="shared" si="334"/>
        <v>9.7459181212425791E-2</v>
      </c>
      <c r="AI1138" s="36">
        <f t="shared" si="341"/>
        <v>17.819331251636367</v>
      </c>
      <c r="AJ1138" s="36">
        <f>IFERROR(VLOOKUP(A1138,'All Products'!A:F,6,0),0)</f>
        <v>14.42</v>
      </c>
      <c r="AK1138" s="36">
        <f>AJ1138*Z1138*J1138</f>
        <v>14.42</v>
      </c>
      <c r="AL1138" s="23">
        <v>0.2</v>
      </c>
      <c r="AM1138" s="23">
        <v>0.8</v>
      </c>
      <c r="AN1138" s="54" t="e">
        <v>#N/A</v>
      </c>
      <c r="AO1138" s="47"/>
      <c r="AP1138" s="4">
        <v>1.6</v>
      </c>
      <c r="AQ1138" s="111">
        <f t="shared" si="332"/>
        <v>0.67548418222483642</v>
      </c>
      <c r="AR1138">
        <f>_xlfn.XLOOKUP(F1138,'RM Cost'!A:A,'RM Cost'!S:S)</f>
        <v>0</v>
      </c>
      <c r="AS1138" t="e">
        <f>_xlfn.XLOOKUP(A1138,[3]Sheet1!$B:$B,[3]Sheet1!$B:$B)</f>
        <v>#N/A</v>
      </c>
    </row>
    <row r="1139" spans="1:46" x14ac:dyDescent="0.25">
      <c r="A1139" s="16" t="s">
        <v>38</v>
      </c>
      <c r="B1139" s="2" t="s">
        <v>552</v>
      </c>
      <c r="C1139" s="2" t="s">
        <v>39</v>
      </c>
      <c r="D1139" s="2" t="s">
        <v>554</v>
      </c>
      <c r="E1139" s="2">
        <v>2.5</v>
      </c>
      <c r="F1139" s="1" t="str">
        <f>VLOOKUP(H1139,'RM Used'!A:B,2,0)</f>
        <v>P0020</v>
      </c>
      <c r="G1139" s="1" t="str">
        <f>IFERROR(VLOOKUP(F1139,'RM Cost'!A:B,2,0),"")</f>
        <v>PALE BLUE BAG 430X430MM</v>
      </c>
      <c r="H1139" s="2" t="s">
        <v>1659</v>
      </c>
      <c r="I1139" s="1" t="str">
        <f>VLOOKUP(F1139,'RM Used'!B:D,3,0)</f>
        <v>RM-PACKING</v>
      </c>
      <c r="J1139" s="66">
        <v>1</v>
      </c>
      <c r="K1139" s="35" t="str">
        <f t="shared" si="336"/>
        <v/>
      </c>
      <c r="L1139" s="35">
        <f t="shared" si="324"/>
        <v>0</v>
      </c>
      <c r="M1139" s="77" t="str" cm="1">
        <f t="array" ref="M1139">_xlfn.IFS(BOM!I1139="RM-PACKING","100%",B1139="Reynolds",VLOOKUP(H1139,'Yield &amp; Time'!A:V,22,0),BOM!B1139="Dnata",VLOOKUP(BOM!H1139,'Yield &amp; Time'!A:M,13,0),B1139="NK",VLOOKUP(H1139,'Yield &amp; Time'!A:X,24,0))</f>
        <v>100%</v>
      </c>
      <c r="N1139" s="35">
        <f t="shared" si="335"/>
        <v>1</v>
      </c>
      <c r="O1139" s="1" t="str">
        <f>VLOOKUP(H1139,'RM Used'!A:E,5,0)</f>
        <v>Count</v>
      </c>
      <c r="P1139" s="11">
        <f>VLOOKUP(H1139,'RM Used'!A:F,6,0)</f>
        <v>0.09</v>
      </c>
      <c r="Q1139" s="11">
        <f t="shared" si="333"/>
        <v>0.09</v>
      </c>
      <c r="R1139" s="11">
        <f>IFERROR(IF(B1139="Reynolds",VLOOKUP(H1139,'Yield &amp; Time'!A:U,21,0),VLOOKUP(H1139,'Yield &amp; Time'!A:L,12,0)),0)</f>
        <v>0</v>
      </c>
      <c r="S1139" s="11">
        <f t="shared" si="325"/>
        <v>0</v>
      </c>
      <c r="T1139" s="11">
        <f t="shared" si="326"/>
        <v>0</v>
      </c>
      <c r="U1139" s="11">
        <f>IF(A1138=A1139,0,VLOOKUP(A1139,'Packing Time'!A:F,6,0))</f>
        <v>0</v>
      </c>
      <c r="V1139" s="11">
        <f t="shared" si="337"/>
        <v>0</v>
      </c>
      <c r="W1139" s="11">
        <f t="shared" si="338"/>
        <v>0</v>
      </c>
      <c r="X1139" s="11">
        <f t="shared" si="327"/>
        <v>0</v>
      </c>
      <c r="Y1139" s="11">
        <f t="shared" si="339"/>
        <v>0</v>
      </c>
      <c r="Z1139" s="37">
        <v>1</v>
      </c>
      <c r="AA1139" s="36">
        <f t="shared" si="328"/>
        <v>1</v>
      </c>
      <c r="AB1139" s="36">
        <f t="shared" si="329"/>
        <v>0.09</v>
      </c>
      <c r="AC1139" s="11">
        <f t="shared" si="330"/>
        <v>0</v>
      </c>
      <c r="AD1139" s="36">
        <f t="shared" si="340"/>
        <v>0</v>
      </c>
      <c r="AE1139" s="36"/>
      <c r="AF1139" s="36">
        <f>IFERROR(VLOOKUP(AE1139,'Chemical Cost'!A:D,4,0),0)</f>
        <v>0</v>
      </c>
      <c r="AG1139" s="114">
        <f t="shared" si="331"/>
        <v>0</v>
      </c>
      <c r="AH1139" s="36">
        <f t="shared" si="334"/>
        <v>0</v>
      </c>
      <c r="AI1139" s="36">
        <f t="shared" si="341"/>
        <v>0.09</v>
      </c>
      <c r="AJ1139" s="36">
        <f>IFERROR(VLOOKUP(A1139,'All Products'!A:F,6,0),0)</f>
        <v>14.42</v>
      </c>
      <c r="AK1139" s="36"/>
      <c r="AL1139" s="23">
        <v>0.2</v>
      </c>
      <c r="AM1139" s="23">
        <v>0.8</v>
      </c>
      <c r="AN1139" s="54" t="e">
        <v>#N/A</v>
      </c>
      <c r="AO1139" s="47"/>
      <c r="AP1139" s="4">
        <v>1.6</v>
      </c>
      <c r="AQ1139" s="111">
        <f t="shared" si="332"/>
        <v>0</v>
      </c>
      <c r="AR1139">
        <f>_xlfn.XLOOKUP(F1139,'RM Cost'!A:A,'RM Cost'!S:S)</f>
        <v>0</v>
      </c>
      <c r="AS1139" t="e">
        <f>_xlfn.XLOOKUP(A1139,[3]Sheet1!$B:$B,[3]Sheet1!$B:$B)</f>
        <v>#N/A</v>
      </c>
    </row>
    <row r="1140" spans="1:46" x14ac:dyDescent="0.25">
      <c r="A1140" s="16" t="s">
        <v>960</v>
      </c>
      <c r="B1140" s="2" t="s">
        <v>552</v>
      </c>
      <c r="C1140" s="2" t="s">
        <v>961</v>
      </c>
      <c r="D1140" s="2" t="s">
        <v>554</v>
      </c>
      <c r="E1140" s="2">
        <v>2</v>
      </c>
      <c r="F1140" s="1" t="str">
        <f>VLOOKUP(H1140,'RM Used'!A:B,2,0)</f>
        <v>024BCS</v>
      </c>
      <c r="G1140" s="1" t="str">
        <f>IFERROR(VLOOKUP(F1140,'RM Cost'!A:B,2,0),"")</f>
        <v>RM - MUSHROOM BUTTON 30-40M 3KG</v>
      </c>
      <c r="H1140" s="2" t="s">
        <v>1608</v>
      </c>
      <c r="I1140" s="1" t="str">
        <f>VLOOKUP(F1140,'RM Used'!B:D,3,0)</f>
        <v>RM-FOOD</v>
      </c>
      <c r="J1140" s="66">
        <v>1</v>
      </c>
      <c r="K1140" s="35">
        <f t="shared" si="336"/>
        <v>2</v>
      </c>
      <c r="L1140" s="35">
        <f t="shared" si="324"/>
        <v>2</v>
      </c>
      <c r="M1140" s="77" cm="1">
        <f t="array" ref="M1140">_xlfn.IFS(BOM!I1140="RM-PACKING","100%",B1140="Reynolds",VLOOKUP(H1140,'Yield &amp; Time'!A:V,22,0),BOM!B1140="Dnata",VLOOKUP(BOM!H1140,'Yield &amp; Time'!A:M,13,0),B1140="NK",VLOOKUP(H1140,'Yield &amp; Time'!A:X,24,0))</f>
        <v>0.88</v>
      </c>
      <c r="N1140" s="35">
        <f t="shared" si="335"/>
        <v>2.2727272727272729</v>
      </c>
      <c r="O1140" s="1" t="str">
        <f>VLOOKUP(H1140,'RM Used'!A:E,5,0)</f>
        <v>KG</v>
      </c>
      <c r="P1140" s="11">
        <f>VLOOKUP(H1140,'RM Used'!A:F,6,0)</f>
        <v>1.85</v>
      </c>
      <c r="Q1140" s="11">
        <f t="shared" si="333"/>
        <v>4.204545454545455</v>
      </c>
      <c r="R1140" s="11">
        <f>IFERROR(IF(B1140="Reynolds",VLOOKUP(H1140,'Yield &amp; Time'!A:U,21,0),VLOOKUP(H1140,'Yield &amp; Time'!A:L,12,0)),0)</f>
        <v>11.666666666666668</v>
      </c>
      <c r="S1140" s="11">
        <f t="shared" si="325"/>
        <v>7.8983333333333334</v>
      </c>
      <c r="T1140" s="11">
        <f t="shared" si="326"/>
        <v>0.38888888888888895</v>
      </c>
      <c r="U1140" s="11">
        <f>IF(A1139=A1140,0,VLOOKUP(A1140,'Packing Time'!A:F,6,0))</f>
        <v>0.8</v>
      </c>
      <c r="V1140" s="11">
        <f t="shared" si="337"/>
        <v>0.27079999999999999</v>
      </c>
      <c r="W1140" s="11">
        <f t="shared" si="338"/>
        <v>1.3333333333333334E-2</v>
      </c>
      <c r="X1140" s="11">
        <f t="shared" si="327"/>
        <v>13.070613333333334</v>
      </c>
      <c r="Y1140" s="11">
        <f t="shared" si="339"/>
        <v>13.070613333333334</v>
      </c>
      <c r="Z1140" s="37">
        <v>1</v>
      </c>
      <c r="AA1140" s="36">
        <f t="shared" si="328"/>
        <v>2.2727272727272729</v>
      </c>
      <c r="AB1140" s="36">
        <f t="shared" si="329"/>
        <v>4.204545454545455</v>
      </c>
      <c r="AC1140" s="11">
        <f t="shared" si="330"/>
        <v>0.64355555555555566</v>
      </c>
      <c r="AD1140" s="36">
        <f t="shared" si="340"/>
        <v>13.070613333333334</v>
      </c>
      <c r="AE1140" s="36"/>
      <c r="AF1140" s="36">
        <f>IFERROR(VLOOKUP(AE1140,'Chemical Cost'!A:D,4,0),0)</f>
        <v>0</v>
      </c>
      <c r="AG1140" s="114">
        <f t="shared" si="331"/>
        <v>0</v>
      </c>
      <c r="AH1140" s="36">
        <f t="shared" si="334"/>
        <v>0</v>
      </c>
      <c r="AI1140" s="36">
        <f t="shared" si="341"/>
        <v>17.275158787878787</v>
      </c>
      <c r="AJ1140" s="36">
        <f>IFERROR(VLOOKUP(A1140,'All Products'!A:F,6,0),0)</f>
        <v>11.09</v>
      </c>
      <c r="AK1140" s="36">
        <f>AJ1140*Z1140*J1140</f>
        <v>11.09</v>
      </c>
      <c r="AL1140" s="23">
        <v>1</v>
      </c>
      <c r="AM1140" s="23"/>
      <c r="AN1140" s="54" t="e">
        <v>#N/A</v>
      </c>
      <c r="AO1140" s="47"/>
      <c r="AP1140" s="4">
        <v>1.6</v>
      </c>
      <c r="AQ1140" s="111">
        <f t="shared" si="332"/>
        <v>0.64355555555555566</v>
      </c>
      <c r="AR1140">
        <f>_xlfn.XLOOKUP(F1140,'RM Cost'!A:A,'RM Cost'!S:S)</f>
        <v>0</v>
      </c>
      <c r="AS1140" t="e">
        <f>_xlfn.XLOOKUP(A1140,[3]Sheet1!$B:$B,[3]Sheet1!$B:$B)</f>
        <v>#N/A</v>
      </c>
    </row>
    <row r="1141" spans="1:46" x14ac:dyDescent="0.25">
      <c r="A1141" s="16" t="s">
        <v>960</v>
      </c>
      <c r="B1141" s="2" t="s">
        <v>552</v>
      </c>
      <c r="C1141" s="2" t="s">
        <v>961</v>
      </c>
      <c r="D1141" s="2" t="s">
        <v>554</v>
      </c>
      <c r="E1141" s="2">
        <v>2</v>
      </c>
      <c r="F1141" s="1" t="str">
        <f>VLOOKUP(H1141,'RM Used'!A:B,2,0)</f>
        <v>P0020</v>
      </c>
      <c r="G1141" s="1" t="str">
        <f>IFERROR(VLOOKUP(F1141,'RM Cost'!A:B,2,0),"")</f>
        <v>PALE BLUE BAG 430X430MM</v>
      </c>
      <c r="H1141" s="2" t="s">
        <v>1659</v>
      </c>
      <c r="I1141" s="1" t="str">
        <f>VLOOKUP(F1141,'RM Used'!B:D,3,0)</f>
        <v>RM-PACKING</v>
      </c>
      <c r="J1141" s="66">
        <v>1</v>
      </c>
      <c r="K1141" s="35" t="str">
        <f t="shared" si="336"/>
        <v/>
      </c>
      <c r="L1141" s="35">
        <f t="shared" si="324"/>
        <v>0</v>
      </c>
      <c r="M1141" s="77" t="str" cm="1">
        <f t="array" ref="M1141">_xlfn.IFS(BOM!I1141="RM-PACKING","100%",B1141="Reynolds",VLOOKUP(H1141,'Yield &amp; Time'!A:V,22,0),BOM!B1141="Dnata",VLOOKUP(BOM!H1141,'Yield &amp; Time'!A:M,13,0),B1141="NK",VLOOKUP(H1141,'Yield &amp; Time'!A:X,24,0))</f>
        <v>100%</v>
      </c>
      <c r="N1141" s="35">
        <f t="shared" si="335"/>
        <v>1</v>
      </c>
      <c r="O1141" s="1" t="str">
        <f>VLOOKUP(H1141,'RM Used'!A:E,5,0)</f>
        <v>Count</v>
      </c>
      <c r="P1141" s="11">
        <f>VLOOKUP(H1141,'RM Used'!A:F,6,0)</f>
        <v>0.09</v>
      </c>
      <c r="Q1141" s="11">
        <f t="shared" si="333"/>
        <v>0.09</v>
      </c>
      <c r="R1141" s="11">
        <f>IFERROR(IF(B1141="Reynolds",VLOOKUP(H1141,'Yield &amp; Time'!A:U,21,0),VLOOKUP(H1141,'Yield &amp; Time'!A:L,12,0)),0)</f>
        <v>0</v>
      </c>
      <c r="S1141" s="11">
        <f t="shared" si="325"/>
        <v>0</v>
      </c>
      <c r="T1141" s="11">
        <f t="shared" si="326"/>
        <v>0</v>
      </c>
      <c r="U1141" s="11">
        <f>IF(A1140=A1141,0,VLOOKUP(A1141,'Packing Time'!A:F,6,0))</f>
        <v>0</v>
      </c>
      <c r="V1141" s="11">
        <f t="shared" si="337"/>
        <v>0</v>
      </c>
      <c r="W1141" s="11">
        <f t="shared" si="338"/>
        <v>0</v>
      </c>
      <c r="X1141" s="11">
        <f t="shared" si="327"/>
        <v>0</v>
      </c>
      <c r="Y1141" s="11">
        <f t="shared" si="339"/>
        <v>0</v>
      </c>
      <c r="Z1141" s="37">
        <v>1</v>
      </c>
      <c r="AA1141" s="36">
        <f t="shared" si="328"/>
        <v>1</v>
      </c>
      <c r="AB1141" s="36">
        <f t="shared" si="329"/>
        <v>0.09</v>
      </c>
      <c r="AC1141" s="11">
        <f t="shared" si="330"/>
        <v>0</v>
      </c>
      <c r="AD1141" s="36">
        <f t="shared" si="340"/>
        <v>0</v>
      </c>
      <c r="AE1141" s="36"/>
      <c r="AF1141" s="36">
        <f>IFERROR(VLOOKUP(AE1141,'Chemical Cost'!A:D,4,0),0)</f>
        <v>0</v>
      </c>
      <c r="AG1141" s="114">
        <f t="shared" si="331"/>
        <v>0</v>
      </c>
      <c r="AH1141" s="36">
        <f t="shared" si="334"/>
        <v>0</v>
      </c>
      <c r="AI1141" s="36">
        <f t="shared" si="341"/>
        <v>0.09</v>
      </c>
      <c r="AJ1141" s="36">
        <f>IFERROR(VLOOKUP(A1141,'All Products'!A:F,6,0),0)</f>
        <v>11.09</v>
      </c>
      <c r="AK1141" s="36"/>
      <c r="AL1141" s="23">
        <v>1</v>
      </c>
      <c r="AM1141" s="23"/>
      <c r="AN1141" s="54" t="e">
        <v>#N/A</v>
      </c>
      <c r="AO1141" s="47"/>
      <c r="AP1141" s="4">
        <v>1.6</v>
      </c>
      <c r="AQ1141" s="111">
        <f t="shared" si="332"/>
        <v>0</v>
      </c>
      <c r="AR1141">
        <f>_xlfn.XLOOKUP(F1141,'RM Cost'!A:A,'RM Cost'!S:S)</f>
        <v>0</v>
      </c>
      <c r="AS1141" t="e">
        <f>_xlfn.XLOOKUP(A1141,[3]Sheet1!$B:$B,[3]Sheet1!$B:$B)</f>
        <v>#N/A</v>
      </c>
    </row>
    <row r="1142" spans="1:46" x14ac:dyDescent="0.25">
      <c r="A1142" s="16" t="s">
        <v>963</v>
      </c>
      <c r="B1142" s="2" t="s">
        <v>552</v>
      </c>
      <c r="C1142" s="2" t="s">
        <v>964</v>
      </c>
      <c r="D1142" s="2" t="s">
        <v>554</v>
      </c>
      <c r="E1142" s="2">
        <v>5</v>
      </c>
      <c r="F1142" s="1" t="str">
        <f>VLOOKUP(H1142,'RM Used'!A:B,2,0)</f>
        <v>107ACS</v>
      </c>
      <c r="G1142" s="1" t="str">
        <f>IFERROR(VLOOKUP(F1142,'RM Cost'!A:B,2,0),"")</f>
        <v>RM - BABY RED BEETROOT 6 X 200G</v>
      </c>
      <c r="H1142" s="2" t="s">
        <v>1609</v>
      </c>
      <c r="I1142" s="1" t="str">
        <f>VLOOKUP(F1142,'RM Used'!B:D,3,0)</f>
        <v>RM-FOOD</v>
      </c>
      <c r="J1142" s="66">
        <v>1</v>
      </c>
      <c r="K1142" s="35">
        <f t="shared" si="336"/>
        <v>5</v>
      </c>
      <c r="L1142" s="35">
        <f t="shared" si="324"/>
        <v>5</v>
      </c>
      <c r="M1142" s="77" cm="1">
        <f t="array" ref="M1142">_xlfn.IFS(BOM!I1142="RM-PACKING","100%",B1142="Reynolds",VLOOKUP(H1142,'Yield &amp; Time'!A:V,22,0),BOM!B1142="Dnata",VLOOKUP(BOM!H1142,'Yield &amp; Time'!A:M,13,0),B1142="NK",VLOOKUP(H1142,'Yield &amp; Time'!A:X,24,0))</f>
        <v>0.73404255319148937</v>
      </c>
      <c r="N1142" s="35">
        <f t="shared" si="335"/>
        <v>6.8115942028985508</v>
      </c>
      <c r="O1142" s="1" t="str">
        <f>VLOOKUP(H1142,'RM Used'!A:E,5,0)</f>
        <v>KG</v>
      </c>
      <c r="P1142" s="11">
        <f>VLOOKUP(H1142,'RM Used'!A:F,6,0)</f>
        <v>9.35</v>
      </c>
      <c r="Q1142" s="11">
        <f t="shared" si="333"/>
        <v>63.688405797101446</v>
      </c>
      <c r="R1142" s="11">
        <f>IFERROR(IF(B1142="Reynolds",VLOOKUP(H1142,'Yield &amp; Time'!A:U,21,0),VLOOKUP(H1142,'Yield &amp; Time'!A:L,12,0)),0)</f>
        <v>12.318840579710146</v>
      </c>
      <c r="S1142" s="11">
        <f t="shared" si="325"/>
        <v>20.849637681159422</v>
      </c>
      <c r="T1142" s="11">
        <f t="shared" si="326"/>
        <v>1.0265700483091789</v>
      </c>
      <c r="U1142" s="11">
        <f>IF(A1141=A1142,0,VLOOKUP(A1142,'Packing Time'!A:F,6,0))</f>
        <v>1.1850000000000001</v>
      </c>
      <c r="V1142" s="11">
        <f t="shared" si="337"/>
        <v>0.40112249999999999</v>
      </c>
      <c r="W1142" s="11">
        <f t="shared" si="338"/>
        <v>1.975E-2</v>
      </c>
      <c r="X1142" s="11">
        <f t="shared" si="327"/>
        <v>34.001216289855073</v>
      </c>
      <c r="Y1142" s="11">
        <f t="shared" si="339"/>
        <v>34.001216289855073</v>
      </c>
      <c r="Z1142" s="37">
        <v>1</v>
      </c>
      <c r="AA1142" s="36">
        <f t="shared" si="328"/>
        <v>6.8115942028985508</v>
      </c>
      <c r="AB1142" s="36">
        <f t="shared" si="329"/>
        <v>63.688405797101446</v>
      </c>
      <c r="AC1142" s="11">
        <f t="shared" si="330"/>
        <v>1.6741120772946865</v>
      </c>
      <c r="AD1142" s="36">
        <f t="shared" si="340"/>
        <v>34.00121628985508</v>
      </c>
      <c r="AE1142" s="36"/>
      <c r="AF1142" s="36">
        <f>IFERROR(VLOOKUP(AE1142,'Chemical Cost'!A:D,4,0),0)</f>
        <v>0</v>
      </c>
      <c r="AG1142" s="114">
        <f t="shared" si="331"/>
        <v>0</v>
      </c>
      <c r="AH1142" s="36">
        <f t="shared" si="334"/>
        <v>0</v>
      </c>
      <c r="AI1142" s="36">
        <f t="shared" si="341"/>
        <v>97.689622086956518</v>
      </c>
      <c r="AJ1142" s="36">
        <f>IFERROR(VLOOKUP(A1142,'All Products'!A:F,6,0),0)</f>
        <v>204.93</v>
      </c>
      <c r="AK1142" s="36">
        <f>AJ1142*Z1142*J1142</f>
        <v>204.93</v>
      </c>
      <c r="AL1142" s="23">
        <v>1</v>
      </c>
      <c r="AM1142" s="23"/>
      <c r="AN1142" s="54" t="e">
        <v>#N/A</v>
      </c>
      <c r="AO1142" s="47"/>
      <c r="AP1142" s="4">
        <v>1.6</v>
      </c>
      <c r="AQ1142" s="111">
        <f t="shared" si="332"/>
        <v>1.6741120772946865</v>
      </c>
      <c r="AR1142">
        <f>_xlfn.XLOOKUP(F1142,'RM Cost'!A:A,'RM Cost'!S:S)</f>
        <v>0</v>
      </c>
      <c r="AS1142" t="e">
        <f>_xlfn.XLOOKUP(A1142,[3]Sheet1!$B:$B,[3]Sheet1!$B:$B)</f>
        <v>#N/A</v>
      </c>
    </row>
    <row r="1143" spans="1:46" x14ac:dyDescent="0.25">
      <c r="A1143" s="16" t="s">
        <v>963</v>
      </c>
      <c r="B1143" s="2" t="s">
        <v>552</v>
      </c>
      <c r="C1143" s="2" t="s">
        <v>964</v>
      </c>
      <c r="D1143" s="2" t="s">
        <v>554</v>
      </c>
      <c r="E1143" s="2">
        <v>5</v>
      </c>
      <c r="F1143" s="1" t="str">
        <f>VLOOKUP(H1143,'RM Used'!A:B,2,0)</f>
        <v>P0020</v>
      </c>
      <c r="G1143" s="1" t="str">
        <f>IFERROR(VLOOKUP(F1143,'RM Cost'!A:B,2,0),"")</f>
        <v>PALE BLUE BAG 430X430MM</v>
      </c>
      <c r="H1143" s="2" t="s">
        <v>1659</v>
      </c>
      <c r="I1143" s="1" t="str">
        <f>VLOOKUP(F1143,'RM Used'!B:D,3,0)</f>
        <v>RM-PACKING</v>
      </c>
      <c r="J1143" s="66">
        <v>1</v>
      </c>
      <c r="K1143" s="35" t="str">
        <f t="shared" si="336"/>
        <v/>
      </c>
      <c r="L1143" s="35">
        <f t="shared" si="324"/>
        <v>0</v>
      </c>
      <c r="M1143" s="77" t="str" cm="1">
        <f t="array" ref="M1143">_xlfn.IFS(BOM!I1143="RM-PACKING","100%",B1143="Reynolds",VLOOKUP(H1143,'Yield &amp; Time'!A:V,22,0),BOM!B1143="Dnata",VLOOKUP(BOM!H1143,'Yield &amp; Time'!A:M,13,0),B1143="NK",VLOOKUP(H1143,'Yield &amp; Time'!A:X,24,0))</f>
        <v>100%</v>
      </c>
      <c r="N1143" s="35">
        <v>1</v>
      </c>
      <c r="O1143" s="1" t="str">
        <f>VLOOKUP(H1143,'RM Used'!A:E,5,0)</f>
        <v>Count</v>
      </c>
      <c r="P1143" s="11">
        <f>VLOOKUP(H1143,'RM Used'!A:F,6,0)</f>
        <v>0.09</v>
      </c>
      <c r="Q1143" s="11">
        <f t="shared" si="333"/>
        <v>0.09</v>
      </c>
      <c r="R1143" s="11">
        <f>IFERROR(IF(B1143="Reynolds",VLOOKUP(H1143,'Yield &amp; Time'!A:U,21,0),VLOOKUP(H1143,'Yield &amp; Time'!A:L,12,0)),0)</f>
        <v>0</v>
      </c>
      <c r="S1143" s="11">
        <f t="shared" si="325"/>
        <v>0</v>
      </c>
      <c r="T1143" s="11">
        <f t="shared" si="326"/>
        <v>0</v>
      </c>
      <c r="U1143" s="11">
        <f>IF(A1142=A1143,0,VLOOKUP(A1143,'Packing Time'!A:F,6,0))</f>
        <v>0</v>
      </c>
      <c r="V1143" s="11">
        <f t="shared" si="337"/>
        <v>0</v>
      </c>
      <c r="W1143" s="11">
        <f t="shared" si="338"/>
        <v>0</v>
      </c>
      <c r="X1143" s="11">
        <f t="shared" si="327"/>
        <v>0</v>
      </c>
      <c r="Y1143" s="11">
        <f t="shared" si="339"/>
        <v>0</v>
      </c>
      <c r="Z1143" s="37">
        <v>1</v>
      </c>
      <c r="AA1143" s="36">
        <f t="shared" si="328"/>
        <v>1</v>
      </c>
      <c r="AB1143" s="36">
        <f t="shared" si="329"/>
        <v>0.09</v>
      </c>
      <c r="AC1143" s="11">
        <f t="shared" si="330"/>
        <v>0</v>
      </c>
      <c r="AD1143" s="36">
        <f t="shared" si="340"/>
        <v>0</v>
      </c>
      <c r="AE1143" s="36"/>
      <c r="AF1143" s="36">
        <f>IFERROR(VLOOKUP(AE1143,'Chemical Cost'!A:D,4,0),0)</f>
        <v>0</v>
      </c>
      <c r="AG1143" s="114">
        <f t="shared" si="331"/>
        <v>0</v>
      </c>
      <c r="AH1143" s="36">
        <f t="shared" si="334"/>
        <v>0</v>
      </c>
      <c r="AI1143" s="36">
        <f t="shared" si="341"/>
        <v>0.09</v>
      </c>
      <c r="AJ1143" s="36">
        <f>IFERROR(VLOOKUP(A1143,'All Products'!A:F,6,0),0)</f>
        <v>204.93</v>
      </c>
      <c r="AK1143" s="36"/>
      <c r="AL1143" s="23">
        <v>1</v>
      </c>
      <c r="AM1143" s="23"/>
      <c r="AN1143" s="54" t="e">
        <v>#N/A</v>
      </c>
      <c r="AO1143" s="47"/>
      <c r="AP1143" s="4">
        <v>1.6</v>
      </c>
      <c r="AQ1143" s="111">
        <f t="shared" si="332"/>
        <v>0</v>
      </c>
      <c r="AR1143">
        <f>_xlfn.XLOOKUP(F1143,'RM Cost'!A:A,'RM Cost'!S:S)</f>
        <v>0</v>
      </c>
      <c r="AS1143" t="e">
        <f>_xlfn.XLOOKUP(A1143,[3]Sheet1!$B:$B,[3]Sheet1!$B:$B)</f>
        <v>#N/A</v>
      </c>
    </row>
    <row r="1144" spans="1:46" x14ac:dyDescent="0.25">
      <c r="A1144" s="16" t="s">
        <v>413</v>
      </c>
      <c r="B1144" s="2" t="s">
        <v>552</v>
      </c>
      <c r="C1144" s="2" t="s">
        <v>414</v>
      </c>
      <c r="D1144" s="2" t="s">
        <v>554</v>
      </c>
      <c r="E1144" s="2">
        <v>1</v>
      </c>
      <c r="F1144" s="1" t="str">
        <f>VLOOKUP(H1144,'RM Used'!A:B,2,0)</f>
        <v>1445CS</v>
      </c>
      <c r="G1144" s="1" t="str">
        <f>IFERROR(VLOOKUP(F1144,'RM Cost'!A:B,2,0),"")</f>
        <v>RM - GARLIC PEELED 10X1KG</v>
      </c>
      <c r="H1144" s="2" t="s">
        <v>1610</v>
      </c>
      <c r="I1144" s="1" t="str">
        <f>VLOOKUP(F1144,'RM Used'!B:D,3,0)</f>
        <v>RM-FOOD</v>
      </c>
      <c r="J1144" s="66">
        <v>1</v>
      </c>
      <c r="K1144" s="35">
        <f t="shared" si="336"/>
        <v>1</v>
      </c>
      <c r="L1144" s="35">
        <f t="shared" si="324"/>
        <v>1</v>
      </c>
      <c r="M1144" s="77" cm="1">
        <f t="array" ref="M1144">_xlfn.IFS(BOM!I1144="RM-PACKING","100%",B1144="Reynolds",VLOOKUP(H1144,'Yield &amp; Time'!A:V,22,0),BOM!B1144="Dnata",VLOOKUP(BOM!H1144,'Yield &amp; Time'!A:M,13,0),B1144="NK",VLOOKUP(H1144,'Yield &amp; Time'!A:X,24,0))</f>
        <v>0.96750369276218617</v>
      </c>
      <c r="N1144" s="35">
        <f t="shared" ref="N1144:N1208" si="342">IFERROR(IF(I1144="RM-FOOD",(E1144*J1144)/M1144,1),0)</f>
        <v>1.033587786259542</v>
      </c>
      <c r="O1144" s="1" t="str">
        <f>VLOOKUP(H1144,'RM Used'!A:E,5,0)</f>
        <v>KG</v>
      </c>
      <c r="P1144" s="11">
        <f>VLOOKUP(H1144,'RM Used'!A:F,6,0)</f>
        <v>2.76</v>
      </c>
      <c r="Q1144" s="11">
        <f t="shared" si="333"/>
        <v>2.8527022900763357</v>
      </c>
      <c r="R1144" s="11">
        <f>IFERROR(IF(B1144="Reynolds",VLOOKUP(H1144,'Yield &amp; Time'!A:U,21,0),VLOOKUP(H1144,'Yield &amp; Time'!A:L,12,0)),0)</f>
        <v>0.5</v>
      </c>
      <c r="S1144" s="11">
        <f t="shared" si="325"/>
        <v>0.16924999999999998</v>
      </c>
      <c r="T1144" s="11">
        <f t="shared" si="326"/>
        <v>8.3333333333333332E-3</v>
      </c>
      <c r="U1144" s="11">
        <f>IF(A1143=A1144,0,VLOOKUP(A1144,'Packing Time'!A:F,6,0))</f>
        <v>0.64500000000000002</v>
      </c>
      <c r="V1144" s="11">
        <f t="shared" si="337"/>
        <v>0.21833249999999998</v>
      </c>
      <c r="W1144" s="11">
        <f t="shared" si="338"/>
        <v>1.0750000000000001E-2</v>
      </c>
      <c r="X1144" s="11">
        <f t="shared" si="327"/>
        <v>0.62013200000000002</v>
      </c>
      <c r="Y1144" s="11">
        <f t="shared" si="339"/>
        <v>0.62013200000000002</v>
      </c>
      <c r="Z1144" s="37">
        <v>1</v>
      </c>
      <c r="AA1144" s="36">
        <f t="shared" si="328"/>
        <v>1.033587786259542</v>
      </c>
      <c r="AB1144" s="36">
        <f t="shared" si="329"/>
        <v>2.8527022900763357</v>
      </c>
      <c r="AC1144" s="11">
        <f t="shared" si="330"/>
        <v>3.0533333333333336E-2</v>
      </c>
      <c r="AD1144" s="36">
        <f t="shared" si="340"/>
        <v>0.62013200000000002</v>
      </c>
      <c r="AE1144" s="36"/>
      <c r="AF1144" s="36">
        <f>IFERROR(VLOOKUP(AE1144,'Chemical Cost'!A:D,4,0),0)</f>
        <v>0</v>
      </c>
      <c r="AG1144" s="114">
        <f t="shared" si="331"/>
        <v>0</v>
      </c>
      <c r="AH1144" s="36">
        <f t="shared" si="334"/>
        <v>0</v>
      </c>
      <c r="AI1144" s="36">
        <f t="shared" si="341"/>
        <v>3.4728342900763356</v>
      </c>
      <c r="AJ1144" s="36">
        <f>IFERROR(VLOOKUP(A1144,'All Products'!A:F,6,0),0)</f>
        <v>9.1300000000000008</v>
      </c>
      <c r="AK1144" s="36">
        <f>AJ1144*Z1144*J1144</f>
        <v>9.1300000000000008</v>
      </c>
      <c r="AL1144" s="23">
        <v>0</v>
      </c>
      <c r="AM1144" s="23">
        <v>1</v>
      </c>
      <c r="AN1144" s="54" t="e">
        <v>#N/A</v>
      </c>
      <c r="AO1144" s="47"/>
      <c r="AP1144" s="4">
        <v>1.6</v>
      </c>
      <c r="AQ1144" s="111">
        <f t="shared" si="332"/>
        <v>3.0533333333333336E-2</v>
      </c>
      <c r="AR1144">
        <f>_xlfn.XLOOKUP(F1144,'RM Cost'!A:A,'RM Cost'!S:S)</f>
        <v>0</v>
      </c>
      <c r="AS1144" t="str">
        <f>_xlfn.XLOOKUP(A1144,[3]Sheet1!$B:$B,[3]Sheet1!$B:$B)</f>
        <v>054BCS</v>
      </c>
      <c r="AT1144">
        <f>_xlfn.XLOOKUP(H1144,'Yield &amp; Time'!A:A,'Yield &amp; Time'!F:F)</f>
        <v>0</v>
      </c>
    </row>
    <row r="1145" spans="1:46" x14ac:dyDescent="0.25">
      <c r="A1145" s="16" t="s">
        <v>413</v>
      </c>
      <c r="B1145" s="2" t="s">
        <v>552</v>
      </c>
      <c r="C1145" s="2" t="s">
        <v>414</v>
      </c>
      <c r="D1145" s="2" t="s">
        <v>554</v>
      </c>
      <c r="E1145" s="2">
        <v>1</v>
      </c>
      <c r="F1145" s="1" t="str">
        <f>VLOOKUP(H1145,'RM Used'!A:B,2,0)</f>
        <v>P0011</v>
      </c>
      <c r="G1145" s="1" t="str">
        <f>IFERROR(VLOOKUP(F1145,'RM Cost'!A:B,2,0),"")</f>
        <v>VACK PACK 300x400</v>
      </c>
      <c r="H1145" s="2" t="s">
        <v>1326</v>
      </c>
      <c r="I1145" s="1" t="str">
        <f>VLOOKUP(F1145,'RM Used'!B:D,3,0)</f>
        <v>RM-PACKING</v>
      </c>
      <c r="J1145" s="66">
        <v>1</v>
      </c>
      <c r="K1145" s="35" t="str">
        <f t="shared" si="336"/>
        <v/>
      </c>
      <c r="L1145" s="35">
        <f t="shared" si="324"/>
        <v>0</v>
      </c>
      <c r="M1145" s="77" t="str" cm="1">
        <f t="array" ref="M1145">_xlfn.IFS(BOM!I1145="RM-PACKING","100%",B1145="Reynolds",VLOOKUP(H1145,'Yield &amp; Time'!A:V,22,0),BOM!B1145="Dnata",VLOOKUP(BOM!H1145,'Yield &amp; Time'!A:M,13,0),B1145="NK",VLOOKUP(H1145,'Yield &amp; Time'!A:X,24,0))</f>
        <v>100%</v>
      </c>
      <c r="N1145" s="35">
        <f t="shared" si="342"/>
        <v>1</v>
      </c>
      <c r="O1145" s="1" t="str">
        <f>VLOOKUP(H1145,'RM Used'!A:E,5,0)</f>
        <v>Count</v>
      </c>
      <c r="P1145" s="11">
        <f>VLOOKUP(H1145,'RM Used'!A:F,6,0)</f>
        <v>0.1</v>
      </c>
      <c r="Q1145" s="11">
        <f t="shared" si="333"/>
        <v>0.1</v>
      </c>
      <c r="R1145" s="11">
        <f>IFERROR(IF(B1145="Reynolds",VLOOKUP(H1145,'Yield &amp; Time'!A:U,21,0),VLOOKUP(H1145,'Yield &amp; Time'!A:L,12,0)),0)</f>
        <v>0</v>
      </c>
      <c r="S1145" s="11">
        <f t="shared" si="325"/>
        <v>0</v>
      </c>
      <c r="T1145" s="11">
        <f t="shared" si="326"/>
        <v>0</v>
      </c>
      <c r="U1145" s="11">
        <f>IF(A1144=A1145,0,VLOOKUP(A1145,'Packing Time'!A:F,6,0))</f>
        <v>0</v>
      </c>
      <c r="V1145" s="11">
        <f t="shared" si="337"/>
        <v>0</v>
      </c>
      <c r="W1145" s="11">
        <f t="shared" si="338"/>
        <v>0</v>
      </c>
      <c r="X1145" s="11">
        <f t="shared" si="327"/>
        <v>0</v>
      </c>
      <c r="Y1145" s="11">
        <f t="shared" si="339"/>
        <v>0</v>
      </c>
      <c r="Z1145" s="37">
        <v>1</v>
      </c>
      <c r="AA1145" s="36">
        <f t="shared" si="328"/>
        <v>1</v>
      </c>
      <c r="AB1145" s="36">
        <f t="shared" si="329"/>
        <v>0.1</v>
      </c>
      <c r="AC1145" s="11">
        <f t="shared" si="330"/>
        <v>0</v>
      </c>
      <c r="AD1145" s="36">
        <f t="shared" si="340"/>
        <v>0</v>
      </c>
      <c r="AE1145" s="36"/>
      <c r="AF1145" s="36">
        <f>IFERROR(VLOOKUP(AE1145,'Chemical Cost'!A:D,4,0),0)</f>
        <v>0</v>
      </c>
      <c r="AG1145" s="114">
        <f t="shared" si="331"/>
        <v>0</v>
      </c>
      <c r="AH1145" s="36">
        <f t="shared" si="334"/>
        <v>0</v>
      </c>
      <c r="AI1145" s="36">
        <f t="shared" si="341"/>
        <v>0.1</v>
      </c>
      <c r="AJ1145" s="36">
        <f>IFERROR(VLOOKUP(A1145,'All Products'!A:F,6,0),0)</f>
        <v>9.1300000000000008</v>
      </c>
      <c r="AK1145" s="36"/>
      <c r="AL1145" s="23">
        <v>0</v>
      </c>
      <c r="AM1145" s="23">
        <v>1</v>
      </c>
      <c r="AN1145" s="54" t="e">
        <v>#N/A</v>
      </c>
      <c r="AO1145" s="47"/>
      <c r="AP1145" s="4">
        <v>1.6</v>
      </c>
      <c r="AQ1145" s="111">
        <f t="shared" si="332"/>
        <v>0</v>
      </c>
      <c r="AR1145">
        <f>_xlfn.XLOOKUP(F1145,'RM Cost'!A:A,'RM Cost'!S:S)</f>
        <v>0</v>
      </c>
      <c r="AS1145" t="str">
        <f>_xlfn.XLOOKUP(A1145,[3]Sheet1!$B:$B,[3]Sheet1!$B:$B)</f>
        <v>054BCS</v>
      </c>
      <c r="AT1145" t="e">
        <f>_xlfn.XLOOKUP(H1145,'Yield &amp; Time'!A:A,'Yield &amp; Time'!F:F)</f>
        <v>#N/A</v>
      </c>
    </row>
    <row r="1146" spans="1:46" x14ac:dyDescent="0.25">
      <c r="A1146" s="2" t="s">
        <v>413</v>
      </c>
      <c r="B1146" s="2" t="s">
        <v>552</v>
      </c>
      <c r="C1146" s="2" t="s">
        <v>414</v>
      </c>
      <c r="D1146" s="2" t="s">
        <v>554</v>
      </c>
      <c r="E1146" s="2">
        <v>1</v>
      </c>
      <c r="F1146" s="1" t="str">
        <f>VLOOKUP(H1146,'RM Used'!A:B,2,0)</f>
        <v>P0016</v>
      </c>
      <c r="G1146" s="1" t="str">
        <f>IFERROR(VLOOKUP(F1146,'RM Cost'!A:B,2,0),"")</f>
        <v>REY 40 30 BOX</v>
      </c>
      <c r="H1146" s="2" t="s">
        <v>1332</v>
      </c>
      <c r="I1146" s="1" t="str">
        <f>VLOOKUP(F1146,'RM Used'!B:D,3,0)</f>
        <v>RM-PACKING</v>
      </c>
      <c r="J1146" s="66">
        <v>1</v>
      </c>
      <c r="K1146" s="35" t="str">
        <f t="shared" si="336"/>
        <v/>
      </c>
      <c r="L1146" s="35">
        <f t="shared" si="324"/>
        <v>0</v>
      </c>
      <c r="M1146" s="77" t="str" cm="1">
        <f t="array" ref="M1146">_xlfn.IFS(BOM!I1146="RM-PACKING","100%",B1146="Reynolds",VLOOKUP(H1146,'Yield &amp; Time'!A:V,22,0),BOM!B1146="Dnata",VLOOKUP(BOM!H1146,'Yield &amp; Time'!A:M,13,0),B1146="NK",VLOOKUP(H1146,'Yield &amp; Time'!A:X,24,0))</f>
        <v>100%</v>
      </c>
      <c r="N1146" s="35">
        <f t="shared" si="342"/>
        <v>1</v>
      </c>
      <c r="O1146" s="1" t="str">
        <f>VLOOKUP(H1146,'RM Used'!A:E,5,0)</f>
        <v>Count</v>
      </c>
      <c r="P1146" s="11">
        <f>VLOOKUP(H1146,'RM Used'!A:F,6,0)</f>
        <v>0.28000000000000003</v>
      </c>
      <c r="Q1146" s="11">
        <f t="shared" si="333"/>
        <v>0.28000000000000003</v>
      </c>
      <c r="R1146" s="11">
        <f>IFERROR(IF(B1146="Reynolds",VLOOKUP(H1146,'Yield &amp; Time'!A:U,21,0),VLOOKUP(H1146,'Yield &amp; Time'!A:L,12,0)),0)</f>
        <v>0</v>
      </c>
      <c r="S1146" s="11">
        <f t="shared" si="325"/>
        <v>0</v>
      </c>
      <c r="T1146" s="11">
        <f t="shared" si="326"/>
        <v>0</v>
      </c>
      <c r="U1146" s="11">
        <f>IF(A1145=A1146,0,VLOOKUP(A1146,'Packing Time'!A:F,6,0))</f>
        <v>0</v>
      </c>
      <c r="V1146" s="11">
        <f t="shared" si="337"/>
        <v>0</v>
      </c>
      <c r="W1146" s="11">
        <f t="shared" si="338"/>
        <v>0</v>
      </c>
      <c r="X1146" s="11">
        <f t="shared" si="327"/>
        <v>0</v>
      </c>
      <c r="Y1146" s="11">
        <f t="shared" si="339"/>
        <v>0</v>
      </c>
      <c r="Z1146" s="37">
        <v>1</v>
      </c>
      <c r="AA1146" s="36">
        <f t="shared" si="328"/>
        <v>1</v>
      </c>
      <c r="AB1146" s="36">
        <f t="shared" si="329"/>
        <v>0.28000000000000003</v>
      </c>
      <c r="AC1146" s="11">
        <f t="shared" si="330"/>
        <v>0</v>
      </c>
      <c r="AD1146" s="36">
        <f t="shared" si="340"/>
        <v>0</v>
      </c>
      <c r="AE1146" s="36"/>
      <c r="AF1146" s="36">
        <f>IFERROR(VLOOKUP(AE1146,'Chemical Cost'!A:D,4,0),0)</f>
        <v>0</v>
      </c>
      <c r="AG1146" s="114">
        <f t="shared" si="331"/>
        <v>0</v>
      </c>
      <c r="AH1146" s="36">
        <f t="shared" si="334"/>
        <v>0</v>
      </c>
      <c r="AI1146" s="36">
        <f t="shared" si="341"/>
        <v>0.28000000000000003</v>
      </c>
      <c r="AJ1146" s="36">
        <f>IFERROR(VLOOKUP(A1146,'All Products'!A:F,6,0),0)</f>
        <v>9.1300000000000008</v>
      </c>
      <c r="AK1146" s="36"/>
      <c r="AL1146" s="23">
        <v>0</v>
      </c>
      <c r="AM1146" s="23">
        <v>1</v>
      </c>
      <c r="AN1146" s="54" t="e">
        <v>#N/A</v>
      </c>
      <c r="AO1146" s="47"/>
      <c r="AP1146" s="4">
        <v>1.6</v>
      </c>
      <c r="AQ1146" s="111">
        <f t="shared" si="332"/>
        <v>0</v>
      </c>
      <c r="AR1146">
        <f>_xlfn.XLOOKUP(F1146,'RM Cost'!A:A,'RM Cost'!S:S)</f>
        <v>0</v>
      </c>
      <c r="AS1146" t="str">
        <f>_xlfn.XLOOKUP(A1146,[3]Sheet1!$B:$B,[3]Sheet1!$B:$B)</f>
        <v>054BCS</v>
      </c>
      <c r="AT1146" t="e">
        <f>_xlfn.XLOOKUP(H1146,'Yield &amp; Time'!A:A,'Yield &amp; Time'!F:F)</f>
        <v>#N/A</v>
      </c>
    </row>
    <row r="1147" spans="1:46" x14ac:dyDescent="0.25">
      <c r="A1147" s="16" t="s">
        <v>979</v>
      </c>
      <c r="B1147" s="2" t="s">
        <v>552</v>
      </c>
      <c r="C1147" s="2" t="s">
        <v>980</v>
      </c>
      <c r="D1147" s="2" t="s">
        <v>554</v>
      </c>
      <c r="E1147" s="2">
        <v>2.5</v>
      </c>
      <c r="F1147" s="1" t="str">
        <f>VLOOKUP(H1147,'RM Used'!A:B,2,0)</f>
        <v>S3997CS</v>
      </c>
      <c r="G1147" s="1" t="str">
        <f>IFERROR(VLOOKUP(F1147,'RM Cost'!A:B,2,0),"")</f>
        <v>RM - DECORE WHITE CABBAGE 1/3 1200KG</v>
      </c>
      <c r="H1147" s="2" t="s">
        <v>1352</v>
      </c>
      <c r="I1147" s="1" t="str">
        <f>VLOOKUP(F1147,'RM Used'!B:D,3,0)</f>
        <v>RM-FOOD</v>
      </c>
      <c r="J1147" s="66">
        <v>0.56000000000000005</v>
      </c>
      <c r="K1147" s="35">
        <f t="shared" si="336"/>
        <v>1.4000000000000001</v>
      </c>
      <c r="L1147" s="35">
        <f t="shared" si="324"/>
        <v>1.4000000000000001</v>
      </c>
      <c r="M1147" s="77" cm="1">
        <f t="array" ref="M1147">_xlfn.IFS(BOM!I1147="RM-PACKING","100%",B1147="Reynolds",VLOOKUP(H1147,'Yield &amp; Time'!A:V,22,0),BOM!B1147="Dnata",VLOOKUP(BOM!H1147,'Yield &amp; Time'!A:M,13,0),B1147="NK",VLOOKUP(H1147,'Yield &amp; Time'!A:X,24,0))</f>
        <v>0.74345249999999996</v>
      </c>
      <c r="N1147" s="35">
        <f t="shared" si="342"/>
        <v>1.8831061836499308</v>
      </c>
      <c r="O1147" s="1" t="str">
        <f>VLOOKUP(H1147,'RM Used'!A:E,5,0)</f>
        <v>KG</v>
      </c>
      <c r="P1147" s="11">
        <f>VLOOKUP(H1147,'RM Used'!A:F,6,0)</f>
        <v>0.34</v>
      </c>
      <c r="Q1147" s="11">
        <f t="shared" si="333"/>
        <v>0.64025610244097653</v>
      </c>
      <c r="R1147" s="11">
        <f>IFERROR(IF(B1147="Reynolds",VLOOKUP(H1147,'Yield &amp; Time'!A:U,21,0),VLOOKUP(H1147,'Yield &amp; Time'!A:L,12,0)),0)</f>
        <v>0.79828721807060099</v>
      </c>
      <c r="S1147" s="11">
        <f t="shared" si="325"/>
        <v>0.37830831264365777</v>
      </c>
      <c r="T1147" s="11">
        <f t="shared" si="326"/>
        <v>1.8626701754980692E-2</v>
      </c>
      <c r="U1147" s="11">
        <f>IF(A1146=A1147,0,VLOOKUP(A1147,'Packing Time'!A:F,6,0))</f>
        <v>0.875</v>
      </c>
      <c r="V1147" s="11">
        <f t="shared" si="337"/>
        <v>0.29618749999999999</v>
      </c>
      <c r="W1147" s="11">
        <f t="shared" si="338"/>
        <v>1.4583333333333334E-2</v>
      </c>
      <c r="X1147" s="11">
        <f t="shared" si="327"/>
        <v>0.84311976580457215</v>
      </c>
      <c r="Y1147" s="11">
        <f t="shared" si="339"/>
        <v>0.84311976580457215</v>
      </c>
      <c r="Z1147" s="37">
        <v>1</v>
      </c>
      <c r="AA1147" s="36">
        <f t="shared" si="328"/>
        <v>1.8831061836499308</v>
      </c>
      <c r="AB1147" s="36">
        <f t="shared" si="329"/>
        <v>0.64025610244097653</v>
      </c>
      <c r="AC1147" s="11">
        <f t="shared" si="330"/>
        <v>4.1512543860392527E-2</v>
      </c>
      <c r="AD1147" s="36">
        <f t="shared" si="340"/>
        <v>0.84311976580457215</v>
      </c>
      <c r="AE1147" s="36" t="str">
        <f>VLOOKUP(H1147,'Yield &amp; Time'!A:R,18,0)</f>
        <v>CHLORINE</v>
      </c>
      <c r="AF1147" s="36">
        <f>IFERROR(VLOOKUP(AE1147,'Chemical Cost'!A:D,4,0),0)</f>
        <v>2.7756518066439469E-2</v>
      </c>
      <c r="AG1147" s="114">
        <f t="shared" si="331"/>
        <v>1.7422823602501063E-2</v>
      </c>
      <c r="AH1147" s="36">
        <f t="shared" si="334"/>
        <v>1.7422823602501063E-2</v>
      </c>
      <c r="AI1147" s="36">
        <f t="shared" si="341"/>
        <v>1.5007986918480498</v>
      </c>
      <c r="AJ1147" s="36">
        <f>IFERROR(VLOOKUP(A1147,'All Products'!A:F,6,0),0)</f>
        <v>0</v>
      </c>
      <c r="AK1147" s="36">
        <f>AJ1147*Z1147*J1147</f>
        <v>0</v>
      </c>
      <c r="AL1147" s="23">
        <v>0.8</v>
      </c>
      <c r="AM1147" s="23">
        <v>0.2</v>
      </c>
      <c r="AN1147" s="54" t="e">
        <v>#N/A</v>
      </c>
      <c r="AO1147" s="47"/>
      <c r="AP1147" s="4">
        <v>1.25</v>
      </c>
      <c r="AQ1147" s="111">
        <f t="shared" si="332"/>
        <v>4.1512543860392527E-2</v>
      </c>
      <c r="AR1147">
        <f>_xlfn.XLOOKUP(F1147,'RM Cost'!A:A,'RM Cost'!S:S)</f>
        <v>0.29914853989077506</v>
      </c>
      <c r="AS1147" t="e">
        <f>_xlfn.XLOOKUP(A1147,[3]Sheet1!$B:$B,[3]Sheet1!$B:$B)</f>
        <v>#N/A</v>
      </c>
    </row>
    <row r="1148" spans="1:46" x14ac:dyDescent="0.25">
      <c r="A1148" s="16" t="s">
        <v>979</v>
      </c>
      <c r="B1148" s="2" t="s">
        <v>552</v>
      </c>
      <c r="C1148" s="2" t="s">
        <v>980</v>
      </c>
      <c r="D1148" s="2" t="s">
        <v>554</v>
      </c>
      <c r="E1148" s="2">
        <v>2.5</v>
      </c>
      <c r="F1148" s="1" t="str">
        <f>VLOOKUP(H1148,'RM Used'!A:B,2,0)</f>
        <v>032ACS</v>
      </c>
      <c r="G1148" s="1" t="str">
        <f>IFERROR(VLOOKUP(F1148,'RM Cost'!A:B,2,0),"")</f>
        <v>RM - LRG PROCESSING CARROT X 1000KG</v>
      </c>
      <c r="H1148" s="2" t="s">
        <v>1351</v>
      </c>
      <c r="I1148" s="1" t="str">
        <f>VLOOKUP(F1148,'RM Used'!B:D,3,0)</f>
        <v>RM-FOOD</v>
      </c>
      <c r="J1148" s="66">
        <v>0.32</v>
      </c>
      <c r="K1148" s="35">
        <f t="shared" si="336"/>
        <v>0.8</v>
      </c>
      <c r="L1148" s="35">
        <f t="shared" si="324"/>
        <v>0.8</v>
      </c>
      <c r="M1148" s="77" cm="1">
        <f t="array" ref="M1148">_xlfn.IFS(BOM!I1148="RM-PACKING","100%",B1148="Reynolds",VLOOKUP(H1148,'Yield &amp; Time'!A:V,22,0),BOM!B1148="Dnata",VLOOKUP(BOM!H1148,'Yield &amp; Time'!A:M,13,0),B1148="NK",VLOOKUP(H1148,'Yield &amp; Time'!A:X,24,0))</f>
        <v>0.75330000000000008</v>
      </c>
      <c r="N1148" s="35">
        <f t="shared" si="342"/>
        <v>1.0619938935351121</v>
      </c>
      <c r="O1148" s="1" t="str">
        <f>VLOOKUP(H1148,'RM Used'!A:E,5,0)</f>
        <v>KG</v>
      </c>
      <c r="P1148" s="11">
        <f>VLOOKUP(H1148,'RM Used'!A:F,6,0)</f>
        <v>0.38</v>
      </c>
      <c r="Q1148" s="11">
        <f t="shared" si="333"/>
        <v>0.4035576795433426</v>
      </c>
      <c r="R1148" s="11">
        <f>IFERROR(IF(B1148="Reynolds",VLOOKUP(H1148,'Yield &amp; Time'!A:U,21,0),VLOOKUP(H1148,'Yield &amp; Time'!A:L,12,0)),0)</f>
        <v>0.90531914893617027</v>
      </c>
      <c r="S1148" s="11">
        <f t="shared" si="325"/>
        <v>0.24516042553191489</v>
      </c>
      <c r="T1148" s="11">
        <f t="shared" si="326"/>
        <v>1.2070921985815605E-2</v>
      </c>
      <c r="U1148" s="11">
        <f>IF(A1147=A1148,0,VLOOKUP(A1148,'Packing Time'!A:F,6,0))</f>
        <v>0</v>
      </c>
      <c r="V1148" s="11">
        <f t="shared" si="337"/>
        <v>0</v>
      </c>
      <c r="W1148" s="11">
        <f t="shared" si="338"/>
        <v>0</v>
      </c>
      <c r="X1148" s="11">
        <f t="shared" si="327"/>
        <v>0.30645053191489363</v>
      </c>
      <c r="Y1148" s="11">
        <f t="shared" si="339"/>
        <v>0.30645053191489363</v>
      </c>
      <c r="Z1148" s="37">
        <v>1</v>
      </c>
      <c r="AA1148" s="36">
        <f t="shared" si="328"/>
        <v>1.0619938935351121</v>
      </c>
      <c r="AB1148" s="36">
        <f t="shared" si="329"/>
        <v>0.4035576795433426</v>
      </c>
      <c r="AC1148" s="11">
        <f t="shared" si="330"/>
        <v>1.5088652482269507E-2</v>
      </c>
      <c r="AD1148" s="36">
        <f t="shared" si="340"/>
        <v>0.30645053191489363</v>
      </c>
      <c r="AE1148" s="36" t="str">
        <f>VLOOKUP(H1148,'Yield &amp; Time'!A:R,18,0)</f>
        <v>CHLORINE</v>
      </c>
      <c r="AF1148" s="36">
        <f>IFERROR(VLOOKUP(AE1148,'Chemical Cost'!A:D,4,0),0)</f>
        <v>2.7756518066439469E-2</v>
      </c>
      <c r="AG1148" s="114">
        <f t="shared" si="331"/>
        <v>9.8257508974519108E-3</v>
      </c>
      <c r="AH1148" s="36">
        <f t="shared" si="334"/>
        <v>9.8257508974519108E-3</v>
      </c>
      <c r="AI1148" s="36">
        <f t="shared" si="341"/>
        <v>0.71983396235568808</v>
      </c>
      <c r="AJ1148" s="36">
        <f>IFERROR(VLOOKUP(A1148,'All Products'!A:F,6,0),0)</f>
        <v>0</v>
      </c>
      <c r="AK1148" s="36">
        <f>AJ1148*Z1148*J1148</f>
        <v>0</v>
      </c>
      <c r="AL1148" s="23">
        <v>0.8</v>
      </c>
      <c r="AM1148" s="23">
        <v>0.2</v>
      </c>
      <c r="AN1148" s="54" t="e">
        <v>#N/A</v>
      </c>
      <c r="AO1148" s="47"/>
      <c r="AP1148" s="4">
        <v>1.25</v>
      </c>
      <c r="AQ1148" s="111">
        <f t="shared" si="332"/>
        <v>1.5088652482269507E-2</v>
      </c>
      <c r="AR1148">
        <f>_xlfn.XLOOKUP(F1148,'RM Cost'!A:A,'RM Cost'!S:S)</f>
        <v>0</v>
      </c>
      <c r="AS1148" t="e">
        <f>_xlfn.XLOOKUP(A1148,[3]Sheet1!$B:$B,[3]Sheet1!$B:$B)</f>
        <v>#N/A</v>
      </c>
    </row>
    <row r="1149" spans="1:46" x14ac:dyDescent="0.25">
      <c r="A1149" s="16" t="s">
        <v>979</v>
      </c>
      <c r="B1149" s="2" t="s">
        <v>552</v>
      </c>
      <c r="C1149" s="2" t="s">
        <v>980</v>
      </c>
      <c r="D1149" s="2" t="s">
        <v>554</v>
      </c>
      <c r="E1149" s="2">
        <v>2.5</v>
      </c>
      <c r="F1149" s="1" t="str">
        <f>VLOOKUP(H1149,'RM Used'!A:B,2,0)</f>
        <v>S3998CS</v>
      </c>
      <c r="G1149" s="1" t="str">
        <f>IFERROR(VLOOKUP(F1149,'RM Cost'!A:B,2,0),"")</f>
        <v>RM - DECORED RED CABBAGE 1/3 1200KG</v>
      </c>
      <c r="H1149" s="2" t="s">
        <v>1349</v>
      </c>
      <c r="I1149" s="1" t="str">
        <f>VLOOKUP(F1149,'RM Used'!B:D,3,0)</f>
        <v>RM-FOOD</v>
      </c>
      <c r="J1149" s="66">
        <v>0.06</v>
      </c>
      <c r="K1149" s="35">
        <f t="shared" si="336"/>
        <v>0.15</v>
      </c>
      <c r="L1149" s="35">
        <f t="shared" si="324"/>
        <v>0.15</v>
      </c>
      <c r="M1149" s="77" cm="1">
        <f t="array" ref="M1149">_xlfn.IFS(BOM!I1149="RM-PACKING","100%",B1149="Reynolds",VLOOKUP(H1149,'Yield &amp; Time'!A:V,22,0),BOM!B1149="Dnata",VLOOKUP(BOM!H1149,'Yield &amp; Time'!A:M,13,0),B1149="NK",VLOOKUP(H1149,'Yield &amp; Time'!A:X,24,0))</f>
        <v>0.75138040345821322</v>
      </c>
      <c r="N1149" s="35">
        <f t="shared" si="342"/>
        <v>0.19963256868242504</v>
      </c>
      <c r="O1149" s="1" t="str">
        <f>VLOOKUP(H1149,'RM Used'!A:E,5,0)</f>
        <v>KG</v>
      </c>
      <c r="P1149" s="11">
        <f>VLOOKUP(H1149,'RM Used'!A:F,6,0)</f>
        <v>0.38</v>
      </c>
      <c r="Q1149" s="11">
        <f t="shared" si="333"/>
        <v>7.5860376099321516E-2</v>
      </c>
      <c r="R1149" s="11">
        <f>IFERROR(IF(B1149="Reynolds",VLOOKUP(H1149,'Yield &amp; Time'!A:U,21,0),VLOOKUP(H1149,'Yield &amp; Time'!A:L,12,0)),0)</f>
        <v>0.76261570798735501</v>
      </c>
      <c r="S1149" s="11">
        <f t="shared" si="325"/>
        <v>3.872181257305795E-2</v>
      </c>
      <c r="T1149" s="11">
        <f t="shared" si="326"/>
        <v>1.9065392699683876E-3</v>
      </c>
      <c r="U1149" s="11">
        <f>IF(A1148=A1149,0,VLOOKUP(A1149,'Packing Time'!A:F,6,0))</f>
        <v>0</v>
      </c>
      <c r="V1149" s="11">
        <f t="shared" si="337"/>
        <v>0</v>
      </c>
      <c r="W1149" s="11">
        <f t="shared" si="338"/>
        <v>0</v>
      </c>
      <c r="X1149" s="11">
        <f t="shared" si="327"/>
        <v>4.8402265716322439E-2</v>
      </c>
      <c r="Y1149" s="11">
        <f t="shared" si="339"/>
        <v>4.8402265716322439E-2</v>
      </c>
      <c r="Z1149" s="37">
        <v>1</v>
      </c>
      <c r="AA1149" s="36">
        <f t="shared" si="328"/>
        <v>0.19963256868242504</v>
      </c>
      <c r="AB1149" s="36">
        <f t="shared" si="329"/>
        <v>7.5860376099321516E-2</v>
      </c>
      <c r="AC1149" s="11">
        <f t="shared" si="330"/>
        <v>2.3831740874604842E-3</v>
      </c>
      <c r="AD1149" s="36">
        <f t="shared" si="340"/>
        <v>4.8402265716322432E-2</v>
      </c>
      <c r="AE1149" s="36" t="str">
        <f>VLOOKUP(H1149,'Yield &amp; Time'!A:R,18,0)</f>
        <v>CHLORINE</v>
      </c>
      <c r="AF1149" s="36">
        <f>IFERROR(VLOOKUP(AE1149,'Chemical Cost'!A:D,4,0),0)</f>
        <v>2.7756518066439469E-2</v>
      </c>
      <c r="AG1149" s="114">
        <f t="shared" si="331"/>
        <v>1.8470349997611497E-3</v>
      </c>
      <c r="AH1149" s="36">
        <f t="shared" si="334"/>
        <v>1.8470349997611497E-3</v>
      </c>
      <c r="AI1149" s="36">
        <f t="shared" si="341"/>
        <v>0.12610967681540511</v>
      </c>
      <c r="AJ1149" s="36">
        <f>IFERROR(VLOOKUP(A1149,'All Products'!A:F,6,0),0)</f>
        <v>0</v>
      </c>
      <c r="AK1149" s="36">
        <f>AJ1149*Z1149*J1149</f>
        <v>0</v>
      </c>
      <c r="AL1149" s="23">
        <v>0.8</v>
      </c>
      <c r="AM1149" s="23">
        <v>0.2</v>
      </c>
      <c r="AN1149" s="54" t="e">
        <v>#N/A</v>
      </c>
      <c r="AO1149" s="47"/>
      <c r="AP1149" s="4">
        <v>1.25</v>
      </c>
      <c r="AQ1149" s="111">
        <f t="shared" si="332"/>
        <v>2.3831740874604842E-3</v>
      </c>
      <c r="AR1149">
        <f>_xlfn.XLOOKUP(F1149,'RM Cost'!A:A,'RM Cost'!S:S)</f>
        <v>0.29914853989077506</v>
      </c>
      <c r="AS1149" t="e">
        <f>_xlfn.XLOOKUP(A1149,[3]Sheet1!$B:$B,[3]Sheet1!$B:$B)</f>
        <v>#N/A</v>
      </c>
    </row>
    <row r="1150" spans="1:46" x14ac:dyDescent="0.25">
      <c r="A1150" s="16" t="s">
        <v>979</v>
      </c>
      <c r="B1150" s="2" t="s">
        <v>552</v>
      </c>
      <c r="C1150" s="2" t="s">
        <v>980</v>
      </c>
      <c r="D1150" s="2" t="s">
        <v>554</v>
      </c>
      <c r="E1150" s="2">
        <v>2.5</v>
      </c>
      <c r="F1150" s="1" t="str">
        <f>VLOOKUP(H1150,'RM Used'!A:B,2,0)</f>
        <v>206ACS</v>
      </c>
      <c r="G1150" s="1" t="str">
        <f>IFERROR(VLOOKUP(F1150,'RM Cost'!A:B,2,0),"")</f>
        <v>RM - PREP ONION WHOLE 10KG</v>
      </c>
      <c r="H1150" s="2" t="s">
        <v>1422</v>
      </c>
      <c r="I1150" s="1" t="str">
        <f>VLOOKUP(F1150,'RM Used'!B:D,3,0)</f>
        <v>RM-FOOD</v>
      </c>
      <c r="J1150" s="66">
        <v>0.06</v>
      </c>
      <c r="K1150" s="35">
        <f t="shared" si="336"/>
        <v>0.15</v>
      </c>
      <c r="L1150" s="35">
        <f t="shared" si="324"/>
        <v>0.15</v>
      </c>
      <c r="M1150" s="77" cm="1">
        <f t="array" ref="M1150">_xlfn.IFS(BOM!I1150="RM-PACKING","100%",B1150="Reynolds",VLOOKUP(H1150,'Yield &amp; Time'!A:V,22,0),BOM!B1150="Dnata",VLOOKUP(BOM!H1150,'Yield &amp; Time'!A:M,13,0),B1150="NK",VLOOKUP(H1150,'Yield &amp; Time'!A:X,24,0))</f>
        <v>0.85575816127528304</v>
      </c>
      <c r="N1150" s="35">
        <f t="shared" si="342"/>
        <v>0.17528316618852263</v>
      </c>
      <c r="O1150" s="1" t="str">
        <f>VLOOKUP(H1150,'RM Used'!A:E,5,0)</f>
        <v>KG</v>
      </c>
      <c r="P1150" s="11">
        <f>VLOOKUP(H1150,'RM Used'!A:F,6,0)</f>
        <v>0.87</v>
      </c>
      <c r="Q1150" s="11">
        <f t="shared" si="333"/>
        <v>0.1524963545840147</v>
      </c>
      <c r="R1150" s="11">
        <f>IFERROR(IF(B1150="Reynolds",VLOOKUP(H1150,'Yield &amp; Time'!A:U,21,0),VLOOKUP(H1150,'Yield &amp; Time'!A:L,12,0)),0)</f>
        <v>0.76797752808988762</v>
      </c>
      <c r="S1150" s="11">
        <f t="shared" si="325"/>
        <v>3.8994058988764041E-2</v>
      </c>
      <c r="T1150" s="11">
        <f t="shared" si="326"/>
        <v>1.919943820224719E-3</v>
      </c>
      <c r="U1150" s="11">
        <f>IF(A1149=A1150,0,VLOOKUP(A1150,'Packing Time'!A:F,6,0))</f>
        <v>0</v>
      </c>
      <c r="V1150" s="11">
        <f t="shared" si="337"/>
        <v>0</v>
      </c>
      <c r="W1150" s="11">
        <f t="shared" si="338"/>
        <v>0</v>
      </c>
      <c r="X1150" s="11">
        <f t="shared" si="327"/>
        <v>4.8742573735955051E-2</v>
      </c>
      <c r="Y1150" s="11">
        <f t="shared" si="339"/>
        <v>4.8742573735955051E-2</v>
      </c>
      <c r="Z1150" s="37">
        <v>1</v>
      </c>
      <c r="AA1150" s="36">
        <f t="shared" si="328"/>
        <v>0.17528316618852263</v>
      </c>
      <c r="AB1150" s="36">
        <f t="shared" si="329"/>
        <v>0.1524963545840147</v>
      </c>
      <c r="AC1150" s="11">
        <f t="shared" si="330"/>
        <v>2.3999297752808988E-3</v>
      </c>
      <c r="AD1150" s="36">
        <f t="shared" si="340"/>
        <v>4.8742573735955051E-2</v>
      </c>
      <c r="AE1150" s="36" t="str">
        <f>VLOOKUP(H1150,'Yield &amp; Time'!A:R,18,0)</f>
        <v>CHLORINE</v>
      </c>
      <c r="AF1150" s="36">
        <f>IFERROR(VLOOKUP(AE1150,'Chemical Cost'!A:D,4,0),0)</f>
        <v>2.7756518066439469E-2</v>
      </c>
      <c r="AG1150" s="114">
        <f t="shared" si="331"/>
        <v>1.6217501230181468E-3</v>
      </c>
      <c r="AH1150" s="36">
        <f t="shared" si="334"/>
        <v>1.6217501230181468E-3</v>
      </c>
      <c r="AI1150" s="36">
        <f t="shared" si="341"/>
        <v>0.20286067844298791</v>
      </c>
      <c r="AJ1150" s="36">
        <f>IFERROR(VLOOKUP(A1150,'All Products'!A:F,6,0),0)</f>
        <v>0</v>
      </c>
      <c r="AK1150" s="36">
        <f>AJ1150*Z1150*J1150</f>
        <v>0</v>
      </c>
      <c r="AL1150" s="23">
        <v>0.8</v>
      </c>
      <c r="AM1150" s="23">
        <v>0.2</v>
      </c>
      <c r="AN1150" s="54" t="e">
        <v>#N/A</v>
      </c>
      <c r="AO1150" s="47"/>
      <c r="AP1150" s="4">
        <v>1.25</v>
      </c>
      <c r="AQ1150" s="111">
        <f t="shared" si="332"/>
        <v>2.3999297752808988E-3</v>
      </c>
      <c r="AR1150">
        <f>_xlfn.XLOOKUP(F1150,'RM Cost'!A:A,'RM Cost'!S:S)</f>
        <v>0</v>
      </c>
      <c r="AS1150" t="e">
        <f>_xlfn.XLOOKUP(A1150,[3]Sheet1!$B:$B,[3]Sheet1!$B:$B)</f>
        <v>#N/A</v>
      </c>
    </row>
    <row r="1151" spans="1:46" x14ac:dyDescent="0.25">
      <c r="A1151" s="16" t="s">
        <v>979</v>
      </c>
      <c r="B1151" s="2" t="s">
        <v>552</v>
      </c>
      <c r="C1151" s="2" t="s">
        <v>980</v>
      </c>
      <c r="D1151" s="2" t="s">
        <v>554</v>
      </c>
      <c r="E1151" s="2">
        <v>2.5</v>
      </c>
      <c r="F1151" s="1" t="str">
        <f>VLOOKUP(H1151,'RM Used'!A:B,2,0)</f>
        <v>P0008</v>
      </c>
      <c r="G1151" s="1" t="str">
        <f>IFERROR(VLOOKUP(F1151,'RM Cost'!A:B,2,0),"")</f>
        <v>PALE BLUE BAG 470X750MM</v>
      </c>
      <c r="H1151" s="1" t="s">
        <v>1323</v>
      </c>
      <c r="I1151" s="1" t="str">
        <f>VLOOKUP(F1151,'RM Used'!B:D,3,0)</f>
        <v>RM-PACKING</v>
      </c>
      <c r="J1151" s="66">
        <v>1</v>
      </c>
      <c r="K1151" s="35" t="str">
        <f t="shared" si="336"/>
        <v/>
      </c>
      <c r="L1151" s="35">
        <f t="shared" si="324"/>
        <v>0</v>
      </c>
      <c r="M1151" s="77" t="str" cm="1">
        <f t="array" ref="M1151">_xlfn.IFS(BOM!I1151="RM-PACKING","100%",B1151="Reynolds",VLOOKUP(H1151,'Yield &amp; Time'!A:V,22,0),BOM!B1151="Dnata",VLOOKUP(BOM!H1151,'Yield &amp; Time'!A:M,13,0),B1151="NK",VLOOKUP(H1151,'Yield &amp; Time'!A:X,24,0))</f>
        <v>100%</v>
      </c>
      <c r="N1151" s="35">
        <f t="shared" si="342"/>
        <v>1</v>
      </c>
      <c r="O1151" s="1" t="str">
        <f>VLOOKUP(H1151,'RM Used'!A:E,5,0)</f>
        <v>Count</v>
      </c>
      <c r="P1151" s="11">
        <f>VLOOKUP(H1151,'RM Used'!A:F,6,0)</f>
        <v>0.14000000000000001</v>
      </c>
      <c r="Q1151" s="11">
        <f t="shared" si="333"/>
        <v>0.14000000000000001</v>
      </c>
      <c r="R1151" s="11">
        <f>IFERROR(IF(B1151="Reynolds",VLOOKUP(H1151,'Yield &amp; Time'!A:U,21,0),VLOOKUP(H1151,'Yield &amp; Time'!A:L,12,0)),0)</f>
        <v>0</v>
      </c>
      <c r="S1151" s="11">
        <f t="shared" si="325"/>
        <v>0</v>
      </c>
      <c r="T1151" s="11">
        <f t="shared" si="326"/>
        <v>0</v>
      </c>
      <c r="U1151" s="11">
        <f>IF(A1150=A1151,0,VLOOKUP(A1151,'Packing Time'!A:F,6,0))</f>
        <v>0</v>
      </c>
      <c r="V1151" s="11">
        <f t="shared" si="337"/>
        <v>0</v>
      </c>
      <c r="W1151" s="11">
        <f t="shared" si="338"/>
        <v>0</v>
      </c>
      <c r="X1151" s="11">
        <f t="shared" si="327"/>
        <v>0</v>
      </c>
      <c r="Y1151" s="11">
        <f t="shared" si="339"/>
        <v>0</v>
      </c>
      <c r="Z1151" s="37">
        <v>1</v>
      </c>
      <c r="AA1151" s="36">
        <f t="shared" si="328"/>
        <v>1</v>
      </c>
      <c r="AB1151" s="36">
        <f t="shared" si="329"/>
        <v>0.14000000000000001</v>
      </c>
      <c r="AC1151" s="11">
        <f t="shared" si="330"/>
        <v>0</v>
      </c>
      <c r="AD1151" s="36">
        <f t="shared" si="340"/>
        <v>0</v>
      </c>
      <c r="AE1151" s="36"/>
      <c r="AF1151" s="36">
        <f>IFERROR(VLOOKUP(AE1151,'Chemical Cost'!A:D,4,0),0)</f>
        <v>0</v>
      </c>
      <c r="AG1151" s="114">
        <f t="shared" si="331"/>
        <v>0</v>
      </c>
      <c r="AH1151" s="36">
        <f t="shared" si="334"/>
        <v>0</v>
      </c>
      <c r="AI1151" s="36">
        <f t="shared" si="341"/>
        <v>0.14000000000000001</v>
      </c>
      <c r="AJ1151" s="36">
        <f>IFERROR(VLOOKUP(A1151,'All Products'!A:F,6,0),0)</f>
        <v>0</v>
      </c>
      <c r="AK1151" s="36"/>
      <c r="AL1151" s="23">
        <v>0.8</v>
      </c>
      <c r="AM1151" s="23">
        <v>0.2</v>
      </c>
      <c r="AN1151" s="54" t="e">
        <v>#N/A</v>
      </c>
      <c r="AO1151" s="47"/>
      <c r="AP1151" s="4">
        <v>1.25</v>
      </c>
      <c r="AQ1151" s="111">
        <f t="shared" si="332"/>
        <v>0</v>
      </c>
      <c r="AR1151">
        <f>_xlfn.XLOOKUP(F1151,'RM Cost'!A:A,'RM Cost'!S:S)</f>
        <v>0</v>
      </c>
      <c r="AS1151" t="e">
        <f>_xlfn.XLOOKUP(A1151,[3]Sheet1!$B:$B,[3]Sheet1!$B:$B)</f>
        <v>#N/A</v>
      </c>
    </row>
    <row r="1152" spans="1:46" x14ac:dyDescent="0.25">
      <c r="A1152" s="16" t="s">
        <v>515</v>
      </c>
      <c r="B1152" s="2" t="s">
        <v>552</v>
      </c>
      <c r="C1152" s="2" t="s">
        <v>516</v>
      </c>
      <c r="D1152" s="2" t="s">
        <v>981</v>
      </c>
      <c r="E1152" s="2">
        <v>1</v>
      </c>
      <c r="F1152" s="1" t="str">
        <f>VLOOKUP(H1152,'RM Used'!A:B,2,0)</f>
        <v>3026CS</v>
      </c>
      <c r="G1152" s="1" t="str">
        <f>IFERROR(VLOOKUP(F1152,'RM Cost'!A:B,2,0),"")</f>
        <v>RM - BEETROOT RAW  X10KG</v>
      </c>
      <c r="H1152" s="2" t="s">
        <v>1611</v>
      </c>
      <c r="I1152" s="1" t="str">
        <f>VLOOKUP(F1152,'RM Used'!B:D,3,0)</f>
        <v>RM-FOOD</v>
      </c>
      <c r="J1152" s="66">
        <v>1</v>
      </c>
      <c r="K1152" s="35">
        <f t="shared" si="336"/>
        <v>1</v>
      </c>
      <c r="L1152" s="35">
        <f t="shared" si="324"/>
        <v>1</v>
      </c>
      <c r="M1152" s="77" cm="1">
        <f t="array" ref="M1152">_xlfn.IFS(BOM!I1152="RM-PACKING","100%",B1152="Reynolds",VLOOKUP(H1152,'Yield &amp; Time'!A:V,22,0),BOM!B1152="Dnata",VLOOKUP(BOM!H1152,'Yield &amp; Time'!A:M,13,0),B1152="NK",VLOOKUP(H1152,'Yield &amp; Time'!A:X,24,0))</f>
        <v>0.33333333333333337</v>
      </c>
      <c r="N1152" s="35">
        <f t="shared" si="342"/>
        <v>2.9999999999999996</v>
      </c>
      <c r="O1152" s="1" t="str">
        <f>VLOOKUP(H1152,'RM Used'!A:E,5,0)</f>
        <v>KG</v>
      </c>
      <c r="P1152" s="11">
        <f>VLOOKUP(H1152,'RM Used'!A:F,6,0)</f>
        <v>0.47</v>
      </c>
      <c r="Q1152" s="11">
        <f t="shared" si="333"/>
        <v>1.4099999999999997</v>
      </c>
      <c r="R1152" s="11">
        <f>IFERROR(IF(B1152="Reynolds",VLOOKUP(H1152,'Yield &amp; Time'!A:U,21,0),VLOOKUP(H1152,'Yield &amp; Time'!A:L,12,0)),0)</f>
        <v>3.0555555555555554</v>
      </c>
      <c r="S1152" s="11">
        <f t="shared" si="325"/>
        <v>1.0343055555555554</v>
      </c>
      <c r="T1152" s="11">
        <f t="shared" si="326"/>
        <v>5.0925925925925923E-2</v>
      </c>
      <c r="U1152" s="11">
        <f>IF(A1151=A1152,0,VLOOKUP(A1152,'Packing Time'!A:F,6,0))</f>
        <v>0.625</v>
      </c>
      <c r="V1152" s="11">
        <f t="shared" si="337"/>
        <v>0.21156249999999999</v>
      </c>
      <c r="W1152" s="11">
        <f t="shared" si="338"/>
        <v>1.0416666666666666E-2</v>
      </c>
      <c r="X1152" s="11">
        <f t="shared" si="327"/>
        <v>1.9933888888888889</v>
      </c>
      <c r="Y1152" s="11">
        <f t="shared" si="339"/>
        <v>1.9933888888888889</v>
      </c>
      <c r="Z1152" s="37">
        <v>1</v>
      </c>
      <c r="AA1152" s="36">
        <f t="shared" si="328"/>
        <v>2.9999999999999996</v>
      </c>
      <c r="AB1152" s="36">
        <f t="shared" si="329"/>
        <v>1.4099999999999997</v>
      </c>
      <c r="AC1152" s="11">
        <f t="shared" si="330"/>
        <v>9.8148148148148151E-2</v>
      </c>
      <c r="AD1152" s="36">
        <f t="shared" si="340"/>
        <v>1.9933888888888889</v>
      </c>
      <c r="AE1152" s="36"/>
      <c r="AF1152" s="36">
        <f>IFERROR(VLOOKUP(AE1152,'Chemical Cost'!A:D,4,0),0)</f>
        <v>0</v>
      </c>
      <c r="AG1152" s="114">
        <f t="shared" si="331"/>
        <v>0</v>
      </c>
      <c r="AH1152" s="36">
        <f t="shared" si="334"/>
        <v>0</v>
      </c>
      <c r="AI1152" s="36">
        <f t="shared" si="341"/>
        <v>3.4033888888888884</v>
      </c>
      <c r="AJ1152" s="36">
        <f>IFERROR(VLOOKUP(A1152,'All Products'!A:F,6,0),0)</f>
        <v>4.0018750000000001</v>
      </c>
      <c r="AK1152" s="36">
        <f>AJ1152*Z1152*J1152</f>
        <v>4.0018750000000001</v>
      </c>
      <c r="AL1152" s="23">
        <v>0.19999999999999996</v>
      </c>
      <c r="AM1152" s="23">
        <v>0.8</v>
      </c>
      <c r="AN1152" s="54" t="e">
        <v>#N/A</v>
      </c>
      <c r="AO1152" s="47"/>
      <c r="AP1152" s="4">
        <v>1.6</v>
      </c>
      <c r="AQ1152" s="111">
        <f t="shared" si="332"/>
        <v>9.8148148148148151E-2</v>
      </c>
      <c r="AR1152">
        <f>_xlfn.XLOOKUP(F1152,'RM Cost'!A:A,'RM Cost'!S:S)</f>
        <v>0</v>
      </c>
      <c r="AS1152" t="e">
        <f>_xlfn.XLOOKUP(A1152,[3]Sheet1!$B:$B,[3]Sheet1!$B:$B)</f>
        <v>#N/A</v>
      </c>
    </row>
    <row r="1153" spans="1:46" x14ac:dyDescent="0.25">
      <c r="A1153" s="16" t="s">
        <v>515</v>
      </c>
      <c r="B1153" s="2" t="s">
        <v>552</v>
      </c>
      <c r="C1153" s="2" t="s">
        <v>516</v>
      </c>
      <c r="D1153" s="2" t="s">
        <v>981</v>
      </c>
      <c r="E1153" s="2">
        <v>1</v>
      </c>
      <c r="F1153" s="1" t="str">
        <f>VLOOKUP(H1153,'RM Used'!A:B,2,0)</f>
        <v>P0018</v>
      </c>
      <c r="G1153" s="1" t="str">
        <f>IFERROR(VLOOKUP(F1153,'RM Cost'!A:B,2,0),"")</f>
        <v>1 LTR   BOTTLE WFP</v>
      </c>
      <c r="H1153" s="2" t="s">
        <v>1336</v>
      </c>
      <c r="I1153" s="1" t="str">
        <f>VLOOKUP(F1153,'RM Used'!B:D,3,0)</f>
        <v>RM-PACKING</v>
      </c>
      <c r="J1153" s="66">
        <v>1</v>
      </c>
      <c r="K1153" s="35" t="str">
        <f t="shared" si="336"/>
        <v/>
      </c>
      <c r="L1153" s="35">
        <f t="shared" si="324"/>
        <v>0</v>
      </c>
      <c r="M1153" s="77" t="str" cm="1">
        <f t="array" ref="M1153">_xlfn.IFS(BOM!I1153="RM-PACKING","100%",B1153="Reynolds",VLOOKUP(H1153,'Yield &amp; Time'!A:V,22,0),BOM!B1153="Dnata",VLOOKUP(BOM!H1153,'Yield &amp; Time'!A:M,13,0),B1153="NK",VLOOKUP(H1153,'Yield &amp; Time'!A:X,24,0))</f>
        <v>100%</v>
      </c>
      <c r="N1153" s="35">
        <f t="shared" si="342"/>
        <v>1</v>
      </c>
      <c r="O1153" s="1" t="str">
        <f>VLOOKUP(H1153,'RM Used'!A:E,5,0)</f>
        <v>Count</v>
      </c>
      <c r="P1153" s="11">
        <f>VLOOKUP(H1153,'RM Used'!A:F,6,0)</f>
        <v>0.27</v>
      </c>
      <c r="Q1153" s="11">
        <f t="shared" si="333"/>
        <v>0.27</v>
      </c>
      <c r="R1153" s="11">
        <f>IFERROR(IF(B1153="Reynolds",VLOOKUP(H1153,'Yield &amp; Time'!A:U,21,0),VLOOKUP(H1153,'Yield &amp; Time'!A:L,12,0)),0)</f>
        <v>0</v>
      </c>
      <c r="S1153" s="11">
        <f t="shared" si="325"/>
        <v>0</v>
      </c>
      <c r="T1153" s="11">
        <f t="shared" si="326"/>
        <v>0</v>
      </c>
      <c r="U1153" s="11">
        <f>IF(A1152=A1153,0,VLOOKUP(A1153,'Packing Time'!A:F,6,0))</f>
        <v>0</v>
      </c>
      <c r="V1153" s="11">
        <f t="shared" si="337"/>
        <v>0</v>
      </c>
      <c r="W1153" s="11">
        <f t="shared" si="338"/>
        <v>0</v>
      </c>
      <c r="X1153" s="11">
        <f t="shared" si="327"/>
        <v>0</v>
      </c>
      <c r="Y1153" s="11">
        <f t="shared" si="339"/>
        <v>0</v>
      </c>
      <c r="Z1153" s="37">
        <v>1</v>
      </c>
      <c r="AA1153" s="36">
        <f t="shared" si="328"/>
        <v>1</v>
      </c>
      <c r="AB1153" s="36">
        <f t="shared" si="329"/>
        <v>0.27</v>
      </c>
      <c r="AC1153" s="11">
        <f t="shared" si="330"/>
        <v>0</v>
      </c>
      <c r="AD1153" s="36">
        <f t="shared" si="340"/>
        <v>0</v>
      </c>
      <c r="AE1153" s="36"/>
      <c r="AF1153" s="36">
        <f>IFERROR(VLOOKUP(AE1153,'Chemical Cost'!A:D,4,0),0)</f>
        <v>0</v>
      </c>
      <c r="AG1153" s="114">
        <f t="shared" si="331"/>
        <v>0</v>
      </c>
      <c r="AH1153" s="36">
        <f t="shared" si="334"/>
        <v>0</v>
      </c>
      <c r="AI1153" s="36">
        <f t="shared" si="341"/>
        <v>0.27</v>
      </c>
      <c r="AJ1153" s="36">
        <f>IFERROR(VLOOKUP(A1153,'All Products'!A:F,6,0),0)</f>
        <v>4.0018750000000001</v>
      </c>
      <c r="AK1153" s="36"/>
      <c r="AL1153" s="23">
        <v>0.19999999999999996</v>
      </c>
      <c r="AM1153" s="23">
        <v>0.8</v>
      </c>
      <c r="AN1153" s="54" t="e">
        <v>#N/A</v>
      </c>
      <c r="AO1153" s="47"/>
      <c r="AP1153" s="4">
        <v>1.6</v>
      </c>
      <c r="AQ1153" s="111">
        <f t="shared" si="332"/>
        <v>0</v>
      </c>
      <c r="AR1153">
        <f>_xlfn.XLOOKUP(F1153,'RM Cost'!A:A,'RM Cost'!S:S)</f>
        <v>0</v>
      </c>
      <c r="AS1153" t="e">
        <f>_xlfn.XLOOKUP(A1153,[3]Sheet1!$B:$B,[3]Sheet1!$B:$B)</f>
        <v>#N/A</v>
      </c>
    </row>
    <row r="1154" spans="1:46" x14ac:dyDescent="0.25">
      <c r="A1154" s="2" t="s">
        <v>515</v>
      </c>
      <c r="B1154" s="2" t="s">
        <v>552</v>
      </c>
      <c r="C1154" s="2" t="s">
        <v>516</v>
      </c>
      <c r="D1154" s="2" t="s">
        <v>981</v>
      </c>
      <c r="E1154" s="2">
        <v>1</v>
      </c>
      <c r="F1154" s="1" t="str">
        <f>VLOOKUP(H1154,'RM Used'!A:B,2,0)</f>
        <v>P0016</v>
      </c>
      <c r="G1154" s="1" t="str">
        <f>IFERROR(VLOOKUP(F1154,'RM Cost'!A:B,2,0),"")</f>
        <v>REY 40 30 BOX</v>
      </c>
      <c r="H1154" s="2" t="s">
        <v>1332</v>
      </c>
      <c r="I1154" s="1" t="str">
        <f>VLOOKUP(F1154,'RM Used'!B:D,3,0)</f>
        <v>RM-PACKING</v>
      </c>
      <c r="J1154" s="66">
        <v>1</v>
      </c>
      <c r="K1154" s="35" t="str">
        <f t="shared" si="336"/>
        <v/>
      </c>
      <c r="L1154" s="35">
        <f t="shared" ref="L1154:L1217" si="343">IFERROR(K1154*Z1154,0)</f>
        <v>0</v>
      </c>
      <c r="M1154" s="77" t="str" cm="1">
        <f t="array" ref="M1154">_xlfn.IFS(BOM!I1154="RM-PACKING","100%",B1154="Reynolds",VLOOKUP(H1154,'Yield &amp; Time'!A:V,22,0),BOM!B1154="Dnata",VLOOKUP(BOM!H1154,'Yield &amp; Time'!A:M,13,0),B1154="NK",VLOOKUP(H1154,'Yield &amp; Time'!A:X,24,0))</f>
        <v>100%</v>
      </c>
      <c r="N1154" s="35">
        <f t="shared" si="342"/>
        <v>1</v>
      </c>
      <c r="O1154" s="1" t="str">
        <f>VLOOKUP(H1154,'RM Used'!A:E,5,0)</f>
        <v>Count</v>
      </c>
      <c r="P1154" s="11">
        <f>VLOOKUP(H1154,'RM Used'!A:F,6,0)</f>
        <v>0.28000000000000003</v>
      </c>
      <c r="Q1154" s="11">
        <f t="shared" si="333"/>
        <v>0.28000000000000003</v>
      </c>
      <c r="R1154" s="11">
        <f>IFERROR(IF(B1154="Reynolds",VLOOKUP(H1154,'Yield &amp; Time'!A:U,21,0),VLOOKUP(H1154,'Yield &amp; Time'!A:L,12,0)),0)</f>
        <v>0</v>
      </c>
      <c r="S1154" s="11">
        <f t="shared" ref="S1154:S1217" si="344">R1154*J1154*E1154*AO$1</f>
        <v>0</v>
      </c>
      <c r="T1154" s="11">
        <f t="shared" ref="T1154:T1217" si="345">(R1154*Z1154*J1154*E1154)/60</f>
        <v>0</v>
      </c>
      <c r="U1154" s="11">
        <f>IF(A1153=A1154,0,VLOOKUP(A1154,'Packing Time'!A:F,6,0))</f>
        <v>0</v>
      </c>
      <c r="V1154" s="11">
        <f t="shared" si="337"/>
        <v>0</v>
      </c>
      <c r="W1154" s="11">
        <f t="shared" si="338"/>
        <v>0</v>
      </c>
      <c r="X1154" s="11">
        <f t="shared" ref="X1154:X1217" si="346">((R1154*J1154*E1154)+U1154)*AO$1*AP1154</f>
        <v>0</v>
      </c>
      <c r="Y1154" s="11">
        <f t="shared" si="339"/>
        <v>0</v>
      </c>
      <c r="Z1154" s="37">
        <v>1</v>
      </c>
      <c r="AA1154" s="36">
        <f t="shared" ref="AA1154:AA1217" si="347">Z1154*N1154</f>
        <v>1</v>
      </c>
      <c r="AB1154" s="36">
        <f t="shared" ref="AB1154:AB1217" si="348">AA1154*P1154</f>
        <v>0.28000000000000003</v>
      </c>
      <c r="AC1154" s="11">
        <f t="shared" ref="AC1154:AC1217" si="349">(((R1154*J1154*E1154)+U1154)/60)*Z1154*AP1154</f>
        <v>0</v>
      </c>
      <c r="AD1154" s="36">
        <f t="shared" si="340"/>
        <v>0</v>
      </c>
      <c r="AE1154" s="36"/>
      <c r="AF1154" s="36">
        <f>IFERROR(VLOOKUP(AE1154,'Chemical Cost'!A:D,4,0),0)</f>
        <v>0</v>
      </c>
      <c r="AG1154" s="114">
        <f t="shared" ref="AG1154:AG1217" si="350">AF1154*N1154/3</f>
        <v>0</v>
      </c>
      <c r="AH1154" s="36">
        <f t="shared" si="334"/>
        <v>0</v>
      </c>
      <c r="AI1154" s="36">
        <f t="shared" si="341"/>
        <v>0.28000000000000003</v>
      </c>
      <c r="AJ1154" s="36">
        <f>IFERROR(VLOOKUP(A1154,'All Products'!A:F,6,0),0)</f>
        <v>4.0018750000000001</v>
      </c>
      <c r="AK1154" s="36"/>
      <c r="AL1154" s="23">
        <v>0.19999999999999996</v>
      </c>
      <c r="AM1154" s="23">
        <v>0.8</v>
      </c>
      <c r="AN1154" s="54" t="e">
        <v>#N/A</v>
      </c>
      <c r="AO1154" s="47"/>
      <c r="AP1154" s="4">
        <v>1.6</v>
      </c>
      <c r="AQ1154" s="111">
        <f t="shared" ref="AQ1154:AQ1217" si="351">(((R1154*J1154*E1154)+U1154)/60)*AP1154</f>
        <v>0</v>
      </c>
      <c r="AR1154">
        <f>_xlfn.XLOOKUP(F1154,'RM Cost'!A:A,'RM Cost'!S:S)</f>
        <v>0</v>
      </c>
      <c r="AS1154" t="e">
        <f>_xlfn.XLOOKUP(A1154,[3]Sheet1!$B:$B,[3]Sheet1!$B:$B)</f>
        <v>#N/A</v>
      </c>
    </row>
    <row r="1155" spans="1:46" x14ac:dyDescent="0.25">
      <c r="A1155" s="16" t="s">
        <v>982</v>
      </c>
      <c r="B1155" s="2" t="s">
        <v>552</v>
      </c>
      <c r="C1155" s="2" t="s">
        <v>983</v>
      </c>
      <c r="D1155" s="2" t="s">
        <v>554</v>
      </c>
      <c r="E1155" s="2">
        <v>15</v>
      </c>
      <c r="F1155" s="1" t="str">
        <f>VLOOKUP(H1155,'RM Used'!A:B,2,0)</f>
        <v>SP1102</v>
      </c>
      <c r="G1155" s="1" t="str">
        <f>IFERROR(VLOOKUP(F1155,'RM Cost'!A:B,2,0),"")</f>
        <v>RM - Tomatoes Loose Class II 6KG</v>
      </c>
      <c r="H1155" s="2" t="s">
        <v>1612</v>
      </c>
      <c r="I1155" s="1" t="str">
        <f>VLOOKUP(F1155,'RM Used'!B:D,3,0)</f>
        <v>RM-FOOD</v>
      </c>
      <c r="J1155" s="66">
        <v>1</v>
      </c>
      <c r="K1155" s="35">
        <f t="shared" si="336"/>
        <v>15</v>
      </c>
      <c r="L1155" s="35">
        <f t="shared" si="343"/>
        <v>15</v>
      </c>
      <c r="M1155" s="77" cm="1">
        <f t="array" ref="M1155">_xlfn.IFS(BOM!I1155="RM-PACKING","100%",B1155="Reynolds",VLOOKUP(H1155,'Yield &amp; Time'!A:V,22,0),BOM!B1155="Dnata",VLOOKUP(BOM!H1155,'Yield &amp; Time'!A:M,13,0),B1155="NK",VLOOKUP(H1155,'Yield &amp; Time'!A:X,24,0))</f>
        <v>0.97333333333333327</v>
      </c>
      <c r="N1155" s="35">
        <f t="shared" si="342"/>
        <v>15.41095890410959</v>
      </c>
      <c r="O1155" s="1" t="str">
        <f>VLOOKUP(H1155,'RM Used'!A:E,5,0)</f>
        <v>KG</v>
      </c>
      <c r="P1155" s="11" t="e">
        <f>VLOOKUP(H1155,'RM Used'!A:F,6,0)</f>
        <v>#N/A</v>
      </c>
      <c r="Q1155" s="11" t="e">
        <f t="shared" ref="Q1155:Q1218" si="352">P1155*N1155</f>
        <v>#N/A</v>
      </c>
      <c r="R1155" s="11">
        <f>IFERROR(IF(B1155="Reynolds",VLOOKUP(H1155,'Yield &amp; Time'!A:U,21,0),VLOOKUP(H1155,'Yield &amp; Time'!A:L,12,0)),0)</f>
        <v>0.25</v>
      </c>
      <c r="S1155" s="11">
        <f t="shared" si="344"/>
        <v>1.2693749999999999</v>
      </c>
      <c r="T1155" s="11">
        <f t="shared" si="345"/>
        <v>6.25E-2</v>
      </c>
      <c r="U1155" s="11">
        <f>IF(A1154=A1155,0,VLOOKUP(A1155,'Packing Time'!A:F,6,0))</f>
        <v>1.35</v>
      </c>
      <c r="V1155" s="11">
        <f t="shared" si="337"/>
        <v>0.45697499999999996</v>
      </c>
      <c r="W1155" s="11">
        <f t="shared" si="338"/>
        <v>2.2500000000000003E-2</v>
      </c>
      <c r="X1155" s="11">
        <f t="shared" si="346"/>
        <v>2.4168899999999991</v>
      </c>
      <c r="Y1155" s="11">
        <f t="shared" si="339"/>
        <v>2.4168899999999991</v>
      </c>
      <c r="Z1155" s="37">
        <v>1</v>
      </c>
      <c r="AA1155" s="36">
        <f t="shared" si="347"/>
        <v>15.41095890410959</v>
      </c>
      <c r="AB1155" s="36" t="e">
        <f t="shared" si="348"/>
        <v>#N/A</v>
      </c>
      <c r="AC1155" s="11">
        <f t="shared" si="349"/>
        <v>0.11899999999999998</v>
      </c>
      <c r="AD1155" s="36">
        <f t="shared" si="340"/>
        <v>2.4168899999999995</v>
      </c>
      <c r="AE1155" s="36"/>
      <c r="AF1155" s="36">
        <f>IFERROR(VLOOKUP(AE1155,'Chemical Cost'!A:D,4,0),0)</f>
        <v>0</v>
      </c>
      <c r="AG1155" s="114">
        <f t="shared" si="350"/>
        <v>0</v>
      </c>
      <c r="AH1155" s="36">
        <f t="shared" si="334"/>
        <v>0</v>
      </c>
      <c r="AI1155" s="36">
        <f t="shared" si="341"/>
        <v>0</v>
      </c>
      <c r="AJ1155" s="36">
        <f>IFERROR(VLOOKUP(A1155,'All Products'!A:F,6,0),0)</f>
        <v>13.9</v>
      </c>
      <c r="AK1155" s="36">
        <f>AJ1155*Z1155*J1155</f>
        <v>13.9</v>
      </c>
      <c r="AL1155" s="23">
        <v>1</v>
      </c>
      <c r="AM1155" s="23"/>
      <c r="AN1155" s="54" t="e">
        <v>#N/A</v>
      </c>
      <c r="AO1155" s="47"/>
      <c r="AP1155" s="4">
        <v>1.4</v>
      </c>
      <c r="AQ1155" s="111">
        <f t="shared" si="351"/>
        <v>0.11899999999999998</v>
      </c>
      <c r="AR1155">
        <f>_xlfn.XLOOKUP(F1155,'RM Cost'!A:A,'RM Cost'!S:S)</f>
        <v>0</v>
      </c>
      <c r="AS1155" t="e">
        <f>_xlfn.XLOOKUP(A1155,[3]Sheet1!$B:$B,[3]Sheet1!$B:$B)</f>
        <v>#N/A</v>
      </c>
    </row>
    <row r="1156" spans="1:46" ht="15.75" x14ac:dyDescent="0.25">
      <c r="A1156" s="16" t="s">
        <v>982</v>
      </c>
      <c r="B1156" s="2" t="s">
        <v>552</v>
      </c>
      <c r="C1156" s="2" t="s">
        <v>983</v>
      </c>
      <c r="D1156" s="2" t="s">
        <v>554</v>
      </c>
      <c r="E1156" s="2">
        <v>15</v>
      </c>
      <c r="F1156" s="1" t="str">
        <f>VLOOKUP(H1156,'RM Used'!A:B,2,0)</f>
        <v>P0019</v>
      </c>
      <c r="G1156" s="1" t="str">
        <f>IFERROR(VLOOKUP(F1156,'RM Cost'!A:B,2,0),"")</f>
        <v>BUCKET16-5L JET2+ WHITE</v>
      </c>
      <c r="H1156" s="13" t="s">
        <v>4674</v>
      </c>
      <c r="I1156" s="1" t="str">
        <f>VLOOKUP(F1156,'RM Used'!B:D,3,0)</f>
        <v>RM-PACKING</v>
      </c>
      <c r="J1156" s="66">
        <v>1</v>
      </c>
      <c r="K1156" s="35" t="str">
        <f t="shared" si="336"/>
        <v/>
      </c>
      <c r="L1156" s="35">
        <f t="shared" si="343"/>
        <v>0</v>
      </c>
      <c r="M1156" s="77" t="str" cm="1">
        <f t="array" ref="M1156">_xlfn.IFS(BOM!I1156="RM-PACKING","100%",B1156="Reynolds",VLOOKUP(H1156,'Yield &amp; Time'!A:V,22,0),BOM!B1156="Dnata",VLOOKUP(BOM!H1156,'Yield &amp; Time'!A:M,13,0),B1156="NK",VLOOKUP(H1156,'Yield &amp; Time'!A:X,24,0))</f>
        <v>100%</v>
      </c>
      <c r="N1156" s="35">
        <f t="shared" si="342"/>
        <v>1</v>
      </c>
      <c r="O1156" s="1" t="str">
        <f>VLOOKUP(H1156,'RM Used'!A:E,5,0)</f>
        <v>Count</v>
      </c>
      <c r="P1156" s="11">
        <f>VLOOKUP(H1156,'RM Used'!A:F,6,0)</f>
        <v>2.87</v>
      </c>
      <c r="Q1156" s="11">
        <f t="shared" si="352"/>
        <v>2.87</v>
      </c>
      <c r="R1156" s="11">
        <f>IFERROR(IF(B1156="Reynolds",VLOOKUP(H1156,'Yield &amp; Time'!A:U,21,0),VLOOKUP(H1156,'Yield &amp; Time'!A:L,12,0)),0)</f>
        <v>0</v>
      </c>
      <c r="S1156" s="11">
        <f t="shared" si="344"/>
        <v>0</v>
      </c>
      <c r="T1156" s="11">
        <f t="shared" si="345"/>
        <v>0</v>
      </c>
      <c r="U1156" s="11">
        <f>IF(A1155=A1156,0,VLOOKUP(A1156,'Packing Time'!A:F,6,0))</f>
        <v>0</v>
      </c>
      <c r="V1156" s="11">
        <f t="shared" si="337"/>
        <v>0</v>
      </c>
      <c r="W1156" s="11">
        <f t="shared" si="338"/>
        <v>0</v>
      </c>
      <c r="X1156" s="11">
        <f t="shared" si="346"/>
        <v>0</v>
      </c>
      <c r="Y1156" s="11">
        <f t="shared" si="339"/>
        <v>0</v>
      </c>
      <c r="Z1156" s="37">
        <v>1</v>
      </c>
      <c r="AA1156" s="36">
        <f t="shared" si="347"/>
        <v>1</v>
      </c>
      <c r="AB1156" s="36">
        <f t="shared" si="348"/>
        <v>2.87</v>
      </c>
      <c r="AC1156" s="11">
        <f t="shared" si="349"/>
        <v>0</v>
      </c>
      <c r="AD1156" s="36">
        <f t="shared" si="340"/>
        <v>0</v>
      </c>
      <c r="AE1156" s="36"/>
      <c r="AF1156" s="36">
        <f>IFERROR(VLOOKUP(AE1156,'Chemical Cost'!A:D,4,0),0)</f>
        <v>0</v>
      </c>
      <c r="AG1156" s="114">
        <f t="shared" si="350"/>
        <v>0</v>
      </c>
      <c r="AH1156" s="36">
        <f t="shared" si="334"/>
        <v>0</v>
      </c>
      <c r="AI1156" s="36">
        <f t="shared" si="341"/>
        <v>2.87</v>
      </c>
      <c r="AJ1156" s="36">
        <f>IFERROR(VLOOKUP(A1156,'All Products'!A:F,6,0),0)</f>
        <v>13.9</v>
      </c>
      <c r="AK1156" s="36"/>
      <c r="AL1156" s="23">
        <v>1</v>
      </c>
      <c r="AM1156" s="23"/>
      <c r="AN1156" s="54" t="e">
        <v>#N/A</v>
      </c>
      <c r="AO1156" s="47"/>
      <c r="AP1156" s="4">
        <v>1.4</v>
      </c>
      <c r="AQ1156" s="111">
        <f t="shared" si="351"/>
        <v>0</v>
      </c>
      <c r="AR1156">
        <f>_xlfn.XLOOKUP(F1156,'RM Cost'!A:A,'RM Cost'!S:S)</f>
        <v>0</v>
      </c>
      <c r="AS1156" t="e">
        <f>_xlfn.XLOOKUP(A1156,[3]Sheet1!$B:$B,[3]Sheet1!$B:$B)</f>
        <v>#N/A</v>
      </c>
    </row>
    <row r="1157" spans="1:46" ht="15.75" x14ac:dyDescent="0.25">
      <c r="A1157" s="16" t="s">
        <v>982</v>
      </c>
      <c r="B1157" s="2" t="s">
        <v>552</v>
      </c>
      <c r="C1157" s="2" t="s">
        <v>983</v>
      </c>
      <c r="D1157" s="2" t="s">
        <v>554</v>
      </c>
      <c r="E1157" s="2">
        <v>15</v>
      </c>
      <c r="F1157" s="1" t="str">
        <f>VLOOKUP(H1157,'RM Used'!A:B,2,0)</f>
        <v>P0027</v>
      </c>
      <c r="G1157" s="1" t="str">
        <f>IFERROR(VLOOKUP(F1157,'RM Cost'!A:B,2,0),"")</f>
        <v>LID 16L JET2+ 16-21L - WHITE</v>
      </c>
      <c r="H1157" s="13" t="s">
        <v>4675</v>
      </c>
      <c r="I1157" s="1" t="str">
        <f>VLOOKUP(F1157,'RM Used'!B:D,3,0)</f>
        <v>RM-PACKING</v>
      </c>
      <c r="J1157" s="66">
        <v>1</v>
      </c>
      <c r="K1157" s="35" t="str">
        <f>IF(I1157="RM-FOOD",J1157*E1157,"")</f>
        <v/>
      </c>
      <c r="L1157" s="35">
        <f t="shared" si="343"/>
        <v>0</v>
      </c>
      <c r="M1157" s="77" t="str" cm="1">
        <f t="array" ref="M1157">_xlfn.IFS(BOM!I1157="RM-PACKING","100%",B1157="Reynolds",VLOOKUP(H1157,'Yield &amp; Time'!A:V,22,0),BOM!B1157="Dnata",VLOOKUP(BOM!H1157,'Yield &amp; Time'!A:M,13,0),B1157="NK",VLOOKUP(H1157,'Yield &amp; Time'!A:X,24,0))</f>
        <v>100%</v>
      </c>
      <c r="N1157" s="35">
        <f>IFERROR(IF(I1157="RM-FOOD",(E1157*J1157)/M1157,1),0)</f>
        <v>1</v>
      </c>
      <c r="O1157" s="1" t="str">
        <f>VLOOKUP(H1157,'RM Used'!A:E,5,0)</f>
        <v>Count</v>
      </c>
      <c r="P1157" s="11">
        <f>VLOOKUP(H1157,'RM Used'!A:F,6,0)</f>
        <v>0.59</v>
      </c>
      <c r="Q1157" s="11">
        <f t="shared" si="352"/>
        <v>0.59</v>
      </c>
      <c r="R1157" s="11">
        <f>IFERROR(IF(B1157="Reynolds",VLOOKUP(H1157,'Yield &amp; Time'!A:U,21,0),VLOOKUP(H1157,'Yield &amp; Time'!A:L,12,0)),0)</f>
        <v>0</v>
      </c>
      <c r="S1157" s="11">
        <f t="shared" si="344"/>
        <v>0</v>
      </c>
      <c r="T1157" s="11">
        <f t="shared" si="345"/>
        <v>0</v>
      </c>
      <c r="U1157" s="11">
        <f>IF(A1156=A1157,0,VLOOKUP(A1157,'Packing Time'!A:F,6,0))</f>
        <v>0</v>
      </c>
      <c r="V1157" s="11">
        <f>U1157*AO$1</f>
        <v>0</v>
      </c>
      <c r="W1157" s="11">
        <f>(U1157*Z1157)/60</f>
        <v>0</v>
      </c>
      <c r="X1157" s="11">
        <f t="shared" si="346"/>
        <v>0</v>
      </c>
      <c r="Y1157" s="11">
        <f>X1157*Z1157</f>
        <v>0</v>
      </c>
      <c r="Z1157" s="37">
        <v>1</v>
      </c>
      <c r="AA1157" s="36">
        <f t="shared" si="347"/>
        <v>1</v>
      </c>
      <c r="AB1157" s="36">
        <f t="shared" si="348"/>
        <v>0.59</v>
      </c>
      <c r="AC1157" s="11">
        <f t="shared" si="349"/>
        <v>0</v>
      </c>
      <c r="AD1157" s="36">
        <f>AC1157*60*AO$1</f>
        <v>0</v>
      </c>
      <c r="AE1157" s="36"/>
      <c r="AF1157" s="36">
        <f>IFERROR(VLOOKUP(AE1157,'Chemical Cost'!A:D,4,0),0)</f>
        <v>0</v>
      </c>
      <c r="AG1157" s="114">
        <f t="shared" si="350"/>
        <v>0</v>
      </c>
      <c r="AH1157" s="36">
        <f>AF1157*AA1157/3</f>
        <v>0</v>
      </c>
      <c r="AI1157" s="36">
        <f>IFERROR((Q1157*Z1157)+(Z1157*X1157)+AH1157,0)</f>
        <v>0.59</v>
      </c>
      <c r="AJ1157" s="36">
        <f>IFERROR(VLOOKUP(A1157,'All Products'!A:F,6,0),0)</f>
        <v>13.9</v>
      </c>
      <c r="AK1157" s="36"/>
      <c r="AL1157" s="23">
        <v>1</v>
      </c>
      <c r="AM1157" s="23"/>
      <c r="AN1157" s="54" t="e">
        <v>#N/A</v>
      </c>
      <c r="AO1157" s="47"/>
      <c r="AP1157" s="4">
        <v>1.4</v>
      </c>
      <c r="AQ1157" s="111">
        <f t="shared" si="351"/>
        <v>0</v>
      </c>
      <c r="AR1157">
        <f>_xlfn.XLOOKUP(F1157,'RM Cost'!A:A,'RM Cost'!S:S)</f>
        <v>0</v>
      </c>
      <c r="AS1157" t="e">
        <f>_xlfn.XLOOKUP(A1157,[3]Sheet1!$B:$B,[3]Sheet1!$B:$B)</f>
        <v>#N/A</v>
      </c>
    </row>
    <row r="1158" spans="1:46" x14ac:dyDescent="0.25">
      <c r="A1158" s="16" t="s">
        <v>989</v>
      </c>
      <c r="B1158" s="2" t="s">
        <v>656</v>
      </c>
      <c r="C1158" s="2" t="s">
        <v>990</v>
      </c>
      <c r="D1158" s="2" t="s">
        <v>554</v>
      </c>
      <c r="E1158" s="2">
        <v>1</v>
      </c>
      <c r="F1158" s="1" t="str">
        <f>VLOOKUP(H1158,'RM Used'!A:B,2,0)</f>
        <v>3221CS</v>
      </c>
      <c r="G1158" s="1" t="str">
        <f>IFERROR(VLOOKUP(F1158,'RM Cost'!A:B,2,0),"")</f>
        <v>BAKING POTATO X50 EA</v>
      </c>
      <c r="H1158" s="2" t="s">
        <v>1613</v>
      </c>
      <c r="I1158" s="1" t="str">
        <f>VLOOKUP(F1158,'RM Used'!B:D,3,0)</f>
        <v>RM-FOOD</v>
      </c>
      <c r="J1158" s="66">
        <v>1</v>
      </c>
      <c r="K1158" s="35">
        <f t="shared" si="336"/>
        <v>1</v>
      </c>
      <c r="L1158" s="35">
        <f t="shared" si="343"/>
        <v>1</v>
      </c>
      <c r="M1158" s="77" cm="1">
        <f t="array" ref="M1158">_xlfn.IFS(BOM!I1158="RM-PACKING","100%",B1158="Reynolds",VLOOKUP(H1158,'Yield &amp; Time'!A:V,22,0),BOM!B1158="Dnata",VLOOKUP(BOM!H1158,'Yield &amp; Time'!A:M,13,0),B1158="NK",VLOOKUP(H1158,'Yield &amp; Time'!A:X,24,0))</f>
        <v>0</v>
      </c>
      <c r="N1158" s="35">
        <f t="shared" si="342"/>
        <v>0</v>
      </c>
      <c r="O1158" s="1" t="str">
        <f>VLOOKUP(H1158,'RM Used'!A:E,5,0)</f>
        <v>KG</v>
      </c>
      <c r="P1158" s="11">
        <f>VLOOKUP(H1158,'RM Used'!A:F,6,0)</f>
        <v>0.57000000000000006</v>
      </c>
      <c r="Q1158" s="11">
        <f t="shared" si="352"/>
        <v>0</v>
      </c>
      <c r="R1158" s="11">
        <f>IFERROR(IF(B1158="Reynolds",VLOOKUP(H1158,'Yield &amp; Time'!A:U,21,0),VLOOKUP(H1158,'Yield &amp; Time'!A:L,12,0)),0)</f>
        <v>0</v>
      </c>
      <c r="S1158" s="11">
        <f t="shared" si="344"/>
        <v>0</v>
      </c>
      <c r="T1158" s="11">
        <f t="shared" si="345"/>
        <v>0</v>
      </c>
      <c r="U1158" s="11">
        <f>IF(A1157=A1158,0,VLOOKUP(A1158,'Packing Time'!A:F,6,0))</f>
        <v>0.64166666666666661</v>
      </c>
      <c r="V1158" s="11">
        <f t="shared" si="337"/>
        <v>0.21720416666666661</v>
      </c>
      <c r="W1158" s="11">
        <f t="shared" si="338"/>
        <v>1.0694444444444444E-2</v>
      </c>
      <c r="X1158" s="11">
        <f t="shared" si="346"/>
        <v>0.34752666666666659</v>
      </c>
      <c r="Y1158" s="11">
        <f t="shared" si="339"/>
        <v>0.34752666666666659</v>
      </c>
      <c r="Z1158" s="37">
        <v>1</v>
      </c>
      <c r="AA1158" s="36">
        <f t="shared" si="347"/>
        <v>0</v>
      </c>
      <c r="AB1158" s="36">
        <f t="shared" si="348"/>
        <v>0</v>
      </c>
      <c r="AC1158" s="11">
        <f t="shared" si="349"/>
        <v>1.7111111111111112E-2</v>
      </c>
      <c r="AD1158" s="36">
        <f t="shared" si="340"/>
        <v>0.34752666666666659</v>
      </c>
      <c r="AE1158" s="36"/>
      <c r="AF1158" s="36">
        <f>IFERROR(VLOOKUP(AE1158,'Chemical Cost'!A:D,4,0),0)</f>
        <v>0</v>
      </c>
      <c r="AG1158" s="114">
        <f t="shared" si="350"/>
        <v>0</v>
      </c>
      <c r="AH1158" s="36">
        <f t="shared" si="334"/>
        <v>0</v>
      </c>
      <c r="AI1158" s="36">
        <f t="shared" si="341"/>
        <v>0.34752666666666659</v>
      </c>
      <c r="AJ1158" s="36">
        <f>IFERROR(VLOOKUP(A1158,'All Products'!A:F,6,0),0)</f>
        <v>11.767389184397164</v>
      </c>
      <c r="AK1158" s="36">
        <f>AJ1158*Z1158*J1158</f>
        <v>11.767389184397164</v>
      </c>
      <c r="AL1158" s="29">
        <v>1</v>
      </c>
      <c r="AM1158" s="23"/>
      <c r="AN1158" s="54" t="e">
        <v>#N/A</v>
      </c>
      <c r="AO1158" s="47"/>
      <c r="AP1158" s="4">
        <v>1.6</v>
      </c>
      <c r="AQ1158" s="111">
        <f t="shared" si="351"/>
        <v>1.7111111111111112E-2</v>
      </c>
      <c r="AR1158">
        <f>_xlfn.XLOOKUP(F1158,'RM Cost'!A:A,'RM Cost'!S:S)</f>
        <v>0</v>
      </c>
      <c r="AS1158" t="e">
        <f>_xlfn.XLOOKUP(A1158,[3]Sheet1!$B:$B,[3]Sheet1!$B:$B)</f>
        <v>#N/A</v>
      </c>
    </row>
    <row r="1159" spans="1:46" x14ac:dyDescent="0.25">
      <c r="A1159" s="16" t="s">
        <v>989</v>
      </c>
      <c r="B1159" s="2" t="s">
        <v>656</v>
      </c>
      <c r="C1159" s="2" t="s">
        <v>990</v>
      </c>
      <c r="D1159" s="2" t="s">
        <v>554</v>
      </c>
      <c r="E1159" s="2">
        <v>1</v>
      </c>
      <c r="F1159" s="1" t="str">
        <f>VLOOKUP(H1159,'RM Used'!A:B,2,0)</f>
        <v>P0008</v>
      </c>
      <c r="G1159" s="1" t="str">
        <f>IFERROR(VLOOKUP(F1159,'RM Cost'!A:B,2,0),"")</f>
        <v>PALE BLUE BAG 470X750MM</v>
      </c>
      <c r="H1159" s="1" t="s">
        <v>1323</v>
      </c>
      <c r="I1159" s="1" t="str">
        <f>VLOOKUP(F1159,'RM Used'!B:D,3,0)</f>
        <v>RM-PACKING</v>
      </c>
      <c r="J1159" s="66">
        <v>1</v>
      </c>
      <c r="K1159" s="35" t="str">
        <f t="shared" si="336"/>
        <v/>
      </c>
      <c r="L1159" s="35">
        <f t="shared" si="343"/>
        <v>0</v>
      </c>
      <c r="M1159" s="77" t="str" cm="1">
        <f t="array" ref="M1159">_xlfn.IFS(BOM!I1159="RM-PACKING","100%",B1159="Reynolds",VLOOKUP(H1159,'Yield &amp; Time'!A:V,22,0),BOM!B1159="Dnata",VLOOKUP(BOM!H1159,'Yield &amp; Time'!A:M,13,0),B1159="NK",VLOOKUP(H1159,'Yield &amp; Time'!A:X,24,0))</f>
        <v>100%</v>
      </c>
      <c r="N1159" s="35">
        <f t="shared" si="342"/>
        <v>1</v>
      </c>
      <c r="O1159" s="1" t="str">
        <f>VLOOKUP(H1159,'RM Used'!A:E,5,0)</f>
        <v>Count</v>
      </c>
      <c r="P1159" s="11">
        <f>VLOOKUP(H1159,'RM Used'!A:F,6,0)</f>
        <v>0.14000000000000001</v>
      </c>
      <c r="Q1159" s="11">
        <f t="shared" si="352"/>
        <v>0.14000000000000001</v>
      </c>
      <c r="R1159" s="11">
        <f>IFERROR(IF(B1159="Reynolds",VLOOKUP(H1159,'Yield &amp; Time'!A:U,21,0),VLOOKUP(H1159,'Yield &amp; Time'!A:L,12,0)),0)</f>
        <v>0</v>
      </c>
      <c r="S1159" s="11">
        <f t="shared" si="344"/>
        <v>0</v>
      </c>
      <c r="T1159" s="11">
        <f t="shared" si="345"/>
        <v>0</v>
      </c>
      <c r="U1159" s="11">
        <f>IF(A1158=A1159,0,VLOOKUP(A1159,'Packing Time'!A:F,6,0))</f>
        <v>0</v>
      </c>
      <c r="V1159" s="11">
        <f t="shared" si="337"/>
        <v>0</v>
      </c>
      <c r="W1159" s="11">
        <f t="shared" si="338"/>
        <v>0</v>
      </c>
      <c r="X1159" s="11">
        <f t="shared" si="346"/>
        <v>0</v>
      </c>
      <c r="Y1159" s="11">
        <f t="shared" si="339"/>
        <v>0</v>
      </c>
      <c r="Z1159" s="37">
        <v>1</v>
      </c>
      <c r="AA1159" s="36">
        <f t="shared" si="347"/>
        <v>1</v>
      </c>
      <c r="AB1159" s="36">
        <f t="shared" si="348"/>
        <v>0.14000000000000001</v>
      </c>
      <c r="AC1159" s="11">
        <f t="shared" si="349"/>
        <v>0</v>
      </c>
      <c r="AD1159" s="36">
        <f t="shared" si="340"/>
        <v>0</v>
      </c>
      <c r="AE1159" s="36"/>
      <c r="AF1159" s="36">
        <f>IFERROR(VLOOKUP(AE1159,'Chemical Cost'!A:D,4,0),0)</f>
        <v>0</v>
      </c>
      <c r="AG1159" s="114">
        <f t="shared" si="350"/>
        <v>0</v>
      </c>
      <c r="AH1159" s="36">
        <f t="shared" si="334"/>
        <v>0</v>
      </c>
      <c r="AI1159" s="36">
        <f t="shared" si="341"/>
        <v>0.14000000000000001</v>
      </c>
      <c r="AJ1159" s="36">
        <f>IFERROR(VLOOKUP(A1159,'All Products'!A:F,6,0),0)</f>
        <v>11.767389184397164</v>
      </c>
      <c r="AK1159" s="36"/>
      <c r="AL1159" s="29">
        <v>1</v>
      </c>
      <c r="AM1159" s="23"/>
      <c r="AN1159" s="54" t="e">
        <v>#N/A</v>
      </c>
      <c r="AO1159" s="47"/>
      <c r="AP1159" s="4">
        <v>1.6</v>
      </c>
      <c r="AQ1159" s="111">
        <f t="shared" si="351"/>
        <v>0</v>
      </c>
      <c r="AR1159">
        <f>_xlfn.XLOOKUP(F1159,'RM Cost'!A:A,'RM Cost'!S:S)</f>
        <v>0</v>
      </c>
      <c r="AS1159" t="e">
        <f>_xlfn.XLOOKUP(A1159,[3]Sheet1!$B:$B,[3]Sheet1!$B:$B)</f>
        <v>#N/A</v>
      </c>
    </row>
    <row r="1160" spans="1:46" x14ac:dyDescent="0.25">
      <c r="A1160" s="16" t="s">
        <v>991</v>
      </c>
      <c r="B1160" s="2" t="s">
        <v>656</v>
      </c>
      <c r="C1160" s="2" t="s">
        <v>992</v>
      </c>
      <c r="D1160" s="2" t="s">
        <v>554</v>
      </c>
      <c r="E1160" s="2">
        <v>2.5</v>
      </c>
      <c r="F1160" s="1" t="str">
        <f>VLOOKUP(H1160,'RM Used'!A:B,2,0)</f>
        <v>3221CS</v>
      </c>
      <c r="G1160" s="1" t="str">
        <f>IFERROR(VLOOKUP(F1160,'RM Cost'!A:B,2,0),"")</f>
        <v>BAKING POTATO X50 EA</v>
      </c>
      <c r="H1160" s="2" t="s">
        <v>1613</v>
      </c>
      <c r="I1160" s="1" t="str">
        <f>VLOOKUP(F1160,'RM Used'!B:D,3,0)</f>
        <v>RM-FOOD</v>
      </c>
      <c r="J1160" s="66">
        <v>1</v>
      </c>
      <c r="K1160" s="35">
        <f t="shared" si="336"/>
        <v>2.5</v>
      </c>
      <c r="L1160" s="35">
        <f t="shared" si="343"/>
        <v>2.5</v>
      </c>
      <c r="M1160" s="77" cm="1">
        <f t="array" ref="M1160">_xlfn.IFS(BOM!I1160="RM-PACKING","100%",B1160="Reynolds",VLOOKUP(H1160,'Yield &amp; Time'!A:V,22,0),BOM!B1160="Dnata",VLOOKUP(BOM!H1160,'Yield &amp; Time'!A:M,13,0),B1160="NK",VLOOKUP(H1160,'Yield &amp; Time'!A:X,24,0))</f>
        <v>0</v>
      </c>
      <c r="N1160" s="35">
        <f t="shared" si="342"/>
        <v>0</v>
      </c>
      <c r="O1160" s="1" t="str">
        <f>VLOOKUP(H1160,'RM Used'!A:E,5,0)</f>
        <v>KG</v>
      </c>
      <c r="P1160" s="11">
        <f>VLOOKUP(H1160,'RM Used'!A:F,6,0)</f>
        <v>0.57000000000000006</v>
      </c>
      <c r="Q1160" s="11">
        <f t="shared" si="352"/>
        <v>0</v>
      </c>
      <c r="R1160" s="11">
        <f>IFERROR(IF(B1160="Reynolds",VLOOKUP(H1160,'Yield &amp; Time'!A:U,21,0),VLOOKUP(H1160,'Yield &amp; Time'!A:L,12,0)),0)</f>
        <v>0</v>
      </c>
      <c r="S1160" s="11">
        <f t="shared" si="344"/>
        <v>0</v>
      </c>
      <c r="T1160" s="11">
        <f t="shared" si="345"/>
        <v>0</v>
      </c>
      <c r="U1160" s="11">
        <f>IF(A1159=A1160,0,VLOOKUP(A1160,'Packing Time'!A:F,6,0))</f>
        <v>0.875</v>
      </c>
      <c r="V1160" s="11">
        <f t="shared" si="337"/>
        <v>0.29618749999999999</v>
      </c>
      <c r="W1160" s="11">
        <f t="shared" si="338"/>
        <v>1.4583333333333334E-2</v>
      </c>
      <c r="X1160" s="11">
        <f t="shared" si="346"/>
        <v>0.47389999999999999</v>
      </c>
      <c r="Y1160" s="11">
        <f t="shared" si="339"/>
        <v>0.47389999999999999</v>
      </c>
      <c r="Z1160" s="37">
        <v>1</v>
      </c>
      <c r="AA1160" s="36">
        <f t="shared" si="347"/>
        <v>0</v>
      </c>
      <c r="AB1160" s="36">
        <f t="shared" si="348"/>
        <v>0</v>
      </c>
      <c r="AC1160" s="11">
        <f t="shared" si="349"/>
        <v>2.3333333333333334E-2</v>
      </c>
      <c r="AD1160" s="36">
        <f t="shared" si="340"/>
        <v>0.47389999999999999</v>
      </c>
      <c r="AE1160" s="36"/>
      <c r="AF1160" s="36">
        <f>IFERROR(VLOOKUP(AE1160,'Chemical Cost'!A:D,4,0),0)</f>
        <v>0</v>
      </c>
      <c r="AG1160" s="114">
        <f t="shared" si="350"/>
        <v>0</v>
      </c>
      <c r="AH1160" s="36">
        <f t="shared" si="334"/>
        <v>0</v>
      </c>
      <c r="AI1160" s="36">
        <f t="shared" si="341"/>
        <v>0.47389999999999999</v>
      </c>
      <c r="AJ1160" s="36">
        <f>IFERROR(VLOOKUP(A1160,'All Products'!A:F,6,0),0)</f>
        <v>29.366910460992909</v>
      </c>
      <c r="AK1160" s="36">
        <f>AJ1160*Z1160*J1160</f>
        <v>29.366910460992909</v>
      </c>
      <c r="AL1160" s="29">
        <v>1</v>
      </c>
      <c r="AM1160" s="23"/>
      <c r="AN1160" s="54" t="e">
        <v>#N/A</v>
      </c>
      <c r="AO1160" s="47"/>
      <c r="AP1160" s="4">
        <v>1.6</v>
      </c>
      <c r="AQ1160" s="111">
        <f t="shared" si="351"/>
        <v>2.3333333333333334E-2</v>
      </c>
      <c r="AR1160">
        <f>_xlfn.XLOOKUP(F1160,'RM Cost'!A:A,'RM Cost'!S:S)</f>
        <v>0</v>
      </c>
      <c r="AS1160" t="e">
        <f>_xlfn.XLOOKUP(A1160,[3]Sheet1!$B:$B,[3]Sheet1!$B:$B)</f>
        <v>#N/A</v>
      </c>
    </row>
    <row r="1161" spans="1:46" x14ac:dyDescent="0.25">
      <c r="A1161" s="16" t="s">
        <v>991</v>
      </c>
      <c r="B1161" s="2" t="s">
        <v>656</v>
      </c>
      <c r="C1161" s="2" t="s">
        <v>992</v>
      </c>
      <c r="D1161" s="2" t="s">
        <v>554</v>
      </c>
      <c r="E1161" s="2">
        <v>2.5</v>
      </c>
      <c r="F1161" s="1" t="str">
        <f>VLOOKUP(H1161,'RM Used'!A:B,2,0)</f>
        <v>P0008</v>
      </c>
      <c r="G1161" s="1" t="str">
        <f>IFERROR(VLOOKUP(F1161,'RM Cost'!A:B,2,0),"")</f>
        <v>PALE BLUE BAG 470X750MM</v>
      </c>
      <c r="H1161" s="1" t="s">
        <v>1323</v>
      </c>
      <c r="I1161" s="1" t="str">
        <f>VLOOKUP(F1161,'RM Used'!B:D,3,0)</f>
        <v>RM-PACKING</v>
      </c>
      <c r="J1161" s="66">
        <v>1</v>
      </c>
      <c r="K1161" s="35" t="str">
        <f t="shared" si="336"/>
        <v/>
      </c>
      <c r="L1161" s="35">
        <f t="shared" si="343"/>
        <v>0</v>
      </c>
      <c r="M1161" s="77" t="str" cm="1">
        <f t="array" ref="M1161">_xlfn.IFS(BOM!I1161="RM-PACKING","100%",B1161="Reynolds",VLOOKUP(H1161,'Yield &amp; Time'!A:V,22,0),BOM!B1161="Dnata",VLOOKUP(BOM!H1161,'Yield &amp; Time'!A:M,13,0),B1161="NK",VLOOKUP(H1161,'Yield &amp; Time'!A:X,24,0))</f>
        <v>100%</v>
      </c>
      <c r="N1161" s="35">
        <f t="shared" si="342"/>
        <v>1</v>
      </c>
      <c r="O1161" s="1" t="str">
        <f>VLOOKUP(H1161,'RM Used'!A:E,5,0)</f>
        <v>Count</v>
      </c>
      <c r="P1161" s="11">
        <f>VLOOKUP(H1161,'RM Used'!A:F,6,0)</f>
        <v>0.14000000000000001</v>
      </c>
      <c r="Q1161" s="11">
        <f t="shared" si="352"/>
        <v>0.14000000000000001</v>
      </c>
      <c r="R1161" s="11">
        <f>IFERROR(IF(B1161="Reynolds",VLOOKUP(H1161,'Yield &amp; Time'!A:U,21,0),VLOOKUP(H1161,'Yield &amp; Time'!A:L,12,0)),0)</f>
        <v>0</v>
      </c>
      <c r="S1161" s="11">
        <f t="shared" si="344"/>
        <v>0</v>
      </c>
      <c r="T1161" s="11">
        <f t="shared" si="345"/>
        <v>0</v>
      </c>
      <c r="U1161" s="11">
        <f>IF(A1160=A1161,0,VLOOKUP(A1161,'Packing Time'!A:F,6,0))</f>
        <v>0</v>
      </c>
      <c r="V1161" s="11">
        <f t="shared" si="337"/>
        <v>0</v>
      </c>
      <c r="W1161" s="11">
        <f t="shared" si="338"/>
        <v>0</v>
      </c>
      <c r="X1161" s="11">
        <f t="shared" si="346"/>
        <v>0</v>
      </c>
      <c r="Y1161" s="11">
        <f t="shared" si="339"/>
        <v>0</v>
      </c>
      <c r="Z1161" s="37">
        <v>1</v>
      </c>
      <c r="AA1161" s="36">
        <f t="shared" si="347"/>
        <v>1</v>
      </c>
      <c r="AB1161" s="36">
        <f t="shared" si="348"/>
        <v>0.14000000000000001</v>
      </c>
      <c r="AC1161" s="11">
        <f t="shared" si="349"/>
        <v>0</v>
      </c>
      <c r="AD1161" s="36">
        <f t="shared" si="340"/>
        <v>0</v>
      </c>
      <c r="AE1161" s="36"/>
      <c r="AF1161" s="36">
        <f>IFERROR(VLOOKUP(AE1161,'Chemical Cost'!A:D,4,0),0)</f>
        <v>0</v>
      </c>
      <c r="AG1161" s="114">
        <f t="shared" si="350"/>
        <v>0</v>
      </c>
      <c r="AH1161" s="36">
        <f t="shared" si="334"/>
        <v>0</v>
      </c>
      <c r="AI1161" s="36">
        <f t="shared" si="341"/>
        <v>0.14000000000000001</v>
      </c>
      <c r="AJ1161" s="36">
        <f>IFERROR(VLOOKUP(A1161,'All Products'!A:F,6,0),0)</f>
        <v>29.366910460992909</v>
      </c>
      <c r="AK1161" s="36"/>
      <c r="AL1161" s="29">
        <v>1</v>
      </c>
      <c r="AM1161" s="23"/>
      <c r="AN1161" s="54" t="e">
        <v>#N/A</v>
      </c>
      <c r="AO1161" s="47"/>
      <c r="AP1161" s="4">
        <v>1.6</v>
      </c>
      <c r="AQ1161" s="111">
        <f t="shared" si="351"/>
        <v>0</v>
      </c>
      <c r="AR1161">
        <f>_xlfn.XLOOKUP(F1161,'RM Cost'!A:A,'RM Cost'!S:S)</f>
        <v>0</v>
      </c>
      <c r="AS1161" t="e">
        <f>_xlfn.XLOOKUP(A1161,[3]Sheet1!$B:$B,[3]Sheet1!$B:$B)</f>
        <v>#N/A</v>
      </c>
    </row>
    <row r="1162" spans="1:46" x14ac:dyDescent="0.25">
      <c r="A1162" s="16" t="s">
        <v>993</v>
      </c>
      <c r="B1162" s="2" t="s">
        <v>656</v>
      </c>
      <c r="C1162" s="2" t="s">
        <v>994</v>
      </c>
      <c r="D1162" s="2" t="s">
        <v>554</v>
      </c>
      <c r="E1162" s="2">
        <v>1</v>
      </c>
      <c r="F1162" s="1" t="str">
        <f>VLOOKUP(H1162,'RM Used'!A:B,2,0)</f>
        <v>3221CS</v>
      </c>
      <c r="G1162" s="1" t="str">
        <f>IFERROR(VLOOKUP(F1162,'RM Cost'!A:B,2,0),"")</f>
        <v>BAKING POTATO X50 EA</v>
      </c>
      <c r="H1162" s="2" t="s">
        <v>1614</v>
      </c>
      <c r="I1162" s="1" t="str">
        <f>VLOOKUP(F1162,'RM Used'!B:D,3,0)</f>
        <v>RM-FOOD</v>
      </c>
      <c r="J1162" s="66">
        <v>1</v>
      </c>
      <c r="K1162" s="35">
        <f t="shared" si="336"/>
        <v>1</v>
      </c>
      <c r="L1162" s="35">
        <f t="shared" si="343"/>
        <v>1</v>
      </c>
      <c r="M1162" s="77" cm="1">
        <f t="array" ref="M1162">_xlfn.IFS(BOM!I1162="RM-PACKING","100%",B1162="Reynolds",VLOOKUP(H1162,'Yield &amp; Time'!A:V,22,0),BOM!B1162="Dnata",VLOOKUP(BOM!H1162,'Yield &amp; Time'!A:M,13,0),B1162="NK",VLOOKUP(H1162,'Yield &amp; Time'!A:X,24,0))</f>
        <v>0.22</v>
      </c>
      <c r="N1162" s="35">
        <f t="shared" si="342"/>
        <v>4.5454545454545459</v>
      </c>
      <c r="O1162" s="1" t="str">
        <f>VLOOKUP(H1162,'RM Used'!A:E,5,0)</f>
        <v>KG</v>
      </c>
      <c r="P1162" s="11">
        <f>VLOOKUP(H1162,'RM Used'!A:F,6,0)</f>
        <v>0.57000000000000006</v>
      </c>
      <c r="Q1162" s="11">
        <f t="shared" si="352"/>
        <v>2.5909090909090913</v>
      </c>
      <c r="R1162" s="11">
        <f>IFERROR(IF(B1162="Reynolds",VLOOKUP(H1162,'Yield &amp; Time'!A:U,21,0),VLOOKUP(H1162,'Yield &amp; Time'!A:L,12,0)),0)</f>
        <v>4.5393939393939391</v>
      </c>
      <c r="S1162" s="11">
        <f t="shared" si="344"/>
        <v>1.5365848484848483</v>
      </c>
      <c r="T1162" s="11">
        <f t="shared" si="345"/>
        <v>7.5656565656565658E-2</v>
      </c>
      <c r="U1162" s="11">
        <f>IF(A1161=A1162,0,VLOOKUP(A1162,'Packing Time'!A:F,6,0))</f>
        <v>0.64166666666666661</v>
      </c>
      <c r="V1162" s="11">
        <f t="shared" si="337"/>
        <v>0.21720416666666661</v>
      </c>
      <c r="W1162" s="11">
        <f t="shared" si="338"/>
        <v>1.0694444444444444E-2</v>
      </c>
      <c r="X1162" s="11">
        <f t="shared" si="346"/>
        <v>2.8060624242424237</v>
      </c>
      <c r="Y1162" s="11">
        <f t="shared" si="339"/>
        <v>2.8060624242424237</v>
      </c>
      <c r="Z1162" s="37">
        <v>1</v>
      </c>
      <c r="AA1162" s="36">
        <f t="shared" si="347"/>
        <v>4.5454545454545459</v>
      </c>
      <c r="AB1162" s="36">
        <f t="shared" si="348"/>
        <v>2.5909090909090913</v>
      </c>
      <c r="AC1162" s="11">
        <f t="shared" si="349"/>
        <v>0.13816161616161615</v>
      </c>
      <c r="AD1162" s="36">
        <f t="shared" si="340"/>
        <v>2.8060624242424237</v>
      </c>
      <c r="AE1162" s="36" t="str">
        <f>VLOOKUP(H1162,'Yield &amp; Time'!A:I,9,0)</f>
        <v>SODIUM METABISULPHITE</v>
      </c>
      <c r="AF1162" s="36">
        <f>IFERROR(VLOOKUP(AE1162,'Chemical Cost'!A:D,4,0),0)</f>
        <v>9.7586225455882462E-3</v>
      </c>
      <c r="AG1162" s="114">
        <f t="shared" si="350"/>
        <v>1.4785791735739767E-2</v>
      </c>
      <c r="AH1162" s="36">
        <f t="shared" si="334"/>
        <v>1.4785791735739767E-2</v>
      </c>
      <c r="AI1162" s="36">
        <f t="shared" si="341"/>
        <v>5.4117573068872549</v>
      </c>
      <c r="AJ1162" s="36">
        <f>IFERROR(VLOOKUP(A1162,'All Products'!A:F,6,0),0)</f>
        <v>12.28</v>
      </c>
      <c r="AK1162" s="36">
        <f>AJ1162*Z1162*J1162</f>
        <v>12.28</v>
      </c>
      <c r="AL1162" s="23">
        <v>1</v>
      </c>
      <c r="AM1162" s="23"/>
      <c r="AN1162" s="54" t="e">
        <v>#N/A</v>
      </c>
      <c r="AO1162" s="47"/>
      <c r="AP1162" s="4">
        <v>1.6</v>
      </c>
      <c r="AQ1162" s="111">
        <f t="shared" si="351"/>
        <v>0.13816161616161615</v>
      </c>
      <c r="AR1162">
        <f>_xlfn.XLOOKUP(F1162,'RM Cost'!A:A,'RM Cost'!S:S)</f>
        <v>0</v>
      </c>
      <c r="AS1162" t="e">
        <f>_xlfn.XLOOKUP(A1162,[3]Sheet1!$B:$B,[3]Sheet1!$B:$B)</f>
        <v>#N/A</v>
      </c>
    </row>
    <row r="1163" spans="1:46" x14ac:dyDescent="0.25">
      <c r="A1163" s="16" t="s">
        <v>993</v>
      </c>
      <c r="B1163" s="2" t="s">
        <v>656</v>
      </c>
      <c r="C1163" s="2" t="s">
        <v>994</v>
      </c>
      <c r="D1163" s="2" t="s">
        <v>554</v>
      </c>
      <c r="E1163" s="2">
        <v>1</v>
      </c>
      <c r="F1163" s="1" t="str">
        <f>VLOOKUP(H1163,'RM Used'!A:B,2,0)</f>
        <v>P0008</v>
      </c>
      <c r="G1163" s="1" t="str">
        <f>IFERROR(VLOOKUP(F1163,'RM Cost'!A:B,2,0),"")</f>
        <v>PALE BLUE BAG 470X750MM</v>
      </c>
      <c r="H1163" s="1" t="s">
        <v>1323</v>
      </c>
      <c r="I1163" s="1" t="str">
        <f>VLOOKUP(F1163,'RM Used'!B:D,3,0)</f>
        <v>RM-PACKING</v>
      </c>
      <c r="J1163" s="66">
        <v>1</v>
      </c>
      <c r="K1163" s="35" t="str">
        <f t="shared" si="336"/>
        <v/>
      </c>
      <c r="L1163" s="35">
        <f t="shared" si="343"/>
        <v>0</v>
      </c>
      <c r="M1163" s="77" t="str" cm="1">
        <f t="array" ref="M1163">_xlfn.IFS(BOM!I1163="RM-PACKING","100%",B1163="Reynolds",VLOOKUP(H1163,'Yield &amp; Time'!A:V,22,0),BOM!B1163="Dnata",VLOOKUP(BOM!H1163,'Yield &amp; Time'!A:M,13,0),B1163="NK",VLOOKUP(H1163,'Yield &amp; Time'!A:X,24,0))</f>
        <v>100%</v>
      </c>
      <c r="N1163" s="35">
        <f t="shared" si="342"/>
        <v>1</v>
      </c>
      <c r="O1163" s="1" t="str">
        <f>VLOOKUP(H1163,'RM Used'!A:E,5,0)</f>
        <v>Count</v>
      </c>
      <c r="P1163" s="11">
        <f>VLOOKUP(H1163,'RM Used'!A:F,6,0)</f>
        <v>0.14000000000000001</v>
      </c>
      <c r="Q1163" s="11">
        <f t="shared" si="352"/>
        <v>0.14000000000000001</v>
      </c>
      <c r="R1163" s="11">
        <f>IFERROR(IF(B1163="Reynolds",VLOOKUP(H1163,'Yield &amp; Time'!A:U,21,0),VLOOKUP(H1163,'Yield &amp; Time'!A:L,12,0)),0)</f>
        <v>0</v>
      </c>
      <c r="S1163" s="11">
        <f t="shared" si="344"/>
        <v>0</v>
      </c>
      <c r="T1163" s="11">
        <f t="shared" si="345"/>
        <v>0</v>
      </c>
      <c r="U1163" s="11">
        <f>IF(A1162=A1163,0,VLOOKUP(A1163,'Packing Time'!A:F,6,0))</f>
        <v>0</v>
      </c>
      <c r="V1163" s="11">
        <f t="shared" si="337"/>
        <v>0</v>
      </c>
      <c r="W1163" s="11">
        <f t="shared" si="338"/>
        <v>0</v>
      </c>
      <c r="X1163" s="11">
        <f t="shared" si="346"/>
        <v>0</v>
      </c>
      <c r="Y1163" s="11">
        <f t="shared" si="339"/>
        <v>0</v>
      </c>
      <c r="Z1163" s="37">
        <v>1</v>
      </c>
      <c r="AA1163" s="36">
        <f t="shared" si="347"/>
        <v>1</v>
      </c>
      <c r="AB1163" s="36">
        <f t="shared" si="348"/>
        <v>0.14000000000000001</v>
      </c>
      <c r="AC1163" s="11">
        <f t="shared" si="349"/>
        <v>0</v>
      </c>
      <c r="AD1163" s="36">
        <f t="shared" si="340"/>
        <v>0</v>
      </c>
      <c r="AE1163" s="36"/>
      <c r="AF1163" s="36">
        <f>IFERROR(VLOOKUP(AE1163,'Chemical Cost'!A:D,4,0),0)</f>
        <v>0</v>
      </c>
      <c r="AG1163" s="114">
        <f t="shared" si="350"/>
        <v>0</v>
      </c>
      <c r="AH1163" s="36">
        <f t="shared" si="334"/>
        <v>0</v>
      </c>
      <c r="AI1163" s="36">
        <f t="shared" si="341"/>
        <v>0.14000000000000001</v>
      </c>
      <c r="AJ1163" s="36">
        <f>IFERROR(VLOOKUP(A1163,'All Products'!A:F,6,0),0)</f>
        <v>12.28</v>
      </c>
      <c r="AK1163" s="36"/>
      <c r="AL1163" s="23">
        <v>1</v>
      </c>
      <c r="AM1163" s="23"/>
      <c r="AN1163" s="54" t="e">
        <v>#N/A</v>
      </c>
      <c r="AO1163" s="47"/>
      <c r="AP1163" s="4">
        <v>1.6</v>
      </c>
      <c r="AQ1163" s="111">
        <f t="shared" si="351"/>
        <v>0</v>
      </c>
      <c r="AR1163">
        <f>_xlfn.XLOOKUP(F1163,'RM Cost'!A:A,'RM Cost'!S:S)</f>
        <v>0</v>
      </c>
      <c r="AS1163" t="e">
        <f>_xlfn.XLOOKUP(A1163,[3]Sheet1!$B:$B,[3]Sheet1!$B:$B)</f>
        <v>#N/A</v>
      </c>
    </row>
    <row r="1164" spans="1:46" x14ac:dyDescent="0.25">
      <c r="A1164" s="16" t="s">
        <v>166</v>
      </c>
      <c r="B1164" s="2" t="s">
        <v>656</v>
      </c>
      <c r="C1164" s="2" t="s">
        <v>995</v>
      </c>
      <c r="D1164" s="2" t="s">
        <v>554</v>
      </c>
      <c r="E1164" s="2">
        <v>2.5</v>
      </c>
      <c r="F1164" s="1" t="str">
        <f>VLOOKUP(H1164,'RM Used'!A:B,2,0)</f>
        <v>3221CS</v>
      </c>
      <c r="G1164" s="1" t="str">
        <f>IFERROR(VLOOKUP(F1164,'RM Cost'!A:B,2,0),"")</f>
        <v>BAKING POTATO X50 EA</v>
      </c>
      <c r="H1164" s="2" t="s">
        <v>1614</v>
      </c>
      <c r="I1164" s="1" t="str">
        <f>VLOOKUP(F1164,'RM Used'!B:D,3,0)</f>
        <v>RM-FOOD</v>
      </c>
      <c r="J1164" s="66">
        <v>1</v>
      </c>
      <c r="K1164" s="35">
        <f t="shared" si="336"/>
        <v>2.5</v>
      </c>
      <c r="L1164" s="35">
        <f t="shared" si="343"/>
        <v>2.5</v>
      </c>
      <c r="M1164" s="77" cm="1">
        <f t="array" ref="M1164">_xlfn.IFS(BOM!I1164="RM-PACKING","100%",B1164="Reynolds",VLOOKUP(H1164,'Yield &amp; Time'!A:V,22,0),BOM!B1164="Dnata",VLOOKUP(BOM!H1164,'Yield &amp; Time'!A:M,13,0),B1164="NK",VLOOKUP(H1164,'Yield &amp; Time'!A:X,24,0))</f>
        <v>0.22</v>
      </c>
      <c r="N1164" s="35">
        <f t="shared" si="342"/>
        <v>11.363636363636363</v>
      </c>
      <c r="O1164" s="1" t="str">
        <f>VLOOKUP(H1164,'RM Used'!A:E,5,0)</f>
        <v>KG</v>
      </c>
      <c r="P1164" s="11">
        <f>VLOOKUP(H1164,'RM Used'!A:F,6,0)</f>
        <v>0.57000000000000006</v>
      </c>
      <c r="Q1164" s="11">
        <f t="shared" si="352"/>
        <v>6.4772727272727275</v>
      </c>
      <c r="R1164" s="11">
        <f>IFERROR(IF(B1164="Reynolds",VLOOKUP(H1164,'Yield &amp; Time'!A:U,21,0),VLOOKUP(H1164,'Yield &amp; Time'!A:L,12,0)),0)</f>
        <v>4.5393939393939391</v>
      </c>
      <c r="S1164" s="11">
        <f t="shared" si="344"/>
        <v>3.8414621212121207</v>
      </c>
      <c r="T1164" s="11">
        <f t="shared" si="345"/>
        <v>0.18914141414141414</v>
      </c>
      <c r="U1164" s="11">
        <f>IF(A1163=A1164,0,VLOOKUP(A1164,'Packing Time'!A:F,6,0))</f>
        <v>0.875</v>
      </c>
      <c r="V1164" s="11">
        <f t="shared" si="337"/>
        <v>0.29618749999999999</v>
      </c>
      <c r="W1164" s="11">
        <f t="shared" si="338"/>
        <v>1.4583333333333334E-2</v>
      </c>
      <c r="X1164" s="11">
        <f t="shared" si="346"/>
        <v>6.6202393939393929</v>
      </c>
      <c r="Y1164" s="11">
        <f t="shared" si="339"/>
        <v>6.6202393939393929</v>
      </c>
      <c r="Z1164" s="37">
        <v>1</v>
      </c>
      <c r="AA1164" s="36">
        <f t="shared" si="347"/>
        <v>11.363636363636363</v>
      </c>
      <c r="AB1164" s="36">
        <f t="shared" si="348"/>
        <v>6.4772727272727275</v>
      </c>
      <c r="AC1164" s="11">
        <f t="shared" si="349"/>
        <v>0.325959595959596</v>
      </c>
      <c r="AD1164" s="36">
        <f t="shared" si="340"/>
        <v>6.6202393939393946</v>
      </c>
      <c r="AE1164" s="36" t="str">
        <f>VLOOKUP(H1164,'Yield &amp; Time'!A:I,9,0)</f>
        <v>SODIUM METABISULPHITE</v>
      </c>
      <c r="AF1164" s="36">
        <f>IFERROR(VLOOKUP(AE1164,'Chemical Cost'!A:D,4,0),0)</f>
        <v>9.7586225455882462E-3</v>
      </c>
      <c r="AG1164" s="114">
        <f t="shared" si="350"/>
        <v>3.6964479339349418E-2</v>
      </c>
      <c r="AH1164" s="36">
        <f t="shared" si="334"/>
        <v>3.6964479339349418E-2</v>
      </c>
      <c r="AI1164" s="36">
        <f t="shared" si="341"/>
        <v>13.134476600551469</v>
      </c>
      <c r="AJ1164" s="36">
        <f>IFERROR(VLOOKUP(A1164,'All Products'!A:F,6,0),0)</f>
        <v>30.68</v>
      </c>
      <c r="AK1164" s="36">
        <f>AJ1164*Z1164*J1164</f>
        <v>30.68</v>
      </c>
      <c r="AL1164" s="23">
        <v>1</v>
      </c>
      <c r="AM1164" s="23"/>
      <c r="AN1164" s="54" t="e">
        <v>#N/A</v>
      </c>
      <c r="AO1164" s="47"/>
      <c r="AP1164" s="4">
        <v>1.6</v>
      </c>
      <c r="AQ1164" s="111">
        <f t="shared" si="351"/>
        <v>0.325959595959596</v>
      </c>
      <c r="AR1164">
        <f>_xlfn.XLOOKUP(F1164,'RM Cost'!A:A,'RM Cost'!S:S)</f>
        <v>0</v>
      </c>
      <c r="AS1164" t="e">
        <f>_xlfn.XLOOKUP(A1164,[3]Sheet1!$B:$B,[3]Sheet1!$B:$B)</f>
        <v>#N/A</v>
      </c>
    </row>
    <row r="1165" spans="1:46" x14ac:dyDescent="0.25">
      <c r="A1165" s="16" t="s">
        <v>166</v>
      </c>
      <c r="B1165" s="2" t="s">
        <v>656</v>
      </c>
      <c r="C1165" s="2" t="s">
        <v>995</v>
      </c>
      <c r="D1165" s="2" t="s">
        <v>554</v>
      </c>
      <c r="E1165" s="2">
        <v>2.5</v>
      </c>
      <c r="F1165" s="1" t="str">
        <f>VLOOKUP(H1165,'RM Used'!A:B,2,0)</f>
        <v>P0008</v>
      </c>
      <c r="G1165" s="1" t="str">
        <f>IFERROR(VLOOKUP(F1165,'RM Cost'!A:B,2,0),"")</f>
        <v>PALE BLUE BAG 470X750MM</v>
      </c>
      <c r="H1165" s="1" t="s">
        <v>1323</v>
      </c>
      <c r="I1165" s="1" t="str">
        <f>VLOOKUP(F1165,'RM Used'!B:D,3,0)</f>
        <v>RM-PACKING</v>
      </c>
      <c r="J1165" s="66">
        <v>1</v>
      </c>
      <c r="K1165" s="35" t="str">
        <f t="shared" si="336"/>
        <v/>
      </c>
      <c r="L1165" s="35">
        <f t="shared" si="343"/>
        <v>0</v>
      </c>
      <c r="M1165" s="77" t="str" cm="1">
        <f t="array" ref="M1165">_xlfn.IFS(BOM!I1165="RM-PACKING","100%",B1165="Reynolds",VLOOKUP(H1165,'Yield &amp; Time'!A:V,22,0),BOM!B1165="Dnata",VLOOKUP(BOM!H1165,'Yield &amp; Time'!A:M,13,0),B1165="NK",VLOOKUP(H1165,'Yield &amp; Time'!A:X,24,0))</f>
        <v>100%</v>
      </c>
      <c r="N1165" s="35">
        <f t="shared" si="342"/>
        <v>1</v>
      </c>
      <c r="O1165" s="1" t="str">
        <f>VLOOKUP(H1165,'RM Used'!A:E,5,0)</f>
        <v>Count</v>
      </c>
      <c r="P1165" s="11">
        <f>VLOOKUP(H1165,'RM Used'!A:F,6,0)</f>
        <v>0.14000000000000001</v>
      </c>
      <c r="Q1165" s="11">
        <f t="shared" si="352"/>
        <v>0.14000000000000001</v>
      </c>
      <c r="R1165" s="11">
        <f>IFERROR(IF(B1165="Reynolds",VLOOKUP(H1165,'Yield &amp; Time'!A:U,21,0),VLOOKUP(H1165,'Yield &amp; Time'!A:L,12,0)),0)</f>
        <v>0</v>
      </c>
      <c r="S1165" s="11">
        <f t="shared" si="344"/>
        <v>0</v>
      </c>
      <c r="T1165" s="11">
        <f t="shared" si="345"/>
        <v>0</v>
      </c>
      <c r="U1165" s="11">
        <f>IF(A1164=A1165,0,VLOOKUP(A1165,'Packing Time'!A:F,6,0))</f>
        <v>0</v>
      </c>
      <c r="V1165" s="11">
        <f t="shared" si="337"/>
        <v>0</v>
      </c>
      <c r="W1165" s="11">
        <f t="shared" si="338"/>
        <v>0</v>
      </c>
      <c r="X1165" s="11">
        <f t="shared" si="346"/>
        <v>0</v>
      </c>
      <c r="Y1165" s="11">
        <f t="shared" si="339"/>
        <v>0</v>
      </c>
      <c r="Z1165" s="37">
        <v>1</v>
      </c>
      <c r="AA1165" s="36">
        <f t="shared" si="347"/>
        <v>1</v>
      </c>
      <c r="AB1165" s="36">
        <f t="shared" si="348"/>
        <v>0.14000000000000001</v>
      </c>
      <c r="AC1165" s="11">
        <f t="shared" si="349"/>
        <v>0</v>
      </c>
      <c r="AD1165" s="36">
        <f t="shared" si="340"/>
        <v>0</v>
      </c>
      <c r="AE1165" s="36"/>
      <c r="AF1165" s="36">
        <f>IFERROR(VLOOKUP(AE1165,'Chemical Cost'!A:D,4,0),0)</f>
        <v>0</v>
      </c>
      <c r="AG1165" s="114">
        <f t="shared" si="350"/>
        <v>0</v>
      </c>
      <c r="AH1165" s="36">
        <f t="shared" si="334"/>
        <v>0</v>
      </c>
      <c r="AI1165" s="36">
        <f t="shared" si="341"/>
        <v>0.14000000000000001</v>
      </c>
      <c r="AJ1165" s="36">
        <f>IFERROR(VLOOKUP(A1165,'All Products'!A:F,6,0),0)</f>
        <v>30.68</v>
      </c>
      <c r="AK1165" s="36"/>
      <c r="AL1165" s="23">
        <v>1</v>
      </c>
      <c r="AM1165" s="23"/>
      <c r="AN1165" s="54" t="e">
        <v>#N/A</v>
      </c>
      <c r="AO1165" s="47"/>
      <c r="AP1165" s="4">
        <v>1.6</v>
      </c>
      <c r="AQ1165" s="111">
        <f t="shared" si="351"/>
        <v>0</v>
      </c>
      <c r="AR1165">
        <f>_xlfn.XLOOKUP(F1165,'RM Cost'!A:A,'RM Cost'!S:S)</f>
        <v>0</v>
      </c>
      <c r="AS1165" t="e">
        <f>_xlfn.XLOOKUP(A1165,[3]Sheet1!$B:$B,[3]Sheet1!$B:$B)</f>
        <v>#N/A</v>
      </c>
    </row>
    <row r="1166" spans="1:46" x14ac:dyDescent="0.25">
      <c r="A1166" s="16" t="s">
        <v>996</v>
      </c>
      <c r="B1166" s="2" t="s">
        <v>552</v>
      </c>
      <c r="C1166" s="2" t="s">
        <v>997</v>
      </c>
      <c r="D1166" s="2" t="s">
        <v>554</v>
      </c>
      <c r="E1166" s="2">
        <v>5</v>
      </c>
      <c r="F1166" s="1" t="str">
        <f>VLOOKUP(H1166,'RM Used'!A:B,2,0)</f>
        <v>3221cs</v>
      </c>
      <c r="G1166" s="1" t="str">
        <f>IFERROR(VLOOKUP(F1166,'RM Cost'!A:B,2,0),"")</f>
        <v>BAKING POTATO X50 EA</v>
      </c>
      <c r="H1166" s="2" t="s">
        <v>1615</v>
      </c>
      <c r="I1166" s="1" t="str">
        <f>VLOOKUP(F1166,'RM Used'!B:D,3,0)</f>
        <v>RM-FOOD</v>
      </c>
      <c r="J1166" s="66">
        <v>1</v>
      </c>
      <c r="K1166" s="35">
        <f t="shared" si="336"/>
        <v>5</v>
      </c>
      <c r="L1166" s="35">
        <f t="shared" si="343"/>
        <v>5</v>
      </c>
      <c r="M1166" s="77" cm="1">
        <f t="array" ref="M1166">_xlfn.IFS(BOM!I1166="RM-PACKING","100%",B1166="Reynolds",VLOOKUP(H1166,'Yield &amp; Time'!A:V,22,0),BOM!B1166="Dnata",VLOOKUP(BOM!H1166,'Yield &amp; Time'!A:M,13,0),B1166="NK",VLOOKUP(H1166,'Yield &amp; Time'!A:X,24,0))</f>
        <v>0.7</v>
      </c>
      <c r="N1166" s="35">
        <f t="shared" si="342"/>
        <v>7.1428571428571432</v>
      </c>
      <c r="O1166" s="1" t="str">
        <f>VLOOKUP(H1166,'RM Used'!A:E,5,0)</f>
        <v>KG</v>
      </c>
      <c r="P1166" s="11">
        <f>VLOOKUP(H1166,'RM Used'!A:F,6,0)</f>
        <v>0.57000000000000006</v>
      </c>
      <c r="Q1166" s="11">
        <f t="shared" si="352"/>
        <v>4.0714285714285721</v>
      </c>
      <c r="R1166" s="11">
        <f>IFERROR(IF(B1166="Reynolds",VLOOKUP(H1166,'Yield &amp; Time'!A:U,21,0),VLOOKUP(H1166,'Yield &amp; Time'!A:L,12,0)),0)</f>
        <v>1.8</v>
      </c>
      <c r="S1166" s="11">
        <f t="shared" si="344"/>
        <v>3.0464999999999995</v>
      </c>
      <c r="T1166" s="11">
        <f t="shared" si="345"/>
        <v>0.15</v>
      </c>
      <c r="U1166" s="11">
        <f>IF(A1165=A1166,0,VLOOKUP(A1166,'Packing Time'!A:F,6,0))</f>
        <v>1.1850000000000001</v>
      </c>
      <c r="V1166" s="11">
        <f t="shared" si="337"/>
        <v>0.40112249999999999</v>
      </c>
      <c r="W1166" s="11">
        <f t="shared" si="338"/>
        <v>1.975E-2</v>
      </c>
      <c r="X1166" s="11">
        <f t="shared" si="346"/>
        <v>5.5161960000000008</v>
      </c>
      <c r="Y1166" s="11">
        <f t="shared" si="339"/>
        <v>5.5161960000000008</v>
      </c>
      <c r="Z1166" s="37">
        <v>1</v>
      </c>
      <c r="AA1166" s="36">
        <f t="shared" si="347"/>
        <v>7.1428571428571432</v>
      </c>
      <c r="AB1166" s="36">
        <f t="shared" si="348"/>
        <v>4.0714285714285721</v>
      </c>
      <c r="AC1166" s="11">
        <f t="shared" si="349"/>
        <v>0.27160000000000001</v>
      </c>
      <c r="AD1166" s="36">
        <f t="shared" si="340"/>
        <v>5.516195999999999</v>
      </c>
      <c r="AE1166" s="36"/>
      <c r="AF1166" s="36">
        <f>IFERROR(VLOOKUP(AE1166,'Chemical Cost'!A:D,4,0),0)</f>
        <v>0</v>
      </c>
      <c r="AG1166" s="114">
        <f t="shared" si="350"/>
        <v>0</v>
      </c>
      <c r="AH1166" s="36">
        <f t="shared" si="334"/>
        <v>0</v>
      </c>
      <c r="AI1166" s="36">
        <f t="shared" si="341"/>
        <v>9.5876245714285737</v>
      </c>
      <c r="AJ1166" s="36">
        <f>IFERROR(VLOOKUP(A1166,'All Products'!A:F,6,0),0)</f>
        <v>6.4</v>
      </c>
      <c r="AK1166" s="36">
        <f>AJ1166*Z1166*J1166</f>
        <v>6.4</v>
      </c>
      <c r="AL1166" s="23">
        <v>1</v>
      </c>
      <c r="AM1166" s="23"/>
      <c r="AN1166" s="54" t="e">
        <v>#N/A</v>
      </c>
      <c r="AO1166" s="47"/>
      <c r="AP1166" s="4">
        <v>1.6</v>
      </c>
      <c r="AQ1166" s="111">
        <f t="shared" si="351"/>
        <v>0.27160000000000001</v>
      </c>
      <c r="AR1166">
        <f>_xlfn.XLOOKUP(F1166,'RM Cost'!A:A,'RM Cost'!S:S)</f>
        <v>0</v>
      </c>
      <c r="AS1166" t="str">
        <f>_xlfn.XLOOKUP(A1166,[3]Sheet1!$B:$B,[3]Sheet1!$B:$B)</f>
        <v>1005CS</v>
      </c>
      <c r="AT1166">
        <f>_xlfn.XLOOKUP(H1166,'Yield &amp; Time'!A:A,'Yield &amp; Time'!F:F)</f>
        <v>0</v>
      </c>
    </row>
    <row r="1167" spans="1:46" x14ac:dyDescent="0.25">
      <c r="A1167" s="16" t="s">
        <v>996</v>
      </c>
      <c r="B1167" s="2" t="s">
        <v>552</v>
      </c>
      <c r="C1167" s="2" t="s">
        <v>997</v>
      </c>
      <c r="D1167" s="2" t="s">
        <v>554</v>
      </c>
      <c r="E1167" s="2">
        <v>5</v>
      </c>
      <c r="F1167" s="1" t="str">
        <f>VLOOKUP(H1167,'RM Used'!A:B,2,0)</f>
        <v>P0008</v>
      </c>
      <c r="G1167" s="1" t="str">
        <f>IFERROR(VLOOKUP(F1167,'RM Cost'!A:B,2,0),"")</f>
        <v>PALE BLUE BAG 470X750MM</v>
      </c>
      <c r="H1167" s="1" t="s">
        <v>1323</v>
      </c>
      <c r="I1167" s="1" t="str">
        <f>VLOOKUP(F1167,'RM Used'!B:D,3,0)</f>
        <v>RM-PACKING</v>
      </c>
      <c r="J1167" s="66">
        <v>1</v>
      </c>
      <c r="K1167" s="35" t="str">
        <f t="shared" si="336"/>
        <v/>
      </c>
      <c r="L1167" s="35">
        <f t="shared" si="343"/>
        <v>0</v>
      </c>
      <c r="M1167" s="77" t="str" cm="1">
        <f t="array" ref="M1167">_xlfn.IFS(BOM!I1167="RM-PACKING","100%",B1167="Reynolds",VLOOKUP(H1167,'Yield &amp; Time'!A:V,22,0),BOM!B1167="Dnata",VLOOKUP(BOM!H1167,'Yield &amp; Time'!A:M,13,0),B1167="NK",VLOOKUP(H1167,'Yield &amp; Time'!A:X,24,0))</f>
        <v>100%</v>
      </c>
      <c r="N1167" s="35">
        <f t="shared" si="342"/>
        <v>1</v>
      </c>
      <c r="O1167" s="1" t="str">
        <f>VLOOKUP(H1167,'RM Used'!A:E,5,0)</f>
        <v>Count</v>
      </c>
      <c r="P1167" s="11">
        <f>VLOOKUP(H1167,'RM Used'!A:F,6,0)</f>
        <v>0.14000000000000001</v>
      </c>
      <c r="Q1167" s="11">
        <f t="shared" si="352"/>
        <v>0.14000000000000001</v>
      </c>
      <c r="R1167" s="11">
        <f>IFERROR(IF(B1167="Reynolds",VLOOKUP(H1167,'Yield &amp; Time'!A:U,21,0),VLOOKUP(H1167,'Yield &amp; Time'!A:L,12,0)),0)</f>
        <v>0</v>
      </c>
      <c r="S1167" s="11">
        <f t="shared" si="344"/>
        <v>0</v>
      </c>
      <c r="T1167" s="11">
        <f t="shared" si="345"/>
        <v>0</v>
      </c>
      <c r="U1167" s="11">
        <f>IF(A1166=A1167,0,VLOOKUP(A1167,'Packing Time'!A:F,6,0))</f>
        <v>0</v>
      </c>
      <c r="V1167" s="11">
        <f t="shared" si="337"/>
        <v>0</v>
      </c>
      <c r="W1167" s="11">
        <f t="shared" si="338"/>
        <v>0</v>
      </c>
      <c r="X1167" s="11">
        <f t="shared" si="346"/>
        <v>0</v>
      </c>
      <c r="Y1167" s="11">
        <f t="shared" si="339"/>
        <v>0</v>
      </c>
      <c r="Z1167" s="37">
        <v>1</v>
      </c>
      <c r="AA1167" s="36">
        <f t="shared" si="347"/>
        <v>1</v>
      </c>
      <c r="AB1167" s="36">
        <f t="shared" si="348"/>
        <v>0.14000000000000001</v>
      </c>
      <c r="AC1167" s="11">
        <f t="shared" si="349"/>
        <v>0</v>
      </c>
      <c r="AD1167" s="36">
        <f t="shared" si="340"/>
        <v>0</v>
      </c>
      <c r="AE1167" s="36"/>
      <c r="AF1167" s="36">
        <f>IFERROR(VLOOKUP(AE1167,'Chemical Cost'!A:D,4,0),0)</f>
        <v>0</v>
      </c>
      <c r="AG1167" s="114">
        <f t="shared" si="350"/>
        <v>0</v>
      </c>
      <c r="AH1167" s="36">
        <f t="shared" si="334"/>
        <v>0</v>
      </c>
      <c r="AI1167" s="36">
        <f t="shared" si="341"/>
        <v>0.14000000000000001</v>
      </c>
      <c r="AJ1167" s="36">
        <f>IFERROR(VLOOKUP(A1167,'All Products'!A:F,6,0),0)</f>
        <v>6.4</v>
      </c>
      <c r="AK1167" s="36"/>
      <c r="AL1167" s="23">
        <v>1</v>
      </c>
      <c r="AM1167" s="23"/>
      <c r="AN1167" s="54" t="e">
        <v>#N/A</v>
      </c>
      <c r="AO1167" s="47"/>
      <c r="AP1167" s="4">
        <v>1.6</v>
      </c>
      <c r="AQ1167" s="111">
        <f t="shared" si="351"/>
        <v>0</v>
      </c>
      <c r="AR1167">
        <f>_xlfn.XLOOKUP(F1167,'RM Cost'!A:A,'RM Cost'!S:S)</f>
        <v>0</v>
      </c>
      <c r="AS1167" t="str">
        <f>_xlfn.XLOOKUP(A1167,[3]Sheet1!$B:$B,[3]Sheet1!$B:$B)</f>
        <v>1005CS</v>
      </c>
      <c r="AT1167" t="e">
        <f>_xlfn.XLOOKUP(H1167,'Yield &amp; Time'!A:A,'Yield &amp; Time'!F:F)</f>
        <v>#N/A</v>
      </c>
    </row>
    <row r="1168" spans="1:46" x14ac:dyDescent="0.25">
      <c r="A1168" s="2" t="s">
        <v>996</v>
      </c>
      <c r="B1168" s="2" t="s">
        <v>552</v>
      </c>
      <c r="C1168" s="2" t="s">
        <v>997</v>
      </c>
      <c r="D1168" s="2" t="s">
        <v>554</v>
      </c>
      <c r="E1168" s="2">
        <v>5</v>
      </c>
      <c r="F1168" s="1" t="str">
        <f>VLOOKUP(H1168,'RM Used'!A:B,2,0)</f>
        <v>P0016</v>
      </c>
      <c r="G1168" s="1" t="str">
        <f>IFERROR(VLOOKUP(F1168,'RM Cost'!A:B,2,0),"")</f>
        <v>REY 40 30 BOX</v>
      </c>
      <c r="H1168" s="1" t="s">
        <v>1332</v>
      </c>
      <c r="I1168" s="1" t="str">
        <f>VLOOKUP(F1168,'RM Used'!B:D,3,0)</f>
        <v>RM-PACKING</v>
      </c>
      <c r="J1168" s="66">
        <v>1</v>
      </c>
      <c r="K1168" s="35" t="str">
        <f t="shared" si="336"/>
        <v/>
      </c>
      <c r="L1168" s="35">
        <f t="shared" si="343"/>
        <v>0</v>
      </c>
      <c r="M1168" s="77" t="str" cm="1">
        <f t="array" ref="M1168">_xlfn.IFS(BOM!I1168="RM-PACKING","100%",B1168="Reynolds",VLOOKUP(H1168,'Yield &amp; Time'!A:V,22,0),BOM!B1168="Dnata",VLOOKUP(BOM!H1168,'Yield &amp; Time'!A:M,13,0),B1168="NK",VLOOKUP(H1168,'Yield &amp; Time'!A:X,24,0))</f>
        <v>100%</v>
      </c>
      <c r="N1168" s="35">
        <f t="shared" si="342"/>
        <v>1</v>
      </c>
      <c r="O1168" s="1" t="str">
        <f>VLOOKUP(H1168,'RM Used'!A:E,5,0)</f>
        <v>Count</v>
      </c>
      <c r="P1168" s="11">
        <f>VLOOKUP(H1168,'RM Used'!A:F,6,0)</f>
        <v>0.28000000000000003</v>
      </c>
      <c r="Q1168" s="11">
        <f t="shared" si="352"/>
        <v>0.28000000000000003</v>
      </c>
      <c r="R1168" s="11">
        <f>IFERROR(IF(B1168="Reynolds",VLOOKUP(H1168,'Yield &amp; Time'!A:U,21,0),VLOOKUP(H1168,'Yield &amp; Time'!A:L,12,0)),0)</f>
        <v>0</v>
      </c>
      <c r="S1168" s="11">
        <f t="shared" si="344"/>
        <v>0</v>
      </c>
      <c r="T1168" s="11">
        <f t="shared" si="345"/>
        <v>0</v>
      </c>
      <c r="U1168" s="11">
        <f>IF(A1167=A1168,0,VLOOKUP(A1168,'Packing Time'!A:F,6,0))</f>
        <v>0</v>
      </c>
      <c r="V1168" s="11">
        <f t="shared" si="337"/>
        <v>0</v>
      </c>
      <c r="W1168" s="11">
        <f t="shared" si="338"/>
        <v>0</v>
      </c>
      <c r="X1168" s="11">
        <f t="shared" si="346"/>
        <v>0</v>
      </c>
      <c r="Y1168" s="11">
        <f t="shared" si="339"/>
        <v>0</v>
      </c>
      <c r="Z1168" s="37">
        <v>1</v>
      </c>
      <c r="AA1168" s="36">
        <f t="shared" si="347"/>
        <v>1</v>
      </c>
      <c r="AB1168" s="36">
        <f t="shared" si="348"/>
        <v>0.28000000000000003</v>
      </c>
      <c r="AC1168" s="11">
        <f t="shared" si="349"/>
        <v>0</v>
      </c>
      <c r="AD1168" s="36">
        <f t="shared" si="340"/>
        <v>0</v>
      </c>
      <c r="AE1168" s="36"/>
      <c r="AF1168" s="36">
        <f>IFERROR(VLOOKUP(AE1168,'Chemical Cost'!A:D,4,0),0)</f>
        <v>0</v>
      </c>
      <c r="AG1168" s="114">
        <f t="shared" si="350"/>
        <v>0</v>
      </c>
      <c r="AH1168" s="36">
        <f t="shared" si="334"/>
        <v>0</v>
      </c>
      <c r="AI1168" s="36">
        <f t="shared" si="341"/>
        <v>0.28000000000000003</v>
      </c>
      <c r="AJ1168" s="36">
        <f>IFERROR(VLOOKUP(A1168,'All Products'!A:F,6,0),0)</f>
        <v>6.4</v>
      </c>
      <c r="AK1168" s="36"/>
      <c r="AL1168" s="23">
        <v>1</v>
      </c>
      <c r="AM1168" s="23"/>
      <c r="AN1168" s="54" t="e">
        <v>#N/A</v>
      </c>
      <c r="AO1168" s="47"/>
      <c r="AP1168" s="4">
        <v>1.6</v>
      </c>
      <c r="AQ1168" s="111">
        <f t="shared" si="351"/>
        <v>0</v>
      </c>
      <c r="AR1168">
        <f>_xlfn.XLOOKUP(F1168,'RM Cost'!A:A,'RM Cost'!S:S)</f>
        <v>0</v>
      </c>
      <c r="AS1168" t="str">
        <f>_xlfn.XLOOKUP(A1168,[3]Sheet1!$B:$B,[3]Sheet1!$B:$B)</f>
        <v>1005CS</v>
      </c>
      <c r="AT1168" t="e">
        <f>_xlfn.XLOOKUP(H1168,'Yield &amp; Time'!A:A,'Yield &amp; Time'!F:F)</f>
        <v>#N/A</v>
      </c>
    </row>
    <row r="1169" spans="1:45" x14ac:dyDescent="0.25">
      <c r="A1169" s="16" t="s">
        <v>330</v>
      </c>
      <c r="B1169" s="2" t="s">
        <v>656</v>
      </c>
      <c r="C1169" s="2" t="s">
        <v>998</v>
      </c>
      <c r="D1169" s="2" t="s">
        <v>554</v>
      </c>
      <c r="E1169" s="2">
        <v>1</v>
      </c>
      <c r="F1169" s="1" t="str">
        <f>VLOOKUP(H1169,'RM Used'!A:B,2,0)</f>
        <v>032ACS</v>
      </c>
      <c r="G1169" s="1" t="str">
        <f>IFERROR(VLOOKUP(F1169,'RM Cost'!A:B,2,0),"")</f>
        <v>RM - LRG PROCESSING CARROT X 1000KG</v>
      </c>
      <c r="H1169" s="2" t="s">
        <v>1616</v>
      </c>
      <c r="I1169" s="1" t="str">
        <f>VLOOKUP(F1169,'RM Used'!B:D,3,0)</f>
        <v>RM-FOOD</v>
      </c>
      <c r="J1169" s="66">
        <v>1</v>
      </c>
      <c r="K1169" s="35">
        <f t="shared" si="336"/>
        <v>1</v>
      </c>
      <c r="L1169" s="35">
        <f t="shared" si="343"/>
        <v>1</v>
      </c>
      <c r="M1169" s="77" cm="1">
        <f t="array" ref="M1169">_xlfn.IFS(BOM!I1169="RM-PACKING","100%",B1169="Reynolds",VLOOKUP(H1169,'Yield &amp; Time'!A:V,22,0),BOM!B1169="Dnata",VLOOKUP(BOM!H1169,'Yield &amp; Time'!A:M,13,0),B1169="NK",VLOOKUP(H1169,'Yield &amp; Time'!A:X,24,0))</f>
        <v>0.23461550440713869</v>
      </c>
      <c r="N1169" s="35">
        <f t="shared" si="342"/>
        <v>4.262292905692437</v>
      </c>
      <c r="O1169" s="1" t="str">
        <f>VLOOKUP(H1169,'RM Used'!A:E,5,0)</f>
        <v>KG</v>
      </c>
      <c r="P1169" s="11">
        <f>VLOOKUP(H1169,'RM Used'!A:F,6,0)</f>
        <v>0.38</v>
      </c>
      <c r="Q1169" s="11">
        <f t="shared" si="352"/>
        <v>1.6196713041631261</v>
      </c>
      <c r="R1169" s="11">
        <f>IFERROR(IF(B1169="Reynolds",VLOOKUP(H1169,'Yield &amp; Time'!A:U,21,0),VLOOKUP(H1169,'Yield &amp; Time'!A:L,12,0)),0)</f>
        <v>17.008394399603507</v>
      </c>
      <c r="S1169" s="11">
        <f t="shared" si="344"/>
        <v>5.7573415042657867</v>
      </c>
      <c r="T1169" s="11">
        <f t="shared" si="345"/>
        <v>0.2834732399933918</v>
      </c>
      <c r="U1169" s="11">
        <f>IF(A1168=A1169,0,VLOOKUP(A1169,'Packing Time'!A:F,6,0))</f>
        <v>0.64166666666666661</v>
      </c>
      <c r="V1169" s="11">
        <f t="shared" si="337"/>
        <v>0.21720416666666661</v>
      </c>
      <c r="W1169" s="11">
        <f t="shared" si="338"/>
        <v>1.0694444444444444E-2</v>
      </c>
      <c r="X1169" s="11">
        <f t="shared" si="346"/>
        <v>9.5592730734919247</v>
      </c>
      <c r="Y1169" s="11">
        <f t="shared" si="339"/>
        <v>9.5592730734919247</v>
      </c>
      <c r="Z1169" s="37">
        <v>1</v>
      </c>
      <c r="AA1169" s="36">
        <f t="shared" si="347"/>
        <v>4.262292905692437</v>
      </c>
      <c r="AB1169" s="36">
        <f t="shared" si="348"/>
        <v>1.6196713041631261</v>
      </c>
      <c r="AC1169" s="11">
        <f t="shared" si="349"/>
        <v>0.47066829510053793</v>
      </c>
      <c r="AD1169" s="36">
        <f t="shared" si="340"/>
        <v>9.5592730734919247</v>
      </c>
      <c r="AE1169" s="36"/>
      <c r="AF1169" s="36">
        <f>IFERROR(VLOOKUP(AE1169,'Chemical Cost'!A:D,4,0),0)</f>
        <v>0</v>
      </c>
      <c r="AG1169" s="114">
        <f t="shared" si="350"/>
        <v>0</v>
      </c>
      <c r="AH1169" s="36">
        <f t="shared" si="334"/>
        <v>0</v>
      </c>
      <c r="AI1169" s="36">
        <f t="shared" si="341"/>
        <v>11.17894437765505</v>
      </c>
      <c r="AJ1169" s="36">
        <f>IFERROR(VLOOKUP(A1169,'All Products'!A:F,6,0),0)</f>
        <v>7.58</v>
      </c>
      <c r="AK1169" s="36">
        <f>AJ1169*Z1169*J1169</f>
        <v>7.58</v>
      </c>
      <c r="AL1169" s="29">
        <v>1</v>
      </c>
      <c r="AM1169" s="23"/>
      <c r="AN1169" s="54" t="e">
        <v>#N/A</v>
      </c>
      <c r="AO1169" s="47"/>
      <c r="AP1169" s="4">
        <v>1.6</v>
      </c>
      <c r="AQ1169" s="111">
        <f t="shared" si="351"/>
        <v>0.47066829510053793</v>
      </c>
      <c r="AR1169">
        <f>_xlfn.XLOOKUP(F1169,'RM Cost'!A:A,'RM Cost'!S:S)</f>
        <v>0</v>
      </c>
      <c r="AS1169" t="e">
        <f>_xlfn.XLOOKUP(A1169,[3]Sheet1!$B:$B,[3]Sheet1!$B:$B)</f>
        <v>#N/A</v>
      </c>
    </row>
    <row r="1170" spans="1:45" x14ac:dyDescent="0.25">
      <c r="A1170" s="16" t="s">
        <v>330</v>
      </c>
      <c r="B1170" s="2" t="s">
        <v>656</v>
      </c>
      <c r="C1170" s="2" t="s">
        <v>998</v>
      </c>
      <c r="D1170" s="2" t="s">
        <v>554</v>
      </c>
      <c r="E1170" s="2">
        <v>1</v>
      </c>
      <c r="F1170" s="1" t="str">
        <f>VLOOKUP(H1170,'RM Used'!A:B,2,0)</f>
        <v>P0008</v>
      </c>
      <c r="G1170" s="1" t="str">
        <f>IFERROR(VLOOKUP(F1170,'RM Cost'!A:B,2,0),"")</f>
        <v>PALE BLUE BAG 470X750MM</v>
      </c>
      <c r="H1170" s="1" t="s">
        <v>1323</v>
      </c>
      <c r="I1170" s="1" t="str">
        <f>VLOOKUP(F1170,'RM Used'!B:D,3,0)</f>
        <v>RM-PACKING</v>
      </c>
      <c r="J1170" s="66">
        <v>1</v>
      </c>
      <c r="K1170" s="35" t="str">
        <f t="shared" si="336"/>
        <v/>
      </c>
      <c r="L1170" s="35">
        <f t="shared" si="343"/>
        <v>0</v>
      </c>
      <c r="M1170" s="77" t="str" cm="1">
        <f t="array" ref="M1170">_xlfn.IFS(BOM!I1170="RM-PACKING","100%",B1170="Reynolds",VLOOKUP(H1170,'Yield &amp; Time'!A:V,22,0),BOM!B1170="Dnata",VLOOKUP(BOM!H1170,'Yield &amp; Time'!A:M,13,0),B1170="NK",VLOOKUP(H1170,'Yield &amp; Time'!A:X,24,0))</f>
        <v>100%</v>
      </c>
      <c r="N1170" s="35">
        <f t="shared" si="342"/>
        <v>1</v>
      </c>
      <c r="O1170" s="1" t="str">
        <f>VLOOKUP(H1170,'RM Used'!A:E,5,0)</f>
        <v>Count</v>
      </c>
      <c r="P1170" s="11">
        <f>VLOOKUP(H1170,'RM Used'!A:F,6,0)</f>
        <v>0.14000000000000001</v>
      </c>
      <c r="Q1170" s="11">
        <f t="shared" si="352"/>
        <v>0.14000000000000001</v>
      </c>
      <c r="R1170" s="11">
        <f>IFERROR(IF(B1170="Reynolds",VLOOKUP(H1170,'Yield &amp; Time'!A:U,21,0),VLOOKUP(H1170,'Yield &amp; Time'!A:L,12,0)),0)</f>
        <v>0</v>
      </c>
      <c r="S1170" s="11">
        <f t="shared" si="344"/>
        <v>0</v>
      </c>
      <c r="T1170" s="11">
        <f t="shared" si="345"/>
        <v>0</v>
      </c>
      <c r="U1170" s="11">
        <f>IF(A1169=A1170,0,VLOOKUP(A1170,'Packing Time'!A:F,6,0))</f>
        <v>0</v>
      </c>
      <c r="V1170" s="11">
        <f t="shared" si="337"/>
        <v>0</v>
      </c>
      <c r="W1170" s="11">
        <f t="shared" si="338"/>
        <v>0</v>
      </c>
      <c r="X1170" s="11">
        <f t="shared" si="346"/>
        <v>0</v>
      </c>
      <c r="Y1170" s="11">
        <f t="shared" si="339"/>
        <v>0</v>
      </c>
      <c r="Z1170" s="37">
        <v>1</v>
      </c>
      <c r="AA1170" s="36">
        <f t="shared" si="347"/>
        <v>1</v>
      </c>
      <c r="AB1170" s="36">
        <f t="shared" si="348"/>
        <v>0.14000000000000001</v>
      </c>
      <c r="AC1170" s="11">
        <f t="shared" si="349"/>
        <v>0</v>
      </c>
      <c r="AD1170" s="36">
        <f t="shared" si="340"/>
        <v>0</v>
      </c>
      <c r="AE1170" s="36"/>
      <c r="AF1170" s="36">
        <f>IFERROR(VLOOKUP(AE1170,'Chemical Cost'!A:D,4,0),0)</f>
        <v>0</v>
      </c>
      <c r="AG1170" s="114">
        <f t="shared" si="350"/>
        <v>0</v>
      </c>
      <c r="AH1170" s="36">
        <f t="shared" si="334"/>
        <v>0</v>
      </c>
      <c r="AI1170" s="36">
        <f t="shared" si="341"/>
        <v>0.14000000000000001</v>
      </c>
      <c r="AJ1170" s="36">
        <f>IFERROR(VLOOKUP(A1170,'All Products'!A:F,6,0),0)</f>
        <v>7.58</v>
      </c>
      <c r="AK1170" s="36"/>
      <c r="AL1170" s="29">
        <v>1</v>
      </c>
      <c r="AM1170" s="23"/>
      <c r="AN1170" s="54" t="e">
        <v>#N/A</v>
      </c>
      <c r="AO1170" s="47"/>
      <c r="AP1170" s="4">
        <v>1.6</v>
      </c>
      <c r="AQ1170" s="111">
        <f t="shared" si="351"/>
        <v>0</v>
      </c>
      <c r="AR1170">
        <f>_xlfn.XLOOKUP(F1170,'RM Cost'!A:A,'RM Cost'!S:S)</f>
        <v>0</v>
      </c>
      <c r="AS1170" t="e">
        <f>_xlfn.XLOOKUP(A1170,[3]Sheet1!$B:$B,[3]Sheet1!$B:$B)</f>
        <v>#N/A</v>
      </c>
    </row>
    <row r="1171" spans="1:45" x14ac:dyDescent="0.25">
      <c r="A1171" s="16" t="s">
        <v>999</v>
      </c>
      <c r="B1171" s="2" t="s">
        <v>656</v>
      </c>
      <c r="C1171" s="2" t="s">
        <v>1000</v>
      </c>
      <c r="D1171" s="2" t="s">
        <v>554</v>
      </c>
      <c r="E1171" s="2">
        <v>1</v>
      </c>
      <c r="F1171" s="1" t="str">
        <f>VLOOKUP(H1171,'RM Used'!A:B,2,0)</f>
        <v>1318CS</v>
      </c>
      <c r="G1171" s="1" t="str">
        <f>IFERROR(VLOOKUP(F1171,'RM Cost'!A:B,2,0),"")</f>
        <v>RM - PREP ONION RED WHOLE 2.5KG</v>
      </c>
      <c r="H1171" s="2" t="s">
        <v>1423</v>
      </c>
      <c r="I1171" s="1" t="str">
        <f>VLOOKUP(F1171,'RM Used'!B:D,3,0)</f>
        <v>RM-FOOD</v>
      </c>
      <c r="J1171" s="66">
        <v>1</v>
      </c>
      <c r="K1171" s="35">
        <f t="shared" si="336"/>
        <v>1</v>
      </c>
      <c r="L1171" s="35">
        <f t="shared" si="343"/>
        <v>1</v>
      </c>
      <c r="M1171" s="77" cm="1">
        <f t="array" ref="M1171">_xlfn.IFS(BOM!I1171="RM-PACKING","100%",B1171="Reynolds",VLOOKUP(H1171,'Yield &amp; Time'!A:V,22,0),BOM!B1171="Dnata",VLOOKUP(BOM!H1171,'Yield &amp; Time'!A:M,13,0),B1171="NK",VLOOKUP(H1171,'Yield &amp; Time'!A:X,24,0))</f>
        <v>0.74712643678160917</v>
      </c>
      <c r="N1171" s="35">
        <f t="shared" si="342"/>
        <v>1.3384615384615386</v>
      </c>
      <c r="O1171" s="1" t="str">
        <f>VLOOKUP(H1171,'RM Used'!A:E,5,0)</f>
        <v>KG</v>
      </c>
      <c r="P1171" s="11">
        <f>VLOOKUP(H1171,'RM Used'!A:F,6,0)</f>
        <v>1.08</v>
      </c>
      <c r="Q1171" s="11">
        <f t="shared" si="352"/>
        <v>1.4455384615384619</v>
      </c>
      <c r="R1171" s="11">
        <f>IFERROR(IF(B1171="Reynolds",VLOOKUP(H1171,'Yield &amp; Time'!A:U,21,0),VLOOKUP(H1171,'Yield &amp; Time'!A:L,12,0)),0)</f>
        <v>4.615384615384615</v>
      </c>
      <c r="S1171" s="11">
        <f t="shared" si="344"/>
        <v>1.562307692307692</v>
      </c>
      <c r="T1171" s="11">
        <f t="shared" si="345"/>
        <v>7.6923076923076913E-2</v>
      </c>
      <c r="U1171" s="11">
        <f>IF(A1170=A1171,0,VLOOKUP(A1171,'Packing Time'!A:F,6,0))</f>
        <v>0.64166666666666661</v>
      </c>
      <c r="V1171" s="11">
        <f t="shared" si="337"/>
        <v>0.21720416666666661</v>
      </c>
      <c r="W1171" s="11">
        <f t="shared" si="338"/>
        <v>1.0694444444444444E-2</v>
      </c>
      <c r="X1171" s="11">
        <f t="shared" si="346"/>
        <v>2.8472189743589738</v>
      </c>
      <c r="Y1171" s="11">
        <f t="shared" si="339"/>
        <v>2.8472189743589738</v>
      </c>
      <c r="Z1171" s="37">
        <v>1</v>
      </c>
      <c r="AA1171" s="36">
        <f t="shared" si="347"/>
        <v>1.3384615384615386</v>
      </c>
      <c r="AB1171" s="36">
        <f t="shared" si="348"/>
        <v>1.4455384615384619</v>
      </c>
      <c r="AC1171" s="11">
        <f t="shared" si="349"/>
        <v>0.14018803418803419</v>
      </c>
      <c r="AD1171" s="36">
        <f t="shared" si="340"/>
        <v>2.8472189743589738</v>
      </c>
      <c r="AE1171" s="36"/>
      <c r="AF1171" s="36">
        <f>IFERROR(VLOOKUP(AE1171,'Chemical Cost'!A:D,4,0),0)</f>
        <v>0</v>
      </c>
      <c r="AG1171" s="114">
        <f t="shared" si="350"/>
        <v>0</v>
      </c>
      <c r="AH1171" s="36">
        <f t="shared" si="334"/>
        <v>0</v>
      </c>
      <c r="AI1171" s="36">
        <f t="shared" si="341"/>
        <v>4.2927574358974354</v>
      </c>
      <c r="AJ1171" s="36">
        <f>IFERROR(VLOOKUP(A1171,'All Products'!A:F,6,0),0)</f>
        <v>12.53</v>
      </c>
      <c r="AK1171" s="36">
        <f>AJ1171*Z1171*J1171</f>
        <v>12.53</v>
      </c>
      <c r="AL1171" s="23">
        <v>1</v>
      </c>
      <c r="AM1171" s="23"/>
      <c r="AN1171" s="54" t="e">
        <v>#N/A</v>
      </c>
      <c r="AO1171" s="47"/>
      <c r="AP1171" s="4">
        <v>1.6</v>
      </c>
      <c r="AQ1171" s="111">
        <f t="shared" si="351"/>
        <v>0.14018803418803419</v>
      </c>
      <c r="AR1171">
        <f>_xlfn.XLOOKUP(F1171,'RM Cost'!A:A,'RM Cost'!S:S)</f>
        <v>0</v>
      </c>
      <c r="AS1171" t="e">
        <f>_xlfn.XLOOKUP(A1171,[3]Sheet1!$B:$B,[3]Sheet1!$B:$B)</f>
        <v>#N/A</v>
      </c>
    </row>
    <row r="1172" spans="1:45" x14ac:dyDescent="0.25">
      <c r="A1172" s="16" t="s">
        <v>999</v>
      </c>
      <c r="B1172" s="2" t="s">
        <v>656</v>
      </c>
      <c r="C1172" s="2" t="s">
        <v>1000</v>
      </c>
      <c r="D1172" s="2" t="s">
        <v>554</v>
      </c>
      <c r="E1172" s="2">
        <v>1</v>
      </c>
      <c r="F1172" s="1" t="str">
        <f>VLOOKUP(H1172,'RM Used'!A:B,2,0)</f>
        <v>P0008</v>
      </c>
      <c r="G1172" s="1" t="str">
        <f>IFERROR(VLOOKUP(F1172,'RM Cost'!A:B,2,0),"")</f>
        <v>PALE BLUE BAG 470X750MM</v>
      </c>
      <c r="H1172" s="1" t="s">
        <v>1323</v>
      </c>
      <c r="I1172" s="1" t="str">
        <f>VLOOKUP(F1172,'RM Used'!B:D,3,0)</f>
        <v>RM-PACKING</v>
      </c>
      <c r="J1172" s="66">
        <v>1</v>
      </c>
      <c r="K1172" s="35" t="str">
        <f t="shared" si="336"/>
        <v/>
      </c>
      <c r="L1172" s="35">
        <f t="shared" si="343"/>
        <v>0</v>
      </c>
      <c r="M1172" s="77" t="str" cm="1">
        <f t="array" ref="M1172">_xlfn.IFS(BOM!I1172="RM-PACKING","100%",B1172="Reynolds",VLOOKUP(H1172,'Yield &amp; Time'!A:V,22,0),BOM!B1172="Dnata",VLOOKUP(BOM!H1172,'Yield &amp; Time'!A:M,13,0),B1172="NK",VLOOKUP(H1172,'Yield &amp; Time'!A:X,24,0))</f>
        <v>100%</v>
      </c>
      <c r="N1172" s="35">
        <f t="shared" si="342"/>
        <v>1</v>
      </c>
      <c r="O1172" s="1" t="str">
        <f>VLOOKUP(H1172,'RM Used'!A:E,5,0)</f>
        <v>Count</v>
      </c>
      <c r="P1172" s="11">
        <f>VLOOKUP(H1172,'RM Used'!A:F,6,0)</f>
        <v>0.14000000000000001</v>
      </c>
      <c r="Q1172" s="11">
        <f t="shared" si="352"/>
        <v>0.14000000000000001</v>
      </c>
      <c r="R1172" s="11">
        <f>IFERROR(IF(B1172="Reynolds",VLOOKUP(H1172,'Yield &amp; Time'!A:U,21,0),VLOOKUP(H1172,'Yield &amp; Time'!A:L,12,0)),0)</f>
        <v>0</v>
      </c>
      <c r="S1172" s="11">
        <f t="shared" si="344"/>
        <v>0</v>
      </c>
      <c r="T1172" s="11">
        <f t="shared" si="345"/>
        <v>0</v>
      </c>
      <c r="U1172" s="11">
        <f>IF(A1171=A1172,0,VLOOKUP(A1172,'Packing Time'!A:F,6,0))</f>
        <v>0</v>
      </c>
      <c r="V1172" s="11">
        <f t="shared" si="337"/>
        <v>0</v>
      </c>
      <c r="W1172" s="11">
        <f t="shared" si="338"/>
        <v>0</v>
      </c>
      <c r="X1172" s="11">
        <f t="shared" si="346"/>
        <v>0</v>
      </c>
      <c r="Y1172" s="11">
        <f t="shared" si="339"/>
        <v>0</v>
      </c>
      <c r="Z1172" s="37">
        <v>1</v>
      </c>
      <c r="AA1172" s="36">
        <f t="shared" si="347"/>
        <v>1</v>
      </c>
      <c r="AB1172" s="36">
        <f t="shared" si="348"/>
        <v>0.14000000000000001</v>
      </c>
      <c r="AC1172" s="11">
        <f t="shared" si="349"/>
        <v>0</v>
      </c>
      <c r="AD1172" s="36">
        <f t="shared" si="340"/>
        <v>0</v>
      </c>
      <c r="AE1172" s="36"/>
      <c r="AF1172" s="36">
        <f>IFERROR(VLOOKUP(AE1172,'Chemical Cost'!A:D,4,0),0)</f>
        <v>0</v>
      </c>
      <c r="AG1172" s="114">
        <f t="shared" si="350"/>
        <v>0</v>
      </c>
      <c r="AH1172" s="36">
        <f t="shared" si="334"/>
        <v>0</v>
      </c>
      <c r="AI1172" s="36">
        <f t="shared" si="341"/>
        <v>0.14000000000000001</v>
      </c>
      <c r="AJ1172" s="36">
        <f>IFERROR(VLOOKUP(A1172,'All Products'!A:F,6,0),0)</f>
        <v>12.53</v>
      </c>
      <c r="AK1172" s="36"/>
      <c r="AL1172" s="23">
        <v>1</v>
      </c>
      <c r="AM1172" s="23"/>
      <c r="AN1172" s="54" t="e">
        <v>#N/A</v>
      </c>
      <c r="AO1172" s="47"/>
      <c r="AP1172" s="4">
        <v>1.6</v>
      </c>
      <c r="AQ1172" s="111">
        <f t="shared" si="351"/>
        <v>0</v>
      </c>
      <c r="AR1172">
        <f>_xlfn.XLOOKUP(F1172,'RM Cost'!A:A,'RM Cost'!S:S)</f>
        <v>0</v>
      </c>
      <c r="AS1172" t="e">
        <f>_xlfn.XLOOKUP(A1172,[3]Sheet1!$B:$B,[3]Sheet1!$B:$B)</f>
        <v>#N/A</v>
      </c>
    </row>
    <row r="1173" spans="1:45" x14ac:dyDescent="0.25">
      <c r="A1173" s="16" t="s">
        <v>66</v>
      </c>
      <c r="B1173" s="2" t="s">
        <v>656</v>
      </c>
      <c r="C1173" s="2" t="s">
        <v>67</v>
      </c>
      <c r="D1173" s="2" t="s">
        <v>554</v>
      </c>
      <c r="E1173" s="2">
        <v>2.5</v>
      </c>
      <c r="F1173" s="1" t="str">
        <f>VLOOKUP(H1173,'RM Used'!A:B,2,0)</f>
        <v>1318CS</v>
      </c>
      <c r="G1173" s="1" t="str">
        <f>IFERROR(VLOOKUP(F1173,'RM Cost'!A:B,2,0),"")</f>
        <v>RM - PREP ONION RED WHOLE 2.5KG</v>
      </c>
      <c r="H1173" s="2" t="s">
        <v>1423</v>
      </c>
      <c r="I1173" s="1" t="str">
        <f>VLOOKUP(F1173,'RM Used'!B:D,3,0)</f>
        <v>RM-FOOD</v>
      </c>
      <c r="J1173" s="66">
        <v>1</v>
      </c>
      <c r="K1173" s="35">
        <f t="shared" si="336"/>
        <v>2.5</v>
      </c>
      <c r="L1173" s="35">
        <f t="shared" si="343"/>
        <v>2.5</v>
      </c>
      <c r="M1173" s="77" cm="1">
        <f t="array" ref="M1173">_xlfn.IFS(BOM!I1173="RM-PACKING","100%",B1173="Reynolds",VLOOKUP(H1173,'Yield &amp; Time'!A:V,22,0),BOM!B1173="Dnata",VLOOKUP(BOM!H1173,'Yield &amp; Time'!A:M,13,0),B1173="NK",VLOOKUP(H1173,'Yield &amp; Time'!A:X,24,0))</f>
        <v>0.74712643678160917</v>
      </c>
      <c r="N1173" s="35">
        <f t="shared" si="342"/>
        <v>3.3461538461538463</v>
      </c>
      <c r="O1173" s="1" t="str">
        <f>VLOOKUP(H1173,'RM Used'!A:E,5,0)</f>
        <v>KG</v>
      </c>
      <c r="P1173" s="11">
        <f>VLOOKUP(H1173,'RM Used'!A:F,6,0)</f>
        <v>1.08</v>
      </c>
      <c r="Q1173" s="11">
        <f t="shared" si="352"/>
        <v>3.6138461538461542</v>
      </c>
      <c r="R1173" s="11">
        <f>IFERROR(IF(B1173="Reynolds",VLOOKUP(H1173,'Yield &amp; Time'!A:U,21,0),VLOOKUP(H1173,'Yield &amp; Time'!A:L,12,0)),0)</f>
        <v>4.615384615384615</v>
      </c>
      <c r="S1173" s="11">
        <f t="shared" si="344"/>
        <v>3.9057692307692298</v>
      </c>
      <c r="T1173" s="11">
        <f t="shared" si="345"/>
        <v>0.19230769230769226</v>
      </c>
      <c r="U1173" s="11">
        <f>IF(A1172=A1173,0,VLOOKUP(A1173,'Packing Time'!A:F,6,0))</f>
        <v>0.875</v>
      </c>
      <c r="V1173" s="11">
        <f t="shared" si="337"/>
        <v>0.29618749999999999</v>
      </c>
      <c r="W1173" s="11">
        <f t="shared" si="338"/>
        <v>1.4583333333333334E-2</v>
      </c>
      <c r="X1173" s="11">
        <f t="shared" si="346"/>
        <v>5.8827394230769219</v>
      </c>
      <c r="Y1173" s="11">
        <f t="shared" si="339"/>
        <v>5.8827394230769219</v>
      </c>
      <c r="Z1173" s="37">
        <v>1</v>
      </c>
      <c r="AA1173" s="36">
        <f t="shared" si="347"/>
        <v>3.3461538461538463</v>
      </c>
      <c r="AB1173" s="36">
        <f t="shared" si="348"/>
        <v>3.6138461538461542</v>
      </c>
      <c r="AC1173" s="11">
        <f t="shared" si="349"/>
        <v>0.2896474358974358</v>
      </c>
      <c r="AD1173" s="36">
        <f t="shared" si="340"/>
        <v>5.8827394230769201</v>
      </c>
      <c r="AE1173" s="36"/>
      <c r="AF1173" s="36">
        <f>IFERROR(VLOOKUP(AE1173,'Chemical Cost'!A:D,4,0),0)</f>
        <v>0</v>
      </c>
      <c r="AG1173" s="114">
        <f t="shared" si="350"/>
        <v>0</v>
      </c>
      <c r="AH1173" s="36">
        <f t="shared" si="334"/>
        <v>0</v>
      </c>
      <c r="AI1173" s="36">
        <f t="shared" si="341"/>
        <v>9.496585576923076</v>
      </c>
      <c r="AJ1173" s="36">
        <f>IFERROR(VLOOKUP(A1173,'All Products'!A:F,6,0),0)</f>
        <v>7.89</v>
      </c>
      <c r="AK1173" s="36">
        <f>AJ1173*Z1173*J1173</f>
        <v>7.89</v>
      </c>
      <c r="AL1173" s="23">
        <v>1</v>
      </c>
      <c r="AM1173" s="23"/>
      <c r="AN1173" s="54" t="e">
        <v>#N/A</v>
      </c>
      <c r="AO1173" s="47"/>
      <c r="AP1173" s="4">
        <v>1.4</v>
      </c>
      <c r="AQ1173" s="111">
        <f t="shared" si="351"/>
        <v>0.2896474358974358</v>
      </c>
      <c r="AR1173">
        <f>_xlfn.XLOOKUP(F1173,'RM Cost'!A:A,'RM Cost'!S:S)</f>
        <v>0</v>
      </c>
      <c r="AS1173" t="e">
        <f>_xlfn.XLOOKUP(A1173,[3]Sheet1!$B:$B,[3]Sheet1!$B:$B)</f>
        <v>#N/A</v>
      </c>
    </row>
    <row r="1174" spans="1:45" x14ac:dyDescent="0.25">
      <c r="A1174" s="16" t="s">
        <v>66</v>
      </c>
      <c r="B1174" s="2" t="s">
        <v>656</v>
      </c>
      <c r="C1174" s="2" t="s">
        <v>67</v>
      </c>
      <c r="D1174" s="2" t="s">
        <v>554</v>
      </c>
      <c r="E1174" s="2">
        <v>2.5</v>
      </c>
      <c r="F1174" s="1" t="str">
        <f>VLOOKUP(H1174,'RM Used'!A:B,2,0)</f>
        <v>P0008</v>
      </c>
      <c r="G1174" s="1" t="str">
        <f>IFERROR(VLOOKUP(F1174,'RM Cost'!A:B,2,0),"")</f>
        <v>PALE BLUE BAG 470X750MM</v>
      </c>
      <c r="H1174" s="1" t="s">
        <v>1323</v>
      </c>
      <c r="I1174" s="1" t="str">
        <f>VLOOKUP(F1174,'RM Used'!B:D,3,0)</f>
        <v>RM-PACKING</v>
      </c>
      <c r="J1174" s="66">
        <v>1</v>
      </c>
      <c r="K1174" s="35" t="str">
        <f t="shared" si="336"/>
        <v/>
      </c>
      <c r="L1174" s="35">
        <f t="shared" si="343"/>
        <v>0</v>
      </c>
      <c r="M1174" s="77" t="str" cm="1">
        <f t="array" ref="M1174">_xlfn.IFS(BOM!I1174="RM-PACKING","100%",B1174="Reynolds",VLOOKUP(H1174,'Yield &amp; Time'!A:V,22,0),BOM!B1174="Dnata",VLOOKUP(BOM!H1174,'Yield &amp; Time'!A:M,13,0),B1174="NK",VLOOKUP(H1174,'Yield &amp; Time'!A:X,24,0))</f>
        <v>100%</v>
      </c>
      <c r="N1174" s="35">
        <f t="shared" si="342"/>
        <v>1</v>
      </c>
      <c r="O1174" s="1" t="str">
        <f>VLOOKUP(H1174,'RM Used'!A:E,5,0)</f>
        <v>Count</v>
      </c>
      <c r="P1174" s="11">
        <f>VLOOKUP(H1174,'RM Used'!A:F,6,0)</f>
        <v>0.14000000000000001</v>
      </c>
      <c r="Q1174" s="11">
        <f t="shared" si="352"/>
        <v>0.14000000000000001</v>
      </c>
      <c r="R1174" s="11">
        <f>IFERROR(IF(B1174="Reynolds",VLOOKUP(H1174,'Yield &amp; Time'!A:U,21,0),VLOOKUP(H1174,'Yield &amp; Time'!A:L,12,0)),0)</f>
        <v>0</v>
      </c>
      <c r="S1174" s="11">
        <f t="shared" si="344"/>
        <v>0</v>
      </c>
      <c r="T1174" s="11">
        <f t="shared" si="345"/>
        <v>0</v>
      </c>
      <c r="U1174" s="11">
        <f>IF(A1173=A1174,0,VLOOKUP(A1174,'Packing Time'!A:F,6,0))</f>
        <v>0</v>
      </c>
      <c r="V1174" s="11">
        <f t="shared" si="337"/>
        <v>0</v>
      </c>
      <c r="W1174" s="11">
        <f t="shared" si="338"/>
        <v>0</v>
      </c>
      <c r="X1174" s="11">
        <f t="shared" si="346"/>
        <v>0</v>
      </c>
      <c r="Y1174" s="11">
        <f t="shared" si="339"/>
        <v>0</v>
      </c>
      <c r="Z1174" s="37">
        <v>1</v>
      </c>
      <c r="AA1174" s="36">
        <f t="shared" si="347"/>
        <v>1</v>
      </c>
      <c r="AB1174" s="36">
        <f t="shared" si="348"/>
        <v>0.14000000000000001</v>
      </c>
      <c r="AC1174" s="11">
        <f t="shared" si="349"/>
        <v>0</v>
      </c>
      <c r="AD1174" s="36">
        <f t="shared" si="340"/>
        <v>0</v>
      </c>
      <c r="AE1174" s="36"/>
      <c r="AF1174" s="36">
        <f>IFERROR(VLOOKUP(AE1174,'Chemical Cost'!A:D,4,0),0)</f>
        <v>0</v>
      </c>
      <c r="AG1174" s="114">
        <f t="shared" si="350"/>
        <v>0</v>
      </c>
      <c r="AH1174" s="36">
        <f t="shared" si="334"/>
        <v>0</v>
      </c>
      <c r="AI1174" s="36">
        <f t="shared" si="341"/>
        <v>0.14000000000000001</v>
      </c>
      <c r="AJ1174" s="36">
        <f>IFERROR(VLOOKUP(A1174,'All Products'!A:F,6,0),0)</f>
        <v>7.89</v>
      </c>
      <c r="AK1174" s="36"/>
      <c r="AL1174" s="23">
        <v>1</v>
      </c>
      <c r="AM1174" s="23"/>
      <c r="AN1174" s="54" t="e">
        <v>#N/A</v>
      </c>
      <c r="AO1174" s="47"/>
      <c r="AP1174" s="4">
        <v>1.4</v>
      </c>
      <c r="AQ1174" s="111">
        <f t="shared" si="351"/>
        <v>0</v>
      </c>
      <c r="AR1174">
        <f>_xlfn.XLOOKUP(F1174,'RM Cost'!A:A,'RM Cost'!S:S)</f>
        <v>0</v>
      </c>
      <c r="AS1174" t="e">
        <f>_xlfn.XLOOKUP(A1174,[3]Sheet1!$B:$B,[3]Sheet1!$B:$B)</f>
        <v>#N/A</v>
      </c>
    </row>
    <row r="1175" spans="1:45" x14ac:dyDescent="0.25">
      <c r="A1175" s="16" t="s">
        <v>1001</v>
      </c>
      <c r="B1175" s="2" t="s">
        <v>656</v>
      </c>
      <c r="C1175" s="2" t="s">
        <v>1002</v>
      </c>
      <c r="D1175" s="2" t="s">
        <v>554</v>
      </c>
      <c r="E1175" s="2">
        <v>1</v>
      </c>
      <c r="F1175" s="1" t="str">
        <f>VLOOKUP(H1175,'RM Used'!A:B,2,0)</f>
        <v>0141CS</v>
      </c>
      <c r="G1175" s="1" t="str">
        <f>IFERROR(VLOOKUP(F1175,'RM Cost'!A:B,2,0),"")</f>
        <v>FLAT PARSLEY X 1K</v>
      </c>
      <c r="H1175" s="2" t="s">
        <v>1617</v>
      </c>
      <c r="I1175" s="1" t="str">
        <f>VLOOKUP(F1175,'RM Used'!B:D,3,0)</f>
        <v>RM-FOOD</v>
      </c>
      <c r="J1175" s="66">
        <v>1</v>
      </c>
      <c r="K1175" s="35">
        <f t="shared" si="336"/>
        <v>1</v>
      </c>
      <c r="L1175" s="35">
        <f t="shared" si="343"/>
        <v>1</v>
      </c>
      <c r="M1175" s="77" cm="1">
        <f t="array" ref="M1175">_xlfn.IFS(BOM!I1175="RM-PACKING","100%",B1175="Reynolds",VLOOKUP(H1175,'Yield &amp; Time'!A:V,22,0),BOM!B1175="Dnata",VLOOKUP(BOM!H1175,'Yield &amp; Time'!A:M,13,0),B1175="NK",VLOOKUP(H1175,'Yield &amp; Time'!A:X,24,0))</f>
        <v>0.74999999999999989</v>
      </c>
      <c r="N1175" s="35">
        <f t="shared" si="342"/>
        <v>1.3333333333333335</v>
      </c>
      <c r="O1175" s="1" t="str">
        <f>VLOOKUP(H1175,'RM Used'!A:E,5,0)</f>
        <v>KG</v>
      </c>
      <c r="P1175" s="11">
        <f>VLOOKUP(H1175,'RM Used'!A:F,6,0)</f>
        <v>3.7</v>
      </c>
      <c r="Q1175" s="11">
        <f t="shared" si="352"/>
        <v>4.9333333333333345</v>
      </c>
      <c r="R1175" s="11">
        <f>IFERROR(IF(B1175="Reynolds",VLOOKUP(H1175,'Yield &amp; Time'!A:U,21,0),VLOOKUP(H1175,'Yield &amp; Time'!A:L,12,0)),0)</f>
        <v>48.333333333333336</v>
      </c>
      <c r="S1175" s="11">
        <f t="shared" si="344"/>
        <v>16.360833333333332</v>
      </c>
      <c r="T1175" s="11">
        <f t="shared" si="345"/>
        <v>0.80555555555555558</v>
      </c>
      <c r="U1175" s="11">
        <f>IF(A1174=A1175,0,VLOOKUP(A1175,'Packing Time'!A:F,6,0))</f>
        <v>0.64166666666666661</v>
      </c>
      <c r="V1175" s="11">
        <f t="shared" si="337"/>
        <v>0.21720416666666661</v>
      </c>
      <c r="W1175" s="11">
        <f t="shared" si="338"/>
        <v>1.0694444444444444E-2</v>
      </c>
      <c r="X1175" s="11">
        <f t="shared" si="346"/>
        <v>26.524860000000004</v>
      </c>
      <c r="Y1175" s="11">
        <f t="shared" si="339"/>
        <v>26.524860000000004</v>
      </c>
      <c r="Z1175" s="37">
        <v>1</v>
      </c>
      <c r="AA1175" s="36">
        <f t="shared" si="347"/>
        <v>1.3333333333333335</v>
      </c>
      <c r="AB1175" s="36">
        <f t="shared" si="348"/>
        <v>4.9333333333333345</v>
      </c>
      <c r="AC1175" s="11">
        <f t="shared" si="349"/>
        <v>1.306</v>
      </c>
      <c r="AD1175" s="36">
        <f t="shared" si="340"/>
        <v>26.524859999999997</v>
      </c>
      <c r="AE1175" s="36"/>
      <c r="AF1175" s="36">
        <f>IFERROR(VLOOKUP(AE1175,'Chemical Cost'!A:D,4,0),0)</f>
        <v>0</v>
      </c>
      <c r="AG1175" s="114">
        <f t="shared" si="350"/>
        <v>0</v>
      </c>
      <c r="AH1175" s="36">
        <f t="shared" ref="AH1175:AH1238" si="353">AF1175*AA1175/3</f>
        <v>0</v>
      </c>
      <c r="AI1175" s="36">
        <f t="shared" si="341"/>
        <v>31.458193333333337</v>
      </c>
      <c r="AJ1175" s="36">
        <f>IFERROR(VLOOKUP(A1175,'All Products'!A:F,6,0),0)</f>
        <v>23.2</v>
      </c>
      <c r="AK1175" s="36">
        <f>AJ1175*Z1175*J1175</f>
        <v>23.2</v>
      </c>
      <c r="AL1175" s="29">
        <v>1</v>
      </c>
      <c r="AM1175" s="23"/>
      <c r="AN1175" s="54" t="e">
        <v>#N/A</v>
      </c>
      <c r="AO1175" s="47"/>
      <c r="AP1175" s="4">
        <v>1.6</v>
      </c>
      <c r="AQ1175" s="111">
        <f t="shared" si="351"/>
        <v>1.306</v>
      </c>
      <c r="AR1175">
        <f>_xlfn.XLOOKUP(F1175,'RM Cost'!A:A,'RM Cost'!S:S)</f>
        <v>0</v>
      </c>
      <c r="AS1175" t="e">
        <f>_xlfn.XLOOKUP(A1175,[3]Sheet1!$B:$B,[3]Sheet1!$B:$B)</f>
        <v>#N/A</v>
      </c>
    </row>
    <row r="1176" spans="1:45" x14ac:dyDescent="0.25">
      <c r="A1176" s="16" t="s">
        <v>1001</v>
      </c>
      <c r="B1176" s="2" t="s">
        <v>656</v>
      </c>
      <c r="C1176" s="2" t="s">
        <v>1002</v>
      </c>
      <c r="D1176" s="2" t="s">
        <v>554</v>
      </c>
      <c r="E1176" s="2">
        <v>1</v>
      </c>
      <c r="F1176" s="1" t="str">
        <f>VLOOKUP(H1176,'RM Used'!A:B,2,0)</f>
        <v>P0008</v>
      </c>
      <c r="G1176" s="1" t="str">
        <f>IFERROR(VLOOKUP(F1176,'RM Cost'!A:B,2,0),"")</f>
        <v>PALE BLUE BAG 470X750MM</v>
      </c>
      <c r="H1176" s="1" t="s">
        <v>1323</v>
      </c>
      <c r="I1176" s="1" t="str">
        <f>VLOOKUP(F1176,'RM Used'!B:D,3,0)</f>
        <v>RM-PACKING</v>
      </c>
      <c r="J1176" s="66">
        <v>1</v>
      </c>
      <c r="K1176" s="35" t="str">
        <f t="shared" si="336"/>
        <v/>
      </c>
      <c r="L1176" s="35">
        <f t="shared" si="343"/>
        <v>0</v>
      </c>
      <c r="M1176" s="77" t="str" cm="1">
        <f t="array" ref="M1176">_xlfn.IFS(BOM!I1176="RM-PACKING","100%",B1176="Reynolds",VLOOKUP(H1176,'Yield &amp; Time'!A:V,22,0),BOM!B1176="Dnata",VLOOKUP(BOM!H1176,'Yield &amp; Time'!A:M,13,0),B1176="NK",VLOOKUP(H1176,'Yield &amp; Time'!A:X,24,0))</f>
        <v>100%</v>
      </c>
      <c r="N1176" s="35">
        <f t="shared" si="342"/>
        <v>1</v>
      </c>
      <c r="O1176" s="1" t="str">
        <f>VLOOKUP(H1176,'RM Used'!A:E,5,0)</f>
        <v>Count</v>
      </c>
      <c r="P1176" s="11">
        <f>VLOOKUP(H1176,'RM Used'!A:F,6,0)</f>
        <v>0.14000000000000001</v>
      </c>
      <c r="Q1176" s="11">
        <f t="shared" si="352"/>
        <v>0.14000000000000001</v>
      </c>
      <c r="R1176" s="11">
        <f>IFERROR(IF(B1176="Reynolds",VLOOKUP(H1176,'Yield &amp; Time'!A:U,21,0),VLOOKUP(H1176,'Yield &amp; Time'!A:L,12,0)),0)</f>
        <v>0</v>
      </c>
      <c r="S1176" s="11">
        <f t="shared" si="344"/>
        <v>0</v>
      </c>
      <c r="T1176" s="11">
        <f t="shared" si="345"/>
        <v>0</v>
      </c>
      <c r="U1176" s="11">
        <f>IF(A1175=A1176,0,VLOOKUP(A1176,'Packing Time'!A:F,6,0))</f>
        <v>0</v>
      </c>
      <c r="V1176" s="11">
        <f t="shared" si="337"/>
        <v>0</v>
      </c>
      <c r="W1176" s="11">
        <f t="shared" si="338"/>
        <v>0</v>
      </c>
      <c r="X1176" s="11">
        <f t="shared" si="346"/>
        <v>0</v>
      </c>
      <c r="Y1176" s="11">
        <f t="shared" si="339"/>
        <v>0</v>
      </c>
      <c r="Z1176" s="37">
        <v>1</v>
      </c>
      <c r="AA1176" s="36">
        <f t="shared" si="347"/>
        <v>1</v>
      </c>
      <c r="AB1176" s="36">
        <f t="shared" si="348"/>
        <v>0.14000000000000001</v>
      </c>
      <c r="AC1176" s="11">
        <f t="shared" si="349"/>
        <v>0</v>
      </c>
      <c r="AD1176" s="36">
        <f t="shared" si="340"/>
        <v>0</v>
      </c>
      <c r="AE1176" s="36"/>
      <c r="AF1176" s="36">
        <f>IFERROR(VLOOKUP(AE1176,'Chemical Cost'!A:D,4,0),0)</f>
        <v>0</v>
      </c>
      <c r="AG1176" s="114">
        <f t="shared" si="350"/>
        <v>0</v>
      </c>
      <c r="AH1176" s="36">
        <f t="shared" si="353"/>
        <v>0</v>
      </c>
      <c r="AI1176" s="36">
        <f t="shared" si="341"/>
        <v>0.14000000000000001</v>
      </c>
      <c r="AJ1176" s="36">
        <f>IFERROR(VLOOKUP(A1176,'All Products'!A:F,6,0),0)</f>
        <v>23.2</v>
      </c>
      <c r="AK1176" s="36"/>
      <c r="AL1176" s="29">
        <v>1</v>
      </c>
      <c r="AM1176" s="23"/>
      <c r="AN1176" s="54" t="e">
        <v>#N/A</v>
      </c>
      <c r="AO1176" s="47"/>
      <c r="AP1176" s="4">
        <v>1.6</v>
      </c>
      <c r="AQ1176" s="111">
        <f t="shared" si="351"/>
        <v>0</v>
      </c>
      <c r="AR1176">
        <f>_xlfn.XLOOKUP(F1176,'RM Cost'!A:A,'RM Cost'!S:S)</f>
        <v>0</v>
      </c>
      <c r="AS1176" t="e">
        <f>_xlfn.XLOOKUP(A1176,[3]Sheet1!$B:$B,[3]Sheet1!$B:$B)</f>
        <v>#N/A</v>
      </c>
    </row>
    <row r="1177" spans="1:45" x14ac:dyDescent="0.25">
      <c r="A1177" s="16" t="s">
        <v>1003</v>
      </c>
      <c r="B1177" s="2" t="s">
        <v>656</v>
      </c>
      <c r="C1177" s="2" t="s">
        <v>1004</v>
      </c>
      <c r="D1177" s="2" t="s">
        <v>554</v>
      </c>
      <c r="E1177" s="2">
        <v>2.5</v>
      </c>
      <c r="F1177" s="1" t="str">
        <f>VLOOKUP(H1177,'RM Used'!A:B,2,0)</f>
        <v>0141CS</v>
      </c>
      <c r="G1177" s="1" t="str">
        <f>IFERROR(VLOOKUP(F1177,'RM Cost'!A:B,2,0),"")</f>
        <v>FLAT PARSLEY X 1K</v>
      </c>
      <c r="H1177" s="2" t="s">
        <v>1617</v>
      </c>
      <c r="I1177" s="1" t="str">
        <f>VLOOKUP(F1177,'RM Used'!B:D,3,0)</f>
        <v>RM-FOOD</v>
      </c>
      <c r="J1177" s="66">
        <v>1</v>
      </c>
      <c r="K1177" s="35">
        <f t="shared" si="336"/>
        <v>2.5</v>
      </c>
      <c r="L1177" s="35">
        <f t="shared" si="343"/>
        <v>2.5</v>
      </c>
      <c r="M1177" s="77" cm="1">
        <f t="array" ref="M1177">_xlfn.IFS(BOM!I1177="RM-PACKING","100%",B1177="Reynolds",VLOOKUP(H1177,'Yield &amp; Time'!A:V,22,0),BOM!B1177="Dnata",VLOOKUP(BOM!H1177,'Yield &amp; Time'!A:M,13,0),B1177="NK",VLOOKUP(H1177,'Yield &amp; Time'!A:X,24,0))</f>
        <v>0.74999999999999989</v>
      </c>
      <c r="N1177" s="35">
        <f t="shared" si="342"/>
        <v>3.3333333333333339</v>
      </c>
      <c r="O1177" s="1" t="str">
        <f>VLOOKUP(H1177,'RM Used'!A:E,5,0)</f>
        <v>KG</v>
      </c>
      <c r="P1177" s="11">
        <f>VLOOKUP(H1177,'RM Used'!A:F,6,0)</f>
        <v>3.7</v>
      </c>
      <c r="Q1177" s="11">
        <f t="shared" si="352"/>
        <v>12.333333333333336</v>
      </c>
      <c r="R1177" s="11">
        <f>IFERROR(IF(B1177="Reynolds",VLOOKUP(H1177,'Yield &amp; Time'!A:U,21,0),VLOOKUP(H1177,'Yield &amp; Time'!A:L,12,0)),0)</f>
        <v>48.333333333333336</v>
      </c>
      <c r="S1177" s="11">
        <f t="shared" si="344"/>
        <v>40.90208333333333</v>
      </c>
      <c r="T1177" s="11">
        <f t="shared" si="345"/>
        <v>2.0138888888888888</v>
      </c>
      <c r="U1177" s="11">
        <f>IF(A1176=A1177,0,VLOOKUP(A1177,'Packing Time'!A:F,6,0))</f>
        <v>0.875</v>
      </c>
      <c r="V1177" s="11">
        <f t="shared" si="337"/>
        <v>0.29618749999999999</v>
      </c>
      <c r="W1177" s="11">
        <f t="shared" si="338"/>
        <v>1.4583333333333334E-2</v>
      </c>
      <c r="X1177" s="11">
        <f t="shared" si="346"/>
        <v>65.917233333333328</v>
      </c>
      <c r="Y1177" s="11">
        <f t="shared" si="339"/>
        <v>65.917233333333328</v>
      </c>
      <c r="Z1177" s="37">
        <v>1</v>
      </c>
      <c r="AA1177" s="36">
        <f t="shared" si="347"/>
        <v>3.3333333333333339</v>
      </c>
      <c r="AB1177" s="36">
        <f t="shared" si="348"/>
        <v>12.333333333333336</v>
      </c>
      <c r="AC1177" s="11">
        <f t="shared" si="349"/>
        <v>3.2455555555555557</v>
      </c>
      <c r="AD1177" s="36">
        <f t="shared" si="340"/>
        <v>65.917233333333328</v>
      </c>
      <c r="AE1177" s="36"/>
      <c r="AF1177" s="36">
        <f>IFERROR(VLOOKUP(AE1177,'Chemical Cost'!A:D,4,0),0)</f>
        <v>0</v>
      </c>
      <c r="AG1177" s="114">
        <f t="shared" si="350"/>
        <v>0</v>
      </c>
      <c r="AH1177" s="36">
        <f t="shared" si="353"/>
        <v>0</v>
      </c>
      <c r="AI1177" s="36">
        <f t="shared" si="341"/>
        <v>78.250566666666657</v>
      </c>
      <c r="AJ1177" s="36">
        <f>IFERROR(VLOOKUP(A1177,'All Products'!A:F,6,0),0)</f>
        <v>57.68</v>
      </c>
      <c r="AK1177" s="36">
        <f>AJ1177*Z1177*J1177</f>
        <v>57.68</v>
      </c>
      <c r="AL1177" s="29">
        <v>1</v>
      </c>
      <c r="AM1177" s="23"/>
      <c r="AN1177" s="54" t="e">
        <v>#N/A</v>
      </c>
      <c r="AO1177" s="47"/>
      <c r="AP1177" s="4">
        <v>1.6</v>
      </c>
      <c r="AQ1177" s="111">
        <f t="shared" si="351"/>
        <v>3.2455555555555557</v>
      </c>
      <c r="AR1177">
        <f>_xlfn.XLOOKUP(F1177,'RM Cost'!A:A,'RM Cost'!S:S)</f>
        <v>0</v>
      </c>
      <c r="AS1177" t="e">
        <f>_xlfn.XLOOKUP(A1177,[3]Sheet1!$B:$B,[3]Sheet1!$B:$B)</f>
        <v>#N/A</v>
      </c>
    </row>
    <row r="1178" spans="1:45" x14ac:dyDescent="0.25">
      <c r="A1178" s="16" t="s">
        <v>1003</v>
      </c>
      <c r="B1178" s="2" t="s">
        <v>656</v>
      </c>
      <c r="C1178" s="2" t="s">
        <v>1004</v>
      </c>
      <c r="D1178" s="2" t="s">
        <v>554</v>
      </c>
      <c r="E1178" s="2">
        <v>2.5</v>
      </c>
      <c r="F1178" s="1" t="str">
        <f>VLOOKUP(H1178,'RM Used'!A:B,2,0)</f>
        <v>P0008</v>
      </c>
      <c r="G1178" s="1" t="str">
        <f>IFERROR(VLOOKUP(F1178,'RM Cost'!A:B,2,0),"")</f>
        <v>PALE BLUE BAG 470X750MM</v>
      </c>
      <c r="H1178" s="1" t="s">
        <v>1323</v>
      </c>
      <c r="I1178" s="1" t="str">
        <f>VLOOKUP(F1178,'RM Used'!B:D,3,0)</f>
        <v>RM-PACKING</v>
      </c>
      <c r="J1178" s="66">
        <v>1</v>
      </c>
      <c r="K1178" s="35" t="str">
        <f t="shared" si="336"/>
        <v/>
      </c>
      <c r="L1178" s="35">
        <f t="shared" si="343"/>
        <v>0</v>
      </c>
      <c r="M1178" s="77" t="str" cm="1">
        <f t="array" ref="M1178">_xlfn.IFS(BOM!I1178="RM-PACKING","100%",B1178="Reynolds",VLOOKUP(H1178,'Yield &amp; Time'!A:V,22,0),BOM!B1178="Dnata",VLOOKUP(BOM!H1178,'Yield &amp; Time'!A:M,13,0),B1178="NK",VLOOKUP(H1178,'Yield &amp; Time'!A:X,24,0))</f>
        <v>100%</v>
      </c>
      <c r="N1178" s="35">
        <f t="shared" si="342"/>
        <v>1</v>
      </c>
      <c r="O1178" s="1" t="str">
        <f>VLOOKUP(H1178,'RM Used'!A:E,5,0)</f>
        <v>Count</v>
      </c>
      <c r="P1178" s="11">
        <f>VLOOKUP(H1178,'RM Used'!A:F,6,0)</f>
        <v>0.14000000000000001</v>
      </c>
      <c r="Q1178" s="11">
        <f t="shared" si="352"/>
        <v>0.14000000000000001</v>
      </c>
      <c r="R1178" s="11">
        <f>IFERROR(IF(B1178="Reynolds",VLOOKUP(H1178,'Yield &amp; Time'!A:U,21,0),VLOOKUP(H1178,'Yield &amp; Time'!A:L,12,0)),0)</f>
        <v>0</v>
      </c>
      <c r="S1178" s="11">
        <f t="shared" si="344"/>
        <v>0</v>
      </c>
      <c r="T1178" s="11">
        <f t="shared" si="345"/>
        <v>0</v>
      </c>
      <c r="U1178" s="11">
        <f>IF(A1177=A1178,0,VLOOKUP(A1178,'Packing Time'!A:F,6,0))</f>
        <v>0</v>
      </c>
      <c r="V1178" s="11">
        <f t="shared" si="337"/>
        <v>0</v>
      </c>
      <c r="W1178" s="11">
        <f t="shared" si="338"/>
        <v>0</v>
      </c>
      <c r="X1178" s="11">
        <f t="shared" si="346"/>
        <v>0</v>
      </c>
      <c r="Y1178" s="11">
        <f t="shared" si="339"/>
        <v>0</v>
      </c>
      <c r="Z1178" s="37">
        <v>1</v>
      </c>
      <c r="AA1178" s="36">
        <f t="shared" si="347"/>
        <v>1</v>
      </c>
      <c r="AB1178" s="36">
        <f t="shared" si="348"/>
        <v>0.14000000000000001</v>
      </c>
      <c r="AC1178" s="11">
        <f t="shared" si="349"/>
        <v>0</v>
      </c>
      <c r="AD1178" s="36">
        <f t="shared" si="340"/>
        <v>0</v>
      </c>
      <c r="AE1178" s="36"/>
      <c r="AF1178" s="36">
        <f>IFERROR(VLOOKUP(AE1178,'Chemical Cost'!A:D,4,0),0)</f>
        <v>0</v>
      </c>
      <c r="AG1178" s="114">
        <f t="shared" si="350"/>
        <v>0</v>
      </c>
      <c r="AH1178" s="36">
        <f t="shared" si="353"/>
        <v>0</v>
      </c>
      <c r="AI1178" s="36">
        <f t="shared" si="341"/>
        <v>0.14000000000000001</v>
      </c>
      <c r="AJ1178" s="36">
        <f>IFERROR(VLOOKUP(A1178,'All Products'!A:F,6,0),0)</f>
        <v>57.68</v>
      </c>
      <c r="AK1178" s="36"/>
      <c r="AL1178" s="29">
        <v>1</v>
      </c>
      <c r="AM1178" s="23"/>
      <c r="AN1178" s="54" t="e">
        <v>#N/A</v>
      </c>
      <c r="AO1178" s="47"/>
      <c r="AP1178" s="4">
        <v>1.6</v>
      </c>
      <c r="AQ1178" s="111">
        <f t="shared" si="351"/>
        <v>0</v>
      </c>
      <c r="AR1178">
        <f>_xlfn.XLOOKUP(F1178,'RM Cost'!A:A,'RM Cost'!S:S)</f>
        <v>0</v>
      </c>
      <c r="AS1178" t="e">
        <f>_xlfn.XLOOKUP(A1178,[3]Sheet1!$B:$B,[3]Sheet1!$B:$B)</f>
        <v>#N/A</v>
      </c>
    </row>
    <row r="1179" spans="1:45" x14ac:dyDescent="0.25">
      <c r="A1179" s="16" t="s">
        <v>1005</v>
      </c>
      <c r="B1179" s="2" t="s">
        <v>656</v>
      </c>
      <c r="C1179" s="2" t="s">
        <v>1006</v>
      </c>
      <c r="D1179" s="2" t="s">
        <v>554</v>
      </c>
      <c r="E1179" s="2">
        <v>1</v>
      </c>
      <c r="F1179" s="1" t="str">
        <f>VLOOKUP(H1179,'RM Used'!A:B,2,0)</f>
        <v>3566CS</v>
      </c>
      <c r="G1179" s="1" t="str">
        <f>IFERROR(VLOOKUP(F1179,'RM Cost'!A:B,2,0),"")</f>
        <v>PEPPERS RED X 5KG</v>
      </c>
      <c r="H1179" s="2" t="s">
        <v>1618</v>
      </c>
      <c r="I1179" s="1" t="str">
        <f>VLOOKUP(F1179,'RM Used'!B:D,3,0)</f>
        <v>RM-FOOD</v>
      </c>
      <c r="J1179" s="66">
        <v>1</v>
      </c>
      <c r="K1179" s="35">
        <f t="shared" si="336"/>
        <v>1</v>
      </c>
      <c r="L1179" s="35">
        <f t="shared" si="343"/>
        <v>1</v>
      </c>
      <c r="M1179" s="77" cm="1">
        <f t="array" ref="M1179">_xlfn.IFS(BOM!I1179="RM-PACKING","100%",B1179="Reynolds",VLOOKUP(H1179,'Yield &amp; Time'!A:V,22,0),BOM!B1179="Dnata",VLOOKUP(BOM!H1179,'Yield &amp; Time'!A:M,13,0),B1179="NK",VLOOKUP(H1179,'Yield &amp; Time'!A:X,24,0))</f>
        <v>0.374</v>
      </c>
      <c r="N1179" s="35">
        <f t="shared" si="342"/>
        <v>2.6737967914438503</v>
      </c>
      <c r="O1179" s="1" t="str">
        <f>VLOOKUP(H1179,'RM Used'!A:E,5,0)</f>
        <v>KG</v>
      </c>
      <c r="P1179" s="11">
        <f>VLOOKUP(H1179,'RM Used'!A:F,6,0)</f>
        <v>1.72</v>
      </c>
      <c r="Q1179" s="11">
        <f t="shared" si="352"/>
        <v>4.5989304812834222</v>
      </c>
      <c r="R1179" s="11">
        <f>IFERROR(IF(B1179="Reynolds",VLOOKUP(H1179,'Yield &amp; Time'!A:U,21,0),VLOOKUP(H1179,'Yield &amp; Time'!A:L,12,0)),0)</f>
        <v>13.90374331550802</v>
      </c>
      <c r="S1179" s="11">
        <f t="shared" si="344"/>
        <v>4.706417112299464</v>
      </c>
      <c r="T1179" s="11">
        <f t="shared" si="345"/>
        <v>0.23172905525846701</v>
      </c>
      <c r="U1179" s="11">
        <f>IF(A1178=A1179,0,VLOOKUP(A1179,'Packing Time'!A:F,6,0))</f>
        <v>0.64166666666666661</v>
      </c>
      <c r="V1179" s="11">
        <f t="shared" si="337"/>
        <v>0.21720416666666661</v>
      </c>
      <c r="W1179" s="11">
        <f t="shared" si="338"/>
        <v>1.0694444444444444E-2</v>
      </c>
      <c r="X1179" s="11">
        <f t="shared" si="346"/>
        <v>7.8777940463458096</v>
      </c>
      <c r="Y1179" s="11">
        <f t="shared" si="339"/>
        <v>7.8777940463458096</v>
      </c>
      <c r="Z1179" s="37">
        <v>1</v>
      </c>
      <c r="AA1179" s="36">
        <f t="shared" si="347"/>
        <v>2.6737967914438503</v>
      </c>
      <c r="AB1179" s="36">
        <f t="shared" si="348"/>
        <v>4.5989304812834222</v>
      </c>
      <c r="AC1179" s="11">
        <f t="shared" si="349"/>
        <v>0.38787759952465833</v>
      </c>
      <c r="AD1179" s="36">
        <f t="shared" si="340"/>
        <v>7.8777940463458105</v>
      </c>
      <c r="AE1179" s="36"/>
      <c r="AF1179" s="36">
        <f>IFERROR(VLOOKUP(AE1179,'Chemical Cost'!A:D,4,0),0)</f>
        <v>0</v>
      </c>
      <c r="AG1179" s="114">
        <f t="shared" si="350"/>
        <v>0</v>
      </c>
      <c r="AH1179" s="36">
        <f t="shared" si="353"/>
        <v>0</v>
      </c>
      <c r="AI1179" s="36">
        <f t="shared" si="341"/>
        <v>12.476724527629232</v>
      </c>
      <c r="AJ1179" s="36">
        <f>IFERROR(VLOOKUP(A1179,'All Products'!A:F,6,0),0)</f>
        <v>10.84</v>
      </c>
      <c r="AK1179" s="36">
        <f>AJ1179*Z1179*J1179</f>
        <v>10.84</v>
      </c>
      <c r="AL1179" s="23">
        <v>1</v>
      </c>
      <c r="AM1179" s="23"/>
      <c r="AN1179" s="54" t="e">
        <v>#N/A</v>
      </c>
      <c r="AO1179" s="47"/>
      <c r="AP1179" s="4">
        <v>1.6</v>
      </c>
      <c r="AQ1179" s="111">
        <f t="shared" si="351"/>
        <v>0.38787759952465833</v>
      </c>
      <c r="AR1179">
        <f>_xlfn.XLOOKUP(F1179,'RM Cost'!A:A,'RM Cost'!S:S)</f>
        <v>0</v>
      </c>
      <c r="AS1179" t="e">
        <f>_xlfn.XLOOKUP(A1179,[3]Sheet1!$B:$B,[3]Sheet1!$B:$B)</f>
        <v>#N/A</v>
      </c>
    </row>
    <row r="1180" spans="1:45" x14ac:dyDescent="0.25">
      <c r="A1180" s="16" t="s">
        <v>1005</v>
      </c>
      <c r="B1180" s="2" t="s">
        <v>656</v>
      </c>
      <c r="C1180" s="2" t="s">
        <v>1006</v>
      </c>
      <c r="D1180" s="2" t="s">
        <v>554</v>
      </c>
      <c r="E1180" s="2">
        <v>1</v>
      </c>
      <c r="F1180" s="1" t="str">
        <f>VLOOKUP(H1180,'RM Used'!A:B,2,0)</f>
        <v>P0008</v>
      </c>
      <c r="G1180" s="1" t="str">
        <f>IFERROR(VLOOKUP(F1180,'RM Cost'!A:B,2,0),"")</f>
        <v>PALE BLUE BAG 470X750MM</v>
      </c>
      <c r="H1180" s="1" t="s">
        <v>1323</v>
      </c>
      <c r="I1180" s="1" t="str">
        <f>VLOOKUP(F1180,'RM Used'!B:D,3,0)</f>
        <v>RM-PACKING</v>
      </c>
      <c r="J1180" s="66">
        <v>1</v>
      </c>
      <c r="K1180" s="35" t="str">
        <f t="shared" si="336"/>
        <v/>
      </c>
      <c r="L1180" s="35">
        <f t="shared" si="343"/>
        <v>0</v>
      </c>
      <c r="M1180" s="77" t="str" cm="1">
        <f t="array" ref="M1180">_xlfn.IFS(BOM!I1180="RM-PACKING","100%",B1180="Reynolds",VLOOKUP(H1180,'Yield &amp; Time'!A:V,22,0),BOM!B1180="Dnata",VLOOKUP(BOM!H1180,'Yield &amp; Time'!A:M,13,0),B1180="NK",VLOOKUP(H1180,'Yield &amp; Time'!A:X,24,0))</f>
        <v>100%</v>
      </c>
      <c r="N1180" s="35">
        <f t="shared" si="342"/>
        <v>1</v>
      </c>
      <c r="O1180" s="1" t="str">
        <f>VLOOKUP(H1180,'RM Used'!A:E,5,0)</f>
        <v>Count</v>
      </c>
      <c r="P1180" s="11">
        <f>VLOOKUP(H1180,'RM Used'!A:F,6,0)</f>
        <v>0.14000000000000001</v>
      </c>
      <c r="Q1180" s="11">
        <f t="shared" si="352"/>
        <v>0.14000000000000001</v>
      </c>
      <c r="R1180" s="11">
        <f>IFERROR(IF(B1180="Reynolds",VLOOKUP(H1180,'Yield &amp; Time'!A:U,21,0),VLOOKUP(H1180,'Yield &amp; Time'!A:L,12,0)),0)</f>
        <v>0</v>
      </c>
      <c r="S1180" s="11">
        <f t="shared" si="344"/>
        <v>0</v>
      </c>
      <c r="T1180" s="11">
        <f t="shared" si="345"/>
        <v>0</v>
      </c>
      <c r="U1180" s="11">
        <f>IF(A1179=A1180,0,VLOOKUP(A1180,'Packing Time'!A:F,6,0))</f>
        <v>0</v>
      </c>
      <c r="V1180" s="11">
        <f t="shared" si="337"/>
        <v>0</v>
      </c>
      <c r="W1180" s="11">
        <f t="shared" si="338"/>
        <v>0</v>
      </c>
      <c r="X1180" s="11">
        <f t="shared" si="346"/>
        <v>0</v>
      </c>
      <c r="Y1180" s="11">
        <f t="shared" si="339"/>
        <v>0</v>
      </c>
      <c r="Z1180" s="37">
        <v>1</v>
      </c>
      <c r="AA1180" s="36">
        <f t="shared" si="347"/>
        <v>1</v>
      </c>
      <c r="AB1180" s="36">
        <f t="shared" si="348"/>
        <v>0.14000000000000001</v>
      </c>
      <c r="AC1180" s="11">
        <f t="shared" si="349"/>
        <v>0</v>
      </c>
      <c r="AD1180" s="36">
        <f t="shared" si="340"/>
        <v>0</v>
      </c>
      <c r="AE1180" s="36"/>
      <c r="AF1180" s="36">
        <f>IFERROR(VLOOKUP(AE1180,'Chemical Cost'!A:D,4,0),0)</f>
        <v>0</v>
      </c>
      <c r="AG1180" s="114">
        <f t="shared" si="350"/>
        <v>0</v>
      </c>
      <c r="AH1180" s="36">
        <f t="shared" si="353"/>
        <v>0</v>
      </c>
      <c r="AI1180" s="36">
        <f t="shared" si="341"/>
        <v>0.14000000000000001</v>
      </c>
      <c r="AJ1180" s="36">
        <f>IFERROR(VLOOKUP(A1180,'All Products'!A:F,6,0),0)</f>
        <v>10.84</v>
      </c>
      <c r="AK1180" s="36"/>
      <c r="AL1180" s="23">
        <v>1</v>
      </c>
      <c r="AM1180" s="23"/>
      <c r="AN1180" s="54" t="e">
        <v>#N/A</v>
      </c>
      <c r="AO1180" s="47"/>
      <c r="AP1180" s="4">
        <v>1.6</v>
      </c>
      <c r="AQ1180" s="111">
        <f t="shared" si="351"/>
        <v>0</v>
      </c>
      <c r="AR1180">
        <f>_xlfn.XLOOKUP(F1180,'RM Cost'!A:A,'RM Cost'!S:S)</f>
        <v>0</v>
      </c>
      <c r="AS1180" t="e">
        <f>_xlfn.XLOOKUP(A1180,[3]Sheet1!$B:$B,[3]Sheet1!$B:$B)</f>
        <v>#N/A</v>
      </c>
    </row>
    <row r="1181" spans="1:45" x14ac:dyDescent="0.25">
      <c r="A1181" s="16" t="s">
        <v>176</v>
      </c>
      <c r="B1181" s="2" t="s">
        <v>656</v>
      </c>
      <c r="C1181" s="2" t="s">
        <v>1007</v>
      </c>
      <c r="D1181" s="2" t="s">
        <v>554</v>
      </c>
      <c r="E1181" s="2">
        <v>2.5</v>
      </c>
      <c r="F1181" s="1" t="str">
        <f>VLOOKUP(H1181,'RM Used'!A:B,2,0)</f>
        <v>3566CS</v>
      </c>
      <c r="G1181" s="1" t="str">
        <f>IFERROR(VLOOKUP(F1181,'RM Cost'!A:B,2,0),"")</f>
        <v>PEPPERS RED X 5KG</v>
      </c>
      <c r="H1181" s="2" t="s">
        <v>1618</v>
      </c>
      <c r="I1181" s="1" t="str">
        <f>VLOOKUP(F1181,'RM Used'!B:D,3,0)</f>
        <v>RM-FOOD</v>
      </c>
      <c r="J1181" s="66">
        <v>1</v>
      </c>
      <c r="K1181" s="35">
        <f t="shared" si="336"/>
        <v>2.5</v>
      </c>
      <c r="L1181" s="35">
        <f t="shared" si="343"/>
        <v>2.5</v>
      </c>
      <c r="M1181" s="77" cm="1">
        <f t="array" ref="M1181">_xlfn.IFS(BOM!I1181="RM-PACKING","100%",B1181="Reynolds",VLOOKUP(H1181,'Yield &amp; Time'!A:V,22,0),BOM!B1181="Dnata",VLOOKUP(BOM!H1181,'Yield &amp; Time'!A:M,13,0),B1181="NK",VLOOKUP(H1181,'Yield &amp; Time'!A:X,24,0))</f>
        <v>0.374</v>
      </c>
      <c r="N1181" s="35">
        <f t="shared" si="342"/>
        <v>6.6844919786096257</v>
      </c>
      <c r="O1181" s="1" t="str">
        <f>VLOOKUP(H1181,'RM Used'!A:E,5,0)</f>
        <v>KG</v>
      </c>
      <c r="P1181" s="11">
        <f>VLOOKUP(H1181,'RM Used'!A:F,6,0)</f>
        <v>1.72</v>
      </c>
      <c r="Q1181" s="11">
        <f t="shared" si="352"/>
        <v>11.497326203208557</v>
      </c>
      <c r="R1181" s="11">
        <f>IFERROR(IF(B1181="Reynolds",VLOOKUP(H1181,'Yield &amp; Time'!A:U,21,0),VLOOKUP(H1181,'Yield &amp; Time'!A:L,12,0)),0)</f>
        <v>13.90374331550802</v>
      </c>
      <c r="S1181" s="11">
        <f t="shared" si="344"/>
        <v>11.766042780748661</v>
      </c>
      <c r="T1181" s="11">
        <f t="shared" si="345"/>
        <v>0.57932263814616758</v>
      </c>
      <c r="U1181" s="11">
        <f>IF(A1180=A1181,0,VLOOKUP(A1181,'Packing Time'!A:F,6,0))</f>
        <v>0.875</v>
      </c>
      <c r="V1181" s="11">
        <f t="shared" si="337"/>
        <v>0.29618749999999999</v>
      </c>
      <c r="W1181" s="11">
        <f t="shared" si="338"/>
        <v>1.4583333333333334E-2</v>
      </c>
      <c r="X1181" s="11">
        <f t="shared" si="346"/>
        <v>16.887122393048124</v>
      </c>
      <c r="Y1181" s="11">
        <f t="shared" si="339"/>
        <v>16.887122393048124</v>
      </c>
      <c r="Z1181" s="37">
        <v>1</v>
      </c>
      <c r="AA1181" s="36">
        <f t="shared" si="347"/>
        <v>6.6844919786096257</v>
      </c>
      <c r="AB1181" s="36">
        <f t="shared" si="348"/>
        <v>11.497326203208557</v>
      </c>
      <c r="AC1181" s="11">
        <f t="shared" si="349"/>
        <v>0.8314683600713012</v>
      </c>
      <c r="AD1181" s="36">
        <f t="shared" si="340"/>
        <v>16.887122393048124</v>
      </c>
      <c r="AE1181" s="36"/>
      <c r="AF1181" s="36">
        <f>IFERROR(VLOOKUP(AE1181,'Chemical Cost'!A:D,4,0),0)</f>
        <v>0</v>
      </c>
      <c r="AG1181" s="114">
        <f t="shared" si="350"/>
        <v>0</v>
      </c>
      <c r="AH1181" s="36">
        <f t="shared" si="353"/>
        <v>0</v>
      </c>
      <c r="AI1181" s="36">
        <f t="shared" si="341"/>
        <v>28.384448596256682</v>
      </c>
      <c r="AJ1181" s="36">
        <f>IFERROR(VLOOKUP(A1181,'All Products'!A:F,6,0),0)</f>
        <v>26.8</v>
      </c>
      <c r="AK1181" s="36">
        <f>AJ1181*Z1181*J1181</f>
        <v>26.8</v>
      </c>
      <c r="AL1181" s="23">
        <v>1</v>
      </c>
      <c r="AM1181" s="23"/>
      <c r="AN1181" s="54" t="e">
        <v>#N/A</v>
      </c>
      <c r="AO1181" s="47"/>
      <c r="AP1181" s="4">
        <v>1.4</v>
      </c>
      <c r="AQ1181" s="111">
        <f t="shared" si="351"/>
        <v>0.8314683600713012</v>
      </c>
      <c r="AR1181">
        <f>_xlfn.XLOOKUP(F1181,'RM Cost'!A:A,'RM Cost'!S:S)</f>
        <v>0</v>
      </c>
      <c r="AS1181" t="e">
        <f>_xlfn.XLOOKUP(A1181,[3]Sheet1!$B:$B,[3]Sheet1!$B:$B)</f>
        <v>#N/A</v>
      </c>
    </row>
    <row r="1182" spans="1:45" x14ac:dyDescent="0.25">
      <c r="A1182" s="16" t="s">
        <v>176</v>
      </c>
      <c r="B1182" s="2" t="s">
        <v>656</v>
      </c>
      <c r="C1182" s="2" t="s">
        <v>1007</v>
      </c>
      <c r="D1182" s="2" t="s">
        <v>554</v>
      </c>
      <c r="E1182" s="2">
        <v>2.5</v>
      </c>
      <c r="F1182" s="1" t="str">
        <f>VLOOKUP(H1182,'RM Used'!A:B,2,0)</f>
        <v>P0008</v>
      </c>
      <c r="G1182" s="1" t="str">
        <f>IFERROR(VLOOKUP(F1182,'RM Cost'!A:B,2,0),"")</f>
        <v>PALE BLUE BAG 470X750MM</v>
      </c>
      <c r="H1182" s="1" t="s">
        <v>1323</v>
      </c>
      <c r="I1182" s="1" t="str">
        <f>VLOOKUP(F1182,'RM Used'!B:D,3,0)</f>
        <v>RM-PACKING</v>
      </c>
      <c r="J1182" s="66">
        <v>1</v>
      </c>
      <c r="K1182" s="35" t="str">
        <f t="shared" si="336"/>
        <v/>
      </c>
      <c r="L1182" s="35">
        <f t="shared" si="343"/>
        <v>0</v>
      </c>
      <c r="M1182" s="77" t="str" cm="1">
        <f t="array" ref="M1182">_xlfn.IFS(BOM!I1182="RM-PACKING","100%",B1182="Reynolds",VLOOKUP(H1182,'Yield &amp; Time'!A:V,22,0),BOM!B1182="Dnata",VLOOKUP(BOM!H1182,'Yield &amp; Time'!A:M,13,0),B1182="NK",VLOOKUP(H1182,'Yield &amp; Time'!A:X,24,0))</f>
        <v>100%</v>
      </c>
      <c r="N1182" s="35">
        <f t="shared" si="342"/>
        <v>1</v>
      </c>
      <c r="O1182" s="1" t="str">
        <f>VLOOKUP(H1182,'RM Used'!A:E,5,0)</f>
        <v>Count</v>
      </c>
      <c r="P1182" s="11">
        <f>VLOOKUP(H1182,'RM Used'!A:F,6,0)</f>
        <v>0.14000000000000001</v>
      </c>
      <c r="Q1182" s="11">
        <f t="shared" si="352"/>
        <v>0.14000000000000001</v>
      </c>
      <c r="R1182" s="11">
        <f>IFERROR(IF(B1182="Reynolds",VLOOKUP(H1182,'Yield &amp; Time'!A:U,21,0),VLOOKUP(H1182,'Yield &amp; Time'!A:L,12,0)),0)</f>
        <v>0</v>
      </c>
      <c r="S1182" s="11">
        <f t="shared" si="344"/>
        <v>0</v>
      </c>
      <c r="T1182" s="11">
        <f t="shared" si="345"/>
        <v>0</v>
      </c>
      <c r="U1182" s="11">
        <f>IF(A1181=A1182,0,VLOOKUP(A1182,'Packing Time'!A:F,6,0))</f>
        <v>0</v>
      </c>
      <c r="V1182" s="11">
        <f t="shared" si="337"/>
        <v>0</v>
      </c>
      <c r="W1182" s="11">
        <f t="shared" si="338"/>
        <v>0</v>
      </c>
      <c r="X1182" s="11">
        <f t="shared" si="346"/>
        <v>0</v>
      </c>
      <c r="Y1182" s="11">
        <f t="shared" si="339"/>
        <v>0</v>
      </c>
      <c r="Z1182" s="37">
        <v>1</v>
      </c>
      <c r="AA1182" s="36">
        <f t="shared" si="347"/>
        <v>1</v>
      </c>
      <c r="AB1182" s="36">
        <f t="shared" si="348"/>
        <v>0.14000000000000001</v>
      </c>
      <c r="AC1182" s="11">
        <f t="shared" si="349"/>
        <v>0</v>
      </c>
      <c r="AD1182" s="36">
        <f t="shared" si="340"/>
        <v>0</v>
      </c>
      <c r="AE1182" s="36"/>
      <c r="AF1182" s="36">
        <f>IFERROR(VLOOKUP(AE1182,'Chemical Cost'!A:D,4,0),0)</f>
        <v>0</v>
      </c>
      <c r="AG1182" s="114">
        <f t="shared" si="350"/>
        <v>0</v>
      </c>
      <c r="AH1182" s="36">
        <f t="shared" si="353"/>
        <v>0</v>
      </c>
      <c r="AI1182" s="36">
        <f t="shared" si="341"/>
        <v>0.14000000000000001</v>
      </c>
      <c r="AJ1182" s="36">
        <f>IFERROR(VLOOKUP(A1182,'All Products'!A:F,6,0),0)</f>
        <v>26.8</v>
      </c>
      <c r="AK1182" s="36"/>
      <c r="AL1182" s="23">
        <v>1</v>
      </c>
      <c r="AM1182" s="23"/>
      <c r="AN1182" s="54" t="e">
        <v>#N/A</v>
      </c>
      <c r="AO1182" s="47"/>
      <c r="AP1182" s="4">
        <v>1.4</v>
      </c>
      <c r="AQ1182" s="111">
        <f t="shared" si="351"/>
        <v>0</v>
      </c>
      <c r="AR1182">
        <f>_xlfn.XLOOKUP(F1182,'RM Cost'!A:A,'RM Cost'!S:S)</f>
        <v>0</v>
      </c>
      <c r="AS1182" t="e">
        <f>_xlfn.XLOOKUP(A1182,[3]Sheet1!$B:$B,[3]Sheet1!$B:$B)</f>
        <v>#N/A</v>
      </c>
    </row>
    <row r="1183" spans="1:45" x14ac:dyDescent="0.25">
      <c r="A1183" s="16" t="s">
        <v>405</v>
      </c>
      <c r="B1183" s="2" t="s">
        <v>656</v>
      </c>
      <c r="C1183" s="2" t="s">
        <v>1008</v>
      </c>
      <c r="D1183" s="2" t="s">
        <v>554</v>
      </c>
      <c r="E1183" s="2">
        <v>1</v>
      </c>
      <c r="F1183" s="1" t="str">
        <f>VLOOKUP(H1183,'RM Used'!A:B,2,0)</f>
        <v>3567CS</v>
      </c>
      <c r="G1183" s="1" t="str">
        <f>IFERROR(VLOOKUP(F1183,'RM Cost'!A:B,2,0),"")</f>
        <v>RM - PEPPERS YELLOW  X 5KG</v>
      </c>
      <c r="H1183" s="2" t="s">
        <v>1619</v>
      </c>
      <c r="I1183" s="1" t="str">
        <f>VLOOKUP(F1183,'RM Used'!B:D,3,0)</f>
        <v>RM-FOOD</v>
      </c>
      <c r="J1183" s="66">
        <v>1</v>
      </c>
      <c r="K1183" s="35">
        <f t="shared" si="336"/>
        <v>1</v>
      </c>
      <c r="L1183" s="35">
        <f t="shared" si="343"/>
        <v>1</v>
      </c>
      <c r="M1183" s="77" cm="1">
        <f t="array" ref="M1183">_xlfn.IFS(BOM!I1183="RM-PACKING","100%",B1183="Reynolds",VLOOKUP(H1183,'Yield &amp; Time'!A:V,22,0),BOM!B1183="Dnata",VLOOKUP(BOM!H1183,'Yield &amp; Time'!A:M,13,0),B1183="NK",VLOOKUP(H1183,'Yield &amp; Time'!A:X,24,0))</f>
        <v>0.374</v>
      </c>
      <c r="N1183" s="35">
        <f t="shared" si="342"/>
        <v>2.6737967914438503</v>
      </c>
      <c r="O1183" s="1" t="str">
        <f>VLOOKUP(H1183,'RM Used'!A:E,5,0)</f>
        <v>KG</v>
      </c>
      <c r="P1183" s="11">
        <f>VLOOKUP(H1183,'RM Used'!A:F,6,0)</f>
        <v>1.68</v>
      </c>
      <c r="Q1183" s="11">
        <f t="shared" si="352"/>
        <v>4.4919786096256686</v>
      </c>
      <c r="R1183" s="11">
        <f>IFERROR(IF(B1183="Reynolds",VLOOKUP(H1183,'Yield &amp; Time'!A:U,21,0),VLOOKUP(H1183,'Yield &amp; Time'!A:L,12,0)),0)</f>
        <v>13.90374331550802</v>
      </c>
      <c r="S1183" s="11">
        <f t="shared" si="344"/>
        <v>4.706417112299464</v>
      </c>
      <c r="T1183" s="11">
        <f t="shared" si="345"/>
        <v>0.23172905525846701</v>
      </c>
      <c r="U1183" s="11">
        <f>IF(A1182=A1183,0,VLOOKUP(A1183,'Packing Time'!A:F,6,0))</f>
        <v>0.64166666666666661</v>
      </c>
      <c r="V1183" s="11">
        <f t="shared" si="337"/>
        <v>0.21720416666666661</v>
      </c>
      <c r="W1183" s="11">
        <f t="shared" si="338"/>
        <v>1.0694444444444444E-2</v>
      </c>
      <c r="X1183" s="11">
        <f t="shared" si="346"/>
        <v>7.8777940463458096</v>
      </c>
      <c r="Y1183" s="11">
        <f t="shared" si="339"/>
        <v>7.8777940463458096</v>
      </c>
      <c r="Z1183" s="37">
        <v>1</v>
      </c>
      <c r="AA1183" s="36">
        <f t="shared" si="347"/>
        <v>2.6737967914438503</v>
      </c>
      <c r="AB1183" s="36">
        <f t="shared" si="348"/>
        <v>4.4919786096256686</v>
      </c>
      <c r="AC1183" s="11">
        <f t="shared" si="349"/>
        <v>0.38787759952465833</v>
      </c>
      <c r="AD1183" s="36">
        <f t="shared" si="340"/>
        <v>7.8777940463458105</v>
      </c>
      <c r="AE1183" s="36"/>
      <c r="AF1183" s="36">
        <f>IFERROR(VLOOKUP(AE1183,'Chemical Cost'!A:D,4,0),0)</f>
        <v>0</v>
      </c>
      <c r="AG1183" s="114">
        <f t="shared" si="350"/>
        <v>0</v>
      </c>
      <c r="AH1183" s="36">
        <f t="shared" si="353"/>
        <v>0</v>
      </c>
      <c r="AI1183" s="36">
        <f t="shared" si="341"/>
        <v>12.369772655971477</v>
      </c>
      <c r="AJ1183" s="36">
        <f>IFERROR(VLOOKUP(A1183,'All Products'!A:F,6,0),0)</f>
        <v>10.92</v>
      </c>
      <c r="AK1183" s="36">
        <f>AJ1183*Z1183*J1183</f>
        <v>10.92</v>
      </c>
      <c r="AL1183" s="23">
        <v>1</v>
      </c>
      <c r="AM1183" s="23"/>
      <c r="AN1183" s="54" t="e">
        <v>#N/A</v>
      </c>
      <c r="AO1183" s="47"/>
      <c r="AP1183" s="4">
        <v>1.6</v>
      </c>
      <c r="AQ1183" s="111">
        <f t="shared" si="351"/>
        <v>0.38787759952465833</v>
      </c>
      <c r="AR1183">
        <f>_xlfn.XLOOKUP(F1183,'RM Cost'!A:A,'RM Cost'!S:S)</f>
        <v>0</v>
      </c>
      <c r="AS1183" t="e">
        <f>_xlfn.XLOOKUP(A1183,[3]Sheet1!$B:$B,[3]Sheet1!$B:$B)</f>
        <v>#N/A</v>
      </c>
    </row>
    <row r="1184" spans="1:45" x14ac:dyDescent="0.25">
      <c r="A1184" s="16" t="s">
        <v>405</v>
      </c>
      <c r="B1184" s="2" t="s">
        <v>656</v>
      </c>
      <c r="C1184" s="2" t="s">
        <v>1008</v>
      </c>
      <c r="D1184" s="2" t="s">
        <v>554</v>
      </c>
      <c r="E1184" s="2">
        <v>1</v>
      </c>
      <c r="F1184" s="1" t="str">
        <f>VLOOKUP(H1184,'RM Used'!A:B,2,0)</f>
        <v>P0008</v>
      </c>
      <c r="G1184" s="1" t="str">
        <f>IFERROR(VLOOKUP(F1184,'RM Cost'!A:B,2,0),"")</f>
        <v>PALE BLUE BAG 470X750MM</v>
      </c>
      <c r="H1184" s="1" t="s">
        <v>1323</v>
      </c>
      <c r="I1184" s="1" t="str">
        <f>VLOOKUP(F1184,'RM Used'!B:D,3,0)</f>
        <v>RM-PACKING</v>
      </c>
      <c r="J1184" s="66">
        <v>1</v>
      </c>
      <c r="K1184" s="35" t="str">
        <f t="shared" si="336"/>
        <v/>
      </c>
      <c r="L1184" s="35">
        <f t="shared" si="343"/>
        <v>0</v>
      </c>
      <c r="M1184" s="77" t="str" cm="1">
        <f t="array" ref="M1184">_xlfn.IFS(BOM!I1184="RM-PACKING","100%",B1184="Reynolds",VLOOKUP(H1184,'Yield &amp; Time'!A:V,22,0),BOM!B1184="Dnata",VLOOKUP(BOM!H1184,'Yield &amp; Time'!A:M,13,0),B1184="NK",VLOOKUP(H1184,'Yield &amp; Time'!A:X,24,0))</f>
        <v>100%</v>
      </c>
      <c r="N1184" s="35">
        <f t="shared" si="342"/>
        <v>1</v>
      </c>
      <c r="O1184" s="1" t="str">
        <f>VLOOKUP(H1184,'RM Used'!A:E,5,0)</f>
        <v>Count</v>
      </c>
      <c r="P1184" s="11">
        <f>VLOOKUP(H1184,'RM Used'!A:F,6,0)</f>
        <v>0.14000000000000001</v>
      </c>
      <c r="Q1184" s="11">
        <f t="shared" si="352"/>
        <v>0.14000000000000001</v>
      </c>
      <c r="R1184" s="11">
        <f>IFERROR(IF(B1184="Reynolds",VLOOKUP(H1184,'Yield &amp; Time'!A:U,21,0),VLOOKUP(H1184,'Yield &amp; Time'!A:L,12,0)),0)</f>
        <v>0</v>
      </c>
      <c r="S1184" s="11">
        <f t="shared" si="344"/>
        <v>0</v>
      </c>
      <c r="T1184" s="11">
        <f t="shared" si="345"/>
        <v>0</v>
      </c>
      <c r="U1184" s="11">
        <f>IF(A1183=A1184,0,VLOOKUP(A1184,'Packing Time'!A:F,6,0))</f>
        <v>0</v>
      </c>
      <c r="V1184" s="11">
        <f t="shared" si="337"/>
        <v>0</v>
      </c>
      <c r="W1184" s="11">
        <f t="shared" si="338"/>
        <v>0</v>
      </c>
      <c r="X1184" s="11">
        <f t="shared" si="346"/>
        <v>0</v>
      </c>
      <c r="Y1184" s="11">
        <f t="shared" si="339"/>
        <v>0</v>
      </c>
      <c r="Z1184" s="37">
        <v>1</v>
      </c>
      <c r="AA1184" s="36">
        <f t="shared" si="347"/>
        <v>1</v>
      </c>
      <c r="AB1184" s="36">
        <f t="shared" si="348"/>
        <v>0.14000000000000001</v>
      </c>
      <c r="AC1184" s="11">
        <f t="shared" si="349"/>
        <v>0</v>
      </c>
      <c r="AD1184" s="36">
        <f t="shared" si="340"/>
        <v>0</v>
      </c>
      <c r="AE1184" s="36"/>
      <c r="AF1184" s="36">
        <f>IFERROR(VLOOKUP(AE1184,'Chemical Cost'!A:D,4,0),0)</f>
        <v>0</v>
      </c>
      <c r="AG1184" s="114">
        <f t="shared" si="350"/>
        <v>0</v>
      </c>
      <c r="AH1184" s="36">
        <f t="shared" si="353"/>
        <v>0</v>
      </c>
      <c r="AI1184" s="36">
        <f t="shared" si="341"/>
        <v>0.14000000000000001</v>
      </c>
      <c r="AJ1184" s="36">
        <f>IFERROR(VLOOKUP(A1184,'All Products'!A:F,6,0),0)</f>
        <v>10.92</v>
      </c>
      <c r="AK1184" s="36"/>
      <c r="AL1184" s="23">
        <v>1</v>
      </c>
      <c r="AM1184" s="23"/>
      <c r="AN1184" s="54" t="e">
        <v>#N/A</v>
      </c>
      <c r="AO1184" s="47"/>
      <c r="AP1184" s="4">
        <v>1.6</v>
      </c>
      <c r="AQ1184" s="111">
        <f t="shared" si="351"/>
        <v>0</v>
      </c>
      <c r="AR1184">
        <f>_xlfn.XLOOKUP(F1184,'RM Cost'!A:A,'RM Cost'!S:S)</f>
        <v>0</v>
      </c>
      <c r="AS1184" t="e">
        <f>_xlfn.XLOOKUP(A1184,[3]Sheet1!$B:$B,[3]Sheet1!$B:$B)</f>
        <v>#N/A</v>
      </c>
    </row>
    <row r="1185" spans="1:46" x14ac:dyDescent="0.25">
      <c r="A1185" s="16" t="s">
        <v>175</v>
      </c>
      <c r="B1185" s="2" t="s">
        <v>656</v>
      </c>
      <c r="C1185" s="2" t="s">
        <v>1009</v>
      </c>
      <c r="D1185" s="2" t="s">
        <v>554</v>
      </c>
      <c r="E1185" s="2">
        <v>2.5</v>
      </c>
      <c r="F1185" s="1" t="str">
        <f>VLOOKUP(H1185,'RM Used'!A:B,2,0)</f>
        <v>3567CS</v>
      </c>
      <c r="G1185" s="1" t="str">
        <f>IFERROR(VLOOKUP(F1185,'RM Cost'!A:B,2,0),"")</f>
        <v>RM - PEPPERS YELLOW  X 5KG</v>
      </c>
      <c r="H1185" s="2" t="s">
        <v>1619</v>
      </c>
      <c r="I1185" s="1" t="str">
        <f>VLOOKUP(F1185,'RM Used'!B:D,3,0)</f>
        <v>RM-FOOD</v>
      </c>
      <c r="J1185" s="66">
        <v>1</v>
      </c>
      <c r="K1185" s="35">
        <f t="shared" si="336"/>
        <v>2.5</v>
      </c>
      <c r="L1185" s="35">
        <f t="shared" si="343"/>
        <v>2.5</v>
      </c>
      <c r="M1185" s="77" cm="1">
        <f t="array" ref="M1185">_xlfn.IFS(BOM!I1185="RM-PACKING","100%",B1185="Reynolds",VLOOKUP(H1185,'Yield &amp; Time'!A:V,22,0),BOM!B1185="Dnata",VLOOKUP(BOM!H1185,'Yield &amp; Time'!A:M,13,0),B1185="NK",VLOOKUP(H1185,'Yield &amp; Time'!A:X,24,0))</f>
        <v>0.374</v>
      </c>
      <c r="N1185" s="35">
        <f t="shared" si="342"/>
        <v>6.6844919786096257</v>
      </c>
      <c r="O1185" s="1" t="str">
        <f>VLOOKUP(H1185,'RM Used'!A:E,5,0)</f>
        <v>KG</v>
      </c>
      <c r="P1185" s="11">
        <f>VLOOKUP(H1185,'RM Used'!A:F,6,0)</f>
        <v>1.68</v>
      </c>
      <c r="Q1185" s="11">
        <f t="shared" si="352"/>
        <v>11.229946524064172</v>
      </c>
      <c r="R1185" s="11">
        <f>IFERROR(IF(B1185="Reynolds",VLOOKUP(H1185,'Yield &amp; Time'!A:U,21,0),VLOOKUP(H1185,'Yield &amp; Time'!A:L,12,0)),0)</f>
        <v>13.90374331550802</v>
      </c>
      <c r="S1185" s="11">
        <f t="shared" si="344"/>
        <v>11.766042780748661</v>
      </c>
      <c r="T1185" s="11">
        <f t="shared" si="345"/>
        <v>0.57932263814616758</v>
      </c>
      <c r="U1185" s="11">
        <f>IF(A1184=A1185,0,VLOOKUP(A1185,'Packing Time'!A:F,6,0))</f>
        <v>0.875</v>
      </c>
      <c r="V1185" s="11">
        <f t="shared" si="337"/>
        <v>0.29618749999999999</v>
      </c>
      <c r="W1185" s="11">
        <f t="shared" si="338"/>
        <v>1.4583333333333334E-2</v>
      </c>
      <c r="X1185" s="11">
        <f t="shared" si="346"/>
        <v>16.887122393048124</v>
      </c>
      <c r="Y1185" s="11">
        <f t="shared" si="339"/>
        <v>16.887122393048124</v>
      </c>
      <c r="Z1185" s="37">
        <v>1</v>
      </c>
      <c r="AA1185" s="36">
        <f t="shared" si="347"/>
        <v>6.6844919786096257</v>
      </c>
      <c r="AB1185" s="36">
        <f t="shared" si="348"/>
        <v>11.229946524064172</v>
      </c>
      <c r="AC1185" s="11">
        <f t="shared" si="349"/>
        <v>0.8314683600713012</v>
      </c>
      <c r="AD1185" s="36">
        <f t="shared" si="340"/>
        <v>16.887122393048124</v>
      </c>
      <c r="AE1185" s="36"/>
      <c r="AF1185" s="36">
        <f>IFERROR(VLOOKUP(AE1185,'Chemical Cost'!A:D,4,0),0)</f>
        <v>0</v>
      </c>
      <c r="AG1185" s="114">
        <f t="shared" si="350"/>
        <v>0</v>
      </c>
      <c r="AH1185" s="36">
        <f t="shared" si="353"/>
        <v>0</v>
      </c>
      <c r="AI1185" s="36">
        <f t="shared" si="341"/>
        <v>28.117068917112295</v>
      </c>
      <c r="AJ1185" s="36">
        <f>IFERROR(VLOOKUP(A1185,'All Products'!A:F,6,0),0)</f>
        <v>26.98</v>
      </c>
      <c r="AK1185" s="36">
        <f>AJ1185*Z1185*J1185</f>
        <v>26.98</v>
      </c>
      <c r="AL1185" s="23">
        <v>1</v>
      </c>
      <c r="AM1185" s="23"/>
      <c r="AN1185" s="54" t="e">
        <v>#N/A</v>
      </c>
      <c r="AO1185" s="47"/>
      <c r="AP1185" s="4">
        <v>1.4</v>
      </c>
      <c r="AQ1185" s="111">
        <f t="shared" si="351"/>
        <v>0.8314683600713012</v>
      </c>
      <c r="AR1185">
        <f>_xlfn.XLOOKUP(F1185,'RM Cost'!A:A,'RM Cost'!S:S)</f>
        <v>0</v>
      </c>
      <c r="AS1185" t="e">
        <f>_xlfn.XLOOKUP(A1185,[3]Sheet1!$B:$B,[3]Sheet1!$B:$B)</f>
        <v>#N/A</v>
      </c>
    </row>
    <row r="1186" spans="1:46" x14ac:dyDescent="0.25">
      <c r="A1186" s="16" t="s">
        <v>175</v>
      </c>
      <c r="B1186" s="2" t="s">
        <v>656</v>
      </c>
      <c r="C1186" s="2" t="s">
        <v>1009</v>
      </c>
      <c r="D1186" s="2" t="s">
        <v>554</v>
      </c>
      <c r="E1186" s="2">
        <v>2.5</v>
      </c>
      <c r="F1186" s="1" t="str">
        <f>VLOOKUP(H1186,'RM Used'!A:B,2,0)</f>
        <v>P0008</v>
      </c>
      <c r="G1186" s="1" t="str">
        <f>IFERROR(VLOOKUP(F1186,'RM Cost'!A:B,2,0),"")</f>
        <v>PALE BLUE BAG 470X750MM</v>
      </c>
      <c r="H1186" s="1" t="s">
        <v>1323</v>
      </c>
      <c r="I1186" s="1" t="str">
        <f>VLOOKUP(F1186,'RM Used'!B:D,3,0)</f>
        <v>RM-PACKING</v>
      </c>
      <c r="J1186" s="66">
        <v>1</v>
      </c>
      <c r="K1186" s="35" t="str">
        <f t="shared" ref="K1186:K1245" si="354">IF(I1186="RM-FOOD",J1186*E1186,"")</f>
        <v/>
      </c>
      <c r="L1186" s="35">
        <f t="shared" si="343"/>
        <v>0</v>
      </c>
      <c r="M1186" s="77" t="str" cm="1">
        <f t="array" ref="M1186">_xlfn.IFS(BOM!I1186="RM-PACKING","100%",B1186="Reynolds",VLOOKUP(H1186,'Yield &amp; Time'!A:V,22,0),BOM!B1186="Dnata",VLOOKUP(BOM!H1186,'Yield &amp; Time'!A:M,13,0),B1186="NK",VLOOKUP(H1186,'Yield &amp; Time'!A:X,24,0))</f>
        <v>100%</v>
      </c>
      <c r="N1186" s="35">
        <f t="shared" si="342"/>
        <v>1</v>
      </c>
      <c r="O1186" s="1" t="str">
        <f>VLOOKUP(H1186,'RM Used'!A:E,5,0)</f>
        <v>Count</v>
      </c>
      <c r="P1186" s="11">
        <f>VLOOKUP(H1186,'RM Used'!A:F,6,0)</f>
        <v>0.14000000000000001</v>
      </c>
      <c r="Q1186" s="11">
        <f t="shared" si="352"/>
        <v>0.14000000000000001</v>
      </c>
      <c r="R1186" s="11">
        <f>IFERROR(IF(B1186="Reynolds",VLOOKUP(H1186,'Yield &amp; Time'!A:U,21,0),VLOOKUP(H1186,'Yield &amp; Time'!A:L,12,0)),0)</f>
        <v>0</v>
      </c>
      <c r="S1186" s="11">
        <f t="shared" si="344"/>
        <v>0</v>
      </c>
      <c r="T1186" s="11">
        <f t="shared" si="345"/>
        <v>0</v>
      </c>
      <c r="U1186" s="11">
        <f>IF(A1185=A1186,0,VLOOKUP(A1186,'Packing Time'!A:F,6,0))</f>
        <v>0</v>
      </c>
      <c r="V1186" s="11">
        <f t="shared" si="337"/>
        <v>0</v>
      </c>
      <c r="W1186" s="11">
        <f t="shared" si="338"/>
        <v>0</v>
      </c>
      <c r="X1186" s="11">
        <f t="shared" si="346"/>
        <v>0</v>
      </c>
      <c r="Y1186" s="11">
        <f t="shared" si="339"/>
        <v>0</v>
      </c>
      <c r="Z1186" s="37">
        <v>1</v>
      </c>
      <c r="AA1186" s="36">
        <f t="shared" si="347"/>
        <v>1</v>
      </c>
      <c r="AB1186" s="36">
        <f t="shared" si="348"/>
        <v>0.14000000000000001</v>
      </c>
      <c r="AC1186" s="11">
        <f t="shared" si="349"/>
        <v>0</v>
      </c>
      <c r="AD1186" s="36">
        <f t="shared" si="340"/>
        <v>0</v>
      </c>
      <c r="AE1186" s="36"/>
      <c r="AF1186" s="36">
        <f>IFERROR(VLOOKUP(AE1186,'Chemical Cost'!A:D,4,0),0)</f>
        <v>0</v>
      </c>
      <c r="AG1186" s="114">
        <f t="shared" si="350"/>
        <v>0</v>
      </c>
      <c r="AH1186" s="36">
        <f t="shared" si="353"/>
        <v>0</v>
      </c>
      <c r="AI1186" s="36">
        <f t="shared" si="341"/>
        <v>0.14000000000000001</v>
      </c>
      <c r="AJ1186" s="36">
        <f>IFERROR(VLOOKUP(A1186,'All Products'!A:F,6,0),0)</f>
        <v>26.98</v>
      </c>
      <c r="AK1186" s="36"/>
      <c r="AL1186" s="23">
        <v>1</v>
      </c>
      <c r="AM1186" s="23"/>
      <c r="AN1186" s="54" t="e">
        <v>#N/A</v>
      </c>
      <c r="AO1186" s="47"/>
      <c r="AP1186" s="4">
        <v>1.4</v>
      </c>
      <c r="AQ1186" s="111">
        <f t="shared" si="351"/>
        <v>0</v>
      </c>
      <c r="AR1186">
        <f>_xlfn.XLOOKUP(F1186,'RM Cost'!A:A,'RM Cost'!S:S)</f>
        <v>0</v>
      </c>
      <c r="AS1186" t="e">
        <f>_xlfn.XLOOKUP(A1186,[3]Sheet1!$B:$B,[3]Sheet1!$B:$B)</f>
        <v>#N/A</v>
      </c>
    </row>
    <row r="1187" spans="1:46" x14ac:dyDescent="0.25">
      <c r="A1187" s="16" t="s">
        <v>383</v>
      </c>
      <c r="B1187" s="2" t="s">
        <v>656</v>
      </c>
      <c r="C1187" s="2" t="s">
        <v>384</v>
      </c>
      <c r="D1187" s="2" t="s">
        <v>554</v>
      </c>
      <c r="E1187" s="2">
        <v>2.5</v>
      </c>
      <c r="F1187" s="1" t="str">
        <f>VLOOKUP(H1187,'RM Used'!A:B,2,0)</f>
        <v>2961CS</v>
      </c>
      <c r="G1187" s="1" t="str">
        <f>IFERROR(VLOOKUP(F1187,'RM Cost'!A:B,2,0),"")</f>
        <v>RM - ARTICHOKES JERUSALEM  X5KG</v>
      </c>
      <c r="H1187" s="2" t="s">
        <v>1597</v>
      </c>
      <c r="I1187" s="1" t="str">
        <f>VLOOKUP(F1187,'RM Used'!B:D,3,0)</f>
        <v>RM-FOOD</v>
      </c>
      <c r="J1187" s="66">
        <v>1</v>
      </c>
      <c r="K1187" s="35">
        <f t="shared" si="354"/>
        <v>2.5</v>
      </c>
      <c r="L1187" s="35">
        <f t="shared" si="343"/>
        <v>2.5</v>
      </c>
      <c r="M1187" s="77" cm="1">
        <f t="array" ref="M1187">_xlfn.IFS(BOM!I1187="RM-PACKING","100%",B1187="Reynolds",VLOOKUP(H1187,'Yield &amp; Time'!A:V,22,0),BOM!B1187="Dnata",VLOOKUP(BOM!H1187,'Yield &amp; Time'!A:M,13,0),B1187="NK",VLOOKUP(H1187,'Yield &amp; Time'!A:X,24,0))</f>
        <v>0.6298701298701298</v>
      </c>
      <c r="N1187" s="35">
        <f t="shared" si="342"/>
        <v>3.9690721649484542</v>
      </c>
      <c r="O1187" s="1" t="str">
        <f>VLOOKUP(H1187,'RM Used'!A:E,5,0)</f>
        <v>KG</v>
      </c>
      <c r="P1187" s="11">
        <f>VLOOKUP(H1187,'RM Used'!A:F,6,0)</f>
        <v>1.57</v>
      </c>
      <c r="Q1187" s="11">
        <f t="shared" si="352"/>
        <v>6.2314432989690731</v>
      </c>
      <c r="R1187" s="11">
        <f>IFERROR(IF(B1187="Reynolds",VLOOKUP(H1187,'Yield &amp; Time'!A:U,21,0),VLOOKUP(H1187,'Yield &amp; Time'!A:L,12,0)),0)</f>
        <v>7.8319587628865976</v>
      </c>
      <c r="S1187" s="11">
        <f t="shared" si="344"/>
        <v>6.6277951030927822</v>
      </c>
      <c r="T1187" s="11">
        <f t="shared" si="345"/>
        <v>0.32633161512027492</v>
      </c>
      <c r="U1187" s="11">
        <f>IF(A1186=A1187,0,VLOOKUP(A1187,'Packing Time'!A:F,6,0))</f>
        <v>0.875</v>
      </c>
      <c r="V1187" s="11">
        <f t="shared" ref="V1187:V1246" si="355">U1187*AO$1</f>
        <v>0.29618749999999999</v>
      </c>
      <c r="W1187" s="11">
        <f t="shared" ref="W1187:W1246" si="356">(U1187*Z1187)/60</f>
        <v>1.4583333333333334E-2</v>
      </c>
      <c r="X1187" s="11">
        <f t="shared" si="346"/>
        <v>11.078372164948453</v>
      </c>
      <c r="Y1187" s="11">
        <f t="shared" ref="Y1187:Y1246" si="357">X1187*Z1187</f>
        <v>11.078372164948453</v>
      </c>
      <c r="Z1187" s="37">
        <v>1</v>
      </c>
      <c r="AA1187" s="36">
        <f t="shared" si="347"/>
        <v>3.9690721649484542</v>
      </c>
      <c r="AB1187" s="36">
        <f t="shared" si="348"/>
        <v>6.2314432989690731</v>
      </c>
      <c r="AC1187" s="11">
        <f t="shared" si="349"/>
        <v>0.54546391752577317</v>
      </c>
      <c r="AD1187" s="36">
        <f t="shared" ref="AD1187:AD1246" si="358">AC1187*60*AO$1</f>
        <v>11.078372164948453</v>
      </c>
      <c r="AE1187" s="36" t="str">
        <f>VLOOKUP(H1187,'Yield &amp; Time'!A:I,9,0)</f>
        <v>NATURE SEAL A5</v>
      </c>
      <c r="AF1187" s="36">
        <f>IFERROR(VLOOKUP(AE1187,'Chemical Cost'!A:D,4,0),0)</f>
        <v>0.51079223287545206</v>
      </c>
      <c r="AG1187" s="114">
        <f t="shared" si="350"/>
        <v>0.67579041119260852</v>
      </c>
      <c r="AH1187" s="36">
        <f t="shared" si="353"/>
        <v>0.67579041119260852</v>
      </c>
      <c r="AI1187" s="36">
        <f t="shared" ref="AI1187:AI1246" si="359">IFERROR((Q1187*Z1187)+(Z1187*X1187)+AH1187,0)</f>
        <v>17.985605875110135</v>
      </c>
      <c r="AJ1187" s="36">
        <f>IFERROR(VLOOKUP(A1187,'All Products'!A:F,6,0),0)</f>
        <v>20.62</v>
      </c>
      <c r="AK1187" s="36">
        <f>AJ1187*Z1187*J1187</f>
        <v>20.62</v>
      </c>
      <c r="AL1187" s="23">
        <v>1</v>
      </c>
      <c r="AM1187" s="23"/>
      <c r="AN1187" s="54" t="e">
        <v>#N/A</v>
      </c>
      <c r="AO1187" s="47"/>
      <c r="AP1187" s="4">
        <v>1.6</v>
      </c>
      <c r="AQ1187" s="111">
        <f t="shared" si="351"/>
        <v>0.54546391752577317</v>
      </c>
      <c r="AR1187">
        <f>_xlfn.XLOOKUP(F1187,'RM Cost'!A:A,'RM Cost'!S:S)</f>
        <v>0</v>
      </c>
      <c r="AS1187" t="e">
        <f>_xlfn.XLOOKUP(A1187,[3]Sheet1!$B:$B,[3]Sheet1!$B:$B)</f>
        <v>#N/A</v>
      </c>
    </row>
    <row r="1188" spans="1:46" x14ac:dyDescent="0.25">
      <c r="A1188" s="16" t="s">
        <v>383</v>
      </c>
      <c r="B1188" s="2" t="s">
        <v>656</v>
      </c>
      <c r="C1188" s="2" t="s">
        <v>384</v>
      </c>
      <c r="D1188" s="2" t="s">
        <v>554</v>
      </c>
      <c r="E1188" s="2">
        <v>2.5</v>
      </c>
      <c r="F1188" s="1" t="str">
        <f>VLOOKUP(H1188,'RM Used'!A:B,2,0)</f>
        <v>P0008</v>
      </c>
      <c r="G1188" s="1" t="str">
        <f>IFERROR(VLOOKUP(F1188,'RM Cost'!A:B,2,0),"")</f>
        <v>PALE BLUE BAG 470X750MM</v>
      </c>
      <c r="H1188" s="1" t="s">
        <v>1323</v>
      </c>
      <c r="I1188" s="1" t="str">
        <f>VLOOKUP(F1188,'RM Used'!B:D,3,0)</f>
        <v>RM-PACKING</v>
      </c>
      <c r="J1188" s="66">
        <v>1</v>
      </c>
      <c r="K1188" s="35" t="str">
        <f t="shared" si="354"/>
        <v/>
      </c>
      <c r="L1188" s="35">
        <f t="shared" si="343"/>
        <v>0</v>
      </c>
      <c r="M1188" s="77" t="str" cm="1">
        <f t="array" ref="M1188">_xlfn.IFS(BOM!I1188="RM-PACKING","100%",B1188="Reynolds",VLOOKUP(H1188,'Yield &amp; Time'!A:V,22,0),BOM!B1188="Dnata",VLOOKUP(BOM!H1188,'Yield &amp; Time'!A:M,13,0),B1188="NK",VLOOKUP(H1188,'Yield &amp; Time'!A:X,24,0))</f>
        <v>100%</v>
      </c>
      <c r="N1188" s="35">
        <f t="shared" si="342"/>
        <v>1</v>
      </c>
      <c r="O1188" s="1" t="str">
        <f>VLOOKUP(H1188,'RM Used'!A:E,5,0)</f>
        <v>Count</v>
      </c>
      <c r="P1188" s="11">
        <f>VLOOKUP(H1188,'RM Used'!A:F,6,0)</f>
        <v>0.14000000000000001</v>
      </c>
      <c r="Q1188" s="11">
        <f t="shared" si="352"/>
        <v>0.14000000000000001</v>
      </c>
      <c r="R1188" s="11">
        <f>IFERROR(IF(B1188="Reynolds",VLOOKUP(H1188,'Yield &amp; Time'!A:U,21,0),VLOOKUP(H1188,'Yield &amp; Time'!A:L,12,0)),0)</f>
        <v>0</v>
      </c>
      <c r="S1188" s="11">
        <f t="shared" si="344"/>
        <v>0</v>
      </c>
      <c r="T1188" s="11">
        <f t="shared" si="345"/>
        <v>0</v>
      </c>
      <c r="U1188" s="11">
        <f>IF(A1187=A1188,0,VLOOKUP(A1188,'Packing Time'!A:F,6,0))</f>
        <v>0</v>
      </c>
      <c r="V1188" s="11">
        <f t="shared" si="355"/>
        <v>0</v>
      </c>
      <c r="W1188" s="11">
        <f t="shared" si="356"/>
        <v>0</v>
      </c>
      <c r="X1188" s="11">
        <f t="shared" si="346"/>
        <v>0</v>
      </c>
      <c r="Y1188" s="11">
        <f t="shared" si="357"/>
        <v>0</v>
      </c>
      <c r="Z1188" s="37">
        <v>1</v>
      </c>
      <c r="AA1188" s="36">
        <f t="shared" si="347"/>
        <v>1</v>
      </c>
      <c r="AB1188" s="36">
        <f t="shared" si="348"/>
        <v>0.14000000000000001</v>
      </c>
      <c r="AC1188" s="11">
        <f t="shared" si="349"/>
        <v>0</v>
      </c>
      <c r="AD1188" s="36">
        <f t="shared" si="358"/>
        <v>0</v>
      </c>
      <c r="AE1188" s="36"/>
      <c r="AF1188" s="36">
        <f>IFERROR(VLOOKUP(AE1188,'Chemical Cost'!A:D,4,0),0)</f>
        <v>0</v>
      </c>
      <c r="AG1188" s="114">
        <f t="shared" si="350"/>
        <v>0</v>
      </c>
      <c r="AH1188" s="36">
        <f t="shared" si="353"/>
        <v>0</v>
      </c>
      <c r="AI1188" s="36">
        <f t="shared" si="359"/>
        <v>0.14000000000000001</v>
      </c>
      <c r="AJ1188" s="36">
        <f>IFERROR(VLOOKUP(A1188,'All Products'!A:F,6,0),0)</f>
        <v>20.62</v>
      </c>
      <c r="AK1188" s="36"/>
      <c r="AL1188" s="23">
        <v>1</v>
      </c>
      <c r="AM1188" s="23"/>
      <c r="AN1188" s="54" t="e">
        <v>#N/A</v>
      </c>
      <c r="AO1188" s="47"/>
      <c r="AP1188" s="4">
        <v>1.6</v>
      </c>
      <c r="AQ1188" s="111">
        <f t="shared" si="351"/>
        <v>0</v>
      </c>
      <c r="AR1188">
        <f>_xlfn.XLOOKUP(F1188,'RM Cost'!A:A,'RM Cost'!S:S)</f>
        <v>0</v>
      </c>
      <c r="AS1188" t="e">
        <f>_xlfn.XLOOKUP(A1188,[3]Sheet1!$B:$B,[3]Sheet1!$B:$B)</f>
        <v>#N/A</v>
      </c>
    </row>
    <row r="1189" spans="1:46" x14ac:dyDescent="0.25">
      <c r="A1189" s="16" t="s">
        <v>372</v>
      </c>
      <c r="B1189" s="2" t="s">
        <v>656</v>
      </c>
      <c r="C1189" s="2" t="s">
        <v>1014</v>
      </c>
      <c r="D1189" s="2" t="s">
        <v>554</v>
      </c>
      <c r="E1189" s="2">
        <v>1</v>
      </c>
      <c r="F1189" s="1" t="str">
        <f>VLOOKUP(H1189,'RM Used'!A:B,2,0)</f>
        <v>3026CS</v>
      </c>
      <c r="G1189" s="1" t="str">
        <f>IFERROR(VLOOKUP(F1189,'RM Cost'!A:B,2,0),"")</f>
        <v>RM - BEETROOT RAW  X10KG</v>
      </c>
      <c r="H1189" s="2" t="s">
        <v>1620</v>
      </c>
      <c r="I1189" s="1" t="str">
        <f>VLOOKUP(F1189,'RM Used'!B:D,3,0)</f>
        <v>RM-FOOD</v>
      </c>
      <c r="J1189" s="66">
        <v>1</v>
      </c>
      <c r="K1189" s="35">
        <f t="shared" si="354"/>
        <v>1</v>
      </c>
      <c r="L1189" s="35">
        <f t="shared" si="343"/>
        <v>1</v>
      </c>
      <c r="M1189" s="77" cm="1">
        <f t="array" ref="M1189">_xlfn.IFS(BOM!I1189="RM-PACKING","100%",B1189="Reynolds",VLOOKUP(H1189,'Yield &amp; Time'!A:V,22,0),BOM!B1189="Dnata",VLOOKUP(BOM!H1189,'Yield &amp; Time'!A:M,13,0),B1189="NK",VLOOKUP(H1189,'Yield &amp; Time'!A:X,24,0))</f>
        <v>0.8571428571428571</v>
      </c>
      <c r="N1189" s="35">
        <f t="shared" si="342"/>
        <v>1.1666666666666667</v>
      </c>
      <c r="O1189" s="1" t="str">
        <f>VLOOKUP(H1189,'RM Used'!A:E,5,0)</f>
        <v>KG</v>
      </c>
      <c r="P1189" s="11">
        <f>VLOOKUP(H1189,'RM Used'!A:F,6,0)</f>
        <v>0.47</v>
      </c>
      <c r="Q1189" s="11">
        <f t="shared" si="352"/>
        <v>0.54833333333333334</v>
      </c>
      <c r="R1189" s="11">
        <f>IFERROR(IF(B1189="Reynolds",VLOOKUP(H1189,'Yield &amp; Time'!A:U,21,0),VLOOKUP(H1189,'Yield &amp; Time'!A:L,12,0)),0)</f>
        <v>3.3</v>
      </c>
      <c r="S1189" s="11">
        <f t="shared" si="344"/>
        <v>1.1170499999999999</v>
      </c>
      <c r="T1189" s="11">
        <f t="shared" si="345"/>
        <v>5.5E-2</v>
      </c>
      <c r="U1189" s="11">
        <f>IF(A1188=A1189,0,VLOOKUP(A1189,'Packing Time'!A:F,6,0))</f>
        <v>0.64166666666666661</v>
      </c>
      <c r="V1189" s="11">
        <f t="shared" si="355"/>
        <v>0.21720416666666661</v>
      </c>
      <c r="W1189" s="11">
        <f t="shared" si="356"/>
        <v>1.0694444444444444E-2</v>
      </c>
      <c r="X1189" s="11">
        <f t="shared" si="346"/>
        <v>2.1348066666666665</v>
      </c>
      <c r="Y1189" s="11">
        <f t="shared" si="357"/>
        <v>2.1348066666666665</v>
      </c>
      <c r="Z1189" s="37">
        <v>1</v>
      </c>
      <c r="AA1189" s="36">
        <f t="shared" si="347"/>
        <v>1.1666666666666667</v>
      </c>
      <c r="AB1189" s="36">
        <f t="shared" si="348"/>
        <v>0.54833333333333334</v>
      </c>
      <c r="AC1189" s="11">
        <f t="shared" si="349"/>
        <v>0.10511111111111111</v>
      </c>
      <c r="AD1189" s="36">
        <f t="shared" si="358"/>
        <v>2.1348066666666665</v>
      </c>
      <c r="AE1189" s="36"/>
      <c r="AF1189" s="36">
        <f>IFERROR(VLOOKUP(AE1189,'Chemical Cost'!A:D,4,0),0)</f>
        <v>0</v>
      </c>
      <c r="AG1189" s="114">
        <f t="shared" si="350"/>
        <v>0</v>
      </c>
      <c r="AH1189" s="36">
        <f t="shared" si="353"/>
        <v>0</v>
      </c>
      <c r="AI1189" s="36">
        <f t="shared" si="359"/>
        <v>2.6831399999999999</v>
      </c>
      <c r="AJ1189" s="36">
        <f>IFERROR(VLOOKUP(A1189,'All Products'!A:F,6,0),0)</f>
        <v>3.62</v>
      </c>
      <c r="AK1189" s="36">
        <f>AJ1189*Z1189*J1189</f>
        <v>3.62</v>
      </c>
      <c r="AL1189" s="23">
        <v>1</v>
      </c>
      <c r="AM1189" s="23"/>
      <c r="AN1189" s="54" t="e">
        <v>#N/A</v>
      </c>
      <c r="AO1189" s="47"/>
      <c r="AP1189" s="4">
        <v>1.6</v>
      </c>
      <c r="AQ1189" s="111">
        <f t="shared" si="351"/>
        <v>0.10511111111111111</v>
      </c>
      <c r="AR1189">
        <f>_xlfn.XLOOKUP(F1189,'RM Cost'!A:A,'RM Cost'!S:S)</f>
        <v>0</v>
      </c>
      <c r="AS1189" t="e">
        <f>_xlfn.XLOOKUP(A1189,[3]Sheet1!$B:$B,[3]Sheet1!$B:$B)</f>
        <v>#N/A</v>
      </c>
    </row>
    <row r="1190" spans="1:46" x14ac:dyDescent="0.25">
      <c r="A1190" s="16" t="s">
        <v>372</v>
      </c>
      <c r="B1190" s="2" t="s">
        <v>656</v>
      </c>
      <c r="C1190" s="2" t="s">
        <v>1014</v>
      </c>
      <c r="D1190" s="2" t="s">
        <v>554</v>
      </c>
      <c r="E1190" s="2">
        <v>1</v>
      </c>
      <c r="F1190" s="1" t="str">
        <f>VLOOKUP(H1190,'RM Used'!A:B,2,0)</f>
        <v>P0008</v>
      </c>
      <c r="G1190" s="1" t="str">
        <f>IFERROR(VLOOKUP(F1190,'RM Cost'!A:B,2,0),"")</f>
        <v>PALE BLUE BAG 470X750MM</v>
      </c>
      <c r="H1190" s="1" t="s">
        <v>1323</v>
      </c>
      <c r="I1190" s="1" t="str">
        <f>VLOOKUP(F1190,'RM Used'!B:D,3,0)</f>
        <v>RM-PACKING</v>
      </c>
      <c r="J1190" s="66">
        <v>1</v>
      </c>
      <c r="K1190" s="35" t="str">
        <f t="shared" si="354"/>
        <v/>
      </c>
      <c r="L1190" s="35">
        <f t="shared" si="343"/>
        <v>0</v>
      </c>
      <c r="M1190" s="77" t="str" cm="1">
        <f t="array" ref="M1190">_xlfn.IFS(BOM!I1190="RM-PACKING","100%",B1190="Reynolds",VLOOKUP(H1190,'Yield &amp; Time'!A:V,22,0),BOM!B1190="Dnata",VLOOKUP(BOM!H1190,'Yield &amp; Time'!A:M,13,0),B1190="NK",VLOOKUP(H1190,'Yield &amp; Time'!A:X,24,0))</f>
        <v>100%</v>
      </c>
      <c r="N1190" s="35">
        <f t="shared" si="342"/>
        <v>1</v>
      </c>
      <c r="O1190" s="1" t="str">
        <f>VLOOKUP(H1190,'RM Used'!A:E,5,0)</f>
        <v>Count</v>
      </c>
      <c r="P1190" s="11">
        <f>VLOOKUP(H1190,'RM Used'!A:F,6,0)</f>
        <v>0.14000000000000001</v>
      </c>
      <c r="Q1190" s="11">
        <f t="shared" si="352"/>
        <v>0.14000000000000001</v>
      </c>
      <c r="R1190" s="11">
        <f>IFERROR(IF(B1190="Reynolds",VLOOKUP(H1190,'Yield &amp; Time'!A:U,21,0),VLOOKUP(H1190,'Yield &amp; Time'!A:L,12,0)),0)</f>
        <v>0</v>
      </c>
      <c r="S1190" s="11">
        <f t="shared" si="344"/>
        <v>0</v>
      </c>
      <c r="T1190" s="11">
        <f t="shared" si="345"/>
        <v>0</v>
      </c>
      <c r="U1190" s="11">
        <f>IF(A1189=A1190,0,VLOOKUP(A1190,'Packing Time'!A:F,6,0))</f>
        <v>0</v>
      </c>
      <c r="V1190" s="11">
        <f t="shared" si="355"/>
        <v>0</v>
      </c>
      <c r="W1190" s="11">
        <f t="shared" si="356"/>
        <v>0</v>
      </c>
      <c r="X1190" s="11">
        <f t="shared" si="346"/>
        <v>0</v>
      </c>
      <c r="Y1190" s="11">
        <f t="shared" si="357"/>
        <v>0</v>
      </c>
      <c r="Z1190" s="37">
        <v>1</v>
      </c>
      <c r="AA1190" s="36">
        <f t="shared" si="347"/>
        <v>1</v>
      </c>
      <c r="AB1190" s="36">
        <f t="shared" si="348"/>
        <v>0.14000000000000001</v>
      </c>
      <c r="AC1190" s="11">
        <f t="shared" si="349"/>
        <v>0</v>
      </c>
      <c r="AD1190" s="36">
        <f t="shared" si="358"/>
        <v>0</v>
      </c>
      <c r="AE1190" s="36"/>
      <c r="AF1190" s="36">
        <f>IFERROR(VLOOKUP(AE1190,'Chemical Cost'!A:D,4,0),0)</f>
        <v>0</v>
      </c>
      <c r="AG1190" s="114">
        <f t="shared" si="350"/>
        <v>0</v>
      </c>
      <c r="AH1190" s="36">
        <f t="shared" si="353"/>
        <v>0</v>
      </c>
      <c r="AI1190" s="36">
        <f t="shared" si="359"/>
        <v>0.14000000000000001</v>
      </c>
      <c r="AJ1190" s="36">
        <f>IFERROR(VLOOKUP(A1190,'All Products'!A:F,6,0),0)</f>
        <v>3.62</v>
      </c>
      <c r="AK1190" s="36"/>
      <c r="AL1190" s="23">
        <v>1</v>
      </c>
      <c r="AM1190" s="23"/>
      <c r="AN1190" s="54" t="e">
        <v>#N/A</v>
      </c>
      <c r="AO1190" s="47"/>
      <c r="AP1190" s="4">
        <v>1.6</v>
      </c>
      <c r="AQ1190" s="111">
        <f t="shared" si="351"/>
        <v>0</v>
      </c>
      <c r="AR1190">
        <f>_xlfn.XLOOKUP(F1190,'RM Cost'!A:A,'RM Cost'!S:S)</f>
        <v>0</v>
      </c>
      <c r="AS1190" t="e">
        <f>_xlfn.XLOOKUP(A1190,[3]Sheet1!$B:$B,[3]Sheet1!$B:$B)</f>
        <v>#N/A</v>
      </c>
    </row>
    <row r="1191" spans="1:46" x14ac:dyDescent="0.25">
      <c r="A1191" s="16" t="s">
        <v>532</v>
      </c>
      <c r="B1191" s="2" t="s">
        <v>656</v>
      </c>
      <c r="C1191" s="2" t="s">
        <v>1015</v>
      </c>
      <c r="D1191" s="2" t="s">
        <v>554</v>
      </c>
      <c r="E1191" s="2">
        <v>2.5</v>
      </c>
      <c r="F1191" s="1" t="str">
        <f>VLOOKUP(H1191,'RM Used'!A:B,2,0)</f>
        <v>3026CS</v>
      </c>
      <c r="G1191" s="1" t="str">
        <f>IFERROR(VLOOKUP(F1191,'RM Cost'!A:B,2,0),"")</f>
        <v>RM - BEETROOT RAW  X10KG</v>
      </c>
      <c r="H1191" s="2" t="s">
        <v>1620</v>
      </c>
      <c r="I1191" s="1" t="str">
        <f>VLOOKUP(F1191,'RM Used'!B:D,3,0)</f>
        <v>RM-FOOD</v>
      </c>
      <c r="J1191" s="66">
        <v>1</v>
      </c>
      <c r="K1191" s="35">
        <f t="shared" si="354"/>
        <v>2.5</v>
      </c>
      <c r="L1191" s="35">
        <f t="shared" si="343"/>
        <v>2.5</v>
      </c>
      <c r="M1191" s="77" cm="1">
        <f t="array" ref="M1191">_xlfn.IFS(BOM!I1191="RM-PACKING","100%",B1191="Reynolds",VLOOKUP(H1191,'Yield &amp; Time'!A:V,22,0),BOM!B1191="Dnata",VLOOKUP(BOM!H1191,'Yield &amp; Time'!A:M,13,0),B1191="NK",VLOOKUP(H1191,'Yield &amp; Time'!A:X,24,0))</f>
        <v>0.8571428571428571</v>
      </c>
      <c r="N1191" s="35">
        <f t="shared" si="342"/>
        <v>2.916666666666667</v>
      </c>
      <c r="O1191" s="1" t="str">
        <f>VLOOKUP(H1191,'RM Used'!A:E,5,0)</f>
        <v>KG</v>
      </c>
      <c r="P1191" s="11">
        <f>VLOOKUP(H1191,'RM Used'!A:F,6,0)</f>
        <v>0.47</v>
      </c>
      <c r="Q1191" s="11">
        <f t="shared" si="352"/>
        <v>1.3708333333333333</v>
      </c>
      <c r="R1191" s="11">
        <f>IFERROR(IF(B1191="Reynolds",VLOOKUP(H1191,'Yield &amp; Time'!A:U,21,0),VLOOKUP(H1191,'Yield &amp; Time'!A:L,12,0)),0)</f>
        <v>3.3</v>
      </c>
      <c r="S1191" s="11">
        <f t="shared" si="344"/>
        <v>2.7926249999999997</v>
      </c>
      <c r="T1191" s="11">
        <f t="shared" si="345"/>
        <v>0.13750000000000001</v>
      </c>
      <c r="U1191" s="11">
        <f>IF(A1190=A1191,0,VLOOKUP(A1191,'Packing Time'!A:F,6,0))</f>
        <v>0.875</v>
      </c>
      <c r="V1191" s="11">
        <f t="shared" si="355"/>
        <v>0.29618749999999999</v>
      </c>
      <c r="W1191" s="11">
        <f t="shared" si="356"/>
        <v>1.4583333333333334E-2</v>
      </c>
      <c r="X1191" s="11">
        <f t="shared" si="346"/>
        <v>4.9420999999999999</v>
      </c>
      <c r="Y1191" s="11">
        <f t="shared" si="357"/>
        <v>4.9420999999999999</v>
      </c>
      <c r="Z1191" s="37">
        <v>1</v>
      </c>
      <c r="AA1191" s="36">
        <f t="shared" si="347"/>
        <v>2.916666666666667</v>
      </c>
      <c r="AB1191" s="36">
        <f t="shared" si="348"/>
        <v>1.3708333333333333</v>
      </c>
      <c r="AC1191" s="11">
        <f t="shared" si="349"/>
        <v>0.24333333333333332</v>
      </c>
      <c r="AD1191" s="36">
        <f t="shared" si="358"/>
        <v>4.942099999999999</v>
      </c>
      <c r="AE1191" s="36"/>
      <c r="AF1191" s="36">
        <f>IFERROR(VLOOKUP(AE1191,'Chemical Cost'!A:D,4,0),0)</f>
        <v>0</v>
      </c>
      <c r="AG1191" s="114">
        <f t="shared" si="350"/>
        <v>0</v>
      </c>
      <c r="AH1191" s="36">
        <f t="shared" si="353"/>
        <v>0</v>
      </c>
      <c r="AI1191" s="36">
        <f t="shared" si="359"/>
        <v>6.3129333333333335</v>
      </c>
      <c r="AJ1191" s="36">
        <f>IFERROR(VLOOKUP(A1191,'All Products'!A:F,6,0),0)</f>
        <v>9.7899999999999991</v>
      </c>
      <c r="AK1191" s="36">
        <f>AJ1191*Z1191*J1191</f>
        <v>9.7899999999999991</v>
      </c>
      <c r="AL1191" s="23">
        <v>1</v>
      </c>
      <c r="AM1191" s="23"/>
      <c r="AN1191" s="54" t="e">
        <v>#N/A</v>
      </c>
      <c r="AO1191" s="47"/>
      <c r="AP1191" s="4">
        <v>1.6</v>
      </c>
      <c r="AQ1191" s="111">
        <f t="shared" si="351"/>
        <v>0.24333333333333332</v>
      </c>
      <c r="AR1191">
        <f>_xlfn.XLOOKUP(F1191,'RM Cost'!A:A,'RM Cost'!S:S)</f>
        <v>0</v>
      </c>
      <c r="AS1191" t="e">
        <f>_xlfn.XLOOKUP(A1191,[3]Sheet1!$B:$B,[3]Sheet1!$B:$B)</f>
        <v>#N/A</v>
      </c>
    </row>
    <row r="1192" spans="1:46" x14ac:dyDescent="0.25">
      <c r="A1192" s="16" t="s">
        <v>532</v>
      </c>
      <c r="B1192" s="2" t="s">
        <v>656</v>
      </c>
      <c r="C1192" s="2" t="s">
        <v>1015</v>
      </c>
      <c r="D1192" s="2" t="s">
        <v>554</v>
      </c>
      <c r="E1192" s="2">
        <v>2.5</v>
      </c>
      <c r="F1192" s="1" t="str">
        <f>VLOOKUP(H1192,'RM Used'!A:B,2,0)</f>
        <v>P0008</v>
      </c>
      <c r="G1192" s="1" t="str">
        <f>IFERROR(VLOOKUP(F1192,'RM Cost'!A:B,2,0),"")</f>
        <v>PALE BLUE BAG 470X750MM</v>
      </c>
      <c r="H1192" s="1" t="s">
        <v>1323</v>
      </c>
      <c r="I1192" s="1" t="str">
        <f>VLOOKUP(F1192,'RM Used'!B:D,3,0)</f>
        <v>RM-PACKING</v>
      </c>
      <c r="J1192" s="66">
        <v>1</v>
      </c>
      <c r="K1192" s="35" t="str">
        <f t="shared" si="354"/>
        <v/>
      </c>
      <c r="L1192" s="35">
        <f t="shared" si="343"/>
        <v>0</v>
      </c>
      <c r="M1192" s="77" t="str" cm="1">
        <f t="array" ref="M1192">_xlfn.IFS(BOM!I1192="RM-PACKING","100%",B1192="Reynolds",VLOOKUP(H1192,'Yield &amp; Time'!A:V,22,0),BOM!B1192="Dnata",VLOOKUP(BOM!H1192,'Yield &amp; Time'!A:M,13,0),B1192="NK",VLOOKUP(H1192,'Yield &amp; Time'!A:X,24,0))</f>
        <v>100%</v>
      </c>
      <c r="N1192" s="35">
        <f t="shared" si="342"/>
        <v>1</v>
      </c>
      <c r="O1192" s="1" t="str">
        <f>VLOOKUP(H1192,'RM Used'!A:E,5,0)</f>
        <v>Count</v>
      </c>
      <c r="P1192" s="11">
        <f>VLOOKUP(H1192,'RM Used'!A:F,6,0)</f>
        <v>0.14000000000000001</v>
      </c>
      <c r="Q1192" s="11">
        <f t="shared" si="352"/>
        <v>0.14000000000000001</v>
      </c>
      <c r="R1192" s="11">
        <f>IFERROR(IF(B1192="Reynolds",VLOOKUP(H1192,'Yield &amp; Time'!A:U,21,0),VLOOKUP(H1192,'Yield &amp; Time'!A:L,12,0)),0)</f>
        <v>0</v>
      </c>
      <c r="S1192" s="11">
        <f t="shared" si="344"/>
        <v>0</v>
      </c>
      <c r="T1192" s="11">
        <f t="shared" si="345"/>
        <v>0</v>
      </c>
      <c r="U1192" s="11">
        <f>IF(A1191=A1192,0,VLOOKUP(A1192,'Packing Time'!A:F,6,0))</f>
        <v>0</v>
      </c>
      <c r="V1192" s="11">
        <f t="shared" si="355"/>
        <v>0</v>
      </c>
      <c r="W1192" s="11">
        <f t="shared" si="356"/>
        <v>0</v>
      </c>
      <c r="X1192" s="11">
        <f t="shared" si="346"/>
        <v>0</v>
      </c>
      <c r="Y1192" s="11">
        <f t="shared" si="357"/>
        <v>0</v>
      </c>
      <c r="Z1192" s="37">
        <v>1</v>
      </c>
      <c r="AA1192" s="36">
        <f t="shared" si="347"/>
        <v>1</v>
      </c>
      <c r="AB1192" s="36">
        <f t="shared" si="348"/>
        <v>0.14000000000000001</v>
      </c>
      <c r="AC1192" s="11">
        <f t="shared" si="349"/>
        <v>0</v>
      </c>
      <c r="AD1192" s="36">
        <f t="shared" si="358"/>
        <v>0</v>
      </c>
      <c r="AE1192" s="36"/>
      <c r="AF1192" s="36">
        <f>IFERROR(VLOOKUP(AE1192,'Chemical Cost'!A:D,4,0),0)</f>
        <v>0</v>
      </c>
      <c r="AG1192" s="114">
        <f t="shared" si="350"/>
        <v>0</v>
      </c>
      <c r="AH1192" s="36">
        <f t="shared" si="353"/>
        <v>0</v>
      </c>
      <c r="AI1192" s="36">
        <f t="shared" si="359"/>
        <v>0.14000000000000001</v>
      </c>
      <c r="AJ1192" s="36">
        <f>IFERROR(VLOOKUP(A1192,'All Products'!A:F,6,0),0)</f>
        <v>9.7899999999999991</v>
      </c>
      <c r="AK1192" s="36"/>
      <c r="AL1192" s="23">
        <v>1</v>
      </c>
      <c r="AM1192" s="23"/>
      <c r="AN1192" s="54" t="e">
        <v>#N/A</v>
      </c>
      <c r="AO1192" s="47"/>
      <c r="AP1192" s="4">
        <v>1.6</v>
      </c>
      <c r="AQ1192" s="111">
        <f t="shared" si="351"/>
        <v>0</v>
      </c>
      <c r="AR1192">
        <f>_xlfn.XLOOKUP(F1192,'RM Cost'!A:A,'RM Cost'!S:S)</f>
        <v>0</v>
      </c>
      <c r="AS1192" t="e">
        <f>_xlfn.XLOOKUP(A1192,[3]Sheet1!$B:$B,[3]Sheet1!$B:$B)</f>
        <v>#N/A</v>
      </c>
    </row>
    <row r="1193" spans="1:46" x14ac:dyDescent="0.25">
      <c r="A1193" s="16" t="s">
        <v>1016</v>
      </c>
      <c r="B1193" s="2" t="s">
        <v>656</v>
      </c>
      <c r="C1193" s="2" t="s">
        <v>1017</v>
      </c>
      <c r="D1193" s="2" t="s">
        <v>554</v>
      </c>
      <c r="E1193" s="2">
        <v>1</v>
      </c>
      <c r="F1193" s="1" t="str">
        <f>VLOOKUP(H1193,'RM Used'!A:B,2,0)</f>
        <v>032ACS</v>
      </c>
      <c r="G1193" s="1" t="str">
        <f>IFERROR(VLOOKUP(F1193,'RM Cost'!A:B,2,0),"")</f>
        <v>RM - LRG PROCESSING CARROT X 1000KG</v>
      </c>
      <c r="H1193" s="2" t="s">
        <v>1621</v>
      </c>
      <c r="I1193" s="1" t="str">
        <f>VLOOKUP(F1193,'RM Used'!B:D,3,0)</f>
        <v>RM-FOOD</v>
      </c>
      <c r="J1193" s="66">
        <v>1</v>
      </c>
      <c r="K1193" s="35">
        <f t="shared" si="354"/>
        <v>1</v>
      </c>
      <c r="L1193" s="35">
        <f t="shared" si="343"/>
        <v>1</v>
      </c>
      <c r="M1193" s="77" cm="1">
        <f t="array" ref="M1193">_xlfn.IFS(BOM!I1193="RM-PACKING","100%",B1193="Reynolds",VLOOKUP(H1193,'Yield &amp; Time'!A:V,22,0),BOM!B1193="Dnata",VLOOKUP(BOM!H1193,'Yield &amp; Time'!A:M,13,0),B1193="NK",VLOOKUP(H1193,'Yield &amp; Time'!A:X,24,0))</f>
        <v>0.55620054924106133</v>
      </c>
      <c r="N1193" s="35">
        <f t="shared" si="342"/>
        <v>1.7979126438557198</v>
      </c>
      <c r="O1193" s="1" t="str">
        <f>VLOOKUP(H1193,'RM Used'!A:E,5,0)</f>
        <v>KG</v>
      </c>
      <c r="P1193" s="11">
        <f>VLOOKUP(H1193,'RM Used'!A:F,6,0)</f>
        <v>0.38</v>
      </c>
      <c r="Q1193" s="11">
        <f t="shared" si="352"/>
        <v>0.68320680466517358</v>
      </c>
      <c r="R1193" s="11">
        <f>IFERROR(IF(B1193="Reynolds",VLOOKUP(H1193,'Yield &amp; Time'!A:U,21,0),VLOOKUP(H1193,'Yield &amp; Time'!A:L,12,0)),0)</f>
        <v>5.7927381825905613</v>
      </c>
      <c r="S1193" s="11">
        <f t="shared" si="344"/>
        <v>1.9608418748069047</v>
      </c>
      <c r="T1193" s="11">
        <f t="shared" si="345"/>
        <v>9.6545636376509356E-2</v>
      </c>
      <c r="U1193" s="11">
        <f>IF(A1192=A1193,0,VLOOKUP(A1193,'Packing Time'!A:F,6,0))</f>
        <v>0.64166666666666661</v>
      </c>
      <c r="V1193" s="11">
        <f t="shared" si="355"/>
        <v>0.21720416666666661</v>
      </c>
      <c r="W1193" s="11">
        <f t="shared" si="356"/>
        <v>1.0694444444444444E-2</v>
      </c>
      <c r="X1193" s="11">
        <f t="shared" si="346"/>
        <v>3.4848736663577142</v>
      </c>
      <c r="Y1193" s="11">
        <f t="shared" si="357"/>
        <v>3.4848736663577142</v>
      </c>
      <c r="Z1193" s="37">
        <v>1</v>
      </c>
      <c r="AA1193" s="36">
        <f t="shared" si="347"/>
        <v>1.7979126438557198</v>
      </c>
      <c r="AB1193" s="36">
        <f t="shared" si="348"/>
        <v>0.68320680466517358</v>
      </c>
      <c r="AC1193" s="11">
        <f t="shared" si="349"/>
        <v>0.17158412931352607</v>
      </c>
      <c r="AD1193" s="36">
        <f t="shared" si="358"/>
        <v>3.4848736663577138</v>
      </c>
      <c r="AE1193" s="36"/>
      <c r="AF1193" s="36">
        <f>IFERROR(VLOOKUP(AE1193,'Chemical Cost'!A:D,4,0),0)</f>
        <v>0</v>
      </c>
      <c r="AG1193" s="114">
        <f t="shared" si="350"/>
        <v>0</v>
      </c>
      <c r="AH1193" s="36">
        <f t="shared" si="353"/>
        <v>0</v>
      </c>
      <c r="AI1193" s="36">
        <f t="shared" si="359"/>
        <v>4.168080471022888</v>
      </c>
      <c r="AJ1193" s="36">
        <f>IFERROR(VLOOKUP(A1193,'All Products'!A:F,6,0),0)</f>
        <v>3.68</v>
      </c>
      <c r="AK1193" s="36">
        <f>AJ1193*Z1193*J1193</f>
        <v>3.68</v>
      </c>
      <c r="AL1193" s="29">
        <v>1</v>
      </c>
      <c r="AM1193" s="23"/>
      <c r="AN1193" s="54" t="e">
        <v>#N/A</v>
      </c>
      <c r="AO1193" s="47"/>
      <c r="AP1193" s="4">
        <v>1.6</v>
      </c>
      <c r="AQ1193" s="111">
        <f t="shared" si="351"/>
        <v>0.17158412931352607</v>
      </c>
      <c r="AR1193">
        <f>_xlfn.XLOOKUP(F1193,'RM Cost'!A:A,'RM Cost'!S:S)</f>
        <v>0</v>
      </c>
      <c r="AS1193" t="str">
        <f>_xlfn.XLOOKUP(A1193,[3]Sheet1!$B:$B,[3]Sheet1!$B:$B)</f>
        <v>Z270CS</v>
      </c>
      <c r="AT1193">
        <f>_xlfn.XLOOKUP(H1193,'Yield &amp; Time'!A:A,'Yield &amp; Time'!F:F)</f>
        <v>0</v>
      </c>
    </row>
    <row r="1194" spans="1:46" x14ac:dyDescent="0.25">
      <c r="A1194" s="16" t="s">
        <v>1016</v>
      </c>
      <c r="B1194" s="2" t="s">
        <v>656</v>
      </c>
      <c r="C1194" s="2" t="s">
        <v>1017</v>
      </c>
      <c r="D1194" s="2" t="s">
        <v>554</v>
      </c>
      <c r="E1194" s="2">
        <v>1</v>
      </c>
      <c r="F1194" s="1" t="str">
        <f>VLOOKUP(H1194,'RM Used'!A:B,2,0)</f>
        <v>P0008</v>
      </c>
      <c r="G1194" s="1" t="str">
        <f>IFERROR(VLOOKUP(F1194,'RM Cost'!A:B,2,0),"")</f>
        <v>PALE BLUE BAG 470X750MM</v>
      </c>
      <c r="H1194" s="1" t="s">
        <v>1323</v>
      </c>
      <c r="I1194" s="1" t="str">
        <f>VLOOKUP(F1194,'RM Used'!B:D,3,0)</f>
        <v>RM-PACKING</v>
      </c>
      <c r="J1194" s="66">
        <v>1</v>
      </c>
      <c r="K1194" s="35" t="str">
        <f t="shared" si="354"/>
        <v/>
      </c>
      <c r="L1194" s="35">
        <f t="shared" si="343"/>
        <v>0</v>
      </c>
      <c r="M1194" s="77" t="str" cm="1">
        <f t="array" ref="M1194">_xlfn.IFS(BOM!I1194="RM-PACKING","100%",B1194="Reynolds",VLOOKUP(H1194,'Yield &amp; Time'!A:V,22,0),BOM!B1194="Dnata",VLOOKUP(BOM!H1194,'Yield &amp; Time'!A:M,13,0),B1194="NK",VLOOKUP(H1194,'Yield &amp; Time'!A:X,24,0))</f>
        <v>100%</v>
      </c>
      <c r="N1194" s="35">
        <f t="shared" si="342"/>
        <v>1</v>
      </c>
      <c r="O1194" s="1" t="str">
        <f>VLOOKUP(H1194,'RM Used'!A:E,5,0)</f>
        <v>Count</v>
      </c>
      <c r="P1194" s="11">
        <f>VLOOKUP(H1194,'RM Used'!A:F,6,0)</f>
        <v>0.14000000000000001</v>
      </c>
      <c r="Q1194" s="11">
        <f t="shared" si="352"/>
        <v>0.14000000000000001</v>
      </c>
      <c r="R1194" s="11">
        <f>IFERROR(IF(B1194="Reynolds",VLOOKUP(H1194,'Yield &amp; Time'!A:U,21,0),VLOOKUP(H1194,'Yield &amp; Time'!A:L,12,0)),0)</f>
        <v>0</v>
      </c>
      <c r="S1194" s="11">
        <f t="shared" si="344"/>
        <v>0</v>
      </c>
      <c r="T1194" s="11">
        <f t="shared" si="345"/>
        <v>0</v>
      </c>
      <c r="U1194" s="11">
        <f>IF(A1193=A1194,0,VLOOKUP(A1194,'Packing Time'!A:F,6,0))</f>
        <v>0</v>
      </c>
      <c r="V1194" s="11">
        <f t="shared" si="355"/>
        <v>0</v>
      </c>
      <c r="W1194" s="11">
        <f t="shared" si="356"/>
        <v>0</v>
      </c>
      <c r="X1194" s="11">
        <f t="shared" si="346"/>
        <v>0</v>
      </c>
      <c r="Y1194" s="11">
        <f t="shared" si="357"/>
        <v>0</v>
      </c>
      <c r="Z1194" s="37">
        <v>1</v>
      </c>
      <c r="AA1194" s="36">
        <f t="shared" si="347"/>
        <v>1</v>
      </c>
      <c r="AB1194" s="36">
        <f t="shared" si="348"/>
        <v>0.14000000000000001</v>
      </c>
      <c r="AC1194" s="11">
        <f t="shared" si="349"/>
        <v>0</v>
      </c>
      <c r="AD1194" s="36">
        <f t="shared" si="358"/>
        <v>0</v>
      </c>
      <c r="AE1194" s="36"/>
      <c r="AF1194" s="36">
        <f>IFERROR(VLOOKUP(AE1194,'Chemical Cost'!A:D,4,0),0)</f>
        <v>0</v>
      </c>
      <c r="AG1194" s="114">
        <f t="shared" si="350"/>
        <v>0</v>
      </c>
      <c r="AH1194" s="36">
        <f t="shared" si="353"/>
        <v>0</v>
      </c>
      <c r="AI1194" s="36">
        <f t="shared" si="359"/>
        <v>0.14000000000000001</v>
      </c>
      <c r="AJ1194" s="36">
        <f>IFERROR(VLOOKUP(A1194,'All Products'!A:F,6,0),0)</f>
        <v>3.68</v>
      </c>
      <c r="AK1194" s="36"/>
      <c r="AL1194" s="29">
        <v>1</v>
      </c>
      <c r="AM1194" s="23"/>
      <c r="AN1194" s="54" t="e">
        <v>#N/A</v>
      </c>
      <c r="AO1194" s="47"/>
      <c r="AP1194" s="4">
        <v>1.6</v>
      </c>
      <c r="AQ1194" s="111">
        <f t="shared" si="351"/>
        <v>0</v>
      </c>
      <c r="AR1194">
        <f>_xlfn.XLOOKUP(F1194,'RM Cost'!A:A,'RM Cost'!S:S)</f>
        <v>0</v>
      </c>
      <c r="AS1194" t="str">
        <f>_xlfn.XLOOKUP(A1194,[3]Sheet1!$B:$B,[3]Sheet1!$B:$B)</f>
        <v>Z270CS</v>
      </c>
      <c r="AT1194" t="e">
        <f>_xlfn.XLOOKUP(H1194,'Yield &amp; Time'!A:A,'Yield &amp; Time'!F:F)</f>
        <v>#N/A</v>
      </c>
    </row>
    <row r="1195" spans="1:46" x14ac:dyDescent="0.25">
      <c r="A1195" s="16" t="s">
        <v>331</v>
      </c>
      <c r="B1195" s="2" t="s">
        <v>656</v>
      </c>
      <c r="C1195" s="2" t="s">
        <v>332</v>
      </c>
      <c r="D1195" s="2" t="s">
        <v>554</v>
      </c>
      <c r="E1195" s="2">
        <v>2.5</v>
      </c>
      <c r="F1195" s="1" t="str">
        <f>VLOOKUP(H1195,'RM Used'!A:B,2,0)</f>
        <v>032ACS</v>
      </c>
      <c r="G1195" s="1" t="str">
        <f>IFERROR(VLOOKUP(F1195,'RM Cost'!A:B,2,0),"")</f>
        <v>RM - LRG PROCESSING CARROT X 1000KG</v>
      </c>
      <c r="H1195" s="2" t="s">
        <v>1621</v>
      </c>
      <c r="I1195" s="1" t="str">
        <f>VLOOKUP(F1195,'RM Used'!B:D,3,0)</f>
        <v>RM-FOOD</v>
      </c>
      <c r="J1195" s="66">
        <v>1</v>
      </c>
      <c r="K1195" s="35">
        <f t="shared" si="354"/>
        <v>2.5</v>
      </c>
      <c r="L1195" s="35">
        <f t="shared" si="343"/>
        <v>2.5</v>
      </c>
      <c r="M1195" s="77" cm="1">
        <f t="array" ref="M1195">_xlfn.IFS(BOM!I1195="RM-PACKING","100%",B1195="Reynolds",VLOOKUP(H1195,'Yield &amp; Time'!A:V,22,0),BOM!B1195="Dnata",VLOOKUP(BOM!H1195,'Yield &amp; Time'!A:M,13,0),B1195="NK",VLOOKUP(H1195,'Yield &amp; Time'!A:X,24,0))</f>
        <v>0.55620054924106133</v>
      </c>
      <c r="N1195" s="35">
        <f t="shared" si="342"/>
        <v>4.4947816096392996</v>
      </c>
      <c r="O1195" s="1" t="str">
        <f>VLOOKUP(H1195,'RM Used'!A:E,5,0)</f>
        <v>KG</v>
      </c>
      <c r="P1195" s="11">
        <f>VLOOKUP(H1195,'RM Used'!A:F,6,0)</f>
        <v>0.38</v>
      </c>
      <c r="Q1195" s="11">
        <f t="shared" si="352"/>
        <v>1.7080170116629338</v>
      </c>
      <c r="R1195" s="11">
        <f>IFERROR(IF(B1195="Reynolds",VLOOKUP(H1195,'Yield &amp; Time'!A:U,21,0),VLOOKUP(H1195,'Yield &amp; Time'!A:L,12,0)),0)</f>
        <v>5.7927381825905613</v>
      </c>
      <c r="S1195" s="11">
        <f t="shared" si="344"/>
        <v>4.9021046870172622</v>
      </c>
      <c r="T1195" s="11">
        <f t="shared" si="345"/>
        <v>0.2413640909412734</v>
      </c>
      <c r="U1195" s="11">
        <f>IF(A1194=A1195,0,VLOOKUP(A1195,'Packing Time'!A:F,6,0))</f>
        <v>0.875</v>
      </c>
      <c r="V1195" s="11">
        <f t="shared" si="355"/>
        <v>0.29618749999999999</v>
      </c>
      <c r="W1195" s="11">
        <f t="shared" si="356"/>
        <v>1.4583333333333334E-2</v>
      </c>
      <c r="X1195" s="11">
        <f t="shared" si="346"/>
        <v>5.7181214057189882</v>
      </c>
      <c r="Y1195" s="11">
        <f t="shared" si="357"/>
        <v>5.7181214057189882</v>
      </c>
      <c r="Z1195" s="37">
        <v>1</v>
      </c>
      <c r="AA1195" s="36">
        <f t="shared" si="347"/>
        <v>4.4947816096392996</v>
      </c>
      <c r="AB1195" s="36">
        <f t="shared" si="348"/>
        <v>1.7080170116629338</v>
      </c>
      <c r="AC1195" s="11">
        <f t="shared" si="349"/>
        <v>0.28154216670206739</v>
      </c>
      <c r="AD1195" s="36">
        <f t="shared" si="358"/>
        <v>5.7181214057189882</v>
      </c>
      <c r="AE1195" s="36"/>
      <c r="AF1195" s="36">
        <f>IFERROR(VLOOKUP(AE1195,'Chemical Cost'!A:D,4,0),0)</f>
        <v>0</v>
      </c>
      <c r="AG1195" s="114">
        <f t="shared" si="350"/>
        <v>0</v>
      </c>
      <c r="AH1195" s="36">
        <f t="shared" si="353"/>
        <v>0</v>
      </c>
      <c r="AI1195" s="36">
        <f t="shared" si="359"/>
        <v>7.4261384173819218</v>
      </c>
      <c r="AJ1195" s="36">
        <f>IFERROR(VLOOKUP(A1195,'All Products'!A:F,6,0),0)</f>
        <v>9.19</v>
      </c>
      <c r="AK1195" s="36">
        <f>AJ1195*Z1195*J1195</f>
        <v>9.19</v>
      </c>
      <c r="AL1195" s="29">
        <v>1</v>
      </c>
      <c r="AM1195" s="23"/>
      <c r="AN1195" s="54" t="e">
        <v>#N/A</v>
      </c>
      <c r="AO1195" s="47"/>
      <c r="AP1195" s="4">
        <v>1.1000000000000001</v>
      </c>
      <c r="AQ1195" s="111">
        <f t="shared" si="351"/>
        <v>0.28154216670206739</v>
      </c>
      <c r="AR1195">
        <f>_xlfn.XLOOKUP(F1195,'RM Cost'!A:A,'RM Cost'!S:S)</f>
        <v>0</v>
      </c>
      <c r="AS1195" t="str">
        <f>_xlfn.XLOOKUP(A1195,[3]Sheet1!$B:$B,[3]Sheet1!$B:$B)</f>
        <v>Z269CS</v>
      </c>
      <c r="AT1195">
        <f>_xlfn.XLOOKUP(H1195,'Yield &amp; Time'!A:A,'Yield &amp; Time'!F:F)</f>
        <v>0</v>
      </c>
    </row>
    <row r="1196" spans="1:46" x14ac:dyDescent="0.25">
      <c r="A1196" s="16" t="s">
        <v>331</v>
      </c>
      <c r="B1196" s="2" t="s">
        <v>656</v>
      </c>
      <c r="C1196" s="2" t="s">
        <v>332</v>
      </c>
      <c r="D1196" s="2" t="s">
        <v>554</v>
      </c>
      <c r="E1196" s="2">
        <v>2.5</v>
      </c>
      <c r="F1196" s="1" t="str">
        <f>VLOOKUP(H1196,'RM Used'!A:B,2,0)</f>
        <v>P0008</v>
      </c>
      <c r="G1196" s="1" t="str">
        <f>IFERROR(VLOOKUP(F1196,'RM Cost'!A:B,2,0),"")</f>
        <v>PALE BLUE BAG 470X750MM</v>
      </c>
      <c r="H1196" s="1" t="s">
        <v>1323</v>
      </c>
      <c r="I1196" s="1" t="str">
        <f>VLOOKUP(F1196,'RM Used'!B:D,3,0)</f>
        <v>RM-PACKING</v>
      </c>
      <c r="J1196" s="66">
        <v>1</v>
      </c>
      <c r="K1196" s="35" t="str">
        <f t="shared" si="354"/>
        <v/>
      </c>
      <c r="L1196" s="35">
        <f t="shared" si="343"/>
        <v>0</v>
      </c>
      <c r="M1196" s="77" t="str" cm="1">
        <f t="array" ref="M1196">_xlfn.IFS(BOM!I1196="RM-PACKING","100%",B1196="Reynolds",VLOOKUP(H1196,'Yield &amp; Time'!A:V,22,0),BOM!B1196="Dnata",VLOOKUP(BOM!H1196,'Yield &amp; Time'!A:M,13,0),B1196="NK",VLOOKUP(H1196,'Yield &amp; Time'!A:X,24,0))</f>
        <v>100%</v>
      </c>
      <c r="N1196" s="35">
        <f t="shared" si="342"/>
        <v>1</v>
      </c>
      <c r="O1196" s="1" t="str">
        <f>VLOOKUP(H1196,'RM Used'!A:E,5,0)</f>
        <v>Count</v>
      </c>
      <c r="P1196" s="11">
        <f>VLOOKUP(H1196,'RM Used'!A:F,6,0)</f>
        <v>0.14000000000000001</v>
      </c>
      <c r="Q1196" s="11">
        <f t="shared" si="352"/>
        <v>0.14000000000000001</v>
      </c>
      <c r="R1196" s="11">
        <f>IFERROR(IF(B1196="Reynolds",VLOOKUP(H1196,'Yield &amp; Time'!A:U,21,0),VLOOKUP(H1196,'Yield &amp; Time'!A:L,12,0)),0)</f>
        <v>0</v>
      </c>
      <c r="S1196" s="11">
        <f t="shared" si="344"/>
        <v>0</v>
      </c>
      <c r="T1196" s="11">
        <f t="shared" si="345"/>
        <v>0</v>
      </c>
      <c r="U1196" s="11">
        <f>IF(A1195=A1196,0,VLOOKUP(A1196,'Packing Time'!A:F,6,0))</f>
        <v>0</v>
      </c>
      <c r="V1196" s="11">
        <f t="shared" si="355"/>
        <v>0</v>
      </c>
      <c r="W1196" s="11">
        <f t="shared" si="356"/>
        <v>0</v>
      </c>
      <c r="X1196" s="11">
        <f t="shared" si="346"/>
        <v>0</v>
      </c>
      <c r="Y1196" s="11">
        <f t="shared" si="357"/>
        <v>0</v>
      </c>
      <c r="Z1196" s="37">
        <v>1</v>
      </c>
      <c r="AA1196" s="36">
        <f t="shared" si="347"/>
        <v>1</v>
      </c>
      <c r="AB1196" s="36">
        <f t="shared" si="348"/>
        <v>0.14000000000000001</v>
      </c>
      <c r="AC1196" s="11">
        <f t="shared" si="349"/>
        <v>0</v>
      </c>
      <c r="AD1196" s="36">
        <f t="shared" si="358"/>
        <v>0</v>
      </c>
      <c r="AE1196" s="36"/>
      <c r="AF1196" s="36">
        <f>IFERROR(VLOOKUP(AE1196,'Chemical Cost'!A:D,4,0),0)</f>
        <v>0</v>
      </c>
      <c r="AG1196" s="114">
        <f t="shared" si="350"/>
        <v>0</v>
      </c>
      <c r="AH1196" s="36">
        <f t="shared" si="353"/>
        <v>0</v>
      </c>
      <c r="AI1196" s="36">
        <f t="shared" si="359"/>
        <v>0.14000000000000001</v>
      </c>
      <c r="AJ1196" s="36">
        <f>IFERROR(VLOOKUP(A1196,'All Products'!A:F,6,0),0)</f>
        <v>9.19</v>
      </c>
      <c r="AK1196" s="36"/>
      <c r="AL1196" s="29">
        <v>1</v>
      </c>
      <c r="AM1196" s="23"/>
      <c r="AN1196" s="54" t="e">
        <v>#N/A</v>
      </c>
      <c r="AO1196" s="47"/>
      <c r="AP1196" s="4">
        <v>1.1000000000000001</v>
      </c>
      <c r="AQ1196" s="111">
        <f t="shared" si="351"/>
        <v>0</v>
      </c>
      <c r="AR1196">
        <f>_xlfn.XLOOKUP(F1196,'RM Cost'!A:A,'RM Cost'!S:S)</f>
        <v>0</v>
      </c>
      <c r="AS1196" t="str">
        <f>_xlfn.XLOOKUP(A1196,[3]Sheet1!$B:$B,[3]Sheet1!$B:$B)</f>
        <v>Z269CS</v>
      </c>
      <c r="AT1196" t="e">
        <f>_xlfn.XLOOKUP(H1196,'Yield &amp; Time'!A:A,'Yield &amp; Time'!F:F)</f>
        <v>#N/A</v>
      </c>
    </row>
    <row r="1197" spans="1:46" x14ac:dyDescent="0.25">
      <c r="A1197" s="16" t="s">
        <v>329</v>
      </c>
      <c r="B1197" s="2" t="s">
        <v>656</v>
      </c>
      <c r="C1197" s="2" t="s">
        <v>1018</v>
      </c>
      <c r="D1197" s="2" t="s">
        <v>554</v>
      </c>
      <c r="E1197" s="2">
        <v>2.5</v>
      </c>
      <c r="F1197" s="1" t="str">
        <f>VLOOKUP(H1197,'RM Used'!A:B,2,0)</f>
        <v>032ACS</v>
      </c>
      <c r="G1197" s="1" t="str">
        <f>IFERROR(VLOOKUP(F1197,'RM Cost'!A:B,2,0),"")</f>
        <v>RM - LRG PROCESSING CARROT X 1000KG</v>
      </c>
      <c r="H1197" s="2" t="s">
        <v>1616</v>
      </c>
      <c r="I1197" s="1" t="str">
        <f>VLOOKUP(F1197,'RM Used'!B:D,3,0)</f>
        <v>RM-FOOD</v>
      </c>
      <c r="J1197" s="66">
        <v>1</v>
      </c>
      <c r="K1197" s="35">
        <f t="shared" si="354"/>
        <v>2.5</v>
      </c>
      <c r="L1197" s="35">
        <f t="shared" si="343"/>
        <v>2.5</v>
      </c>
      <c r="M1197" s="77" cm="1">
        <f t="array" ref="M1197">_xlfn.IFS(BOM!I1197="RM-PACKING","100%",B1197="Reynolds",VLOOKUP(H1197,'Yield &amp; Time'!A:V,22,0),BOM!B1197="Dnata",VLOOKUP(BOM!H1197,'Yield &amp; Time'!A:M,13,0),B1197="NK",VLOOKUP(H1197,'Yield &amp; Time'!A:X,24,0))</f>
        <v>0.23461550440713869</v>
      </c>
      <c r="N1197" s="35">
        <f t="shared" si="342"/>
        <v>10.655732264231094</v>
      </c>
      <c r="O1197" s="1" t="str">
        <f>VLOOKUP(H1197,'RM Used'!A:E,5,0)</f>
        <v>KG</v>
      </c>
      <c r="P1197" s="11">
        <f>VLOOKUP(H1197,'RM Used'!A:F,6,0)</f>
        <v>0.38</v>
      </c>
      <c r="Q1197" s="11">
        <f t="shared" si="352"/>
        <v>4.0491782604078157</v>
      </c>
      <c r="R1197" s="11">
        <f>IFERROR(IF(B1197="Reynolds",VLOOKUP(H1197,'Yield &amp; Time'!A:U,21,0),VLOOKUP(H1197,'Yield &amp; Time'!A:L,12,0)),0)</f>
        <v>17.008394399603507</v>
      </c>
      <c r="S1197" s="11">
        <f t="shared" si="344"/>
        <v>14.393353760664466</v>
      </c>
      <c r="T1197" s="11">
        <f t="shared" si="345"/>
        <v>0.70868309998347945</v>
      </c>
      <c r="U1197" s="11">
        <f>IF(A1196=A1197,0,VLOOKUP(A1197,'Packing Time'!A:F,6,0))</f>
        <v>0.875</v>
      </c>
      <c r="V1197" s="11">
        <f t="shared" si="355"/>
        <v>0.29618749999999999</v>
      </c>
      <c r="W1197" s="11">
        <f t="shared" si="356"/>
        <v>1.4583333333333334E-2</v>
      </c>
      <c r="X1197" s="11">
        <f t="shared" si="346"/>
        <v>23.503266017063147</v>
      </c>
      <c r="Y1197" s="11">
        <f t="shared" si="357"/>
        <v>23.503266017063147</v>
      </c>
      <c r="Z1197" s="37">
        <v>1</v>
      </c>
      <c r="AA1197" s="36">
        <f t="shared" si="347"/>
        <v>10.655732264231094</v>
      </c>
      <c r="AB1197" s="36">
        <f t="shared" si="348"/>
        <v>4.0491782604078157</v>
      </c>
      <c r="AC1197" s="11">
        <f t="shared" si="349"/>
        <v>1.1572262933069004</v>
      </c>
      <c r="AD1197" s="36">
        <f t="shared" si="358"/>
        <v>23.503266017063144</v>
      </c>
      <c r="AE1197" s="36"/>
      <c r="AF1197" s="36">
        <f>IFERROR(VLOOKUP(AE1197,'Chemical Cost'!A:D,4,0),0)</f>
        <v>0</v>
      </c>
      <c r="AG1197" s="114">
        <f t="shared" si="350"/>
        <v>0</v>
      </c>
      <c r="AH1197" s="36">
        <f t="shared" si="353"/>
        <v>0</v>
      </c>
      <c r="AI1197" s="36">
        <f t="shared" si="359"/>
        <v>27.552444277470961</v>
      </c>
      <c r="AJ1197" s="36">
        <f>IFERROR(VLOOKUP(A1197,'All Products'!A:F,6,0),0)</f>
        <v>18.649999999999999</v>
      </c>
      <c r="AK1197" s="36">
        <f>AJ1197*Z1197*J1197</f>
        <v>18.649999999999999</v>
      </c>
      <c r="AL1197" s="29">
        <v>1</v>
      </c>
      <c r="AM1197" s="23"/>
      <c r="AN1197" s="54" t="e">
        <v>#N/A</v>
      </c>
      <c r="AO1197" s="47"/>
      <c r="AP1197" s="4">
        <v>1.6</v>
      </c>
      <c r="AQ1197" s="111">
        <f t="shared" si="351"/>
        <v>1.1572262933069004</v>
      </c>
      <c r="AR1197">
        <f>_xlfn.XLOOKUP(F1197,'RM Cost'!A:A,'RM Cost'!S:S)</f>
        <v>0</v>
      </c>
      <c r="AS1197" t="e">
        <f>_xlfn.XLOOKUP(A1197,[3]Sheet1!$B:$B,[3]Sheet1!$B:$B)</f>
        <v>#N/A</v>
      </c>
    </row>
    <row r="1198" spans="1:46" x14ac:dyDescent="0.25">
      <c r="A1198" s="16" t="s">
        <v>329</v>
      </c>
      <c r="B1198" s="2" t="s">
        <v>656</v>
      </c>
      <c r="C1198" s="2" t="s">
        <v>1018</v>
      </c>
      <c r="D1198" s="2" t="s">
        <v>554</v>
      </c>
      <c r="E1198" s="2">
        <v>2.5</v>
      </c>
      <c r="F1198" s="1" t="str">
        <f>VLOOKUP(H1198,'RM Used'!A:B,2,0)</f>
        <v>P0008</v>
      </c>
      <c r="G1198" s="1" t="str">
        <f>IFERROR(VLOOKUP(F1198,'RM Cost'!A:B,2,0),"")</f>
        <v>PALE BLUE BAG 470X750MM</v>
      </c>
      <c r="H1198" s="1" t="s">
        <v>1323</v>
      </c>
      <c r="I1198" s="1" t="str">
        <f>VLOOKUP(F1198,'RM Used'!B:D,3,0)</f>
        <v>RM-PACKING</v>
      </c>
      <c r="J1198" s="66">
        <v>1</v>
      </c>
      <c r="K1198" s="35" t="str">
        <f t="shared" si="354"/>
        <v/>
      </c>
      <c r="L1198" s="35">
        <f t="shared" si="343"/>
        <v>0</v>
      </c>
      <c r="M1198" s="77" t="str" cm="1">
        <f t="array" ref="M1198">_xlfn.IFS(BOM!I1198="RM-PACKING","100%",B1198="Reynolds",VLOOKUP(H1198,'Yield &amp; Time'!A:V,22,0),BOM!B1198="Dnata",VLOOKUP(BOM!H1198,'Yield &amp; Time'!A:M,13,0),B1198="NK",VLOOKUP(H1198,'Yield &amp; Time'!A:X,24,0))</f>
        <v>100%</v>
      </c>
      <c r="N1198" s="35">
        <f t="shared" si="342"/>
        <v>1</v>
      </c>
      <c r="O1198" s="1" t="str">
        <f>VLOOKUP(H1198,'RM Used'!A:E,5,0)</f>
        <v>Count</v>
      </c>
      <c r="P1198" s="11">
        <f>VLOOKUP(H1198,'RM Used'!A:F,6,0)</f>
        <v>0.14000000000000001</v>
      </c>
      <c r="Q1198" s="11">
        <f t="shared" si="352"/>
        <v>0.14000000000000001</v>
      </c>
      <c r="R1198" s="11">
        <f>IFERROR(IF(B1198="Reynolds",VLOOKUP(H1198,'Yield &amp; Time'!A:U,21,0),VLOOKUP(H1198,'Yield &amp; Time'!A:L,12,0)),0)</f>
        <v>0</v>
      </c>
      <c r="S1198" s="11">
        <f t="shared" si="344"/>
        <v>0</v>
      </c>
      <c r="T1198" s="11">
        <f t="shared" si="345"/>
        <v>0</v>
      </c>
      <c r="U1198" s="11">
        <f>IF(A1197=A1198,0,VLOOKUP(A1198,'Packing Time'!A:F,6,0))</f>
        <v>0</v>
      </c>
      <c r="V1198" s="11">
        <f t="shared" si="355"/>
        <v>0</v>
      </c>
      <c r="W1198" s="11">
        <f t="shared" si="356"/>
        <v>0</v>
      </c>
      <c r="X1198" s="11">
        <f t="shared" si="346"/>
        <v>0</v>
      </c>
      <c r="Y1198" s="11">
        <f t="shared" si="357"/>
        <v>0</v>
      </c>
      <c r="Z1198" s="37">
        <v>1</v>
      </c>
      <c r="AA1198" s="36">
        <f t="shared" si="347"/>
        <v>1</v>
      </c>
      <c r="AB1198" s="36">
        <f t="shared" si="348"/>
        <v>0.14000000000000001</v>
      </c>
      <c r="AC1198" s="11">
        <f t="shared" si="349"/>
        <v>0</v>
      </c>
      <c r="AD1198" s="36">
        <f t="shared" si="358"/>
        <v>0</v>
      </c>
      <c r="AE1198" s="36"/>
      <c r="AF1198" s="36">
        <f>IFERROR(VLOOKUP(AE1198,'Chemical Cost'!A:D,4,0),0)</f>
        <v>0</v>
      </c>
      <c r="AG1198" s="114">
        <f t="shared" si="350"/>
        <v>0</v>
      </c>
      <c r="AH1198" s="36">
        <f t="shared" si="353"/>
        <v>0</v>
      </c>
      <c r="AI1198" s="36">
        <f t="shared" si="359"/>
        <v>0.14000000000000001</v>
      </c>
      <c r="AJ1198" s="36">
        <f>IFERROR(VLOOKUP(A1198,'All Products'!A:F,6,0),0)</f>
        <v>18.649999999999999</v>
      </c>
      <c r="AK1198" s="36"/>
      <c r="AL1198" s="29">
        <v>1</v>
      </c>
      <c r="AM1198" s="23"/>
      <c r="AN1198" s="54" t="e">
        <v>#N/A</v>
      </c>
      <c r="AO1198" s="47"/>
      <c r="AP1198" s="4">
        <v>1.6</v>
      </c>
      <c r="AQ1198" s="111">
        <f t="shared" si="351"/>
        <v>0</v>
      </c>
      <c r="AR1198">
        <f>_xlfn.XLOOKUP(F1198,'RM Cost'!A:A,'RM Cost'!S:S)</f>
        <v>0</v>
      </c>
      <c r="AS1198" t="e">
        <f>_xlfn.XLOOKUP(A1198,[3]Sheet1!$B:$B,[3]Sheet1!$B:$B)</f>
        <v>#N/A</v>
      </c>
    </row>
    <row r="1199" spans="1:46" x14ac:dyDescent="0.25">
      <c r="A1199" s="16" t="s">
        <v>1019</v>
      </c>
      <c r="B1199" s="2" t="s">
        <v>656</v>
      </c>
      <c r="C1199" s="2" t="s">
        <v>1020</v>
      </c>
      <c r="D1199" s="2" t="s">
        <v>554</v>
      </c>
      <c r="E1199" s="2">
        <v>2.5</v>
      </c>
      <c r="F1199" s="1" t="str">
        <f>VLOOKUP(H1199,'RM Used'!A:B,2,0)</f>
        <v>2461CS</v>
      </c>
      <c r="G1199" s="1" t="str">
        <f>IFERROR(VLOOKUP(F1199,'RM Cost'!A:B,2,0),"")</f>
        <v>RM - BABY RAINBOW CARROTS 6 X 200G</v>
      </c>
      <c r="H1199" s="2" t="s">
        <v>1598</v>
      </c>
      <c r="I1199" s="1" t="str">
        <f>VLOOKUP(F1199,'RM Used'!B:D,3,0)</f>
        <v>RM-FOOD</v>
      </c>
      <c r="J1199" s="66">
        <v>1</v>
      </c>
      <c r="K1199" s="35">
        <f t="shared" si="354"/>
        <v>2.5</v>
      </c>
      <c r="L1199" s="35">
        <f t="shared" si="343"/>
        <v>2.5</v>
      </c>
      <c r="M1199" s="77" cm="1">
        <f t="array" ref="M1199">_xlfn.IFS(BOM!I1199="RM-PACKING","100%",B1199="Reynolds",VLOOKUP(H1199,'Yield &amp; Time'!A:V,22,0),BOM!B1199="Dnata",VLOOKUP(BOM!H1199,'Yield &amp; Time'!A:M,13,0),B1199="NK",VLOOKUP(H1199,'Yield &amp; Time'!A:X,24,0))</f>
        <v>0.70967741935483875</v>
      </c>
      <c r="N1199" s="35">
        <f t="shared" si="342"/>
        <v>3.5227272727272725</v>
      </c>
      <c r="O1199" s="1" t="str">
        <f>VLOOKUP(H1199,'RM Used'!A:E,5,0)</f>
        <v>KG</v>
      </c>
      <c r="P1199" s="11">
        <f>VLOOKUP(H1199,'RM Used'!A:F,6,0)</f>
        <v>9.5</v>
      </c>
      <c r="Q1199" s="11">
        <f t="shared" si="352"/>
        <v>33.465909090909086</v>
      </c>
      <c r="R1199" s="11">
        <f>IFERROR(IF(B1199="Reynolds",VLOOKUP(H1199,'Yield &amp; Time'!A:U,21,0),VLOOKUP(H1199,'Yield &amp; Time'!A:L,12,0)),0)</f>
        <v>20.129870129870131</v>
      </c>
      <c r="S1199" s="11">
        <f t="shared" si="344"/>
        <v>17.034902597402596</v>
      </c>
      <c r="T1199" s="11">
        <f t="shared" si="345"/>
        <v>0.83874458874458879</v>
      </c>
      <c r="U1199" s="11">
        <f>IF(A1198=A1199,0,VLOOKUP(A1199,'Packing Time'!A:F,6,0))</f>
        <v>0.875</v>
      </c>
      <c r="V1199" s="11">
        <f t="shared" si="355"/>
        <v>0.29618749999999999</v>
      </c>
      <c r="W1199" s="11">
        <f t="shared" si="356"/>
        <v>1.4583333333333334E-2</v>
      </c>
      <c r="X1199" s="11">
        <f t="shared" si="346"/>
        <v>24.263526136363634</v>
      </c>
      <c r="Y1199" s="11">
        <f t="shared" si="357"/>
        <v>24.263526136363634</v>
      </c>
      <c r="Z1199" s="37">
        <v>1</v>
      </c>
      <c r="AA1199" s="36">
        <f t="shared" si="347"/>
        <v>3.5227272727272725</v>
      </c>
      <c r="AB1199" s="36">
        <f t="shared" si="348"/>
        <v>33.465909090909086</v>
      </c>
      <c r="AC1199" s="11">
        <f t="shared" si="349"/>
        <v>1.1946590909090908</v>
      </c>
      <c r="AD1199" s="36">
        <f t="shared" si="358"/>
        <v>24.26352613636363</v>
      </c>
      <c r="AE1199" s="36"/>
      <c r="AF1199" s="36">
        <f>IFERROR(VLOOKUP(AE1199,'Chemical Cost'!A:D,4,0),0)</f>
        <v>0</v>
      </c>
      <c r="AG1199" s="114">
        <f t="shared" si="350"/>
        <v>0</v>
      </c>
      <c r="AH1199" s="36">
        <f t="shared" si="353"/>
        <v>0</v>
      </c>
      <c r="AI1199" s="36">
        <f t="shared" si="359"/>
        <v>57.729435227272717</v>
      </c>
      <c r="AJ1199" s="36">
        <f>IFERROR(VLOOKUP(A1199,'All Products'!A:F,6,0),0)</f>
        <v>151.88</v>
      </c>
      <c r="AK1199" s="36">
        <f>AJ1199*Z1199*J1199</f>
        <v>151.88</v>
      </c>
      <c r="AL1199" s="23">
        <v>1</v>
      </c>
      <c r="AM1199" s="23"/>
      <c r="AN1199" s="54" t="e">
        <v>#N/A</v>
      </c>
      <c r="AO1199" s="47"/>
      <c r="AP1199" s="4">
        <v>1.4</v>
      </c>
      <c r="AQ1199" s="111">
        <f t="shared" si="351"/>
        <v>1.1946590909090908</v>
      </c>
      <c r="AR1199">
        <f>_xlfn.XLOOKUP(F1199,'RM Cost'!A:A,'RM Cost'!S:S)</f>
        <v>0</v>
      </c>
      <c r="AS1199" t="e">
        <f>_xlfn.XLOOKUP(A1199,[3]Sheet1!$B:$B,[3]Sheet1!$B:$B)</f>
        <v>#N/A</v>
      </c>
    </row>
    <row r="1200" spans="1:46" x14ac:dyDescent="0.25">
      <c r="A1200" s="16" t="s">
        <v>1019</v>
      </c>
      <c r="B1200" s="2" t="s">
        <v>656</v>
      </c>
      <c r="C1200" s="2" t="s">
        <v>1020</v>
      </c>
      <c r="D1200" s="2" t="s">
        <v>554</v>
      </c>
      <c r="E1200" s="2">
        <v>2.5</v>
      </c>
      <c r="F1200" s="1" t="str">
        <f>VLOOKUP(H1200,'RM Used'!A:B,2,0)</f>
        <v>P0008</v>
      </c>
      <c r="G1200" s="1" t="str">
        <f>IFERROR(VLOOKUP(F1200,'RM Cost'!A:B,2,0),"")</f>
        <v>PALE BLUE BAG 470X750MM</v>
      </c>
      <c r="H1200" s="1" t="s">
        <v>1323</v>
      </c>
      <c r="I1200" s="1" t="str">
        <f>VLOOKUP(F1200,'RM Used'!B:D,3,0)</f>
        <v>RM-PACKING</v>
      </c>
      <c r="J1200" s="66">
        <v>1</v>
      </c>
      <c r="K1200" s="35" t="str">
        <f t="shared" si="354"/>
        <v/>
      </c>
      <c r="L1200" s="35">
        <f t="shared" si="343"/>
        <v>0</v>
      </c>
      <c r="M1200" s="77" t="str" cm="1">
        <f t="array" ref="M1200">_xlfn.IFS(BOM!I1200="RM-PACKING","100%",B1200="Reynolds",VLOOKUP(H1200,'Yield &amp; Time'!A:V,22,0),BOM!B1200="Dnata",VLOOKUP(BOM!H1200,'Yield &amp; Time'!A:M,13,0),B1200="NK",VLOOKUP(H1200,'Yield &amp; Time'!A:X,24,0))</f>
        <v>100%</v>
      </c>
      <c r="N1200" s="35">
        <f t="shared" si="342"/>
        <v>1</v>
      </c>
      <c r="O1200" s="1" t="str">
        <f>VLOOKUP(H1200,'RM Used'!A:E,5,0)</f>
        <v>Count</v>
      </c>
      <c r="P1200" s="11">
        <f>VLOOKUP(H1200,'RM Used'!A:F,6,0)</f>
        <v>0.14000000000000001</v>
      </c>
      <c r="Q1200" s="11">
        <f t="shared" si="352"/>
        <v>0.14000000000000001</v>
      </c>
      <c r="R1200" s="11">
        <f>IFERROR(IF(B1200="Reynolds",VLOOKUP(H1200,'Yield &amp; Time'!A:U,21,0),VLOOKUP(H1200,'Yield &amp; Time'!A:L,12,0)),0)</f>
        <v>0</v>
      </c>
      <c r="S1200" s="11">
        <f t="shared" si="344"/>
        <v>0</v>
      </c>
      <c r="T1200" s="11">
        <f t="shared" si="345"/>
        <v>0</v>
      </c>
      <c r="U1200" s="11">
        <f>IF(A1199=A1200,0,VLOOKUP(A1200,'Packing Time'!A:F,6,0))</f>
        <v>0</v>
      </c>
      <c r="V1200" s="11">
        <f t="shared" si="355"/>
        <v>0</v>
      </c>
      <c r="W1200" s="11">
        <f t="shared" si="356"/>
        <v>0</v>
      </c>
      <c r="X1200" s="11">
        <f t="shared" si="346"/>
        <v>0</v>
      </c>
      <c r="Y1200" s="11">
        <f t="shared" si="357"/>
        <v>0</v>
      </c>
      <c r="Z1200" s="37">
        <v>1</v>
      </c>
      <c r="AA1200" s="36">
        <f t="shared" si="347"/>
        <v>1</v>
      </c>
      <c r="AB1200" s="36">
        <f t="shared" si="348"/>
        <v>0.14000000000000001</v>
      </c>
      <c r="AC1200" s="11">
        <f t="shared" si="349"/>
        <v>0</v>
      </c>
      <c r="AD1200" s="36">
        <f t="shared" si="358"/>
        <v>0</v>
      </c>
      <c r="AE1200" s="36"/>
      <c r="AF1200" s="36">
        <f>IFERROR(VLOOKUP(AE1200,'Chemical Cost'!A:D,4,0),0)</f>
        <v>0</v>
      </c>
      <c r="AG1200" s="114">
        <f t="shared" si="350"/>
        <v>0</v>
      </c>
      <c r="AH1200" s="36">
        <f t="shared" si="353"/>
        <v>0</v>
      </c>
      <c r="AI1200" s="36">
        <f t="shared" si="359"/>
        <v>0.14000000000000001</v>
      </c>
      <c r="AJ1200" s="36">
        <f>IFERROR(VLOOKUP(A1200,'All Products'!A:F,6,0),0)</f>
        <v>151.88</v>
      </c>
      <c r="AK1200" s="36"/>
      <c r="AL1200" s="23">
        <v>1</v>
      </c>
      <c r="AM1200" s="23"/>
      <c r="AN1200" s="54" t="e">
        <v>#N/A</v>
      </c>
      <c r="AO1200" s="47"/>
      <c r="AP1200" s="4">
        <v>1.4</v>
      </c>
      <c r="AQ1200" s="111">
        <f t="shared" si="351"/>
        <v>0</v>
      </c>
      <c r="AR1200">
        <f>_xlfn.XLOOKUP(F1200,'RM Cost'!A:A,'RM Cost'!S:S)</f>
        <v>0</v>
      </c>
      <c r="AS1200" t="e">
        <f>_xlfn.XLOOKUP(A1200,[3]Sheet1!$B:$B,[3]Sheet1!$B:$B)</f>
        <v>#N/A</v>
      </c>
    </row>
    <row r="1201" spans="1:45" x14ac:dyDescent="0.25">
      <c r="A1201" s="16" t="s">
        <v>416</v>
      </c>
      <c r="B1201" s="2" t="s">
        <v>656</v>
      </c>
      <c r="C1201" s="2" t="s">
        <v>417</v>
      </c>
      <c r="D1201" s="2" t="s">
        <v>554</v>
      </c>
      <c r="E1201" s="2">
        <v>1</v>
      </c>
      <c r="F1201" s="1" t="str">
        <f>VLOOKUP(H1201,'RM Used'!A:B,2,0)</f>
        <v>3020CS</v>
      </c>
      <c r="G1201" s="1" t="str">
        <f>IFERROR(VLOOKUP(F1201,'RM Cost'!A:B,2,0),"")</f>
        <v>RM - CELERIAC 10KG</v>
      </c>
      <c r="H1201" s="2" t="s">
        <v>1622</v>
      </c>
      <c r="I1201" s="1" t="str">
        <f>VLOOKUP(F1201,'RM Used'!B:D,3,0)</f>
        <v>RM-FOOD</v>
      </c>
      <c r="J1201" s="66">
        <v>1</v>
      </c>
      <c r="K1201" s="35">
        <f t="shared" si="354"/>
        <v>1</v>
      </c>
      <c r="L1201" s="35">
        <f t="shared" si="343"/>
        <v>1</v>
      </c>
      <c r="M1201" s="77" cm="1">
        <f t="array" ref="M1201">_xlfn.IFS(BOM!I1201="RM-PACKING","100%",B1201="Reynolds",VLOOKUP(H1201,'Yield &amp; Time'!A:V,22,0),BOM!B1201="Dnata",VLOOKUP(BOM!H1201,'Yield &amp; Time'!A:M,13,0),B1201="NK",VLOOKUP(H1201,'Yield &amp; Time'!A:X,24,0))</f>
        <v>0.62</v>
      </c>
      <c r="N1201" s="35">
        <f t="shared" si="342"/>
        <v>1.6129032258064517</v>
      </c>
      <c r="O1201" s="1" t="str">
        <f>VLOOKUP(H1201,'RM Used'!A:E,5,0)</f>
        <v>KG</v>
      </c>
      <c r="P1201" s="11">
        <f>VLOOKUP(H1201,'RM Used'!A:F,6,0)</f>
        <v>0.55000000000000004</v>
      </c>
      <c r="Q1201" s="11">
        <f t="shared" si="352"/>
        <v>0.88709677419354849</v>
      </c>
      <c r="R1201" s="11">
        <f>IFERROR(IF(B1201="Reynolds",VLOOKUP(H1201,'Yield &amp; Time'!A:U,21,0),VLOOKUP(H1201,'Yield &amp; Time'!A:L,12,0)),0)</f>
        <v>1.9000000000000001</v>
      </c>
      <c r="S1201" s="11">
        <f t="shared" si="344"/>
        <v>0.64315</v>
      </c>
      <c r="T1201" s="11">
        <f t="shared" si="345"/>
        <v>3.1666666666666669E-2</v>
      </c>
      <c r="U1201" s="11">
        <f>IF(A1200=A1201,0,VLOOKUP(A1201,'Packing Time'!A:F,6,0))</f>
        <v>0.64166666666666661</v>
      </c>
      <c r="V1201" s="11">
        <f t="shared" si="355"/>
        <v>0.21720416666666661</v>
      </c>
      <c r="W1201" s="11">
        <f t="shared" si="356"/>
        <v>1.0694444444444444E-2</v>
      </c>
      <c r="X1201" s="11">
        <f t="shared" si="346"/>
        <v>1.3765666666666667</v>
      </c>
      <c r="Y1201" s="11">
        <f t="shared" si="357"/>
        <v>1.3765666666666667</v>
      </c>
      <c r="Z1201" s="37">
        <v>1</v>
      </c>
      <c r="AA1201" s="36">
        <f t="shared" si="347"/>
        <v>1.6129032258064517</v>
      </c>
      <c r="AB1201" s="36">
        <f t="shared" si="348"/>
        <v>0.88709677419354849</v>
      </c>
      <c r="AC1201" s="11">
        <f t="shared" si="349"/>
        <v>6.7777777777777784E-2</v>
      </c>
      <c r="AD1201" s="36">
        <f t="shared" si="358"/>
        <v>1.3765666666666667</v>
      </c>
      <c r="AE1201" s="36" t="str">
        <f>VLOOKUP(H1201,'Yield &amp; Time'!A:I,9,0)</f>
        <v>SODIUM METABISULPHITE</v>
      </c>
      <c r="AF1201" s="36">
        <f>IFERROR(VLOOKUP(AE1201,'Chemical Cost'!A:D,4,0),0)</f>
        <v>9.7586225455882462E-3</v>
      </c>
      <c r="AG1201" s="114">
        <f t="shared" si="350"/>
        <v>5.2465712610689497E-3</v>
      </c>
      <c r="AH1201" s="36">
        <f t="shared" si="353"/>
        <v>5.2465712610689497E-3</v>
      </c>
      <c r="AI1201" s="36">
        <f t="shared" si="359"/>
        <v>2.268910012121284</v>
      </c>
      <c r="AJ1201" s="36">
        <f>IFERROR(VLOOKUP(A1201,'All Products'!A:F,6,0),0)</f>
        <v>4.9896162280701759</v>
      </c>
      <c r="AK1201" s="36">
        <f>AJ1201*Z1201*J1201</f>
        <v>4.9896162280701759</v>
      </c>
      <c r="AL1201" s="23">
        <v>1</v>
      </c>
      <c r="AM1201" s="23"/>
      <c r="AN1201" s="54" t="e">
        <v>#N/A</v>
      </c>
      <c r="AO1201" s="47"/>
      <c r="AP1201" s="4">
        <v>1.6</v>
      </c>
      <c r="AQ1201" s="111">
        <f t="shared" si="351"/>
        <v>6.7777777777777784E-2</v>
      </c>
      <c r="AR1201">
        <f>_xlfn.XLOOKUP(F1201,'RM Cost'!A:A,'RM Cost'!S:S)</f>
        <v>0</v>
      </c>
      <c r="AS1201" t="e">
        <f>_xlfn.XLOOKUP(A1201,[3]Sheet1!$B:$B,[3]Sheet1!$B:$B)</f>
        <v>#N/A</v>
      </c>
    </row>
    <row r="1202" spans="1:45" x14ac:dyDescent="0.25">
      <c r="A1202" s="16" t="s">
        <v>416</v>
      </c>
      <c r="B1202" s="2" t="s">
        <v>656</v>
      </c>
      <c r="C1202" s="2" t="s">
        <v>417</v>
      </c>
      <c r="D1202" s="2" t="s">
        <v>554</v>
      </c>
      <c r="E1202" s="2">
        <v>1</v>
      </c>
      <c r="F1202" s="1" t="str">
        <f>VLOOKUP(H1202,'RM Used'!A:B,2,0)</f>
        <v>P0008</v>
      </c>
      <c r="G1202" s="1" t="str">
        <f>IFERROR(VLOOKUP(F1202,'RM Cost'!A:B,2,0),"")</f>
        <v>PALE BLUE BAG 470X750MM</v>
      </c>
      <c r="H1202" s="1" t="s">
        <v>1323</v>
      </c>
      <c r="I1202" s="1" t="str">
        <f>VLOOKUP(F1202,'RM Used'!B:D,3,0)</f>
        <v>RM-PACKING</v>
      </c>
      <c r="J1202" s="66">
        <v>1</v>
      </c>
      <c r="K1202" s="35" t="str">
        <f t="shared" si="354"/>
        <v/>
      </c>
      <c r="L1202" s="35">
        <f t="shared" si="343"/>
        <v>0</v>
      </c>
      <c r="M1202" s="77" t="str" cm="1">
        <f t="array" ref="M1202">_xlfn.IFS(BOM!I1202="RM-PACKING","100%",B1202="Reynolds",VLOOKUP(H1202,'Yield &amp; Time'!A:V,22,0),BOM!B1202="Dnata",VLOOKUP(BOM!H1202,'Yield &amp; Time'!A:M,13,0),B1202="NK",VLOOKUP(H1202,'Yield &amp; Time'!A:X,24,0))</f>
        <v>100%</v>
      </c>
      <c r="N1202" s="35">
        <f t="shared" si="342"/>
        <v>1</v>
      </c>
      <c r="O1202" s="1" t="str">
        <f>VLOOKUP(H1202,'RM Used'!A:E,5,0)</f>
        <v>Count</v>
      </c>
      <c r="P1202" s="11">
        <f>VLOOKUP(H1202,'RM Used'!A:F,6,0)</f>
        <v>0.14000000000000001</v>
      </c>
      <c r="Q1202" s="11">
        <f t="shared" si="352"/>
        <v>0.14000000000000001</v>
      </c>
      <c r="R1202" s="11">
        <f>IFERROR(IF(B1202="Reynolds",VLOOKUP(H1202,'Yield &amp; Time'!A:U,21,0),VLOOKUP(H1202,'Yield &amp; Time'!A:L,12,0)),0)</f>
        <v>0</v>
      </c>
      <c r="S1202" s="11">
        <f t="shared" si="344"/>
        <v>0</v>
      </c>
      <c r="T1202" s="11">
        <f t="shared" si="345"/>
        <v>0</v>
      </c>
      <c r="U1202" s="11">
        <f>IF(A1201=A1202,0,VLOOKUP(A1202,'Packing Time'!A:F,6,0))</f>
        <v>0</v>
      </c>
      <c r="V1202" s="11">
        <f t="shared" si="355"/>
        <v>0</v>
      </c>
      <c r="W1202" s="11">
        <f t="shared" si="356"/>
        <v>0</v>
      </c>
      <c r="X1202" s="11">
        <f t="shared" si="346"/>
        <v>0</v>
      </c>
      <c r="Y1202" s="11">
        <f t="shared" si="357"/>
        <v>0</v>
      </c>
      <c r="Z1202" s="37">
        <v>1</v>
      </c>
      <c r="AA1202" s="36">
        <f t="shared" si="347"/>
        <v>1</v>
      </c>
      <c r="AB1202" s="36">
        <f t="shared" si="348"/>
        <v>0.14000000000000001</v>
      </c>
      <c r="AC1202" s="11">
        <f t="shared" si="349"/>
        <v>0</v>
      </c>
      <c r="AD1202" s="36">
        <f t="shared" si="358"/>
        <v>0</v>
      </c>
      <c r="AE1202" s="36"/>
      <c r="AF1202" s="36">
        <f>IFERROR(VLOOKUP(AE1202,'Chemical Cost'!A:D,4,0),0)</f>
        <v>0</v>
      </c>
      <c r="AG1202" s="114">
        <f t="shared" si="350"/>
        <v>0</v>
      </c>
      <c r="AH1202" s="36">
        <f t="shared" si="353"/>
        <v>0</v>
      </c>
      <c r="AI1202" s="36">
        <f t="shared" si="359"/>
        <v>0.14000000000000001</v>
      </c>
      <c r="AJ1202" s="36">
        <f>IFERROR(VLOOKUP(A1202,'All Products'!A:F,6,0),0)</f>
        <v>4.9896162280701759</v>
      </c>
      <c r="AK1202" s="36"/>
      <c r="AL1202" s="23">
        <v>1</v>
      </c>
      <c r="AM1202" s="23"/>
      <c r="AN1202" s="54" t="e">
        <v>#N/A</v>
      </c>
      <c r="AO1202" s="47"/>
      <c r="AP1202" s="4">
        <v>1.6</v>
      </c>
      <c r="AQ1202" s="111">
        <f t="shared" si="351"/>
        <v>0</v>
      </c>
      <c r="AR1202">
        <f>_xlfn.XLOOKUP(F1202,'RM Cost'!A:A,'RM Cost'!S:S)</f>
        <v>0</v>
      </c>
      <c r="AS1202" t="e">
        <f>_xlfn.XLOOKUP(A1202,[3]Sheet1!$B:$B,[3]Sheet1!$B:$B)</f>
        <v>#N/A</v>
      </c>
    </row>
    <row r="1203" spans="1:45" x14ac:dyDescent="0.25">
      <c r="A1203" s="16" t="s">
        <v>307</v>
      </c>
      <c r="B1203" s="2" t="s">
        <v>656</v>
      </c>
      <c r="C1203" s="2" t="s">
        <v>308</v>
      </c>
      <c r="D1203" s="2" t="s">
        <v>554</v>
      </c>
      <c r="E1203" s="2">
        <v>2.5</v>
      </c>
      <c r="F1203" s="1" t="str">
        <f>VLOOKUP(H1203,'RM Used'!A:B,2,0)</f>
        <v>3020CS</v>
      </c>
      <c r="G1203" s="1" t="str">
        <f>IFERROR(VLOOKUP(F1203,'RM Cost'!A:B,2,0),"")</f>
        <v>RM - CELERIAC 10KG</v>
      </c>
      <c r="H1203" s="2" t="s">
        <v>1622</v>
      </c>
      <c r="I1203" s="1" t="str">
        <f>VLOOKUP(F1203,'RM Used'!B:D,3,0)</f>
        <v>RM-FOOD</v>
      </c>
      <c r="J1203" s="66">
        <v>1</v>
      </c>
      <c r="K1203" s="35">
        <f t="shared" si="354"/>
        <v>2.5</v>
      </c>
      <c r="L1203" s="35">
        <f t="shared" si="343"/>
        <v>2.5</v>
      </c>
      <c r="M1203" s="77" cm="1">
        <f t="array" ref="M1203">_xlfn.IFS(BOM!I1203="RM-PACKING","100%",B1203="Reynolds",VLOOKUP(H1203,'Yield &amp; Time'!A:V,22,0),BOM!B1203="Dnata",VLOOKUP(BOM!H1203,'Yield &amp; Time'!A:M,13,0),B1203="NK",VLOOKUP(H1203,'Yield &amp; Time'!A:X,24,0))</f>
        <v>0.62</v>
      </c>
      <c r="N1203" s="35">
        <f t="shared" si="342"/>
        <v>4.032258064516129</v>
      </c>
      <c r="O1203" s="1" t="str">
        <f>VLOOKUP(H1203,'RM Used'!A:E,5,0)</f>
        <v>KG</v>
      </c>
      <c r="P1203" s="11">
        <f>VLOOKUP(H1203,'RM Used'!A:F,6,0)</f>
        <v>0.55000000000000004</v>
      </c>
      <c r="Q1203" s="11">
        <f t="shared" si="352"/>
        <v>2.217741935483871</v>
      </c>
      <c r="R1203" s="11">
        <f>IFERROR(IF(B1203="Reynolds",VLOOKUP(H1203,'Yield &amp; Time'!A:U,21,0),VLOOKUP(H1203,'Yield &amp; Time'!A:L,12,0)),0)</f>
        <v>1.9000000000000001</v>
      </c>
      <c r="S1203" s="11">
        <f t="shared" si="344"/>
        <v>1.6078749999999999</v>
      </c>
      <c r="T1203" s="11">
        <f t="shared" si="345"/>
        <v>7.9166666666666663E-2</v>
      </c>
      <c r="U1203" s="11">
        <f>IF(A1202=A1203,0,VLOOKUP(A1203,'Packing Time'!A:F,6,0))</f>
        <v>0.875</v>
      </c>
      <c r="V1203" s="11">
        <f t="shared" si="355"/>
        <v>0.29618749999999999</v>
      </c>
      <c r="W1203" s="11">
        <f t="shared" si="356"/>
        <v>1.4583333333333334E-2</v>
      </c>
      <c r="X1203" s="11">
        <f t="shared" si="346"/>
        <v>3.0465</v>
      </c>
      <c r="Y1203" s="11">
        <f t="shared" si="357"/>
        <v>3.0465</v>
      </c>
      <c r="Z1203" s="37">
        <v>1</v>
      </c>
      <c r="AA1203" s="36">
        <f t="shared" si="347"/>
        <v>4.032258064516129</v>
      </c>
      <c r="AB1203" s="36">
        <f t="shared" si="348"/>
        <v>2.217741935483871</v>
      </c>
      <c r="AC1203" s="11">
        <f t="shared" si="349"/>
        <v>0.15000000000000002</v>
      </c>
      <c r="AD1203" s="36">
        <f t="shared" si="358"/>
        <v>3.0465000000000004</v>
      </c>
      <c r="AE1203" s="36" t="str">
        <f>VLOOKUP(H1203,'Yield &amp; Time'!A:I,9,0)</f>
        <v>SODIUM METABISULPHITE</v>
      </c>
      <c r="AF1203" s="36">
        <f>IFERROR(VLOOKUP(AE1203,'Chemical Cost'!A:D,4,0),0)</f>
        <v>9.7586225455882462E-3</v>
      </c>
      <c r="AG1203" s="114">
        <f t="shared" si="350"/>
        <v>1.3116428152672374E-2</v>
      </c>
      <c r="AH1203" s="36">
        <f t="shared" si="353"/>
        <v>1.3116428152672374E-2</v>
      </c>
      <c r="AI1203" s="36">
        <f t="shared" si="359"/>
        <v>5.2773583636365435</v>
      </c>
      <c r="AJ1203" s="36">
        <f>IFERROR(VLOOKUP(A1203,'All Products'!A:F,6,0),0)</f>
        <v>12.31</v>
      </c>
      <c r="AK1203" s="36">
        <f>AJ1203*Z1203*J1203</f>
        <v>12.31</v>
      </c>
      <c r="AL1203" s="23">
        <v>1</v>
      </c>
      <c r="AM1203" s="23"/>
      <c r="AN1203" s="54" t="e">
        <v>#N/A</v>
      </c>
      <c r="AO1203" s="47"/>
      <c r="AP1203" s="4">
        <v>1.6</v>
      </c>
      <c r="AQ1203" s="111">
        <f t="shared" si="351"/>
        <v>0.15000000000000002</v>
      </c>
      <c r="AR1203">
        <f>_xlfn.XLOOKUP(F1203,'RM Cost'!A:A,'RM Cost'!S:S)</f>
        <v>0</v>
      </c>
      <c r="AS1203" t="e">
        <f>_xlfn.XLOOKUP(A1203,[3]Sheet1!$B:$B,[3]Sheet1!$B:$B)</f>
        <v>#N/A</v>
      </c>
    </row>
    <row r="1204" spans="1:45" x14ac:dyDescent="0.25">
      <c r="A1204" s="16" t="s">
        <v>307</v>
      </c>
      <c r="B1204" s="2" t="s">
        <v>656</v>
      </c>
      <c r="C1204" s="2" t="s">
        <v>308</v>
      </c>
      <c r="D1204" s="2" t="s">
        <v>554</v>
      </c>
      <c r="E1204" s="2">
        <v>2.5</v>
      </c>
      <c r="F1204" s="1" t="str">
        <f>VLOOKUP(H1204,'RM Used'!A:B,2,0)</f>
        <v>P0008</v>
      </c>
      <c r="G1204" s="1" t="str">
        <f>IFERROR(VLOOKUP(F1204,'RM Cost'!A:B,2,0),"")</f>
        <v>PALE BLUE BAG 470X750MM</v>
      </c>
      <c r="H1204" s="1" t="s">
        <v>1323</v>
      </c>
      <c r="I1204" s="1" t="str">
        <f>VLOOKUP(F1204,'RM Used'!B:D,3,0)</f>
        <v>RM-PACKING</v>
      </c>
      <c r="J1204" s="66">
        <v>1</v>
      </c>
      <c r="K1204" s="35" t="str">
        <f t="shared" si="354"/>
        <v/>
      </c>
      <c r="L1204" s="35">
        <f t="shared" si="343"/>
        <v>0</v>
      </c>
      <c r="M1204" s="77" t="str" cm="1">
        <f t="array" ref="M1204">_xlfn.IFS(BOM!I1204="RM-PACKING","100%",B1204="Reynolds",VLOOKUP(H1204,'Yield &amp; Time'!A:V,22,0),BOM!B1204="Dnata",VLOOKUP(BOM!H1204,'Yield &amp; Time'!A:M,13,0),B1204="NK",VLOOKUP(H1204,'Yield &amp; Time'!A:X,24,0))</f>
        <v>100%</v>
      </c>
      <c r="N1204" s="35">
        <f t="shared" si="342"/>
        <v>1</v>
      </c>
      <c r="O1204" s="1" t="str">
        <f>VLOOKUP(H1204,'RM Used'!A:E,5,0)</f>
        <v>Count</v>
      </c>
      <c r="P1204" s="11">
        <f>VLOOKUP(H1204,'RM Used'!A:F,6,0)</f>
        <v>0.14000000000000001</v>
      </c>
      <c r="Q1204" s="11">
        <f t="shared" si="352"/>
        <v>0.14000000000000001</v>
      </c>
      <c r="R1204" s="11">
        <f>IFERROR(IF(B1204="Reynolds",VLOOKUP(H1204,'Yield &amp; Time'!A:U,21,0),VLOOKUP(H1204,'Yield &amp; Time'!A:L,12,0)),0)</f>
        <v>0</v>
      </c>
      <c r="S1204" s="11">
        <f t="shared" si="344"/>
        <v>0</v>
      </c>
      <c r="T1204" s="11">
        <f t="shared" si="345"/>
        <v>0</v>
      </c>
      <c r="U1204" s="11">
        <f>IF(A1203=A1204,0,VLOOKUP(A1204,'Packing Time'!A:F,6,0))</f>
        <v>0</v>
      </c>
      <c r="V1204" s="11">
        <f t="shared" si="355"/>
        <v>0</v>
      </c>
      <c r="W1204" s="11">
        <f t="shared" si="356"/>
        <v>0</v>
      </c>
      <c r="X1204" s="11">
        <f t="shared" si="346"/>
        <v>0</v>
      </c>
      <c r="Y1204" s="11">
        <f t="shared" si="357"/>
        <v>0</v>
      </c>
      <c r="Z1204" s="37">
        <v>1</v>
      </c>
      <c r="AA1204" s="36">
        <f t="shared" si="347"/>
        <v>1</v>
      </c>
      <c r="AB1204" s="36">
        <f t="shared" si="348"/>
        <v>0.14000000000000001</v>
      </c>
      <c r="AC1204" s="11">
        <f t="shared" si="349"/>
        <v>0</v>
      </c>
      <c r="AD1204" s="36">
        <f t="shared" si="358"/>
        <v>0</v>
      </c>
      <c r="AE1204" s="36"/>
      <c r="AF1204" s="36">
        <f>IFERROR(VLOOKUP(AE1204,'Chemical Cost'!A:D,4,0),0)</f>
        <v>0</v>
      </c>
      <c r="AG1204" s="114">
        <f t="shared" si="350"/>
        <v>0</v>
      </c>
      <c r="AH1204" s="36">
        <f t="shared" si="353"/>
        <v>0</v>
      </c>
      <c r="AI1204" s="36">
        <f t="shared" si="359"/>
        <v>0.14000000000000001</v>
      </c>
      <c r="AJ1204" s="36">
        <f>IFERROR(VLOOKUP(A1204,'All Products'!A:F,6,0),0)</f>
        <v>12.31</v>
      </c>
      <c r="AK1204" s="36"/>
      <c r="AL1204" s="23">
        <v>1</v>
      </c>
      <c r="AM1204" s="23"/>
      <c r="AN1204" s="54" t="e">
        <v>#N/A</v>
      </c>
      <c r="AO1204" s="47"/>
      <c r="AP1204" s="4">
        <v>1.6</v>
      </c>
      <c r="AQ1204" s="111">
        <f t="shared" si="351"/>
        <v>0</v>
      </c>
      <c r="AR1204">
        <f>_xlfn.XLOOKUP(F1204,'RM Cost'!A:A,'RM Cost'!S:S)</f>
        <v>0</v>
      </c>
      <c r="AS1204" t="e">
        <f>_xlfn.XLOOKUP(A1204,[3]Sheet1!$B:$B,[3]Sheet1!$B:$B)</f>
        <v>#N/A</v>
      </c>
    </row>
    <row r="1205" spans="1:45" x14ac:dyDescent="0.25">
      <c r="A1205" s="16" t="s">
        <v>1021</v>
      </c>
      <c r="B1205" s="2" t="s">
        <v>656</v>
      </c>
      <c r="C1205" s="2" t="s">
        <v>1022</v>
      </c>
      <c r="D1205" s="2" t="s">
        <v>554</v>
      </c>
      <c r="E1205" s="2">
        <v>1</v>
      </c>
      <c r="F1205" s="1" t="str">
        <f>VLOOKUP(H1205,'RM Used'!A:B,2,0)</f>
        <v>3409CS</v>
      </c>
      <c r="G1205" s="1" t="str">
        <f>IFERROR(VLOOKUP(F1205,'RM Cost'!A:B,2,0),"")</f>
        <v>RM - CELERY 1 X 12</v>
      </c>
      <c r="H1205" s="2" t="s">
        <v>1623</v>
      </c>
      <c r="I1205" s="1" t="str">
        <f>VLOOKUP(F1205,'RM Used'!B:D,3,0)</f>
        <v>RM-FOOD</v>
      </c>
      <c r="J1205" s="66">
        <v>1</v>
      </c>
      <c r="K1205" s="35">
        <f t="shared" si="354"/>
        <v>1</v>
      </c>
      <c r="L1205" s="35">
        <f t="shared" si="343"/>
        <v>1</v>
      </c>
      <c r="M1205" s="77" cm="1">
        <f t="array" ref="M1205">_xlfn.IFS(BOM!I1205="RM-PACKING","100%",B1205="Reynolds",VLOOKUP(H1205,'Yield &amp; Time'!A:V,22,0),BOM!B1205="Dnata",VLOOKUP(BOM!H1205,'Yield &amp; Time'!A:M,13,0),B1205="NK",VLOOKUP(H1205,'Yield &amp; Time'!A:X,24,0))</f>
        <v>0.68354430379746833</v>
      </c>
      <c r="N1205" s="35">
        <f t="shared" si="342"/>
        <v>1.462962962962963</v>
      </c>
      <c r="O1205" s="1" t="str">
        <f>VLOOKUP(H1205,'RM Used'!A:E,5,0)</f>
        <v>KG</v>
      </c>
      <c r="P1205" s="11">
        <f>VLOOKUP(H1205,'RM Used'!A:F,6,0)</f>
        <v>0.91</v>
      </c>
      <c r="Q1205" s="11">
        <f t="shared" si="352"/>
        <v>1.3312962962962964</v>
      </c>
      <c r="R1205" s="11">
        <f>IFERROR(IF(B1205="Reynolds",VLOOKUP(H1205,'Yield &amp; Time'!A:U,21,0),VLOOKUP(H1205,'Yield &amp; Time'!A:L,12,0)),0)</f>
        <v>10.555555555555555</v>
      </c>
      <c r="S1205" s="11">
        <f t="shared" si="344"/>
        <v>3.573055555555555</v>
      </c>
      <c r="T1205" s="11">
        <f t="shared" si="345"/>
        <v>0.17592592592592593</v>
      </c>
      <c r="U1205" s="11">
        <f>IF(A1204=A1205,0,VLOOKUP(A1205,'Packing Time'!A:F,6,0))</f>
        <v>0.64166666666666661</v>
      </c>
      <c r="V1205" s="11">
        <f t="shared" si="355"/>
        <v>0.21720416666666661</v>
      </c>
      <c r="W1205" s="11">
        <f t="shared" si="356"/>
        <v>1.0694444444444444E-2</v>
      </c>
      <c r="X1205" s="11">
        <f t="shared" si="346"/>
        <v>6.0644155555555557</v>
      </c>
      <c r="Y1205" s="11">
        <f t="shared" si="357"/>
        <v>6.0644155555555557</v>
      </c>
      <c r="Z1205" s="37">
        <v>1</v>
      </c>
      <c r="AA1205" s="36">
        <f t="shared" si="347"/>
        <v>1.462962962962963</v>
      </c>
      <c r="AB1205" s="36">
        <f t="shared" si="348"/>
        <v>1.3312962962962964</v>
      </c>
      <c r="AC1205" s="11">
        <f t="shared" si="349"/>
        <v>0.29859259259259263</v>
      </c>
      <c r="AD1205" s="36">
        <f t="shared" si="358"/>
        <v>6.0644155555555557</v>
      </c>
      <c r="AE1205" s="36"/>
      <c r="AF1205" s="36">
        <f>IFERROR(VLOOKUP(AE1205,'Chemical Cost'!A:D,4,0),0)</f>
        <v>0</v>
      </c>
      <c r="AG1205" s="114">
        <f t="shared" si="350"/>
        <v>0</v>
      </c>
      <c r="AH1205" s="36">
        <f t="shared" si="353"/>
        <v>0</v>
      </c>
      <c r="AI1205" s="36">
        <f t="shared" si="359"/>
        <v>7.3957118518518516</v>
      </c>
      <c r="AJ1205" s="36">
        <f>IFERROR(VLOOKUP(A1205,'All Products'!A:F,6,0),0)</f>
        <v>10.71</v>
      </c>
      <c r="AK1205" s="36">
        <f>AJ1205*Z1205*J1205</f>
        <v>10.71</v>
      </c>
      <c r="AL1205" s="23">
        <v>1</v>
      </c>
      <c r="AM1205" s="23"/>
      <c r="AN1205" s="54" t="e">
        <v>#N/A</v>
      </c>
      <c r="AO1205" s="47"/>
      <c r="AP1205" s="4">
        <v>1.6</v>
      </c>
      <c r="AQ1205" s="111">
        <f t="shared" si="351"/>
        <v>0.29859259259259263</v>
      </c>
      <c r="AR1205">
        <f>_xlfn.XLOOKUP(F1205,'RM Cost'!A:A,'RM Cost'!S:S)</f>
        <v>0</v>
      </c>
      <c r="AS1205" t="e">
        <f>_xlfn.XLOOKUP(A1205,[3]Sheet1!$B:$B,[3]Sheet1!$B:$B)</f>
        <v>#N/A</v>
      </c>
    </row>
    <row r="1206" spans="1:45" x14ac:dyDescent="0.25">
      <c r="A1206" s="16" t="s">
        <v>1021</v>
      </c>
      <c r="B1206" s="2" t="s">
        <v>656</v>
      </c>
      <c r="C1206" s="2" t="s">
        <v>1022</v>
      </c>
      <c r="D1206" s="2" t="s">
        <v>554</v>
      </c>
      <c r="E1206" s="2">
        <v>1</v>
      </c>
      <c r="F1206" s="1" t="str">
        <f>VLOOKUP(H1206,'RM Used'!A:B,2,0)</f>
        <v>P0008</v>
      </c>
      <c r="G1206" s="1" t="str">
        <f>IFERROR(VLOOKUP(F1206,'RM Cost'!A:B,2,0),"")</f>
        <v>PALE BLUE BAG 470X750MM</v>
      </c>
      <c r="H1206" s="1" t="s">
        <v>1323</v>
      </c>
      <c r="I1206" s="1" t="str">
        <f>VLOOKUP(F1206,'RM Used'!B:D,3,0)</f>
        <v>RM-PACKING</v>
      </c>
      <c r="J1206" s="66">
        <v>1</v>
      </c>
      <c r="K1206" s="35" t="str">
        <f t="shared" si="354"/>
        <v/>
      </c>
      <c r="L1206" s="35">
        <f t="shared" si="343"/>
        <v>0</v>
      </c>
      <c r="M1206" s="77" t="str" cm="1">
        <f t="array" ref="M1206">_xlfn.IFS(BOM!I1206="RM-PACKING","100%",B1206="Reynolds",VLOOKUP(H1206,'Yield &amp; Time'!A:V,22,0),BOM!B1206="Dnata",VLOOKUP(BOM!H1206,'Yield &amp; Time'!A:M,13,0),B1206="NK",VLOOKUP(H1206,'Yield &amp; Time'!A:X,24,0))</f>
        <v>100%</v>
      </c>
      <c r="N1206" s="35">
        <f t="shared" si="342"/>
        <v>1</v>
      </c>
      <c r="O1206" s="1" t="str">
        <f>VLOOKUP(H1206,'RM Used'!A:E,5,0)</f>
        <v>Count</v>
      </c>
      <c r="P1206" s="11">
        <f>VLOOKUP(H1206,'RM Used'!A:F,6,0)</f>
        <v>0.14000000000000001</v>
      </c>
      <c r="Q1206" s="11">
        <f t="shared" si="352"/>
        <v>0.14000000000000001</v>
      </c>
      <c r="R1206" s="11">
        <f>IFERROR(IF(B1206="Reynolds",VLOOKUP(H1206,'Yield &amp; Time'!A:U,21,0),VLOOKUP(H1206,'Yield &amp; Time'!A:L,12,0)),0)</f>
        <v>0</v>
      </c>
      <c r="S1206" s="11">
        <f t="shared" si="344"/>
        <v>0</v>
      </c>
      <c r="T1206" s="11">
        <f t="shared" si="345"/>
        <v>0</v>
      </c>
      <c r="U1206" s="11">
        <f>IF(A1205=A1206,0,VLOOKUP(A1206,'Packing Time'!A:F,6,0))</f>
        <v>0</v>
      </c>
      <c r="V1206" s="11">
        <f t="shared" si="355"/>
        <v>0</v>
      </c>
      <c r="W1206" s="11">
        <f t="shared" si="356"/>
        <v>0</v>
      </c>
      <c r="X1206" s="11">
        <f t="shared" si="346"/>
        <v>0</v>
      </c>
      <c r="Y1206" s="11">
        <f t="shared" si="357"/>
        <v>0</v>
      </c>
      <c r="Z1206" s="37">
        <v>1</v>
      </c>
      <c r="AA1206" s="36">
        <f t="shared" si="347"/>
        <v>1</v>
      </c>
      <c r="AB1206" s="36">
        <f t="shared" si="348"/>
        <v>0.14000000000000001</v>
      </c>
      <c r="AC1206" s="11">
        <f t="shared" si="349"/>
        <v>0</v>
      </c>
      <c r="AD1206" s="36">
        <f t="shared" si="358"/>
        <v>0</v>
      </c>
      <c r="AE1206" s="36"/>
      <c r="AF1206" s="36">
        <f>IFERROR(VLOOKUP(AE1206,'Chemical Cost'!A:D,4,0),0)</f>
        <v>0</v>
      </c>
      <c r="AG1206" s="114">
        <f t="shared" si="350"/>
        <v>0</v>
      </c>
      <c r="AH1206" s="36">
        <f t="shared" si="353"/>
        <v>0</v>
      </c>
      <c r="AI1206" s="36">
        <f t="shared" si="359"/>
        <v>0.14000000000000001</v>
      </c>
      <c r="AJ1206" s="36">
        <f>IFERROR(VLOOKUP(A1206,'All Products'!A:F,6,0),0)</f>
        <v>10.71</v>
      </c>
      <c r="AK1206" s="36"/>
      <c r="AL1206" s="23">
        <v>1</v>
      </c>
      <c r="AM1206" s="23"/>
      <c r="AN1206" s="54" t="e">
        <v>#N/A</v>
      </c>
      <c r="AO1206" s="47"/>
      <c r="AP1206" s="4">
        <v>1.6</v>
      </c>
      <c r="AQ1206" s="111">
        <f t="shared" si="351"/>
        <v>0</v>
      </c>
      <c r="AR1206">
        <f>_xlfn.XLOOKUP(F1206,'RM Cost'!A:A,'RM Cost'!S:S)</f>
        <v>0</v>
      </c>
      <c r="AS1206" t="e">
        <f>_xlfn.XLOOKUP(A1206,[3]Sheet1!$B:$B,[3]Sheet1!$B:$B)</f>
        <v>#N/A</v>
      </c>
    </row>
    <row r="1207" spans="1:45" x14ac:dyDescent="0.25">
      <c r="A1207" s="16" t="s">
        <v>1023</v>
      </c>
      <c r="B1207" s="2" t="s">
        <v>656</v>
      </c>
      <c r="C1207" s="2" t="s">
        <v>1024</v>
      </c>
      <c r="D1207" s="2" t="s">
        <v>554</v>
      </c>
      <c r="E1207" s="2">
        <v>2.5</v>
      </c>
      <c r="F1207" s="1" t="str">
        <f>VLOOKUP(H1207,'RM Used'!A:B,2,0)</f>
        <v>3409CS</v>
      </c>
      <c r="G1207" s="1" t="str">
        <f>IFERROR(VLOOKUP(F1207,'RM Cost'!A:B,2,0),"")</f>
        <v>RM - CELERY 1 X 12</v>
      </c>
      <c r="H1207" s="2" t="s">
        <v>1623</v>
      </c>
      <c r="I1207" s="1" t="str">
        <f>VLOOKUP(F1207,'RM Used'!B:D,3,0)</f>
        <v>RM-FOOD</v>
      </c>
      <c r="J1207" s="66">
        <v>1</v>
      </c>
      <c r="K1207" s="35">
        <f t="shared" si="354"/>
        <v>2.5</v>
      </c>
      <c r="L1207" s="35">
        <f t="shared" si="343"/>
        <v>2.5</v>
      </c>
      <c r="M1207" s="77" cm="1">
        <f t="array" ref="M1207">_xlfn.IFS(BOM!I1207="RM-PACKING","100%",B1207="Reynolds",VLOOKUP(H1207,'Yield &amp; Time'!A:V,22,0),BOM!B1207="Dnata",VLOOKUP(BOM!H1207,'Yield &amp; Time'!A:M,13,0),B1207="NK",VLOOKUP(H1207,'Yield &amp; Time'!A:X,24,0))</f>
        <v>0.68354430379746833</v>
      </c>
      <c r="N1207" s="35">
        <f t="shared" si="342"/>
        <v>3.6574074074074074</v>
      </c>
      <c r="O1207" s="1" t="str">
        <f>VLOOKUP(H1207,'RM Used'!A:E,5,0)</f>
        <v>KG</v>
      </c>
      <c r="P1207" s="11">
        <f>VLOOKUP(H1207,'RM Used'!A:F,6,0)</f>
        <v>0.91</v>
      </c>
      <c r="Q1207" s="11">
        <f t="shared" si="352"/>
        <v>3.3282407407407408</v>
      </c>
      <c r="R1207" s="11">
        <f>IFERROR(IF(B1207="Reynolds",VLOOKUP(H1207,'Yield &amp; Time'!A:U,21,0),VLOOKUP(H1207,'Yield &amp; Time'!A:L,12,0)),0)</f>
        <v>10.555555555555555</v>
      </c>
      <c r="S1207" s="11">
        <f t="shared" si="344"/>
        <v>8.9326388888888886</v>
      </c>
      <c r="T1207" s="11">
        <f t="shared" si="345"/>
        <v>0.43981481481481483</v>
      </c>
      <c r="U1207" s="11">
        <f>IF(A1206=A1207,0,VLOOKUP(A1207,'Packing Time'!A:F,6,0))</f>
        <v>0.875</v>
      </c>
      <c r="V1207" s="11">
        <f t="shared" si="355"/>
        <v>0.29618749999999999</v>
      </c>
      <c r="W1207" s="11">
        <f t="shared" si="356"/>
        <v>1.4583333333333334E-2</v>
      </c>
      <c r="X1207" s="11">
        <f t="shared" si="346"/>
        <v>14.766122222222222</v>
      </c>
      <c r="Y1207" s="11">
        <f t="shared" si="357"/>
        <v>14.766122222222222</v>
      </c>
      <c r="Z1207" s="37">
        <v>1</v>
      </c>
      <c r="AA1207" s="36">
        <f t="shared" si="347"/>
        <v>3.6574074074074074</v>
      </c>
      <c r="AB1207" s="36">
        <f t="shared" si="348"/>
        <v>3.3282407407407408</v>
      </c>
      <c r="AC1207" s="11">
        <f t="shared" si="349"/>
        <v>0.72703703703703715</v>
      </c>
      <c r="AD1207" s="36">
        <f t="shared" si="358"/>
        <v>14.766122222222222</v>
      </c>
      <c r="AE1207" s="36"/>
      <c r="AF1207" s="36">
        <f>IFERROR(VLOOKUP(AE1207,'Chemical Cost'!A:D,4,0),0)</f>
        <v>0</v>
      </c>
      <c r="AG1207" s="114">
        <f t="shared" si="350"/>
        <v>0</v>
      </c>
      <c r="AH1207" s="36">
        <f t="shared" si="353"/>
        <v>0</v>
      </c>
      <c r="AI1207" s="36">
        <f t="shared" si="359"/>
        <v>18.094362962962961</v>
      </c>
      <c r="AJ1207" s="36">
        <f>IFERROR(VLOOKUP(A1207,'All Products'!A:F,6,0),0)</f>
        <v>26.77</v>
      </c>
      <c r="AK1207" s="36">
        <f>AJ1207*Z1207*J1207</f>
        <v>26.77</v>
      </c>
      <c r="AL1207" s="23">
        <v>1</v>
      </c>
      <c r="AM1207" s="23"/>
      <c r="AN1207" s="54" t="e">
        <v>#N/A</v>
      </c>
      <c r="AO1207" s="47"/>
      <c r="AP1207" s="4">
        <v>1.6</v>
      </c>
      <c r="AQ1207" s="111">
        <f t="shared" si="351"/>
        <v>0.72703703703703715</v>
      </c>
      <c r="AR1207">
        <f>_xlfn.XLOOKUP(F1207,'RM Cost'!A:A,'RM Cost'!S:S)</f>
        <v>0</v>
      </c>
      <c r="AS1207" t="e">
        <f>_xlfn.XLOOKUP(A1207,[3]Sheet1!$B:$B,[3]Sheet1!$B:$B)</f>
        <v>#N/A</v>
      </c>
    </row>
    <row r="1208" spans="1:45" x14ac:dyDescent="0.25">
      <c r="A1208" s="16" t="s">
        <v>1023</v>
      </c>
      <c r="B1208" s="2" t="s">
        <v>656</v>
      </c>
      <c r="C1208" s="2" t="s">
        <v>1024</v>
      </c>
      <c r="D1208" s="2" t="s">
        <v>554</v>
      </c>
      <c r="E1208" s="2">
        <v>2.5</v>
      </c>
      <c r="F1208" s="1" t="str">
        <f>VLOOKUP(H1208,'RM Used'!A:B,2,0)</f>
        <v>P0008</v>
      </c>
      <c r="G1208" s="1" t="str">
        <f>IFERROR(VLOOKUP(F1208,'RM Cost'!A:B,2,0),"")</f>
        <v>PALE BLUE BAG 470X750MM</v>
      </c>
      <c r="H1208" s="1" t="s">
        <v>1323</v>
      </c>
      <c r="I1208" s="1" t="str">
        <f>VLOOKUP(F1208,'RM Used'!B:D,3,0)</f>
        <v>RM-PACKING</v>
      </c>
      <c r="J1208" s="66">
        <v>1</v>
      </c>
      <c r="K1208" s="35" t="str">
        <f t="shared" si="354"/>
        <v/>
      </c>
      <c r="L1208" s="35">
        <f t="shared" si="343"/>
        <v>0</v>
      </c>
      <c r="M1208" s="77" t="str" cm="1">
        <f t="array" ref="M1208">_xlfn.IFS(BOM!I1208="RM-PACKING","100%",B1208="Reynolds",VLOOKUP(H1208,'Yield &amp; Time'!A:V,22,0),BOM!B1208="Dnata",VLOOKUP(BOM!H1208,'Yield &amp; Time'!A:M,13,0),B1208="NK",VLOOKUP(H1208,'Yield &amp; Time'!A:X,24,0))</f>
        <v>100%</v>
      </c>
      <c r="N1208" s="35">
        <f t="shared" si="342"/>
        <v>1</v>
      </c>
      <c r="O1208" s="1" t="str">
        <f>VLOOKUP(H1208,'RM Used'!A:E,5,0)</f>
        <v>Count</v>
      </c>
      <c r="P1208" s="11">
        <f>VLOOKUP(H1208,'RM Used'!A:F,6,0)</f>
        <v>0.14000000000000001</v>
      </c>
      <c r="Q1208" s="11">
        <f t="shared" si="352"/>
        <v>0.14000000000000001</v>
      </c>
      <c r="R1208" s="11">
        <f>IFERROR(IF(B1208="Reynolds",VLOOKUP(H1208,'Yield &amp; Time'!A:U,21,0),VLOOKUP(H1208,'Yield &amp; Time'!A:L,12,0)),0)</f>
        <v>0</v>
      </c>
      <c r="S1208" s="11">
        <f t="shared" si="344"/>
        <v>0</v>
      </c>
      <c r="T1208" s="11">
        <f t="shared" si="345"/>
        <v>0</v>
      </c>
      <c r="U1208" s="11">
        <f>IF(A1207=A1208,0,VLOOKUP(A1208,'Packing Time'!A:F,6,0))</f>
        <v>0</v>
      </c>
      <c r="V1208" s="11">
        <f t="shared" si="355"/>
        <v>0</v>
      </c>
      <c r="W1208" s="11">
        <f t="shared" si="356"/>
        <v>0</v>
      </c>
      <c r="X1208" s="11">
        <f t="shared" si="346"/>
        <v>0</v>
      </c>
      <c r="Y1208" s="11">
        <f t="shared" si="357"/>
        <v>0</v>
      </c>
      <c r="Z1208" s="37">
        <v>1</v>
      </c>
      <c r="AA1208" s="36">
        <f t="shared" si="347"/>
        <v>1</v>
      </c>
      <c r="AB1208" s="36">
        <f t="shared" si="348"/>
        <v>0.14000000000000001</v>
      </c>
      <c r="AC1208" s="11">
        <f t="shared" si="349"/>
        <v>0</v>
      </c>
      <c r="AD1208" s="36">
        <f t="shared" si="358"/>
        <v>0</v>
      </c>
      <c r="AE1208" s="36"/>
      <c r="AF1208" s="36">
        <f>IFERROR(VLOOKUP(AE1208,'Chemical Cost'!A:D,4,0),0)</f>
        <v>0</v>
      </c>
      <c r="AG1208" s="114">
        <f t="shared" si="350"/>
        <v>0</v>
      </c>
      <c r="AH1208" s="36">
        <f t="shared" si="353"/>
        <v>0</v>
      </c>
      <c r="AI1208" s="36">
        <f t="shared" si="359"/>
        <v>0.14000000000000001</v>
      </c>
      <c r="AJ1208" s="36">
        <f>IFERROR(VLOOKUP(A1208,'All Products'!A:F,6,0),0)</f>
        <v>26.77</v>
      </c>
      <c r="AK1208" s="36"/>
      <c r="AL1208" s="23">
        <v>1</v>
      </c>
      <c r="AM1208" s="23"/>
      <c r="AN1208" s="54" t="e">
        <v>#N/A</v>
      </c>
      <c r="AO1208" s="47"/>
      <c r="AP1208" s="4">
        <v>1.6</v>
      </c>
      <c r="AQ1208" s="111">
        <f t="shared" si="351"/>
        <v>0</v>
      </c>
      <c r="AR1208">
        <f>_xlfn.XLOOKUP(F1208,'RM Cost'!A:A,'RM Cost'!S:S)</f>
        <v>0</v>
      </c>
      <c r="AS1208" t="e">
        <f>_xlfn.XLOOKUP(A1208,[3]Sheet1!$B:$B,[3]Sheet1!$B:$B)</f>
        <v>#N/A</v>
      </c>
    </row>
    <row r="1209" spans="1:45" x14ac:dyDescent="0.25">
      <c r="A1209" s="16" t="s">
        <v>510</v>
      </c>
      <c r="B1209" s="2" t="s">
        <v>656</v>
      </c>
      <c r="C1209" s="2" t="s">
        <v>511</v>
      </c>
      <c r="D1209" s="2" t="s">
        <v>554</v>
      </c>
      <c r="E1209" s="2">
        <v>1</v>
      </c>
      <c r="F1209" s="1" t="str">
        <f>VLOOKUP(H1209,'RM Used'!A:B,2,0)</f>
        <v>3582CS</v>
      </c>
      <c r="G1209" s="1" t="str">
        <f>IFERROR(VLOOKUP(F1209,'RM Cost'!A:B,2,0),"")</f>
        <v>RM - CHILLI GREEN LONG DUTCH 3KG</v>
      </c>
      <c r="H1209" s="2" t="s">
        <v>1624</v>
      </c>
      <c r="I1209" s="1" t="str">
        <f>VLOOKUP(F1209,'RM Used'!B:D,3,0)</f>
        <v>RM-FOOD</v>
      </c>
      <c r="J1209" s="66">
        <v>1</v>
      </c>
      <c r="K1209" s="35">
        <f t="shared" si="354"/>
        <v>1</v>
      </c>
      <c r="L1209" s="35">
        <f t="shared" si="343"/>
        <v>1</v>
      </c>
      <c r="M1209" s="77" cm="1">
        <f t="array" ref="M1209">_xlfn.IFS(BOM!I1209="RM-PACKING","100%",B1209="Reynolds",VLOOKUP(H1209,'Yield &amp; Time'!A:V,22,0),BOM!B1209="Dnata",VLOOKUP(BOM!H1209,'Yield &amp; Time'!A:M,13,0),B1209="NK",VLOOKUP(H1209,'Yield &amp; Time'!A:X,24,0))</f>
        <v>0.80720609711573554</v>
      </c>
      <c r="N1209" s="35">
        <f t="shared" ref="N1209:N1268" si="360">IFERROR(IF(I1209="RM-FOOD",(E1209*J1209)/M1209,1),0)</f>
        <v>1.2388409893992935</v>
      </c>
      <c r="O1209" s="1" t="str">
        <f>VLOOKUP(H1209,'RM Used'!A:E,5,0)</f>
        <v>KG</v>
      </c>
      <c r="P1209" s="11">
        <f>VLOOKUP(H1209,'RM Used'!A:F,6,0)</f>
        <v>2.84</v>
      </c>
      <c r="Q1209" s="11">
        <f t="shared" si="352"/>
        <v>3.5183084098939936</v>
      </c>
      <c r="R1209" s="11">
        <f>IFERROR(IF(B1209="Reynolds",VLOOKUP(H1209,'Yield &amp; Time'!A:U,21,0),VLOOKUP(H1209,'Yield &amp; Time'!A:L,12,0)),0)</f>
        <v>4.8666666666666663</v>
      </c>
      <c r="S1209" s="11">
        <f t="shared" si="344"/>
        <v>1.6473666666666664</v>
      </c>
      <c r="T1209" s="11">
        <f t="shared" si="345"/>
        <v>8.1111111111111106E-2</v>
      </c>
      <c r="U1209" s="11">
        <f>IF(A1208=A1209,0,VLOOKUP(A1209,'Packing Time'!A:F,6,0))</f>
        <v>0.64166666666666661</v>
      </c>
      <c r="V1209" s="11">
        <f t="shared" si="355"/>
        <v>0.21720416666666661</v>
      </c>
      <c r="W1209" s="11">
        <f t="shared" si="356"/>
        <v>1.0694444444444444E-2</v>
      </c>
      <c r="X1209" s="11">
        <f t="shared" si="346"/>
        <v>2.9833133333333333</v>
      </c>
      <c r="Y1209" s="11">
        <f t="shared" si="357"/>
        <v>2.9833133333333333</v>
      </c>
      <c r="Z1209" s="37">
        <v>1</v>
      </c>
      <c r="AA1209" s="36">
        <f t="shared" si="347"/>
        <v>1.2388409893992935</v>
      </c>
      <c r="AB1209" s="36">
        <f t="shared" si="348"/>
        <v>3.5183084098939936</v>
      </c>
      <c r="AC1209" s="11">
        <f t="shared" si="349"/>
        <v>0.14688888888888887</v>
      </c>
      <c r="AD1209" s="36">
        <f t="shared" si="358"/>
        <v>2.9833133333333328</v>
      </c>
      <c r="AE1209" s="36" t="str">
        <f>VLOOKUP(H1209,'Yield &amp; Time'!A:I,9,0)</f>
        <v>CHLORINE</v>
      </c>
      <c r="AF1209" s="36">
        <f>IFERROR(VLOOKUP(AE1209,'Chemical Cost'!A:D,4,0),0)</f>
        <v>2.7756518066439469E-2</v>
      </c>
      <c r="AG1209" s="114">
        <f t="shared" si="350"/>
        <v>1.1461970767902412E-2</v>
      </c>
      <c r="AH1209" s="36">
        <f t="shared" si="353"/>
        <v>1.1461970767902412E-2</v>
      </c>
      <c r="AI1209" s="36">
        <f t="shared" si="359"/>
        <v>6.5130837139952291</v>
      </c>
      <c r="AJ1209" s="36">
        <f>IFERROR(VLOOKUP(A1209,'All Products'!A:F,6,0),0)</f>
        <v>10.94</v>
      </c>
      <c r="AK1209" s="36">
        <f>AJ1209*Z1209*J1209</f>
        <v>10.94</v>
      </c>
      <c r="AL1209" s="23">
        <v>1</v>
      </c>
      <c r="AM1209" s="23"/>
      <c r="AN1209" s="54" t="e">
        <v>#N/A</v>
      </c>
      <c r="AO1209" s="47"/>
      <c r="AP1209" s="4">
        <v>1.6</v>
      </c>
      <c r="AQ1209" s="111">
        <f t="shared" si="351"/>
        <v>0.14688888888888887</v>
      </c>
      <c r="AR1209">
        <f>_xlfn.XLOOKUP(F1209,'RM Cost'!A:A,'RM Cost'!S:S)</f>
        <v>0</v>
      </c>
      <c r="AS1209" t="e">
        <f>_xlfn.XLOOKUP(A1209,[3]Sheet1!$B:$B,[3]Sheet1!$B:$B)</f>
        <v>#N/A</v>
      </c>
    </row>
    <row r="1210" spans="1:45" x14ac:dyDescent="0.25">
      <c r="A1210" s="16" t="s">
        <v>510</v>
      </c>
      <c r="B1210" s="2" t="s">
        <v>656</v>
      </c>
      <c r="C1210" s="2" t="s">
        <v>511</v>
      </c>
      <c r="D1210" s="2" t="s">
        <v>554</v>
      </c>
      <c r="E1210" s="2">
        <v>1</v>
      </c>
      <c r="F1210" s="1" t="str">
        <f>VLOOKUP(H1210,'RM Used'!A:B,2,0)</f>
        <v>P0008</v>
      </c>
      <c r="G1210" s="1" t="str">
        <f>IFERROR(VLOOKUP(F1210,'RM Cost'!A:B,2,0),"")</f>
        <v>PALE BLUE BAG 470X750MM</v>
      </c>
      <c r="H1210" s="1" t="s">
        <v>1323</v>
      </c>
      <c r="I1210" s="1" t="str">
        <f>VLOOKUP(F1210,'RM Used'!B:D,3,0)</f>
        <v>RM-PACKING</v>
      </c>
      <c r="J1210" s="66">
        <v>1</v>
      </c>
      <c r="K1210" s="35" t="str">
        <f t="shared" si="354"/>
        <v/>
      </c>
      <c r="L1210" s="35">
        <f t="shared" si="343"/>
        <v>0</v>
      </c>
      <c r="M1210" s="77" t="str" cm="1">
        <f t="array" ref="M1210">_xlfn.IFS(BOM!I1210="RM-PACKING","100%",B1210="Reynolds",VLOOKUP(H1210,'Yield &amp; Time'!A:V,22,0),BOM!B1210="Dnata",VLOOKUP(BOM!H1210,'Yield &amp; Time'!A:M,13,0),B1210="NK",VLOOKUP(H1210,'Yield &amp; Time'!A:X,24,0))</f>
        <v>100%</v>
      </c>
      <c r="N1210" s="35">
        <f t="shared" si="360"/>
        <v>1</v>
      </c>
      <c r="O1210" s="1" t="str">
        <f>VLOOKUP(H1210,'RM Used'!A:E,5,0)</f>
        <v>Count</v>
      </c>
      <c r="P1210" s="11">
        <f>VLOOKUP(H1210,'RM Used'!A:F,6,0)</f>
        <v>0.14000000000000001</v>
      </c>
      <c r="Q1210" s="11">
        <f t="shared" si="352"/>
        <v>0.14000000000000001</v>
      </c>
      <c r="R1210" s="11">
        <f>IFERROR(IF(B1210="Reynolds",VLOOKUP(H1210,'Yield &amp; Time'!A:U,21,0),VLOOKUP(H1210,'Yield &amp; Time'!A:L,12,0)),0)</f>
        <v>0</v>
      </c>
      <c r="S1210" s="11">
        <f t="shared" si="344"/>
        <v>0</v>
      </c>
      <c r="T1210" s="11">
        <f t="shared" si="345"/>
        <v>0</v>
      </c>
      <c r="U1210" s="11">
        <f>IF(A1209=A1210,0,VLOOKUP(A1210,'Packing Time'!A:F,6,0))</f>
        <v>0</v>
      </c>
      <c r="V1210" s="11">
        <f t="shared" si="355"/>
        <v>0</v>
      </c>
      <c r="W1210" s="11">
        <f t="shared" si="356"/>
        <v>0</v>
      </c>
      <c r="X1210" s="11">
        <f t="shared" si="346"/>
        <v>0</v>
      </c>
      <c r="Y1210" s="11">
        <f t="shared" si="357"/>
        <v>0</v>
      </c>
      <c r="Z1210" s="37">
        <v>1</v>
      </c>
      <c r="AA1210" s="36">
        <f t="shared" si="347"/>
        <v>1</v>
      </c>
      <c r="AB1210" s="36">
        <f t="shared" si="348"/>
        <v>0.14000000000000001</v>
      </c>
      <c r="AC1210" s="11">
        <f t="shared" si="349"/>
        <v>0</v>
      </c>
      <c r="AD1210" s="36">
        <f t="shared" si="358"/>
        <v>0</v>
      </c>
      <c r="AE1210" s="36"/>
      <c r="AF1210" s="36">
        <f>IFERROR(VLOOKUP(AE1210,'Chemical Cost'!A:D,4,0),0)</f>
        <v>0</v>
      </c>
      <c r="AG1210" s="114">
        <f t="shared" si="350"/>
        <v>0</v>
      </c>
      <c r="AH1210" s="36">
        <f t="shared" si="353"/>
        <v>0</v>
      </c>
      <c r="AI1210" s="36">
        <f t="shared" si="359"/>
        <v>0.14000000000000001</v>
      </c>
      <c r="AJ1210" s="36">
        <f>IFERROR(VLOOKUP(A1210,'All Products'!A:F,6,0),0)</f>
        <v>10.94</v>
      </c>
      <c r="AK1210" s="36"/>
      <c r="AL1210" s="23">
        <v>1</v>
      </c>
      <c r="AM1210" s="23"/>
      <c r="AN1210" s="54" t="e">
        <v>#N/A</v>
      </c>
      <c r="AO1210" s="47"/>
      <c r="AP1210" s="4">
        <v>1.6</v>
      </c>
      <c r="AQ1210" s="111">
        <f t="shared" si="351"/>
        <v>0</v>
      </c>
      <c r="AR1210">
        <f>_xlfn.XLOOKUP(F1210,'RM Cost'!A:A,'RM Cost'!S:S)</f>
        <v>0</v>
      </c>
      <c r="AS1210" t="e">
        <f>_xlfn.XLOOKUP(A1210,[3]Sheet1!$B:$B,[3]Sheet1!$B:$B)</f>
        <v>#N/A</v>
      </c>
    </row>
    <row r="1211" spans="1:45" x14ac:dyDescent="0.25">
      <c r="A1211" s="16" t="s">
        <v>1025</v>
      </c>
      <c r="B1211" s="2" t="s">
        <v>656</v>
      </c>
      <c r="C1211" s="2" t="s">
        <v>1026</v>
      </c>
      <c r="D1211" s="2" t="s">
        <v>554</v>
      </c>
      <c r="E1211" s="2">
        <v>2.5</v>
      </c>
      <c r="F1211" s="1" t="str">
        <f>VLOOKUP(H1211,'RM Used'!A:B,2,0)</f>
        <v>3582CS</v>
      </c>
      <c r="G1211" s="1" t="str">
        <f>IFERROR(VLOOKUP(F1211,'RM Cost'!A:B,2,0),"")</f>
        <v>RM - CHILLI GREEN LONG DUTCH 3KG</v>
      </c>
      <c r="H1211" s="2" t="s">
        <v>1624</v>
      </c>
      <c r="I1211" s="1" t="str">
        <f>VLOOKUP(F1211,'RM Used'!B:D,3,0)</f>
        <v>RM-FOOD</v>
      </c>
      <c r="J1211" s="66">
        <v>1</v>
      </c>
      <c r="K1211" s="35">
        <f t="shared" si="354"/>
        <v>2.5</v>
      </c>
      <c r="L1211" s="35">
        <f t="shared" si="343"/>
        <v>2.5</v>
      </c>
      <c r="M1211" s="77" cm="1">
        <f t="array" ref="M1211">_xlfn.IFS(BOM!I1211="RM-PACKING","100%",B1211="Reynolds",VLOOKUP(H1211,'Yield &amp; Time'!A:V,22,0),BOM!B1211="Dnata",VLOOKUP(BOM!H1211,'Yield &amp; Time'!A:M,13,0),B1211="NK",VLOOKUP(H1211,'Yield &amp; Time'!A:X,24,0))</f>
        <v>0.80720609711573554</v>
      </c>
      <c r="N1211" s="35">
        <f t="shared" si="360"/>
        <v>3.0971024734982335</v>
      </c>
      <c r="O1211" s="1" t="str">
        <f>VLOOKUP(H1211,'RM Used'!A:E,5,0)</f>
        <v>KG</v>
      </c>
      <c r="P1211" s="11">
        <f>VLOOKUP(H1211,'RM Used'!A:F,6,0)</f>
        <v>2.84</v>
      </c>
      <c r="Q1211" s="11">
        <f t="shared" si="352"/>
        <v>8.7957710247349823</v>
      </c>
      <c r="R1211" s="11">
        <f>IFERROR(IF(B1211="Reynolds",VLOOKUP(H1211,'Yield &amp; Time'!A:U,21,0),VLOOKUP(H1211,'Yield &amp; Time'!A:L,12,0)),0)</f>
        <v>4.8666666666666663</v>
      </c>
      <c r="S1211" s="11">
        <f t="shared" si="344"/>
        <v>4.1184166666666657</v>
      </c>
      <c r="T1211" s="11">
        <f t="shared" si="345"/>
        <v>0.20277777777777778</v>
      </c>
      <c r="U1211" s="11">
        <f>IF(A1210=A1211,0,VLOOKUP(A1211,'Packing Time'!A:F,6,0))</f>
        <v>0.875</v>
      </c>
      <c r="V1211" s="11">
        <f t="shared" si="355"/>
        <v>0.29618749999999999</v>
      </c>
      <c r="W1211" s="11">
        <f t="shared" si="356"/>
        <v>1.4583333333333334E-2</v>
      </c>
      <c r="X1211" s="11">
        <f t="shared" si="346"/>
        <v>7.0633666666666661</v>
      </c>
      <c r="Y1211" s="11">
        <f t="shared" si="357"/>
        <v>7.0633666666666661</v>
      </c>
      <c r="Z1211" s="37">
        <v>1</v>
      </c>
      <c r="AA1211" s="36">
        <f t="shared" si="347"/>
        <v>3.0971024734982335</v>
      </c>
      <c r="AB1211" s="36">
        <f t="shared" si="348"/>
        <v>8.7957710247349823</v>
      </c>
      <c r="AC1211" s="11">
        <f t="shared" si="349"/>
        <v>0.34777777777777774</v>
      </c>
      <c r="AD1211" s="36">
        <f t="shared" si="358"/>
        <v>7.0633666666666652</v>
      </c>
      <c r="AE1211" s="36" t="str">
        <f>VLOOKUP(H1211,'Yield &amp; Time'!A:I,9,0)</f>
        <v>CHLORINE</v>
      </c>
      <c r="AF1211" s="36">
        <f>IFERROR(VLOOKUP(AE1211,'Chemical Cost'!A:D,4,0),0)</f>
        <v>2.7756518066439469E-2</v>
      </c>
      <c r="AG1211" s="114">
        <f t="shared" si="350"/>
        <v>2.8654926919756029E-2</v>
      </c>
      <c r="AH1211" s="36">
        <f t="shared" si="353"/>
        <v>2.8654926919756029E-2</v>
      </c>
      <c r="AI1211" s="36">
        <f t="shared" si="359"/>
        <v>15.887792618321406</v>
      </c>
      <c r="AJ1211" s="36">
        <f>IFERROR(VLOOKUP(A1211,'All Products'!A:F,6,0),0)</f>
        <v>27.24</v>
      </c>
      <c r="AK1211" s="36">
        <f>AJ1211*Z1211*J1211</f>
        <v>27.24</v>
      </c>
      <c r="AL1211" s="23">
        <v>1</v>
      </c>
      <c r="AM1211" s="23"/>
      <c r="AN1211" s="54" t="e">
        <v>#N/A</v>
      </c>
      <c r="AO1211" s="47"/>
      <c r="AP1211" s="4">
        <v>1.6</v>
      </c>
      <c r="AQ1211" s="111">
        <f t="shared" si="351"/>
        <v>0.34777777777777774</v>
      </c>
      <c r="AR1211">
        <f>_xlfn.XLOOKUP(F1211,'RM Cost'!A:A,'RM Cost'!S:S)</f>
        <v>0</v>
      </c>
      <c r="AS1211" t="e">
        <f>_xlfn.XLOOKUP(A1211,[3]Sheet1!$B:$B,[3]Sheet1!$B:$B)</f>
        <v>#N/A</v>
      </c>
    </row>
    <row r="1212" spans="1:45" x14ac:dyDescent="0.25">
      <c r="A1212" s="16" t="s">
        <v>1025</v>
      </c>
      <c r="B1212" s="2" t="s">
        <v>656</v>
      </c>
      <c r="C1212" s="2" t="s">
        <v>1026</v>
      </c>
      <c r="D1212" s="2" t="s">
        <v>554</v>
      </c>
      <c r="E1212" s="2">
        <v>2.5</v>
      </c>
      <c r="F1212" s="1" t="str">
        <f>VLOOKUP(H1212,'RM Used'!A:B,2,0)</f>
        <v>P0008</v>
      </c>
      <c r="G1212" s="1" t="str">
        <f>IFERROR(VLOOKUP(F1212,'RM Cost'!A:B,2,0),"")</f>
        <v>PALE BLUE BAG 470X750MM</v>
      </c>
      <c r="H1212" s="1" t="s">
        <v>1323</v>
      </c>
      <c r="I1212" s="1" t="str">
        <f>VLOOKUP(F1212,'RM Used'!B:D,3,0)</f>
        <v>RM-PACKING</v>
      </c>
      <c r="J1212" s="66">
        <v>1</v>
      </c>
      <c r="K1212" s="35" t="str">
        <f t="shared" si="354"/>
        <v/>
      </c>
      <c r="L1212" s="35">
        <f t="shared" si="343"/>
        <v>0</v>
      </c>
      <c r="M1212" s="77" t="str" cm="1">
        <f t="array" ref="M1212">_xlfn.IFS(BOM!I1212="RM-PACKING","100%",B1212="Reynolds",VLOOKUP(H1212,'Yield &amp; Time'!A:V,22,0),BOM!B1212="Dnata",VLOOKUP(BOM!H1212,'Yield &amp; Time'!A:M,13,0),B1212="NK",VLOOKUP(H1212,'Yield &amp; Time'!A:X,24,0))</f>
        <v>100%</v>
      </c>
      <c r="N1212" s="35">
        <f t="shared" si="360"/>
        <v>1</v>
      </c>
      <c r="O1212" s="1" t="str">
        <f>VLOOKUP(H1212,'RM Used'!A:E,5,0)</f>
        <v>Count</v>
      </c>
      <c r="P1212" s="11">
        <f>VLOOKUP(H1212,'RM Used'!A:F,6,0)</f>
        <v>0.14000000000000001</v>
      </c>
      <c r="Q1212" s="11">
        <f t="shared" si="352"/>
        <v>0.14000000000000001</v>
      </c>
      <c r="R1212" s="11">
        <f>IFERROR(IF(B1212="Reynolds",VLOOKUP(H1212,'Yield &amp; Time'!A:U,21,0),VLOOKUP(H1212,'Yield &amp; Time'!A:L,12,0)),0)</f>
        <v>0</v>
      </c>
      <c r="S1212" s="11">
        <f t="shared" si="344"/>
        <v>0</v>
      </c>
      <c r="T1212" s="11">
        <f t="shared" si="345"/>
        <v>0</v>
      </c>
      <c r="U1212" s="11">
        <f>IF(A1211=A1212,0,VLOOKUP(A1212,'Packing Time'!A:F,6,0))</f>
        <v>0</v>
      </c>
      <c r="V1212" s="11">
        <f t="shared" si="355"/>
        <v>0</v>
      </c>
      <c r="W1212" s="11">
        <f t="shared" si="356"/>
        <v>0</v>
      </c>
      <c r="X1212" s="11">
        <f t="shared" si="346"/>
        <v>0</v>
      </c>
      <c r="Y1212" s="11">
        <f t="shared" si="357"/>
        <v>0</v>
      </c>
      <c r="Z1212" s="37">
        <v>1</v>
      </c>
      <c r="AA1212" s="36">
        <f t="shared" si="347"/>
        <v>1</v>
      </c>
      <c r="AB1212" s="36">
        <f t="shared" si="348"/>
        <v>0.14000000000000001</v>
      </c>
      <c r="AC1212" s="11">
        <f t="shared" si="349"/>
        <v>0</v>
      </c>
      <c r="AD1212" s="36">
        <f t="shared" si="358"/>
        <v>0</v>
      </c>
      <c r="AE1212" s="36"/>
      <c r="AF1212" s="36">
        <f>IFERROR(VLOOKUP(AE1212,'Chemical Cost'!A:D,4,0),0)</f>
        <v>0</v>
      </c>
      <c r="AG1212" s="114">
        <f t="shared" si="350"/>
        <v>0</v>
      </c>
      <c r="AH1212" s="36">
        <f t="shared" si="353"/>
        <v>0</v>
      </c>
      <c r="AI1212" s="36">
        <f t="shared" si="359"/>
        <v>0.14000000000000001</v>
      </c>
      <c r="AJ1212" s="36">
        <f>IFERROR(VLOOKUP(A1212,'All Products'!A:F,6,0),0)</f>
        <v>27.24</v>
      </c>
      <c r="AK1212" s="36"/>
      <c r="AL1212" s="23">
        <v>1</v>
      </c>
      <c r="AM1212" s="23"/>
      <c r="AN1212" s="54" t="e">
        <v>#N/A</v>
      </c>
      <c r="AO1212" s="47"/>
      <c r="AP1212" s="4">
        <v>1.6</v>
      </c>
      <c r="AQ1212" s="111">
        <f t="shared" si="351"/>
        <v>0</v>
      </c>
      <c r="AR1212">
        <f>_xlfn.XLOOKUP(F1212,'RM Cost'!A:A,'RM Cost'!S:S)</f>
        <v>0</v>
      </c>
      <c r="AS1212" t="e">
        <f>_xlfn.XLOOKUP(A1212,[3]Sheet1!$B:$B,[3]Sheet1!$B:$B)</f>
        <v>#N/A</v>
      </c>
    </row>
    <row r="1213" spans="1:45" x14ac:dyDescent="0.25">
      <c r="A1213" s="16" t="s">
        <v>272</v>
      </c>
      <c r="B1213" s="2" t="s">
        <v>656</v>
      </c>
      <c r="C1213" s="2" t="s">
        <v>273</v>
      </c>
      <c r="D1213" s="2" t="s">
        <v>554</v>
      </c>
      <c r="E1213" s="2">
        <v>1</v>
      </c>
      <c r="F1213" s="1" t="str">
        <f>VLOOKUP(H1213,'RM Used'!A:B,2,0)</f>
        <v>3106CS</v>
      </c>
      <c r="G1213" s="1" t="str">
        <f>IFERROR(VLOOKUP(F1213,'RM Cost'!A:B,2,0),"")</f>
        <v>RM - FENNEL X5KG</v>
      </c>
      <c r="H1213" s="2" t="s">
        <v>1625</v>
      </c>
      <c r="I1213" s="1" t="str">
        <f>VLOOKUP(F1213,'RM Used'!B:D,3,0)</f>
        <v>RM-FOOD</v>
      </c>
      <c r="J1213" s="66">
        <v>1</v>
      </c>
      <c r="K1213" s="35">
        <f t="shared" si="354"/>
        <v>1</v>
      </c>
      <c r="L1213" s="35">
        <f t="shared" si="343"/>
        <v>1</v>
      </c>
      <c r="M1213" s="77" cm="1">
        <f t="array" ref="M1213">_xlfn.IFS(BOM!I1213="RM-PACKING","100%",B1213="Reynolds",VLOOKUP(H1213,'Yield &amp; Time'!A:V,22,0),BOM!B1213="Dnata",VLOOKUP(BOM!H1213,'Yield &amp; Time'!A:M,13,0),B1213="NK",VLOOKUP(H1213,'Yield &amp; Time'!A:X,24,0))</f>
        <v>0.61860465116279073</v>
      </c>
      <c r="N1213" s="35">
        <f t="shared" si="360"/>
        <v>1.6165413533834585</v>
      </c>
      <c r="O1213" s="1" t="str">
        <f>VLOOKUP(H1213,'RM Used'!A:E,5,0)</f>
        <v>KG</v>
      </c>
      <c r="P1213" s="11">
        <f>VLOOKUP(H1213,'RM Used'!A:F,6,0)</f>
        <v>1.41</v>
      </c>
      <c r="Q1213" s="11">
        <f t="shared" si="352"/>
        <v>2.2793233082706763</v>
      </c>
      <c r="R1213" s="11">
        <f>IFERROR(IF(B1213="Reynolds",VLOOKUP(H1213,'Yield &amp; Time'!A:U,21,0),VLOOKUP(H1213,'Yield &amp; Time'!A:L,12,0)),0)</f>
        <v>4.511278195488722</v>
      </c>
      <c r="S1213" s="11">
        <f t="shared" si="344"/>
        <v>1.5270676691729324</v>
      </c>
      <c r="T1213" s="11">
        <f t="shared" si="345"/>
        <v>7.518796992481204E-2</v>
      </c>
      <c r="U1213" s="11">
        <f>IF(A1212=A1213,0,VLOOKUP(A1213,'Packing Time'!A:F,6,0))</f>
        <v>0.64166666666666661</v>
      </c>
      <c r="V1213" s="11">
        <f t="shared" si="355"/>
        <v>0.21720416666666661</v>
      </c>
      <c r="W1213" s="11">
        <f t="shared" si="356"/>
        <v>1.0694444444444444E-2</v>
      </c>
      <c r="X1213" s="11">
        <f t="shared" si="346"/>
        <v>2.7908349373433583</v>
      </c>
      <c r="Y1213" s="11">
        <f t="shared" si="357"/>
        <v>2.7908349373433583</v>
      </c>
      <c r="Z1213" s="37">
        <v>1</v>
      </c>
      <c r="AA1213" s="36">
        <f t="shared" si="347"/>
        <v>1.6165413533834585</v>
      </c>
      <c r="AB1213" s="36">
        <f t="shared" si="348"/>
        <v>2.2793233082706763</v>
      </c>
      <c r="AC1213" s="11">
        <f t="shared" si="349"/>
        <v>0.13741186299081037</v>
      </c>
      <c r="AD1213" s="36">
        <f t="shared" si="358"/>
        <v>2.7908349373433583</v>
      </c>
      <c r="AE1213" s="36"/>
      <c r="AF1213" s="36">
        <f>IFERROR(VLOOKUP(AE1213,'Chemical Cost'!A:D,4,0),0)</f>
        <v>0</v>
      </c>
      <c r="AG1213" s="114">
        <f t="shared" si="350"/>
        <v>0</v>
      </c>
      <c r="AH1213" s="36">
        <f t="shared" si="353"/>
        <v>0</v>
      </c>
      <c r="AI1213" s="36">
        <f t="shared" si="359"/>
        <v>5.0701582456140351</v>
      </c>
      <c r="AJ1213" s="36">
        <f>IFERROR(VLOOKUP(A1213,'All Products'!A:F,6,0),0)</f>
        <v>8.18</v>
      </c>
      <c r="AK1213" s="36">
        <f>AJ1213*Z1213*J1213</f>
        <v>8.18</v>
      </c>
      <c r="AL1213" s="23">
        <v>1</v>
      </c>
      <c r="AM1213" s="23"/>
      <c r="AN1213" s="54" t="e">
        <v>#N/A</v>
      </c>
      <c r="AO1213" s="47"/>
      <c r="AP1213" s="4">
        <v>1.6</v>
      </c>
      <c r="AQ1213" s="111">
        <f t="shared" si="351"/>
        <v>0.13741186299081037</v>
      </c>
      <c r="AR1213">
        <f>_xlfn.XLOOKUP(F1213,'RM Cost'!A:A,'RM Cost'!S:S)</f>
        <v>0</v>
      </c>
      <c r="AS1213" t="e">
        <f>_xlfn.XLOOKUP(A1213,[3]Sheet1!$B:$B,[3]Sheet1!$B:$B)</f>
        <v>#N/A</v>
      </c>
    </row>
    <row r="1214" spans="1:45" x14ac:dyDescent="0.25">
      <c r="A1214" s="16" t="s">
        <v>272</v>
      </c>
      <c r="B1214" s="2" t="s">
        <v>656</v>
      </c>
      <c r="C1214" s="2" t="s">
        <v>273</v>
      </c>
      <c r="D1214" s="2" t="s">
        <v>554</v>
      </c>
      <c r="E1214" s="2">
        <v>1</v>
      </c>
      <c r="F1214" s="1" t="str">
        <f>VLOOKUP(H1214,'RM Used'!A:B,2,0)</f>
        <v>P0008</v>
      </c>
      <c r="G1214" s="1" t="str">
        <f>IFERROR(VLOOKUP(F1214,'RM Cost'!A:B,2,0),"")</f>
        <v>PALE BLUE BAG 470X750MM</v>
      </c>
      <c r="H1214" s="1" t="s">
        <v>1323</v>
      </c>
      <c r="I1214" s="1" t="str">
        <f>VLOOKUP(F1214,'RM Used'!B:D,3,0)</f>
        <v>RM-PACKING</v>
      </c>
      <c r="J1214" s="66">
        <v>1</v>
      </c>
      <c r="K1214" s="35" t="str">
        <f t="shared" si="354"/>
        <v/>
      </c>
      <c r="L1214" s="35">
        <f t="shared" si="343"/>
        <v>0</v>
      </c>
      <c r="M1214" s="77" t="str" cm="1">
        <f t="array" ref="M1214">_xlfn.IFS(BOM!I1214="RM-PACKING","100%",B1214="Reynolds",VLOOKUP(H1214,'Yield &amp; Time'!A:V,22,0),BOM!B1214="Dnata",VLOOKUP(BOM!H1214,'Yield &amp; Time'!A:M,13,0),B1214="NK",VLOOKUP(H1214,'Yield &amp; Time'!A:X,24,0))</f>
        <v>100%</v>
      </c>
      <c r="N1214" s="35">
        <f t="shared" si="360"/>
        <v>1</v>
      </c>
      <c r="O1214" s="1" t="str">
        <f>VLOOKUP(H1214,'RM Used'!A:E,5,0)</f>
        <v>Count</v>
      </c>
      <c r="P1214" s="11">
        <f>VLOOKUP(H1214,'RM Used'!A:F,6,0)</f>
        <v>0.14000000000000001</v>
      </c>
      <c r="Q1214" s="11">
        <f t="shared" si="352"/>
        <v>0.14000000000000001</v>
      </c>
      <c r="R1214" s="11">
        <f>IFERROR(IF(B1214="Reynolds",VLOOKUP(H1214,'Yield &amp; Time'!A:U,21,0),VLOOKUP(H1214,'Yield &amp; Time'!A:L,12,0)),0)</f>
        <v>0</v>
      </c>
      <c r="S1214" s="11">
        <f t="shared" si="344"/>
        <v>0</v>
      </c>
      <c r="T1214" s="11">
        <f t="shared" si="345"/>
        <v>0</v>
      </c>
      <c r="U1214" s="11">
        <f>IF(A1213=A1214,0,VLOOKUP(A1214,'Packing Time'!A:F,6,0))</f>
        <v>0</v>
      </c>
      <c r="V1214" s="11">
        <f t="shared" si="355"/>
        <v>0</v>
      </c>
      <c r="W1214" s="11">
        <f t="shared" si="356"/>
        <v>0</v>
      </c>
      <c r="X1214" s="11">
        <f t="shared" si="346"/>
        <v>0</v>
      </c>
      <c r="Y1214" s="11">
        <f t="shared" si="357"/>
        <v>0</v>
      </c>
      <c r="Z1214" s="37">
        <v>1</v>
      </c>
      <c r="AA1214" s="36">
        <f t="shared" si="347"/>
        <v>1</v>
      </c>
      <c r="AB1214" s="36">
        <f t="shared" si="348"/>
        <v>0.14000000000000001</v>
      </c>
      <c r="AC1214" s="11">
        <f t="shared" si="349"/>
        <v>0</v>
      </c>
      <c r="AD1214" s="36">
        <f t="shared" si="358"/>
        <v>0</v>
      </c>
      <c r="AE1214" s="36"/>
      <c r="AF1214" s="36">
        <f>IFERROR(VLOOKUP(AE1214,'Chemical Cost'!A:D,4,0),0)</f>
        <v>0</v>
      </c>
      <c r="AG1214" s="114">
        <f t="shared" si="350"/>
        <v>0</v>
      </c>
      <c r="AH1214" s="36">
        <f t="shared" si="353"/>
        <v>0</v>
      </c>
      <c r="AI1214" s="36">
        <f t="shared" si="359"/>
        <v>0.14000000000000001</v>
      </c>
      <c r="AJ1214" s="36">
        <f>IFERROR(VLOOKUP(A1214,'All Products'!A:F,6,0),0)</f>
        <v>8.18</v>
      </c>
      <c r="AK1214" s="36"/>
      <c r="AL1214" s="23">
        <v>1</v>
      </c>
      <c r="AM1214" s="23"/>
      <c r="AN1214" s="54" t="e">
        <v>#N/A</v>
      </c>
      <c r="AO1214" s="47"/>
      <c r="AP1214" s="4">
        <v>1.6</v>
      </c>
      <c r="AQ1214" s="111">
        <f t="shared" si="351"/>
        <v>0</v>
      </c>
      <c r="AR1214">
        <f>_xlfn.XLOOKUP(F1214,'RM Cost'!A:A,'RM Cost'!S:S)</f>
        <v>0</v>
      </c>
      <c r="AS1214" t="e">
        <f>_xlfn.XLOOKUP(A1214,[3]Sheet1!$B:$B,[3]Sheet1!$B:$B)</f>
        <v>#N/A</v>
      </c>
    </row>
    <row r="1215" spans="1:45" x14ac:dyDescent="0.25">
      <c r="A1215" s="16" t="s">
        <v>1027</v>
      </c>
      <c r="B1215" s="2" t="s">
        <v>656</v>
      </c>
      <c r="C1215" s="2" t="s">
        <v>1028</v>
      </c>
      <c r="D1215" s="2" t="s">
        <v>554</v>
      </c>
      <c r="E1215" s="2">
        <v>2.5</v>
      </c>
      <c r="F1215" s="1" t="str">
        <f>VLOOKUP(H1215,'RM Used'!A:B,2,0)</f>
        <v>3106CS</v>
      </c>
      <c r="G1215" s="1" t="str">
        <f>IFERROR(VLOOKUP(F1215,'RM Cost'!A:B,2,0),"")</f>
        <v>RM - FENNEL X5KG</v>
      </c>
      <c r="H1215" s="2" t="s">
        <v>1625</v>
      </c>
      <c r="I1215" s="1" t="str">
        <f>VLOOKUP(F1215,'RM Used'!B:D,3,0)</f>
        <v>RM-FOOD</v>
      </c>
      <c r="J1215" s="66">
        <v>1</v>
      </c>
      <c r="K1215" s="35">
        <f t="shared" si="354"/>
        <v>2.5</v>
      </c>
      <c r="L1215" s="35">
        <f t="shared" si="343"/>
        <v>2.5</v>
      </c>
      <c r="M1215" s="77" cm="1">
        <f t="array" ref="M1215">_xlfn.IFS(BOM!I1215="RM-PACKING","100%",B1215="Reynolds",VLOOKUP(H1215,'Yield &amp; Time'!A:V,22,0),BOM!B1215="Dnata",VLOOKUP(BOM!H1215,'Yield &amp; Time'!A:M,13,0),B1215="NK",VLOOKUP(H1215,'Yield &amp; Time'!A:X,24,0))</f>
        <v>0.61860465116279073</v>
      </c>
      <c r="N1215" s="35">
        <f t="shared" si="360"/>
        <v>4.0413533834586461</v>
      </c>
      <c r="O1215" s="1" t="str">
        <f>VLOOKUP(H1215,'RM Used'!A:E,5,0)</f>
        <v>KG</v>
      </c>
      <c r="P1215" s="11">
        <f>VLOOKUP(H1215,'RM Used'!A:F,6,0)</f>
        <v>1.41</v>
      </c>
      <c r="Q1215" s="11">
        <f t="shared" si="352"/>
        <v>5.6983082706766908</v>
      </c>
      <c r="R1215" s="11">
        <f>IFERROR(IF(B1215="Reynolds",VLOOKUP(H1215,'Yield &amp; Time'!A:U,21,0),VLOOKUP(H1215,'Yield &amp; Time'!A:L,12,0)),0)</f>
        <v>4.511278195488722</v>
      </c>
      <c r="S1215" s="11">
        <f t="shared" si="344"/>
        <v>3.8176691729323307</v>
      </c>
      <c r="T1215" s="11">
        <f t="shared" si="345"/>
        <v>0.18796992481203006</v>
      </c>
      <c r="U1215" s="11">
        <f>IF(A1214=A1215,0,VLOOKUP(A1215,'Packing Time'!A:F,6,0))</f>
        <v>0.875</v>
      </c>
      <c r="V1215" s="11">
        <f t="shared" si="355"/>
        <v>0.29618749999999999</v>
      </c>
      <c r="W1215" s="11">
        <f t="shared" si="356"/>
        <v>1.4583333333333334E-2</v>
      </c>
      <c r="X1215" s="11">
        <f t="shared" si="346"/>
        <v>6.5821706766917289</v>
      </c>
      <c r="Y1215" s="11">
        <f t="shared" si="357"/>
        <v>6.5821706766917289</v>
      </c>
      <c r="Z1215" s="37">
        <v>1</v>
      </c>
      <c r="AA1215" s="36">
        <f t="shared" si="347"/>
        <v>4.0413533834586461</v>
      </c>
      <c r="AB1215" s="36">
        <f t="shared" si="348"/>
        <v>5.6983082706766908</v>
      </c>
      <c r="AC1215" s="11">
        <f t="shared" si="349"/>
        <v>0.32408521303258148</v>
      </c>
      <c r="AD1215" s="36">
        <f t="shared" si="358"/>
        <v>6.5821706766917298</v>
      </c>
      <c r="AE1215" s="36"/>
      <c r="AF1215" s="36">
        <f>IFERROR(VLOOKUP(AE1215,'Chemical Cost'!A:D,4,0),0)</f>
        <v>0</v>
      </c>
      <c r="AG1215" s="114">
        <f t="shared" si="350"/>
        <v>0</v>
      </c>
      <c r="AH1215" s="36">
        <f t="shared" si="353"/>
        <v>0</v>
      </c>
      <c r="AI1215" s="36">
        <f t="shared" si="359"/>
        <v>12.280478947368419</v>
      </c>
      <c r="AJ1215" s="36">
        <f>IFERROR(VLOOKUP(A1215,'All Products'!A:F,6,0),0)</f>
        <v>20.29</v>
      </c>
      <c r="AK1215" s="36">
        <f>AJ1215*Z1215*J1215</f>
        <v>20.29</v>
      </c>
      <c r="AL1215" s="23">
        <v>1</v>
      </c>
      <c r="AM1215" s="23"/>
      <c r="AN1215" s="54" t="e">
        <v>#N/A</v>
      </c>
      <c r="AO1215" s="47"/>
      <c r="AP1215" s="4">
        <v>1.6</v>
      </c>
      <c r="AQ1215" s="111">
        <f t="shared" si="351"/>
        <v>0.32408521303258148</v>
      </c>
      <c r="AR1215">
        <f>_xlfn.XLOOKUP(F1215,'RM Cost'!A:A,'RM Cost'!S:S)</f>
        <v>0</v>
      </c>
      <c r="AS1215" t="e">
        <f>_xlfn.XLOOKUP(A1215,[3]Sheet1!$B:$B,[3]Sheet1!$B:$B)</f>
        <v>#N/A</v>
      </c>
    </row>
    <row r="1216" spans="1:45" x14ac:dyDescent="0.25">
      <c r="A1216" s="16" t="s">
        <v>1027</v>
      </c>
      <c r="B1216" s="2" t="s">
        <v>656</v>
      </c>
      <c r="C1216" s="2" t="s">
        <v>1028</v>
      </c>
      <c r="D1216" s="2" t="s">
        <v>554</v>
      </c>
      <c r="E1216" s="2">
        <v>2.5</v>
      </c>
      <c r="F1216" s="1" t="str">
        <f>VLOOKUP(H1216,'RM Used'!A:B,2,0)</f>
        <v>P0008</v>
      </c>
      <c r="G1216" s="1" t="str">
        <f>IFERROR(VLOOKUP(F1216,'RM Cost'!A:B,2,0),"")</f>
        <v>PALE BLUE BAG 470X750MM</v>
      </c>
      <c r="H1216" s="1" t="s">
        <v>1323</v>
      </c>
      <c r="I1216" s="1" t="str">
        <f>VLOOKUP(F1216,'RM Used'!B:D,3,0)</f>
        <v>RM-PACKING</v>
      </c>
      <c r="J1216" s="66">
        <v>1</v>
      </c>
      <c r="K1216" s="35" t="str">
        <f t="shared" si="354"/>
        <v/>
      </c>
      <c r="L1216" s="35">
        <f t="shared" si="343"/>
        <v>0</v>
      </c>
      <c r="M1216" s="77" t="str" cm="1">
        <f t="array" ref="M1216">_xlfn.IFS(BOM!I1216="RM-PACKING","100%",B1216="Reynolds",VLOOKUP(H1216,'Yield &amp; Time'!A:V,22,0),BOM!B1216="Dnata",VLOOKUP(BOM!H1216,'Yield &amp; Time'!A:M,13,0),B1216="NK",VLOOKUP(H1216,'Yield &amp; Time'!A:X,24,0))</f>
        <v>100%</v>
      </c>
      <c r="N1216" s="35">
        <f t="shared" si="360"/>
        <v>1</v>
      </c>
      <c r="O1216" s="1" t="str">
        <f>VLOOKUP(H1216,'RM Used'!A:E,5,0)</f>
        <v>Count</v>
      </c>
      <c r="P1216" s="11">
        <f>VLOOKUP(H1216,'RM Used'!A:F,6,0)</f>
        <v>0.14000000000000001</v>
      </c>
      <c r="Q1216" s="11">
        <f t="shared" si="352"/>
        <v>0.14000000000000001</v>
      </c>
      <c r="R1216" s="11">
        <f>IFERROR(IF(B1216="Reynolds",VLOOKUP(H1216,'Yield &amp; Time'!A:U,21,0),VLOOKUP(H1216,'Yield &amp; Time'!A:L,12,0)),0)</f>
        <v>0</v>
      </c>
      <c r="S1216" s="11">
        <f t="shared" si="344"/>
        <v>0</v>
      </c>
      <c r="T1216" s="11">
        <f t="shared" si="345"/>
        <v>0</v>
      </c>
      <c r="U1216" s="11">
        <f>IF(A1215=A1216,0,VLOOKUP(A1216,'Packing Time'!A:F,6,0))</f>
        <v>0</v>
      </c>
      <c r="V1216" s="11">
        <f t="shared" si="355"/>
        <v>0</v>
      </c>
      <c r="W1216" s="11">
        <f t="shared" si="356"/>
        <v>0</v>
      </c>
      <c r="X1216" s="11">
        <f t="shared" si="346"/>
        <v>0</v>
      </c>
      <c r="Y1216" s="11">
        <f t="shared" si="357"/>
        <v>0</v>
      </c>
      <c r="Z1216" s="37">
        <v>1</v>
      </c>
      <c r="AA1216" s="36">
        <f t="shared" si="347"/>
        <v>1</v>
      </c>
      <c r="AB1216" s="36">
        <f t="shared" si="348"/>
        <v>0.14000000000000001</v>
      </c>
      <c r="AC1216" s="11">
        <f t="shared" si="349"/>
        <v>0</v>
      </c>
      <c r="AD1216" s="36">
        <f t="shared" si="358"/>
        <v>0</v>
      </c>
      <c r="AE1216" s="36"/>
      <c r="AF1216" s="36">
        <f>IFERROR(VLOOKUP(AE1216,'Chemical Cost'!A:D,4,0),0)</f>
        <v>0</v>
      </c>
      <c r="AG1216" s="114">
        <f t="shared" si="350"/>
        <v>0</v>
      </c>
      <c r="AH1216" s="36">
        <f t="shared" si="353"/>
        <v>0</v>
      </c>
      <c r="AI1216" s="36">
        <f t="shared" si="359"/>
        <v>0.14000000000000001</v>
      </c>
      <c r="AJ1216" s="36">
        <f>IFERROR(VLOOKUP(A1216,'All Products'!A:F,6,0),0)</f>
        <v>20.29</v>
      </c>
      <c r="AK1216" s="36"/>
      <c r="AL1216" s="23">
        <v>1</v>
      </c>
      <c r="AM1216" s="23"/>
      <c r="AN1216" s="54" t="e">
        <v>#N/A</v>
      </c>
      <c r="AO1216" s="47"/>
      <c r="AP1216" s="4">
        <v>1.6</v>
      </c>
      <c r="AQ1216" s="111">
        <f t="shared" si="351"/>
        <v>0</v>
      </c>
      <c r="AR1216">
        <f>_xlfn.XLOOKUP(F1216,'RM Cost'!A:A,'RM Cost'!S:S)</f>
        <v>0</v>
      </c>
      <c r="AS1216" t="e">
        <f>_xlfn.XLOOKUP(A1216,[3]Sheet1!$B:$B,[3]Sheet1!$B:$B)</f>
        <v>#N/A</v>
      </c>
    </row>
    <row r="1217" spans="1:45" x14ac:dyDescent="0.25">
      <c r="A1217" s="16" t="s">
        <v>1033</v>
      </c>
      <c r="B1217" s="2" t="s">
        <v>656</v>
      </c>
      <c r="C1217" s="2" t="s">
        <v>1034</v>
      </c>
      <c r="D1217" s="2" t="s">
        <v>554</v>
      </c>
      <c r="E1217" s="2">
        <v>1</v>
      </c>
      <c r="F1217" s="1" t="str">
        <f>VLOOKUP(H1217,'RM Used'!A:B,2,0)</f>
        <v>3492CS</v>
      </c>
      <c r="G1217" s="1" t="str">
        <f>IFERROR(VLOOKUP(F1217,'RM Cost'!A:B,2,0),"")</f>
        <v>RM - LETTUCE FRISSEE FRENCH X10EA</v>
      </c>
      <c r="H1217" s="2" t="s">
        <v>1627</v>
      </c>
      <c r="I1217" s="1" t="str">
        <f>VLOOKUP(F1217,'RM Used'!B:D,3,0)</f>
        <v>RM-FOOD</v>
      </c>
      <c r="J1217" s="66">
        <v>1</v>
      </c>
      <c r="K1217" s="35">
        <f t="shared" si="354"/>
        <v>1</v>
      </c>
      <c r="L1217" s="35">
        <f t="shared" si="343"/>
        <v>1</v>
      </c>
      <c r="M1217" s="77" cm="1">
        <f t="array" ref="M1217">_xlfn.IFS(BOM!I1217="RM-PACKING","100%",B1217="Reynolds",VLOOKUP(H1217,'Yield &amp; Time'!A:V,22,0),BOM!B1217="Dnata",VLOOKUP(BOM!H1217,'Yield &amp; Time'!A:M,13,0),B1217="NK",VLOOKUP(H1217,'Yield &amp; Time'!A:X,24,0))</f>
        <v>0</v>
      </c>
      <c r="N1217" s="35">
        <f t="shared" si="360"/>
        <v>0</v>
      </c>
      <c r="O1217" s="1" t="str">
        <f>VLOOKUP(H1217,'RM Used'!A:E,5,0)</f>
        <v>KG</v>
      </c>
      <c r="P1217" s="11">
        <f>VLOOKUP(H1217,'RM Used'!A:F,6,0)</f>
        <v>1.27</v>
      </c>
      <c r="Q1217" s="11">
        <f t="shared" si="352"/>
        <v>0</v>
      </c>
      <c r="R1217" s="11">
        <f>IFERROR(IF(B1217="Reynolds",VLOOKUP(H1217,'Yield &amp; Time'!A:U,21,0),VLOOKUP(H1217,'Yield &amp; Time'!A:L,12,0)),0)</f>
        <v>0</v>
      </c>
      <c r="S1217" s="11">
        <f t="shared" si="344"/>
        <v>0</v>
      </c>
      <c r="T1217" s="11">
        <f t="shared" si="345"/>
        <v>0</v>
      </c>
      <c r="U1217" s="11">
        <f>IF(A1216=A1217,0,VLOOKUP(A1217,'Packing Time'!A:F,6,0))</f>
        <v>0.64166666666666661</v>
      </c>
      <c r="V1217" s="11">
        <f t="shared" si="355"/>
        <v>0.21720416666666661</v>
      </c>
      <c r="W1217" s="11">
        <f t="shared" si="356"/>
        <v>1.0694444444444444E-2</v>
      </c>
      <c r="X1217" s="11">
        <f t="shared" si="346"/>
        <v>0.34752666666666659</v>
      </c>
      <c r="Y1217" s="11">
        <f t="shared" si="357"/>
        <v>0.34752666666666659</v>
      </c>
      <c r="Z1217" s="37">
        <v>1</v>
      </c>
      <c r="AA1217" s="36">
        <f t="shared" si="347"/>
        <v>0</v>
      </c>
      <c r="AB1217" s="36">
        <f t="shared" si="348"/>
        <v>0</v>
      </c>
      <c r="AC1217" s="11">
        <f t="shared" si="349"/>
        <v>1.7111111111111112E-2</v>
      </c>
      <c r="AD1217" s="36">
        <f t="shared" si="358"/>
        <v>0.34752666666666659</v>
      </c>
      <c r="AE1217" s="36"/>
      <c r="AF1217" s="36">
        <f>IFERROR(VLOOKUP(AE1217,'Chemical Cost'!A:D,4,0),0)</f>
        <v>0</v>
      </c>
      <c r="AG1217" s="114">
        <f t="shared" si="350"/>
        <v>0</v>
      </c>
      <c r="AH1217" s="36">
        <f t="shared" si="353"/>
        <v>0</v>
      </c>
      <c r="AI1217" s="36">
        <f t="shared" si="359"/>
        <v>0.34752666666666659</v>
      </c>
      <c r="AJ1217" s="36">
        <f>IFERROR(VLOOKUP(A1217,'All Products'!A:F,6,0),0)</f>
        <v>11.36</v>
      </c>
      <c r="AK1217" s="36">
        <f>AJ1217*Z1217*J1217</f>
        <v>11.36</v>
      </c>
      <c r="AL1217" s="29">
        <v>1</v>
      </c>
      <c r="AM1217" s="23"/>
      <c r="AN1217" s="54" t="e">
        <v>#N/A</v>
      </c>
      <c r="AO1217" s="47"/>
      <c r="AP1217" s="4">
        <v>1.6</v>
      </c>
      <c r="AQ1217" s="111">
        <f t="shared" si="351"/>
        <v>1.7111111111111112E-2</v>
      </c>
      <c r="AR1217">
        <f>_xlfn.XLOOKUP(F1217,'RM Cost'!A:A,'RM Cost'!S:S)</f>
        <v>0</v>
      </c>
      <c r="AS1217" t="e">
        <f>_xlfn.XLOOKUP(A1217,[3]Sheet1!$B:$B,[3]Sheet1!$B:$B)</f>
        <v>#N/A</v>
      </c>
    </row>
    <row r="1218" spans="1:45" x14ac:dyDescent="0.25">
      <c r="A1218" s="16" t="s">
        <v>1033</v>
      </c>
      <c r="B1218" s="2" t="s">
        <v>656</v>
      </c>
      <c r="C1218" s="2" t="s">
        <v>1034</v>
      </c>
      <c r="D1218" s="2" t="s">
        <v>554</v>
      </c>
      <c r="E1218" s="2">
        <v>1</v>
      </c>
      <c r="F1218" s="1" t="str">
        <f>VLOOKUP(H1218,'RM Used'!A:B,2,0)</f>
        <v>P0008</v>
      </c>
      <c r="G1218" s="1" t="str">
        <f>IFERROR(VLOOKUP(F1218,'RM Cost'!A:B,2,0),"")</f>
        <v>PALE BLUE BAG 470X750MM</v>
      </c>
      <c r="H1218" s="1" t="s">
        <v>1323</v>
      </c>
      <c r="I1218" s="1" t="str">
        <f>VLOOKUP(F1218,'RM Used'!B:D,3,0)</f>
        <v>RM-PACKING</v>
      </c>
      <c r="J1218" s="66">
        <v>1</v>
      </c>
      <c r="K1218" s="35" t="str">
        <f t="shared" si="354"/>
        <v/>
      </c>
      <c r="L1218" s="35">
        <f t="shared" ref="L1218:L1281" si="361">IFERROR(K1218*Z1218,0)</f>
        <v>0</v>
      </c>
      <c r="M1218" s="77" t="str" cm="1">
        <f t="array" ref="M1218">_xlfn.IFS(BOM!I1218="RM-PACKING","100%",B1218="Reynolds",VLOOKUP(H1218,'Yield &amp; Time'!A:V,22,0),BOM!B1218="Dnata",VLOOKUP(BOM!H1218,'Yield &amp; Time'!A:M,13,0),B1218="NK",VLOOKUP(H1218,'Yield &amp; Time'!A:X,24,0))</f>
        <v>100%</v>
      </c>
      <c r="N1218" s="35">
        <f t="shared" si="360"/>
        <v>1</v>
      </c>
      <c r="O1218" s="1" t="str">
        <f>VLOOKUP(H1218,'RM Used'!A:E,5,0)</f>
        <v>Count</v>
      </c>
      <c r="P1218" s="11">
        <f>VLOOKUP(H1218,'RM Used'!A:F,6,0)</f>
        <v>0.14000000000000001</v>
      </c>
      <c r="Q1218" s="11">
        <f t="shared" si="352"/>
        <v>0.14000000000000001</v>
      </c>
      <c r="R1218" s="11">
        <f>IFERROR(IF(B1218="Reynolds",VLOOKUP(H1218,'Yield &amp; Time'!A:U,21,0),VLOOKUP(H1218,'Yield &amp; Time'!A:L,12,0)),0)</f>
        <v>0</v>
      </c>
      <c r="S1218" s="11">
        <f t="shared" ref="S1218:S1281" si="362">R1218*J1218*E1218*AO$1</f>
        <v>0</v>
      </c>
      <c r="T1218" s="11">
        <f t="shared" ref="T1218:T1281" si="363">(R1218*Z1218*J1218*E1218)/60</f>
        <v>0</v>
      </c>
      <c r="U1218" s="11">
        <f>IF(A1217=A1218,0,VLOOKUP(A1218,'Packing Time'!A:F,6,0))</f>
        <v>0</v>
      </c>
      <c r="V1218" s="11">
        <f t="shared" si="355"/>
        <v>0</v>
      </c>
      <c r="W1218" s="11">
        <f t="shared" si="356"/>
        <v>0</v>
      </c>
      <c r="X1218" s="11">
        <f t="shared" ref="X1218:X1281" si="364">((R1218*J1218*E1218)+U1218)*AO$1*AP1218</f>
        <v>0</v>
      </c>
      <c r="Y1218" s="11">
        <f t="shared" si="357"/>
        <v>0</v>
      </c>
      <c r="Z1218" s="37">
        <v>1</v>
      </c>
      <c r="AA1218" s="36">
        <f t="shared" ref="AA1218:AA1281" si="365">Z1218*N1218</f>
        <v>1</v>
      </c>
      <c r="AB1218" s="36">
        <f t="shared" ref="AB1218:AB1281" si="366">AA1218*P1218</f>
        <v>0.14000000000000001</v>
      </c>
      <c r="AC1218" s="11">
        <f t="shared" ref="AC1218:AC1281" si="367">(((R1218*J1218*E1218)+U1218)/60)*Z1218*AP1218</f>
        <v>0</v>
      </c>
      <c r="AD1218" s="36">
        <f t="shared" si="358"/>
        <v>0</v>
      </c>
      <c r="AE1218" s="36"/>
      <c r="AF1218" s="36">
        <f>IFERROR(VLOOKUP(AE1218,'Chemical Cost'!A:D,4,0),0)</f>
        <v>0</v>
      </c>
      <c r="AG1218" s="114">
        <f t="shared" ref="AG1218:AG1281" si="368">AF1218*N1218/3</f>
        <v>0</v>
      </c>
      <c r="AH1218" s="36">
        <f t="shared" si="353"/>
        <v>0</v>
      </c>
      <c r="AI1218" s="36">
        <f t="shared" si="359"/>
        <v>0.14000000000000001</v>
      </c>
      <c r="AJ1218" s="36">
        <f>IFERROR(VLOOKUP(A1218,'All Products'!A:F,6,0),0)</f>
        <v>11.36</v>
      </c>
      <c r="AK1218" s="36"/>
      <c r="AL1218" s="29">
        <v>1</v>
      </c>
      <c r="AM1218" s="23"/>
      <c r="AN1218" s="54" t="e">
        <v>#N/A</v>
      </c>
      <c r="AO1218" s="47"/>
      <c r="AP1218" s="4">
        <v>1.6</v>
      </c>
      <c r="AQ1218" s="111">
        <f t="shared" ref="AQ1218:AQ1281" si="369">(((R1218*J1218*E1218)+U1218)/60)*AP1218</f>
        <v>0</v>
      </c>
      <c r="AR1218">
        <f>_xlfn.XLOOKUP(F1218,'RM Cost'!A:A,'RM Cost'!S:S)</f>
        <v>0</v>
      </c>
      <c r="AS1218" t="e">
        <f>_xlfn.XLOOKUP(A1218,[3]Sheet1!$B:$B,[3]Sheet1!$B:$B)</f>
        <v>#N/A</v>
      </c>
    </row>
    <row r="1219" spans="1:45" x14ac:dyDescent="0.25">
      <c r="A1219" s="16" t="s">
        <v>1035</v>
      </c>
      <c r="B1219" s="2" t="s">
        <v>656</v>
      </c>
      <c r="C1219" s="2" t="s">
        <v>1036</v>
      </c>
      <c r="D1219" s="2" t="s">
        <v>554</v>
      </c>
      <c r="E1219" s="2">
        <v>2.5</v>
      </c>
      <c r="F1219" s="1" t="str">
        <f>VLOOKUP(H1219,'RM Used'!A:B,2,0)</f>
        <v>3492CS</v>
      </c>
      <c r="G1219" s="1" t="str">
        <f>IFERROR(VLOOKUP(F1219,'RM Cost'!A:B,2,0),"")</f>
        <v>RM - LETTUCE FRISSEE FRENCH X10EA</v>
      </c>
      <c r="H1219" s="2" t="s">
        <v>1627</v>
      </c>
      <c r="I1219" s="1" t="str">
        <f>VLOOKUP(F1219,'RM Used'!B:D,3,0)</f>
        <v>RM-FOOD</v>
      </c>
      <c r="J1219" s="66">
        <v>1</v>
      </c>
      <c r="K1219" s="35">
        <f t="shared" si="354"/>
        <v>2.5</v>
      </c>
      <c r="L1219" s="35">
        <f t="shared" si="361"/>
        <v>2.5</v>
      </c>
      <c r="M1219" s="77" cm="1">
        <f t="array" ref="M1219">_xlfn.IFS(BOM!I1219="RM-PACKING","100%",B1219="Reynolds",VLOOKUP(H1219,'Yield &amp; Time'!A:V,22,0),BOM!B1219="Dnata",VLOOKUP(BOM!H1219,'Yield &amp; Time'!A:M,13,0),B1219="NK",VLOOKUP(H1219,'Yield &amp; Time'!A:X,24,0))</f>
        <v>0</v>
      </c>
      <c r="N1219" s="35">
        <f t="shared" si="360"/>
        <v>0</v>
      </c>
      <c r="O1219" s="1" t="str">
        <f>VLOOKUP(H1219,'RM Used'!A:E,5,0)</f>
        <v>KG</v>
      </c>
      <c r="P1219" s="11">
        <f>VLOOKUP(H1219,'RM Used'!A:F,6,0)</f>
        <v>1.27</v>
      </c>
      <c r="Q1219" s="11">
        <f t="shared" ref="Q1219:Q1282" si="370">P1219*N1219</f>
        <v>0</v>
      </c>
      <c r="R1219" s="11">
        <f>IFERROR(IF(B1219="Reynolds",VLOOKUP(H1219,'Yield &amp; Time'!A:U,21,0),VLOOKUP(H1219,'Yield &amp; Time'!A:L,12,0)),0)</f>
        <v>0</v>
      </c>
      <c r="S1219" s="11">
        <f t="shared" si="362"/>
        <v>0</v>
      </c>
      <c r="T1219" s="11">
        <f t="shared" si="363"/>
        <v>0</v>
      </c>
      <c r="U1219" s="11">
        <f>IF(A1218=A1219,0,VLOOKUP(A1219,'Packing Time'!A:F,6,0))</f>
        <v>0.875</v>
      </c>
      <c r="V1219" s="11">
        <f t="shared" si="355"/>
        <v>0.29618749999999999</v>
      </c>
      <c r="W1219" s="11">
        <f t="shared" si="356"/>
        <v>1.4583333333333334E-2</v>
      </c>
      <c r="X1219" s="11">
        <f t="shared" si="364"/>
        <v>0.47389999999999999</v>
      </c>
      <c r="Y1219" s="11">
        <f t="shared" si="357"/>
        <v>0.47389999999999999</v>
      </c>
      <c r="Z1219" s="37">
        <v>1</v>
      </c>
      <c r="AA1219" s="36">
        <f t="shared" si="365"/>
        <v>0</v>
      </c>
      <c r="AB1219" s="36">
        <f t="shared" si="366"/>
        <v>0</v>
      </c>
      <c r="AC1219" s="11">
        <f t="shared" si="367"/>
        <v>2.3333333333333334E-2</v>
      </c>
      <c r="AD1219" s="36">
        <f t="shared" si="358"/>
        <v>0.47389999999999999</v>
      </c>
      <c r="AE1219" s="36"/>
      <c r="AF1219" s="36">
        <f>IFERROR(VLOOKUP(AE1219,'Chemical Cost'!A:D,4,0),0)</f>
        <v>0</v>
      </c>
      <c r="AG1219" s="114">
        <f t="shared" si="368"/>
        <v>0</v>
      </c>
      <c r="AH1219" s="36">
        <f t="shared" si="353"/>
        <v>0</v>
      </c>
      <c r="AI1219" s="36">
        <f t="shared" si="359"/>
        <v>0.47389999999999999</v>
      </c>
      <c r="AJ1219" s="36">
        <f>IFERROR(VLOOKUP(A1219,'All Products'!A:F,6,0),0)</f>
        <v>28.4</v>
      </c>
      <c r="AK1219" s="36">
        <f>AJ1219*Z1219*J1219</f>
        <v>28.4</v>
      </c>
      <c r="AL1219" s="29">
        <v>1</v>
      </c>
      <c r="AM1219" s="23"/>
      <c r="AN1219" s="54" t="e">
        <v>#N/A</v>
      </c>
      <c r="AO1219" s="47"/>
      <c r="AP1219" s="4">
        <v>1.6</v>
      </c>
      <c r="AQ1219" s="111">
        <f t="shared" si="369"/>
        <v>2.3333333333333334E-2</v>
      </c>
      <c r="AR1219">
        <f>_xlfn.XLOOKUP(F1219,'RM Cost'!A:A,'RM Cost'!S:S)</f>
        <v>0</v>
      </c>
      <c r="AS1219" t="e">
        <f>_xlfn.XLOOKUP(A1219,[3]Sheet1!$B:$B,[3]Sheet1!$B:$B)</f>
        <v>#N/A</v>
      </c>
    </row>
    <row r="1220" spans="1:45" x14ac:dyDescent="0.25">
      <c r="A1220" s="16" t="s">
        <v>1035</v>
      </c>
      <c r="B1220" s="2" t="s">
        <v>656</v>
      </c>
      <c r="C1220" s="2" t="s">
        <v>1036</v>
      </c>
      <c r="D1220" s="2" t="s">
        <v>554</v>
      </c>
      <c r="E1220" s="2">
        <v>2.5</v>
      </c>
      <c r="F1220" s="1" t="str">
        <f>VLOOKUP(H1220,'RM Used'!A:B,2,0)</f>
        <v>P0008</v>
      </c>
      <c r="G1220" s="1" t="str">
        <f>IFERROR(VLOOKUP(F1220,'RM Cost'!A:B,2,0),"")</f>
        <v>PALE BLUE BAG 470X750MM</v>
      </c>
      <c r="H1220" s="1" t="s">
        <v>1323</v>
      </c>
      <c r="I1220" s="1" t="str">
        <f>VLOOKUP(F1220,'RM Used'!B:D,3,0)</f>
        <v>RM-PACKING</v>
      </c>
      <c r="J1220" s="66">
        <v>1</v>
      </c>
      <c r="K1220" s="35" t="str">
        <f t="shared" si="354"/>
        <v/>
      </c>
      <c r="L1220" s="35">
        <f t="shared" si="361"/>
        <v>0</v>
      </c>
      <c r="M1220" s="77" t="str" cm="1">
        <f t="array" ref="M1220">_xlfn.IFS(BOM!I1220="RM-PACKING","100%",B1220="Reynolds",VLOOKUP(H1220,'Yield &amp; Time'!A:V,22,0),BOM!B1220="Dnata",VLOOKUP(BOM!H1220,'Yield &amp; Time'!A:M,13,0),B1220="NK",VLOOKUP(H1220,'Yield &amp; Time'!A:X,24,0))</f>
        <v>100%</v>
      </c>
      <c r="N1220" s="35">
        <f t="shared" si="360"/>
        <v>1</v>
      </c>
      <c r="O1220" s="1" t="str">
        <f>VLOOKUP(H1220,'RM Used'!A:E,5,0)</f>
        <v>Count</v>
      </c>
      <c r="P1220" s="11">
        <f>VLOOKUP(H1220,'RM Used'!A:F,6,0)</f>
        <v>0.14000000000000001</v>
      </c>
      <c r="Q1220" s="11">
        <f t="shared" si="370"/>
        <v>0.14000000000000001</v>
      </c>
      <c r="R1220" s="11">
        <f>IFERROR(IF(B1220="Reynolds",VLOOKUP(H1220,'Yield &amp; Time'!A:U,21,0),VLOOKUP(H1220,'Yield &amp; Time'!A:L,12,0)),0)</f>
        <v>0</v>
      </c>
      <c r="S1220" s="11">
        <f t="shared" si="362"/>
        <v>0</v>
      </c>
      <c r="T1220" s="11">
        <f t="shared" si="363"/>
        <v>0</v>
      </c>
      <c r="U1220" s="11">
        <f>IF(A1219=A1220,0,VLOOKUP(A1220,'Packing Time'!A:F,6,0))</f>
        <v>0</v>
      </c>
      <c r="V1220" s="11">
        <f t="shared" si="355"/>
        <v>0</v>
      </c>
      <c r="W1220" s="11">
        <f t="shared" si="356"/>
        <v>0</v>
      </c>
      <c r="X1220" s="11">
        <f t="shared" si="364"/>
        <v>0</v>
      </c>
      <c r="Y1220" s="11">
        <f t="shared" si="357"/>
        <v>0</v>
      </c>
      <c r="Z1220" s="37">
        <v>1</v>
      </c>
      <c r="AA1220" s="36">
        <f t="shared" si="365"/>
        <v>1</v>
      </c>
      <c r="AB1220" s="36">
        <f t="shared" si="366"/>
        <v>0.14000000000000001</v>
      </c>
      <c r="AC1220" s="11">
        <f t="shared" si="367"/>
        <v>0</v>
      </c>
      <c r="AD1220" s="36">
        <f t="shared" si="358"/>
        <v>0</v>
      </c>
      <c r="AE1220" s="36"/>
      <c r="AF1220" s="36">
        <f>IFERROR(VLOOKUP(AE1220,'Chemical Cost'!A:D,4,0),0)</f>
        <v>0</v>
      </c>
      <c r="AG1220" s="114">
        <f t="shared" si="368"/>
        <v>0</v>
      </c>
      <c r="AH1220" s="36">
        <f t="shared" si="353"/>
        <v>0</v>
      </c>
      <c r="AI1220" s="36">
        <f t="shared" si="359"/>
        <v>0.14000000000000001</v>
      </c>
      <c r="AJ1220" s="36">
        <f>IFERROR(VLOOKUP(A1220,'All Products'!A:F,6,0),0)</f>
        <v>28.4</v>
      </c>
      <c r="AK1220" s="36"/>
      <c r="AL1220" s="29">
        <v>1</v>
      </c>
      <c r="AM1220" s="23"/>
      <c r="AN1220" s="54" t="e">
        <v>#N/A</v>
      </c>
      <c r="AO1220" s="47"/>
      <c r="AP1220" s="4">
        <v>1.6</v>
      </c>
      <c r="AQ1220" s="111">
        <f t="shared" si="369"/>
        <v>0</v>
      </c>
      <c r="AR1220">
        <f>_xlfn.XLOOKUP(F1220,'RM Cost'!A:A,'RM Cost'!S:S)</f>
        <v>0</v>
      </c>
      <c r="AS1220" t="e">
        <f>_xlfn.XLOOKUP(A1220,[3]Sheet1!$B:$B,[3]Sheet1!$B:$B)</f>
        <v>#N/A</v>
      </c>
    </row>
    <row r="1221" spans="1:45" x14ac:dyDescent="0.25">
      <c r="A1221" s="16" t="s">
        <v>1037</v>
      </c>
      <c r="B1221" s="2" t="s">
        <v>656</v>
      </c>
      <c r="C1221" s="2" t="s">
        <v>1038</v>
      </c>
      <c r="D1221" s="2" t="s">
        <v>554</v>
      </c>
      <c r="E1221" s="2">
        <v>1</v>
      </c>
      <c r="F1221" s="1" t="str">
        <f>VLOOKUP(H1221,'RM Used'!A:B,2,0)</f>
        <v>3191CS</v>
      </c>
      <c r="G1221" s="1" t="str">
        <f>IFERROR(VLOOKUP(F1221,'RM Cost'!A:B,2,0),"")</f>
        <v>RM - PARSNIPS 10KG</v>
      </c>
      <c r="H1221" s="2" t="s">
        <v>1628</v>
      </c>
      <c r="I1221" s="1" t="str">
        <f>VLOOKUP(F1221,'RM Used'!B:D,3,0)</f>
        <v>RM-FOOD</v>
      </c>
      <c r="J1221" s="66">
        <v>1</v>
      </c>
      <c r="K1221" s="35">
        <f t="shared" si="354"/>
        <v>1</v>
      </c>
      <c r="L1221" s="35">
        <f t="shared" si="361"/>
        <v>1</v>
      </c>
      <c r="M1221" s="77" cm="1">
        <f t="array" ref="M1221">_xlfn.IFS(BOM!I1221="RM-PACKING","100%",B1221="Reynolds",VLOOKUP(H1221,'Yield &amp; Time'!A:V,22,0),BOM!B1221="Dnata",VLOOKUP(BOM!H1221,'Yield &amp; Time'!A:M,13,0),B1221="NK",VLOOKUP(H1221,'Yield &amp; Time'!A:X,24,0))</f>
        <v>0.59</v>
      </c>
      <c r="N1221" s="35">
        <f t="shared" si="360"/>
        <v>1.6949152542372883</v>
      </c>
      <c r="O1221" s="1" t="str">
        <f>VLOOKUP(H1221,'RM Used'!A:E,5,0)</f>
        <v>KG</v>
      </c>
      <c r="P1221" s="11">
        <f>VLOOKUP(H1221,'RM Used'!A:F,6,0)</f>
        <v>0.76</v>
      </c>
      <c r="Q1221" s="11">
        <f t="shared" si="370"/>
        <v>1.2881355932203391</v>
      </c>
      <c r="R1221" s="11">
        <f>IFERROR(IF(B1221="Reynolds",VLOOKUP(H1221,'Yield &amp; Time'!A:U,21,0),VLOOKUP(H1221,'Yield &amp; Time'!A:L,12,0)),0)</f>
        <v>6.4841807909604521</v>
      </c>
      <c r="S1221" s="11">
        <f t="shared" si="362"/>
        <v>2.194895197740113</v>
      </c>
      <c r="T1221" s="11">
        <f t="shared" si="363"/>
        <v>0.10806967984934086</v>
      </c>
      <c r="U1221" s="11">
        <f>IF(A1220=A1221,0,VLOOKUP(A1221,'Packing Time'!A:F,6,0))</f>
        <v>0.64166666666666661</v>
      </c>
      <c r="V1221" s="11">
        <f t="shared" si="355"/>
        <v>0.21720416666666661</v>
      </c>
      <c r="W1221" s="11">
        <f t="shared" si="356"/>
        <v>1.0694444444444444E-2</v>
      </c>
      <c r="X1221" s="11">
        <f t="shared" si="364"/>
        <v>3.8593589830508472</v>
      </c>
      <c r="Y1221" s="11">
        <f t="shared" si="357"/>
        <v>3.8593589830508472</v>
      </c>
      <c r="Z1221" s="37">
        <v>1</v>
      </c>
      <c r="AA1221" s="36">
        <f t="shared" si="365"/>
        <v>1.6949152542372883</v>
      </c>
      <c r="AB1221" s="36">
        <f t="shared" si="366"/>
        <v>1.2881355932203391</v>
      </c>
      <c r="AC1221" s="11">
        <f t="shared" si="367"/>
        <v>0.19002259887005651</v>
      </c>
      <c r="AD1221" s="36">
        <f t="shared" si="358"/>
        <v>3.8593589830508472</v>
      </c>
      <c r="AE1221" s="36" t="str">
        <f>VLOOKUP(H1221,'Yield &amp; Time'!A:I,9,0)</f>
        <v>SODIUM METABISULPHITE</v>
      </c>
      <c r="AF1221" s="36">
        <f>IFERROR(VLOOKUP(AE1221,'Chemical Cost'!A:D,4,0),0)</f>
        <v>9.7586225455882462E-3</v>
      </c>
      <c r="AG1221" s="114">
        <f t="shared" si="368"/>
        <v>5.513346070953812E-3</v>
      </c>
      <c r="AH1221" s="36">
        <f t="shared" si="353"/>
        <v>5.513346070953812E-3</v>
      </c>
      <c r="AI1221" s="36">
        <f t="shared" si="359"/>
        <v>5.1530079223421401</v>
      </c>
      <c r="AJ1221" s="36">
        <f>IFERROR(VLOOKUP(A1221,'All Products'!A:F,6,0),0)</f>
        <v>7.16</v>
      </c>
      <c r="AK1221" s="36">
        <f>AJ1221*Z1221*J1221</f>
        <v>7.16</v>
      </c>
      <c r="AL1221" s="23">
        <v>1</v>
      </c>
      <c r="AM1221" s="23"/>
      <c r="AN1221" s="54" t="e">
        <v>#N/A</v>
      </c>
      <c r="AO1221" s="47"/>
      <c r="AP1221" s="4">
        <v>1.6</v>
      </c>
      <c r="AQ1221" s="111">
        <f t="shared" si="369"/>
        <v>0.19002259887005651</v>
      </c>
      <c r="AR1221">
        <f>_xlfn.XLOOKUP(F1221,'RM Cost'!A:A,'RM Cost'!S:S)</f>
        <v>0</v>
      </c>
      <c r="AS1221" t="e">
        <f>_xlfn.XLOOKUP(A1221,[3]Sheet1!$B:$B,[3]Sheet1!$B:$B)</f>
        <v>#N/A</v>
      </c>
    </row>
    <row r="1222" spans="1:45" x14ac:dyDescent="0.25">
      <c r="A1222" s="16" t="s">
        <v>1037</v>
      </c>
      <c r="B1222" s="2" t="s">
        <v>656</v>
      </c>
      <c r="C1222" s="2" t="s">
        <v>1038</v>
      </c>
      <c r="D1222" s="2" t="s">
        <v>554</v>
      </c>
      <c r="E1222" s="2">
        <v>1</v>
      </c>
      <c r="F1222" s="1" t="str">
        <f>VLOOKUP(H1222,'RM Used'!A:B,2,0)</f>
        <v>P0008</v>
      </c>
      <c r="G1222" s="1" t="str">
        <f>IFERROR(VLOOKUP(F1222,'RM Cost'!A:B,2,0),"")</f>
        <v>PALE BLUE BAG 470X750MM</v>
      </c>
      <c r="H1222" s="1" t="s">
        <v>1323</v>
      </c>
      <c r="I1222" s="1" t="str">
        <f>VLOOKUP(F1222,'RM Used'!B:D,3,0)</f>
        <v>RM-PACKING</v>
      </c>
      <c r="J1222" s="66">
        <v>1</v>
      </c>
      <c r="K1222" s="35" t="str">
        <f t="shared" si="354"/>
        <v/>
      </c>
      <c r="L1222" s="35">
        <f t="shared" si="361"/>
        <v>0</v>
      </c>
      <c r="M1222" s="77" t="str" cm="1">
        <f t="array" ref="M1222">_xlfn.IFS(BOM!I1222="RM-PACKING","100%",B1222="Reynolds",VLOOKUP(H1222,'Yield &amp; Time'!A:V,22,0),BOM!B1222="Dnata",VLOOKUP(BOM!H1222,'Yield &amp; Time'!A:M,13,0),B1222="NK",VLOOKUP(H1222,'Yield &amp; Time'!A:X,24,0))</f>
        <v>100%</v>
      </c>
      <c r="N1222" s="35">
        <f t="shared" si="360"/>
        <v>1</v>
      </c>
      <c r="O1222" s="1" t="str">
        <f>VLOOKUP(H1222,'RM Used'!A:E,5,0)</f>
        <v>Count</v>
      </c>
      <c r="P1222" s="11">
        <f>VLOOKUP(H1222,'RM Used'!A:F,6,0)</f>
        <v>0.14000000000000001</v>
      </c>
      <c r="Q1222" s="11">
        <f t="shared" si="370"/>
        <v>0.14000000000000001</v>
      </c>
      <c r="R1222" s="11">
        <f>IFERROR(IF(B1222="Reynolds",VLOOKUP(H1222,'Yield &amp; Time'!A:U,21,0),VLOOKUP(H1222,'Yield &amp; Time'!A:L,12,0)),0)</f>
        <v>0</v>
      </c>
      <c r="S1222" s="11">
        <f t="shared" si="362"/>
        <v>0</v>
      </c>
      <c r="T1222" s="11">
        <f t="shared" si="363"/>
        <v>0</v>
      </c>
      <c r="U1222" s="11">
        <f>IF(A1221=A1222,0,VLOOKUP(A1222,'Packing Time'!A:F,6,0))</f>
        <v>0</v>
      </c>
      <c r="V1222" s="11">
        <f t="shared" si="355"/>
        <v>0</v>
      </c>
      <c r="W1222" s="11">
        <f t="shared" si="356"/>
        <v>0</v>
      </c>
      <c r="X1222" s="11">
        <f t="shared" si="364"/>
        <v>0</v>
      </c>
      <c r="Y1222" s="11">
        <f t="shared" si="357"/>
        <v>0</v>
      </c>
      <c r="Z1222" s="37">
        <v>1</v>
      </c>
      <c r="AA1222" s="36">
        <f t="shared" si="365"/>
        <v>1</v>
      </c>
      <c r="AB1222" s="36">
        <f t="shared" si="366"/>
        <v>0.14000000000000001</v>
      </c>
      <c r="AC1222" s="11">
        <f t="shared" si="367"/>
        <v>0</v>
      </c>
      <c r="AD1222" s="36">
        <f t="shared" si="358"/>
        <v>0</v>
      </c>
      <c r="AE1222" s="36"/>
      <c r="AF1222" s="36">
        <f>IFERROR(VLOOKUP(AE1222,'Chemical Cost'!A:D,4,0),0)</f>
        <v>0</v>
      </c>
      <c r="AG1222" s="114">
        <f t="shared" si="368"/>
        <v>0</v>
      </c>
      <c r="AH1222" s="36">
        <f t="shared" si="353"/>
        <v>0</v>
      </c>
      <c r="AI1222" s="36">
        <f t="shared" si="359"/>
        <v>0.14000000000000001</v>
      </c>
      <c r="AJ1222" s="36">
        <f>IFERROR(VLOOKUP(A1222,'All Products'!A:F,6,0),0)</f>
        <v>7.16</v>
      </c>
      <c r="AK1222" s="36"/>
      <c r="AL1222" s="23">
        <v>1</v>
      </c>
      <c r="AM1222" s="23"/>
      <c r="AN1222" s="54" t="e">
        <v>#N/A</v>
      </c>
      <c r="AO1222" s="47"/>
      <c r="AP1222" s="4">
        <v>1.6</v>
      </c>
      <c r="AQ1222" s="111">
        <f t="shared" si="369"/>
        <v>0</v>
      </c>
      <c r="AR1222">
        <f>_xlfn.XLOOKUP(F1222,'RM Cost'!A:A,'RM Cost'!S:S)</f>
        <v>0</v>
      </c>
      <c r="AS1222" t="e">
        <f>_xlfn.XLOOKUP(A1222,[3]Sheet1!$B:$B,[3]Sheet1!$B:$B)</f>
        <v>#N/A</v>
      </c>
    </row>
    <row r="1223" spans="1:45" x14ac:dyDescent="0.25">
      <c r="A1223" s="16" t="s">
        <v>1039</v>
      </c>
      <c r="B1223" s="2" t="s">
        <v>656</v>
      </c>
      <c r="C1223" s="2" t="s">
        <v>1040</v>
      </c>
      <c r="D1223" s="2" t="s">
        <v>554</v>
      </c>
      <c r="E1223" s="2">
        <v>2.5</v>
      </c>
      <c r="F1223" s="1" t="str">
        <f>VLOOKUP(H1223,'RM Used'!A:B,2,0)</f>
        <v>3191CS</v>
      </c>
      <c r="G1223" s="1" t="str">
        <f>IFERROR(VLOOKUP(F1223,'RM Cost'!A:B,2,0),"")</f>
        <v>RM - PARSNIPS 10KG</v>
      </c>
      <c r="H1223" s="2" t="s">
        <v>1628</v>
      </c>
      <c r="I1223" s="1" t="str">
        <f>VLOOKUP(F1223,'RM Used'!B:D,3,0)</f>
        <v>RM-FOOD</v>
      </c>
      <c r="J1223" s="66">
        <v>1</v>
      </c>
      <c r="K1223" s="35">
        <f t="shared" si="354"/>
        <v>2.5</v>
      </c>
      <c r="L1223" s="35">
        <f t="shared" si="361"/>
        <v>2.5</v>
      </c>
      <c r="M1223" s="77" cm="1">
        <f t="array" ref="M1223">_xlfn.IFS(BOM!I1223="RM-PACKING","100%",B1223="Reynolds",VLOOKUP(H1223,'Yield &amp; Time'!A:V,22,0),BOM!B1223="Dnata",VLOOKUP(BOM!H1223,'Yield &amp; Time'!A:M,13,0),B1223="NK",VLOOKUP(H1223,'Yield &amp; Time'!A:X,24,0))</f>
        <v>0.59</v>
      </c>
      <c r="N1223" s="35">
        <f t="shared" si="360"/>
        <v>4.2372881355932206</v>
      </c>
      <c r="O1223" s="1" t="str">
        <f>VLOOKUP(H1223,'RM Used'!A:E,5,0)</f>
        <v>KG</v>
      </c>
      <c r="P1223" s="11">
        <f>VLOOKUP(H1223,'RM Used'!A:F,6,0)</f>
        <v>0.76</v>
      </c>
      <c r="Q1223" s="11">
        <f t="shared" si="370"/>
        <v>3.2203389830508478</v>
      </c>
      <c r="R1223" s="11">
        <f>IFERROR(IF(B1223="Reynolds",VLOOKUP(H1223,'Yield &amp; Time'!A:U,21,0),VLOOKUP(H1223,'Yield &amp; Time'!A:L,12,0)),0)</f>
        <v>6.4841807909604521</v>
      </c>
      <c r="S1223" s="11">
        <f t="shared" si="362"/>
        <v>5.4872379943502825</v>
      </c>
      <c r="T1223" s="11">
        <f t="shared" si="363"/>
        <v>0.27017419962335221</v>
      </c>
      <c r="U1223" s="11">
        <f>IF(A1222=A1223,0,VLOOKUP(A1223,'Packing Time'!A:F,6,0))</f>
        <v>0.875</v>
      </c>
      <c r="V1223" s="11">
        <f t="shared" si="355"/>
        <v>0.29618749999999999</v>
      </c>
      <c r="W1223" s="11">
        <f t="shared" si="356"/>
        <v>1.4583333333333334E-2</v>
      </c>
      <c r="X1223" s="11">
        <f t="shared" si="364"/>
        <v>9.2534807909604524</v>
      </c>
      <c r="Y1223" s="11">
        <f t="shared" si="357"/>
        <v>9.2534807909604524</v>
      </c>
      <c r="Z1223" s="37">
        <v>1</v>
      </c>
      <c r="AA1223" s="36">
        <f t="shared" si="365"/>
        <v>4.2372881355932206</v>
      </c>
      <c r="AB1223" s="36">
        <f t="shared" si="366"/>
        <v>3.2203389830508478</v>
      </c>
      <c r="AC1223" s="11">
        <f t="shared" si="367"/>
        <v>0.45561205273069688</v>
      </c>
      <c r="AD1223" s="36">
        <f t="shared" si="358"/>
        <v>9.2534807909604524</v>
      </c>
      <c r="AE1223" s="36" t="str">
        <f>VLOOKUP(H1223,'Yield &amp; Time'!A:I,9,0)</f>
        <v>SODIUM METABISULPHITE</v>
      </c>
      <c r="AF1223" s="36">
        <f>IFERROR(VLOOKUP(AE1223,'Chemical Cost'!A:D,4,0),0)</f>
        <v>9.7586225455882462E-3</v>
      </c>
      <c r="AG1223" s="114">
        <f t="shared" si="368"/>
        <v>1.3783365177384529E-2</v>
      </c>
      <c r="AH1223" s="36">
        <f t="shared" si="353"/>
        <v>1.3783365177384529E-2</v>
      </c>
      <c r="AI1223" s="36">
        <f t="shared" si="359"/>
        <v>12.487603139188685</v>
      </c>
      <c r="AJ1223" s="36">
        <f>IFERROR(VLOOKUP(A1223,'All Products'!A:F,6,0),0)</f>
        <v>17.89</v>
      </c>
      <c r="AK1223" s="36">
        <f>AJ1223*Z1223*J1223</f>
        <v>17.89</v>
      </c>
      <c r="AL1223" s="23">
        <v>1</v>
      </c>
      <c r="AM1223" s="23"/>
      <c r="AN1223" s="54" t="e">
        <v>#N/A</v>
      </c>
      <c r="AO1223" s="47"/>
      <c r="AP1223" s="4">
        <v>1.6</v>
      </c>
      <c r="AQ1223" s="111">
        <f t="shared" si="369"/>
        <v>0.45561205273069688</v>
      </c>
      <c r="AR1223">
        <f>_xlfn.XLOOKUP(F1223,'RM Cost'!A:A,'RM Cost'!S:S)</f>
        <v>0</v>
      </c>
      <c r="AS1223" t="e">
        <f>_xlfn.XLOOKUP(A1223,[3]Sheet1!$B:$B,[3]Sheet1!$B:$B)</f>
        <v>#N/A</v>
      </c>
    </row>
    <row r="1224" spans="1:45" x14ac:dyDescent="0.25">
      <c r="A1224" s="16" t="s">
        <v>1039</v>
      </c>
      <c r="B1224" s="2" t="s">
        <v>656</v>
      </c>
      <c r="C1224" s="2" t="s">
        <v>1040</v>
      </c>
      <c r="D1224" s="2" t="s">
        <v>554</v>
      </c>
      <c r="E1224" s="2">
        <v>2.5</v>
      </c>
      <c r="F1224" s="1" t="str">
        <f>VLOOKUP(H1224,'RM Used'!A:B,2,0)</f>
        <v>P0008</v>
      </c>
      <c r="G1224" s="1" t="str">
        <f>IFERROR(VLOOKUP(F1224,'RM Cost'!A:B,2,0),"")</f>
        <v>PALE BLUE BAG 470X750MM</v>
      </c>
      <c r="H1224" s="1" t="s">
        <v>1323</v>
      </c>
      <c r="I1224" s="1" t="str">
        <f>VLOOKUP(F1224,'RM Used'!B:D,3,0)</f>
        <v>RM-PACKING</v>
      </c>
      <c r="J1224" s="66">
        <v>1</v>
      </c>
      <c r="K1224" s="35" t="str">
        <f t="shared" si="354"/>
        <v/>
      </c>
      <c r="L1224" s="35">
        <f t="shared" si="361"/>
        <v>0</v>
      </c>
      <c r="M1224" s="77" t="str" cm="1">
        <f t="array" ref="M1224">_xlfn.IFS(BOM!I1224="RM-PACKING","100%",B1224="Reynolds",VLOOKUP(H1224,'Yield &amp; Time'!A:V,22,0),BOM!B1224="Dnata",VLOOKUP(BOM!H1224,'Yield &amp; Time'!A:M,13,0),B1224="NK",VLOOKUP(H1224,'Yield &amp; Time'!A:X,24,0))</f>
        <v>100%</v>
      </c>
      <c r="N1224" s="35">
        <f t="shared" si="360"/>
        <v>1</v>
      </c>
      <c r="O1224" s="1" t="str">
        <f>VLOOKUP(H1224,'RM Used'!A:E,5,0)</f>
        <v>Count</v>
      </c>
      <c r="P1224" s="11">
        <f>VLOOKUP(H1224,'RM Used'!A:F,6,0)</f>
        <v>0.14000000000000001</v>
      </c>
      <c r="Q1224" s="11">
        <f t="shared" si="370"/>
        <v>0.14000000000000001</v>
      </c>
      <c r="R1224" s="11">
        <f>IFERROR(IF(B1224="Reynolds",VLOOKUP(H1224,'Yield &amp; Time'!A:U,21,0),VLOOKUP(H1224,'Yield &amp; Time'!A:L,12,0)),0)</f>
        <v>0</v>
      </c>
      <c r="S1224" s="11">
        <f t="shared" si="362"/>
        <v>0</v>
      </c>
      <c r="T1224" s="11">
        <f t="shared" si="363"/>
        <v>0</v>
      </c>
      <c r="U1224" s="11">
        <f>IF(A1223=A1224,0,VLOOKUP(A1224,'Packing Time'!A:F,6,0))</f>
        <v>0</v>
      </c>
      <c r="V1224" s="11">
        <f t="shared" si="355"/>
        <v>0</v>
      </c>
      <c r="W1224" s="11">
        <f t="shared" si="356"/>
        <v>0</v>
      </c>
      <c r="X1224" s="11">
        <f t="shared" si="364"/>
        <v>0</v>
      </c>
      <c r="Y1224" s="11">
        <f t="shared" si="357"/>
        <v>0</v>
      </c>
      <c r="Z1224" s="37">
        <v>1</v>
      </c>
      <c r="AA1224" s="36">
        <f t="shared" si="365"/>
        <v>1</v>
      </c>
      <c r="AB1224" s="36">
        <f t="shared" si="366"/>
        <v>0.14000000000000001</v>
      </c>
      <c r="AC1224" s="11">
        <f t="shared" si="367"/>
        <v>0</v>
      </c>
      <c r="AD1224" s="36">
        <f t="shared" si="358"/>
        <v>0</v>
      </c>
      <c r="AE1224" s="36"/>
      <c r="AF1224" s="36">
        <f>IFERROR(VLOOKUP(AE1224,'Chemical Cost'!A:D,4,0),0)</f>
        <v>0</v>
      </c>
      <c r="AG1224" s="114">
        <f t="shared" si="368"/>
        <v>0</v>
      </c>
      <c r="AH1224" s="36">
        <f t="shared" si="353"/>
        <v>0</v>
      </c>
      <c r="AI1224" s="36">
        <f t="shared" si="359"/>
        <v>0.14000000000000001</v>
      </c>
      <c r="AJ1224" s="36">
        <f>IFERROR(VLOOKUP(A1224,'All Products'!A:F,6,0),0)</f>
        <v>17.89</v>
      </c>
      <c r="AK1224" s="36"/>
      <c r="AL1224" s="23">
        <v>1</v>
      </c>
      <c r="AM1224" s="23"/>
      <c r="AN1224" s="54" t="e">
        <v>#N/A</v>
      </c>
      <c r="AO1224" s="47"/>
      <c r="AP1224" s="4">
        <v>1.6</v>
      </c>
      <c r="AQ1224" s="111">
        <f t="shared" si="369"/>
        <v>0</v>
      </c>
      <c r="AR1224">
        <f>_xlfn.XLOOKUP(F1224,'RM Cost'!A:A,'RM Cost'!S:S)</f>
        <v>0</v>
      </c>
      <c r="AS1224" t="e">
        <f>_xlfn.XLOOKUP(A1224,[3]Sheet1!$B:$B,[3]Sheet1!$B:$B)</f>
        <v>#N/A</v>
      </c>
    </row>
    <row r="1225" spans="1:45" x14ac:dyDescent="0.25">
      <c r="A1225" s="16" t="s">
        <v>1041</v>
      </c>
      <c r="B1225" s="2" t="s">
        <v>656</v>
      </c>
      <c r="C1225" s="2" t="s">
        <v>1042</v>
      </c>
      <c r="D1225" s="2" t="s">
        <v>554</v>
      </c>
      <c r="E1225" s="2">
        <v>1</v>
      </c>
      <c r="F1225" s="1" t="str">
        <f>VLOOKUP(H1225,'RM Used'!A:B,2,0)</f>
        <v>3565CS</v>
      </c>
      <c r="G1225" s="1" t="str">
        <f>IFERROR(VLOOKUP(F1225,'RM Cost'!A:B,2,0),"")</f>
        <v>RM - PEPPERS GREEN  X 5KG</v>
      </c>
      <c r="H1225" s="2" t="s">
        <v>1629</v>
      </c>
      <c r="I1225" s="1" t="str">
        <f>VLOOKUP(F1225,'RM Used'!B:D,3,0)</f>
        <v>RM-FOOD</v>
      </c>
      <c r="J1225" s="66">
        <v>1</v>
      </c>
      <c r="K1225" s="35">
        <f t="shared" si="354"/>
        <v>1</v>
      </c>
      <c r="L1225" s="35">
        <f t="shared" si="361"/>
        <v>1</v>
      </c>
      <c r="M1225" s="77" cm="1">
        <f t="array" ref="M1225">_xlfn.IFS(BOM!I1225="RM-PACKING","100%",B1225="Reynolds",VLOOKUP(H1225,'Yield &amp; Time'!A:V,22,0),BOM!B1225="Dnata",VLOOKUP(BOM!H1225,'Yield &amp; Time'!A:M,13,0),B1225="NK",VLOOKUP(H1225,'Yield &amp; Time'!A:X,24,0))</f>
        <v>0.374</v>
      </c>
      <c r="N1225" s="35">
        <f t="shared" si="360"/>
        <v>2.6737967914438503</v>
      </c>
      <c r="O1225" s="1" t="str">
        <f>VLOOKUP(H1225,'RM Used'!A:E,5,0)</f>
        <v>KG</v>
      </c>
      <c r="P1225" s="11">
        <f>VLOOKUP(H1225,'RM Used'!A:F,6,0)</f>
        <v>1.76</v>
      </c>
      <c r="Q1225" s="11">
        <f t="shared" si="370"/>
        <v>4.7058823529411766</v>
      </c>
      <c r="R1225" s="11">
        <f>IFERROR(IF(B1225="Reynolds",VLOOKUP(H1225,'Yield &amp; Time'!A:U,21,0),VLOOKUP(H1225,'Yield &amp; Time'!A:L,12,0)),0)</f>
        <v>13.90374331550802</v>
      </c>
      <c r="S1225" s="11">
        <f t="shared" si="362"/>
        <v>4.706417112299464</v>
      </c>
      <c r="T1225" s="11">
        <f t="shared" si="363"/>
        <v>0.23172905525846701</v>
      </c>
      <c r="U1225" s="11">
        <f>IF(A1224=A1225,0,VLOOKUP(A1225,'Packing Time'!A:F,6,0))</f>
        <v>0.64166666666666661</v>
      </c>
      <c r="V1225" s="11">
        <f t="shared" si="355"/>
        <v>0.21720416666666661</v>
      </c>
      <c r="W1225" s="11">
        <f t="shared" si="356"/>
        <v>1.0694444444444444E-2</v>
      </c>
      <c r="X1225" s="11">
        <f t="shared" si="364"/>
        <v>7.8777940463458096</v>
      </c>
      <c r="Y1225" s="11">
        <f t="shared" si="357"/>
        <v>7.8777940463458096</v>
      </c>
      <c r="Z1225" s="37">
        <v>1</v>
      </c>
      <c r="AA1225" s="36">
        <f t="shared" si="365"/>
        <v>2.6737967914438503</v>
      </c>
      <c r="AB1225" s="36">
        <f t="shared" si="366"/>
        <v>4.7058823529411766</v>
      </c>
      <c r="AC1225" s="11">
        <f t="shared" si="367"/>
        <v>0.38787759952465833</v>
      </c>
      <c r="AD1225" s="36">
        <f t="shared" si="358"/>
        <v>7.8777940463458105</v>
      </c>
      <c r="AE1225" s="36"/>
      <c r="AF1225" s="36">
        <f>IFERROR(VLOOKUP(AE1225,'Chemical Cost'!A:D,4,0),0)</f>
        <v>0</v>
      </c>
      <c r="AG1225" s="114">
        <f t="shared" si="368"/>
        <v>0</v>
      </c>
      <c r="AH1225" s="36">
        <f t="shared" si="353"/>
        <v>0</v>
      </c>
      <c r="AI1225" s="36">
        <f t="shared" si="359"/>
        <v>12.583676399286986</v>
      </c>
      <c r="AJ1225" s="36">
        <f>IFERROR(VLOOKUP(A1225,'All Products'!A:F,6,0),0)</f>
        <v>10.99</v>
      </c>
      <c r="AK1225" s="36">
        <f>AJ1225*Z1225*J1225</f>
        <v>10.99</v>
      </c>
      <c r="AL1225" s="23">
        <v>1</v>
      </c>
      <c r="AM1225" s="23"/>
      <c r="AN1225" s="54" t="e">
        <v>#N/A</v>
      </c>
      <c r="AO1225" s="47"/>
      <c r="AP1225" s="4">
        <v>1.6</v>
      </c>
      <c r="AQ1225" s="111">
        <f t="shared" si="369"/>
        <v>0.38787759952465833</v>
      </c>
      <c r="AR1225">
        <f>_xlfn.XLOOKUP(F1225,'RM Cost'!A:A,'RM Cost'!S:S)</f>
        <v>0</v>
      </c>
      <c r="AS1225" t="e">
        <f>_xlfn.XLOOKUP(A1225,[3]Sheet1!$B:$B,[3]Sheet1!$B:$B)</f>
        <v>#N/A</v>
      </c>
    </row>
    <row r="1226" spans="1:45" x14ac:dyDescent="0.25">
      <c r="A1226" s="16" t="s">
        <v>1041</v>
      </c>
      <c r="B1226" s="2" t="s">
        <v>656</v>
      </c>
      <c r="C1226" s="2" t="s">
        <v>1042</v>
      </c>
      <c r="D1226" s="2" t="s">
        <v>554</v>
      </c>
      <c r="E1226" s="2">
        <v>1</v>
      </c>
      <c r="F1226" s="1" t="str">
        <f>VLOOKUP(H1226,'RM Used'!A:B,2,0)</f>
        <v>P0008</v>
      </c>
      <c r="G1226" s="1" t="str">
        <f>IFERROR(VLOOKUP(F1226,'RM Cost'!A:B,2,0),"")</f>
        <v>PALE BLUE BAG 470X750MM</v>
      </c>
      <c r="H1226" s="1" t="s">
        <v>1323</v>
      </c>
      <c r="I1226" s="1" t="str">
        <f>VLOOKUP(F1226,'RM Used'!B:D,3,0)</f>
        <v>RM-PACKING</v>
      </c>
      <c r="J1226" s="66">
        <v>1</v>
      </c>
      <c r="K1226" s="35" t="str">
        <f t="shared" si="354"/>
        <v/>
      </c>
      <c r="L1226" s="35">
        <f t="shared" si="361"/>
        <v>0</v>
      </c>
      <c r="M1226" s="77" t="str" cm="1">
        <f t="array" ref="M1226">_xlfn.IFS(BOM!I1226="RM-PACKING","100%",B1226="Reynolds",VLOOKUP(H1226,'Yield &amp; Time'!A:V,22,0),BOM!B1226="Dnata",VLOOKUP(BOM!H1226,'Yield &amp; Time'!A:M,13,0),B1226="NK",VLOOKUP(H1226,'Yield &amp; Time'!A:X,24,0))</f>
        <v>100%</v>
      </c>
      <c r="N1226" s="35">
        <f t="shared" si="360"/>
        <v>1</v>
      </c>
      <c r="O1226" s="1" t="str">
        <f>VLOOKUP(H1226,'RM Used'!A:E,5,0)</f>
        <v>Count</v>
      </c>
      <c r="P1226" s="11">
        <f>VLOOKUP(H1226,'RM Used'!A:F,6,0)</f>
        <v>0.14000000000000001</v>
      </c>
      <c r="Q1226" s="11">
        <f t="shared" si="370"/>
        <v>0.14000000000000001</v>
      </c>
      <c r="R1226" s="11">
        <f>IFERROR(IF(B1226="Reynolds",VLOOKUP(H1226,'Yield &amp; Time'!A:U,21,0),VLOOKUP(H1226,'Yield &amp; Time'!A:L,12,0)),0)</f>
        <v>0</v>
      </c>
      <c r="S1226" s="11">
        <f t="shared" si="362"/>
        <v>0</v>
      </c>
      <c r="T1226" s="11">
        <f t="shared" si="363"/>
        <v>0</v>
      </c>
      <c r="U1226" s="11">
        <f>IF(A1225=A1226,0,VLOOKUP(A1226,'Packing Time'!A:F,6,0))</f>
        <v>0</v>
      </c>
      <c r="V1226" s="11">
        <f t="shared" si="355"/>
        <v>0</v>
      </c>
      <c r="W1226" s="11">
        <f t="shared" si="356"/>
        <v>0</v>
      </c>
      <c r="X1226" s="11">
        <f t="shared" si="364"/>
        <v>0</v>
      </c>
      <c r="Y1226" s="11">
        <f t="shared" si="357"/>
        <v>0</v>
      </c>
      <c r="Z1226" s="37">
        <v>1</v>
      </c>
      <c r="AA1226" s="36">
        <f t="shared" si="365"/>
        <v>1</v>
      </c>
      <c r="AB1226" s="36">
        <f t="shared" si="366"/>
        <v>0.14000000000000001</v>
      </c>
      <c r="AC1226" s="11">
        <f t="shared" si="367"/>
        <v>0</v>
      </c>
      <c r="AD1226" s="36">
        <f t="shared" si="358"/>
        <v>0</v>
      </c>
      <c r="AE1226" s="36"/>
      <c r="AF1226" s="36">
        <f>IFERROR(VLOOKUP(AE1226,'Chemical Cost'!A:D,4,0),0)</f>
        <v>0</v>
      </c>
      <c r="AG1226" s="114">
        <f t="shared" si="368"/>
        <v>0</v>
      </c>
      <c r="AH1226" s="36">
        <f t="shared" si="353"/>
        <v>0</v>
      </c>
      <c r="AI1226" s="36">
        <f t="shared" si="359"/>
        <v>0.14000000000000001</v>
      </c>
      <c r="AJ1226" s="36">
        <f>IFERROR(VLOOKUP(A1226,'All Products'!A:F,6,0),0)</f>
        <v>10.99</v>
      </c>
      <c r="AK1226" s="36"/>
      <c r="AL1226" s="23">
        <v>1</v>
      </c>
      <c r="AM1226" s="23"/>
      <c r="AN1226" s="54" t="e">
        <v>#N/A</v>
      </c>
      <c r="AO1226" s="47"/>
      <c r="AP1226" s="4">
        <v>1.6</v>
      </c>
      <c r="AQ1226" s="111">
        <f t="shared" si="369"/>
        <v>0</v>
      </c>
      <c r="AR1226">
        <f>_xlfn.XLOOKUP(F1226,'RM Cost'!A:A,'RM Cost'!S:S)</f>
        <v>0</v>
      </c>
      <c r="AS1226" t="e">
        <f>_xlfn.XLOOKUP(A1226,[3]Sheet1!$B:$B,[3]Sheet1!$B:$B)</f>
        <v>#N/A</v>
      </c>
    </row>
    <row r="1227" spans="1:45" x14ac:dyDescent="0.25">
      <c r="A1227" s="16" t="s">
        <v>1043</v>
      </c>
      <c r="B1227" s="2" t="s">
        <v>656</v>
      </c>
      <c r="C1227" s="2" t="s">
        <v>1044</v>
      </c>
      <c r="D1227" s="2" t="s">
        <v>554</v>
      </c>
      <c r="E1227" s="2">
        <v>2.5</v>
      </c>
      <c r="F1227" s="1" t="str">
        <f>VLOOKUP(H1227,'RM Used'!A:B,2,0)</f>
        <v>3565CS</v>
      </c>
      <c r="G1227" s="1" t="str">
        <f>IFERROR(VLOOKUP(F1227,'RM Cost'!A:B,2,0),"")</f>
        <v>RM - PEPPERS GREEN  X 5KG</v>
      </c>
      <c r="H1227" s="2" t="s">
        <v>1629</v>
      </c>
      <c r="I1227" s="1" t="str">
        <f>VLOOKUP(F1227,'RM Used'!B:D,3,0)</f>
        <v>RM-FOOD</v>
      </c>
      <c r="J1227" s="66">
        <v>1</v>
      </c>
      <c r="K1227" s="35">
        <f t="shared" si="354"/>
        <v>2.5</v>
      </c>
      <c r="L1227" s="35">
        <f t="shared" si="361"/>
        <v>2.5</v>
      </c>
      <c r="M1227" s="77" cm="1">
        <f t="array" ref="M1227">_xlfn.IFS(BOM!I1227="RM-PACKING","100%",B1227="Reynolds",VLOOKUP(H1227,'Yield &amp; Time'!A:V,22,0),BOM!B1227="Dnata",VLOOKUP(BOM!H1227,'Yield &amp; Time'!A:M,13,0),B1227="NK",VLOOKUP(H1227,'Yield &amp; Time'!A:X,24,0))</f>
        <v>0.374</v>
      </c>
      <c r="N1227" s="35">
        <f t="shared" si="360"/>
        <v>6.6844919786096257</v>
      </c>
      <c r="O1227" s="1" t="str">
        <f>VLOOKUP(H1227,'RM Used'!A:E,5,0)</f>
        <v>KG</v>
      </c>
      <c r="P1227" s="11">
        <f>VLOOKUP(H1227,'RM Used'!A:F,6,0)</f>
        <v>1.76</v>
      </c>
      <c r="Q1227" s="11">
        <f t="shared" si="370"/>
        <v>11.764705882352942</v>
      </c>
      <c r="R1227" s="11">
        <f>IFERROR(IF(B1227="Reynolds",VLOOKUP(H1227,'Yield &amp; Time'!A:U,21,0),VLOOKUP(H1227,'Yield &amp; Time'!A:L,12,0)),0)</f>
        <v>13.90374331550802</v>
      </c>
      <c r="S1227" s="11">
        <f t="shared" si="362"/>
        <v>11.766042780748661</v>
      </c>
      <c r="T1227" s="11">
        <f t="shared" si="363"/>
        <v>0.57932263814616758</v>
      </c>
      <c r="U1227" s="11">
        <f>IF(A1226=A1227,0,VLOOKUP(A1227,'Packing Time'!A:F,6,0))</f>
        <v>0.875</v>
      </c>
      <c r="V1227" s="11">
        <f t="shared" si="355"/>
        <v>0.29618749999999999</v>
      </c>
      <c r="W1227" s="11">
        <f t="shared" si="356"/>
        <v>1.4583333333333334E-2</v>
      </c>
      <c r="X1227" s="11">
        <f t="shared" si="364"/>
        <v>16.887122393048124</v>
      </c>
      <c r="Y1227" s="11">
        <f t="shared" si="357"/>
        <v>16.887122393048124</v>
      </c>
      <c r="Z1227" s="37">
        <v>1</v>
      </c>
      <c r="AA1227" s="36">
        <f t="shared" si="365"/>
        <v>6.6844919786096257</v>
      </c>
      <c r="AB1227" s="36">
        <f t="shared" si="366"/>
        <v>11.764705882352942</v>
      </c>
      <c r="AC1227" s="11">
        <f t="shared" si="367"/>
        <v>0.8314683600713012</v>
      </c>
      <c r="AD1227" s="36">
        <f t="shared" si="358"/>
        <v>16.887122393048124</v>
      </c>
      <c r="AE1227" s="36"/>
      <c r="AF1227" s="36">
        <f>IFERROR(VLOOKUP(AE1227,'Chemical Cost'!A:D,4,0),0)</f>
        <v>0</v>
      </c>
      <c r="AG1227" s="114">
        <f t="shared" si="368"/>
        <v>0</v>
      </c>
      <c r="AH1227" s="36">
        <f t="shared" si="353"/>
        <v>0</v>
      </c>
      <c r="AI1227" s="36">
        <f t="shared" si="359"/>
        <v>28.651828275401066</v>
      </c>
      <c r="AJ1227" s="36">
        <f>IFERROR(VLOOKUP(A1227,'All Products'!A:F,6,0),0)</f>
        <v>27.82</v>
      </c>
      <c r="AK1227" s="36">
        <f>AJ1227*Z1227*J1227</f>
        <v>27.82</v>
      </c>
      <c r="AL1227" s="23">
        <v>1</v>
      </c>
      <c r="AM1227" s="23"/>
      <c r="AN1227" s="54" t="e">
        <v>#N/A</v>
      </c>
      <c r="AO1227" s="47"/>
      <c r="AP1227" s="4">
        <v>1.4</v>
      </c>
      <c r="AQ1227" s="111">
        <f t="shared" si="369"/>
        <v>0.8314683600713012</v>
      </c>
      <c r="AR1227">
        <f>_xlfn.XLOOKUP(F1227,'RM Cost'!A:A,'RM Cost'!S:S)</f>
        <v>0</v>
      </c>
      <c r="AS1227" t="e">
        <f>_xlfn.XLOOKUP(A1227,[3]Sheet1!$B:$B,[3]Sheet1!$B:$B)</f>
        <v>#N/A</v>
      </c>
    </row>
    <row r="1228" spans="1:45" x14ac:dyDescent="0.25">
      <c r="A1228" s="16" t="s">
        <v>1043</v>
      </c>
      <c r="B1228" s="2" t="s">
        <v>656</v>
      </c>
      <c r="C1228" s="2" t="s">
        <v>1044</v>
      </c>
      <c r="D1228" s="2" t="s">
        <v>554</v>
      </c>
      <c r="E1228" s="2">
        <v>2.5</v>
      </c>
      <c r="F1228" s="1" t="str">
        <f>VLOOKUP(H1228,'RM Used'!A:B,2,0)</f>
        <v>P0008</v>
      </c>
      <c r="G1228" s="1" t="str">
        <f>IFERROR(VLOOKUP(F1228,'RM Cost'!A:B,2,0),"")</f>
        <v>PALE BLUE BAG 470X750MM</v>
      </c>
      <c r="H1228" s="1" t="s">
        <v>1323</v>
      </c>
      <c r="I1228" s="1" t="str">
        <f>VLOOKUP(F1228,'RM Used'!B:D,3,0)</f>
        <v>RM-PACKING</v>
      </c>
      <c r="J1228" s="66">
        <v>1</v>
      </c>
      <c r="K1228" s="35" t="str">
        <f t="shared" si="354"/>
        <v/>
      </c>
      <c r="L1228" s="35">
        <f t="shared" si="361"/>
        <v>0</v>
      </c>
      <c r="M1228" s="77" t="str" cm="1">
        <f t="array" ref="M1228">_xlfn.IFS(BOM!I1228="RM-PACKING","100%",B1228="Reynolds",VLOOKUP(H1228,'Yield &amp; Time'!A:V,22,0),BOM!B1228="Dnata",VLOOKUP(BOM!H1228,'Yield &amp; Time'!A:M,13,0),B1228="NK",VLOOKUP(H1228,'Yield &amp; Time'!A:X,24,0))</f>
        <v>100%</v>
      </c>
      <c r="N1228" s="35">
        <f t="shared" si="360"/>
        <v>1</v>
      </c>
      <c r="O1228" s="1" t="str">
        <f>VLOOKUP(H1228,'RM Used'!A:E,5,0)</f>
        <v>Count</v>
      </c>
      <c r="P1228" s="11">
        <f>VLOOKUP(H1228,'RM Used'!A:F,6,0)</f>
        <v>0.14000000000000001</v>
      </c>
      <c r="Q1228" s="11">
        <f t="shared" si="370"/>
        <v>0.14000000000000001</v>
      </c>
      <c r="R1228" s="11">
        <f>IFERROR(IF(B1228="Reynolds",VLOOKUP(H1228,'Yield &amp; Time'!A:U,21,0),VLOOKUP(H1228,'Yield &amp; Time'!A:L,12,0)),0)</f>
        <v>0</v>
      </c>
      <c r="S1228" s="11">
        <f t="shared" si="362"/>
        <v>0</v>
      </c>
      <c r="T1228" s="11">
        <f t="shared" si="363"/>
        <v>0</v>
      </c>
      <c r="U1228" s="11">
        <f>IF(A1227=A1228,0,VLOOKUP(A1228,'Packing Time'!A:F,6,0))</f>
        <v>0</v>
      </c>
      <c r="V1228" s="11">
        <f t="shared" si="355"/>
        <v>0</v>
      </c>
      <c r="W1228" s="11">
        <f t="shared" si="356"/>
        <v>0</v>
      </c>
      <c r="X1228" s="11">
        <f t="shared" si="364"/>
        <v>0</v>
      </c>
      <c r="Y1228" s="11">
        <f t="shared" si="357"/>
        <v>0</v>
      </c>
      <c r="Z1228" s="37">
        <v>1</v>
      </c>
      <c r="AA1228" s="36">
        <f t="shared" si="365"/>
        <v>1</v>
      </c>
      <c r="AB1228" s="36">
        <f t="shared" si="366"/>
        <v>0.14000000000000001</v>
      </c>
      <c r="AC1228" s="11">
        <f t="shared" si="367"/>
        <v>0</v>
      </c>
      <c r="AD1228" s="36">
        <f t="shared" si="358"/>
        <v>0</v>
      </c>
      <c r="AE1228" s="36"/>
      <c r="AF1228" s="36">
        <f>IFERROR(VLOOKUP(AE1228,'Chemical Cost'!A:D,4,0),0)</f>
        <v>0</v>
      </c>
      <c r="AG1228" s="114">
        <f t="shared" si="368"/>
        <v>0</v>
      </c>
      <c r="AH1228" s="36">
        <f t="shared" si="353"/>
        <v>0</v>
      </c>
      <c r="AI1228" s="36">
        <f t="shared" si="359"/>
        <v>0.14000000000000001</v>
      </c>
      <c r="AJ1228" s="36">
        <f>IFERROR(VLOOKUP(A1228,'All Products'!A:F,6,0),0)</f>
        <v>27.82</v>
      </c>
      <c r="AK1228" s="36"/>
      <c r="AL1228" s="23">
        <v>1</v>
      </c>
      <c r="AM1228" s="23"/>
      <c r="AN1228" s="54" t="e">
        <v>#N/A</v>
      </c>
      <c r="AO1228" s="47"/>
      <c r="AP1228" s="4">
        <v>1.4</v>
      </c>
      <c r="AQ1228" s="111">
        <f t="shared" si="369"/>
        <v>0</v>
      </c>
      <c r="AR1228">
        <f>_xlfn.XLOOKUP(F1228,'RM Cost'!A:A,'RM Cost'!S:S)</f>
        <v>0</v>
      </c>
      <c r="AS1228" t="e">
        <f>_xlfn.XLOOKUP(A1228,[3]Sheet1!$B:$B,[3]Sheet1!$B:$B)</f>
        <v>#N/A</v>
      </c>
    </row>
    <row r="1229" spans="1:45" x14ac:dyDescent="0.25">
      <c r="A1229" s="16" t="s">
        <v>1045</v>
      </c>
      <c r="B1229" s="2" t="s">
        <v>656</v>
      </c>
      <c r="C1229" s="2" t="s">
        <v>1046</v>
      </c>
      <c r="D1229" s="2" t="s">
        <v>554</v>
      </c>
      <c r="E1229" s="2">
        <v>1</v>
      </c>
      <c r="F1229" s="1" t="str">
        <f>VLOOKUP(H1229,'RM Used'!A:B,2,0)</f>
        <v>3566CS</v>
      </c>
      <c r="G1229" s="1" t="str">
        <f>IFERROR(VLOOKUP(F1229,'RM Cost'!A:B,2,0),"")</f>
        <v>PEPPERS RED X 5KG</v>
      </c>
      <c r="H1229" s="2" t="s">
        <v>1630</v>
      </c>
      <c r="I1229" s="1" t="str">
        <f>VLOOKUP(F1229,'RM Used'!B:D,3,0)</f>
        <v>RM-FOOD</v>
      </c>
      <c r="J1229" s="66">
        <v>1</v>
      </c>
      <c r="K1229" s="35">
        <f t="shared" si="354"/>
        <v>1</v>
      </c>
      <c r="L1229" s="35">
        <f t="shared" si="361"/>
        <v>1</v>
      </c>
      <c r="M1229" s="77" cm="1">
        <f t="array" ref="M1229">_xlfn.IFS(BOM!I1229="RM-PACKING","100%",B1229="Reynolds",VLOOKUP(H1229,'Yield &amp; Time'!A:V,22,0),BOM!B1229="Dnata",VLOOKUP(BOM!H1229,'Yield &amp; Time'!A:M,13,0),B1229="NK",VLOOKUP(H1229,'Yield &amp; Time'!A:X,24,0))</f>
        <v>0.374</v>
      </c>
      <c r="N1229" s="35">
        <f t="shared" si="360"/>
        <v>2.6737967914438503</v>
      </c>
      <c r="O1229" s="1" t="str">
        <f>VLOOKUP(H1229,'RM Used'!A:E,5,0)</f>
        <v>KG</v>
      </c>
      <c r="P1229" s="11">
        <f>VLOOKUP(H1229,'RM Used'!A:F,6,0)</f>
        <v>1.72</v>
      </c>
      <c r="Q1229" s="11">
        <f t="shared" si="370"/>
        <v>4.5989304812834222</v>
      </c>
      <c r="R1229" s="11">
        <f>IFERROR(IF(B1229="Reynolds",VLOOKUP(H1229,'Yield &amp; Time'!A:U,21,0),VLOOKUP(H1229,'Yield &amp; Time'!A:L,12,0)),0)</f>
        <v>13.90374331550802</v>
      </c>
      <c r="S1229" s="11">
        <f t="shared" si="362"/>
        <v>4.706417112299464</v>
      </c>
      <c r="T1229" s="11">
        <f t="shared" si="363"/>
        <v>0.23172905525846701</v>
      </c>
      <c r="U1229" s="11">
        <f>IF(A1228=A1229,0,VLOOKUP(A1229,'Packing Time'!A:F,6,0))</f>
        <v>0.64166666666666661</v>
      </c>
      <c r="V1229" s="11">
        <f t="shared" si="355"/>
        <v>0.21720416666666661</v>
      </c>
      <c r="W1229" s="11">
        <f t="shared" si="356"/>
        <v>1.0694444444444444E-2</v>
      </c>
      <c r="X1229" s="11">
        <f t="shared" si="364"/>
        <v>7.8777940463458096</v>
      </c>
      <c r="Y1229" s="11">
        <f t="shared" si="357"/>
        <v>7.8777940463458096</v>
      </c>
      <c r="Z1229" s="37">
        <v>1</v>
      </c>
      <c r="AA1229" s="36">
        <f t="shared" si="365"/>
        <v>2.6737967914438503</v>
      </c>
      <c r="AB1229" s="36">
        <f t="shared" si="366"/>
        <v>4.5989304812834222</v>
      </c>
      <c r="AC1229" s="11">
        <f t="shared" si="367"/>
        <v>0.38787759952465833</v>
      </c>
      <c r="AD1229" s="36">
        <f t="shared" si="358"/>
        <v>7.8777940463458105</v>
      </c>
      <c r="AE1229" s="36"/>
      <c r="AF1229" s="36">
        <f>IFERROR(VLOOKUP(AE1229,'Chemical Cost'!A:D,4,0),0)</f>
        <v>0</v>
      </c>
      <c r="AG1229" s="114">
        <f t="shared" si="368"/>
        <v>0</v>
      </c>
      <c r="AH1229" s="36">
        <f t="shared" si="353"/>
        <v>0</v>
      </c>
      <c r="AI1229" s="36">
        <f t="shared" si="359"/>
        <v>12.476724527629232</v>
      </c>
      <c r="AJ1229" s="36">
        <f>IFERROR(VLOOKUP(A1229,'All Products'!A:F,6,0),0)</f>
        <v>10.84</v>
      </c>
      <c r="AK1229" s="36">
        <f>AJ1229*Z1229*J1229</f>
        <v>10.84</v>
      </c>
      <c r="AL1229" s="23">
        <v>1</v>
      </c>
      <c r="AM1229" s="23"/>
      <c r="AN1229" s="54" t="e">
        <v>#N/A</v>
      </c>
      <c r="AO1229" s="47"/>
      <c r="AP1229" s="4">
        <v>1.6</v>
      </c>
      <c r="AQ1229" s="111">
        <f t="shared" si="369"/>
        <v>0.38787759952465833</v>
      </c>
      <c r="AR1229">
        <f>_xlfn.XLOOKUP(F1229,'RM Cost'!A:A,'RM Cost'!S:S)</f>
        <v>0</v>
      </c>
      <c r="AS1229" t="e">
        <f>_xlfn.XLOOKUP(A1229,[3]Sheet1!$B:$B,[3]Sheet1!$B:$B)</f>
        <v>#N/A</v>
      </c>
    </row>
    <row r="1230" spans="1:45" x14ac:dyDescent="0.25">
      <c r="A1230" s="16" t="s">
        <v>1045</v>
      </c>
      <c r="B1230" s="2" t="s">
        <v>656</v>
      </c>
      <c r="C1230" s="2" t="s">
        <v>1046</v>
      </c>
      <c r="D1230" s="2" t="s">
        <v>554</v>
      </c>
      <c r="E1230" s="2">
        <v>1</v>
      </c>
      <c r="F1230" s="1" t="str">
        <f>VLOOKUP(H1230,'RM Used'!A:B,2,0)</f>
        <v>P0008</v>
      </c>
      <c r="G1230" s="1" t="str">
        <f>IFERROR(VLOOKUP(F1230,'RM Cost'!A:B,2,0),"")</f>
        <v>PALE BLUE BAG 470X750MM</v>
      </c>
      <c r="H1230" s="1" t="s">
        <v>1323</v>
      </c>
      <c r="I1230" s="1" t="str">
        <f>VLOOKUP(F1230,'RM Used'!B:D,3,0)</f>
        <v>RM-PACKING</v>
      </c>
      <c r="J1230" s="66">
        <v>1</v>
      </c>
      <c r="K1230" s="35" t="str">
        <f t="shared" si="354"/>
        <v/>
      </c>
      <c r="L1230" s="35">
        <f t="shared" si="361"/>
        <v>0</v>
      </c>
      <c r="M1230" s="77" t="str" cm="1">
        <f t="array" ref="M1230">_xlfn.IFS(BOM!I1230="RM-PACKING","100%",B1230="Reynolds",VLOOKUP(H1230,'Yield &amp; Time'!A:V,22,0),BOM!B1230="Dnata",VLOOKUP(BOM!H1230,'Yield &amp; Time'!A:M,13,0),B1230="NK",VLOOKUP(H1230,'Yield &amp; Time'!A:X,24,0))</f>
        <v>100%</v>
      </c>
      <c r="N1230" s="35">
        <f t="shared" si="360"/>
        <v>1</v>
      </c>
      <c r="O1230" s="1" t="str">
        <f>VLOOKUP(H1230,'RM Used'!A:E,5,0)</f>
        <v>Count</v>
      </c>
      <c r="P1230" s="11">
        <f>VLOOKUP(H1230,'RM Used'!A:F,6,0)</f>
        <v>0.14000000000000001</v>
      </c>
      <c r="Q1230" s="11">
        <f t="shared" si="370"/>
        <v>0.14000000000000001</v>
      </c>
      <c r="R1230" s="11">
        <f>IFERROR(IF(B1230="Reynolds",VLOOKUP(H1230,'Yield &amp; Time'!A:U,21,0),VLOOKUP(H1230,'Yield &amp; Time'!A:L,12,0)),0)</f>
        <v>0</v>
      </c>
      <c r="S1230" s="11">
        <f t="shared" si="362"/>
        <v>0</v>
      </c>
      <c r="T1230" s="11">
        <f t="shared" si="363"/>
        <v>0</v>
      </c>
      <c r="U1230" s="11">
        <f>IF(A1229=A1230,0,VLOOKUP(A1230,'Packing Time'!A:F,6,0))</f>
        <v>0</v>
      </c>
      <c r="V1230" s="11">
        <f t="shared" si="355"/>
        <v>0</v>
      </c>
      <c r="W1230" s="11">
        <f t="shared" si="356"/>
        <v>0</v>
      </c>
      <c r="X1230" s="11">
        <f t="shared" si="364"/>
        <v>0</v>
      </c>
      <c r="Y1230" s="11">
        <f t="shared" si="357"/>
        <v>0</v>
      </c>
      <c r="Z1230" s="37">
        <v>1</v>
      </c>
      <c r="AA1230" s="36">
        <f t="shared" si="365"/>
        <v>1</v>
      </c>
      <c r="AB1230" s="36">
        <f t="shared" si="366"/>
        <v>0.14000000000000001</v>
      </c>
      <c r="AC1230" s="11">
        <f t="shared" si="367"/>
        <v>0</v>
      </c>
      <c r="AD1230" s="36">
        <f t="shared" si="358"/>
        <v>0</v>
      </c>
      <c r="AE1230" s="36"/>
      <c r="AF1230" s="36">
        <f>IFERROR(VLOOKUP(AE1230,'Chemical Cost'!A:D,4,0),0)</f>
        <v>0</v>
      </c>
      <c r="AG1230" s="114">
        <f t="shared" si="368"/>
        <v>0</v>
      </c>
      <c r="AH1230" s="36">
        <f t="shared" si="353"/>
        <v>0</v>
      </c>
      <c r="AI1230" s="36">
        <f t="shared" si="359"/>
        <v>0.14000000000000001</v>
      </c>
      <c r="AJ1230" s="36">
        <f>IFERROR(VLOOKUP(A1230,'All Products'!A:F,6,0),0)</f>
        <v>10.84</v>
      </c>
      <c r="AK1230" s="36"/>
      <c r="AL1230" s="23">
        <v>1</v>
      </c>
      <c r="AM1230" s="23"/>
      <c r="AN1230" s="54" t="e">
        <v>#N/A</v>
      </c>
      <c r="AO1230" s="47"/>
      <c r="AP1230" s="4">
        <v>1.6</v>
      </c>
      <c r="AQ1230" s="111">
        <f t="shared" si="369"/>
        <v>0</v>
      </c>
      <c r="AR1230">
        <f>_xlfn.XLOOKUP(F1230,'RM Cost'!A:A,'RM Cost'!S:S)</f>
        <v>0</v>
      </c>
      <c r="AS1230" t="e">
        <f>_xlfn.XLOOKUP(A1230,[3]Sheet1!$B:$B,[3]Sheet1!$B:$B)</f>
        <v>#N/A</v>
      </c>
    </row>
    <row r="1231" spans="1:45" x14ac:dyDescent="0.25">
      <c r="A1231" s="16" t="s">
        <v>1047</v>
      </c>
      <c r="B1231" s="2" t="s">
        <v>656</v>
      </c>
      <c r="C1231" s="2" t="s">
        <v>1048</v>
      </c>
      <c r="D1231" s="2" t="s">
        <v>554</v>
      </c>
      <c r="E1231" s="2">
        <v>2.5</v>
      </c>
      <c r="F1231" s="1" t="str">
        <f>VLOOKUP(H1231,'RM Used'!A:B,2,0)</f>
        <v>3566CS</v>
      </c>
      <c r="G1231" s="1" t="str">
        <f>IFERROR(VLOOKUP(F1231,'RM Cost'!A:B,2,0),"")</f>
        <v>PEPPERS RED X 5KG</v>
      </c>
      <c r="H1231" s="2" t="s">
        <v>1630</v>
      </c>
      <c r="I1231" s="1" t="str">
        <f>VLOOKUP(F1231,'RM Used'!B:D,3,0)</f>
        <v>RM-FOOD</v>
      </c>
      <c r="J1231" s="66">
        <v>1</v>
      </c>
      <c r="K1231" s="35">
        <f t="shared" si="354"/>
        <v>2.5</v>
      </c>
      <c r="L1231" s="35">
        <f t="shared" si="361"/>
        <v>2.5</v>
      </c>
      <c r="M1231" s="77" cm="1">
        <f t="array" ref="M1231">_xlfn.IFS(BOM!I1231="RM-PACKING","100%",B1231="Reynolds",VLOOKUP(H1231,'Yield &amp; Time'!A:V,22,0),BOM!B1231="Dnata",VLOOKUP(BOM!H1231,'Yield &amp; Time'!A:M,13,0),B1231="NK",VLOOKUP(H1231,'Yield &amp; Time'!A:X,24,0))</f>
        <v>0.374</v>
      </c>
      <c r="N1231" s="35">
        <f t="shared" si="360"/>
        <v>6.6844919786096257</v>
      </c>
      <c r="O1231" s="1" t="str">
        <f>VLOOKUP(H1231,'RM Used'!A:E,5,0)</f>
        <v>KG</v>
      </c>
      <c r="P1231" s="11">
        <f>VLOOKUP(H1231,'RM Used'!A:F,6,0)</f>
        <v>1.72</v>
      </c>
      <c r="Q1231" s="11">
        <f t="shared" si="370"/>
        <v>11.497326203208557</v>
      </c>
      <c r="R1231" s="11">
        <f>IFERROR(IF(B1231="Reynolds",VLOOKUP(H1231,'Yield &amp; Time'!A:U,21,0),VLOOKUP(H1231,'Yield &amp; Time'!A:L,12,0)),0)</f>
        <v>13.90374331550802</v>
      </c>
      <c r="S1231" s="11">
        <f t="shared" si="362"/>
        <v>11.766042780748661</v>
      </c>
      <c r="T1231" s="11">
        <f t="shared" si="363"/>
        <v>0.57932263814616758</v>
      </c>
      <c r="U1231" s="11">
        <f>IF(A1230=A1231,0,VLOOKUP(A1231,'Packing Time'!A:F,6,0))</f>
        <v>0.875</v>
      </c>
      <c r="V1231" s="11">
        <f t="shared" si="355"/>
        <v>0.29618749999999999</v>
      </c>
      <c r="W1231" s="11">
        <f t="shared" si="356"/>
        <v>1.4583333333333334E-2</v>
      </c>
      <c r="X1231" s="11">
        <f t="shared" si="364"/>
        <v>19.29956844919786</v>
      </c>
      <c r="Y1231" s="11">
        <f t="shared" si="357"/>
        <v>19.29956844919786</v>
      </c>
      <c r="Z1231" s="37">
        <v>1</v>
      </c>
      <c r="AA1231" s="36">
        <f t="shared" si="365"/>
        <v>6.6844919786096257</v>
      </c>
      <c r="AB1231" s="36">
        <f t="shared" si="366"/>
        <v>11.497326203208557</v>
      </c>
      <c r="AC1231" s="11">
        <f t="shared" si="367"/>
        <v>0.95024955436720138</v>
      </c>
      <c r="AD1231" s="36">
        <f t="shared" si="358"/>
        <v>19.29956844919786</v>
      </c>
      <c r="AE1231" s="36"/>
      <c r="AF1231" s="36">
        <f>IFERROR(VLOOKUP(AE1231,'Chemical Cost'!A:D,4,0),0)</f>
        <v>0</v>
      </c>
      <c r="AG1231" s="114">
        <f t="shared" si="368"/>
        <v>0</v>
      </c>
      <c r="AH1231" s="36">
        <f t="shared" si="353"/>
        <v>0</v>
      </c>
      <c r="AI1231" s="36">
        <f t="shared" si="359"/>
        <v>30.796894652406415</v>
      </c>
      <c r="AJ1231" s="36">
        <f>IFERROR(VLOOKUP(A1231,'All Products'!A:F,6,0),0)</f>
        <v>26.8</v>
      </c>
      <c r="AK1231" s="36">
        <f>AJ1231*Z1231*J1231</f>
        <v>26.8</v>
      </c>
      <c r="AL1231" s="23">
        <v>1</v>
      </c>
      <c r="AM1231" s="23"/>
      <c r="AN1231" s="54" t="e">
        <v>#N/A</v>
      </c>
      <c r="AO1231" s="47"/>
      <c r="AP1231" s="4">
        <v>1.6</v>
      </c>
      <c r="AQ1231" s="111">
        <f t="shared" si="369"/>
        <v>0.95024955436720138</v>
      </c>
      <c r="AR1231">
        <f>_xlfn.XLOOKUP(F1231,'RM Cost'!A:A,'RM Cost'!S:S)</f>
        <v>0</v>
      </c>
      <c r="AS1231" t="e">
        <f>_xlfn.XLOOKUP(A1231,[3]Sheet1!$B:$B,[3]Sheet1!$B:$B)</f>
        <v>#N/A</v>
      </c>
    </row>
    <row r="1232" spans="1:45" x14ac:dyDescent="0.25">
      <c r="A1232" s="16" t="s">
        <v>1047</v>
      </c>
      <c r="B1232" s="2" t="s">
        <v>656</v>
      </c>
      <c r="C1232" s="2" t="s">
        <v>1048</v>
      </c>
      <c r="D1232" s="2" t="s">
        <v>554</v>
      </c>
      <c r="E1232" s="2">
        <v>2.5</v>
      </c>
      <c r="F1232" s="1" t="str">
        <f>VLOOKUP(H1232,'RM Used'!A:B,2,0)</f>
        <v>P0008</v>
      </c>
      <c r="G1232" s="1" t="str">
        <f>IFERROR(VLOOKUP(F1232,'RM Cost'!A:B,2,0),"")</f>
        <v>PALE BLUE BAG 470X750MM</v>
      </c>
      <c r="H1232" s="1" t="s">
        <v>1323</v>
      </c>
      <c r="I1232" s="1" t="str">
        <f>VLOOKUP(F1232,'RM Used'!B:D,3,0)</f>
        <v>RM-PACKING</v>
      </c>
      <c r="J1232" s="66">
        <v>1</v>
      </c>
      <c r="K1232" s="35" t="str">
        <f t="shared" si="354"/>
        <v/>
      </c>
      <c r="L1232" s="35">
        <f t="shared" si="361"/>
        <v>0</v>
      </c>
      <c r="M1232" s="77" t="str" cm="1">
        <f t="array" ref="M1232">_xlfn.IFS(BOM!I1232="RM-PACKING","100%",B1232="Reynolds",VLOOKUP(H1232,'Yield &amp; Time'!A:V,22,0),BOM!B1232="Dnata",VLOOKUP(BOM!H1232,'Yield &amp; Time'!A:M,13,0),B1232="NK",VLOOKUP(H1232,'Yield &amp; Time'!A:X,24,0))</f>
        <v>100%</v>
      </c>
      <c r="N1232" s="35">
        <f t="shared" si="360"/>
        <v>1</v>
      </c>
      <c r="O1232" s="1" t="str">
        <f>VLOOKUP(H1232,'RM Used'!A:E,5,0)</f>
        <v>Count</v>
      </c>
      <c r="P1232" s="11">
        <f>VLOOKUP(H1232,'RM Used'!A:F,6,0)</f>
        <v>0.14000000000000001</v>
      </c>
      <c r="Q1232" s="11">
        <f t="shared" si="370"/>
        <v>0.14000000000000001</v>
      </c>
      <c r="R1232" s="11">
        <f>IFERROR(IF(B1232="Reynolds",VLOOKUP(H1232,'Yield &amp; Time'!A:U,21,0),VLOOKUP(H1232,'Yield &amp; Time'!A:L,12,0)),0)</f>
        <v>0</v>
      </c>
      <c r="S1232" s="11">
        <f t="shared" si="362"/>
        <v>0</v>
      </c>
      <c r="T1232" s="11">
        <f t="shared" si="363"/>
        <v>0</v>
      </c>
      <c r="U1232" s="11">
        <f>IF(A1231=A1232,0,VLOOKUP(A1232,'Packing Time'!A:F,6,0))</f>
        <v>0</v>
      </c>
      <c r="V1232" s="11">
        <f t="shared" si="355"/>
        <v>0</v>
      </c>
      <c r="W1232" s="11">
        <f t="shared" si="356"/>
        <v>0</v>
      </c>
      <c r="X1232" s="11">
        <f t="shared" si="364"/>
        <v>0</v>
      </c>
      <c r="Y1232" s="11">
        <f t="shared" si="357"/>
        <v>0</v>
      </c>
      <c r="Z1232" s="37">
        <v>1</v>
      </c>
      <c r="AA1232" s="36">
        <f t="shared" si="365"/>
        <v>1</v>
      </c>
      <c r="AB1232" s="36">
        <f t="shared" si="366"/>
        <v>0.14000000000000001</v>
      </c>
      <c r="AC1232" s="11">
        <f t="shared" si="367"/>
        <v>0</v>
      </c>
      <c r="AD1232" s="36">
        <f t="shared" si="358"/>
        <v>0</v>
      </c>
      <c r="AE1232" s="36"/>
      <c r="AF1232" s="36">
        <f>IFERROR(VLOOKUP(AE1232,'Chemical Cost'!A:D,4,0),0)</f>
        <v>0</v>
      </c>
      <c r="AG1232" s="114">
        <f t="shared" si="368"/>
        <v>0</v>
      </c>
      <c r="AH1232" s="36">
        <f t="shared" si="353"/>
        <v>0</v>
      </c>
      <c r="AI1232" s="36">
        <f t="shared" si="359"/>
        <v>0.14000000000000001</v>
      </c>
      <c r="AJ1232" s="36">
        <f>IFERROR(VLOOKUP(A1232,'All Products'!A:F,6,0),0)</f>
        <v>26.8</v>
      </c>
      <c r="AK1232" s="36"/>
      <c r="AL1232" s="23">
        <v>1</v>
      </c>
      <c r="AM1232" s="23"/>
      <c r="AN1232" s="54" t="e">
        <v>#N/A</v>
      </c>
      <c r="AO1232" s="47"/>
      <c r="AP1232" s="4">
        <v>1.6</v>
      </c>
      <c r="AQ1232" s="111">
        <f t="shared" si="369"/>
        <v>0</v>
      </c>
      <c r="AR1232">
        <f>_xlfn.XLOOKUP(F1232,'RM Cost'!A:A,'RM Cost'!S:S)</f>
        <v>0</v>
      </c>
      <c r="AS1232" t="e">
        <f>_xlfn.XLOOKUP(A1232,[3]Sheet1!$B:$B,[3]Sheet1!$B:$B)</f>
        <v>#N/A</v>
      </c>
    </row>
    <row r="1233" spans="1:46" x14ac:dyDescent="0.25">
      <c r="A1233" s="16" t="s">
        <v>1049</v>
      </c>
      <c r="B1233" s="2" t="s">
        <v>656</v>
      </c>
      <c r="C1233" s="2" t="s">
        <v>1050</v>
      </c>
      <c r="D1233" s="2" t="s">
        <v>554</v>
      </c>
      <c r="E1233" s="2">
        <v>1</v>
      </c>
      <c r="F1233" s="1" t="str">
        <f>VLOOKUP(H1233,'RM Used'!A:B,2,0)</f>
        <v>3211CS</v>
      </c>
      <c r="G1233" s="1" t="str">
        <f>IFERROR(VLOOKUP(F1233,'RM Cost'!A:B,2,0),"")</f>
        <v>POTATO JUMBO WSHED 25KG</v>
      </c>
      <c r="H1233" s="2" t="s">
        <v>1631</v>
      </c>
      <c r="I1233" s="1" t="str">
        <f>VLOOKUP(F1233,'RM Used'!B:D,3,0)</f>
        <v>RM-FOOD</v>
      </c>
      <c r="J1233" s="66">
        <v>1</v>
      </c>
      <c r="K1233" s="35">
        <f t="shared" si="354"/>
        <v>1</v>
      </c>
      <c r="L1233" s="35">
        <f t="shared" si="361"/>
        <v>1</v>
      </c>
      <c r="M1233" s="77" cm="1">
        <f t="array" ref="M1233">_xlfn.IFS(BOM!I1233="RM-PACKING","100%",B1233="Reynolds",VLOOKUP(H1233,'Yield &amp; Time'!A:V,22,0),BOM!B1233="Dnata",VLOOKUP(BOM!H1233,'Yield &amp; Time'!A:M,13,0),B1233="NK",VLOOKUP(H1233,'Yield &amp; Time'!A:X,24,0))</f>
        <v>0</v>
      </c>
      <c r="N1233" s="35">
        <f t="shared" si="360"/>
        <v>0</v>
      </c>
      <c r="O1233" s="1" t="str">
        <f>VLOOKUP(H1233,'RM Used'!A:E,5,0)</f>
        <v>KG</v>
      </c>
      <c r="P1233" s="11">
        <f>VLOOKUP(H1233,'RM Used'!A:F,6,0)</f>
        <v>0.4</v>
      </c>
      <c r="Q1233" s="11">
        <f t="shared" si="370"/>
        <v>0</v>
      </c>
      <c r="R1233" s="11">
        <f>IFERROR(IF(B1233="Reynolds",VLOOKUP(H1233,'Yield &amp; Time'!A:U,21,0),VLOOKUP(H1233,'Yield &amp; Time'!A:L,12,0)),0)</f>
        <v>0</v>
      </c>
      <c r="S1233" s="11">
        <f t="shared" si="362"/>
        <v>0</v>
      </c>
      <c r="T1233" s="11">
        <f t="shared" si="363"/>
        <v>0</v>
      </c>
      <c r="U1233" s="11">
        <f>IF(A1232=A1233,0,VLOOKUP(A1233,'Packing Time'!A:F,6,0))</f>
        <v>0.64166666666666661</v>
      </c>
      <c r="V1233" s="11">
        <f t="shared" si="355"/>
        <v>0.21720416666666661</v>
      </c>
      <c r="W1233" s="11">
        <f t="shared" si="356"/>
        <v>1.0694444444444444E-2</v>
      </c>
      <c r="X1233" s="11">
        <f t="shared" si="364"/>
        <v>0.34752666666666659</v>
      </c>
      <c r="Y1233" s="11">
        <f t="shared" si="357"/>
        <v>0.34752666666666659</v>
      </c>
      <c r="Z1233" s="37">
        <v>1</v>
      </c>
      <c r="AA1233" s="36">
        <f t="shared" si="365"/>
        <v>0</v>
      </c>
      <c r="AB1233" s="36">
        <f t="shared" si="366"/>
        <v>0</v>
      </c>
      <c r="AC1233" s="11">
        <f t="shared" si="367"/>
        <v>1.7111111111111112E-2</v>
      </c>
      <c r="AD1233" s="36">
        <f t="shared" si="358"/>
        <v>0.34752666666666659</v>
      </c>
      <c r="AE1233" s="36"/>
      <c r="AF1233" s="36">
        <f>IFERROR(VLOOKUP(AE1233,'Chemical Cost'!A:D,4,0),0)</f>
        <v>0</v>
      </c>
      <c r="AG1233" s="114">
        <f t="shared" si="368"/>
        <v>0</v>
      </c>
      <c r="AH1233" s="36">
        <f t="shared" si="353"/>
        <v>0</v>
      </c>
      <c r="AI1233" s="36">
        <f t="shared" si="359"/>
        <v>0.34752666666666659</v>
      </c>
      <c r="AJ1233" s="36">
        <f>IFERROR(VLOOKUP(A1233,'All Products'!A:F,6,0),0)</f>
        <v>5.31</v>
      </c>
      <c r="AK1233" s="36">
        <f>AJ1233*Z1233*J1233</f>
        <v>5.31</v>
      </c>
      <c r="AL1233" s="29">
        <v>1</v>
      </c>
      <c r="AM1233" s="23"/>
      <c r="AN1233" s="54" t="e">
        <v>#N/A</v>
      </c>
      <c r="AO1233" s="47"/>
      <c r="AP1233" s="4">
        <v>1.6</v>
      </c>
      <c r="AQ1233" s="111">
        <f t="shared" si="369"/>
        <v>1.7111111111111112E-2</v>
      </c>
      <c r="AR1233">
        <f>_xlfn.XLOOKUP(F1233,'RM Cost'!A:A,'RM Cost'!S:S)</f>
        <v>0</v>
      </c>
      <c r="AS1233" t="e">
        <f>_xlfn.XLOOKUP(A1233,[3]Sheet1!$B:$B,[3]Sheet1!$B:$B)</f>
        <v>#N/A</v>
      </c>
    </row>
    <row r="1234" spans="1:46" x14ac:dyDescent="0.25">
      <c r="A1234" s="16" t="s">
        <v>1049</v>
      </c>
      <c r="B1234" s="2" t="s">
        <v>656</v>
      </c>
      <c r="C1234" s="2" t="s">
        <v>1050</v>
      </c>
      <c r="D1234" s="2" t="s">
        <v>554</v>
      </c>
      <c r="E1234" s="2">
        <v>1</v>
      </c>
      <c r="F1234" s="1" t="str">
        <f>VLOOKUP(H1234,'RM Used'!A:B,2,0)</f>
        <v>P0008</v>
      </c>
      <c r="G1234" s="1" t="str">
        <f>IFERROR(VLOOKUP(F1234,'RM Cost'!A:B,2,0),"")</f>
        <v>PALE BLUE BAG 470X750MM</v>
      </c>
      <c r="H1234" s="1" t="s">
        <v>1323</v>
      </c>
      <c r="I1234" s="1" t="str">
        <f>VLOOKUP(F1234,'RM Used'!B:D,3,0)</f>
        <v>RM-PACKING</v>
      </c>
      <c r="J1234" s="66">
        <v>1</v>
      </c>
      <c r="K1234" s="35" t="str">
        <f t="shared" si="354"/>
        <v/>
      </c>
      <c r="L1234" s="35">
        <f t="shared" si="361"/>
        <v>0</v>
      </c>
      <c r="M1234" s="77" t="str" cm="1">
        <f t="array" ref="M1234">_xlfn.IFS(BOM!I1234="RM-PACKING","100%",B1234="Reynolds",VLOOKUP(H1234,'Yield &amp; Time'!A:V,22,0),BOM!B1234="Dnata",VLOOKUP(BOM!H1234,'Yield &amp; Time'!A:M,13,0),B1234="NK",VLOOKUP(H1234,'Yield &amp; Time'!A:X,24,0))</f>
        <v>100%</v>
      </c>
      <c r="N1234" s="35">
        <f t="shared" si="360"/>
        <v>1</v>
      </c>
      <c r="O1234" s="1" t="str">
        <f>VLOOKUP(H1234,'RM Used'!A:E,5,0)</f>
        <v>Count</v>
      </c>
      <c r="P1234" s="11">
        <f>VLOOKUP(H1234,'RM Used'!A:F,6,0)</f>
        <v>0.14000000000000001</v>
      </c>
      <c r="Q1234" s="11">
        <f t="shared" si="370"/>
        <v>0.14000000000000001</v>
      </c>
      <c r="R1234" s="11">
        <f>IFERROR(IF(B1234="Reynolds",VLOOKUP(H1234,'Yield &amp; Time'!A:U,21,0),VLOOKUP(H1234,'Yield &amp; Time'!A:L,12,0)),0)</f>
        <v>0</v>
      </c>
      <c r="S1234" s="11">
        <f t="shared" si="362"/>
        <v>0</v>
      </c>
      <c r="T1234" s="11">
        <f t="shared" si="363"/>
        <v>0</v>
      </c>
      <c r="U1234" s="11">
        <f>IF(A1233=A1234,0,VLOOKUP(A1234,'Packing Time'!A:F,6,0))</f>
        <v>0</v>
      </c>
      <c r="V1234" s="11">
        <f t="shared" si="355"/>
        <v>0</v>
      </c>
      <c r="W1234" s="11">
        <f t="shared" si="356"/>
        <v>0</v>
      </c>
      <c r="X1234" s="11">
        <f t="shared" si="364"/>
        <v>0</v>
      </c>
      <c r="Y1234" s="11">
        <f t="shared" si="357"/>
        <v>0</v>
      </c>
      <c r="Z1234" s="37">
        <v>1</v>
      </c>
      <c r="AA1234" s="36">
        <f t="shared" si="365"/>
        <v>1</v>
      </c>
      <c r="AB1234" s="36">
        <f t="shared" si="366"/>
        <v>0.14000000000000001</v>
      </c>
      <c r="AC1234" s="11">
        <f t="shared" si="367"/>
        <v>0</v>
      </c>
      <c r="AD1234" s="36">
        <f t="shared" si="358"/>
        <v>0</v>
      </c>
      <c r="AE1234" s="36"/>
      <c r="AF1234" s="36">
        <f>IFERROR(VLOOKUP(AE1234,'Chemical Cost'!A:D,4,0),0)</f>
        <v>0</v>
      </c>
      <c r="AG1234" s="114">
        <f t="shared" si="368"/>
        <v>0</v>
      </c>
      <c r="AH1234" s="36">
        <f t="shared" si="353"/>
        <v>0</v>
      </c>
      <c r="AI1234" s="36">
        <f t="shared" si="359"/>
        <v>0.14000000000000001</v>
      </c>
      <c r="AJ1234" s="36">
        <f>IFERROR(VLOOKUP(A1234,'All Products'!A:F,6,0),0)</f>
        <v>5.31</v>
      </c>
      <c r="AK1234" s="36"/>
      <c r="AL1234" s="29">
        <v>1</v>
      </c>
      <c r="AM1234" s="23"/>
      <c r="AN1234" s="54" t="e">
        <v>#N/A</v>
      </c>
      <c r="AO1234" s="47"/>
      <c r="AP1234" s="4">
        <v>1.6</v>
      </c>
      <c r="AQ1234" s="111">
        <f t="shared" si="369"/>
        <v>0</v>
      </c>
      <c r="AR1234">
        <f>_xlfn.XLOOKUP(F1234,'RM Cost'!A:A,'RM Cost'!S:S)</f>
        <v>0</v>
      </c>
      <c r="AS1234" t="e">
        <f>_xlfn.XLOOKUP(A1234,[3]Sheet1!$B:$B,[3]Sheet1!$B:$B)</f>
        <v>#N/A</v>
      </c>
    </row>
    <row r="1235" spans="1:46" x14ac:dyDescent="0.25">
      <c r="A1235" s="16" t="s">
        <v>1051</v>
      </c>
      <c r="B1235" s="2" t="s">
        <v>656</v>
      </c>
      <c r="C1235" s="2" t="s">
        <v>1052</v>
      </c>
      <c r="D1235" s="2" t="s">
        <v>554</v>
      </c>
      <c r="E1235" s="2">
        <v>2.5</v>
      </c>
      <c r="F1235" s="1" t="str">
        <f>VLOOKUP(H1235,'RM Used'!A:B,2,0)</f>
        <v>3211CS</v>
      </c>
      <c r="G1235" s="1" t="str">
        <f>IFERROR(VLOOKUP(F1235,'RM Cost'!A:B,2,0),"")</f>
        <v>POTATO JUMBO WSHED 25KG</v>
      </c>
      <c r="H1235" s="2" t="s">
        <v>1631</v>
      </c>
      <c r="I1235" s="1" t="str">
        <f>VLOOKUP(F1235,'RM Used'!B:D,3,0)</f>
        <v>RM-FOOD</v>
      </c>
      <c r="J1235" s="66">
        <v>1</v>
      </c>
      <c r="K1235" s="35">
        <f t="shared" si="354"/>
        <v>2.5</v>
      </c>
      <c r="L1235" s="35">
        <f t="shared" si="361"/>
        <v>2.5</v>
      </c>
      <c r="M1235" s="77" cm="1">
        <f t="array" ref="M1235">_xlfn.IFS(BOM!I1235="RM-PACKING","100%",B1235="Reynolds",VLOOKUP(H1235,'Yield &amp; Time'!A:V,22,0),BOM!B1235="Dnata",VLOOKUP(BOM!H1235,'Yield &amp; Time'!A:M,13,0),B1235="NK",VLOOKUP(H1235,'Yield &amp; Time'!A:X,24,0))</f>
        <v>0</v>
      </c>
      <c r="N1235" s="35">
        <f t="shared" si="360"/>
        <v>0</v>
      </c>
      <c r="O1235" s="1" t="str">
        <f>VLOOKUP(H1235,'RM Used'!A:E,5,0)</f>
        <v>KG</v>
      </c>
      <c r="P1235" s="11">
        <f>VLOOKUP(H1235,'RM Used'!A:F,6,0)</f>
        <v>0.4</v>
      </c>
      <c r="Q1235" s="11">
        <f t="shared" si="370"/>
        <v>0</v>
      </c>
      <c r="R1235" s="11">
        <f>IFERROR(IF(B1235="Reynolds",VLOOKUP(H1235,'Yield &amp; Time'!A:U,21,0),VLOOKUP(H1235,'Yield &amp; Time'!A:L,12,0)),0)</f>
        <v>0</v>
      </c>
      <c r="S1235" s="11">
        <f t="shared" si="362"/>
        <v>0</v>
      </c>
      <c r="T1235" s="11">
        <f t="shared" si="363"/>
        <v>0</v>
      </c>
      <c r="U1235" s="11">
        <f>IF(A1234=A1235,0,VLOOKUP(A1235,'Packing Time'!A:F,6,0))</f>
        <v>0.875</v>
      </c>
      <c r="V1235" s="11">
        <f t="shared" si="355"/>
        <v>0.29618749999999999</v>
      </c>
      <c r="W1235" s="11">
        <f t="shared" si="356"/>
        <v>1.4583333333333334E-2</v>
      </c>
      <c r="X1235" s="11">
        <f t="shared" si="364"/>
        <v>0.47389999999999999</v>
      </c>
      <c r="Y1235" s="11">
        <f t="shared" si="357"/>
        <v>0.47389999999999999</v>
      </c>
      <c r="Z1235" s="37">
        <v>1</v>
      </c>
      <c r="AA1235" s="36">
        <f t="shared" si="365"/>
        <v>0</v>
      </c>
      <c r="AB1235" s="36">
        <f t="shared" si="366"/>
        <v>0</v>
      </c>
      <c r="AC1235" s="11">
        <f t="shared" si="367"/>
        <v>2.3333333333333334E-2</v>
      </c>
      <c r="AD1235" s="36">
        <f t="shared" si="358"/>
        <v>0.47389999999999999</v>
      </c>
      <c r="AE1235" s="36"/>
      <c r="AF1235" s="36">
        <f>IFERROR(VLOOKUP(AE1235,'Chemical Cost'!A:D,4,0),0)</f>
        <v>0</v>
      </c>
      <c r="AG1235" s="114">
        <f t="shared" si="368"/>
        <v>0</v>
      </c>
      <c r="AH1235" s="36">
        <f t="shared" si="353"/>
        <v>0</v>
      </c>
      <c r="AI1235" s="36">
        <f t="shared" si="359"/>
        <v>0.47389999999999999</v>
      </c>
      <c r="AJ1235" s="36">
        <f>IFERROR(VLOOKUP(A1235,'All Products'!A:F,6,0),0)</f>
        <v>13.29</v>
      </c>
      <c r="AK1235" s="36">
        <f>AJ1235*Z1235*J1235</f>
        <v>13.29</v>
      </c>
      <c r="AL1235" s="29">
        <v>1</v>
      </c>
      <c r="AM1235" s="23"/>
      <c r="AN1235" s="54" t="e">
        <v>#N/A</v>
      </c>
      <c r="AO1235" s="47"/>
      <c r="AP1235" s="4">
        <v>1.6</v>
      </c>
      <c r="AQ1235" s="111">
        <f t="shared" si="369"/>
        <v>2.3333333333333334E-2</v>
      </c>
      <c r="AR1235">
        <f>_xlfn.XLOOKUP(F1235,'RM Cost'!A:A,'RM Cost'!S:S)</f>
        <v>0</v>
      </c>
      <c r="AS1235" t="e">
        <f>_xlfn.XLOOKUP(A1235,[3]Sheet1!$B:$B,[3]Sheet1!$B:$B)</f>
        <v>#N/A</v>
      </c>
    </row>
    <row r="1236" spans="1:46" x14ac:dyDescent="0.25">
      <c r="A1236" s="16" t="s">
        <v>1051</v>
      </c>
      <c r="B1236" s="2" t="s">
        <v>656</v>
      </c>
      <c r="C1236" s="2" t="s">
        <v>1052</v>
      </c>
      <c r="D1236" s="2" t="s">
        <v>554</v>
      </c>
      <c r="E1236" s="2">
        <v>2.5</v>
      </c>
      <c r="F1236" s="1" t="str">
        <f>VLOOKUP(H1236,'RM Used'!A:B,2,0)</f>
        <v>P0008</v>
      </c>
      <c r="G1236" s="1" t="str">
        <f>IFERROR(VLOOKUP(F1236,'RM Cost'!A:B,2,0),"")</f>
        <v>PALE BLUE BAG 470X750MM</v>
      </c>
      <c r="H1236" s="1" t="s">
        <v>1323</v>
      </c>
      <c r="I1236" s="1" t="str">
        <f>VLOOKUP(F1236,'RM Used'!B:D,3,0)</f>
        <v>RM-PACKING</v>
      </c>
      <c r="J1236" s="66">
        <v>1</v>
      </c>
      <c r="K1236" s="35" t="str">
        <f t="shared" si="354"/>
        <v/>
      </c>
      <c r="L1236" s="35">
        <f t="shared" si="361"/>
        <v>0</v>
      </c>
      <c r="M1236" s="77" t="str" cm="1">
        <f t="array" ref="M1236">_xlfn.IFS(BOM!I1236="RM-PACKING","100%",B1236="Reynolds",VLOOKUP(H1236,'Yield &amp; Time'!A:V,22,0),BOM!B1236="Dnata",VLOOKUP(BOM!H1236,'Yield &amp; Time'!A:M,13,0),B1236="NK",VLOOKUP(H1236,'Yield &amp; Time'!A:X,24,0))</f>
        <v>100%</v>
      </c>
      <c r="N1236" s="35">
        <f t="shared" si="360"/>
        <v>1</v>
      </c>
      <c r="O1236" s="1" t="str">
        <f>VLOOKUP(H1236,'RM Used'!A:E,5,0)</f>
        <v>Count</v>
      </c>
      <c r="P1236" s="11">
        <f>VLOOKUP(H1236,'RM Used'!A:F,6,0)</f>
        <v>0.14000000000000001</v>
      </c>
      <c r="Q1236" s="11">
        <f t="shared" si="370"/>
        <v>0.14000000000000001</v>
      </c>
      <c r="R1236" s="11">
        <f>IFERROR(IF(B1236="Reynolds",VLOOKUP(H1236,'Yield &amp; Time'!A:U,21,0),VLOOKUP(H1236,'Yield &amp; Time'!A:L,12,0)),0)</f>
        <v>0</v>
      </c>
      <c r="S1236" s="11">
        <f t="shared" si="362"/>
        <v>0</v>
      </c>
      <c r="T1236" s="11">
        <f t="shared" si="363"/>
        <v>0</v>
      </c>
      <c r="U1236" s="11">
        <f>IF(A1235=A1236,0,VLOOKUP(A1236,'Packing Time'!A:F,6,0))</f>
        <v>0</v>
      </c>
      <c r="V1236" s="11">
        <f t="shared" si="355"/>
        <v>0</v>
      </c>
      <c r="W1236" s="11">
        <f t="shared" si="356"/>
        <v>0</v>
      </c>
      <c r="X1236" s="11">
        <f t="shared" si="364"/>
        <v>0</v>
      </c>
      <c r="Y1236" s="11">
        <f t="shared" si="357"/>
        <v>0</v>
      </c>
      <c r="Z1236" s="37">
        <v>1</v>
      </c>
      <c r="AA1236" s="36">
        <f t="shared" si="365"/>
        <v>1</v>
      </c>
      <c r="AB1236" s="36">
        <f t="shared" si="366"/>
        <v>0.14000000000000001</v>
      </c>
      <c r="AC1236" s="11">
        <f t="shared" si="367"/>
        <v>0</v>
      </c>
      <c r="AD1236" s="36">
        <f t="shared" si="358"/>
        <v>0</v>
      </c>
      <c r="AE1236" s="36"/>
      <c r="AF1236" s="36">
        <f>IFERROR(VLOOKUP(AE1236,'Chemical Cost'!A:D,4,0),0)</f>
        <v>0</v>
      </c>
      <c r="AG1236" s="114">
        <f t="shared" si="368"/>
        <v>0</v>
      </c>
      <c r="AH1236" s="36">
        <f t="shared" si="353"/>
        <v>0</v>
      </c>
      <c r="AI1236" s="36">
        <f t="shared" si="359"/>
        <v>0.14000000000000001</v>
      </c>
      <c r="AJ1236" s="36">
        <f>IFERROR(VLOOKUP(A1236,'All Products'!A:F,6,0),0)</f>
        <v>13.29</v>
      </c>
      <c r="AK1236" s="36"/>
      <c r="AL1236" s="29">
        <v>1</v>
      </c>
      <c r="AM1236" s="23"/>
      <c r="AN1236" s="54" t="e">
        <v>#N/A</v>
      </c>
      <c r="AO1236" s="47"/>
      <c r="AP1236" s="4">
        <v>1.6</v>
      </c>
      <c r="AQ1236" s="111">
        <f t="shared" si="369"/>
        <v>0</v>
      </c>
      <c r="AR1236">
        <f>_xlfn.XLOOKUP(F1236,'RM Cost'!A:A,'RM Cost'!S:S)</f>
        <v>0</v>
      </c>
      <c r="AS1236" t="e">
        <f>_xlfn.XLOOKUP(A1236,[3]Sheet1!$B:$B,[3]Sheet1!$B:$B)</f>
        <v>#N/A</v>
      </c>
    </row>
    <row r="1237" spans="1:46" x14ac:dyDescent="0.25">
      <c r="A1237" s="16" t="s">
        <v>462</v>
      </c>
      <c r="B1237" s="2" t="s">
        <v>656</v>
      </c>
      <c r="C1237" s="2" t="s">
        <v>463</v>
      </c>
      <c r="D1237" s="2" t="s">
        <v>554</v>
      </c>
      <c r="E1237" s="2">
        <v>1</v>
      </c>
      <c r="F1237" s="1" t="str">
        <f>VLOOKUP(H1237,'RM Used'!A:B,2,0)</f>
        <v>3221CS</v>
      </c>
      <c r="G1237" s="1" t="str">
        <f>IFERROR(VLOOKUP(F1237,'RM Cost'!A:B,2,0),"")</f>
        <v>BAKING POTATO X50 EA</v>
      </c>
      <c r="H1237" s="2" t="s">
        <v>1632</v>
      </c>
      <c r="I1237" s="1" t="str">
        <f>VLOOKUP(F1237,'RM Used'!B:D,3,0)</f>
        <v>RM-FOOD</v>
      </c>
      <c r="J1237" s="66">
        <v>1</v>
      </c>
      <c r="K1237" s="35">
        <f t="shared" si="354"/>
        <v>1</v>
      </c>
      <c r="L1237" s="35">
        <f t="shared" si="361"/>
        <v>1</v>
      </c>
      <c r="M1237" s="77" cm="1">
        <f t="array" ref="M1237">_xlfn.IFS(BOM!I1237="RM-PACKING","100%",B1237="Reynolds",VLOOKUP(H1237,'Yield &amp; Time'!A:V,22,0),BOM!B1237="Dnata",VLOOKUP(BOM!H1237,'Yield &amp; Time'!A:M,13,0),B1237="NK",VLOOKUP(H1237,'Yield &amp; Time'!A:X,24,0))</f>
        <v>0.33870967741935487</v>
      </c>
      <c r="N1237" s="35">
        <f t="shared" si="360"/>
        <v>2.9523809523809521</v>
      </c>
      <c r="O1237" s="1" t="str">
        <f>VLOOKUP(H1237,'RM Used'!A:E,5,0)</f>
        <v>KG</v>
      </c>
      <c r="P1237" s="11">
        <f>VLOOKUP(H1237,'RM Used'!A:F,6,0)</f>
        <v>0.57000000000000006</v>
      </c>
      <c r="Q1237" s="11">
        <f t="shared" si="370"/>
        <v>1.6828571428571428</v>
      </c>
      <c r="R1237" s="11">
        <f>IFERROR(IF(B1237="Reynolds",VLOOKUP(H1237,'Yield &amp; Time'!A:U,21,0),VLOOKUP(H1237,'Yield &amp; Time'!A:L,12,0)),0)</f>
        <v>7.9682539682539684</v>
      </c>
      <c r="S1237" s="11">
        <f t="shared" si="362"/>
        <v>2.697253968253968</v>
      </c>
      <c r="T1237" s="11">
        <f t="shared" si="363"/>
        <v>0.13280423280423281</v>
      </c>
      <c r="U1237" s="11">
        <f>IF(A1236=A1237,0,VLOOKUP(A1237,'Packing Time'!A:F,6,0))</f>
        <v>0.64166666666666661</v>
      </c>
      <c r="V1237" s="11">
        <f t="shared" si="355"/>
        <v>0.21720416666666661</v>
      </c>
      <c r="W1237" s="11">
        <f t="shared" si="356"/>
        <v>1.0694444444444444E-2</v>
      </c>
      <c r="X1237" s="11">
        <f t="shared" si="364"/>
        <v>4.6631330158730151</v>
      </c>
      <c r="Y1237" s="11">
        <f t="shared" si="357"/>
        <v>4.6631330158730151</v>
      </c>
      <c r="Z1237" s="37">
        <v>1</v>
      </c>
      <c r="AA1237" s="36">
        <f t="shared" si="365"/>
        <v>2.9523809523809521</v>
      </c>
      <c r="AB1237" s="36">
        <f t="shared" si="366"/>
        <v>1.6828571428571428</v>
      </c>
      <c r="AC1237" s="11">
        <f t="shared" si="367"/>
        <v>0.22959788359788358</v>
      </c>
      <c r="AD1237" s="36">
        <f t="shared" si="358"/>
        <v>4.6631330158730151</v>
      </c>
      <c r="AE1237" s="36"/>
      <c r="AF1237" s="36">
        <f>IFERROR(VLOOKUP(AE1237,'Chemical Cost'!A:D,4,0),0)</f>
        <v>0</v>
      </c>
      <c r="AG1237" s="114">
        <f t="shared" si="368"/>
        <v>0</v>
      </c>
      <c r="AH1237" s="36">
        <f t="shared" si="353"/>
        <v>0</v>
      </c>
      <c r="AI1237" s="36">
        <f t="shared" si="359"/>
        <v>6.3459901587301584</v>
      </c>
      <c r="AJ1237" s="36">
        <f>IFERROR(VLOOKUP(A1237,'All Products'!A:F,6,0),0)</f>
        <v>4.04</v>
      </c>
      <c r="AK1237" s="36">
        <f>AJ1237*Z1237*J1237</f>
        <v>4.04</v>
      </c>
      <c r="AL1237" s="29">
        <v>1</v>
      </c>
      <c r="AM1237" s="23"/>
      <c r="AN1237" s="54" t="e">
        <v>#N/A</v>
      </c>
      <c r="AO1237" s="47"/>
      <c r="AP1237" s="4">
        <v>1.6</v>
      </c>
      <c r="AQ1237" s="111">
        <f t="shared" si="369"/>
        <v>0.22959788359788358</v>
      </c>
      <c r="AR1237">
        <f>_xlfn.XLOOKUP(F1237,'RM Cost'!A:A,'RM Cost'!S:S)</f>
        <v>0</v>
      </c>
      <c r="AS1237" t="str">
        <f>_xlfn.XLOOKUP(A1237,[3]Sheet1!$B:$B,[3]Sheet1!$B:$B)</f>
        <v>Z054CS</v>
      </c>
      <c r="AT1237">
        <f>_xlfn.XLOOKUP(H1237,'Yield &amp; Time'!A:A,'Yield &amp; Time'!F:F)</f>
        <v>0</v>
      </c>
    </row>
    <row r="1238" spans="1:46" x14ac:dyDescent="0.25">
      <c r="A1238" s="16" t="s">
        <v>462</v>
      </c>
      <c r="B1238" s="2" t="s">
        <v>656</v>
      </c>
      <c r="C1238" s="2" t="s">
        <v>463</v>
      </c>
      <c r="D1238" s="2" t="s">
        <v>554</v>
      </c>
      <c r="E1238" s="2">
        <v>1</v>
      </c>
      <c r="F1238" s="1" t="str">
        <f>VLOOKUP(H1238,'RM Used'!A:B,2,0)</f>
        <v>P0008</v>
      </c>
      <c r="G1238" s="1" t="str">
        <f>IFERROR(VLOOKUP(F1238,'RM Cost'!A:B,2,0),"")</f>
        <v>PALE BLUE BAG 470X750MM</v>
      </c>
      <c r="H1238" s="1" t="s">
        <v>1323</v>
      </c>
      <c r="I1238" s="1" t="str">
        <f>VLOOKUP(F1238,'RM Used'!B:D,3,0)</f>
        <v>RM-PACKING</v>
      </c>
      <c r="J1238" s="66">
        <v>1</v>
      </c>
      <c r="K1238" s="35" t="str">
        <f t="shared" si="354"/>
        <v/>
      </c>
      <c r="L1238" s="35">
        <f t="shared" si="361"/>
        <v>0</v>
      </c>
      <c r="M1238" s="77" t="str" cm="1">
        <f t="array" ref="M1238">_xlfn.IFS(BOM!I1238="RM-PACKING","100%",B1238="Reynolds",VLOOKUP(H1238,'Yield &amp; Time'!A:V,22,0),BOM!B1238="Dnata",VLOOKUP(BOM!H1238,'Yield &amp; Time'!A:M,13,0),B1238="NK",VLOOKUP(H1238,'Yield &amp; Time'!A:X,24,0))</f>
        <v>100%</v>
      </c>
      <c r="N1238" s="35">
        <f t="shared" si="360"/>
        <v>1</v>
      </c>
      <c r="O1238" s="1" t="str">
        <f>VLOOKUP(H1238,'RM Used'!A:E,5,0)</f>
        <v>Count</v>
      </c>
      <c r="P1238" s="11">
        <f>VLOOKUP(H1238,'RM Used'!A:F,6,0)</f>
        <v>0.14000000000000001</v>
      </c>
      <c r="Q1238" s="11">
        <f t="shared" si="370"/>
        <v>0.14000000000000001</v>
      </c>
      <c r="R1238" s="11">
        <f>IFERROR(IF(B1238="Reynolds",VLOOKUP(H1238,'Yield &amp; Time'!A:U,21,0),VLOOKUP(H1238,'Yield &amp; Time'!A:L,12,0)),0)</f>
        <v>0</v>
      </c>
      <c r="S1238" s="11">
        <f t="shared" si="362"/>
        <v>0</v>
      </c>
      <c r="T1238" s="11">
        <f t="shared" si="363"/>
        <v>0</v>
      </c>
      <c r="U1238" s="11">
        <f>IF(A1237=A1238,0,VLOOKUP(A1238,'Packing Time'!A:F,6,0))</f>
        <v>0</v>
      </c>
      <c r="V1238" s="11">
        <f t="shared" si="355"/>
        <v>0</v>
      </c>
      <c r="W1238" s="11">
        <f t="shared" si="356"/>
        <v>0</v>
      </c>
      <c r="X1238" s="11">
        <f t="shared" si="364"/>
        <v>0</v>
      </c>
      <c r="Y1238" s="11">
        <f t="shared" si="357"/>
        <v>0</v>
      </c>
      <c r="Z1238" s="37">
        <v>1</v>
      </c>
      <c r="AA1238" s="36">
        <f t="shared" si="365"/>
        <v>1</v>
      </c>
      <c r="AB1238" s="36">
        <f t="shared" si="366"/>
        <v>0.14000000000000001</v>
      </c>
      <c r="AC1238" s="11">
        <f t="shared" si="367"/>
        <v>0</v>
      </c>
      <c r="AD1238" s="36">
        <f t="shared" si="358"/>
        <v>0</v>
      </c>
      <c r="AE1238" s="36"/>
      <c r="AF1238" s="36">
        <f>IFERROR(VLOOKUP(AE1238,'Chemical Cost'!A:D,4,0),0)</f>
        <v>0</v>
      </c>
      <c r="AG1238" s="114">
        <f t="shared" si="368"/>
        <v>0</v>
      </c>
      <c r="AH1238" s="36">
        <f t="shared" si="353"/>
        <v>0</v>
      </c>
      <c r="AI1238" s="36">
        <f t="shared" si="359"/>
        <v>0.14000000000000001</v>
      </c>
      <c r="AJ1238" s="36">
        <f>IFERROR(VLOOKUP(A1238,'All Products'!A:F,6,0),0)</f>
        <v>4.04</v>
      </c>
      <c r="AK1238" s="36"/>
      <c r="AL1238" s="29">
        <v>1</v>
      </c>
      <c r="AM1238" s="23"/>
      <c r="AN1238" s="54" t="e">
        <v>#N/A</v>
      </c>
      <c r="AO1238" s="47"/>
      <c r="AP1238" s="4">
        <v>1.6</v>
      </c>
      <c r="AQ1238" s="111">
        <f t="shared" si="369"/>
        <v>0</v>
      </c>
      <c r="AR1238">
        <f>_xlfn.XLOOKUP(F1238,'RM Cost'!A:A,'RM Cost'!S:S)</f>
        <v>0</v>
      </c>
      <c r="AS1238" t="str">
        <f>_xlfn.XLOOKUP(A1238,[3]Sheet1!$B:$B,[3]Sheet1!$B:$B)</f>
        <v>Z054CS</v>
      </c>
      <c r="AT1238" t="e">
        <f>_xlfn.XLOOKUP(H1238,'Yield &amp; Time'!A:A,'Yield &amp; Time'!F:F)</f>
        <v>#N/A</v>
      </c>
    </row>
    <row r="1239" spans="1:46" x14ac:dyDescent="0.25">
      <c r="A1239" s="16" t="s">
        <v>1053</v>
      </c>
      <c r="B1239" s="2" t="s">
        <v>656</v>
      </c>
      <c r="C1239" s="2" t="s">
        <v>1054</v>
      </c>
      <c r="D1239" s="2" t="s">
        <v>554</v>
      </c>
      <c r="E1239" s="2">
        <v>2.5</v>
      </c>
      <c r="F1239" s="1" t="str">
        <f>VLOOKUP(H1239,'RM Used'!A:B,2,0)</f>
        <v>3221CS</v>
      </c>
      <c r="G1239" s="1" t="str">
        <f>IFERROR(VLOOKUP(F1239,'RM Cost'!A:B,2,0),"")</f>
        <v>BAKING POTATO X50 EA</v>
      </c>
      <c r="H1239" s="2" t="s">
        <v>1632</v>
      </c>
      <c r="I1239" s="1" t="str">
        <f>VLOOKUP(F1239,'RM Used'!B:D,3,0)</f>
        <v>RM-FOOD</v>
      </c>
      <c r="J1239" s="66">
        <v>1</v>
      </c>
      <c r="K1239" s="35">
        <f t="shared" si="354"/>
        <v>2.5</v>
      </c>
      <c r="L1239" s="35">
        <f t="shared" si="361"/>
        <v>2.5</v>
      </c>
      <c r="M1239" s="77" cm="1">
        <f t="array" ref="M1239">_xlfn.IFS(BOM!I1239="RM-PACKING","100%",B1239="Reynolds",VLOOKUP(H1239,'Yield &amp; Time'!A:V,22,0),BOM!B1239="Dnata",VLOOKUP(BOM!H1239,'Yield &amp; Time'!A:M,13,0),B1239="NK",VLOOKUP(H1239,'Yield &amp; Time'!A:X,24,0))</f>
        <v>0.33870967741935487</v>
      </c>
      <c r="N1239" s="35">
        <f t="shared" si="360"/>
        <v>7.3809523809523805</v>
      </c>
      <c r="O1239" s="1" t="str">
        <f>VLOOKUP(H1239,'RM Used'!A:E,5,0)</f>
        <v>KG</v>
      </c>
      <c r="P1239" s="11">
        <f>VLOOKUP(H1239,'RM Used'!A:F,6,0)</f>
        <v>0.57000000000000006</v>
      </c>
      <c r="Q1239" s="11">
        <f t="shared" si="370"/>
        <v>4.2071428571428573</v>
      </c>
      <c r="R1239" s="11">
        <f>IFERROR(IF(B1239="Reynolds",VLOOKUP(H1239,'Yield &amp; Time'!A:U,21,0),VLOOKUP(H1239,'Yield &amp; Time'!A:L,12,0)),0)</f>
        <v>7.9682539682539684</v>
      </c>
      <c r="S1239" s="11">
        <f t="shared" si="362"/>
        <v>6.7431349206349198</v>
      </c>
      <c r="T1239" s="11">
        <f t="shared" si="363"/>
        <v>0.33201058201058203</v>
      </c>
      <c r="U1239" s="11">
        <f>IF(A1238=A1239,0,VLOOKUP(A1239,'Packing Time'!A:F,6,0))</f>
        <v>0.875</v>
      </c>
      <c r="V1239" s="11">
        <f t="shared" si="355"/>
        <v>0.29618749999999999</v>
      </c>
      <c r="W1239" s="11">
        <f t="shared" si="356"/>
        <v>1.4583333333333334E-2</v>
      </c>
      <c r="X1239" s="11">
        <f t="shared" si="364"/>
        <v>11.262915873015872</v>
      </c>
      <c r="Y1239" s="11">
        <f t="shared" si="357"/>
        <v>11.262915873015872</v>
      </c>
      <c r="Z1239" s="37">
        <v>1</v>
      </c>
      <c r="AA1239" s="36">
        <f t="shared" si="365"/>
        <v>7.3809523809523805</v>
      </c>
      <c r="AB1239" s="36">
        <f t="shared" si="366"/>
        <v>4.2071428571428573</v>
      </c>
      <c r="AC1239" s="11">
        <f t="shared" si="367"/>
        <v>0.55455026455026457</v>
      </c>
      <c r="AD1239" s="36">
        <f t="shared" si="358"/>
        <v>11.262915873015872</v>
      </c>
      <c r="AE1239" s="36"/>
      <c r="AF1239" s="36">
        <f>IFERROR(VLOOKUP(AE1239,'Chemical Cost'!A:D,4,0),0)</f>
        <v>0</v>
      </c>
      <c r="AG1239" s="114">
        <f t="shared" si="368"/>
        <v>0</v>
      </c>
      <c r="AH1239" s="36">
        <f t="shared" ref="AH1239:AH1302" si="371">AF1239*AA1239/3</f>
        <v>0</v>
      </c>
      <c r="AI1239" s="36">
        <f t="shared" si="359"/>
        <v>15.47005873015873</v>
      </c>
      <c r="AJ1239" s="36">
        <f>IFERROR(VLOOKUP(A1239,'All Products'!A:F,6,0),0)</f>
        <v>9.7799999999999994</v>
      </c>
      <c r="AK1239" s="36">
        <f>AJ1239*Z1239*J1239</f>
        <v>9.7799999999999994</v>
      </c>
      <c r="AL1239" s="29">
        <v>1</v>
      </c>
      <c r="AM1239" s="23"/>
      <c r="AN1239" s="54" t="e">
        <v>#N/A</v>
      </c>
      <c r="AO1239" s="47"/>
      <c r="AP1239" s="4">
        <v>1.6</v>
      </c>
      <c r="AQ1239" s="111">
        <f t="shared" si="369"/>
        <v>0.55455026455026457</v>
      </c>
      <c r="AR1239">
        <f>_xlfn.XLOOKUP(F1239,'RM Cost'!A:A,'RM Cost'!S:S)</f>
        <v>0</v>
      </c>
      <c r="AS1239" t="str">
        <f>_xlfn.XLOOKUP(A1239,[3]Sheet1!$B:$B,[3]Sheet1!$B:$B)</f>
        <v>Z053CS</v>
      </c>
      <c r="AT1239">
        <f>_xlfn.XLOOKUP(H1239,'Yield &amp; Time'!A:A,'Yield &amp; Time'!F:F)</f>
        <v>0</v>
      </c>
    </row>
    <row r="1240" spans="1:46" x14ac:dyDescent="0.25">
      <c r="A1240" s="16" t="s">
        <v>1053</v>
      </c>
      <c r="B1240" s="2" t="s">
        <v>656</v>
      </c>
      <c r="C1240" s="2" t="s">
        <v>1054</v>
      </c>
      <c r="D1240" s="2" t="s">
        <v>554</v>
      </c>
      <c r="E1240" s="2">
        <v>2.5</v>
      </c>
      <c r="F1240" s="1" t="str">
        <f>VLOOKUP(H1240,'RM Used'!A:B,2,0)</f>
        <v>P0008</v>
      </c>
      <c r="G1240" s="1" t="str">
        <f>IFERROR(VLOOKUP(F1240,'RM Cost'!A:B,2,0),"")</f>
        <v>PALE BLUE BAG 470X750MM</v>
      </c>
      <c r="H1240" s="1" t="s">
        <v>1323</v>
      </c>
      <c r="I1240" s="1" t="str">
        <f>VLOOKUP(F1240,'RM Used'!B:D,3,0)</f>
        <v>RM-PACKING</v>
      </c>
      <c r="J1240" s="66">
        <v>1</v>
      </c>
      <c r="K1240" s="35" t="str">
        <f t="shared" si="354"/>
        <v/>
      </c>
      <c r="L1240" s="35">
        <f t="shared" si="361"/>
        <v>0</v>
      </c>
      <c r="M1240" s="77" t="str" cm="1">
        <f t="array" ref="M1240">_xlfn.IFS(BOM!I1240="RM-PACKING","100%",B1240="Reynolds",VLOOKUP(H1240,'Yield &amp; Time'!A:V,22,0),BOM!B1240="Dnata",VLOOKUP(BOM!H1240,'Yield &amp; Time'!A:M,13,0),B1240="NK",VLOOKUP(H1240,'Yield &amp; Time'!A:X,24,0))</f>
        <v>100%</v>
      </c>
      <c r="N1240" s="35">
        <f t="shared" si="360"/>
        <v>1</v>
      </c>
      <c r="O1240" s="1" t="str">
        <f>VLOOKUP(H1240,'RM Used'!A:E,5,0)</f>
        <v>Count</v>
      </c>
      <c r="P1240" s="11">
        <f>VLOOKUP(H1240,'RM Used'!A:F,6,0)</f>
        <v>0.14000000000000001</v>
      </c>
      <c r="Q1240" s="11">
        <f t="shared" si="370"/>
        <v>0.14000000000000001</v>
      </c>
      <c r="R1240" s="11">
        <f>IFERROR(IF(B1240="Reynolds",VLOOKUP(H1240,'Yield &amp; Time'!A:U,21,0),VLOOKUP(H1240,'Yield &amp; Time'!A:L,12,0)),0)</f>
        <v>0</v>
      </c>
      <c r="S1240" s="11">
        <f t="shared" si="362"/>
        <v>0</v>
      </c>
      <c r="T1240" s="11">
        <f t="shared" si="363"/>
        <v>0</v>
      </c>
      <c r="U1240" s="11">
        <f>IF(A1239=A1240,0,VLOOKUP(A1240,'Packing Time'!A:F,6,0))</f>
        <v>0</v>
      </c>
      <c r="V1240" s="11">
        <f t="shared" si="355"/>
        <v>0</v>
      </c>
      <c r="W1240" s="11">
        <f t="shared" si="356"/>
        <v>0</v>
      </c>
      <c r="X1240" s="11">
        <f t="shared" si="364"/>
        <v>0</v>
      </c>
      <c r="Y1240" s="11">
        <f t="shared" si="357"/>
        <v>0</v>
      </c>
      <c r="Z1240" s="37">
        <v>1</v>
      </c>
      <c r="AA1240" s="36">
        <f t="shared" si="365"/>
        <v>1</v>
      </c>
      <c r="AB1240" s="36">
        <f t="shared" si="366"/>
        <v>0.14000000000000001</v>
      </c>
      <c r="AC1240" s="11">
        <f t="shared" si="367"/>
        <v>0</v>
      </c>
      <c r="AD1240" s="36">
        <f t="shared" si="358"/>
        <v>0</v>
      </c>
      <c r="AE1240" s="36"/>
      <c r="AF1240" s="36">
        <f>IFERROR(VLOOKUP(AE1240,'Chemical Cost'!A:D,4,0),0)</f>
        <v>0</v>
      </c>
      <c r="AG1240" s="114">
        <f t="shared" si="368"/>
        <v>0</v>
      </c>
      <c r="AH1240" s="36">
        <f t="shared" si="371"/>
        <v>0</v>
      </c>
      <c r="AI1240" s="36">
        <f t="shared" si="359"/>
        <v>0.14000000000000001</v>
      </c>
      <c r="AJ1240" s="36">
        <f>IFERROR(VLOOKUP(A1240,'All Products'!A:F,6,0),0)</f>
        <v>9.7799999999999994</v>
      </c>
      <c r="AK1240" s="36"/>
      <c r="AL1240" s="29">
        <v>1</v>
      </c>
      <c r="AM1240" s="23"/>
      <c r="AN1240" s="54" t="e">
        <v>#N/A</v>
      </c>
      <c r="AO1240" s="47"/>
      <c r="AP1240" s="4">
        <v>1.6</v>
      </c>
      <c r="AQ1240" s="111">
        <f t="shared" si="369"/>
        <v>0</v>
      </c>
      <c r="AR1240">
        <f>_xlfn.XLOOKUP(F1240,'RM Cost'!A:A,'RM Cost'!S:S)</f>
        <v>0</v>
      </c>
      <c r="AS1240" t="str">
        <f>_xlfn.XLOOKUP(A1240,[3]Sheet1!$B:$B,[3]Sheet1!$B:$B)</f>
        <v>Z053CS</v>
      </c>
      <c r="AT1240" t="e">
        <f>_xlfn.XLOOKUP(H1240,'Yield &amp; Time'!A:A,'Yield &amp; Time'!F:F)</f>
        <v>#N/A</v>
      </c>
    </row>
    <row r="1241" spans="1:46" x14ac:dyDescent="0.25">
      <c r="A1241" s="16" t="s">
        <v>1055</v>
      </c>
      <c r="B1241" s="2" t="s">
        <v>656</v>
      </c>
      <c r="C1241" s="2" t="s">
        <v>1056</v>
      </c>
      <c r="D1241" s="2" t="s">
        <v>554</v>
      </c>
      <c r="E1241" s="2">
        <v>1</v>
      </c>
      <c r="F1241" s="1" t="str">
        <f>VLOOKUP(H1241,'RM Used'!A:B,2,0)</f>
        <v>3210CS</v>
      </c>
      <c r="G1241" s="1" t="str">
        <f>IFERROR(VLOOKUP(F1241,'RM Cost'!A:B,2,0),"")</f>
        <v>RM - POTATOES WARE 25KG</v>
      </c>
      <c r="H1241" s="2" t="s">
        <v>1633</v>
      </c>
      <c r="I1241" s="1" t="str">
        <f>VLOOKUP(F1241,'RM Used'!B:D,3,0)</f>
        <v>RM-FOOD</v>
      </c>
      <c r="J1241" s="66">
        <v>1</v>
      </c>
      <c r="K1241" s="35">
        <f t="shared" si="354"/>
        <v>1</v>
      </c>
      <c r="L1241" s="35">
        <f t="shared" si="361"/>
        <v>1</v>
      </c>
      <c r="M1241" s="77" cm="1">
        <f t="array" ref="M1241">_xlfn.IFS(BOM!I1241="RM-PACKING","100%",B1241="Reynolds",VLOOKUP(H1241,'Yield &amp; Time'!A:V,22,0),BOM!B1241="Dnata",VLOOKUP(BOM!H1241,'Yield &amp; Time'!A:M,13,0),B1241="NK",VLOOKUP(H1241,'Yield &amp; Time'!A:X,24,0))</f>
        <v>0</v>
      </c>
      <c r="N1241" s="35">
        <f t="shared" si="360"/>
        <v>0</v>
      </c>
      <c r="O1241" s="1" t="str">
        <f>VLOOKUP(H1241,'RM Used'!A:E,5,0)</f>
        <v>KG</v>
      </c>
      <c r="P1241" s="11">
        <f>VLOOKUP(H1241,'RM Used'!A:F,6,0)</f>
        <v>0.27</v>
      </c>
      <c r="Q1241" s="11">
        <f t="shared" si="370"/>
        <v>0</v>
      </c>
      <c r="R1241" s="11">
        <f>IFERROR(IF(B1241="Reynolds",VLOOKUP(H1241,'Yield &amp; Time'!A:U,21,0),VLOOKUP(H1241,'Yield &amp; Time'!A:L,12,0)),0)</f>
        <v>0.1</v>
      </c>
      <c r="S1241" s="11">
        <f t="shared" si="362"/>
        <v>3.3849999999999998E-2</v>
      </c>
      <c r="T1241" s="11">
        <f t="shared" si="363"/>
        <v>1.6666666666666668E-3</v>
      </c>
      <c r="U1241" s="11">
        <f>IF(A1240=A1241,0,VLOOKUP(A1241,'Packing Time'!A:F,6,0))</f>
        <v>0.64166666666666661</v>
      </c>
      <c r="V1241" s="11">
        <f t="shared" si="355"/>
        <v>0.21720416666666661</v>
      </c>
      <c r="W1241" s="11">
        <f t="shared" si="356"/>
        <v>1.0694444444444444E-2</v>
      </c>
      <c r="X1241" s="11">
        <f t="shared" si="364"/>
        <v>0.40168666666666664</v>
      </c>
      <c r="Y1241" s="11">
        <f t="shared" si="357"/>
        <v>0.40168666666666664</v>
      </c>
      <c r="Z1241" s="37">
        <v>1</v>
      </c>
      <c r="AA1241" s="36">
        <f t="shared" si="365"/>
        <v>0</v>
      </c>
      <c r="AB1241" s="36">
        <f t="shared" si="366"/>
        <v>0</v>
      </c>
      <c r="AC1241" s="11">
        <f t="shared" si="367"/>
        <v>1.9777777777777776E-2</v>
      </c>
      <c r="AD1241" s="36">
        <f t="shared" si="358"/>
        <v>0.40168666666666658</v>
      </c>
      <c r="AE1241" s="36" t="str">
        <f>VLOOKUP(H1241,'Yield &amp; Time'!A:I,9,0)</f>
        <v>SODIUM METABISULPHITE</v>
      </c>
      <c r="AF1241" s="36">
        <f>IFERROR(VLOOKUP(AE1241,'Chemical Cost'!A:D,4,0),0)</f>
        <v>9.7586225455882462E-3</v>
      </c>
      <c r="AG1241" s="114">
        <f t="shared" si="368"/>
        <v>0</v>
      </c>
      <c r="AH1241" s="36">
        <f t="shared" si="371"/>
        <v>0</v>
      </c>
      <c r="AI1241" s="36">
        <f t="shared" si="359"/>
        <v>0.40168666666666664</v>
      </c>
      <c r="AJ1241" s="36">
        <f>IFERROR(VLOOKUP(A1241,'All Products'!A:F,6,0),0)</f>
        <v>12.67</v>
      </c>
      <c r="AK1241" s="36">
        <f>AJ1241*Z1241*J1241</f>
        <v>12.67</v>
      </c>
      <c r="AL1241" s="23">
        <v>1</v>
      </c>
      <c r="AM1241" s="23"/>
      <c r="AN1241" s="54" t="e">
        <v>#N/A</v>
      </c>
      <c r="AO1241" s="47"/>
      <c r="AP1241" s="4">
        <v>1.6</v>
      </c>
      <c r="AQ1241" s="111">
        <f t="shared" si="369"/>
        <v>1.9777777777777776E-2</v>
      </c>
      <c r="AR1241">
        <f>_xlfn.XLOOKUP(F1241,'RM Cost'!A:A,'RM Cost'!S:S)</f>
        <v>0</v>
      </c>
      <c r="AS1241" t="e">
        <f>_xlfn.XLOOKUP(A1241,[3]Sheet1!$B:$B,[3]Sheet1!$B:$B)</f>
        <v>#N/A</v>
      </c>
    </row>
    <row r="1242" spans="1:46" x14ac:dyDescent="0.25">
      <c r="A1242" s="16" t="s">
        <v>1055</v>
      </c>
      <c r="B1242" s="2" t="s">
        <v>656</v>
      </c>
      <c r="C1242" s="2" t="s">
        <v>1056</v>
      </c>
      <c r="D1242" s="2" t="s">
        <v>554</v>
      </c>
      <c r="E1242" s="2">
        <v>1</v>
      </c>
      <c r="F1242" s="1" t="str">
        <f>VLOOKUP(H1242,'RM Used'!A:B,2,0)</f>
        <v>P0008</v>
      </c>
      <c r="G1242" s="1" t="str">
        <f>IFERROR(VLOOKUP(F1242,'RM Cost'!A:B,2,0),"")</f>
        <v>PALE BLUE BAG 470X750MM</v>
      </c>
      <c r="H1242" s="1" t="s">
        <v>1323</v>
      </c>
      <c r="I1242" s="1" t="str">
        <f>VLOOKUP(F1242,'RM Used'!B:D,3,0)</f>
        <v>RM-PACKING</v>
      </c>
      <c r="J1242" s="66">
        <v>1</v>
      </c>
      <c r="K1242" s="35" t="str">
        <f t="shared" si="354"/>
        <v/>
      </c>
      <c r="L1242" s="35">
        <f t="shared" si="361"/>
        <v>0</v>
      </c>
      <c r="M1242" s="77" t="str" cm="1">
        <f t="array" ref="M1242">_xlfn.IFS(BOM!I1242="RM-PACKING","100%",B1242="Reynolds",VLOOKUP(H1242,'Yield &amp; Time'!A:V,22,0),BOM!B1242="Dnata",VLOOKUP(BOM!H1242,'Yield &amp; Time'!A:M,13,0),B1242="NK",VLOOKUP(H1242,'Yield &amp; Time'!A:X,24,0))</f>
        <v>100%</v>
      </c>
      <c r="N1242" s="35">
        <f t="shared" si="360"/>
        <v>1</v>
      </c>
      <c r="O1242" s="1" t="str">
        <f>VLOOKUP(H1242,'RM Used'!A:E,5,0)</f>
        <v>Count</v>
      </c>
      <c r="P1242" s="11">
        <f>VLOOKUP(H1242,'RM Used'!A:F,6,0)</f>
        <v>0.14000000000000001</v>
      </c>
      <c r="Q1242" s="11">
        <f t="shared" si="370"/>
        <v>0.14000000000000001</v>
      </c>
      <c r="R1242" s="11">
        <f>IFERROR(IF(B1242="Reynolds",VLOOKUP(H1242,'Yield &amp; Time'!A:U,21,0),VLOOKUP(H1242,'Yield &amp; Time'!A:L,12,0)),0)</f>
        <v>0</v>
      </c>
      <c r="S1242" s="11">
        <f t="shared" si="362"/>
        <v>0</v>
      </c>
      <c r="T1242" s="11">
        <f t="shared" si="363"/>
        <v>0</v>
      </c>
      <c r="U1242" s="11">
        <f>IF(A1241=A1242,0,VLOOKUP(A1242,'Packing Time'!A:F,6,0))</f>
        <v>0</v>
      </c>
      <c r="V1242" s="11">
        <f t="shared" si="355"/>
        <v>0</v>
      </c>
      <c r="W1242" s="11">
        <f t="shared" si="356"/>
        <v>0</v>
      </c>
      <c r="X1242" s="11">
        <f t="shared" si="364"/>
        <v>0</v>
      </c>
      <c r="Y1242" s="11">
        <f t="shared" si="357"/>
        <v>0</v>
      </c>
      <c r="Z1242" s="37">
        <v>1</v>
      </c>
      <c r="AA1242" s="36">
        <f t="shared" si="365"/>
        <v>1</v>
      </c>
      <c r="AB1242" s="36">
        <f t="shared" si="366"/>
        <v>0.14000000000000001</v>
      </c>
      <c r="AC1242" s="11">
        <f t="shared" si="367"/>
        <v>0</v>
      </c>
      <c r="AD1242" s="36">
        <f t="shared" si="358"/>
        <v>0</v>
      </c>
      <c r="AE1242" s="36"/>
      <c r="AF1242" s="36">
        <f>IFERROR(VLOOKUP(AE1242,'Chemical Cost'!A:D,4,0),0)</f>
        <v>0</v>
      </c>
      <c r="AG1242" s="114">
        <f t="shared" si="368"/>
        <v>0</v>
      </c>
      <c r="AH1242" s="36">
        <f t="shared" si="371"/>
        <v>0</v>
      </c>
      <c r="AI1242" s="36">
        <f t="shared" si="359"/>
        <v>0.14000000000000001</v>
      </c>
      <c r="AJ1242" s="36">
        <f>IFERROR(VLOOKUP(A1242,'All Products'!A:F,6,0),0)</f>
        <v>12.67</v>
      </c>
      <c r="AK1242" s="36"/>
      <c r="AL1242" s="23">
        <v>1</v>
      </c>
      <c r="AM1242" s="23"/>
      <c r="AN1242" s="54" t="e">
        <v>#N/A</v>
      </c>
      <c r="AO1242" s="47"/>
      <c r="AP1242" s="4">
        <v>1.6</v>
      </c>
      <c r="AQ1242" s="111">
        <f t="shared" si="369"/>
        <v>0</v>
      </c>
      <c r="AR1242">
        <f>_xlfn.XLOOKUP(F1242,'RM Cost'!A:A,'RM Cost'!S:S)</f>
        <v>0</v>
      </c>
      <c r="AS1242" t="e">
        <f>_xlfn.XLOOKUP(A1242,[3]Sheet1!$B:$B,[3]Sheet1!$B:$B)</f>
        <v>#N/A</v>
      </c>
    </row>
    <row r="1243" spans="1:46" x14ac:dyDescent="0.25">
      <c r="A1243" s="16" t="s">
        <v>1057</v>
      </c>
      <c r="B1243" s="2" t="s">
        <v>656</v>
      </c>
      <c r="C1243" s="2" t="s">
        <v>1058</v>
      </c>
      <c r="D1243" s="2" t="s">
        <v>554</v>
      </c>
      <c r="E1243" s="2">
        <v>2.5</v>
      </c>
      <c r="F1243" s="1" t="str">
        <f>VLOOKUP(H1243,'RM Used'!A:B,2,0)</f>
        <v>3210CS</v>
      </c>
      <c r="G1243" s="1" t="str">
        <f>IFERROR(VLOOKUP(F1243,'RM Cost'!A:B,2,0),"")</f>
        <v>RM - POTATOES WARE 25KG</v>
      </c>
      <c r="H1243" s="2" t="s">
        <v>1633</v>
      </c>
      <c r="I1243" s="1" t="str">
        <f>VLOOKUP(F1243,'RM Used'!B:D,3,0)</f>
        <v>RM-FOOD</v>
      </c>
      <c r="J1243" s="66">
        <v>1</v>
      </c>
      <c r="K1243" s="35">
        <f t="shared" si="354"/>
        <v>2.5</v>
      </c>
      <c r="L1243" s="35">
        <f t="shared" si="361"/>
        <v>2.5</v>
      </c>
      <c r="M1243" s="77" cm="1">
        <f t="array" ref="M1243">_xlfn.IFS(BOM!I1243="RM-PACKING","100%",B1243="Reynolds",VLOOKUP(H1243,'Yield &amp; Time'!A:V,22,0),BOM!B1243="Dnata",VLOOKUP(BOM!H1243,'Yield &amp; Time'!A:M,13,0),B1243="NK",VLOOKUP(H1243,'Yield &amp; Time'!A:X,24,0))</f>
        <v>0</v>
      </c>
      <c r="N1243" s="35">
        <f t="shared" si="360"/>
        <v>0</v>
      </c>
      <c r="O1243" s="1" t="str">
        <f>VLOOKUP(H1243,'RM Used'!A:E,5,0)</f>
        <v>KG</v>
      </c>
      <c r="P1243" s="11">
        <f>VLOOKUP(H1243,'RM Used'!A:F,6,0)</f>
        <v>0.27</v>
      </c>
      <c r="Q1243" s="11">
        <f t="shared" si="370"/>
        <v>0</v>
      </c>
      <c r="R1243" s="11">
        <f>IFERROR(IF(B1243="Reynolds",VLOOKUP(H1243,'Yield &amp; Time'!A:U,21,0),VLOOKUP(H1243,'Yield &amp; Time'!A:L,12,0)),0)</f>
        <v>0.1</v>
      </c>
      <c r="S1243" s="11">
        <f t="shared" si="362"/>
        <v>8.4624999999999992E-2</v>
      </c>
      <c r="T1243" s="11">
        <f t="shared" si="363"/>
        <v>4.1666666666666666E-3</v>
      </c>
      <c r="U1243" s="11">
        <f>IF(A1242=A1243,0,VLOOKUP(A1243,'Packing Time'!A:F,6,0))</f>
        <v>0.875</v>
      </c>
      <c r="V1243" s="11">
        <f t="shared" si="355"/>
        <v>0.29618749999999999</v>
      </c>
      <c r="W1243" s="11">
        <f t="shared" si="356"/>
        <v>1.4583333333333334E-2</v>
      </c>
      <c r="X1243" s="11">
        <f t="shared" si="364"/>
        <v>0.60929999999999995</v>
      </c>
      <c r="Y1243" s="11">
        <f t="shared" si="357"/>
        <v>0.60929999999999995</v>
      </c>
      <c r="Z1243" s="37">
        <v>1</v>
      </c>
      <c r="AA1243" s="36">
        <f t="shared" si="365"/>
        <v>0</v>
      </c>
      <c r="AB1243" s="36">
        <f t="shared" si="366"/>
        <v>0</v>
      </c>
      <c r="AC1243" s="11">
        <f t="shared" si="367"/>
        <v>0.03</v>
      </c>
      <c r="AD1243" s="36">
        <f t="shared" si="358"/>
        <v>0.60929999999999984</v>
      </c>
      <c r="AE1243" s="36" t="str">
        <f>VLOOKUP(H1243,'Yield &amp; Time'!A:I,9,0)</f>
        <v>SODIUM METABISULPHITE</v>
      </c>
      <c r="AF1243" s="36">
        <f>IFERROR(VLOOKUP(AE1243,'Chemical Cost'!A:D,4,0),0)</f>
        <v>9.7586225455882462E-3</v>
      </c>
      <c r="AG1243" s="114">
        <f t="shared" si="368"/>
        <v>0</v>
      </c>
      <c r="AH1243" s="36">
        <f t="shared" si="371"/>
        <v>0</v>
      </c>
      <c r="AI1243" s="36">
        <f t="shared" si="359"/>
        <v>0.60929999999999995</v>
      </c>
      <c r="AJ1243" s="36">
        <f>IFERROR(VLOOKUP(A1243,'All Products'!A:F,6,0),0)</f>
        <v>31.69</v>
      </c>
      <c r="AK1243" s="36">
        <f>AJ1243*Z1243*J1243</f>
        <v>31.69</v>
      </c>
      <c r="AL1243" s="23">
        <v>1</v>
      </c>
      <c r="AM1243" s="23"/>
      <c r="AN1243" s="54" t="e">
        <v>#N/A</v>
      </c>
      <c r="AO1243" s="47"/>
      <c r="AP1243" s="4">
        <v>1.6</v>
      </c>
      <c r="AQ1243" s="111">
        <f t="shared" si="369"/>
        <v>0.03</v>
      </c>
      <c r="AR1243">
        <f>_xlfn.XLOOKUP(F1243,'RM Cost'!A:A,'RM Cost'!S:S)</f>
        <v>0</v>
      </c>
      <c r="AS1243" t="e">
        <f>_xlfn.XLOOKUP(A1243,[3]Sheet1!$B:$B,[3]Sheet1!$B:$B)</f>
        <v>#N/A</v>
      </c>
    </row>
    <row r="1244" spans="1:46" x14ac:dyDescent="0.25">
      <c r="A1244" s="16" t="s">
        <v>1057</v>
      </c>
      <c r="B1244" s="2" t="s">
        <v>656</v>
      </c>
      <c r="C1244" s="2" t="s">
        <v>1058</v>
      </c>
      <c r="D1244" s="2" t="s">
        <v>554</v>
      </c>
      <c r="E1244" s="2">
        <v>2.5</v>
      </c>
      <c r="F1244" s="1" t="str">
        <f>VLOOKUP(H1244,'RM Used'!A:B,2,0)</f>
        <v>P0008</v>
      </c>
      <c r="G1244" s="1" t="str">
        <f>IFERROR(VLOOKUP(F1244,'RM Cost'!A:B,2,0),"")</f>
        <v>PALE BLUE BAG 470X750MM</v>
      </c>
      <c r="H1244" s="1" t="s">
        <v>1323</v>
      </c>
      <c r="I1244" s="1" t="str">
        <f>VLOOKUP(F1244,'RM Used'!B:D,3,0)</f>
        <v>RM-PACKING</v>
      </c>
      <c r="J1244" s="66">
        <v>1</v>
      </c>
      <c r="K1244" s="35" t="str">
        <f t="shared" si="354"/>
        <v/>
      </c>
      <c r="L1244" s="35">
        <f t="shared" si="361"/>
        <v>0</v>
      </c>
      <c r="M1244" s="77" t="str" cm="1">
        <f t="array" ref="M1244">_xlfn.IFS(BOM!I1244="RM-PACKING","100%",B1244="Reynolds",VLOOKUP(H1244,'Yield &amp; Time'!A:V,22,0),BOM!B1244="Dnata",VLOOKUP(BOM!H1244,'Yield &amp; Time'!A:M,13,0),B1244="NK",VLOOKUP(H1244,'Yield &amp; Time'!A:X,24,0))</f>
        <v>100%</v>
      </c>
      <c r="N1244" s="35">
        <f t="shared" si="360"/>
        <v>1</v>
      </c>
      <c r="O1244" s="1" t="str">
        <f>VLOOKUP(H1244,'RM Used'!A:E,5,0)</f>
        <v>Count</v>
      </c>
      <c r="P1244" s="11">
        <f>VLOOKUP(H1244,'RM Used'!A:F,6,0)</f>
        <v>0.14000000000000001</v>
      </c>
      <c r="Q1244" s="11">
        <f t="shared" si="370"/>
        <v>0.14000000000000001</v>
      </c>
      <c r="R1244" s="11">
        <f>IFERROR(IF(B1244="Reynolds",VLOOKUP(H1244,'Yield &amp; Time'!A:U,21,0),VLOOKUP(H1244,'Yield &amp; Time'!A:L,12,0)),0)</f>
        <v>0</v>
      </c>
      <c r="S1244" s="11">
        <f t="shared" si="362"/>
        <v>0</v>
      </c>
      <c r="T1244" s="11">
        <f t="shared" si="363"/>
        <v>0</v>
      </c>
      <c r="U1244" s="11">
        <f>IF(A1243=A1244,0,VLOOKUP(A1244,'Packing Time'!A:F,6,0))</f>
        <v>0</v>
      </c>
      <c r="V1244" s="11">
        <f t="shared" si="355"/>
        <v>0</v>
      </c>
      <c r="W1244" s="11">
        <f t="shared" si="356"/>
        <v>0</v>
      </c>
      <c r="X1244" s="11">
        <f t="shared" si="364"/>
        <v>0</v>
      </c>
      <c r="Y1244" s="11">
        <f t="shared" si="357"/>
        <v>0</v>
      </c>
      <c r="Z1244" s="37">
        <v>1</v>
      </c>
      <c r="AA1244" s="36">
        <f t="shared" si="365"/>
        <v>1</v>
      </c>
      <c r="AB1244" s="36">
        <f t="shared" si="366"/>
        <v>0.14000000000000001</v>
      </c>
      <c r="AC1244" s="11">
        <f t="shared" si="367"/>
        <v>0</v>
      </c>
      <c r="AD1244" s="36">
        <f t="shared" si="358"/>
        <v>0</v>
      </c>
      <c r="AE1244" s="36"/>
      <c r="AF1244" s="36">
        <f>IFERROR(VLOOKUP(AE1244,'Chemical Cost'!A:D,4,0),0)</f>
        <v>0</v>
      </c>
      <c r="AG1244" s="114">
        <f t="shared" si="368"/>
        <v>0</v>
      </c>
      <c r="AH1244" s="36">
        <f t="shared" si="371"/>
        <v>0</v>
      </c>
      <c r="AI1244" s="36">
        <f t="shared" si="359"/>
        <v>0.14000000000000001</v>
      </c>
      <c r="AJ1244" s="36">
        <f>IFERROR(VLOOKUP(A1244,'All Products'!A:F,6,0),0)</f>
        <v>31.69</v>
      </c>
      <c r="AK1244" s="36"/>
      <c r="AL1244" s="23">
        <v>1</v>
      </c>
      <c r="AM1244" s="23"/>
      <c r="AN1244" s="54" t="e">
        <v>#N/A</v>
      </c>
      <c r="AO1244" s="47"/>
      <c r="AP1244" s="4">
        <v>1.6</v>
      </c>
      <c r="AQ1244" s="111">
        <f t="shared" si="369"/>
        <v>0</v>
      </c>
      <c r="AR1244">
        <f>_xlfn.XLOOKUP(F1244,'RM Cost'!A:A,'RM Cost'!S:S)</f>
        <v>0</v>
      </c>
      <c r="AS1244" t="e">
        <f>_xlfn.XLOOKUP(A1244,[3]Sheet1!$B:$B,[3]Sheet1!$B:$B)</f>
        <v>#N/A</v>
      </c>
    </row>
    <row r="1245" spans="1:46" x14ac:dyDescent="0.25">
      <c r="A1245" s="16" t="s">
        <v>1059</v>
      </c>
      <c r="B1245" s="2" t="s">
        <v>656</v>
      </c>
      <c r="C1245" s="2" t="s">
        <v>1060</v>
      </c>
      <c r="D1245" s="2" t="s">
        <v>554</v>
      </c>
      <c r="E1245" s="2">
        <v>1</v>
      </c>
      <c r="F1245" s="1" t="str">
        <f>VLOOKUP(H1245,'RM Used'!A:B,2,0)</f>
        <v>3210CS</v>
      </c>
      <c r="G1245" s="1" t="str">
        <f>IFERROR(VLOOKUP(F1245,'RM Cost'!A:B,2,0),"")</f>
        <v>RM - POTATOES WARE 25KG</v>
      </c>
      <c r="H1245" s="2" t="s">
        <v>1634</v>
      </c>
      <c r="I1245" s="1" t="str">
        <f>VLOOKUP(F1245,'RM Used'!B:D,3,0)</f>
        <v>RM-FOOD</v>
      </c>
      <c r="J1245" s="66">
        <v>1</v>
      </c>
      <c r="K1245" s="35">
        <f t="shared" si="354"/>
        <v>1</v>
      </c>
      <c r="L1245" s="35">
        <f t="shared" si="361"/>
        <v>1</v>
      </c>
      <c r="M1245" s="77" cm="1">
        <f t="array" ref="M1245">_xlfn.IFS(BOM!I1245="RM-PACKING","100%",B1245="Reynolds",VLOOKUP(H1245,'Yield &amp; Time'!A:V,22,0),BOM!B1245="Dnata",VLOOKUP(BOM!H1245,'Yield &amp; Time'!A:M,13,0),B1245="NK",VLOOKUP(H1245,'Yield &amp; Time'!A:X,24,0))</f>
        <v>0.10800000000000001</v>
      </c>
      <c r="N1245" s="35">
        <f t="shared" si="360"/>
        <v>9.2592592592592577</v>
      </c>
      <c r="O1245" s="1" t="str">
        <f>VLOOKUP(H1245,'RM Used'!A:E,5,0)</f>
        <v>KG</v>
      </c>
      <c r="P1245" s="11">
        <f>VLOOKUP(H1245,'RM Used'!A:F,6,0)</f>
        <v>0.27</v>
      </c>
      <c r="Q1245" s="11">
        <f t="shared" si="370"/>
        <v>2.4999999999999996</v>
      </c>
      <c r="R1245" s="11">
        <f>IFERROR(IF(B1245="Reynolds",VLOOKUP(H1245,'Yield &amp; Time'!A:U,21,0),VLOOKUP(H1245,'Yield &amp; Time'!A:L,12,0)),0)</f>
        <v>21.704938271604938</v>
      </c>
      <c r="S1245" s="11">
        <f t="shared" si="362"/>
        <v>7.3471216049382706</v>
      </c>
      <c r="T1245" s="11">
        <f t="shared" si="363"/>
        <v>0.36174897119341565</v>
      </c>
      <c r="U1245" s="11">
        <f>IF(A1244=A1245,0,VLOOKUP(A1245,'Packing Time'!A:F,6,0))</f>
        <v>0.64166666666666661</v>
      </c>
      <c r="V1245" s="11">
        <f t="shared" si="355"/>
        <v>0.21720416666666661</v>
      </c>
      <c r="W1245" s="11">
        <f t="shared" si="356"/>
        <v>1.0694444444444444E-2</v>
      </c>
      <c r="X1245" s="11">
        <f t="shared" si="364"/>
        <v>12.102921234567901</v>
      </c>
      <c r="Y1245" s="11">
        <f t="shared" si="357"/>
        <v>12.102921234567901</v>
      </c>
      <c r="Z1245" s="37">
        <v>1</v>
      </c>
      <c r="AA1245" s="36">
        <f t="shared" si="365"/>
        <v>9.2592592592592577</v>
      </c>
      <c r="AB1245" s="36">
        <f t="shared" si="366"/>
        <v>2.4999999999999996</v>
      </c>
      <c r="AC1245" s="11">
        <f t="shared" si="367"/>
        <v>0.59590946502057607</v>
      </c>
      <c r="AD1245" s="36">
        <f t="shared" si="358"/>
        <v>12.1029212345679</v>
      </c>
      <c r="AE1245" s="36" t="str">
        <f>VLOOKUP(H1245,'Yield &amp; Time'!A:I,9,0)</f>
        <v>SODIUM METABISULPHITE</v>
      </c>
      <c r="AF1245" s="36">
        <f>IFERROR(VLOOKUP(AE1245,'Chemical Cost'!A:D,4,0),0)</f>
        <v>9.7586225455882462E-3</v>
      </c>
      <c r="AG1245" s="114">
        <f t="shared" si="368"/>
        <v>3.0119205387618041E-2</v>
      </c>
      <c r="AH1245" s="36">
        <f t="shared" si="371"/>
        <v>3.0119205387618041E-2</v>
      </c>
      <c r="AI1245" s="36">
        <f t="shared" si="359"/>
        <v>14.63304043995552</v>
      </c>
      <c r="AJ1245" s="36">
        <f>IFERROR(VLOOKUP(A1245,'All Products'!A:F,6,0),0)</f>
        <v>11.79</v>
      </c>
      <c r="AK1245" s="36">
        <f>AJ1245*Z1245*J1245</f>
        <v>11.79</v>
      </c>
      <c r="AL1245" s="23">
        <v>1</v>
      </c>
      <c r="AM1245" s="23"/>
      <c r="AN1245" s="54" t="e">
        <v>#N/A</v>
      </c>
      <c r="AO1245" s="47"/>
      <c r="AP1245" s="4">
        <v>1.6</v>
      </c>
      <c r="AQ1245" s="111">
        <f t="shared" si="369"/>
        <v>0.59590946502057607</v>
      </c>
      <c r="AR1245">
        <f>_xlfn.XLOOKUP(F1245,'RM Cost'!A:A,'RM Cost'!S:S)</f>
        <v>0</v>
      </c>
      <c r="AS1245" t="e">
        <f>_xlfn.XLOOKUP(A1245,[3]Sheet1!$B:$B,[3]Sheet1!$B:$B)</f>
        <v>#N/A</v>
      </c>
    </row>
    <row r="1246" spans="1:46" x14ac:dyDescent="0.25">
      <c r="A1246" s="16" t="s">
        <v>1059</v>
      </c>
      <c r="B1246" s="2" t="s">
        <v>656</v>
      </c>
      <c r="C1246" s="2" t="s">
        <v>1060</v>
      </c>
      <c r="D1246" s="2" t="s">
        <v>554</v>
      </c>
      <c r="E1246" s="2">
        <v>1</v>
      </c>
      <c r="F1246" s="1" t="str">
        <f>VLOOKUP(H1246,'RM Used'!A:B,2,0)</f>
        <v>P0008</v>
      </c>
      <c r="G1246" s="1" t="str">
        <f>IFERROR(VLOOKUP(F1246,'RM Cost'!A:B,2,0),"")</f>
        <v>PALE BLUE BAG 470X750MM</v>
      </c>
      <c r="H1246" s="1" t="s">
        <v>1323</v>
      </c>
      <c r="I1246" s="1" t="str">
        <f>VLOOKUP(F1246,'RM Used'!B:D,3,0)</f>
        <v>RM-PACKING</v>
      </c>
      <c r="J1246" s="66">
        <v>1</v>
      </c>
      <c r="K1246" s="35" t="str">
        <f t="shared" ref="K1246:K1309" si="372">IF(I1246="RM-FOOD",J1246*E1246,"")</f>
        <v/>
      </c>
      <c r="L1246" s="35">
        <f t="shared" si="361"/>
        <v>0</v>
      </c>
      <c r="M1246" s="77" t="str" cm="1">
        <f t="array" ref="M1246">_xlfn.IFS(BOM!I1246="RM-PACKING","100%",B1246="Reynolds",VLOOKUP(H1246,'Yield &amp; Time'!A:V,22,0),BOM!B1246="Dnata",VLOOKUP(BOM!H1246,'Yield &amp; Time'!A:M,13,0),B1246="NK",VLOOKUP(H1246,'Yield &amp; Time'!A:X,24,0))</f>
        <v>100%</v>
      </c>
      <c r="N1246" s="35">
        <f t="shared" si="360"/>
        <v>1</v>
      </c>
      <c r="O1246" s="1" t="str">
        <f>VLOOKUP(H1246,'RM Used'!A:E,5,0)</f>
        <v>Count</v>
      </c>
      <c r="P1246" s="11">
        <f>VLOOKUP(H1246,'RM Used'!A:F,6,0)</f>
        <v>0.14000000000000001</v>
      </c>
      <c r="Q1246" s="11">
        <f t="shared" si="370"/>
        <v>0.14000000000000001</v>
      </c>
      <c r="R1246" s="11">
        <f>IFERROR(IF(B1246="Reynolds",VLOOKUP(H1246,'Yield &amp; Time'!A:U,21,0),VLOOKUP(H1246,'Yield &amp; Time'!A:L,12,0)),0)</f>
        <v>0</v>
      </c>
      <c r="S1246" s="11">
        <f t="shared" si="362"/>
        <v>0</v>
      </c>
      <c r="T1246" s="11">
        <f t="shared" si="363"/>
        <v>0</v>
      </c>
      <c r="U1246" s="11">
        <f>IF(A1245=A1246,0,VLOOKUP(A1246,'Packing Time'!A:F,6,0))</f>
        <v>0</v>
      </c>
      <c r="V1246" s="11">
        <f t="shared" si="355"/>
        <v>0</v>
      </c>
      <c r="W1246" s="11">
        <f t="shared" si="356"/>
        <v>0</v>
      </c>
      <c r="X1246" s="11">
        <f t="shared" si="364"/>
        <v>0</v>
      </c>
      <c r="Y1246" s="11">
        <f t="shared" si="357"/>
        <v>0</v>
      </c>
      <c r="Z1246" s="37">
        <v>1</v>
      </c>
      <c r="AA1246" s="36">
        <f t="shared" si="365"/>
        <v>1</v>
      </c>
      <c r="AB1246" s="36">
        <f t="shared" si="366"/>
        <v>0.14000000000000001</v>
      </c>
      <c r="AC1246" s="11">
        <f t="shared" si="367"/>
        <v>0</v>
      </c>
      <c r="AD1246" s="36">
        <f t="shared" si="358"/>
        <v>0</v>
      </c>
      <c r="AE1246" s="36"/>
      <c r="AF1246" s="36">
        <f>IFERROR(VLOOKUP(AE1246,'Chemical Cost'!A:D,4,0),0)</f>
        <v>0</v>
      </c>
      <c r="AG1246" s="114">
        <f t="shared" si="368"/>
        <v>0</v>
      </c>
      <c r="AH1246" s="36">
        <f t="shared" si="371"/>
        <v>0</v>
      </c>
      <c r="AI1246" s="36">
        <f t="shared" si="359"/>
        <v>0.14000000000000001</v>
      </c>
      <c r="AJ1246" s="36">
        <f>IFERROR(VLOOKUP(A1246,'All Products'!A:F,6,0),0)</f>
        <v>11.79</v>
      </c>
      <c r="AK1246" s="36"/>
      <c r="AL1246" s="23">
        <v>1</v>
      </c>
      <c r="AM1246" s="23"/>
      <c r="AN1246" s="54" t="e">
        <v>#N/A</v>
      </c>
      <c r="AO1246" s="47"/>
      <c r="AP1246" s="4">
        <v>1.6</v>
      </c>
      <c r="AQ1246" s="111">
        <f t="shared" si="369"/>
        <v>0</v>
      </c>
      <c r="AR1246">
        <f>_xlfn.XLOOKUP(F1246,'RM Cost'!A:A,'RM Cost'!S:S)</f>
        <v>0</v>
      </c>
      <c r="AS1246" t="e">
        <f>_xlfn.XLOOKUP(A1246,[3]Sheet1!$B:$B,[3]Sheet1!$B:$B)</f>
        <v>#N/A</v>
      </c>
    </row>
    <row r="1247" spans="1:46" x14ac:dyDescent="0.25">
      <c r="A1247" s="16" t="s">
        <v>1061</v>
      </c>
      <c r="B1247" s="2" t="s">
        <v>656</v>
      </c>
      <c r="C1247" s="2" t="s">
        <v>1062</v>
      </c>
      <c r="D1247" s="2" t="s">
        <v>554</v>
      </c>
      <c r="E1247" s="2">
        <v>2.5</v>
      </c>
      <c r="F1247" s="1" t="str">
        <f>VLOOKUP(H1247,'RM Used'!A:B,2,0)</f>
        <v>3210CS</v>
      </c>
      <c r="G1247" s="1" t="str">
        <f>IFERROR(VLOOKUP(F1247,'RM Cost'!A:B,2,0),"")</f>
        <v>RM - POTATOES WARE 25KG</v>
      </c>
      <c r="H1247" s="2" t="s">
        <v>1634</v>
      </c>
      <c r="I1247" s="1" t="str">
        <f>VLOOKUP(F1247,'RM Used'!B:D,3,0)</f>
        <v>RM-FOOD</v>
      </c>
      <c r="J1247" s="66">
        <v>1</v>
      </c>
      <c r="K1247" s="35">
        <f t="shared" si="372"/>
        <v>2.5</v>
      </c>
      <c r="L1247" s="35">
        <f t="shared" si="361"/>
        <v>2.5</v>
      </c>
      <c r="M1247" s="77" cm="1">
        <f t="array" ref="M1247">_xlfn.IFS(BOM!I1247="RM-PACKING","100%",B1247="Reynolds",VLOOKUP(H1247,'Yield &amp; Time'!A:V,22,0),BOM!B1247="Dnata",VLOOKUP(BOM!H1247,'Yield &amp; Time'!A:M,13,0),B1247="NK",VLOOKUP(H1247,'Yield &amp; Time'!A:X,24,0))</f>
        <v>0.10800000000000001</v>
      </c>
      <c r="N1247" s="35">
        <f t="shared" si="360"/>
        <v>23.148148148148145</v>
      </c>
      <c r="O1247" s="1" t="str">
        <f>VLOOKUP(H1247,'RM Used'!A:E,5,0)</f>
        <v>KG</v>
      </c>
      <c r="P1247" s="11">
        <f>VLOOKUP(H1247,'RM Used'!A:F,6,0)</f>
        <v>0.27</v>
      </c>
      <c r="Q1247" s="11">
        <f t="shared" si="370"/>
        <v>6.25</v>
      </c>
      <c r="R1247" s="11">
        <f>IFERROR(IF(B1247="Reynolds",VLOOKUP(H1247,'Yield &amp; Time'!A:U,21,0),VLOOKUP(H1247,'Yield &amp; Time'!A:L,12,0)),0)</f>
        <v>21.704938271604938</v>
      </c>
      <c r="S1247" s="11">
        <f t="shared" si="362"/>
        <v>18.367804012345676</v>
      </c>
      <c r="T1247" s="11">
        <f t="shared" si="363"/>
        <v>0.90437242798353901</v>
      </c>
      <c r="U1247" s="11">
        <f>IF(A1246=A1247,0,VLOOKUP(A1247,'Packing Time'!A:F,6,0))</f>
        <v>0.875</v>
      </c>
      <c r="V1247" s="11">
        <f t="shared" ref="V1247:V1310" si="373">U1247*AO$1</f>
        <v>0.29618749999999999</v>
      </c>
      <c r="W1247" s="11">
        <f t="shared" ref="W1247:W1310" si="374">(U1247*Z1247)/60</f>
        <v>1.4583333333333334E-2</v>
      </c>
      <c r="X1247" s="11">
        <f t="shared" si="364"/>
        <v>29.862386419753079</v>
      </c>
      <c r="Y1247" s="11">
        <f t="shared" ref="Y1247:Y1310" si="375">X1247*Z1247</f>
        <v>29.862386419753079</v>
      </c>
      <c r="Z1247" s="37">
        <v>1</v>
      </c>
      <c r="AA1247" s="36">
        <f t="shared" si="365"/>
        <v>23.148148148148145</v>
      </c>
      <c r="AB1247" s="36">
        <f t="shared" si="366"/>
        <v>6.25</v>
      </c>
      <c r="AC1247" s="11">
        <f t="shared" si="367"/>
        <v>1.470329218106996</v>
      </c>
      <c r="AD1247" s="36">
        <f t="shared" ref="AD1247:AD1310" si="376">AC1247*60*AO$1</f>
        <v>29.862386419753086</v>
      </c>
      <c r="AE1247" s="36" t="str">
        <f>VLOOKUP(H1247,'Yield &amp; Time'!A:I,9,0)</f>
        <v>SODIUM METABISULPHITE</v>
      </c>
      <c r="AF1247" s="36">
        <f>IFERROR(VLOOKUP(AE1247,'Chemical Cost'!A:D,4,0),0)</f>
        <v>9.7586225455882462E-3</v>
      </c>
      <c r="AG1247" s="114">
        <f t="shared" si="368"/>
        <v>7.5298013469045091E-2</v>
      </c>
      <c r="AH1247" s="36">
        <f t="shared" si="371"/>
        <v>7.5298013469045091E-2</v>
      </c>
      <c r="AI1247" s="36">
        <f t="shared" ref="AI1247:AI1310" si="377">IFERROR((Q1247*Z1247)+(Z1247*X1247)+AH1247,0)</f>
        <v>36.187684433222124</v>
      </c>
      <c r="AJ1247" s="36">
        <f>IFERROR(VLOOKUP(A1247,'All Products'!A:F,6,0),0)</f>
        <v>17.66</v>
      </c>
      <c r="AK1247" s="36">
        <f>AJ1247*Z1247*J1247</f>
        <v>17.66</v>
      </c>
      <c r="AL1247" s="23">
        <v>1</v>
      </c>
      <c r="AM1247" s="23"/>
      <c r="AN1247" s="54" t="e">
        <v>#N/A</v>
      </c>
      <c r="AO1247" s="47"/>
      <c r="AP1247" s="4">
        <v>1.6</v>
      </c>
      <c r="AQ1247" s="111">
        <f t="shared" si="369"/>
        <v>1.470329218106996</v>
      </c>
      <c r="AR1247">
        <f>_xlfn.XLOOKUP(F1247,'RM Cost'!A:A,'RM Cost'!S:S)</f>
        <v>0</v>
      </c>
      <c r="AS1247" t="e">
        <f>_xlfn.XLOOKUP(A1247,[3]Sheet1!$B:$B,[3]Sheet1!$B:$B)</f>
        <v>#N/A</v>
      </c>
    </row>
    <row r="1248" spans="1:46" x14ac:dyDescent="0.25">
      <c r="A1248" s="16" t="s">
        <v>1061</v>
      </c>
      <c r="B1248" s="2" t="s">
        <v>656</v>
      </c>
      <c r="C1248" s="2" t="s">
        <v>1062</v>
      </c>
      <c r="D1248" s="2" t="s">
        <v>554</v>
      </c>
      <c r="E1248" s="2">
        <v>2.5</v>
      </c>
      <c r="F1248" s="1" t="str">
        <f>VLOOKUP(H1248,'RM Used'!A:B,2,0)</f>
        <v>P0008</v>
      </c>
      <c r="G1248" s="1" t="str">
        <f>IFERROR(VLOOKUP(F1248,'RM Cost'!A:B,2,0),"")</f>
        <v>PALE BLUE BAG 470X750MM</v>
      </c>
      <c r="H1248" s="1" t="s">
        <v>1323</v>
      </c>
      <c r="I1248" s="1" t="str">
        <f>VLOOKUP(F1248,'RM Used'!B:D,3,0)</f>
        <v>RM-PACKING</v>
      </c>
      <c r="J1248" s="66">
        <v>1</v>
      </c>
      <c r="K1248" s="35" t="str">
        <f t="shared" si="372"/>
        <v/>
      </c>
      <c r="L1248" s="35">
        <f t="shared" si="361"/>
        <v>0</v>
      </c>
      <c r="M1248" s="77" t="str" cm="1">
        <f t="array" ref="M1248">_xlfn.IFS(BOM!I1248="RM-PACKING","100%",B1248="Reynolds",VLOOKUP(H1248,'Yield &amp; Time'!A:V,22,0),BOM!B1248="Dnata",VLOOKUP(BOM!H1248,'Yield &amp; Time'!A:M,13,0),B1248="NK",VLOOKUP(H1248,'Yield &amp; Time'!A:X,24,0))</f>
        <v>100%</v>
      </c>
      <c r="N1248" s="35">
        <f t="shared" si="360"/>
        <v>1</v>
      </c>
      <c r="O1248" s="1" t="str">
        <f>VLOOKUP(H1248,'RM Used'!A:E,5,0)</f>
        <v>Count</v>
      </c>
      <c r="P1248" s="11">
        <f>VLOOKUP(H1248,'RM Used'!A:F,6,0)</f>
        <v>0.14000000000000001</v>
      </c>
      <c r="Q1248" s="11">
        <f t="shared" si="370"/>
        <v>0.14000000000000001</v>
      </c>
      <c r="R1248" s="11">
        <f>IFERROR(IF(B1248="Reynolds",VLOOKUP(H1248,'Yield &amp; Time'!A:U,21,0),VLOOKUP(H1248,'Yield &amp; Time'!A:L,12,0)),0)</f>
        <v>0</v>
      </c>
      <c r="S1248" s="11">
        <f t="shared" si="362"/>
        <v>0</v>
      </c>
      <c r="T1248" s="11">
        <f t="shared" si="363"/>
        <v>0</v>
      </c>
      <c r="U1248" s="11">
        <f>IF(A1247=A1248,0,VLOOKUP(A1248,'Packing Time'!A:F,6,0))</f>
        <v>0</v>
      </c>
      <c r="V1248" s="11">
        <f t="shared" si="373"/>
        <v>0</v>
      </c>
      <c r="W1248" s="11">
        <f t="shared" si="374"/>
        <v>0</v>
      </c>
      <c r="X1248" s="11">
        <f t="shared" si="364"/>
        <v>0</v>
      </c>
      <c r="Y1248" s="11">
        <f t="shared" si="375"/>
        <v>0</v>
      </c>
      <c r="Z1248" s="37">
        <v>1</v>
      </c>
      <c r="AA1248" s="36">
        <f t="shared" si="365"/>
        <v>1</v>
      </c>
      <c r="AB1248" s="36">
        <f t="shared" si="366"/>
        <v>0.14000000000000001</v>
      </c>
      <c r="AC1248" s="11">
        <f t="shared" si="367"/>
        <v>0</v>
      </c>
      <c r="AD1248" s="36">
        <f t="shared" si="376"/>
        <v>0</v>
      </c>
      <c r="AE1248" s="36"/>
      <c r="AF1248" s="36">
        <f>IFERROR(VLOOKUP(AE1248,'Chemical Cost'!A:D,4,0),0)</f>
        <v>0</v>
      </c>
      <c r="AG1248" s="114">
        <f t="shared" si="368"/>
        <v>0</v>
      </c>
      <c r="AH1248" s="36">
        <f t="shared" si="371"/>
        <v>0</v>
      </c>
      <c r="AI1248" s="36">
        <f t="shared" si="377"/>
        <v>0.14000000000000001</v>
      </c>
      <c r="AJ1248" s="36">
        <f>IFERROR(VLOOKUP(A1248,'All Products'!A:F,6,0),0)</f>
        <v>17.66</v>
      </c>
      <c r="AK1248" s="36"/>
      <c r="AL1248" s="23">
        <v>1</v>
      </c>
      <c r="AM1248" s="23"/>
      <c r="AN1248" s="54" t="e">
        <v>#N/A</v>
      </c>
      <c r="AO1248" s="47"/>
      <c r="AP1248" s="4">
        <v>1.6</v>
      </c>
      <c r="AQ1248" s="111">
        <f t="shared" si="369"/>
        <v>0</v>
      </c>
      <c r="AR1248">
        <f>_xlfn.XLOOKUP(F1248,'RM Cost'!A:A,'RM Cost'!S:S)</f>
        <v>0</v>
      </c>
      <c r="AS1248" t="e">
        <f>_xlfn.XLOOKUP(A1248,[3]Sheet1!$B:$B,[3]Sheet1!$B:$B)</f>
        <v>#N/A</v>
      </c>
    </row>
    <row r="1249" spans="1:46" x14ac:dyDescent="0.25">
      <c r="A1249" s="16" t="s">
        <v>1063</v>
      </c>
      <c r="B1249" s="2" t="s">
        <v>656</v>
      </c>
      <c r="C1249" s="2" t="s">
        <v>1064</v>
      </c>
      <c r="D1249" s="2" t="s">
        <v>554</v>
      </c>
      <c r="E1249" s="2">
        <v>2.5</v>
      </c>
      <c r="F1249" s="1" t="str">
        <f>VLOOKUP(H1249,'RM Used'!A:B,2,0)</f>
        <v>3221CS</v>
      </c>
      <c r="G1249" s="1" t="str">
        <f>IFERROR(VLOOKUP(F1249,'RM Cost'!A:B,2,0),"")</f>
        <v>BAKING POTATO X50 EA</v>
      </c>
      <c r="H1249" s="2" t="s">
        <v>1600</v>
      </c>
      <c r="I1249" s="1" t="str">
        <f>VLOOKUP(F1249,'RM Used'!B:D,3,0)</f>
        <v>RM-FOOD</v>
      </c>
      <c r="J1249" s="66">
        <v>1</v>
      </c>
      <c r="K1249" s="35">
        <f t="shared" si="372"/>
        <v>2.5</v>
      </c>
      <c r="L1249" s="35">
        <f t="shared" si="361"/>
        <v>2.5</v>
      </c>
      <c r="M1249" s="77" cm="1">
        <f t="array" ref="M1249">_xlfn.IFS(BOM!I1249="RM-PACKING","100%",B1249="Reynolds",VLOOKUP(H1249,'Yield &amp; Time'!A:V,22,0),BOM!B1249="Dnata",VLOOKUP(BOM!H1249,'Yield &amp; Time'!A:M,13,0),B1249="NK",VLOOKUP(H1249,'Yield &amp; Time'!A:X,24,0))</f>
        <v>0.29416666666666669</v>
      </c>
      <c r="N1249" s="35">
        <f t="shared" si="360"/>
        <v>8.4985835694050991</v>
      </c>
      <c r="O1249" s="1" t="str">
        <f>VLOOKUP(H1249,'RM Used'!A:E,5,0)</f>
        <v>KG</v>
      </c>
      <c r="P1249" s="11">
        <f>VLOOKUP(H1249,'RM Used'!A:F,6,0)</f>
        <v>0.57000000000000006</v>
      </c>
      <c r="Q1249" s="11">
        <f t="shared" si="370"/>
        <v>4.8441926345609074</v>
      </c>
      <c r="R1249" s="11">
        <f>IFERROR(IF(B1249="Reynolds",VLOOKUP(H1249,'Yield &amp; Time'!A:U,21,0),VLOOKUP(H1249,'Yield &amp; Time'!A:L,12,0)),0)</f>
        <v>8.6</v>
      </c>
      <c r="S1249" s="11">
        <f t="shared" si="362"/>
        <v>7.2777499999999993</v>
      </c>
      <c r="T1249" s="11">
        <f t="shared" si="363"/>
        <v>0.35833333333333334</v>
      </c>
      <c r="U1249" s="11">
        <f>IF(A1248=A1249,0,VLOOKUP(A1249,'Packing Time'!A:F,6,0))</f>
        <v>0.875</v>
      </c>
      <c r="V1249" s="11">
        <f t="shared" si="373"/>
        <v>0.29618749999999999</v>
      </c>
      <c r="W1249" s="11">
        <f t="shared" si="374"/>
        <v>1.4583333333333334E-2</v>
      </c>
      <c r="X1249" s="11">
        <f t="shared" si="364"/>
        <v>12.1183</v>
      </c>
      <c r="Y1249" s="11">
        <f t="shared" si="375"/>
        <v>12.1183</v>
      </c>
      <c r="Z1249" s="37">
        <v>1</v>
      </c>
      <c r="AA1249" s="36">
        <f t="shared" si="365"/>
        <v>8.4985835694050991</v>
      </c>
      <c r="AB1249" s="36">
        <f t="shared" si="366"/>
        <v>4.8441926345609074</v>
      </c>
      <c r="AC1249" s="11">
        <f t="shared" si="367"/>
        <v>0.59666666666666668</v>
      </c>
      <c r="AD1249" s="36">
        <f t="shared" si="376"/>
        <v>12.118299999999998</v>
      </c>
      <c r="AE1249" s="36" t="str">
        <f>VLOOKUP(H1249,'Yield &amp; Time'!A:I,9,0)</f>
        <v>SODIUM METABISULPHITE</v>
      </c>
      <c r="AF1249" s="36">
        <f>IFERROR(VLOOKUP(AE1249,'Chemical Cost'!A:D,4,0),0)</f>
        <v>9.7586225455882462E-3</v>
      </c>
      <c r="AG1249" s="114">
        <f t="shared" si="368"/>
        <v>2.7644823075320808E-2</v>
      </c>
      <c r="AH1249" s="36">
        <f t="shared" si="371"/>
        <v>2.7644823075320808E-2</v>
      </c>
      <c r="AI1249" s="36">
        <f t="shared" si="377"/>
        <v>16.990137457636227</v>
      </c>
      <c r="AJ1249" s="36">
        <f>IFERROR(VLOOKUP(A1249,'All Products'!A:F,6,0),0)</f>
        <v>31.32</v>
      </c>
      <c r="AK1249" s="36">
        <f>AJ1249*Z1249*J1249</f>
        <v>31.32</v>
      </c>
      <c r="AL1249" s="23">
        <v>1</v>
      </c>
      <c r="AM1249" s="23"/>
      <c r="AN1249" s="54" t="e">
        <v>#N/A</v>
      </c>
      <c r="AO1249" s="47"/>
      <c r="AP1249" s="4">
        <v>1.6</v>
      </c>
      <c r="AQ1249" s="111">
        <f t="shared" si="369"/>
        <v>0.59666666666666668</v>
      </c>
      <c r="AR1249">
        <f>_xlfn.XLOOKUP(F1249,'RM Cost'!A:A,'RM Cost'!S:S)</f>
        <v>0</v>
      </c>
      <c r="AS1249" t="e">
        <f>_xlfn.XLOOKUP(A1249,[3]Sheet1!$B:$B,[3]Sheet1!$B:$B)</f>
        <v>#N/A</v>
      </c>
    </row>
    <row r="1250" spans="1:46" x14ac:dyDescent="0.25">
      <c r="A1250" s="16" t="s">
        <v>1063</v>
      </c>
      <c r="B1250" s="2" t="s">
        <v>656</v>
      </c>
      <c r="C1250" s="2" t="s">
        <v>1064</v>
      </c>
      <c r="D1250" s="2" t="s">
        <v>554</v>
      </c>
      <c r="E1250" s="2">
        <v>2.5</v>
      </c>
      <c r="F1250" s="1" t="str">
        <f>VLOOKUP(H1250,'RM Used'!A:B,2,0)</f>
        <v>P0008</v>
      </c>
      <c r="G1250" s="1" t="str">
        <f>IFERROR(VLOOKUP(F1250,'RM Cost'!A:B,2,0),"")</f>
        <v>PALE BLUE BAG 470X750MM</v>
      </c>
      <c r="H1250" s="1" t="s">
        <v>1323</v>
      </c>
      <c r="I1250" s="1" t="str">
        <f>VLOOKUP(F1250,'RM Used'!B:D,3,0)</f>
        <v>RM-PACKING</v>
      </c>
      <c r="J1250" s="66">
        <v>1</v>
      </c>
      <c r="K1250" s="35" t="str">
        <f t="shared" si="372"/>
        <v/>
      </c>
      <c r="L1250" s="35">
        <f t="shared" si="361"/>
        <v>0</v>
      </c>
      <c r="M1250" s="77" t="str" cm="1">
        <f t="array" ref="M1250">_xlfn.IFS(BOM!I1250="RM-PACKING","100%",B1250="Reynolds",VLOOKUP(H1250,'Yield &amp; Time'!A:V,22,0),BOM!B1250="Dnata",VLOOKUP(BOM!H1250,'Yield &amp; Time'!A:M,13,0),B1250="NK",VLOOKUP(H1250,'Yield &amp; Time'!A:X,24,0))</f>
        <v>100%</v>
      </c>
      <c r="N1250" s="35">
        <f t="shared" si="360"/>
        <v>1</v>
      </c>
      <c r="O1250" s="1" t="str">
        <f>VLOOKUP(H1250,'RM Used'!A:E,5,0)</f>
        <v>Count</v>
      </c>
      <c r="P1250" s="11">
        <f>VLOOKUP(H1250,'RM Used'!A:F,6,0)</f>
        <v>0.14000000000000001</v>
      </c>
      <c r="Q1250" s="11">
        <f t="shared" si="370"/>
        <v>0.14000000000000001</v>
      </c>
      <c r="R1250" s="11">
        <f>IFERROR(IF(B1250="Reynolds",VLOOKUP(H1250,'Yield &amp; Time'!A:U,21,0),VLOOKUP(H1250,'Yield &amp; Time'!A:L,12,0)),0)</f>
        <v>0</v>
      </c>
      <c r="S1250" s="11">
        <f t="shared" si="362"/>
        <v>0</v>
      </c>
      <c r="T1250" s="11">
        <f t="shared" si="363"/>
        <v>0</v>
      </c>
      <c r="U1250" s="11">
        <f>IF(A1249=A1250,0,VLOOKUP(A1250,'Packing Time'!A:F,6,0))</f>
        <v>0</v>
      </c>
      <c r="V1250" s="11">
        <f t="shared" si="373"/>
        <v>0</v>
      </c>
      <c r="W1250" s="11">
        <f t="shared" si="374"/>
        <v>0</v>
      </c>
      <c r="X1250" s="11">
        <f t="shared" si="364"/>
        <v>0</v>
      </c>
      <c r="Y1250" s="11">
        <f t="shared" si="375"/>
        <v>0</v>
      </c>
      <c r="Z1250" s="37">
        <v>1</v>
      </c>
      <c r="AA1250" s="36">
        <f t="shared" si="365"/>
        <v>1</v>
      </c>
      <c r="AB1250" s="36">
        <f t="shared" si="366"/>
        <v>0.14000000000000001</v>
      </c>
      <c r="AC1250" s="11">
        <f t="shared" si="367"/>
        <v>0</v>
      </c>
      <c r="AD1250" s="36">
        <f t="shared" si="376"/>
        <v>0</v>
      </c>
      <c r="AE1250" s="36"/>
      <c r="AF1250" s="36">
        <f>IFERROR(VLOOKUP(AE1250,'Chemical Cost'!A:D,4,0),0)</f>
        <v>0</v>
      </c>
      <c r="AG1250" s="114">
        <f t="shared" si="368"/>
        <v>0</v>
      </c>
      <c r="AH1250" s="36">
        <f t="shared" si="371"/>
        <v>0</v>
      </c>
      <c r="AI1250" s="36">
        <f t="shared" si="377"/>
        <v>0.14000000000000001</v>
      </c>
      <c r="AJ1250" s="36">
        <f>IFERROR(VLOOKUP(A1250,'All Products'!A:F,6,0),0)</f>
        <v>31.32</v>
      </c>
      <c r="AK1250" s="36"/>
      <c r="AL1250" s="23">
        <v>1</v>
      </c>
      <c r="AM1250" s="23"/>
      <c r="AN1250" s="54" t="e">
        <v>#N/A</v>
      </c>
      <c r="AO1250" s="47"/>
      <c r="AP1250" s="4">
        <v>1.6</v>
      </c>
      <c r="AQ1250" s="111">
        <f t="shared" si="369"/>
        <v>0</v>
      </c>
      <c r="AR1250">
        <f>_xlfn.XLOOKUP(F1250,'RM Cost'!A:A,'RM Cost'!S:S)</f>
        <v>0</v>
      </c>
      <c r="AS1250" t="e">
        <f>_xlfn.XLOOKUP(A1250,[3]Sheet1!$B:$B,[3]Sheet1!$B:$B)</f>
        <v>#N/A</v>
      </c>
    </row>
    <row r="1251" spans="1:46" x14ac:dyDescent="0.25">
      <c r="A1251" s="16" t="s">
        <v>456</v>
      </c>
      <c r="B1251" s="2" t="s">
        <v>656</v>
      </c>
      <c r="C1251" s="2" t="s">
        <v>457</v>
      </c>
      <c r="D1251" s="2" t="s">
        <v>554</v>
      </c>
      <c r="E1251" s="2">
        <v>1</v>
      </c>
      <c r="F1251" s="1" t="str">
        <f>VLOOKUP(H1251,'RM Used'!A:B,2,0)</f>
        <v>3242CS</v>
      </c>
      <c r="G1251" s="1" t="str">
        <f>IFERROR(VLOOKUP(F1251,'RM Cost'!A:B,2,0),"")</f>
        <v>RM - SWEET POTATOES ORANGE FLESH 6K</v>
      </c>
      <c r="H1251" s="2" t="s">
        <v>1599</v>
      </c>
      <c r="I1251" s="1" t="str">
        <f>VLOOKUP(F1251,'RM Used'!B:D,3,0)</f>
        <v>RM-FOOD</v>
      </c>
      <c r="J1251" s="66">
        <v>1</v>
      </c>
      <c r="K1251" s="35">
        <f t="shared" si="372"/>
        <v>1</v>
      </c>
      <c r="L1251" s="35">
        <f t="shared" si="361"/>
        <v>1</v>
      </c>
      <c r="M1251" s="77" cm="1">
        <f t="array" ref="M1251">_xlfn.IFS(BOM!I1251="RM-PACKING","100%",B1251="Reynolds",VLOOKUP(H1251,'Yield &amp; Time'!A:V,22,0),BOM!B1251="Dnata",VLOOKUP(BOM!H1251,'Yield &amp; Time'!A:M,13,0),B1251="NK",VLOOKUP(H1251,'Yield &amp; Time'!A:X,24,0))</f>
        <v>0.82</v>
      </c>
      <c r="N1251" s="35">
        <f t="shared" si="360"/>
        <v>1.2195121951219512</v>
      </c>
      <c r="O1251" s="1" t="str">
        <f>VLOOKUP(H1251,'RM Used'!A:E,5,0)</f>
        <v>KG</v>
      </c>
      <c r="P1251" s="11">
        <f>VLOOKUP(H1251,'RM Used'!A:F,6,0)</f>
        <v>0.88</v>
      </c>
      <c r="Q1251" s="11">
        <f t="shared" si="370"/>
        <v>1.0731707317073171</v>
      </c>
      <c r="R1251" s="11">
        <f>IFERROR(IF(B1251="Reynolds",VLOOKUP(H1251,'Yield &amp; Time'!A:U,21,0),VLOOKUP(H1251,'Yield &amp; Time'!A:L,12,0)),0)</f>
        <v>3.68</v>
      </c>
      <c r="S1251" s="11">
        <f t="shared" si="362"/>
        <v>1.2456799999999999</v>
      </c>
      <c r="T1251" s="11">
        <f t="shared" si="363"/>
        <v>6.1333333333333337E-2</v>
      </c>
      <c r="U1251" s="11">
        <f>IF(A1250=A1251,0,VLOOKUP(A1251,'Packing Time'!A:F,6,0))</f>
        <v>0.64166666666666661</v>
      </c>
      <c r="V1251" s="11">
        <f t="shared" si="373"/>
        <v>0.21720416666666661</v>
      </c>
      <c r="W1251" s="11">
        <f t="shared" si="374"/>
        <v>1.0694444444444444E-2</v>
      </c>
      <c r="X1251" s="11">
        <f t="shared" si="364"/>
        <v>2.3406146666666667</v>
      </c>
      <c r="Y1251" s="11">
        <f t="shared" si="375"/>
        <v>2.3406146666666667</v>
      </c>
      <c r="Z1251" s="37">
        <v>1</v>
      </c>
      <c r="AA1251" s="36">
        <f t="shared" si="365"/>
        <v>1.2195121951219512</v>
      </c>
      <c r="AB1251" s="36">
        <f t="shared" si="366"/>
        <v>1.0731707317073171</v>
      </c>
      <c r="AC1251" s="11">
        <f t="shared" si="367"/>
        <v>0.11524444444444447</v>
      </c>
      <c r="AD1251" s="36">
        <f t="shared" si="376"/>
        <v>2.3406146666666667</v>
      </c>
      <c r="AE1251" s="36"/>
      <c r="AF1251" s="36">
        <f>IFERROR(VLOOKUP(AE1251,'Chemical Cost'!A:D,4,0),0)</f>
        <v>0</v>
      </c>
      <c r="AG1251" s="114">
        <f t="shared" si="368"/>
        <v>0</v>
      </c>
      <c r="AH1251" s="36">
        <f t="shared" si="371"/>
        <v>0</v>
      </c>
      <c r="AI1251" s="36">
        <f t="shared" si="377"/>
        <v>3.4137853983739839</v>
      </c>
      <c r="AJ1251" s="36">
        <f>IFERROR(VLOOKUP(A1251,'All Products'!A:F,6,0),0)</f>
        <v>4.76</v>
      </c>
      <c r="AK1251" s="36">
        <f>AJ1251*Z1251*J1251</f>
        <v>4.76</v>
      </c>
      <c r="AL1251" s="23">
        <v>1</v>
      </c>
      <c r="AM1251" s="23"/>
      <c r="AN1251" s="54" t="e">
        <v>#N/A</v>
      </c>
      <c r="AO1251" s="47"/>
      <c r="AP1251" s="4">
        <v>1.6</v>
      </c>
      <c r="AQ1251" s="111">
        <f t="shared" si="369"/>
        <v>0.11524444444444447</v>
      </c>
      <c r="AR1251">
        <f>_xlfn.XLOOKUP(F1251,'RM Cost'!A:A,'RM Cost'!S:S)</f>
        <v>0</v>
      </c>
      <c r="AS1251" t="e">
        <f>_xlfn.XLOOKUP(A1251,[3]Sheet1!$B:$B,[3]Sheet1!$B:$B)</f>
        <v>#N/A</v>
      </c>
    </row>
    <row r="1252" spans="1:46" x14ac:dyDescent="0.25">
      <c r="A1252" s="16" t="s">
        <v>456</v>
      </c>
      <c r="B1252" s="2" t="s">
        <v>656</v>
      </c>
      <c r="C1252" s="2" t="s">
        <v>457</v>
      </c>
      <c r="D1252" s="2" t="s">
        <v>554</v>
      </c>
      <c r="E1252" s="2">
        <v>1</v>
      </c>
      <c r="F1252" s="1" t="str">
        <f>VLOOKUP(H1252,'RM Used'!A:B,2,0)</f>
        <v>P0008</v>
      </c>
      <c r="G1252" s="1" t="str">
        <f>IFERROR(VLOOKUP(F1252,'RM Cost'!A:B,2,0),"")</f>
        <v>PALE BLUE BAG 470X750MM</v>
      </c>
      <c r="H1252" s="1" t="s">
        <v>1323</v>
      </c>
      <c r="I1252" s="1" t="str">
        <f>VLOOKUP(F1252,'RM Used'!B:D,3,0)</f>
        <v>RM-PACKING</v>
      </c>
      <c r="J1252" s="66">
        <v>1</v>
      </c>
      <c r="K1252" s="35" t="str">
        <f t="shared" si="372"/>
        <v/>
      </c>
      <c r="L1252" s="35">
        <f t="shared" si="361"/>
        <v>0</v>
      </c>
      <c r="M1252" s="77" t="str" cm="1">
        <f t="array" ref="M1252">_xlfn.IFS(BOM!I1252="RM-PACKING","100%",B1252="Reynolds",VLOOKUP(H1252,'Yield &amp; Time'!A:V,22,0),BOM!B1252="Dnata",VLOOKUP(BOM!H1252,'Yield &amp; Time'!A:M,13,0),B1252="NK",VLOOKUP(H1252,'Yield &amp; Time'!A:X,24,0))</f>
        <v>100%</v>
      </c>
      <c r="N1252" s="35">
        <f t="shared" si="360"/>
        <v>1</v>
      </c>
      <c r="O1252" s="1" t="str">
        <f>VLOOKUP(H1252,'RM Used'!A:E,5,0)</f>
        <v>Count</v>
      </c>
      <c r="P1252" s="11">
        <f>VLOOKUP(H1252,'RM Used'!A:F,6,0)</f>
        <v>0.14000000000000001</v>
      </c>
      <c r="Q1252" s="11">
        <f t="shared" si="370"/>
        <v>0.14000000000000001</v>
      </c>
      <c r="R1252" s="11">
        <f>IFERROR(IF(B1252="Reynolds",VLOOKUP(H1252,'Yield &amp; Time'!A:U,21,0),VLOOKUP(H1252,'Yield &amp; Time'!A:L,12,0)),0)</f>
        <v>0</v>
      </c>
      <c r="S1252" s="11">
        <f t="shared" si="362"/>
        <v>0</v>
      </c>
      <c r="T1252" s="11">
        <f t="shared" si="363"/>
        <v>0</v>
      </c>
      <c r="U1252" s="11">
        <f>IF(A1251=A1252,0,VLOOKUP(A1252,'Packing Time'!A:F,6,0))</f>
        <v>0</v>
      </c>
      <c r="V1252" s="11">
        <f t="shared" si="373"/>
        <v>0</v>
      </c>
      <c r="W1252" s="11">
        <f t="shared" si="374"/>
        <v>0</v>
      </c>
      <c r="X1252" s="11">
        <f t="shared" si="364"/>
        <v>0</v>
      </c>
      <c r="Y1252" s="11">
        <f t="shared" si="375"/>
        <v>0</v>
      </c>
      <c r="Z1252" s="37">
        <v>1</v>
      </c>
      <c r="AA1252" s="36">
        <f t="shared" si="365"/>
        <v>1</v>
      </c>
      <c r="AB1252" s="36">
        <f t="shared" si="366"/>
        <v>0.14000000000000001</v>
      </c>
      <c r="AC1252" s="11">
        <f t="shared" si="367"/>
        <v>0</v>
      </c>
      <c r="AD1252" s="36">
        <f t="shared" si="376"/>
        <v>0</v>
      </c>
      <c r="AE1252" s="36"/>
      <c r="AF1252" s="36">
        <f>IFERROR(VLOOKUP(AE1252,'Chemical Cost'!A:D,4,0),0)</f>
        <v>0</v>
      </c>
      <c r="AG1252" s="114">
        <f t="shared" si="368"/>
        <v>0</v>
      </c>
      <c r="AH1252" s="36">
        <f t="shared" si="371"/>
        <v>0</v>
      </c>
      <c r="AI1252" s="36">
        <f t="shared" si="377"/>
        <v>0.14000000000000001</v>
      </c>
      <c r="AJ1252" s="36">
        <f>IFERROR(VLOOKUP(A1252,'All Products'!A:F,6,0),0)</f>
        <v>4.76</v>
      </c>
      <c r="AK1252" s="36"/>
      <c r="AL1252" s="23">
        <v>1</v>
      </c>
      <c r="AM1252" s="23"/>
      <c r="AN1252" s="54" t="e">
        <v>#N/A</v>
      </c>
      <c r="AO1252" s="47"/>
      <c r="AP1252" s="4">
        <v>1.6</v>
      </c>
      <c r="AQ1252" s="111">
        <f t="shared" si="369"/>
        <v>0</v>
      </c>
      <c r="AR1252">
        <f>_xlfn.XLOOKUP(F1252,'RM Cost'!A:A,'RM Cost'!S:S)</f>
        <v>0</v>
      </c>
      <c r="AS1252" t="e">
        <f>_xlfn.XLOOKUP(A1252,[3]Sheet1!$B:$B,[3]Sheet1!$B:$B)</f>
        <v>#N/A</v>
      </c>
    </row>
    <row r="1253" spans="1:46" x14ac:dyDescent="0.25">
      <c r="A1253" s="16" t="s">
        <v>1065</v>
      </c>
      <c r="B1253" s="2" t="s">
        <v>656</v>
      </c>
      <c r="C1253" s="2" t="s">
        <v>1066</v>
      </c>
      <c r="D1253" s="2" t="s">
        <v>554</v>
      </c>
      <c r="E1253" s="2">
        <v>1</v>
      </c>
      <c r="F1253" s="1" t="str">
        <f>VLOOKUP(H1253,'RM Used'!A:B,2,0)</f>
        <v>1318CS</v>
      </c>
      <c r="G1253" s="1" t="str">
        <f>IFERROR(VLOOKUP(F1253,'RM Cost'!A:B,2,0),"")</f>
        <v>RM - PREP ONION RED WHOLE 2.5KG</v>
      </c>
      <c r="H1253" s="2" t="s">
        <v>1423</v>
      </c>
      <c r="I1253" s="1" t="str">
        <f>VLOOKUP(F1253,'RM Used'!B:D,3,0)</f>
        <v>RM-FOOD</v>
      </c>
      <c r="J1253" s="66">
        <v>0.25</v>
      </c>
      <c r="K1253" s="35">
        <f t="shared" si="372"/>
        <v>0.25</v>
      </c>
      <c r="L1253" s="35">
        <f t="shared" si="361"/>
        <v>0.25</v>
      </c>
      <c r="M1253" s="77" cm="1">
        <f t="array" ref="M1253">_xlfn.IFS(BOM!I1253="RM-PACKING","100%",B1253="Reynolds",VLOOKUP(H1253,'Yield &amp; Time'!A:V,22,0),BOM!B1253="Dnata",VLOOKUP(BOM!H1253,'Yield &amp; Time'!A:M,13,0),B1253="NK",VLOOKUP(H1253,'Yield &amp; Time'!A:X,24,0))</f>
        <v>0.74712643678160917</v>
      </c>
      <c r="N1253" s="35">
        <f t="shared" si="360"/>
        <v>0.33461538461538465</v>
      </c>
      <c r="O1253" s="1" t="str">
        <f>VLOOKUP(H1253,'RM Used'!A:E,5,0)</f>
        <v>KG</v>
      </c>
      <c r="P1253" s="11">
        <f>VLOOKUP(H1253,'RM Used'!A:F,6,0)</f>
        <v>1.08</v>
      </c>
      <c r="Q1253" s="11">
        <f t="shared" si="370"/>
        <v>0.36138461538461547</v>
      </c>
      <c r="R1253" s="11">
        <f>IFERROR(IF(B1253="Reynolds",VLOOKUP(H1253,'Yield &amp; Time'!A:U,21,0),VLOOKUP(H1253,'Yield &amp; Time'!A:L,12,0)),0)</f>
        <v>4.615384615384615</v>
      </c>
      <c r="S1253" s="11">
        <f t="shared" si="362"/>
        <v>0.39057692307692299</v>
      </c>
      <c r="T1253" s="11">
        <f t="shared" si="363"/>
        <v>1.9230769230769228E-2</v>
      </c>
      <c r="U1253" s="11">
        <f>IF(A1252=A1253,0,VLOOKUP(A1253,'Packing Time'!A:F,6,0))</f>
        <v>0.64166666666666661</v>
      </c>
      <c r="V1253" s="11">
        <f t="shared" si="373"/>
        <v>0.21720416666666661</v>
      </c>
      <c r="W1253" s="11">
        <f t="shared" si="374"/>
        <v>1.0694444444444444E-2</v>
      </c>
      <c r="X1253" s="11">
        <f t="shared" si="364"/>
        <v>0.97244974358974334</v>
      </c>
      <c r="Y1253" s="11">
        <f t="shared" si="375"/>
        <v>0.97244974358974334</v>
      </c>
      <c r="Z1253" s="37">
        <v>1</v>
      </c>
      <c r="AA1253" s="36">
        <f t="shared" si="365"/>
        <v>0.33461538461538465</v>
      </c>
      <c r="AB1253" s="36">
        <f t="shared" si="366"/>
        <v>0.36138461538461547</v>
      </c>
      <c r="AC1253" s="11">
        <f t="shared" si="367"/>
        <v>4.7880341880341876E-2</v>
      </c>
      <c r="AD1253" s="36">
        <f t="shared" si="376"/>
        <v>0.97244974358974345</v>
      </c>
      <c r="AE1253" s="36"/>
      <c r="AF1253" s="36">
        <f>IFERROR(VLOOKUP(AE1253,'Chemical Cost'!A:D,4,0),0)</f>
        <v>0</v>
      </c>
      <c r="AG1253" s="114">
        <f t="shared" si="368"/>
        <v>0</v>
      </c>
      <c r="AH1253" s="36">
        <f t="shared" si="371"/>
        <v>0</v>
      </c>
      <c r="AI1253" s="36">
        <f t="shared" si="377"/>
        <v>1.3338343589743589</v>
      </c>
      <c r="AJ1253" s="36">
        <f>IFERROR(VLOOKUP(A1253,'All Products'!A:F,6,0),0)</f>
        <v>7.1</v>
      </c>
      <c r="AK1253" s="36">
        <f t="shared" ref="AK1253:AK1258" si="378">AJ1253*Z1253*J1253</f>
        <v>1.7749999999999999</v>
      </c>
      <c r="AL1253" s="23">
        <v>1</v>
      </c>
      <c r="AM1253" s="23"/>
      <c r="AN1253" s="54" t="e">
        <v>#N/A</v>
      </c>
      <c r="AO1253" s="47"/>
      <c r="AP1253" s="4">
        <v>1.6</v>
      </c>
      <c r="AQ1253" s="111">
        <f t="shared" si="369"/>
        <v>4.7880341880341876E-2</v>
      </c>
      <c r="AR1253">
        <f>_xlfn.XLOOKUP(F1253,'RM Cost'!A:A,'RM Cost'!S:S)</f>
        <v>0</v>
      </c>
      <c r="AS1253" t="str">
        <f>_xlfn.XLOOKUP(A1253,[3]Sheet1!$B:$B,[3]Sheet1!$B:$B)</f>
        <v>Z397CS</v>
      </c>
      <c r="AT1253">
        <f>_xlfn.XLOOKUP(H1253,'Yield &amp; Time'!A:A,'Yield &amp; Time'!F:F)</f>
        <v>0</v>
      </c>
    </row>
    <row r="1254" spans="1:46" x14ac:dyDescent="0.25">
      <c r="A1254" s="16" t="s">
        <v>1065</v>
      </c>
      <c r="B1254" s="2" t="s">
        <v>656</v>
      </c>
      <c r="C1254" s="2" t="s">
        <v>1066</v>
      </c>
      <c r="D1254" s="2" t="s">
        <v>554</v>
      </c>
      <c r="E1254" s="2">
        <v>1</v>
      </c>
      <c r="F1254" s="1" t="str">
        <f>VLOOKUP(H1254,'RM Used'!A:B,2,0)</f>
        <v>0930CS</v>
      </c>
      <c r="G1254" s="1" t="str">
        <f>IFERROR(VLOOKUP(F1254,'RM Cost'!A:B,2,0),"")</f>
        <v>RM - COURGETTE STANDARD</v>
      </c>
      <c r="H1254" s="2" t="s">
        <v>1424</v>
      </c>
      <c r="I1254" s="1" t="str">
        <f>VLOOKUP(F1254,'RM Used'!B:D,3,0)</f>
        <v>RM-FOOD</v>
      </c>
      <c r="J1254" s="66">
        <v>0.18</v>
      </c>
      <c r="K1254" s="35">
        <f t="shared" si="372"/>
        <v>0.18</v>
      </c>
      <c r="L1254" s="35">
        <f t="shared" si="361"/>
        <v>0.18</v>
      </c>
      <c r="M1254" s="77" cm="1">
        <f t="array" ref="M1254">_xlfn.IFS(BOM!I1254="RM-PACKING","100%",B1254="Reynolds",VLOOKUP(H1254,'Yield &amp; Time'!A:V,22,0),BOM!B1254="Dnata",VLOOKUP(BOM!H1254,'Yield &amp; Time'!A:M,13,0),B1254="NK",VLOOKUP(H1254,'Yield &amp; Time'!A:X,24,0))</f>
        <v>0.75230092036814722</v>
      </c>
      <c r="N1254" s="35">
        <f t="shared" si="360"/>
        <v>0.23926595744680851</v>
      </c>
      <c r="O1254" s="1" t="str">
        <f>VLOOKUP(H1254,'RM Used'!A:E,5,0)</f>
        <v>KG</v>
      </c>
      <c r="P1254" s="11">
        <f>VLOOKUP(H1254,'RM Used'!A:F,6,0)</f>
        <v>1.1000000000000001</v>
      </c>
      <c r="Q1254" s="11">
        <f t="shared" si="370"/>
        <v>0.26319255319148938</v>
      </c>
      <c r="R1254" s="11">
        <f>IFERROR(IF(B1254="Reynolds",VLOOKUP(H1254,'Yield &amp; Time'!A:U,21,0),VLOOKUP(H1254,'Yield &amp; Time'!A:L,12,0)),0)</f>
        <v>2.2225177304964538</v>
      </c>
      <c r="S1254" s="11">
        <f t="shared" si="362"/>
        <v>0.13541800531914891</v>
      </c>
      <c r="T1254" s="11">
        <f t="shared" si="363"/>
        <v>6.6675531914893614E-3</v>
      </c>
      <c r="U1254" s="11">
        <f>IF(A1253=A1254,0,VLOOKUP(A1254,'Packing Time'!A:F,6,0))</f>
        <v>0</v>
      </c>
      <c r="V1254" s="11">
        <f t="shared" si="373"/>
        <v>0</v>
      </c>
      <c r="W1254" s="11">
        <f t="shared" si="374"/>
        <v>0</v>
      </c>
      <c r="X1254" s="11">
        <f t="shared" si="364"/>
        <v>0.21666880851063827</v>
      </c>
      <c r="Y1254" s="11">
        <f t="shared" si="375"/>
        <v>0.21666880851063827</v>
      </c>
      <c r="Z1254" s="37">
        <v>1</v>
      </c>
      <c r="AA1254" s="36">
        <f t="shared" si="365"/>
        <v>0.23926595744680851</v>
      </c>
      <c r="AB1254" s="36">
        <f t="shared" si="366"/>
        <v>0.26319255319148938</v>
      </c>
      <c r="AC1254" s="11">
        <f t="shared" si="367"/>
        <v>1.066808510638298E-2</v>
      </c>
      <c r="AD1254" s="36">
        <f t="shared" si="376"/>
        <v>0.2166688085106383</v>
      </c>
      <c r="AE1254" s="36"/>
      <c r="AF1254" s="36">
        <f>IFERROR(VLOOKUP(AE1254,'Chemical Cost'!A:D,4,0),0)</f>
        <v>0</v>
      </c>
      <c r="AG1254" s="114">
        <f t="shared" si="368"/>
        <v>0</v>
      </c>
      <c r="AH1254" s="36">
        <f t="shared" si="371"/>
        <v>0</v>
      </c>
      <c r="AI1254" s="36">
        <f t="shared" si="377"/>
        <v>0.47986136170212768</v>
      </c>
      <c r="AJ1254" s="36">
        <f>IFERROR(VLOOKUP(A1254,'All Products'!A:F,6,0),0)</f>
        <v>7.1</v>
      </c>
      <c r="AK1254" s="36">
        <f t="shared" si="378"/>
        <v>1.2779999999999998</v>
      </c>
      <c r="AL1254" s="23">
        <v>1</v>
      </c>
      <c r="AM1254" s="23"/>
      <c r="AN1254" s="54" t="e">
        <v>#N/A</v>
      </c>
      <c r="AO1254" s="47"/>
      <c r="AP1254" s="4">
        <v>1.6</v>
      </c>
      <c r="AQ1254" s="111">
        <f t="shared" si="369"/>
        <v>1.066808510638298E-2</v>
      </c>
      <c r="AR1254">
        <f>_xlfn.XLOOKUP(F1254,'RM Cost'!A:A,'RM Cost'!S:S)</f>
        <v>1.1644775886170367</v>
      </c>
      <c r="AS1254" t="str">
        <f>_xlfn.XLOOKUP(A1254,[3]Sheet1!$B:$B,[3]Sheet1!$B:$B)</f>
        <v>Z397CS</v>
      </c>
      <c r="AT1254">
        <f>_xlfn.XLOOKUP(H1254,'Yield &amp; Time'!A:A,'Yield &amp; Time'!F:F)</f>
        <v>0</v>
      </c>
    </row>
    <row r="1255" spans="1:46" x14ac:dyDescent="0.25">
      <c r="A1255" s="16" t="s">
        <v>1065</v>
      </c>
      <c r="B1255" s="2" t="s">
        <v>656</v>
      </c>
      <c r="C1255" s="2" t="s">
        <v>1066</v>
      </c>
      <c r="D1255" s="2" t="s">
        <v>554</v>
      </c>
      <c r="E1255" s="2">
        <v>1</v>
      </c>
      <c r="F1255" s="1" t="str">
        <f>VLOOKUP(H1255,'RM Used'!A:B,2,0)</f>
        <v>3567CS</v>
      </c>
      <c r="G1255" s="1" t="str">
        <f>IFERROR(VLOOKUP(F1255,'RM Cost'!A:B,2,0),"")</f>
        <v>RM - PEPPERS YELLOW  X 5KG</v>
      </c>
      <c r="H1255" s="1" t="s">
        <v>1399</v>
      </c>
      <c r="I1255" s="1" t="str">
        <f>VLOOKUP(F1255,'RM Used'!B:D,3,0)</f>
        <v>RM-FOOD</v>
      </c>
      <c r="J1255" s="66">
        <v>0.15</v>
      </c>
      <c r="K1255" s="35">
        <f t="shared" si="372"/>
        <v>0.15</v>
      </c>
      <c r="L1255" s="35">
        <f t="shared" si="361"/>
        <v>0.15</v>
      </c>
      <c r="M1255" s="77" cm="1">
        <f t="array" ref="M1255">_xlfn.IFS(BOM!I1255="RM-PACKING","100%",B1255="Reynolds",VLOOKUP(H1255,'Yield &amp; Time'!A:V,22,0),BOM!B1255="Dnata",VLOOKUP(BOM!H1255,'Yield &amp; Time'!A:M,13,0),B1255="NK",VLOOKUP(H1255,'Yield &amp; Time'!A:X,24,0))</f>
        <v>0.45454545454545459</v>
      </c>
      <c r="N1255" s="35">
        <f t="shared" si="360"/>
        <v>0.32999999999999996</v>
      </c>
      <c r="O1255" s="1" t="str">
        <f>VLOOKUP(H1255,'RM Used'!A:E,5,0)</f>
        <v>KG</v>
      </c>
      <c r="P1255" s="11">
        <f>VLOOKUP(H1255,'RM Used'!A:F,6,0)</f>
        <v>1.68</v>
      </c>
      <c r="Q1255" s="11">
        <f t="shared" si="370"/>
        <v>0.55439999999999989</v>
      </c>
      <c r="R1255" s="11">
        <f>IFERROR(IF(B1255="Reynolds",VLOOKUP(H1255,'Yield &amp; Time'!A:U,21,0),VLOOKUP(H1255,'Yield &amp; Time'!A:L,12,0)),0)</f>
        <v>6.75</v>
      </c>
      <c r="S1255" s="11">
        <f t="shared" si="362"/>
        <v>0.34273124999999993</v>
      </c>
      <c r="T1255" s="11">
        <f t="shared" si="363"/>
        <v>1.6874999999999998E-2</v>
      </c>
      <c r="U1255" s="11">
        <f>IF(A1254=A1255,0,VLOOKUP(A1255,'Packing Time'!A:F,6,0))</f>
        <v>0</v>
      </c>
      <c r="V1255" s="11">
        <f t="shared" si="373"/>
        <v>0</v>
      </c>
      <c r="W1255" s="11">
        <f t="shared" si="374"/>
        <v>0</v>
      </c>
      <c r="X1255" s="11">
        <f t="shared" si="364"/>
        <v>0.54836999999999991</v>
      </c>
      <c r="Y1255" s="11">
        <f t="shared" si="375"/>
        <v>0.54836999999999991</v>
      </c>
      <c r="Z1255" s="37">
        <v>1</v>
      </c>
      <c r="AA1255" s="36">
        <f t="shared" si="365"/>
        <v>0.32999999999999996</v>
      </c>
      <c r="AB1255" s="36">
        <f t="shared" si="366"/>
        <v>0.55439999999999989</v>
      </c>
      <c r="AC1255" s="11">
        <f t="shared" si="367"/>
        <v>2.6999999999999996E-2</v>
      </c>
      <c r="AD1255" s="36">
        <f t="shared" si="376"/>
        <v>0.5483699999999998</v>
      </c>
      <c r="AE1255" s="36"/>
      <c r="AF1255" s="36">
        <f>IFERROR(VLOOKUP(AE1255,'Chemical Cost'!A:D,4,0),0)</f>
        <v>0</v>
      </c>
      <c r="AG1255" s="114">
        <f t="shared" si="368"/>
        <v>0</v>
      </c>
      <c r="AH1255" s="36">
        <f t="shared" si="371"/>
        <v>0</v>
      </c>
      <c r="AI1255" s="36">
        <f t="shared" si="377"/>
        <v>1.1027699999999998</v>
      </c>
      <c r="AJ1255" s="36">
        <f>IFERROR(VLOOKUP(A1255,'All Products'!A:F,6,0),0)</f>
        <v>7.1</v>
      </c>
      <c r="AK1255" s="36">
        <f t="shared" si="378"/>
        <v>1.0649999999999999</v>
      </c>
      <c r="AL1255" s="23">
        <v>1</v>
      </c>
      <c r="AM1255" s="23"/>
      <c r="AN1255" s="54" t="e">
        <v>#N/A</v>
      </c>
      <c r="AO1255" s="47"/>
      <c r="AP1255" s="4">
        <v>1.6</v>
      </c>
      <c r="AQ1255" s="111">
        <f t="shared" si="369"/>
        <v>2.6999999999999996E-2</v>
      </c>
      <c r="AR1255">
        <f>_xlfn.XLOOKUP(F1255,'RM Cost'!A:A,'RM Cost'!S:S)</f>
        <v>0</v>
      </c>
      <c r="AS1255" t="str">
        <f>_xlfn.XLOOKUP(A1255,[3]Sheet1!$B:$B,[3]Sheet1!$B:$B)</f>
        <v>Z397CS</v>
      </c>
      <c r="AT1255">
        <f>_xlfn.XLOOKUP(H1255,'Yield &amp; Time'!A:A,'Yield &amp; Time'!F:F)</f>
        <v>0</v>
      </c>
    </row>
    <row r="1256" spans="1:46" x14ac:dyDescent="0.25">
      <c r="A1256" s="16" t="s">
        <v>1065</v>
      </c>
      <c r="B1256" s="2" t="s">
        <v>656</v>
      </c>
      <c r="C1256" s="2" t="s">
        <v>1066</v>
      </c>
      <c r="D1256" s="2" t="s">
        <v>554</v>
      </c>
      <c r="E1256" s="2">
        <v>1</v>
      </c>
      <c r="F1256" s="1" t="str">
        <f>VLOOKUP(H1256,'RM Used'!A:B,2,0)</f>
        <v>3565CS</v>
      </c>
      <c r="G1256" s="1" t="str">
        <f>IFERROR(VLOOKUP(F1256,'RM Cost'!A:B,2,0),"")</f>
        <v>RM - PEPPERS GREEN  X 5KG</v>
      </c>
      <c r="H1256" s="1" t="s">
        <v>1398</v>
      </c>
      <c r="I1256" s="1" t="str">
        <f>VLOOKUP(F1256,'RM Used'!B:D,3,0)</f>
        <v>RM-FOOD</v>
      </c>
      <c r="J1256" s="66">
        <v>0.15</v>
      </c>
      <c r="K1256" s="35">
        <f t="shared" si="372"/>
        <v>0.15</v>
      </c>
      <c r="L1256" s="35">
        <f t="shared" si="361"/>
        <v>0.15</v>
      </c>
      <c r="M1256" s="77" cm="1">
        <f t="array" ref="M1256">_xlfn.IFS(BOM!I1256="RM-PACKING","100%",B1256="Reynolds",VLOOKUP(H1256,'Yield &amp; Time'!A:V,22,0),BOM!B1256="Dnata",VLOOKUP(BOM!H1256,'Yield &amp; Time'!A:M,13,0),B1256="NK",VLOOKUP(H1256,'Yield &amp; Time'!A:X,24,0))</f>
        <v>0.45454545454545459</v>
      </c>
      <c r="N1256" s="35">
        <f t="shared" si="360"/>
        <v>0.32999999999999996</v>
      </c>
      <c r="O1256" s="1" t="str">
        <f>VLOOKUP(H1256,'RM Used'!A:E,5,0)</f>
        <v>KG</v>
      </c>
      <c r="P1256" s="11">
        <f>VLOOKUP(H1256,'RM Used'!A:F,6,0)</f>
        <v>1.76</v>
      </c>
      <c r="Q1256" s="11">
        <f t="shared" si="370"/>
        <v>0.58079999999999998</v>
      </c>
      <c r="R1256" s="11">
        <f>IFERROR(IF(B1256="Reynolds",VLOOKUP(H1256,'Yield &amp; Time'!A:U,21,0),VLOOKUP(H1256,'Yield &amp; Time'!A:L,12,0)),0)</f>
        <v>6.75</v>
      </c>
      <c r="S1256" s="11">
        <f t="shared" si="362"/>
        <v>0.34273124999999993</v>
      </c>
      <c r="T1256" s="11">
        <f t="shared" si="363"/>
        <v>1.6874999999999998E-2</v>
      </c>
      <c r="U1256" s="11">
        <f>IF(A1255=A1256,0,VLOOKUP(A1256,'Packing Time'!A:F,6,0))</f>
        <v>0</v>
      </c>
      <c r="V1256" s="11">
        <f t="shared" si="373"/>
        <v>0</v>
      </c>
      <c r="W1256" s="11">
        <f t="shared" si="374"/>
        <v>0</v>
      </c>
      <c r="X1256" s="11">
        <f t="shared" si="364"/>
        <v>0.54836999999999991</v>
      </c>
      <c r="Y1256" s="11">
        <f t="shared" si="375"/>
        <v>0.54836999999999991</v>
      </c>
      <c r="Z1256" s="37">
        <v>1</v>
      </c>
      <c r="AA1256" s="36">
        <f t="shared" si="365"/>
        <v>0.32999999999999996</v>
      </c>
      <c r="AB1256" s="36">
        <f t="shared" si="366"/>
        <v>0.58079999999999998</v>
      </c>
      <c r="AC1256" s="11">
        <f t="shared" si="367"/>
        <v>2.6999999999999996E-2</v>
      </c>
      <c r="AD1256" s="36">
        <f t="shared" si="376"/>
        <v>0.5483699999999998</v>
      </c>
      <c r="AE1256" s="36"/>
      <c r="AF1256" s="36">
        <f>IFERROR(VLOOKUP(AE1256,'Chemical Cost'!A:D,4,0),0)</f>
        <v>0</v>
      </c>
      <c r="AG1256" s="114">
        <f t="shared" si="368"/>
        <v>0</v>
      </c>
      <c r="AH1256" s="36">
        <f t="shared" si="371"/>
        <v>0</v>
      </c>
      <c r="AI1256" s="36">
        <f t="shared" si="377"/>
        <v>1.1291699999999998</v>
      </c>
      <c r="AJ1256" s="36">
        <f>IFERROR(VLOOKUP(A1256,'All Products'!A:F,6,0),0)</f>
        <v>7.1</v>
      </c>
      <c r="AK1256" s="36">
        <f t="shared" si="378"/>
        <v>1.0649999999999999</v>
      </c>
      <c r="AL1256" s="23">
        <v>1</v>
      </c>
      <c r="AM1256" s="23"/>
      <c r="AN1256" s="54" t="e">
        <v>#N/A</v>
      </c>
      <c r="AO1256" s="47"/>
      <c r="AP1256" s="4">
        <v>1.6</v>
      </c>
      <c r="AQ1256" s="111">
        <f t="shared" si="369"/>
        <v>2.6999999999999996E-2</v>
      </c>
      <c r="AR1256">
        <f>_xlfn.XLOOKUP(F1256,'RM Cost'!A:A,'RM Cost'!S:S)</f>
        <v>0</v>
      </c>
      <c r="AS1256" t="str">
        <f>_xlfn.XLOOKUP(A1256,[3]Sheet1!$B:$B,[3]Sheet1!$B:$B)</f>
        <v>Z397CS</v>
      </c>
      <c r="AT1256">
        <f>_xlfn.XLOOKUP(H1256,'Yield &amp; Time'!A:A,'Yield &amp; Time'!F:F)</f>
        <v>0</v>
      </c>
    </row>
    <row r="1257" spans="1:46" x14ac:dyDescent="0.25">
      <c r="A1257" s="16" t="s">
        <v>1065</v>
      </c>
      <c r="B1257" s="2" t="s">
        <v>656</v>
      </c>
      <c r="C1257" s="2" t="s">
        <v>1066</v>
      </c>
      <c r="D1257" s="2" t="s">
        <v>554</v>
      </c>
      <c r="E1257" s="2">
        <v>1</v>
      </c>
      <c r="F1257" s="1" t="str">
        <f>VLOOKUP(H1257,'RM Used'!A:B,2,0)</f>
        <v>3566CS</v>
      </c>
      <c r="G1257" s="1" t="str">
        <f>IFERROR(VLOOKUP(F1257,'RM Cost'!A:B,2,0),"")</f>
        <v>PEPPERS RED X 5KG</v>
      </c>
      <c r="H1257" s="1" t="s">
        <v>1397</v>
      </c>
      <c r="I1257" s="1" t="str">
        <f>VLOOKUP(F1257,'RM Used'!B:D,3,0)</f>
        <v>RM-FOOD</v>
      </c>
      <c r="J1257" s="66">
        <v>0.15</v>
      </c>
      <c r="K1257" s="35">
        <f t="shared" si="372"/>
        <v>0.15</v>
      </c>
      <c r="L1257" s="35">
        <f t="shared" si="361"/>
        <v>0.15</v>
      </c>
      <c r="M1257" s="77" cm="1">
        <f t="array" ref="M1257">_xlfn.IFS(BOM!I1257="RM-PACKING","100%",B1257="Reynolds",VLOOKUP(H1257,'Yield &amp; Time'!A:V,22,0),BOM!B1257="Dnata",VLOOKUP(BOM!H1257,'Yield &amp; Time'!A:M,13,0),B1257="NK",VLOOKUP(H1257,'Yield &amp; Time'!A:X,24,0))</f>
        <v>0.45454545454545459</v>
      </c>
      <c r="N1257" s="35">
        <f t="shared" si="360"/>
        <v>0.32999999999999996</v>
      </c>
      <c r="O1257" s="1" t="str">
        <f>VLOOKUP(H1257,'RM Used'!A:E,5,0)</f>
        <v>KG</v>
      </c>
      <c r="P1257" s="11">
        <f>VLOOKUP(H1257,'RM Used'!A:F,6,0)</f>
        <v>1.72</v>
      </c>
      <c r="Q1257" s="11">
        <f t="shared" si="370"/>
        <v>0.56759999999999988</v>
      </c>
      <c r="R1257" s="11">
        <f>IFERROR(IF(B1257="Reynolds",VLOOKUP(H1257,'Yield &amp; Time'!A:U,21,0),VLOOKUP(H1257,'Yield &amp; Time'!A:L,12,0)),0)</f>
        <v>6.75</v>
      </c>
      <c r="S1257" s="11">
        <f t="shared" si="362"/>
        <v>0.34273124999999993</v>
      </c>
      <c r="T1257" s="11">
        <f t="shared" si="363"/>
        <v>1.6874999999999998E-2</v>
      </c>
      <c r="U1257" s="11">
        <f>IF(A1256=A1257,0,VLOOKUP(A1257,'Packing Time'!A:F,6,0))</f>
        <v>0</v>
      </c>
      <c r="V1257" s="11">
        <f t="shared" si="373"/>
        <v>0</v>
      </c>
      <c r="W1257" s="11">
        <f t="shared" si="374"/>
        <v>0</v>
      </c>
      <c r="X1257" s="11">
        <f t="shared" si="364"/>
        <v>0.54836999999999991</v>
      </c>
      <c r="Y1257" s="11">
        <f t="shared" si="375"/>
        <v>0.54836999999999991</v>
      </c>
      <c r="Z1257" s="37">
        <v>1</v>
      </c>
      <c r="AA1257" s="36">
        <f t="shared" si="365"/>
        <v>0.32999999999999996</v>
      </c>
      <c r="AB1257" s="36">
        <f t="shared" si="366"/>
        <v>0.56759999999999988</v>
      </c>
      <c r="AC1257" s="11">
        <f t="shared" si="367"/>
        <v>2.6999999999999996E-2</v>
      </c>
      <c r="AD1257" s="36">
        <f t="shared" si="376"/>
        <v>0.5483699999999998</v>
      </c>
      <c r="AE1257" s="36"/>
      <c r="AF1257" s="36">
        <f>IFERROR(VLOOKUP(AE1257,'Chemical Cost'!A:D,4,0),0)</f>
        <v>0</v>
      </c>
      <c r="AG1257" s="114">
        <f t="shared" si="368"/>
        <v>0</v>
      </c>
      <c r="AH1257" s="36">
        <f t="shared" si="371"/>
        <v>0</v>
      </c>
      <c r="AI1257" s="36">
        <f t="shared" si="377"/>
        <v>1.1159699999999999</v>
      </c>
      <c r="AJ1257" s="36">
        <f>IFERROR(VLOOKUP(A1257,'All Products'!A:F,6,0),0)</f>
        <v>7.1</v>
      </c>
      <c r="AK1257" s="36">
        <f t="shared" si="378"/>
        <v>1.0649999999999999</v>
      </c>
      <c r="AL1257" s="23">
        <v>1</v>
      </c>
      <c r="AM1257" s="23"/>
      <c r="AN1257" s="54" t="e">
        <v>#N/A</v>
      </c>
      <c r="AO1257" s="47"/>
      <c r="AP1257" s="4">
        <v>1.6</v>
      </c>
      <c r="AQ1257" s="111">
        <f t="shared" si="369"/>
        <v>2.6999999999999996E-2</v>
      </c>
      <c r="AR1257">
        <f>_xlfn.XLOOKUP(F1257,'RM Cost'!A:A,'RM Cost'!S:S)</f>
        <v>0</v>
      </c>
      <c r="AS1257" t="str">
        <f>_xlfn.XLOOKUP(A1257,[3]Sheet1!$B:$B,[3]Sheet1!$B:$B)</f>
        <v>Z397CS</v>
      </c>
      <c r="AT1257">
        <f>_xlfn.XLOOKUP(H1257,'Yield &amp; Time'!A:A,'Yield &amp; Time'!F:F)</f>
        <v>0</v>
      </c>
    </row>
    <row r="1258" spans="1:46" x14ac:dyDescent="0.25">
      <c r="A1258" s="16" t="s">
        <v>1065</v>
      </c>
      <c r="B1258" s="2" t="s">
        <v>656</v>
      </c>
      <c r="C1258" s="2" t="s">
        <v>1066</v>
      </c>
      <c r="D1258" s="2" t="s">
        <v>554</v>
      </c>
      <c r="E1258" s="2">
        <v>1</v>
      </c>
      <c r="F1258" s="1" t="str">
        <f>VLOOKUP(H1258,'RM Used'!A:B,2,0)</f>
        <v>3001CS</v>
      </c>
      <c r="G1258" s="1" t="str">
        <f>IFERROR(VLOOKUP(F1258,'RM Cost'!A:B,2,0),"")</f>
        <v>RM - AUBERGINE 5KG</v>
      </c>
      <c r="H1258" s="1" t="s">
        <v>1425</v>
      </c>
      <c r="I1258" s="1" t="str">
        <f>VLOOKUP(F1258,'RM Used'!B:D,3,0)</f>
        <v>RM-FOOD</v>
      </c>
      <c r="J1258" s="66">
        <v>0.12</v>
      </c>
      <c r="K1258" s="35">
        <f t="shared" si="372"/>
        <v>0.12</v>
      </c>
      <c r="L1258" s="35">
        <f t="shared" si="361"/>
        <v>0.12</v>
      </c>
      <c r="M1258" s="77" cm="1">
        <f t="array" ref="M1258">_xlfn.IFS(BOM!I1258="RM-PACKING","100%",B1258="Reynolds",VLOOKUP(H1258,'Yield &amp; Time'!A:V,22,0),BOM!B1258="Dnata",VLOOKUP(BOM!H1258,'Yield &amp; Time'!A:M,13,0),B1258="NK",VLOOKUP(H1258,'Yield &amp; Time'!A:X,24,0))</f>
        <v>0.75</v>
      </c>
      <c r="N1258" s="35">
        <f t="shared" si="360"/>
        <v>0.16</v>
      </c>
      <c r="O1258" s="1" t="str">
        <f>VLOOKUP(H1258,'RM Used'!A:E,5,0)</f>
        <v>KG</v>
      </c>
      <c r="P1258" s="11">
        <f>VLOOKUP(H1258,'RM Used'!A:F,6,0)</f>
        <v>1.34</v>
      </c>
      <c r="Q1258" s="11">
        <f t="shared" si="370"/>
        <v>0.21440000000000001</v>
      </c>
      <c r="R1258" s="11">
        <f>IFERROR(IF(B1258="Reynolds",VLOOKUP(H1258,'Yield &amp; Time'!A:U,21,0),VLOOKUP(H1258,'Yield &amp; Time'!A:L,12,0)),0)</f>
        <v>2.3222222222222224</v>
      </c>
      <c r="S1258" s="11">
        <f t="shared" si="362"/>
        <v>9.4328666666666658E-2</v>
      </c>
      <c r="T1258" s="11">
        <f t="shared" si="363"/>
        <v>4.644444444444445E-3</v>
      </c>
      <c r="U1258" s="11">
        <f>IF(A1257=A1258,0,VLOOKUP(A1258,'Packing Time'!A:F,6,0))</f>
        <v>0</v>
      </c>
      <c r="V1258" s="11">
        <f t="shared" si="373"/>
        <v>0</v>
      </c>
      <c r="W1258" s="11">
        <f t="shared" si="374"/>
        <v>0</v>
      </c>
      <c r="X1258" s="11">
        <f t="shared" si="364"/>
        <v>0.15092586666666666</v>
      </c>
      <c r="Y1258" s="11">
        <f t="shared" si="375"/>
        <v>0.15092586666666666</v>
      </c>
      <c r="Z1258" s="37">
        <v>1</v>
      </c>
      <c r="AA1258" s="36">
        <f t="shared" si="365"/>
        <v>0.16</v>
      </c>
      <c r="AB1258" s="36">
        <f t="shared" si="366"/>
        <v>0.21440000000000001</v>
      </c>
      <c r="AC1258" s="11">
        <f t="shared" si="367"/>
        <v>7.4311111111111123E-3</v>
      </c>
      <c r="AD1258" s="36">
        <f t="shared" si="376"/>
        <v>0.15092586666666669</v>
      </c>
      <c r="AE1258" s="36" t="str">
        <f>VLOOKUP(H1258,'Yield &amp; Time'!A:I,9,0)</f>
        <v>SODIUM METABISULPHITE</v>
      </c>
      <c r="AF1258" s="36">
        <f>IFERROR(VLOOKUP(AE1258,'Chemical Cost'!A:D,4,0),0)</f>
        <v>9.7586225455882462E-3</v>
      </c>
      <c r="AG1258" s="114">
        <f t="shared" si="368"/>
        <v>5.2045986909803976E-4</v>
      </c>
      <c r="AH1258" s="36">
        <f t="shared" si="371"/>
        <v>5.2045986909803976E-4</v>
      </c>
      <c r="AI1258" s="36">
        <f t="shared" si="377"/>
        <v>0.36584632653576471</v>
      </c>
      <c r="AJ1258" s="36">
        <f>IFERROR(VLOOKUP(A1258,'All Products'!A:F,6,0),0)</f>
        <v>7.1</v>
      </c>
      <c r="AK1258" s="36">
        <f t="shared" si="378"/>
        <v>0.85199999999999998</v>
      </c>
      <c r="AL1258" s="23">
        <v>1</v>
      </c>
      <c r="AM1258" s="23"/>
      <c r="AN1258" s="54" t="e">
        <v>#N/A</v>
      </c>
      <c r="AO1258" s="47"/>
      <c r="AP1258" s="4">
        <v>1.6</v>
      </c>
      <c r="AQ1258" s="111">
        <f t="shared" si="369"/>
        <v>7.4311111111111123E-3</v>
      </c>
      <c r="AR1258">
        <f>_xlfn.XLOOKUP(F1258,'RM Cost'!A:A,'RM Cost'!S:S)</f>
        <v>0</v>
      </c>
      <c r="AS1258" t="str">
        <f>_xlfn.XLOOKUP(A1258,[3]Sheet1!$B:$B,[3]Sheet1!$B:$B)</f>
        <v>Z397CS</v>
      </c>
      <c r="AT1258">
        <f>_xlfn.XLOOKUP(H1258,'Yield &amp; Time'!A:A,'Yield &amp; Time'!F:F)</f>
        <v>0</v>
      </c>
    </row>
    <row r="1259" spans="1:46" x14ac:dyDescent="0.25">
      <c r="A1259" s="16" t="s">
        <v>1065</v>
      </c>
      <c r="B1259" s="2" t="s">
        <v>656</v>
      </c>
      <c r="C1259" s="2" t="s">
        <v>1066</v>
      </c>
      <c r="D1259" s="2" t="s">
        <v>554</v>
      </c>
      <c r="E1259" s="2">
        <v>1</v>
      </c>
      <c r="F1259" s="1" t="str">
        <f>VLOOKUP(H1259,'RM Used'!A:B,2,0)</f>
        <v>P0008</v>
      </c>
      <c r="G1259" s="1" t="str">
        <f>IFERROR(VLOOKUP(F1259,'RM Cost'!A:B,2,0),"")</f>
        <v>PALE BLUE BAG 470X750MM</v>
      </c>
      <c r="H1259" s="1" t="s">
        <v>1323</v>
      </c>
      <c r="I1259" s="1" t="str">
        <f>VLOOKUP(F1259,'RM Used'!B:D,3,0)</f>
        <v>RM-PACKING</v>
      </c>
      <c r="J1259" s="66">
        <v>1</v>
      </c>
      <c r="K1259" s="35" t="str">
        <f t="shared" si="372"/>
        <v/>
      </c>
      <c r="L1259" s="35">
        <f t="shared" si="361"/>
        <v>0</v>
      </c>
      <c r="M1259" s="77" t="str" cm="1">
        <f t="array" ref="M1259">_xlfn.IFS(BOM!I1259="RM-PACKING","100%",B1259="Reynolds",VLOOKUP(H1259,'Yield &amp; Time'!A:V,22,0),BOM!B1259="Dnata",VLOOKUP(BOM!H1259,'Yield &amp; Time'!A:M,13,0),B1259="NK",VLOOKUP(H1259,'Yield &amp; Time'!A:X,24,0))</f>
        <v>100%</v>
      </c>
      <c r="N1259" s="35">
        <f t="shared" si="360"/>
        <v>1</v>
      </c>
      <c r="O1259" s="1" t="str">
        <f>VLOOKUP(H1259,'RM Used'!A:E,5,0)</f>
        <v>Count</v>
      </c>
      <c r="P1259" s="11">
        <f>VLOOKUP(H1259,'RM Used'!A:F,6,0)</f>
        <v>0.14000000000000001</v>
      </c>
      <c r="Q1259" s="11">
        <f t="shared" si="370"/>
        <v>0.14000000000000001</v>
      </c>
      <c r="R1259" s="11">
        <f>IFERROR(IF(B1259="Reynolds",VLOOKUP(H1259,'Yield &amp; Time'!A:U,21,0),VLOOKUP(H1259,'Yield &amp; Time'!A:L,12,0)),0)</f>
        <v>0</v>
      </c>
      <c r="S1259" s="11">
        <f t="shared" si="362"/>
        <v>0</v>
      </c>
      <c r="T1259" s="11">
        <f t="shared" si="363"/>
        <v>0</v>
      </c>
      <c r="U1259" s="11">
        <f>IF(A1258=A1259,0,VLOOKUP(A1259,'Packing Time'!A:F,6,0))</f>
        <v>0</v>
      </c>
      <c r="V1259" s="11">
        <f t="shared" si="373"/>
        <v>0</v>
      </c>
      <c r="W1259" s="11">
        <f t="shared" si="374"/>
        <v>0</v>
      </c>
      <c r="X1259" s="11">
        <f t="shared" si="364"/>
        <v>0</v>
      </c>
      <c r="Y1259" s="11">
        <f t="shared" si="375"/>
        <v>0</v>
      </c>
      <c r="Z1259" s="37">
        <v>1</v>
      </c>
      <c r="AA1259" s="36">
        <f t="shared" si="365"/>
        <v>1</v>
      </c>
      <c r="AB1259" s="36">
        <f t="shared" si="366"/>
        <v>0.14000000000000001</v>
      </c>
      <c r="AC1259" s="11">
        <f t="shared" si="367"/>
        <v>0</v>
      </c>
      <c r="AD1259" s="36">
        <f t="shared" si="376"/>
        <v>0</v>
      </c>
      <c r="AE1259" s="36"/>
      <c r="AF1259" s="36">
        <f>IFERROR(VLOOKUP(AE1259,'Chemical Cost'!A:D,4,0),0)</f>
        <v>0</v>
      </c>
      <c r="AG1259" s="114">
        <f t="shared" si="368"/>
        <v>0</v>
      </c>
      <c r="AH1259" s="36">
        <f t="shared" si="371"/>
        <v>0</v>
      </c>
      <c r="AI1259" s="36">
        <f t="shared" si="377"/>
        <v>0.14000000000000001</v>
      </c>
      <c r="AJ1259" s="36">
        <f>IFERROR(VLOOKUP(A1259,'All Products'!A:F,6,0),0)</f>
        <v>7.1</v>
      </c>
      <c r="AK1259" s="36"/>
      <c r="AL1259" s="23">
        <v>1</v>
      </c>
      <c r="AM1259" s="23"/>
      <c r="AN1259" s="54" t="e">
        <v>#N/A</v>
      </c>
      <c r="AO1259" s="47"/>
      <c r="AP1259" s="4">
        <v>1.6</v>
      </c>
      <c r="AQ1259" s="111">
        <f t="shared" si="369"/>
        <v>0</v>
      </c>
      <c r="AR1259">
        <f>_xlfn.XLOOKUP(F1259,'RM Cost'!A:A,'RM Cost'!S:S)</f>
        <v>0</v>
      </c>
      <c r="AS1259" t="str">
        <f>_xlfn.XLOOKUP(A1259,[3]Sheet1!$B:$B,[3]Sheet1!$B:$B)</f>
        <v>Z397CS</v>
      </c>
      <c r="AT1259" t="e">
        <f>_xlfn.XLOOKUP(H1259,'Yield &amp; Time'!A:A,'Yield &amp; Time'!F:F)</f>
        <v>#N/A</v>
      </c>
    </row>
    <row r="1260" spans="1:46" x14ac:dyDescent="0.25">
      <c r="A1260" s="16" t="s">
        <v>1067</v>
      </c>
      <c r="B1260" s="2" t="s">
        <v>656</v>
      </c>
      <c r="C1260" s="2" t="s">
        <v>1068</v>
      </c>
      <c r="D1260" s="2" t="s">
        <v>554</v>
      </c>
      <c r="E1260" s="2">
        <v>2.5</v>
      </c>
      <c r="F1260" s="1" t="str">
        <f>VLOOKUP(H1260,'RM Used'!A:B,2,0)</f>
        <v>1318CS</v>
      </c>
      <c r="G1260" s="1" t="str">
        <f>IFERROR(VLOOKUP(F1260,'RM Cost'!A:B,2,0),"")</f>
        <v>RM - PREP ONION RED WHOLE 2.5KG</v>
      </c>
      <c r="H1260" s="2" t="s">
        <v>1423</v>
      </c>
      <c r="I1260" s="1" t="str">
        <f>VLOOKUP(F1260,'RM Used'!B:D,3,0)</f>
        <v>RM-FOOD</v>
      </c>
      <c r="J1260" s="66">
        <v>0.25</v>
      </c>
      <c r="K1260" s="35">
        <f t="shared" si="372"/>
        <v>0.625</v>
      </c>
      <c r="L1260" s="35">
        <f t="shared" si="361"/>
        <v>0.625</v>
      </c>
      <c r="M1260" s="77" cm="1">
        <f t="array" ref="M1260">_xlfn.IFS(BOM!I1260="RM-PACKING","100%",B1260="Reynolds",VLOOKUP(H1260,'Yield &amp; Time'!A:V,22,0),BOM!B1260="Dnata",VLOOKUP(BOM!H1260,'Yield &amp; Time'!A:M,13,0),B1260="NK",VLOOKUP(H1260,'Yield &amp; Time'!A:X,24,0))</f>
        <v>0.74712643678160917</v>
      </c>
      <c r="N1260" s="35">
        <f t="shared" si="360"/>
        <v>0.83653846153846156</v>
      </c>
      <c r="O1260" s="1" t="str">
        <f>VLOOKUP(H1260,'RM Used'!A:E,5,0)</f>
        <v>KG</v>
      </c>
      <c r="P1260" s="11">
        <f>VLOOKUP(H1260,'RM Used'!A:F,6,0)</f>
        <v>1.08</v>
      </c>
      <c r="Q1260" s="11">
        <f t="shared" si="370"/>
        <v>0.90346153846153854</v>
      </c>
      <c r="R1260" s="11">
        <f>IFERROR(IF(B1260="Reynolds",VLOOKUP(H1260,'Yield &amp; Time'!A:U,21,0),VLOOKUP(H1260,'Yield &amp; Time'!A:L,12,0)),0)</f>
        <v>4.615384615384615</v>
      </c>
      <c r="S1260" s="11">
        <f t="shared" si="362"/>
        <v>0.97644230769230744</v>
      </c>
      <c r="T1260" s="11">
        <f t="shared" si="363"/>
        <v>4.8076923076923066E-2</v>
      </c>
      <c r="U1260" s="11">
        <f>IF(A1259=A1260,0,VLOOKUP(A1260,'Packing Time'!A:F,6,0))</f>
        <v>0.875</v>
      </c>
      <c r="V1260" s="11">
        <f t="shared" si="373"/>
        <v>0.29618749999999999</v>
      </c>
      <c r="W1260" s="11">
        <f t="shared" si="374"/>
        <v>1.4583333333333334E-2</v>
      </c>
      <c r="X1260" s="11">
        <f t="shared" si="364"/>
        <v>2.0362076923076922</v>
      </c>
      <c r="Y1260" s="11">
        <f t="shared" si="375"/>
        <v>2.0362076923076922</v>
      </c>
      <c r="Z1260" s="37">
        <v>1</v>
      </c>
      <c r="AA1260" s="36">
        <f t="shared" si="365"/>
        <v>0.83653846153846156</v>
      </c>
      <c r="AB1260" s="36">
        <f t="shared" si="366"/>
        <v>0.90346153846153854</v>
      </c>
      <c r="AC1260" s="11">
        <f t="shared" si="367"/>
        <v>0.10025641025641024</v>
      </c>
      <c r="AD1260" s="36">
        <f t="shared" si="376"/>
        <v>2.0362076923076917</v>
      </c>
      <c r="AE1260" s="36"/>
      <c r="AF1260" s="36">
        <f>IFERROR(VLOOKUP(AE1260,'Chemical Cost'!A:D,4,0),0)</f>
        <v>0</v>
      </c>
      <c r="AG1260" s="114">
        <f t="shared" si="368"/>
        <v>0</v>
      </c>
      <c r="AH1260" s="36">
        <f t="shared" si="371"/>
        <v>0</v>
      </c>
      <c r="AI1260" s="36">
        <f t="shared" si="377"/>
        <v>2.9396692307692307</v>
      </c>
      <c r="AJ1260" s="36">
        <f>IFERROR(VLOOKUP(A1260,'All Products'!A:F,6,0),0)</f>
        <v>17.75</v>
      </c>
      <c r="AK1260" s="36">
        <f t="shared" ref="AK1260:AK1265" si="379">AJ1260*Z1260*J1260</f>
        <v>4.4375</v>
      </c>
      <c r="AL1260" s="23">
        <v>1</v>
      </c>
      <c r="AM1260" s="23"/>
      <c r="AN1260" s="54" t="e">
        <v>#N/A</v>
      </c>
      <c r="AO1260" s="47"/>
      <c r="AP1260" s="4">
        <v>1.6</v>
      </c>
      <c r="AQ1260" s="111">
        <f t="shared" si="369"/>
        <v>0.10025641025641024</v>
      </c>
      <c r="AR1260">
        <f>_xlfn.XLOOKUP(F1260,'RM Cost'!A:A,'RM Cost'!S:S)</f>
        <v>0</v>
      </c>
      <c r="AS1260" t="str">
        <f>_xlfn.XLOOKUP(A1260,[3]Sheet1!$B:$B,[3]Sheet1!$B:$B)</f>
        <v>Z396CS</v>
      </c>
      <c r="AT1260">
        <f>_xlfn.XLOOKUP(H1260,'Yield &amp; Time'!A:A,'Yield &amp; Time'!F:F)</f>
        <v>0</v>
      </c>
    </row>
    <row r="1261" spans="1:46" x14ac:dyDescent="0.25">
      <c r="A1261" s="16" t="s">
        <v>1067</v>
      </c>
      <c r="B1261" s="2" t="s">
        <v>656</v>
      </c>
      <c r="C1261" s="2" t="s">
        <v>1068</v>
      </c>
      <c r="D1261" s="2" t="s">
        <v>554</v>
      </c>
      <c r="E1261" s="2">
        <v>2.5</v>
      </c>
      <c r="F1261" s="1" t="str">
        <f>VLOOKUP(H1261,'RM Used'!A:B,2,0)</f>
        <v>0930CS</v>
      </c>
      <c r="G1261" s="1" t="str">
        <f>IFERROR(VLOOKUP(F1261,'RM Cost'!A:B,2,0),"")</f>
        <v>RM - COURGETTE STANDARD</v>
      </c>
      <c r="H1261" s="2" t="s">
        <v>1424</v>
      </c>
      <c r="I1261" s="1" t="str">
        <f>VLOOKUP(F1261,'RM Used'!B:D,3,0)</f>
        <v>RM-FOOD</v>
      </c>
      <c r="J1261" s="66">
        <v>0.18</v>
      </c>
      <c r="K1261" s="35">
        <f t="shared" si="372"/>
        <v>0.44999999999999996</v>
      </c>
      <c r="L1261" s="35">
        <f t="shared" si="361"/>
        <v>0.44999999999999996</v>
      </c>
      <c r="M1261" s="77" cm="1">
        <f t="array" ref="M1261">_xlfn.IFS(BOM!I1261="RM-PACKING","100%",B1261="Reynolds",VLOOKUP(H1261,'Yield &amp; Time'!A:V,22,0),BOM!B1261="Dnata",VLOOKUP(BOM!H1261,'Yield &amp; Time'!A:M,13,0),B1261="NK",VLOOKUP(H1261,'Yield &amp; Time'!A:X,24,0))</f>
        <v>0.75230092036814722</v>
      </c>
      <c r="N1261" s="35">
        <f t="shared" si="360"/>
        <v>0.5981648936170213</v>
      </c>
      <c r="O1261" s="1" t="str">
        <f>VLOOKUP(H1261,'RM Used'!A:E,5,0)</f>
        <v>KG</v>
      </c>
      <c r="P1261" s="11">
        <f>VLOOKUP(H1261,'RM Used'!A:F,6,0)</f>
        <v>1.1000000000000001</v>
      </c>
      <c r="Q1261" s="11">
        <f t="shared" si="370"/>
        <v>0.65798138297872344</v>
      </c>
      <c r="R1261" s="11">
        <f>IFERROR(IF(B1261="Reynolds",VLOOKUP(H1261,'Yield &amp; Time'!A:U,21,0),VLOOKUP(H1261,'Yield &amp; Time'!A:L,12,0)),0)</f>
        <v>2.2225177304964538</v>
      </c>
      <c r="S1261" s="11">
        <f t="shared" si="362"/>
        <v>0.33854501329787234</v>
      </c>
      <c r="T1261" s="11">
        <f t="shared" si="363"/>
        <v>1.6668882978723407E-2</v>
      </c>
      <c r="U1261" s="11">
        <f>IF(A1260=A1261,0,VLOOKUP(A1261,'Packing Time'!A:F,6,0))</f>
        <v>0</v>
      </c>
      <c r="V1261" s="11">
        <f t="shared" si="373"/>
        <v>0</v>
      </c>
      <c r="W1261" s="11">
        <f t="shared" si="374"/>
        <v>0</v>
      </c>
      <c r="X1261" s="11">
        <f t="shared" si="364"/>
        <v>0.54167202127659575</v>
      </c>
      <c r="Y1261" s="11">
        <f t="shared" si="375"/>
        <v>0.54167202127659575</v>
      </c>
      <c r="Z1261" s="37">
        <v>1</v>
      </c>
      <c r="AA1261" s="36">
        <f t="shared" si="365"/>
        <v>0.5981648936170213</v>
      </c>
      <c r="AB1261" s="36">
        <f t="shared" si="366"/>
        <v>0.65798138297872344</v>
      </c>
      <c r="AC1261" s="11">
        <f t="shared" si="367"/>
        <v>2.6670212765957452E-2</v>
      </c>
      <c r="AD1261" s="36">
        <f t="shared" si="376"/>
        <v>0.54167202127659586</v>
      </c>
      <c r="AE1261" s="36"/>
      <c r="AF1261" s="36">
        <f>IFERROR(VLOOKUP(AE1261,'Chemical Cost'!A:D,4,0),0)</f>
        <v>0</v>
      </c>
      <c r="AG1261" s="114">
        <f t="shared" si="368"/>
        <v>0</v>
      </c>
      <c r="AH1261" s="36">
        <f t="shared" si="371"/>
        <v>0</v>
      </c>
      <c r="AI1261" s="36">
        <f t="shared" si="377"/>
        <v>1.1996534042553191</v>
      </c>
      <c r="AJ1261" s="36">
        <f>IFERROR(VLOOKUP(A1261,'All Products'!A:F,6,0),0)</f>
        <v>17.75</v>
      </c>
      <c r="AK1261" s="36">
        <f t="shared" si="379"/>
        <v>3.1949999999999998</v>
      </c>
      <c r="AL1261" s="23">
        <v>1</v>
      </c>
      <c r="AM1261" s="23"/>
      <c r="AN1261" s="54" t="e">
        <v>#N/A</v>
      </c>
      <c r="AO1261" s="47"/>
      <c r="AP1261" s="4">
        <v>1.6</v>
      </c>
      <c r="AQ1261" s="111">
        <f t="shared" si="369"/>
        <v>2.6670212765957452E-2</v>
      </c>
      <c r="AR1261">
        <f>_xlfn.XLOOKUP(F1261,'RM Cost'!A:A,'RM Cost'!S:S)</f>
        <v>1.1644775886170367</v>
      </c>
      <c r="AS1261" t="str">
        <f>_xlfn.XLOOKUP(A1261,[3]Sheet1!$B:$B,[3]Sheet1!$B:$B)</f>
        <v>Z396CS</v>
      </c>
      <c r="AT1261">
        <f>_xlfn.XLOOKUP(H1261,'Yield &amp; Time'!A:A,'Yield &amp; Time'!F:F)</f>
        <v>0</v>
      </c>
    </row>
    <row r="1262" spans="1:46" x14ac:dyDescent="0.25">
      <c r="A1262" s="16" t="s">
        <v>1067</v>
      </c>
      <c r="B1262" s="2" t="s">
        <v>656</v>
      </c>
      <c r="C1262" s="2" t="s">
        <v>1068</v>
      </c>
      <c r="D1262" s="2" t="s">
        <v>554</v>
      </c>
      <c r="E1262" s="2">
        <v>2.5</v>
      </c>
      <c r="F1262" s="1" t="str">
        <f>VLOOKUP(H1262,'RM Used'!A:B,2,0)</f>
        <v>3567CS</v>
      </c>
      <c r="G1262" s="1" t="str">
        <f>IFERROR(VLOOKUP(F1262,'RM Cost'!A:B,2,0),"")</f>
        <v>RM - PEPPERS YELLOW  X 5KG</v>
      </c>
      <c r="H1262" s="1" t="s">
        <v>1399</v>
      </c>
      <c r="I1262" s="1" t="str">
        <f>VLOOKUP(F1262,'RM Used'!B:D,3,0)</f>
        <v>RM-FOOD</v>
      </c>
      <c r="J1262" s="66">
        <v>0.15</v>
      </c>
      <c r="K1262" s="35">
        <f t="shared" si="372"/>
        <v>0.375</v>
      </c>
      <c r="L1262" s="35">
        <f t="shared" si="361"/>
        <v>0.375</v>
      </c>
      <c r="M1262" s="77" cm="1">
        <f t="array" ref="M1262">_xlfn.IFS(BOM!I1262="RM-PACKING","100%",B1262="Reynolds",VLOOKUP(H1262,'Yield &amp; Time'!A:V,22,0),BOM!B1262="Dnata",VLOOKUP(BOM!H1262,'Yield &amp; Time'!A:M,13,0),B1262="NK",VLOOKUP(H1262,'Yield &amp; Time'!A:X,24,0))</f>
        <v>0.45454545454545459</v>
      </c>
      <c r="N1262" s="35">
        <f t="shared" si="360"/>
        <v>0.82499999999999996</v>
      </c>
      <c r="O1262" s="1" t="str">
        <f>VLOOKUP(H1262,'RM Used'!A:E,5,0)</f>
        <v>KG</v>
      </c>
      <c r="P1262" s="11">
        <f>VLOOKUP(H1262,'RM Used'!A:F,6,0)</f>
        <v>1.68</v>
      </c>
      <c r="Q1262" s="11">
        <f t="shared" si="370"/>
        <v>1.3859999999999999</v>
      </c>
      <c r="R1262" s="11">
        <f>IFERROR(IF(B1262="Reynolds",VLOOKUP(H1262,'Yield &amp; Time'!A:U,21,0),VLOOKUP(H1262,'Yield &amp; Time'!A:L,12,0)),0)</f>
        <v>6.75</v>
      </c>
      <c r="S1262" s="11">
        <f t="shared" si="362"/>
        <v>0.85682812499999994</v>
      </c>
      <c r="T1262" s="11">
        <f t="shared" si="363"/>
        <v>4.2187500000000003E-2</v>
      </c>
      <c r="U1262" s="11">
        <f>IF(A1261=A1262,0,VLOOKUP(A1262,'Packing Time'!A:F,6,0))</f>
        <v>0</v>
      </c>
      <c r="V1262" s="11">
        <f t="shared" si="373"/>
        <v>0</v>
      </c>
      <c r="W1262" s="11">
        <f t="shared" si="374"/>
        <v>0</v>
      </c>
      <c r="X1262" s="11">
        <f t="shared" si="364"/>
        <v>1.3709249999999999</v>
      </c>
      <c r="Y1262" s="11">
        <f t="shared" si="375"/>
        <v>1.3709249999999999</v>
      </c>
      <c r="Z1262" s="37">
        <v>1</v>
      </c>
      <c r="AA1262" s="36">
        <f t="shared" si="365"/>
        <v>0.82499999999999996</v>
      </c>
      <c r="AB1262" s="36">
        <f t="shared" si="366"/>
        <v>1.3859999999999999</v>
      </c>
      <c r="AC1262" s="11">
        <f t="shared" si="367"/>
        <v>6.7500000000000004E-2</v>
      </c>
      <c r="AD1262" s="36">
        <f t="shared" si="376"/>
        <v>1.3709250000000002</v>
      </c>
      <c r="AE1262" s="36"/>
      <c r="AF1262" s="36">
        <f>IFERROR(VLOOKUP(AE1262,'Chemical Cost'!A:D,4,0),0)</f>
        <v>0</v>
      </c>
      <c r="AG1262" s="114">
        <f t="shared" si="368"/>
        <v>0</v>
      </c>
      <c r="AH1262" s="36">
        <f t="shared" si="371"/>
        <v>0</v>
      </c>
      <c r="AI1262" s="36">
        <f t="shared" si="377"/>
        <v>2.7569249999999998</v>
      </c>
      <c r="AJ1262" s="36">
        <f>IFERROR(VLOOKUP(A1262,'All Products'!A:F,6,0),0)</f>
        <v>17.75</v>
      </c>
      <c r="AK1262" s="36">
        <f t="shared" si="379"/>
        <v>2.6625000000000001</v>
      </c>
      <c r="AL1262" s="23">
        <v>1</v>
      </c>
      <c r="AM1262" s="23"/>
      <c r="AN1262" s="54" t="e">
        <v>#N/A</v>
      </c>
      <c r="AO1262" s="47"/>
      <c r="AP1262" s="4">
        <v>1.6</v>
      </c>
      <c r="AQ1262" s="111">
        <f t="shared" si="369"/>
        <v>6.7500000000000004E-2</v>
      </c>
      <c r="AR1262">
        <f>_xlfn.XLOOKUP(F1262,'RM Cost'!A:A,'RM Cost'!S:S)</f>
        <v>0</v>
      </c>
      <c r="AS1262" t="str">
        <f>_xlfn.XLOOKUP(A1262,[3]Sheet1!$B:$B,[3]Sheet1!$B:$B)</f>
        <v>Z396CS</v>
      </c>
      <c r="AT1262">
        <f>_xlfn.XLOOKUP(H1262,'Yield &amp; Time'!A:A,'Yield &amp; Time'!F:F)</f>
        <v>0</v>
      </c>
    </row>
    <row r="1263" spans="1:46" x14ac:dyDescent="0.25">
      <c r="A1263" s="16" t="s">
        <v>1067</v>
      </c>
      <c r="B1263" s="2" t="s">
        <v>656</v>
      </c>
      <c r="C1263" s="2" t="s">
        <v>1068</v>
      </c>
      <c r="D1263" s="2" t="s">
        <v>554</v>
      </c>
      <c r="E1263" s="2">
        <v>2.5</v>
      </c>
      <c r="F1263" s="1" t="str">
        <f>VLOOKUP(H1263,'RM Used'!A:B,2,0)</f>
        <v>3565CS</v>
      </c>
      <c r="G1263" s="1" t="str">
        <f>IFERROR(VLOOKUP(F1263,'RM Cost'!A:B,2,0),"")</f>
        <v>RM - PEPPERS GREEN  X 5KG</v>
      </c>
      <c r="H1263" s="1" t="s">
        <v>1398</v>
      </c>
      <c r="I1263" s="1" t="str">
        <f>VLOOKUP(F1263,'RM Used'!B:D,3,0)</f>
        <v>RM-FOOD</v>
      </c>
      <c r="J1263" s="66">
        <v>0.15</v>
      </c>
      <c r="K1263" s="35">
        <f t="shared" si="372"/>
        <v>0.375</v>
      </c>
      <c r="L1263" s="35">
        <f t="shared" si="361"/>
        <v>0.375</v>
      </c>
      <c r="M1263" s="77" cm="1">
        <f t="array" ref="M1263">_xlfn.IFS(BOM!I1263="RM-PACKING","100%",B1263="Reynolds",VLOOKUP(H1263,'Yield &amp; Time'!A:V,22,0),BOM!B1263="Dnata",VLOOKUP(BOM!H1263,'Yield &amp; Time'!A:M,13,0),B1263="NK",VLOOKUP(H1263,'Yield &amp; Time'!A:X,24,0))</f>
        <v>0.45454545454545459</v>
      </c>
      <c r="N1263" s="35">
        <f t="shared" si="360"/>
        <v>0.82499999999999996</v>
      </c>
      <c r="O1263" s="1" t="str">
        <f>VLOOKUP(H1263,'RM Used'!A:E,5,0)</f>
        <v>KG</v>
      </c>
      <c r="P1263" s="11">
        <f>VLOOKUP(H1263,'RM Used'!A:F,6,0)</f>
        <v>1.76</v>
      </c>
      <c r="Q1263" s="11">
        <f t="shared" si="370"/>
        <v>1.452</v>
      </c>
      <c r="R1263" s="11">
        <f>IFERROR(IF(B1263="Reynolds",VLOOKUP(H1263,'Yield &amp; Time'!A:U,21,0),VLOOKUP(H1263,'Yield &amp; Time'!A:L,12,0)),0)</f>
        <v>6.75</v>
      </c>
      <c r="S1263" s="11">
        <f t="shared" si="362"/>
        <v>0.85682812499999994</v>
      </c>
      <c r="T1263" s="11">
        <f t="shared" si="363"/>
        <v>4.2187500000000003E-2</v>
      </c>
      <c r="U1263" s="11">
        <f>IF(A1262=A1263,0,VLOOKUP(A1263,'Packing Time'!A:F,6,0))</f>
        <v>0</v>
      </c>
      <c r="V1263" s="11">
        <f t="shared" si="373"/>
        <v>0</v>
      </c>
      <c r="W1263" s="11">
        <f t="shared" si="374"/>
        <v>0</v>
      </c>
      <c r="X1263" s="11">
        <f t="shared" si="364"/>
        <v>1.3709249999999999</v>
      </c>
      <c r="Y1263" s="11">
        <f t="shared" si="375"/>
        <v>1.3709249999999999</v>
      </c>
      <c r="Z1263" s="37">
        <v>1</v>
      </c>
      <c r="AA1263" s="36">
        <f t="shared" si="365"/>
        <v>0.82499999999999996</v>
      </c>
      <c r="AB1263" s="36">
        <f t="shared" si="366"/>
        <v>1.452</v>
      </c>
      <c r="AC1263" s="11">
        <f t="shared" si="367"/>
        <v>6.7500000000000004E-2</v>
      </c>
      <c r="AD1263" s="36">
        <f t="shared" si="376"/>
        <v>1.3709250000000002</v>
      </c>
      <c r="AE1263" s="36"/>
      <c r="AF1263" s="36">
        <f>IFERROR(VLOOKUP(AE1263,'Chemical Cost'!A:D,4,0),0)</f>
        <v>0</v>
      </c>
      <c r="AG1263" s="114">
        <f t="shared" si="368"/>
        <v>0</v>
      </c>
      <c r="AH1263" s="36">
        <f t="shared" si="371"/>
        <v>0</v>
      </c>
      <c r="AI1263" s="36">
        <f t="shared" si="377"/>
        <v>2.8229249999999997</v>
      </c>
      <c r="AJ1263" s="36">
        <f>IFERROR(VLOOKUP(A1263,'All Products'!A:F,6,0),0)</f>
        <v>17.75</v>
      </c>
      <c r="AK1263" s="36">
        <f t="shared" si="379"/>
        <v>2.6625000000000001</v>
      </c>
      <c r="AL1263" s="23">
        <v>1</v>
      </c>
      <c r="AM1263" s="23"/>
      <c r="AN1263" s="54" t="e">
        <v>#N/A</v>
      </c>
      <c r="AO1263" s="47"/>
      <c r="AP1263" s="4">
        <v>1.6</v>
      </c>
      <c r="AQ1263" s="111">
        <f t="shared" si="369"/>
        <v>6.7500000000000004E-2</v>
      </c>
      <c r="AR1263">
        <f>_xlfn.XLOOKUP(F1263,'RM Cost'!A:A,'RM Cost'!S:S)</f>
        <v>0</v>
      </c>
      <c r="AS1263" t="str">
        <f>_xlfn.XLOOKUP(A1263,[3]Sheet1!$B:$B,[3]Sheet1!$B:$B)</f>
        <v>Z396CS</v>
      </c>
      <c r="AT1263">
        <f>_xlfn.XLOOKUP(H1263,'Yield &amp; Time'!A:A,'Yield &amp; Time'!F:F)</f>
        <v>0</v>
      </c>
    </row>
    <row r="1264" spans="1:46" x14ac:dyDescent="0.25">
      <c r="A1264" s="16" t="s">
        <v>1067</v>
      </c>
      <c r="B1264" s="2" t="s">
        <v>656</v>
      </c>
      <c r="C1264" s="2" t="s">
        <v>1068</v>
      </c>
      <c r="D1264" s="2" t="s">
        <v>554</v>
      </c>
      <c r="E1264" s="2">
        <v>2.5</v>
      </c>
      <c r="F1264" s="1" t="str">
        <f>VLOOKUP(H1264,'RM Used'!A:B,2,0)</f>
        <v>3566CS</v>
      </c>
      <c r="G1264" s="1" t="str">
        <f>IFERROR(VLOOKUP(F1264,'RM Cost'!A:B,2,0),"")</f>
        <v>PEPPERS RED X 5KG</v>
      </c>
      <c r="H1264" s="1" t="s">
        <v>1397</v>
      </c>
      <c r="I1264" s="1" t="str">
        <f>VLOOKUP(F1264,'RM Used'!B:D,3,0)</f>
        <v>RM-FOOD</v>
      </c>
      <c r="J1264" s="66">
        <v>0.15</v>
      </c>
      <c r="K1264" s="35">
        <f t="shared" si="372"/>
        <v>0.375</v>
      </c>
      <c r="L1264" s="35">
        <f t="shared" si="361"/>
        <v>0.375</v>
      </c>
      <c r="M1264" s="77" cm="1">
        <f t="array" ref="M1264">_xlfn.IFS(BOM!I1264="RM-PACKING","100%",B1264="Reynolds",VLOOKUP(H1264,'Yield &amp; Time'!A:V,22,0),BOM!B1264="Dnata",VLOOKUP(BOM!H1264,'Yield &amp; Time'!A:M,13,0),B1264="NK",VLOOKUP(H1264,'Yield &amp; Time'!A:X,24,0))</f>
        <v>0.45454545454545459</v>
      </c>
      <c r="N1264" s="35">
        <f t="shared" si="360"/>
        <v>0.82499999999999996</v>
      </c>
      <c r="O1264" s="1" t="str">
        <f>VLOOKUP(H1264,'RM Used'!A:E,5,0)</f>
        <v>KG</v>
      </c>
      <c r="P1264" s="11">
        <f>VLOOKUP(H1264,'RM Used'!A:F,6,0)</f>
        <v>1.72</v>
      </c>
      <c r="Q1264" s="11">
        <f t="shared" si="370"/>
        <v>1.4189999999999998</v>
      </c>
      <c r="R1264" s="11">
        <f>IFERROR(IF(B1264="Reynolds",VLOOKUP(H1264,'Yield &amp; Time'!A:U,21,0),VLOOKUP(H1264,'Yield &amp; Time'!A:L,12,0)),0)</f>
        <v>6.75</v>
      </c>
      <c r="S1264" s="11">
        <f t="shared" si="362"/>
        <v>0.85682812499999994</v>
      </c>
      <c r="T1264" s="11">
        <f t="shared" si="363"/>
        <v>4.2187500000000003E-2</v>
      </c>
      <c r="U1264" s="11">
        <f>IF(A1263=A1264,0,VLOOKUP(A1264,'Packing Time'!A:F,6,0))</f>
        <v>0</v>
      </c>
      <c r="V1264" s="11">
        <f t="shared" si="373"/>
        <v>0</v>
      </c>
      <c r="W1264" s="11">
        <f t="shared" si="374"/>
        <v>0</v>
      </c>
      <c r="X1264" s="11">
        <f t="shared" si="364"/>
        <v>1.3709249999999999</v>
      </c>
      <c r="Y1264" s="11">
        <f t="shared" si="375"/>
        <v>1.3709249999999999</v>
      </c>
      <c r="Z1264" s="37">
        <v>1</v>
      </c>
      <c r="AA1264" s="36">
        <f t="shared" si="365"/>
        <v>0.82499999999999996</v>
      </c>
      <c r="AB1264" s="36">
        <f t="shared" si="366"/>
        <v>1.4189999999999998</v>
      </c>
      <c r="AC1264" s="11">
        <f t="shared" si="367"/>
        <v>6.7500000000000004E-2</v>
      </c>
      <c r="AD1264" s="36">
        <f t="shared" si="376"/>
        <v>1.3709250000000002</v>
      </c>
      <c r="AE1264" s="36"/>
      <c r="AF1264" s="36">
        <f>IFERROR(VLOOKUP(AE1264,'Chemical Cost'!A:D,4,0),0)</f>
        <v>0</v>
      </c>
      <c r="AG1264" s="114">
        <f t="shared" si="368"/>
        <v>0</v>
      </c>
      <c r="AH1264" s="36">
        <f t="shared" si="371"/>
        <v>0</v>
      </c>
      <c r="AI1264" s="36">
        <f t="shared" si="377"/>
        <v>2.7899249999999998</v>
      </c>
      <c r="AJ1264" s="36">
        <f>IFERROR(VLOOKUP(A1264,'All Products'!A:F,6,0),0)</f>
        <v>17.75</v>
      </c>
      <c r="AK1264" s="36">
        <f t="shared" si="379"/>
        <v>2.6625000000000001</v>
      </c>
      <c r="AL1264" s="23">
        <v>1</v>
      </c>
      <c r="AM1264" s="23"/>
      <c r="AN1264" s="54" t="e">
        <v>#N/A</v>
      </c>
      <c r="AO1264" s="47"/>
      <c r="AP1264" s="4">
        <v>1.6</v>
      </c>
      <c r="AQ1264" s="111">
        <f t="shared" si="369"/>
        <v>6.7500000000000004E-2</v>
      </c>
      <c r="AR1264">
        <f>_xlfn.XLOOKUP(F1264,'RM Cost'!A:A,'RM Cost'!S:S)</f>
        <v>0</v>
      </c>
      <c r="AS1264" t="str">
        <f>_xlfn.XLOOKUP(A1264,[3]Sheet1!$B:$B,[3]Sheet1!$B:$B)</f>
        <v>Z396CS</v>
      </c>
      <c r="AT1264">
        <f>_xlfn.XLOOKUP(H1264,'Yield &amp; Time'!A:A,'Yield &amp; Time'!F:F)</f>
        <v>0</v>
      </c>
    </row>
    <row r="1265" spans="1:46" x14ac:dyDescent="0.25">
      <c r="A1265" s="16" t="s">
        <v>1067</v>
      </c>
      <c r="B1265" s="2" t="s">
        <v>656</v>
      </c>
      <c r="C1265" s="2" t="s">
        <v>1068</v>
      </c>
      <c r="D1265" s="2" t="s">
        <v>554</v>
      </c>
      <c r="E1265" s="2">
        <v>2.5</v>
      </c>
      <c r="F1265" s="1" t="str">
        <f>VLOOKUP(H1265,'RM Used'!A:B,2,0)</f>
        <v>3001CS</v>
      </c>
      <c r="G1265" s="1" t="str">
        <f>IFERROR(VLOOKUP(F1265,'RM Cost'!A:B,2,0),"")</f>
        <v>RM - AUBERGINE 5KG</v>
      </c>
      <c r="H1265" s="1" t="s">
        <v>1425</v>
      </c>
      <c r="I1265" s="1" t="str">
        <f>VLOOKUP(F1265,'RM Used'!B:D,3,0)</f>
        <v>RM-FOOD</v>
      </c>
      <c r="J1265" s="66">
        <v>0.12</v>
      </c>
      <c r="K1265" s="35">
        <f t="shared" si="372"/>
        <v>0.3</v>
      </c>
      <c r="L1265" s="35">
        <f t="shared" si="361"/>
        <v>0.3</v>
      </c>
      <c r="M1265" s="77" cm="1">
        <f t="array" ref="M1265">_xlfn.IFS(BOM!I1265="RM-PACKING","100%",B1265="Reynolds",VLOOKUP(H1265,'Yield &amp; Time'!A:V,22,0),BOM!B1265="Dnata",VLOOKUP(BOM!H1265,'Yield &amp; Time'!A:M,13,0),B1265="NK",VLOOKUP(H1265,'Yield &amp; Time'!A:X,24,0))</f>
        <v>0.75</v>
      </c>
      <c r="N1265" s="35">
        <f t="shared" si="360"/>
        <v>0.39999999999999997</v>
      </c>
      <c r="O1265" s="1" t="str">
        <f>VLOOKUP(H1265,'RM Used'!A:E,5,0)</f>
        <v>KG</v>
      </c>
      <c r="P1265" s="11">
        <f>VLOOKUP(H1265,'RM Used'!A:F,6,0)</f>
        <v>1.34</v>
      </c>
      <c r="Q1265" s="11">
        <f t="shared" si="370"/>
        <v>0.53600000000000003</v>
      </c>
      <c r="R1265" s="11">
        <f>IFERROR(IF(B1265="Reynolds",VLOOKUP(H1265,'Yield &amp; Time'!A:U,21,0),VLOOKUP(H1265,'Yield &amp; Time'!A:L,12,0)),0)</f>
        <v>2.3222222222222224</v>
      </c>
      <c r="S1265" s="11">
        <f t="shared" si="362"/>
        <v>0.23582166666666665</v>
      </c>
      <c r="T1265" s="11">
        <f t="shared" si="363"/>
        <v>1.161111111111111E-2</v>
      </c>
      <c r="U1265" s="11">
        <f>IF(A1264=A1265,0,VLOOKUP(A1265,'Packing Time'!A:F,6,0))</f>
        <v>0</v>
      </c>
      <c r="V1265" s="11">
        <f t="shared" si="373"/>
        <v>0</v>
      </c>
      <c r="W1265" s="11">
        <f t="shared" si="374"/>
        <v>0</v>
      </c>
      <c r="X1265" s="11">
        <f t="shared" si="364"/>
        <v>0.37731466666666669</v>
      </c>
      <c r="Y1265" s="11">
        <f t="shared" si="375"/>
        <v>0.37731466666666669</v>
      </c>
      <c r="Z1265" s="37">
        <v>1</v>
      </c>
      <c r="AA1265" s="36">
        <f t="shared" si="365"/>
        <v>0.39999999999999997</v>
      </c>
      <c r="AB1265" s="36">
        <f t="shared" si="366"/>
        <v>0.53600000000000003</v>
      </c>
      <c r="AC1265" s="11">
        <f t="shared" si="367"/>
        <v>1.8577777777777776E-2</v>
      </c>
      <c r="AD1265" s="36">
        <f t="shared" si="376"/>
        <v>0.37731466666666658</v>
      </c>
      <c r="AE1265" s="36" t="str">
        <f>VLOOKUP(H1265,'Yield &amp; Time'!A:I,9,0)</f>
        <v>SODIUM METABISULPHITE</v>
      </c>
      <c r="AF1265" s="36">
        <f>IFERROR(VLOOKUP(AE1265,'Chemical Cost'!A:D,4,0),0)</f>
        <v>9.7586225455882462E-3</v>
      </c>
      <c r="AG1265" s="114">
        <f t="shared" si="368"/>
        <v>1.3011496727450994E-3</v>
      </c>
      <c r="AH1265" s="36">
        <f t="shared" si="371"/>
        <v>1.3011496727450994E-3</v>
      </c>
      <c r="AI1265" s="36">
        <f t="shared" si="377"/>
        <v>0.9146158163394118</v>
      </c>
      <c r="AJ1265" s="36">
        <f>IFERROR(VLOOKUP(A1265,'All Products'!A:F,6,0),0)</f>
        <v>17.75</v>
      </c>
      <c r="AK1265" s="36">
        <f t="shared" si="379"/>
        <v>2.13</v>
      </c>
      <c r="AL1265" s="23">
        <v>1</v>
      </c>
      <c r="AM1265" s="23"/>
      <c r="AN1265" s="54" t="e">
        <v>#N/A</v>
      </c>
      <c r="AO1265" s="47"/>
      <c r="AP1265" s="4">
        <v>1.6</v>
      </c>
      <c r="AQ1265" s="111">
        <f t="shared" si="369"/>
        <v>1.8577777777777776E-2</v>
      </c>
      <c r="AR1265">
        <f>_xlfn.XLOOKUP(F1265,'RM Cost'!A:A,'RM Cost'!S:S)</f>
        <v>0</v>
      </c>
      <c r="AS1265" t="str">
        <f>_xlfn.XLOOKUP(A1265,[3]Sheet1!$B:$B,[3]Sheet1!$B:$B)</f>
        <v>Z396CS</v>
      </c>
      <c r="AT1265">
        <f>_xlfn.XLOOKUP(H1265,'Yield &amp; Time'!A:A,'Yield &amp; Time'!F:F)</f>
        <v>0</v>
      </c>
    </row>
    <row r="1266" spans="1:46" x14ac:dyDescent="0.25">
      <c r="A1266" s="16" t="s">
        <v>1067</v>
      </c>
      <c r="B1266" s="2" t="s">
        <v>656</v>
      </c>
      <c r="C1266" s="2" t="s">
        <v>1068</v>
      </c>
      <c r="D1266" s="2" t="s">
        <v>554</v>
      </c>
      <c r="E1266" s="2">
        <v>2.5</v>
      </c>
      <c r="F1266" s="1" t="str">
        <f>VLOOKUP(H1266,'RM Used'!A:B,2,0)</f>
        <v>P0008</v>
      </c>
      <c r="G1266" s="1" t="str">
        <f>IFERROR(VLOOKUP(F1266,'RM Cost'!A:B,2,0),"")</f>
        <v>PALE BLUE BAG 470X750MM</v>
      </c>
      <c r="H1266" s="1" t="s">
        <v>1323</v>
      </c>
      <c r="I1266" s="1" t="str">
        <f>VLOOKUP(F1266,'RM Used'!B:D,3,0)</f>
        <v>RM-PACKING</v>
      </c>
      <c r="J1266" s="66">
        <v>1</v>
      </c>
      <c r="K1266" s="35" t="str">
        <f t="shared" si="372"/>
        <v/>
      </c>
      <c r="L1266" s="35">
        <f t="shared" si="361"/>
        <v>0</v>
      </c>
      <c r="M1266" s="77" t="str" cm="1">
        <f t="array" ref="M1266">_xlfn.IFS(BOM!I1266="RM-PACKING","100%",B1266="Reynolds",VLOOKUP(H1266,'Yield &amp; Time'!A:V,22,0),BOM!B1266="Dnata",VLOOKUP(BOM!H1266,'Yield &amp; Time'!A:M,13,0),B1266="NK",VLOOKUP(H1266,'Yield &amp; Time'!A:X,24,0))</f>
        <v>100%</v>
      </c>
      <c r="N1266" s="35">
        <f t="shared" si="360"/>
        <v>1</v>
      </c>
      <c r="O1266" s="1" t="str">
        <f>VLOOKUP(H1266,'RM Used'!A:E,5,0)</f>
        <v>Count</v>
      </c>
      <c r="P1266" s="11">
        <f>VLOOKUP(H1266,'RM Used'!A:F,6,0)</f>
        <v>0.14000000000000001</v>
      </c>
      <c r="Q1266" s="11">
        <f t="shared" si="370"/>
        <v>0.14000000000000001</v>
      </c>
      <c r="R1266" s="11">
        <f>IFERROR(IF(B1266="Reynolds",VLOOKUP(H1266,'Yield &amp; Time'!A:U,21,0),VLOOKUP(H1266,'Yield &amp; Time'!A:L,12,0)),0)</f>
        <v>0</v>
      </c>
      <c r="S1266" s="11">
        <f t="shared" si="362"/>
        <v>0</v>
      </c>
      <c r="T1266" s="11">
        <f t="shared" si="363"/>
        <v>0</v>
      </c>
      <c r="U1266" s="11">
        <f>IF(A1265=A1266,0,VLOOKUP(A1266,'Packing Time'!A:F,6,0))</f>
        <v>0</v>
      </c>
      <c r="V1266" s="11">
        <f t="shared" si="373"/>
        <v>0</v>
      </c>
      <c r="W1266" s="11">
        <f t="shared" si="374"/>
        <v>0</v>
      </c>
      <c r="X1266" s="11">
        <f t="shared" si="364"/>
        <v>0</v>
      </c>
      <c r="Y1266" s="11">
        <f t="shared" si="375"/>
        <v>0</v>
      </c>
      <c r="Z1266" s="37">
        <v>1</v>
      </c>
      <c r="AA1266" s="36">
        <f t="shared" si="365"/>
        <v>1</v>
      </c>
      <c r="AB1266" s="36">
        <f t="shared" si="366"/>
        <v>0.14000000000000001</v>
      </c>
      <c r="AC1266" s="11">
        <f t="shared" si="367"/>
        <v>0</v>
      </c>
      <c r="AD1266" s="36">
        <f t="shared" si="376"/>
        <v>0</v>
      </c>
      <c r="AE1266" s="36"/>
      <c r="AF1266" s="36">
        <f>IFERROR(VLOOKUP(AE1266,'Chemical Cost'!A:D,4,0),0)</f>
        <v>0</v>
      </c>
      <c r="AG1266" s="114">
        <f t="shared" si="368"/>
        <v>0</v>
      </c>
      <c r="AH1266" s="36">
        <f t="shared" si="371"/>
        <v>0</v>
      </c>
      <c r="AI1266" s="36">
        <f t="shared" si="377"/>
        <v>0.14000000000000001</v>
      </c>
      <c r="AJ1266" s="36">
        <f>IFERROR(VLOOKUP(A1266,'All Products'!A:F,6,0),0)</f>
        <v>17.75</v>
      </c>
      <c r="AK1266" s="36"/>
      <c r="AL1266" s="23">
        <v>1</v>
      </c>
      <c r="AM1266" s="23"/>
      <c r="AN1266" s="54" t="e">
        <v>#N/A</v>
      </c>
      <c r="AO1266" s="47"/>
      <c r="AP1266" s="4">
        <v>1.6</v>
      </c>
      <c r="AQ1266" s="111">
        <f t="shared" si="369"/>
        <v>0</v>
      </c>
      <c r="AR1266">
        <f>_xlfn.XLOOKUP(F1266,'RM Cost'!A:A,'RM Cost'!S:S)</f>
        <v>0</v>
      </c>
      <c r="AS1266" t="str">
        <f>_xlfn.XLOOKUP(A1266,[3]Sheet1!$B:$B,[3]Sheet1!$B:$B)</f>
        <v>Z396CS</v>
      </c>
      <c r="AT1266" t="e">
        <f>_xlfn.XLOOKUP(H1266,'Yield &amp; Time'!A:A,'Yield &amp; Time'!F:F)</f>
        <v>#N/A</v>
      </c>
    </row>
    <row r="1267" spans="1:46" x14ac:dyDescent="0.25">
      <c r="A1267" s="16" t="s">
        <v>30</v>
      </c>
      <c r="B1267" s="2" t="s">
        <v>656</v>
      </c>
      <c r="C1267" s="2" t="s">
        <v>1069</v>
      </c>
      <c r="D1267" s="2" t="s">
        <v>554</v>
      </c>
      <c r="E1267" s="2">
        <v>1</v>
      </c>
      <c r="F1267" s="1" t="str">
        <f>VLOOKUP(H1267,'RM Used'!A:B,2,0)</f>
        <v>3644CS</v>
      </c>
      <c r="G1267" s="1" t="str">
        <f>IFERROR(VLOOKUP(F1267,'RM Cost'!A:B,2,0),"")</f>
        <v>RM - SPRING ONION x 2KG</v>
      </c>
      <c r="H1267" s="2" t="s">
        <v>1635</v>
      </c>
      <c r="I1267" s="1" t="str">
        <f>VLOOKUP(F1267,'RM Used'!B:D,3,0)</f>
        <v>RM-FOOD</v>
      </c>
      <c r="J1267" s="66">
        <v>1</v>
      </c>
      <c r="K1267" s="35">
        <f t="shared" si="372"/>
        <v>1</v>
      </c>
      <c r="L1267" s="35">
        <f t="shared" si="361"/>
        <v>1</v>
      </c>
      <c r="M1267" s="77" cm="1">
        <f t="array" ref="M1267">_xlfn.IFS(BOM!I1267="RM-PACKING","100%",B1267="Reynolds",VLOOKUP(H1267,'Yield &amp; Time'!A:V,22,0),BOM!B1267="Dnata",VLOOKUP(BOM!H1267,'Yield &amp; Time'!A:M,13,0),B1267="NK",VLOOKUP(H1267,'Yield &amp; Time'!A:X,24,0))</f>
        <v>0.67551374979250811</v>
      </c>
      <c r="N1267" s="35">
        <f t="shared" si="360"/>
        <v>1.4803547674746245</v>
      </c>
      <c r="O1267" s="1" t="str">
        <f>VLOOKUP(H1267,'RM Used'!A:E,5,0)</f>
        <v>KG</v>
      </c>
      <c r="P1267" s="11">
        <f>VLOOKUP(H1267,'RM Used'!A:F,6,0)</f>
        <v>3.08</v>
      </c>
      <c r="Q1267" s="11">
        <f t="shared" si="370"/>
        <v>4.5594926838218433</v>
      </c>
      <c r="R1267" s="11">
        <f>IFERROR(IF(B1267="Reynolds",VLOOKUP(H1267,'Yield &amp; Time'!A:U,21,0),VLOOKUP(H1267,'Yield &amp; Time'!A:L,12,0)),0)</f>
        <v>18.508664412510566</v>
      </c>
      <c r="S1267" s="11">
        <f t="shared" si="362"/>
        <v>6.2651829036348259</v>
      </c>
      <c r="T1267" s="11">
        <f t="shared" si="363"/>
        <v>0.30847774020850943</v>
      </c>
      <c r="U1267" s="11">
        <f>IF(A1266=A1267,0,VLOOKUP(A1267,'Packing Time'!A:F,6,0))</f>
        <v>0.64166666666666661</v>
      </c>
      <c r="V1267" s="11">
        <f t="shared" si="373"/>
        <v>0.21720416666666661</v>
      </c>
      <c r="W1267" s="11">
        <f t="shared" si="374"/>
        <v>1.0694444444444444E-2</v>
      </c>
      <c r="X1267" s="11">
        <f t="shared" si="364"/>
        <v>10.371819312482387</v>
      </c>
      <c r="Y1267" s="11">
        <f t="shared" si="375"/>
        <v>10.371819312482387</v>
      </c>
      <c r="Z1267" s="37">
        <v>1</v>
      </c>
      <c r="AA1267" s="36">
        <f t="shared" si="365"/>
        <v>1.4803547674746245</v>
      </c>
      <c r="AB1267" s="36">
        <f t="shared" si="366"/>
        <v>4.5594926838218433</v>
      </c>
      <c r="AC1267" s="11">
        <f t="shared" si="367"/>
        <v>0.51067549544472624</v>
      </c>
      <c r="AD1267" s="36">
        <f t="shared" si="376"/>
        <v>10.371819312482389</v>
      </c>
      <c r="AE1267" s="36" t="str">
        <f>VLOOKUP(H1267,'Yield &amp; Time'!A:I,9,0)</f>
        <v>CHLORINE</v>
      </c>
      <c r="AF1267" s="36">
        <f>IFERROR(VLOOKUP(AE1267,'Chemical Cost'!A:D,4,0),0)</f>
        <v>2.7756518066439469E-2</v>
      </c>
      <c r="AG1267" s="114">
        <f t="shared" si="368"/>
        <v>1.3696497949383072E-2</v>
      </c>
      <c r="AH1267" s="36">
        <f t="shared" si="371"/>
        <v>1.3696497949383072E-2</v>
      </c>
      <c r="AI1267" s="36">
        <f t="shared" si="377"/>
        <v>14.945008494253614</v>
      </c>
      <c r="AJ1267" s="36">
        <f>IFERROR(VLOOKUP(A1267,'All Products'!A:F,6,0),0)</f>
        <v>52.62</v>
      </c>
      <c r="AK1267" s="36">
        <f>AJ1267*Z1267*J1267</f>
        <v>52.62</v>
      </c>
      <c r="AL1267" s="23">
        <v>0.8</v>
      </c>
      <c r="AM1267" s="23">
        <v>0.2</v>
      </c>
      <c r="AN1267" s="54" t="e">
        <v>#N/A</v>
      </c>
      <c r="AO1267" s="47"/>
      <c r="AP1267" s="4">
        <v>1.6</v>
      </c>
      <c r="AQ1267" s="111">
        <f t="shared" si="369"/>
        <v>0.51067549544472624</v>
      </c>
      <c r="AR1267">
        <f>_xlfn.XLOOKUP(F1267,'RM Cost'!A:A,'RM Cost'!S:S)</f>
        <v>0</v>
      </c>
      <c r="AS1267" t="e">
        <f>_xlfn.XLOOKUP(A1267,[3]Sheet1!$B:$B,[3]Sheet1!$B:$B)</f>
        <v>#N/A</v>
      </c>
    </row>
    <row r="1268" spans="1:46" x14ac:dyDescent="0.25">
      <c r="A1268" s="16" t="s">
        <v>30</v>
      </c>
      <c r="B1268" s="2" t="s">
        <v>656</v>
      </c>
      <c r="C1268" s="2" t="s">
        <v>1069</v>
      </c>
      <c r="D1268" s="2" t="s">
        <v>554</v>
      </c>
      <c r="E1268" s="2">
        <v>1</v>
      </c>
      <c r="F1268" s="1" t="str">
        <f>VLOOKUP(H1268,'RM Used'!A:B,2,0)</f>
        <v>P0008</v>
      </c>
      <c r="G1268" s="1" t="str">
        <f>IFERROR(VLOOKUP(F1268,'RM Cost'!A:B,2,0),"")</f>
        <v>PALE BLUE BAG 470X750MM</v>
      </c>
      <c r="H1268" s="1" t="s">
        <v>1323</v>
      </c>
      <c r="I1268" s="1" t="str">
        <f>VLOOKUP(F1268,'RM Used'!B:D,3,0)</f>
        <v>RM-PACKING</v>
      </c>
      <c r="J1268" s="66">
        <v>1</v>
      </c>
      <c r="K1268" s="35" t="str">
        <f t="shared" si="372"/>
        <v/>
      </c>
      <c r="L1268" s="35">
        <f t="shared" si="361"/>
        <v>0</v>
      </c>
      <c r="M1268" s="77" t="str" cm="1">
        <f t="array" ref="M1268">_xlfn.IFS(BOM!I1268="RM-PACKING","100%",B1268="Reynolds",VLOOKUP(H1268,'Yield &amp; Time'!A:V,22,0),BOM!B1268="Dnata",VLOOKUP(BOM!H1268,'Yield &amp; Time'!A:M,13,0),B1268="NK",VLOOKUP(H1268,'Yield &amp; Time'!A:X,24,0))</f>
        <v>100%</v>
      </c>
      <c r="N1268" s="35">
        <f t="shared" si="360"/>
        <v>1</v>
      </c>
      <c r="O1268" s="1" t="str">
        <f>VLOOKUP(H1268,'RM Used'!A:E,5,0)</f>
        <v>Count</v>
      </c>
      <c r="P1268" s="11">
        <f>VLOOKUP(H1268,'RM Used'!A:F,6,0)</f>
        <v>0.14000000000000001</v>
      </c>
      <c r="Q1268" s="11">
        <f t="shared" si="370"/>
        <v>0.14000000000000001</v>
      </c>
      <c r="R1268" s="11">
        <f>IFERROR(IF(B1268="Reynolds",VLOOKUP(H1268,'Yield &amp; Time'!A:U,21,0),VLOOKUP(H1268,'Yield &amp; Time'!A:L,12,0)),0)</f>
        <v>0</v>
      </c>
      <c r="S1268" s="11">
        <f t="shared" si="362"/>
        <v>0</v>
      </c>
      <c r="T1268" s="11">
        <f t="shared" si="363"/>
        <v>0</v>
      </c>
      <c r="U1268" s="11">
        <f>IF(A1267=A1268,0,VLOOKUP(A1268,'Packing Time'!A:F,6,0))</f>
        <v>0</v>
      </c>
      <c r="V1268" s="11">
        <f t="shared" si="373"/>
        <v>0</v>
      </c>
      <c r="W1268" s="11">
        <f t="shared" si="374"/>
        <v>0</v>
      </c>
      <c r="X1268" s="11">
        <f t="shared" si="364"/>
        <v>0</v>
      </c>
      <c r="Y1268" s="11">
        <f t="shared" si="375"/>
        <v>0</v>
      </c>
      <c r="Z1268" s="37">
        <v>1</v>
      </c>
      <c r="AA1268" s="36">
        <f t="shared" si="365"/>
        <v>1</v>
      </c>
      <c r="AB1268" s="36">
        <f t="shared" si="366"/>
        <v>0.14000000000000001</v>
      </c>
      <c r="AC1268" s="11">
        <f t="shared" si="367"/>
        <v>0</v>
      </c>
      <c r="AD1268" s="36">
        <f t="shared" si="376"/>
        <v>0</v>
      </c>
      <c r="AE1268" s="36"/>
      <c r="AF1268" s="36">
        <f>IFERROR(VLOOKUP(AE1268,'Chemical Cost'!A:D,4,0),0)</f>
        <v>0</v>
      </c>
      <c r="AG1268" s="114">
        <f t="shared" si="368"/>
        <v>0</v>
      </c>
      <c r="AH1268" s="36">
        <f t="shared" si="371"/>
        <v>0</v>
      </c>
      <c r="AI1268" s="36">
        <f t="shared" si="377"/>
        <v>0.14000000000000001</v>
      </c>
      <c r="AJ1268" s="36">
        <f>IFERROR(VLOOKUP(A1268,'All Products'!A:F,6,0),0)</f>
        <v>52.62</v>
      </c>
      <c r="AK1268" s="36"/>
      <c r="AL1268" s="23">
        <v>0.8</v>
      </c>
      <c r="AM1268" s="23">
        <v>0.2</v>
      </c>
      <c r="AN1268" s="54" t="e">
        <v>#N/A</v>
      </c>
      <c r="AO1268" s="47"/>
      <c r="AP1268" s="4">
        <v>1.6</v>
      </c>
      <c r="AQ1268" s="111">
        <f t="shared" si="369"/>
        <v>0</v>
      </c>
      <c r="AR1268">
        <f>_xlfn.XLOOKUP(F1268,'RM Cost'!A:A,'RM Cost'!S:S)</f>
        <v>0</v>
      </c>
      <c r="AS1268" t="e">
        <f>_xlfn.XLOOKUP(A1268,[3]Sheet1!$B:$B,[3]Sheet1!$B:$B)</f>
        <v>#N/A</v>
      </c>
    </row>
    <row r="1269" spans="1:46" x14ac:dyDescent="0.25">
      <c r="A1269" s="16" t="s">
        <v>519</v>
      </c>
      <c r="B1269" s="2" t="s">
        <v>656</v>
      </c>
      <c r="C1269" s="2" t="s">
        <v>1070</v>
      </c>
      <c r="D1269" s="2" t="s">
        <v>554</v>
      </c>
      <c r="E1269" s="2">
        <v>2.5</v>
      </c>
      <c r="F1269" s="1" t="str">
        <f>VLOOKUP(H1269,'RM Used'!A:B,2,0)</f>
        <v>3644CS</v>
      </c>
      <c r="G1269" s="1" t="str">
        <f>IFERROR(VLOOKUP(F1269,'RM Cost'!A:B,2,0),"")</f>
        <v>RM - SPRING ONION x 2KG</v>
      </c>
      <c r="H1269" s="2" t="s">
        <v>1635</v>
      </c>
      <c r="I1269" s="1" t="str">
        <f>VLOOKUP(F1269,'RM Used'!B:D,3,0)</f>
        <v>RM-FOOD</v>
      </c>
      <c r="J1269" s="66">
        <v>1</v>
      </c>
      <c r="K1269" s="35">
        <f t="shared" si="372"/>
        <v>2.5</v>
      </c>
      <c r="L1269" s="35">
        <f t="shared" si="361"/>
        <v>2.5</v>
      </c>
      <c r="M1269" s="77" cm="1">
        <f t="array" ref="M1269">_xlfn.IFS(BOM!I1269="RM-PACKING","100%",B1269="Reynolds",VLOOKUP(H1269,'Yield &amp; Time'!A:V,22,0),BOM!B1269="Dnata",VLOOKUP(BOM!H1269,'Yield &amp; Time'!A:M,13,0),B1269="NK",VLOOKUP(H1269,'Yield &amp; Time'!A:X,24,0))</f>
        <v>0.67551374979250811</v>
      </c>
      <c r="N1269" s="35">
        <f t="shared" ref="N1269:N1332" si="380">IFERROR(IF(I1269="RM-FOOD",(E1269*J1269)/M1269,1),0)</f>
        <v>3.7008869186865612</v>
      </c>
      <c r="O1269" s="1" t="str">
        <f>VLOOKUP(H1269,'RM Used'!A:E,5,0)</f>
        <v>KG</v>
      </c>
      <c r="P1269" s="11">
        <f>VLOOKUP(H1269,'RM Used'!A:F,6,0)</f>
        <v>3.08</v>
      </c>
      <c r="Q1269" s="11">
        <f t="shared" si="370"/>
        <v>11.398731709554609</v>
      </c>
      <c r="R1269" s="11">
        <f>IFERROR(IF(B1269="Reynolds",VLOOKUP(H1269,'Yield &amp; Time'!A:U,21,0),VLOOKUP(H1269,'Yield &amp; Time'!A:L,12,0)),0)</f>
        <v>18.508664412510566</v>
      </c>
      <c r="S1269" s="11">
        <f t="shared" si="362"/>
        <v>15.662957259087065</v>
      </c>
      <c r="T1269" s="11">
        <f t="shared" si="363"/>
        <v>0.77119435052127361</v>
      </c>
      <c r="U1269" s="11">
        <f>IF(A1268=A1269,0,VLOOKUP(A1269,'Packing Time'!A:F,6,0))</f>
        <v>0.875</v>
      </c>
      <c r="V1269" s="11">
        <f t="shared" si="373"/>
        <v>0.29618749999999999</v>
      </c>
      <c r="W1269" s="11">
        <f t="shared" si="374"/>
        <v>1.4583333333333334E-2</v>
      </c>
      <c r="X1269" s="11">
        <f t="shared" si="364"/>
        <v>25.534631614539308</v>
      </c>
      <c r="Y1269" s="11">
        <f t="shared" si="375"/>
        <v>25.534631614539308</v>
      </c>
      <c r="Z1269" s="37">
        <v>1</v>
      </c>
      <c r="AA1269" s="36">
        <f t="shared" si="365"/>
        <v>3.7008869186865612</v>
      </c>
      <c r="AB1269" s="36">
        <f t="shared" si="366"/>
        <v>11.398731709554609</v>
      </c>
      <c r="AC1269" s="11">
        <f t="shared" si="367"/>
        <v>1.2572442941673712</v>
      </c>
      <c r="AD1269" s="36">
        <f t="shared" si="376"/>
        <v>25.534631614539304</v>
      </c>
      <c r="AE1269" s="36" t="str">
        <f>VLOOKUP(H1269,'Yield &amp; Time'!A:I,9,0)</f>
        <v>CHLORINE</v>
      </c>
      <c r="AF1269" s="36">
        <f>IFERROR(VLOOKUP(AE1269,'Chemical Cost'!A:D,4,0),0)</f>
        <v>2.7756518066439469E-2</v>
      </c>
      <c r="AG1269" s="114">
        <f t="shared" si="368"/>
        <v>3.4241244873457678E-2</v>
      </c>
      <c r="AH1269" s="36">
        <f t="shared" si="371"/>
        <v>3.4241244873457678E-2</v>
      </c>
      <c r="AI1269" s="36">
        <f t="shared" si="377"/>
        <v>36.967604568967374</v>
      </c>
      <c r="AJ1269" s="36">
        <f>IFERROR(VLOOKUP(A1269,'All Products'!A:F,6,0),0)</f>
        <v>131.55000000000001</v>
      </c>
      <c r="AK1269" s="36">
        <f>AJ1269*Z1269*J1269</f>
        <v>131.55000000000001</v>
      </c>
      <c r="AL1269" s="23">
        <v>0.8</v>
      </c>
      <c r="AM1269" s="23">
        <v>0.2</v>
      </c>
      <c r="AN1269" s="54" t="e">
        <v>#N/A</v>
      </c>
      <c r="AO1269" s="47"/>
      <c r="AP1269" s="4">
        <v>1.6</v>
      </c>
      <c r="AQ1269" s="111">
        <f t="shared" si="369"/>
        <v>1.2572442941673712</v>
      </c>
      <c r="AR1269">
        <f>_xlfn.XLOOKUP(F1269,'RM Cost'!A:A,'RM Cost'!S:S)</f>
        <v>0</v>
      </c>
      <c r="AS1269" t="e">
        <f>_xlfn.XLOOKUP(A1269,[3]Sheet1!$B:$B,[3]Sheet1!$B:$B)</f>
        <v>#N/A</v>
      </c>
    </row>
    <row r="1270" spans="1:46" x14ac:dyDescent="0.25">
      <c r="A1270" s="16" t="s">
        <v>519</v>
      </c>
      <c r="B1270" s="2" t="s">
        <v>656</v>
      </c>
      <c r="C1270" s="2" t="s">
        <v>1070</v>
      </c>
      <c r="D1270" s="2" t="s">
        <v>554</v>
      </c>
      <c r="E1270" s="2">
        <v>2.5</v>
      </c>
      <c r="F1270" s="1" t="str">
        <f>VLOOKUP(H1270,'RM Used'!A:B,2,0)</f>
        <v>P0008</v>
      </c>
      <c r="G1270" s="1" t="str">
        <f>IFERROR(VLOOKUP(F1270,'RM Cost'!A:B,2,0),"")</f>
        <v>PALE BLUE BAG 470X750MM</v>
      </c>
      <c r="H1270" s="1" t="s">
        <v>1323</v>
      </c>
      <c r="I1270" s="1" t="str">
        <f>VLOOKUP(F1270,'RM Used'!B:D,3,0)</f>
        <v>RM-PACKING</v>
      </c>
      <c r="J1270" s="66">
        <v>1</v>
      </c>
      <c r="K1270" s="35" t="str">
        <f t="shared" si="372"/>
        <v/>
      </c>
      <c r="L1270" s="35">
        <f t="shared" si="361"/>
        <v>0</v>
      </c>
      <c r="M1270" s="77" t="str" cm="1">
        <f t="array" ref="M1270">_xlfn.IFS(BOM!I1270="RM-PACKING","100%",B1270="Reynolds",VLOOKUP(H1270,'Yield &amp; Time'!A:V,22,0),BOM!B1270="Dnata",VLOOKUP(BOM!H1270,'Yield &amp; Time'!A:M,13,0),B1270="NK",VLOOKUP(H1270,'Yield &amp; Time'!A:X,24,0))</f>
        <v>100%</v>
      </c>
      <c r="N1270" s="35">
        <f t="shared" si="380"/>
        <v>1</v>
      </c>
      <c r="O1270" s="1" t="str">
        <f>VLOOKUP(H1270,'RM Used'!A:E,5,0)</f>
        <v>Count</v>
      </c>
      <c r="P1270" s="11">
        <f>VLOOKUP(H1270,'RM Used'!A:F,6,0)</f>
        <v>0.14000000000000001</v>
      </c>
      <c r="Q1270" s="11">
        <f t="shared" si="370"/>
        <v>0.14000000000000001</v>
      </c>
      <c r="R1270" s="11">
        <f>IFERROR(IF(B1270="Reynolds",VLOOKUP(H1270,'Yield &amp; Time'!A:U,21,0),VLOOKUP(H1270,'Yield &amp; Time'!A:L,12,0)),0)</f>
        <v>0</v>
      </c>
      <c r="S1270" s="11">
        <f t="shared" si="362"/>
        <v>0</v>
      </c>
      <c r="T1270" s="11">
        <f t="shared" si="363"/>
        <v>0</v>
      </c>
      <c r="U1270" s="11">
        <f>IF(A1269=A1270,0,VLOOKUP(A1270,'Packing Time'!A:F,6,0))</f>
        <v>0</v>
      </c>
      <c r="V1270" s="11">
        <f t="shared" si="373"/>
        <v>0</v>
      </c>
      <c r="W1270" s="11">
        <f t="shared" si="374"/>
        <v>0</v>
      </c>
      <c r="X1270" s="11">
        <f t="shared" si="364"/>
        <v>0</v>
      </c>
      <c r="Y1270" s="11">
        <f t="shared" si="375"/>
        <v>0</v>
      </c>
      <c r="Z1270" s="37">
        <v>1</v>
      </c>
      <c r="AA1270" s="36">
        <f t="shared" si="365"/>
        <v>1</v>
      </c>
      <c r="AB1270" s="36">
        <f t="shared" si="366"/>
        <v>0.14000000000000001</v>
      </c>
      <c r="AC1270" s="11">
        <f t="shared" si="367"/>
        <v>0</v>
      </c>
      <c r="AD1270" s="36">
        <f t="shared" si="376"/>
        <v>0</v>
      </c>
      <c r="AE1270" s="36"/>
      <c r="AF1270" s="36">
        <f>IFERROR(VLOOKUP(AE1270,'Chemical Cost'!A:D,4,0),0)</f>
        <v>0</v>
      </c>
      <c r="AG1270" s="114">
        <f t="shared" si="368"/>
        <v>0</v>
      </c>
      <c r="AH1270" s="36">
        <f t="shared" si="371"/>
        <v>0</v>
      </c>
      <c r="AI1270" s="36">
        <f t="shared" si="377"/>
        <v>0.14000000000000001</v>
      </c>
      <c r="AJ1270" s="36">
        <f>IFERROR(VLOOKUP(A1270,'All Products'!A:F,6,0),0)</f>
        <v>131.55000000000001</v>
      </c>
      <c r="AK1270" s="36"/>
      <c r="AL1270" s="23">
        <v>0.8</v>
      </c>
      <c r="AM1270" s="23">
        <v>0.2</v>
      </c>
      <c r="AN1270" s="54" t="e">
        <v>#N/A</v>
      </c>
      <c r="AO1270" s="47"/>
      <c r="AP1270" s="4">
        <v>1.6</v>
      </c>
      <c r="AQ1270" s="111">
        <f t="shared" si="369"/>
        <v>0</v>
      </c>
      <c r="AR1270">
        <f>_xlfn.XLOOKUP(F1270,'RM Cost'!A:A,'RM Cost'!S:S)</f>
        <v>0</v>
      </c>
      <c r="AS1270" t="e">
        <f>_xlfn.XLOOKUP(A1270,[3]Sheet1!$B:$B,[3]Sheet1!$B:$B)</f>
        <v>#N/A</v>
      </c>
    </row>
    <row r="1271" spans="1:46" x14ac:dyDescent="0.25">
      <c r="A1271" s="16" t="s">
        <v>20</v>
      </c>
      <c r="B1271" s="2" t="s">
        <v>656</v>
      </c>
      <c r="C1271" s="2" t="s">
        <v>1071</v>
      </c>
      <c r="D1271" s="2" t="s">
        <v>554</v>
      </c>
      <c r="E1271" s="2">
        <v>1</v>
      </c>
      <c r="F1271" s="1" t="str">
        <f>VLOOKUP(H1271,'RM Used'!A:B,2,0)</f>
        <v>3689CS</v>
      </c>
      <c r="G1271" s="1" t="str">
        <f>IFERROR(VLOOKUP(F1271,'RM Cost'!A:B,2,0),"")</f>
        <v>RM - BEEF TOMATO 1 X 7KG</v>
      </c>
      <c r="H1271" s="2" t="s">
        <v>1636</v>
      </c>
      <c r="I1271" s="1" t="str">
        <f>VLOOKUP(F1271,'RM Used'!B:D,3,0)</f>
        <v>RM-FOOD</v>
      </c>
      <c r="J1271" s="66">
        <v>1</v>
      </c>
      <c r="K1271" s="35">
        <f t="shared" si="372"/>
        <v>1</v>
      </c>
      <c r="L1271" s="35">
        <f t="shared" si="361"/>
        <v>1</v>
      </c>
      <c r="M1271" s="77" cm="1">
        <f t="array" ref="M1271">_xlfn.IFS(BOM!I1271="RM-PACKING","100%",B1271="Reynolds",VLOOKUP(H1271,'Yield &amp; Time'!A:V,22,0),BOM!B1271="Dnata",VLOOKUP(BOM!H1271,'Yield &amp; Time'!A:M,13,0),B1271="NK",VLOOKUP(H1271,'Yield &amp; Time'!A:X,24,0))</f>
        <v>0.44557739557739562</v>
      </c>
      <c r="N1271" s="35">
        <f t="shared" si="380"/>
        <v>2.2442790184725667</v>
      </c>
      <c r="O1271" s="1" t="str">
        <f>VLOOKUP(H1271,'RM Used'!A:E,5,0)</f>
        <v>KG</v>
      </c>
      <c r="P1271" s="11">
        <f>VLOOKUP(H1271,'RM Used'!A:F,6,0)</f>
        <v>1.32</v>
      </c>
      <c r="Q1271" s="11">
        <f t="shared" si="370"/>
        <v>2.9624483043837881</v>
      </c>
      <c r="R1271" s="11">
        <f>IFERROR(IF(B1271="Reynolds",VLOOKUP(H1271,'Yield &amp; Time'!A:U,21,0),VLOOKUP(H1271,'Yield &amp; Time'!A:L,12,0)),0)</f>
        <v>2.9362026862026864</v>
      </c>
      <c r="S1271" s="11">
        <f t="shared" si="362"/>
        <v>0.99390460927960922</v>
      </c>
      <c r="T1271" s="11">
        <f t="shared" si="363"/>
        <v>4.8936711436711439E-2</v>
      </c>
      <c r="U1271" s="11">
        <f>IF(A1270=A1271,0,VLOOKUP(A1271,'Packing Time'!A:F,6,0))</f>
        <v>0.64166666666666661</v>
      </c>
      <c r="V1271" s="11">
        <f t="shared" si="373"/>
        <v>0.21720416666666661</v>
      </c>
      <c r="W1271" s="11">
        <f t="shared" si="374"/>
        <v>1.0694444444444444E-2</v>
      </c>
      <c r="X1271" s="11">
        <f t="shared" si="364"/>
        <v>1.9377740415140416</v>
      </c>
      <c r="Y1271" s="11">
        <f t="shared" si="375"/>
        <v>1.9377740415140416</v>
      </c>
      <c r="Z1271" s="37">
        <v>1</v>
      </c>
      <c r="AA1271" s="36">
        <f t="shared" si="365"/>
        <v>2.2442790184725667</v>
      </c>
      <c r="AB1271" s="36">
        <f t="shared" si="366"/>
        <v>2.9624483043837881</v>
      </c>
      <c r="AC1271" s="11">
        <f t="shared" si="367"/>
        <v>9.5409849409849423E-2</v>
      </c>
      <c r="AD1271" s="36">
        <f t="shared" si="376"/>
        <v>1.9377740415140416</v>
      </c>
      <c r="AE1271" s="36" t="str">
        <f>VLOOKUP(H1271,'Yield &amp; Time'!A:I,9,0)</f>
        <v>CHLORINE</v>
      </c>
      <c r="AF1271" s="36">
        <f>IFERROR(VLOOKUP(AE1271,'Chemical Cost'!A:D,4,0),0)</f>
        <v>2.7756518066439469E-2</v>
      </c>
      <c r="AG1271" s="114">
        <f t="shared" si="368"/>
        <v>2.0764457040788279E-2</v>
      </c>
      <c r="AH1271" s="36">
        <f t="shared" si="371"/>
        <v>2.0764457040788279E-2</v>
      </c>
      <c r="AI1271" s="36">
        <f t="shared" si="377"/>
        <v>4.9209868029386179</v>
      </c>
      <c r="AJ1271" s="36">
        <f>IFERROR(VLOOKUP(A1271,'All Products'!A:F,6,0),0)</f>
        <v>9.98</v>
      </c>
      <c r="AK1271" s="36">
        <f>AJ1271*Z1271*J1271</f>
        <v>9.98</v>
      </c>
      <c r="AL1271" s="23">
        <v>0.8</v>
      </c>
      <c r="AM1271" s="23">
        <v>0.2</v>
      </c>
      <c r="AN1271" s="54" t="e">
        <v>#N/A</v>
      </c>
      <c r="AO1271" s="47"/>
      <c r="AP1271" s="4">
        <v>1.6</v>
      </c>
      <c r="AQ1271" s="111">
        <f t="shared" si="369"/>
        <v>9.5409849409849423E-2</v>
      </c>
      <c r="AR1271">
        <f>_xlfn.XLOOKUP(F1271,'RM Cost'!A:A,'RM Cost'!S:S)</f>
        <v>0</v>
      </c>
      <c r="AS1271" t="e">
        <f>_xlfn.XLOOKUP(A1271,[3]Sheet1!$B:$B,[3]Sheet1!$B:$B)</f>
        <v>#N/A</v>
      </c>
    </row>
    <row r="1272" spans="1:46" x14ac:dyDescent="0.25">
      <c r="A1272" s="16" t="s">
        <v>20</v>
      </c>
      <c r="B1272" s="2" t="s">
        <v>656</v>
      </c>
      <c r="C1272" s="2" t="s">
        <v>1071</v>
      </c>
      <c r="D1272" s="2" t="s">
        <v>554</v>
      </c>
      <c r="E1272" s="2">
        <v>1</v>
      </c>
      <c r="F1272" s="1" t="str">
        <f>VLOOKUP(H1272,'RM Used'!A:B,2,0)</f>
        <v>P0008</v>
      </c>
      <c r="G1272" s="1" t="str">
        <f>IFERROR(VLOOKUP(F1272,'RM Cost'!A:B,2,0),"")</f>
        <v>PALE BLUE BAG 470X750MM</v>
      </c>
      <c r="H1272" s="1" t="s">
        <v>1323</v>
      </c>
      <c r="I1272" s="1" t="str">
        <f>VLOOKUP(F1272,'RM Used'!B:D,3,0)</f>
        <v>RM-PACKING</v>
      </c>
      <c r="J1272" s="66">
        <v>1</v>
      </c>
      <c r="K1272" s="35" t="str">
        <f t="shared" si="372"/>
        <v/>
      </c>
      <c r="L1272" s="35">
        <f t="shared" si="361"/>
        <v>0</v>
      </c>
      <c r="M1272" s="77" t="str" cm="1">
        <f t="array" ref="M1272">_xlfn.IFS(BOM!I1272="RM-PACKING","100%",B1272="Reynolds",VLOOKUP(H1272,'Yield &amp; Time'!A:V,22,0),BOM!B1272="Dnata",VLOOKUP(BOM!H1272,'Yield &amp; Time'!A:M,13,0),B1272="NK",VLOOKUP(H1272,'Yield &amp; Time'!A:X,24,0))</f>
        <v>100%</v>
      </c>
      <c r="N1272" s="35">
        <f t="shared" si="380"/>
        <v>1</v>
      </c>
      <c r="O1272" s="1" t="str">
        <f>VLOOKUP(H1272,'RM Used'!A:E,5,0)</f>
        <v>Count</v>
      </c>
      <c r="P1272" s="11">
        <f>VLOOKUP(H1272,'RM Used'!A:F,6,0)</f>
        <v>0.14000000000000001</v>
      </c>
      <c r="Q1272" s="11">
        <f t="shared" si="370"/>
        <v>0.14000000000000001</v>
      </c>
      <c r="R1272" s="11">
        <f>IFERROR(IF(B1272="Reynolds",VLOOKUP(H1272,'Yield &amp; Time'!A:U,21,0),VLOOKUP(H1272,'Yield &amp; Time'!A:L,12,0)),0)</f>
        <v>0</v>
      </c>
      <c r="S1272" s="11">
        <f t="shared" si="362"/>
        <v>0</v>
      </c>
      <c r="T1272" s="11">
        <f t="shared" si="363"/>
        <v>0</v>
      </c>
      <c r="U1272" s="11">
        <f>IF(A1271=A1272,0,VLOOKUP(A1272,'Packing Time'!A:F,6,0))</f>
        <v>0</v>
      </c>
      <c r="V1272" s="11">
        <f t="shared" si="373"/>
        <v>0</v>
      </c>
      <c r="W1272" s="11">
        <f t="shared" si="374"/>
        <v>0</v>
      </c>
      <c r="X1272" s="11">
        <f t="shared" si="364"/>
        <v>0</v>
      </c>
      <c r="Y1272" s="11">
        <f t="shared" si="375"/>
        <v>0</v>
      </c>
      <c r="Z1272" s="37">
        <v>1</v>
      </c>
      <c r="AA1272" s="36">
        <f t="shared" si="365"/>
        <v>1</v>
      </c>
      <c r="AB1272" s="36">
        <f t="shared" si="366"/>
        <v>0.14000000000000001</v>
      </c>
      <c r="AC1272" s="11">
        <f t="shared" si="367"/>
        <v>0</v>
      </c>
      <c r="AD1272" s="36">
        <f t="shared" si="376"/>
        <v>0</v>
      </c>
      <c r="AE1272" s="36"/>
      <c r="AF1272" s="36">
        <f>IFERROR(VLOOKUP(AE1272,'Chemical Cost'!A:D,4,0),0)</f>
        <v>0</v>
      </c>
      <c r="AG1272" s="114">
        <f t="shared" si="368"/>
        <v>0</v>
      </c>
      <c r="AH1272" s="36">
        <f t="shared" si="371"/>
        <v>0</v>
      </c>
      <c r="AI1272" s="36">
        <f t="shared" si="377"/>
        <v>0.14000000000000001</v>
      </c>
      <c r="AJ1272" s="36">
        <f>IFERROR(VLOOKUP(A1272,'All Products'!A:F,6,0),0)</f>
        <v>9.98</v>
      </c>
      <c r="AK1272" s="36"/>
      <c r="AL1272" s="23">
        <v>0.8</v>
      </c>
      <c r="AM1272" s="23">
        <v>0.2</v>
      </c>
      <c r="AN1272" s="54" t="e">
        <v>#N/A</v>
      </c>
      <c r="AO1272" s="47"/>
      <c r="AP1272" s="4">
        <v>1.6</v>
      </c>
      <c r="AQ1272" s="111">
        <f t="shared" si="369"/>
        <v>0</v>
      </c>
      <c r="AR1272">
        <f>_xlfn.XLOOKUP(F1272,'RM Cost'!A:A,'RM Cost'!S:S)</f>
        <v>0</v>
      </c>
      <c r="AS1272" t="e">
        <f>_xlfn.XLOOKUP(A1272,[3]Sheet1!$B:$B,[3]Sheet1!$B:$B)</f>
        <v>#N/A</v>
      </c>
    </row>
    <row r="1273" spans="1:46" x14ac:dyDescent="0.25">
      <c r="A1273" s="16" t="s">
        <v>19</v>
      </c>
      <c r="B1273" s="2" t="s">
        <v>656</v>
      </c>
      <c r="C1273" s="2" t="s">
        <v>1072</v>
      </c>
      <c r="D1273" s="2" t="s">
        <v>554</v>
      </c>
      <c r="E1273" s="2">
        <v>2.5</v>
      </c>
      <c r="F1273" s="1" t="str">
        <f>VLOOKUP(H1273,'RM Used'!A:B,2,0)</f>
        <v>3689CS</v>
      </c>
      <c r="G1273" s="1" t="str">
        <f>IFERROR(VLOOKUP(F1273,'RM Cost'!A:B,2,0),"")</f>
        <v>RM - BEEF TOMATO 1 X 7KG</v>
      </c>
      <c r="H1273" s="2" t="s">
        <v>1636</v>
      </c>
      <c r="I1273" s="1" t="str">
        <f>VLOOKUP(F1273,'RM Used'!B:D,3,0)</f>
        <v>RM-FOOD</v>
      </c>
      <c r="J1273" s="66">
        <v>1</v>
      </c>
      <c r="K1273" s="35">
        <f t="shared" si="372"/>
        <v>2.5</v>
      </c>
      <c r="L1273" s="35">
        <f t="shared" si="361"/>
        <v>2.5</v>
      </c>
      <c r="M1273" s="77" cm="1">
        <f t="array" ref="M1273">_xlfn.IFS(BOM!I1273="RM-PACKING","100%",B1273="Reynolds",VLOOKUP(H1273,'Yield &amp; Time'!A:V,22,0),BOM!B1273="Dnata",VLOOKUP(BOM!H1273,'Yield &amp; Time'!A:M,13,0),B1273="NK",VLOOKUP(H1273,'Yield &amp; Time'!A:X,24,0))</f>
        <v>0.44557739557739562</v>
      </c>
      <c r="N1273" s="35">
        <f t="shared" si="380"/>
        <v>5.6106975461814166</v>
      </c>
      <c r="O1273" s="1" t="str">
        <f>VLOOKUP(H1273,'RM Used'!A:E,5,0)</f>
        <v>KG</v>
      </c>
      <c r="P1273" s="11">
        <f>VLOOKUP(H1273,'RM Used'!A:F,6,0)</f>
        <v>1.32</v>
      </c>
      <c r="Q1273" s="11">
        <f t="shared" si="370"/>
        <v>7.4061207609594701</v>
      </c>
      <c r="R1273" s="11">
        <f>IFERROR(IF(B1273="Reynolds",VLOOKUP(H1273,'Yield &amp; Time'!A:U,21,0),VLOOKUP(H1273,'Yield &amp; Time'!A:L,12,0)),0)</f>
        <v>2.9362026862026864</v>
      </c>
      <c r="S1273" s="11">
        <f t="shared" si="362"/>
        <v>2.4847615231990234</v>
      </c>
      <c r="T1273" s="11">
        <f t="shared" si="363"/>
        <v>0.12234177859177861</v>
      </c>
      <c r="U1273" s="11">
        <f>IF(A1272=A1273,0,VLOOKUP(A1273,'Packing Time'!A:F,6,0))</f>
        <v>0.875</v>
      </c>
      <c r="V1273" s="11">
        <f t="shared" si="373"/>
        <v>0.29618749999999999</v>
      </c>
      <c r="W1273" s="11">
        <f t="shared" si="374"/>
        <v>1.4583333333333334E-2</v>
      </c>
      <c r="X1273" s="11">
        <f t="shared" si="364"/>
        <v>3.8933286324786325</v>
      </c>
      <c r="Y1273" s="11">
        <f t="shared" si="375"/>
        <v>3.8933286324786325</v>
      </c>
      <c r="Z1273" s="37">
        <v>1</v>
      </c>
      <c r="AA1273" s="36">
        <f t="shared" si="365"/>
        <v>5.6106975461814166</v>
      </c>
      <c r="AB1273" s="36">
        <f t="shared" si="366"/>
        <v>7.4061207609594701</v>
      </c>
      <c r="AC1273" s="11">
        <f t="shared" si="367"/>
        <v>0.19169515669515672</v>
      </c>
      <c r="AD1273" s="36">
        <f t="shared" si="376"/>
        <v>3.8933286324786329</v>
      </c>
      <c r="AE1273" s="36" t="str">
        <f>VLOOKUP(H1273,'Yield &amp; Time'!A:I,9,0)</f>
        <v>CHLORINE</v>
      </c>
      <c r="AF1273" s="36">
        <f>IFERROR(VLOOKUP(AE1273,'Chemical Cost'!A:D,4,0),0)</f>
        <v>2.7756518066439469E-2</v>
      </c>
      <c r="AG1273" s="114">
        <f t="shared" si="368"/>
        <v>5.1911142601970696E-2</v>
      </c>
      <c r="AH1273" s="36">
        <f t="shared" si="371"/>
        <v>5.1911142601970696E-2</v>
      </c>
      <c r="AI1273" s="36">
        <f t="shared" si="377"/>
        <v>11.351360536040072</v>
      </c>
      <c r="AJ1273" s="36">
        <f>IFERROR(VLOOKUP(A1273,'All Products'!A:F,6,0),0)</f>
        <v>24.94</v>
      </c>
      <c r="AK1273" s="36">
        <f>AJ1273*Z1273*J1273</f>
        <v>24.94</v>
      </c>
      <c r="AL1273" s="23">
        <v>0.8</v>
      </c>
      <c r="AM1273" s="23">
        <v>0.2</v>
      </c>
      <c r="AN1273" s="54" t="e">
        <v>#N/A</v>
      </c>
      <c r="AO1273" s="47"/>
      <c r="AP1273" s="4">
        <v>1.4</v>
      </c>
      <c r="AQ1273" s="111">
        <f t="shared" si="369"/>
        <v>0.19169515669515672</v>
      </c>
      <c r="AR1273">
        <f>_xlfn.XLOOKUP(F1273,'RM Cost'!A:A,'RM Cost'!S:S)</f>
        <v>0</v>
      </c>
      <c r="AS1273" t="e">
        <f>_xlfn.XLOOKUP(A1273,[3]Sheet1!$B:$B,[3]Sheet1!$B:$B)</f>
        <v>#N/A</v>
      </c>
    </row>
    <row r="1274" spans="1:46" x14ac:dyDescent="0.25">
      <c r="A1274" s="16" t="s">
        <v>19</v>
      </c>
      <c r="B1274" s="2" t="s">
        <v>656</v>
      </c>
      <c r="C1274" s="2" t="s">
        <v>1072</v>
      </c>
      <c r="D1274" s="2" t="s">
        <v>554</v>
      </c>
      <c r="E1274" s="2">
        <v>2.5</v>
      </c>
      <c r="F1274" s="1" t="str">
        <f>VLOOKUP(H1274,'RM Used'!A:B,2,0)</f>
        <v>P0008</v>
      </c>
      <c r="G1274" s="1" t="str">
        <f>IFERROR(VLOOKUP(F1274,'RM Cost'!A:B,2,0),"")</f>
        <v>PALE BLUE BAG 470X750MM</v>
      </c>
      <c r="H1274" s="1" t="s">
        <v>1323</v>
      </c>
      <c r="I1274" s="1" t="str">
        <f>VLOOKUP(F1274,'RM Used'!B:D,3,0)</f>
        <v>RM-PACKING</v>
      </c>
      <c r="J1274" s="66">
        <v>1</v>
      </c>
      <c r="K1274" s="35" t="str">
        <f t="shared" si="372"/>
        <v/>
      </c>
      <c r="L1274" s="35">
        <f t="shared" si="361"/>
        <v>0</v>
      </c>
      <c r="M1274" s="77" t="str" cm="1">
        <f t="array" ref="M1274">_xlfn.IFS(BOM!I1274="RM-PACKING","100%",B1274="Reynolds",VLOOKUP(H1274,'Yield &amp; Time'!A:V,22,0),BOM!B1274="Dnata",VLOOKUP(BOM!H1274,'Yield &amp; Time'!A:M,13,0),B1274="NK",VLOOKUP(H1274,'Yield &amp; Time'!A:X,24,0))</f>
        <v>100%</v>
      </c>
      <c r="N1274" s="35">
        <f t="shared" si="380"/>
        <v>1</v>
      </c>
      <c r="O1274" s="1" t="str">
        <f>VLOOKUP(H1274,'RM Used'!A:E,5,0)</f>
        <v>Count</v>
      </c>
      <c r="P1274" s="11">
        <f>VLOOKUP(H1274,'RM Used'!A:F,6,0)</f>
        <v>0.14000000000000001</v>
      </c>
      <c r="Q1274" s="11">
        <f t="shared" si="370"/>
        <v>0.14000000000000001</v>
      </c>
      <c r="R1274" s="11">
        <f>IFERROR(IF(B1274="Reynolds",VLOOKUP(H1274,'Yield &amp; Time'!A:U,21,0),VLOOKUP(H1274,'Yield &amp; Time'!A:L,12,0)),0)</f>
        <v>0</v>
      </c>
      <c r="S1274" s="11">
        <f t="shared" si="362"/>
        <v>0</v>
      </c>
      <c r="T1274" s="11">
        <f t="shared" si="363"/>
        <v>0</v>
      </c>
      <c r="U1274" s="11">
        <f>IF(A1273=A1274,0,VLOOKUP(A1274,'Packing Time'!A:F,6,0))</f>
        <v>0</v>
      </c>
      <c r="V1274" s="11">
        <f t="shared" si="373"/>
        <v>0</v>
      </c>
      <c r="W1274" s="11">
        <f t="shared" si="374"/>
        <v>0</v>
      </c>
      <c r="X1274" s="11">
        <f t="shared" si="364"/>
        <v>0</v>
      </c>
      <c r="Y1274" s="11">
        <f t="shared" si="375"/>
        <v>0</v>
      </c>
      <c r="Z1274" s="37">
        <v>1</v>
      </c>
      <c r="AA1274" s="36">
        <f t="shared" si="365"/>
        <v>1</v>
      </c>
      <c r="AB1274" s="36">
        <f t="shared" si="366"/>
        <v>0.14000000000000001</v>
      </c>
      <c r="AC1274" s="11">
        <f t="shared" si="367"/>
        <v>0</v>
      </c>
      <c r="AD1274" s="36">
        <f t="shared" si="376"/>
        <v>0</v>
      </c>
      <c r="AE1274" s="36"/>
      <c r="AF1274" s="36">
        <f>IFERROR(VLOOKUP(AE1274,'Chemical Cost'!A:D,4,0),0)</f>
        <v>0</v>
      </c>
      <c r="AG1274" s="114">
        <f t="shared" si="368"/>
        <v>0</v>
      </c>
      <c r="AH1274" s="36">
        <f t="shared" si="371"/>
        <v>0</v>
      </c>
      <c r="AI1274" s="36">
        <f t="shared" si="377"/>
        <v>0.14000000000000001</v>
      </c>
      <c r="AJ1274" s="36">
        <f>IFERROR(VLOOKUP(A1274,'All Products'!A:F,6,0),0)</f>
        <v>24.94</v>
      </c>
      <c r="AK1274" s="36"/>
      <c r="AL1274" s="23">
        <v>0.8</v>
      </c>
      <c r="AM1274" s="23">
        <v>0.2</v>
      </c>
      <c r="AN1274" s="54" t="e">
        <v>#N/A</v>
      </c>
      <c r="AO1274" s="47"/>
      <c r="AP1274" s="4">
        <v>1.4</v>
      </c>
      <c r="AQ1274" s="111">
        <f t="shared" si="369"/>
        <v>0</v>
      </c>
      <c r="AR1274">
        <f>_xlfn.XLOOKUP(F1274,'RM Cost'!A:A,'RM Cost'!S:S)</f>
        <v>0</v>
      </c>
      <c r="AS1274" t="e">
        <f>_xlfn.XLOOKUP(A1274,[3]Sheet1!$B:$B,[3]Sheet1!$B:$B)</f>
        <v>#N/A</v>
      </c>
    </row>
    <row r="1275" spans="1:46" x14ac:dyDescent="0.25">
      <c r="A1275" s="16" t="s">
        <v>1073</v>
      </c>
      <c r="B1275" s="2" t="s">
        <v>656</v>
      </c>
      <c r="C1275" s="2" t="s">
        <v>1074</v>
      </c>
      <c r="D1275" s="2" t="s">
        <v>554</v>
      </c>
      <c r="E1275" s="2">
        <v>1</v>
      </c>
      <c r="F1275" s="1" t="str">
        <f>VLOOKUP(H1275,'RM Used'!A:B,2,0)</f>
        <v>3689CS</v>
      </c>
      <c r="G1275" s="1" t="str">
        <f>IFERROR(VLOOKUP(F1275,'RM Cost'!A:B,2,0),"")</f>
        <v>RM - BEEF TOMATO 1 X 7KG</v>
      </c>
      <c r="H1275" s="2" t="s">
        <v>1637</v>
      </c>
      <c r="I1275" s="1" t="str">
        <f>VLOOKUP(F1275,'RM Used'!B:D,3,0)</f>
        <v>RM-FOOD</v>
      </c>
      <c r="J1275" s="66">
        <v>1</v>
      </c>
      <c r="K1275" s="35">
        <f t="shared" si="372"/>
        <v>1</v>
      </c>
      <c r="L1275" s="35">
        <f t="shared" si="361"/>
        <v>1</v>
      </c>
      <c r="M1275" s="77" cm="1">
        <f t="array" ref="M1275">_xlfn.IFS(BOM!I1275="RM-PACKING","100%",B1275="Reynolds",VLOOKUP(H1275,'Yield &amp; Time'!A:V,22,0),BOM!B1275="Dnata",VLOOKUP(BOM!H1275,'Yield &amp; Time'!A:M,13,0),B1275="NK",VLOOKUP(H1275,'Yield &amp; Time'!A:X,24,0))</f>
        <v>0</v>
      </c>
      <c r="N1275" s="35">
        <f t="shared" si="380"/>
        <v>0</v>
      </c>
      <c r="O1275" s="1" t="str">
        <f>VLOOKUP(H1275,'RM Used'!A:E,5,0)</f>
        <v>KG</v>
      </c>
      <c r="P1275" s="11">
        <f>VLOOKUP(H1275,'RM Used'!A:F,6,0)</f>
        <v>1.32</v>
      </c>
      <c r="Q1275" s="11">
        <f t="shared" si="370"/>
        <v>0</v>
      </c>
      <c r="R1275" s="11">
        <f>IFERROR(IF(B1275="Reynolds",VLOOKUP(H1275,'Yield &amp; Time'!A:U,21,0),VLOOKUP(H1275,'Yield &amp; Time'!A:L,12,0)),0)</f>
        <v>0</v>
      </c>
      <c r="S1275" s="11">
        <f t="shared" si="362"/>
        <v>0</v>
      </c>
      <c r="T1275" s="11">
        <f t="shared" si="363"/>
        <v>0</v>
      </c>
      <c r="U1275" s="11">
        <f>IF(A1274=A1275,0,VLOOKUP(A1275,'Packing Time'!A:F,6,0))</f>
        <v>0.64166666666666661</v>
      </c>
      <c r="V1275" s="11">
        <f t="shared" si="373"/>
        <v>0.21720416666666661</v>
      </c>
      <c r="W1275" s="11">
        <f t="shared" si="374"/>
        <v>1.0694444444444444E-2</v>
      </c>
      <c r="X1275" s="11">
        <f t="shared" si="364"/>
        <v>0.34752666666666659</v>
      </c>
      <c r="Y1275" s="11">
        <f t="shared" si="375"/>
        <v>0.34752666666666659</v>
      </c>
      <c r="Z1275" s="37">
        <v>1</v>
      </c>
      <c r="AA1275" s="36">
        <f t="shared" si="365"/>
        <v>0</v>
      </c>
      <c r="AB1275" s="36">
        <f t="shared" si="366"/>
        <v>0</v>
      </c>
      <c r="AC1275" s="11">
        <f t="shared" si="367"/>
        <v>1.7111111111111112E-2</v>
      </c>
      <c r="AD1275" s="36">
        <f t="shared" si="376"/>
        <v>0.34752666666666659</v>
      </c>
      <c r="AE1275" s="36"/>
      <c r="AF1275" s="36">
        <f>IFERROR(VLOOKUP(AE1275,'Chemical Cost'!A:D,4,0),0)</f>
        <v>0</v>
      </c>
      <c r="AG1275" s="114">
        <f t="shared" si="368"/>
        <v>0</v>
      </c>
      <c r="AH1275" s="36">
        <f t="shared" si="371"/>
        <v>0</v>
      </c>
      <c r="AI1275" s="36">
        <f t="shared" si="377"/>
        <v>0.34752666666666659</v>
      </c>
      <c r="AJ1275" s="36">
        <f>IFERROR(VLOOKUP(A1275,'All Products'!A:F,6,0),0)</f>
        <v>6.16</v>
      </c>
      <c r="AK1275" s="36">
        <f>AJ1275*Z1275*J1275</f>
        <v>6.16</v>
      </c>
      <c r="AL1275" s="29">
        <v>0.8</v>
      </c>
      <c r="AM1275" s="23">
        <v>0.2</v>
      </c>
      <c r="AN1275" s="54" t="e">
        <v>#N/A</v>
      </c>
      <c r="AO1275" s="47"/>
      <c r="AP1275" s="4">
        <v>1.6</v>
      </c>
      <c r="AQ1275" s="111">
        <f t="shared" si="369"/>
        <v>1.7111111111111112E-2</v>
      </c>
      <c r="AR1275">
        <f>_xlfn.XLOOKUP(F1275,'RM Cost'!A:A,'RM Cost'!S:S)</f>
        <v>0</v>
      </c>
      <c r="AS1275" t="e">
        <f>_xlfn.XLOOKUP(A1275,[3]Sheet1!$B:$B,[3]Sheet1!$B:$B)</f>
        <v>#N/A</v>
      </c>
    </row>
    <row r="1276" spans="1:46" x14ac:dyDescent="0.25">
      <c r="A1276" s="16" t="s">
        <v>1073</v>
      </c>
      <c r="B1276" s="2" t="s">
        <v>656</v>
      </c>
      <c r="C1276" s="2" t="s">
        <v>1074</v>
      </c>
      <c r="D1276" s="2" t="s">
        <v>554</v>
      </c>
      <c r="E1276" s="2">
        <v>1</v>
      </c>
      <c r="F1276" s="1" t="str">
        <f>VLOOKUP(H1276,'RM Used'!A:B,2,0)</f>
        <v>P0008</v>
      </c>
      <c r="G1276" s="1" t="str">
        <f>IFERROR(VLOOKUP(F1276,'RM Cost'!A:B,2,0),"")</f>
        <v>PALE BLUE BAG 470X750MM</v>
      </c>
      <c r="H1276" s="1" t="s">
        <v>1323</v>
      </c>
      <c r="I1276" s="1" t="str">
        <f>VLOOKUP(F1276,'RM Used'!B:D,3,0)</f>
        <v>RM-PACKING</v>
      </c>
      <c r="J1276" s="66">
        <v>1</v>
      </c>
      <c r="K1276" s="35" t="str">
        <f t="shared" si="372"/>
        <v/>
      </c>
      <c r="L1276" s="35">
        <f t="shared" si="361"/>
        <v>0</v>
      </c>
      <c r="M1276" s="77" t="str" cm="1">
        <f t="array" ref="M1276">_xlfn.IFS(BOM!I1276="RM-PACKING","100%",B1276="Reynolds",VLOOKUP(H1276,'Yield &amp; Time'!A:V,22,0),BOM!B1276="Dnata",VLOOKUP(BOM!H1276,'Yield &amp; Time'!A:M,13,0),B1276="NK",VLOOKUP(H1276,'Yield &amp; Time'!A:X,24,0))</f>
        <v>100%</v>
      </c>
      <c r="N1276" s="35">
        <f t="shared" si="380"/>
        <v>1</v>
      </c>
      <c r="O1276" s="1" t="str">
        <f>VLOOKUP(H1276,'RM Used'!A:E,5,0)</f>
        <v>Count</v>
      </c>
      <c r="P1276" s="11">
        <f>VLOOKUP(H1276,'RM Used'!A:F,6,0)</f>
        <v>0.14000000000000001</v>
      </c>
      <c r="Q1276" s="11">
        <f t="shared" si="370"/>
        <v>0.14000000000000001</v>
      </c>
      <c r="R1276" s="11">
        <f>IFERROR(IF(B1276="Reynolds",VLOOKUP(H1276,'Yield &amp; Time'!A:U,21,0),VLOOKUP(H1276,'Yield &amp; Time'!A:L,12,0)),0)</f>
        <v>0</v>
      </c>
      <c r="S1276" s="11">
        <f t="shared" si="362"/>
        <v>0</v>
      </c>
      <c r="T1276" s="11">
        <f t="shared" si="363"/>
        <v>0</v>
      </c>
      <c r="U1276" s="11">
        <f>IF(A1275=A1276,0,VLOOKUP(A1276,'Packing Time'!A:F,6,0))</f>
        <v>0</v>
      </c>
      <c r="V1276" s="11">
        <f t="shared" si="373"/>
        <v>0</v>
      </c>
      <c r="W1276" s="11">
        <f t="shared" si="374"/>
        <v>0</v>
      </c>
      <c r="X1276" s="11">
        <f t="shared" si="364"/>
        <v>0</v>
      </c>
      <c r="Y1276" s="11">
        <f t="shared" si="375"/>
        <v>0</v>
      </c>
      <c r="Z1276" s="37">
        <v>1</v>
      </c>
      <c r="AA1276" s="36">
        <f t="shared" si="365"/>
        <v>1</v>
      </c>
      <c r="AB1276" s="36">
        <f t="shared" si="366"/>
        <v>0.14000000000000001</v>
      </c>
      <c r="AC1276" s="11">
        <f t="shared" si="367"/>
        <v>0</v>
      </c>
      <c r="AD1276" s="36">
        <f t="shared" si="376"/>
        <v>0</v>
      </c>
      <c r="AE1276" s="36"/>
      <c r="AF1276" s="36">
        <f>IFERROR(VLOOKUP(AE1276,'Chemical Cost'!A:D,4,0),0)</f>
        <v>0</v>
      </c>
      <c r="AG1276" s="114">
        <f t="shared" si="368"/>
        <v>0</v>
      </c>
      <c r="AH1276" s="36">
        <f t="shared" si="371"/>
        <v>0</v>
      </c>
      <c r="AI1276" s="36">
        <f t="shared" si="377"/>
        <v>0.14000000000000001</v>
      </c>
      <c r="AJ1276" s="36">
        <f>IFERROR(VLOOKUP(A1276,'All Products'!A:F,6,0),0)</f>
        <v>6.16</v>
      </c>
      <c r="AK1276" s="36"/>
      <c r="AL1276" s="29">
        <v>0.8</v>
      </c>
      <c r="AM1276" s="23">
        <v>0.2</v>
      </c>
      <c r="AN1276" s="54" t="e">
        <v>#N/A</v>
      </c>
      <c r="AO1276" s="47"/>
      <c r="AP1276" s="4">
        <v>1.6</v>
      </c>
      <c r="AQ1276" s="111">
        <f t="shared" si="369"/>
        <v>0</v>
      </c>
      <c r="AR1276">
        <f>_xlfn.XLOOKUP(F1276,'RM Cost'!A:A,'RM Cost'!S:S)</f>
        <v>0</v>
      </c>
      <c r="AS1276" t="e">
        <f>_xlfn.XLOOKUP(A1276,[3]Sheet1!$B:$B,[3]Sheet1!$B:$B)</f>
        <v>#N/A</v>
      </c>
    </row>
    <row r="1277" spans="1:46" x14ac:dyDescent="0.25">
      <c r="A1277" s="16" t="s">
        <v>1075</v>
      </c>
      <c r="B1277" s="2" t="s">
        <v>656</v>
      </c>
      <c r="C1277" s="2" t="s">
        <v>1076</v>
      </c>
      <c r="D1277" s="2" t="s">
        <v>554</v>
      </c>
      <c r="E1277" s="2">
        <v>2.5</v>
      </c>
      <c r="F1277" s="1" t="str">
        <f>VLOOKUP(H1277,'RM Used'!A:B,2,0)</f>
        <v>3689CS</v>
      </c>
      <c r="G1277" s="1" t="str">
        <f>IFERROR(VLOOKUP(F1277,'RM Cost'!A:B,2,0),"")</f>
        <v>RM - BEEF TOMATO 1 X 7KG</v>
      </c>
      <c r="H1277" s="2" t="s">
        <v>1637</v>
      </c>
      <c r="I1277" s="1" t="str">
        <f>VLOOKUP(F1277,'RM Used'!B:D,3,0)</f>
        <v>RM-FOOD</v>
      </c>
      <c r="J1277" s="66">
        <v>1</v>
      </c>
      <c r="K1277" s="35">
        <f t="shared" si="372"/>
        <v>2.5</v>
      </c>
      <c r="L1277" s="35">
        <f t="shared" si="361"/>
        <v>2.5</v>
      </c>
      <c r="M1277" s="77" cm="1">
        <f t="array" ref="M1277">_xlfn.IFS(BOM!I1277="RM-PACKING","100%",B1277="Reynolds",VLOOKUP(H1277,'Yield &amp; Time'!A:V,22,0),BOM!B1277="Dnata",VLOOKUP(BOM!H1277,'Yield &amp; Time'!A:M,13,0),B1277="NK",VLOOKUP(H1277,'Yield &amp; Time'!A:X,24,0))</f>
        <v>0</v>
      </c>
      <c r="N1277" s="35">
        <f t="shared" si="380"/>
        <v>0</v>
      </c>
      <c r="O1277" s="1" t="str">
        <f>VLOOKUP(H1277,'RM Used'!A:E,5,0)</f>
        <v>KG</v>
      </c>
      <c r="P1277" s="11">
        <f>VLOOKUP(H1277,'RM Used'!A:F,6,0)</f>
        <v>1.32</v>
      </c>
      <c r="Q1277" s="11">
        <f t="shared" si="370"/>
        <v>0</v>
      </c>
      <c r="R1277" s="11">
        <f>IFERROR(IF(B1277="Reynolds",VLOOKUP(H1277,'Yield &amp; Time'!A:U,21,0),VLOOKUP(H1277,'Yield &amp; Time'!A:L,12,0)),0)</f>
        <v>0</v>
      </c>
      <c r="S1277" s="11">
        <f t="shared" si="362"/>
        <v>0</v>
      </c>
      <c r="T1277" s="11">
        <f t="shared" si="363"/>
        <v>0</v>
      </c>
      <c r="U1277" s="11">
        <f>IF(A1276=A1277,0,VLOOKUP(A1277,'Packing Time'!A:F,6,0))</f>
        <v>0.875</v>
      </c>
      <c r="V1277" s="11">
        <f t="shared" si="373"/>
        <v>0.29618749999999999</v>
      </c>
      <c r="W1277" s="11">
        <f t="shared" si="374"/>
        <v>1.4583333333333334E-2</v>
      </c>
      <c r="X1277" s="11">
        <f t="shared" si="364"/>
        <v>0.47389999999999999</v>
      </c>
      <c r="Y1277" s="11">
        <f t="shared" si="375"/>
        <v>0.47389999999999999</v>
      </c>
      <c r="Z1277" s="37">
        <v>1</v>
      </c>
      <c r="AA1277" s="36">
        <f t="shared" si="365"/>
        <v>0</v>
      </c>
      <c r="AB1277" s="36">
        <f t="shared" si="366"/>
        <v>0</v>
      </c>
      <c r="AC1277" s="11">
        <f t="shared" si="367"/>
        <v>2.3333333333333334E-2</v>
      </c>
      <c r="AD1277" s="36">
        <f t="shared" si="376"/>
        <v>0.47389999999999999</v>
      </c>
      <c r="AE1277" s="36"/>
      <c r="AF1277" s="36">
        <f>IFERROR(VLOOKUP(AE1277,'Chemical Cost'!A:D,4,0),0)</f>
        <v>0</v>
      </c>
      <c r="AG1277" s="114">
        <f t="shared" si="368"/>
        <v>0</v>
      </c>
      <c r="AH1277" s="36">
        <f t="shared" si="371"/>
        <v>0</v>
      </c>
      <c r="AI1277" s="36">
        <f t="shared" si="377"/>
        <v>0.47389999999999999</v>
      </c>
      <c r="AJ1277" s="36">
        <f>IFERROR(VLOOKUP(A1277,'All Products'!A:F,6,0),0)</f>
        <v>15.39</v>
      </c>
      <c r="AK1277" s="36">
        <f>AJ1277*Z1277*J1277</f>
        <v>15.39</v>
      </c>
      <c r="AL1277" s="29">
        <v>0.8</v>
      </c>
      <c r="AM1277" s="23">
        <v>0.2</v>
      </c>
      <c r="AN1277" s="54" t="e">
        <v>#N/A</v>
      </c>
      <c r="AO1277" s="47"/>
      <c r="AP1277" s="4">
        <v>1.6</v>
      </c>
      <c r="AQ1277" s="111">
        <f t="shared" si="369"/>
        <v>2.3333333333333334E-2</v>
      </c>
      <c r="AR1277">
        <f>_xlfn.XLOOKUP(F1277,'RM Cost'!A:A,'RM Cost'!S:S)</f>
        <v>0</v>
      </c>
      <c r="AS1277" t="e">
        <f>_xlfn.XLOOKUP(A1277,[3]Sheet1!$B:$B,[3]Sheet1!$B:$B)</f>
        <v>#N/A</v>
      </c>
    </row>
    <row r="1278" spans="1:46" x14ac:dyDescent="0.25">
      <c r="A1278" s="16" t="s">
        <v>1075</v>
      </c>
      <c r="B1278" s="2" t="s">
        <v>656</v>
      </c>
      <c r="C1278" s="2" t="s">
        <v>1076</v>
      </c>
      <c r="D1278" s="2" t="s">
        <v>554</v>
      </c>
      <c r="E1278" s="2">
        <v>2.5</v>
      </c>
      <c r="F1278" s="1" t="str">
        <f>VLOOKUP(H1278,'RM Used'!A:B,2,0)</f>
        <v>P0008</v>
      </c>
      <c r="G1278" s="1" t="str">
        <f>IFERROR(VLOOKUP(F1278,'RM Cost'!A:B,2,0),"")</f>
        <v>PALE BLUE BAG 470X750MM</v>
      </c>
      <c r="H1278" s="1" t="s">
        <v>1323</v>
      </c>
      <c r="I1278" s="1" t="str">
        <f>VLOOKUP(F1278,'RM Used'!B:D,3,0)</f>
        <v>RM-PACKING</v>
      </c>
      <c r="J1278" s="66">
        <v>1</v>
      </c>
      <c r="K1278" s="35" t="str">
        <f t="shared" si="372"/>
        <v/>
      </c>
      <c r="L1278" s="35">
        <f t="shared" si="361"/>
        <v>0</v>
      </c>
      <c r="M1278" s="77" t="str" cm="1">
        <f t="array" ref="M1278">_xlfn.IFS(BOM!I1278="RM-PACKING","100%",B1278="Reynolds",VLOOKUP(H1278,'Yield &amp; Time'!A:V,22,0),BOM!B1278="Dnata",VLOOKUP(BOM!H1278,'Yield &amp; Time'!A:M,13,0),B1278="NK",VLOOKUP(H1278,'Yield &amp; Time'!A:X,24,0))</f>
        <v>100%</v>
      </c>
      <c r="N1278" s="35">
        <f t="shared" si="380"/>
        <v>1</v>
      </c>
      <c r="O1278" s="1" t="str">
        <f>VLOOKUP(H1278,'RM Used'!A:E,5,0)</f>
        <v>Count</v>
      </c>
      <c r="P1278" s="11">
        <f>VLOOKUP(H1278,'RM Used'!A:F,6,0)</f>
        <v>0.14000000000000001</v>
      </c>
      <c r="Q1278" s="11">
        <f t="shared" si="370"/>
        <v>0.14000000000000001</v>
      </c>
      <c r="R1278" s="11">
        <f>IFERROR(IF(B1278="Reynolds",VLOOKUP(H1278,'Yield &amp; Time'!A:U,21,0),VLOOKUP(H1278,'Yield &amp; Time'!A:L,12,0)),0)</f>
        <v>0</v>
      </c>
      <c r="S1278" s="11">
        <f t="shared" si="362"/>
        <v>0</v>
      </c>
      <c r="T1278" s="11">
        <f t="shared" si="363"/>
        <v>0</v>
      </c>
      <c r="U1278" s="11">
        <f>IF(A1277=A1278,0,VLOOKUP(A1278,'Packing Time'!A:F,6,0))</f>
        <v>0</v>
      </c>
      <c r="V1278" s="11">
        <f t="shared" si="373"/>
        <v>0</v>
      </c>
      <c r="W1278" s="11">
        <f t="shared" si="374"/>
        <v>0</v>
      </c>
      <c r="X1278" s="11">
        <f t="shared" si="364"/>
        <v>0</v>
      </c>
      <c r="Y1278" s="11">
        <f t="shared" si="375"/>
        <v>0</v>
      </c>
      <c r="Z1278" s="37">
        <v>1</v>
      </c>
      <c r="AA1278" s="36">
        <f t="shared" si="365"/>
        <v>1</v>
      </c>
      <c r="AB1278" s="36">
        <f t="shared" si="366"/>
        <v>0.14000000000000001</v>
      </c>
      <c r="AC1278" s="11">
        <f t="shared" si="367"/>
        <v>0</v>
      </c>
      <c r="AD1278" s="36">
        <f t="shared" si="376"/>
        <v>0</v>
      </c>
      <c r="AE1278" s="36"/>
      <c r="AF1278" s="36">
        <f>IFERROR(VLOOKUP(AE1278,'Chemical Cost'!A:D,4,0),0)</f>
        <v>0</v>
      </c>
      <c r="AG1278" s="114">
        <f t="shared" si="368"/>
        <v>0</v>
      </c>
      <c r="AH1278" s="36">
        <f t="shared" si="371"/>
        <v>0</v>
      </c>
      <c r="AI1278" s="36">
        <f t="shared" si="377"/>
        <v>0.14000000000000001</v>
      </c>
      <c r="AJ1278" s="36">
        <f>IFERROR(VLOOKUP(A1278,'All Products'!A:F,6,0),0)</f>
        <v>15.39</v>
      </c>
      <c r="AK1278" s="36"/>
      <c r="AL1278" s="29">
        <v>0.8</v>
      </c>
      <c r="AM1278" s="23">
        <v>0.2</v>
      </c>
      <c r="AN1278" s="54" t="e">
        <v>#N/A</v>
      </c>
      <c r="AO1278" s="47"/>
      <c r="AP1278" s="4">
        <v>1.6</v>
      </c>
      <c r="AQ1278" s="111">
        <f t="shared" si="369"/>
        <v>0</v>
      </c>
      <c r="AR1278">
        <f>_xlfn.XLOOKUP(F1278,'RM Cost'!A:A,'RM Cost'!S:S)</f>
        <v>0</v>
      </c>
      <c r="AS1278" t="e">
        <f>_xlfn.XLOOKUP(A1278,[3]Sheet1!$B:$B,[3]Sheet1!$B:$B)</f>
        <v>#N/A</v>
      </c>
    </row>
    <row r="1279" spans="1:46" x14ac:dyDescent="0.25">
      <c r="A1279" s="16" t="s">
        <v>497</v>
      </c>
      <c r="B1279" s="2" t="s">
        <v>656</v>
      </c>
      <c r="C1279" s="2" t="s">
        <v>498</v>
      </c>
      <c r="D1279" s="2" t="s">
        <v>554</v>
      </c>
      <c r="E1279" s="2">
        <v>1</v>
      </c>
      <c r="F1279" s="1" t="str">
        <f>VLOOKUP(H1279,'RM Used'!A:B,2,0)</f>
        <v>3001CS</v>
      </c>
      <c r="G1279" s="1" t="str">
        <f>IFERROR(VLOOKUP(F1279,'RM Cost'!A:B,2,0),"")</f>
        <v>RM - AUBERGINE 5KG</v>
      </c>
      <c r="H1279" s="2" t="s">
        <v>1425</v>
      </c>
      <c r="I1279" s="1" t="str">
        <f>VLOOKUP(F1279,'RM Used'!B:D,3,0)</f>
        <v>RM-FOOD</v>
      </c>
      <c r="J1279" s="66">
        <v>0.2</v>
      </c>
      <c r="K1279" s="35">
        <f t="shared" si="372"/>
        <v>0.2</v>
      </c>
      <c r="L1279" s="35">
        <f t="shared" si="361"/>
        <v>0.2</v>
      </c>
      <c r="M1279" s="77" cm="1">
        <f t="array" ref="M1279">_xlfn.IFS(BOM!I1279="RM-PACKING","100%",B1279="Reynolds",VLOOKUP(H1279,'Yield &amp; Time'!A:V,22,0),BOM!B1279="Dnata",VLOOKUP(BOM!H1279,'Yield &amp; Time'!A:M,13,0),B1279="NK",VLOOKUP(H1279,'Yield &amp; Time'!A:X,24,0))</f>
        <v>0.75</v>
      </c>
      <c r="N1279" s="35">
        <f t="shared" si="380"/>
        <v>0.26666666666666666</v>
      </c>
      <c r="O1279" s="1" t="str">
        <f>VLOOKUP(H1279,'RM Used'!A:E,5,0)</f>
        <v>KG</v>
      </c>
      <c r="P1279" s="11">
        <f>VLOOKUP(H1279,'RM Used'!A:F,6,0)</f>
        <v>1.34</v>
      </c>
      <c r="Q1279" s="11">
        <f t="shared" si="370"/>
        <v>0.35733333333333334</v>
      </c>
      <c r="R1279" s="11">
        <f>IFERROR(IF(B1279="Reynolds",VLOOKUP(H1279,'Yield &amp; Time'!A:U,21,0),VLOOKUP(H1279,'Yield &amp; Time'!A:L,12,0)),0)</f>
        <v>2.3222222222222224</v>
      </c>
      <c r="S1279" s="11">
        <f t="shared" si="362"/>
        <v>0.15721444444444443</v>
      </c>
      <c r="T1279" s="11">
        <f t="shared" si="363"/>
        <v>7.7407407407407416E-3</v>
      </c>
      <c r="U1279" s="11">
        <f>IF(A1278=A1279,0,VLOOKUP(A1279,'Packing Time'!A:F,6,0))</f>
        <v>0.64166666666666661</v>
      </c>
      <c r="V1279" s="11">
        <f t="shared" si="373"/>
        <v>0.21720416666666661</v>
      </c>
      <c r="W1279" s="11">
        <f t="shared" si="374"/>
        <v>1.0694444444444444E-2</v>
      </c>
      <c r="X1279" s="11">
        <f t="shared" si="364"/>
        <v>0.5990697777777777</v>
      </c>
      <c r="Y1279" s="11">
        <f t="shared" si="375"/>
        <v>0.5990697777777777</v>
      </c>
      <c r="Z1279" s="37">
        <v>1</v>
      </c>
      <c r="AA1279" s="36">
        <f t="shared" si="365"/>
        <v>0.26666666666666666</v>
      </c>
      <c r="AB1279" s="36">
        <f t="shared" si="366"/>
        <v>0.35733333333333334</v>
      </c>
      <c r="AC1279" s="11">
        <f t="shared" si="367"/>
        <v>2.9496296296296295E-2</v>
      </c>
      <c r="AD1279" s="36">
        <f t="shared" si="376"/>
        <v>0.5990697777777777</v>
      </c>
      <c r="AE1279" s="36" t="str">
        <f>VLOOKUP(H1279,'Yield &amp; Time'!A:I,9,0)</f>
        <v>SODIUM METABISULPHITE</v>
      </c>
      <c r="AF1279" s="36">
        <f>IFERROR(VLOOKUP(AE1279,'Chemical Cost'!A:D,4,0),0)</f>
        <v>9.7586225455882462E-3</v>
      </c>
      <c r="AG1279" s="114">
        <f t="shared" si="368"/>
        <v>8.6743311516339968E-4</v>
      </c>
      <c r="AH1279" s="36">
        <f t="shared" si="371"/>
        <v>8.6743311516339968E-4</v>
      </c>
      <c r="AI1279" s="36">
        <f t="shared" si="377"/>
        <v>0.95727054422627444</v>
      </c>
      <c r="AJ1279" s="36">
        <f>IFERROR(VLOOKUP(A1279,'All Products'!A:F,6,0),0)</f>
        <v>6.03</v>
      </c>
      <c r="AK1279" s="36">
        <f>AJ1279*Z1279*J1279</f>
        <v>1.2060000000000002</v>
      </c>
      <c r="AL1279" s="23">
        <v>1</v>
      </c>
      <c r="AM1279" s="23"/>
      <c r="AN1279" s="54" t="e">
        <v>#N/A</v>
      </c>
      <c r="AO1279" s="47"/>
      <c r="AP1279" s="4">
        <v>1.6</v>
      </c>
      <c r="AQ1279" s="111">
        <f t="shared" si="369"/>
        <v>2.9496296296296295E-2</v>
      </c>
      <c r="AR1279">
        <f>_xlfn.XLOOKUP(F1279,'RM Cost'!A:A,'RM Cost'!S:S)</f>
        <v>0</v>
      </c>
      <c r="AS1279" t="e">
        <f>_xlfn.XLOOKUP(A1279,[3]Sheet1!$B:$B,[3]Sheet1!$B:$B)</f>
        <v>#N/A</v>
      </c>
    </row>
    <row r="1280" spans="1:46" x14ac:dyDescent="0.25">
      <c r="A1280" s="16" t="s">
        <v>497</v>
      </c>
      <c r="B1280" s="2" t="s">
        <v>656</v>
      </c>
      <c r="C1280" s="2" t="s">
        <v>498</v>
      </c>
      <c r="D1280" s="2" t="s">
        <v>554</v>
      </c>
      <c r="E1280" s="2">
        <v>1</v>
      </c>
      <c r="F1280" s="1" t="str">
        <f>VLOOKUP(H1280,'RM Used'!A:B,2,0)</f>
        <v>0930CS</v>
      </c>
      <c r="G1280" s="1" t="str">
        <f>IFERROR(VLOOKUP(F1280,'RM Cost'!A:B,2,0),"")</f>
        <v>RM - COURGETTE STANDARD</v>
      </c>
      <c r="H1280" s="2" t="s">
        <v>1424</v>
      </c>
      <c r="I1280" s="1" t="str">
        <f>VLOOKUP(F1280,'RM Used'!B:D,3,0)</f>
        <v>RM-FOOD</v>
      </c>
      <c r="J1280" s="66">
        <v>0.2</v>
      </c>
      <c r="K1280" s="35">
        <f t="shared" si="372"/>
        <v>0.2</v>
      </c>
      <c r="L1280" s="35">
        <f t="shared" si="361"/>
        <v>0.2</v>
      </c>
      <c r="M1280" s="77" cm="1">
        <f t="array" ref="M1280">_xlfn.IFS(BOM!I1280="RM-PACKING","100%",B1280="Reynolds",VLOOKUP(H1280,'Yield &amp; Time'!A:V,22,0),BOM!B1280="Dnata",VLOOKUP(BOM!H1280,'Yield &amp; Time'!A:M,13,0),B1280="NK",VLOOKUP(H1280,'Yield &amp; Time'!A:X,24,0))</f>
        <v>0.75230092036814722</v>
      </c>
      <c r="N1280" s="35">
        <f t="shared" si="380"/>
        <v>0.26585106382978724</v>
      </c>
      <c r="O1280" s="1" t="str">
        <f>VLOOKUP(H1280,'RM Used'!A:E,5,0)</f>
        <v>KG</v>
      </c>
      <c r="P1280" s="11">
        <f>VLOOKUP(H1280,'RM Used'!A:F,6,0)</f>
        <v>1.1000000000000001</v>
      </c>
      <c r="Q1280" s="11">
        <f t="shared" si="370"/>
        <v>0.29243617021276597</v>
      </c>
      <c r="R1280" s="11">
        <f>IFERROR(IF(B1280="Reynolds",VLOOKUP(H1280,'Yield &amp; Time'!A:U,21,0),VLOOKUP(H1280,'Yield &amp; Time'!A:L,12,0)),0)</f>
        <v>2.2225177304964538</v>
      </c>
      <c r="S1280" s="11">
        <f t="shared" si="362"/>
        <v>0.15046445035460992</v>
      </c>
      <c r="T1280" s="11">
        <f t="shared" si="363"/>
        <v>7.4083924349881798E-3</v>
      </c>
      <c r="U1280" s="11">
        <f>IF(A1279=A1280,0,VLOOKUP(A1280,'Packing Time'!A:F,6,0))</f>
        <v>0</v>
      </c>
      <c r="V1280" s="11">
        <f t="shared" si="373"/>
        <v>0</v>
      </c>
      <c r="W1280" s="11">
        <f t="shared" si="374"/>
        <v>0</v>
      </c>
      <c r="X1280" s="11">
        <f t="shared" si="364"/>
        <v>0.2407431205673759</v>
      </c>
      <c r="Y1280" s="11">
        <f t="shared" si="375"/>
        <v>0.2407431205673759</v>
      </c>
      <c r="Z1280" s="37">
        <v>1</v>
      </c>
      <c r="AA1280" s="36">
        <f t="shared" si="365"/>
        <v>0.26585106382978724</v>
      </c>
      <c r="AB1280" s="36">
        <f t="shared" si="366"/>
        <v>0.29243617021276597</v>
      </c>
      <c r="AC1280" s="11">
        <f t="shared" si="367"/>
        <v>1.1853427895981088E-2</v>
      </c>
      <c r="AD1280" s="36">
        <f t="shared" si="376"/>
        <v>0.24074312056737585</v>
      </c>
      <c r="AE1280" s="36"/>
      <c r="AF1280" s="36">
        <f>IFERROR(VLOOKUP(AE1280,'Chemical Cost'!A:D,4,0),0)</f>
        <v>0</v>
      </c>
      <c r="AG1280" s="114">
        <f t="shared" si="368"/>
        <v>0</v>
      </c>
      <c r="AH1280" s="36">
        <f t="shared" si="371"/>
        <v>0</v>
      </c>
      <c r="AI1280" s="36">
        <f t="shared" si="377"/>
        <v>0.53317929078014181</v>
      </c>
      <c r="AJ1280" s="36">
        <f>IFERROR(VLOOKUP(A1280,'All Products'!A:F,6,0),0)</f>
        <v>6.03</v>
      </c>
      <c r="AK1280" s="36">
        <f>AJ1280*Z1280*J1280</f>
        <v>1.2060000000000002</v>
      </c>
      <c r="AL1280" s="23">
        <v>1</v>
      </c>
      <c r="AM1280" s="23"/>
      <c r="AN1280" s="54" t="e">
        <v>#N/A</v>
      </c>
      <c r="AO1280" s="47"/>
      <c r="AP1280" s="4">
        <v>1.6</v>
      </c>
      <c r="AQ1280" s="111">
        <f t="shared" si="369"/>
        <v>1.1853427895981088E-2</v>
      </c>
      <c r="AR1280">
        <f>_xlfn.XLOOKUP(F1280,'RM Cost'!A:A,'RM Cost'!S:S)</f>
        <v>1.1644775886170367</v>
      </c>
      <c r="AS1280" t="e">
        <f>_xlfn.XLOOKUP(A1280,[3]Sheet1!$B:$B,[3]Sheet1!$B:$B)</f>
        <v>#N/A</v>
      </c>
    </row>
    <row r="1281" spans="1:45" x14ac:dyDescent="0.25">
      <c r="A1281" s="16" t="s">
        <v>497</v>
      </c>
      <c r="B1281" s="2" t="s">
        <v>656</v>
      </c>
      <c r="C1281" s="2" t="s">
        <v>498</v>
      </c>
      <c r="D1281" s="2" t="s">
        <v>554</v>
      </c>
      <c r="E1281" s="2">
        <v>1</v>
      </c>
      <c r="F1281" s="1" t="str">
        <f>VLOOKUP(H1281,'RM Used'!A:B,2,0)</f>
        <v>1318CS</v>
      </c>
      <c r="G1281" s="1" t="str">
        <f>IFERROR(VLOOKUP(F1281,'RM Cost'!A:B,2,0),"")</f>
        <v>RM - PREP ONION RED WHOLE 2.5KG</v>
      </c>
      <c r="H1281" s="2" t="s">
        <v>1423</v>
      </c>
      <c r="I1281" s="1" t="str">
        <f>VLOOKUP(F1281,'RM Used'!B:D,3,0)</f>
        <v>RM-FOOD</v>
      </c>
      <c r="J1281" s="66">
        <v>0.2</v>
      </c>
      <c r="K1281" s="35">
        <f t="shared" si="372"/>
        <v>0.2</v>
      </c>
      <c r="L1281" s="35">
        <f t="shared" si="361"/>
        <v>0.2</v>
      </c>
      <c r="M1281" s="77" cm="1">
        <f t="array" ref="M1281">_xlfn.IFS(BOM!I1281="RM-PACKING","100%",B1281="Reynolds",VLOOKUP(H1281,'Yield &amp; Time'!A:V,22,0),BOM!B1281="Dnata",VLOOKUP(BOM!H1281,'Yield &amp; Time'!A:M,13,0),B1281="NK",VLOOKUP(H1281,'Yield &amp; Time'!A:X,24,0))</f>
        <v>0.74712643678160917</v>
      </c>
      <c r="N1281" s="35">
        <f t="shared" si="380"/>
        <v>0.26769230769230773</v>
      </c>
      <c r="O1281" s="1" t="str">
        <f>VLOOKUP(H1281,'RM Used'!A:E,5,0)</f>
        <v>KG</v>
      </c>
      <c r="P1281" s="11">
        <f>VLOOKUP(H1281,'RM Used'!A:F,6,0)</f>
        <v>1.08</v>
      </c>
      <c r="Q1281" s="11">
        <f t="shared" si="370"/>
        <v>0.28910769230769234</v>
      </c>
      <c r="R1281" s="11">
        <f>IFERROR(IF(B1281="Reynolds",VLOOKUP(H1281,'Yield &amp; Time'!A:U,21,0),VLOOKUP(H1281,'Yield &amp; Time'!A:L,12,0)),0)</f>
        <v>4.615384615384615</v>
      </c>
      <c r="S1281" s="11">
        <f t="shared" si="362"/>
        <v>0.3124615384615384</v>
      </c>
      <c r="T1281" s="11">
        <f t="shared" si="363"/>
        <v>1.5384615384615384E-2</v>
      </c>
      <c r="U1281" s="11">
        <f>IF(A1280=A1281,0,VLOOKUP(A1281,'Packing Time'!A:F,6,0))</f>
        <v>0</v>
      </c>
      <c r="V1281" s="11">
        <f t="shared" si="373"/>
        <v>0</v>
      </c>
      <c r="W1281" s="11">
        <f t="shared" si="374"/>
        <v>0</v>
      </c>
      <c r="X1281" s="11">
        <f t="shared" si="364"/>
        <v>0.49993846153846144</v>
      </c>
      <c r="Y1281" s="11">
        <f t="shared" si="375"/>
        <v>0.49993846153846144</v>
      </c>
      <c r="Z1281" s="37">
        <v>1</v>
      </c>
      <c r="AA1281" s="36">
        <f t="shared" si="365"/>
        <v>0.26769230769230773</v>
      </c>
      <c r="AB1281" s="36">
        <f t="shared" si="366"/>
        <v>0.28910769230769234</v>
      </c>
      <c r="AC1281" s="11">
        <f t="shared" si="367"/>
        <v>2.4615384615384615E-2</v>
      </c>
      <c r="AD1281" s="36">
        <f t="shared" si="376"/>
        <v>0.4999384615384615</v>
      </c>
      <c r="AE1281" s="36"/>
      <c r="AF1281" s="36">
        <f>IFERROR(VLOOKUP(AE1281,'Chemical Cost'!A:D,4,0),0)</f>
        <v>0</v>
      </c>
      <c r="AG1281" s="114">
        <f t="shared" si="368"/>
        <v>0</v>
      </c>
      <c r="AH1281" s="36">
        <f t="shared" si="371"/>
        <v>0</v>
      </c>
      <c r="AI1281" s="36">
        <f t="shared" si="377"/>
        <v>0.78904615384615373</v>
      </c>
      <c r="AJ1281" s="36">
        <f>IFERROR(VLOOKUP(A1281,'All Products'!A:F,6,0),0)</f>
        <v>6.03</v>
      </c>
      <c r="AK1281" s="36">
        <f>AJ1281*Z1281*J1281</f>
        <v>1.2060000000000002</v>
      </c>
      <c r="AL1281" s="23">
        <v>1</v>
      </c>
      <c r="AM1281" s="23"/>
      <c r="AN1281" s="54" t="e">
        <v>#N/A</v>
      </c>
      <c r="AO1281" s="47"/>
      <c r="AP1281" s="4">
        <v>1.6</v>
      </c>
      <c r="AQ1281" s="111">
        <f t="shared" si="369"/>
        <v>2.4615384615384615E-2</v>
      </c>
      <c r="AR1281">
        <f>_xlfn.XLOOKUP(F1281,'RM Cost'!A:A,'RM Cost'!S:S)</f>
        <v>0</v>
      </c>
      <c r="AS1281" t="e">
        <f>_xlfn.XLOOKUP(A1281,[3]Sheet1!$B:$B,[3]Sheet1!$B:$B)</f>
        <v>#N/A</v>
      </c>
    </row>
    <row r="1282" spans="1:45" x14ac:dyDescent="0.25">
      <c r="A1282" s="16" t="s">
        <v>497</v>
      </c>
      <c r="B1282" s="2" t="s">
        <v>656</v>
      </c>
      <c r="C1282" s="2" t="s">
        <v>498</v>
      </c>
      <c r="D1282" s="2" t="s">
        <v>554</v>
      </c>
      <c r="E1282" s="2">
        <v>1</v>
      </c>
      <c r="F1282" s="1" t="str">
        <f>VLOOKUP(H1282,'RM Used'!A:B,2,0)</f>
        <v>3567CS</v>
      </c>
      <c r="G1282" s="1" t="str">
        <f>IFERROR(VLOOKUP(F1282,'RM Cost'!A:B,2,0),"")</f>
        <v>RM - PEPPERS YELLOW  X 5KG</v>
      </c>
      <c r="H1282" s="1" t="s">
        <v>1399</v>
      </c>
      <c r="I1282" s="1" t="str">
        <f>VLOOKUP(F1282,'RM Used'!B:D,3,0)</f>
        <v>RM-FOOD</v>
      </c>
      <c r="J1282" s="66">
        <v>0.2</v>
      </c>
      <c r="K1282" s="35">
        <f t="shared" si="372"/>
        <v>0.2</v>
      </c>
      <c r="L1282" s="35">
        <f t="shared" ref="L1282:L1345" si="381">IFERROR(K1282*Z1282,0)</f>
        <v>0.2</v>
      </c>
      <c r="M1282" s="77" cm="1">
        <f t="array" ref="M1282">_xlfn.IFS(BOM!I1282="RM-PACKING","100%",B1282="Reynolds",VLOOKUP(H1282,'Yield &amp; Time'!A:V,22,0),BOM!B1282="Dnata",VLOOKUP(BOM!H1282,'Yield &amp; Time'!A:M,13,0),B1282="NK",VLOOKUP(H1282,'Yield &amp; Time'!A:X,24,0))</f>
        <v>0.45454545454545459</v>
      </c>
      <c r="N1282" s="35">
        <f t="shared" si="380"/>
        <v>0.44</v>
      </c>
      <c r="O1282" s="1" t="str">
        <f>VLOOKUP(H1282,'RM Used'!A:E,5,0)</f>
        <v>KG</v>
      </c>
      <c r="P1282" s="11">
        <f>VLOOKUP(H1282,'RM Used'!A:F,6,0)</f>
        <v>1.68</v>
      </c>
      <c r="Q1282" s="11">
        <f t="shared" si="370"/>
        <v>0.73919999999999997</v>
      </c>
      <c r="R1282" s="11">
        <f>IFERROR(IF(B1282="Reynolds",VLOOKUP(H1282,'Yield &amp; Time'!A:U,21,0),VLOOKUP(H1282,'Yield &amp; Time'!A:L,12,0)),0)</f>
        <v>6.75</v>
      </c>
      <c r="S1282" s="11">
        <f t="shared" ref="S1282:S1345" si="382">R1282*J1282*E1282*AO$1</f>
        <v>0.45697499999999996</v>
      </c>
      <c r="T1282" s="11">
        <f t="shared" ref="T1282:T1345" si="383">(R1282*Z1282*J1282*E1282)/60</f>
        <v>2.2500000000000003E-2</v>
      </c>
      <c r="U1282" s="11">
        <f>IF(A1281=A1282,0,VLOOKUP(A1282,'Packing Time'!A:F,6,0))</f>
        <v>0</v>
      </c>
      <c r="V1282" s="11">
        <f t="shared" si="373"/>
        <v>0</v>
      </c>
      <c r="W1282" s="11">
        <f t="shared" si="374"/>
        <v>0</v>
      </c>
      <c r="X1282" s="11">
        <f t="shared" ref="X1282:X1345" si="384">((R1282*J1282*E1282)+U1282)*AO$1*AP1282</f>
        <v>0.73116000000000003</v>
      </c>
      <c r="Y1282" s="11">
        <f t="shared" si="375"/>
        <v>0.73116000000000003</v>
      </c>
      <c r="Z1282" s="37">
        <v>1</v>
      </c>
      <c r="AA1282" s="36">
        <f t="shared" ref="AA1282:AA1345" si="385">Z1282*N1282</f>
        <v>0.44</v>
      </c>
      <c r="AB1282" s="36">
        <f t="shared" ref="AB1282:AB1345" si="386">AA1282*P1282</f>
        <v>0.73919999999999997</v>
      </c>
      <c r="AC1282" s="11">
        <f t="shared" ref="AC1282:AC1345" si="387">(((R1282*J1282*E1282)+U1282)/60)*Z1282*AP1282</f>
        <v>3.6000000000000004E-2</v>
      </c>
      <c r="AD1282" s="36">
        <f t="shared" si="376"/>
        <v>0.73116000000000003</v>
      </c>
      <c r="AE1282" s="36"/>
      <c r="AF1282" s="36">
        <f>IFERROR(VLOOKUP(AE1282,'Chemical Cost'!A:D,4,0),0)</f>
        <v>0</v>
      </c>
      <c r="AG1282" s="114">
        <f t="shared" ref="AG1282:AG1345" si="388">AF1282*N1282/3</f>
        <v>0</v>
      </c>
      <c r="AH1282" s="36">
        <f t="shared" si="371"/>
        <v>0</v>
      </c>
      <c r="AI1282" s="36">
        <f t="shared" si="377"/>
        <v>1.4703599999999999</v>
      </c>
      <c r="AJ1282" s="36">
        <f>IFERROR(VLOOKUP(A1282,'All Products'!A:F,6,0),0)</f>
        <v>6.03</v>
      </c>
      <c r="AK1282" s="36">
        <f>AJ1282*Z1282*J1282</f>
        <v>1.2060000000000002</v>
      </c>
      <c r="AL1282" s="23">
        <v>1</v>
      </c>
      <c r="AM1282" s="23"/>
      <c r="AN1282" s="54" t="e">
        <v>#N/A</v>
      </c>
      <c r="AO1282" s="47"/>
      <c r="AP1282" s="4">
        <v>1.6</v>
      </c>
      <c r="AQ1282" s="111">
        <f t="shared" ref="AQ1282:AQ1345" si="389">(((R1282*J1282*E1282)+U1282)/60)*AP1282</f>
        <v>3.6000000000000004E-2</v>
      </c>
      <c r="AR1282">
        <f>_xlfn.XLOOKUP(F1282,'RM Cost'!A:A,'RM Cost'!S:S)</f>
        <v>0</v>
      </c>
      <c r="AS1282" t="e">
        <f>_xlfn.XLOOKUP(A1282,[3]Sheet1!$B:$B,[3]Sheet1!$B:$B)</f>
        <v>#N/A</v>
      </c>
    </row>
    <row r="1283" spans="1:45" x14ac:dyDescent="0.25">
      <c r="A1283" s="16" t="s">
        <v>497</v>
      </c>
      <c r="B1283" s="2" t="s">
        <v>656</v>
      </c>
      <c r="C1283" s="2" t="s">
        <v>498</v>
      </c>
      <c r="D1283" s="2" t="s">
        <v>554</v>
      </c>
      <c r="E1283" s="2">
        <v>1</v>
      </c>
      <c r="F1283" s="1" t="str">
        <f>VLOOKUP(H1283,'RM Used'!A:B,2,0)</f>
        <v>3566CS</v>
      </c>
      <c r="G1283" s="1" t="str">
        <f>IFERROR(VLOOKUP(F1283,'RM Cost'!A:B,2,0),"")</f>
        <v>PEPPERS RED X 5KG</v>
      </c>
      <c r="H1283" s="1" t="s">
        <v>1397</v>
      </c>
      <c r="I1283" s="1" t="str">
        <f>VLOOKUP(F1283,'RM Used'!B:D,3,0)</f>
        <v>RM-FOOD</v>
      </c>
      <c r="J1283" s="66">
        <v>0.2</v>
      </c>
      <c r="K1283" s="35">
        <f t="shared" si="372"/>
        <v>0.2</v>
      </c>
      <c r="L1283" s="35">
        <f t="shared" si="381"/>
        <v>0.2</v>
      </c>
      <c r="M1283" s="77" cm="1">
        <f t="array" ref="M1283">_xlfn.IFS(BOM!I1283="RM-PACKING","100%",B1283="Reynolds",VLOOKUP(H1283,'Yield &amp; Time'!A:V,22,0),BOM!B1283="Dnata",VLOOKUP(BOM!H1283,'Yield &amp; Time'!A:M,13,0),B1283="NK",VLOOKUP(H1283,'Yield &amp; Time'!A:X,24,0))</f>
        <v>0.45454545454545459</v>
      </c>
      <c r="N1283" s="35">
        <f t="shared" si="380"/>
        <v>0.44</v>
      </c>
      <c r="O1283" s="1" t="str">
        <f>VLOOKUP(H1283,'RM Used'!A:E,5,0)</f>
        <v>KG</v>
      </c>
      <c r="P1283" s="11">
        <f>VLOOKUP(H1283,'RM Used'!A:F,6,0)</f>
        <v>1.72</v>
      </c>
      <c r="Q1283" s="11">
        <f t="shared" ref="Q1283:Q1346" si="390">P1283*N1283</f>
        <v>0.75680000000000003</v>
      </c>
      <c r="R1283" s="11">
        <f>IFERROR(IF(B1283="Reynolds",VLOOKUP(H1283,'Yield &amp; Time'!A:U,21,0),VLOOKUP(H1283,'Yield &amp; Time'!A:L,12,0)),0)</f>
        <v>6.75</v>
      </c>
      <c r="S1283" s="11">
        <f t="shared" si="382"/>
        <v>0.45697499999999996</v>
      </c>
      <c r="T1283" s="11">
        <f t="shared" si="383"/>
        <v>2.2500000000000003E-2</v>
      </c>
      <c r="U1283" s="11">
        <f>IF(A1282=A1283,0,VLOOKUP(A1283,'Packing Time'!A:F,6,0))</f>
        <v>0</v>
      </c>
      <c r="V1283" s="11">
        <f t="shared" si="373"/>
        <v>0</v>
      </c>
      <c r="W1283" s="11">
        <f t="shared" si="374"/>
        <v>0</v>
      </c>
      <c r="X1283" s="11">
        <f t="shared" si="384"/>
        <v>0.73116000000000003</v>
      </c>
      <c r="Y1283" s="11">
        <f t="shared" si="375"/>
        <v>0.73116000000000003</v>
      </c>
      <c r="Z1283" s="37">
        <v>1</v>
      </c>
      <c r="AA1283" s="36">
        <f t="shared" si="385"/>
        <v>0.44</v>
      </c>
      <c r="AB1283" s="36">
        <f t="shared" si="386"/>
        <v>0.75680000000000003</v>
      </c>
      <c r="AC1283" s="11">
        <f t="shared" si="387"/>
        <v>3.6000000000000004E-2</v>
      </c>
      <c r="AD1283" s="36">
        <f t="shared" si="376"/>
        <v>0.73116000000000003</v>
      </c>
      <c r="AE1283" s="36"/>
      <c r="AF1283" s="36">
        <f>IFERROR(VLOOKUP(AE1283,'Chemical Cost'!A:D,4,0),0)</f>
        <v>0</v>
      </c>
      <c r="AG1283" s="114">
        <f t="shared" si="388"/>
        <v>0</v>
      </c>
      <c r="AH1283" s="36">
        <f t="shared" si="371"/>
        <v>0</v>
      </c>
      <c r="AI1283" s="36">
        <f t="shared" si="377"/>
        <v>1.4879600000000002</v>
      </c>
      <c r="AJ1283" s="36">
        <f>IFERROR(VLOOKUP(A1283,'All Products'!A:F,6,0),0)</f>
        <v>6.03</v>
      </c>
      <c r="AK1283" s="36">
        <f>AJ1283*Z1283*J1283</f>
        <v>1.2060000000000002</v>
      </c>
      <c r="AL1283" s="23">
        <v>1</v>
      </c>
      <c r="AM1283" s="23"/>
      <c r="AN1283" s="54" t="e">
        <v>#N/A</v>
      </c>
      <c r="AO1283" s="47"/>
      <c r="AP1283" s="4">
        <v>1.6</v>
      </c>
      <c r="AQ1283" s="111">
        <f t="shared" si="389"/>
        <v>3.6000000000000004E-2</v>
      </c>
      <c r="AR1283">
        <f>_xlfn.XLOOKUP(F1283,'RM Cost'!A:A,'RM Cost'!S:S)</f>
        <v>0</v>
      </c>
      <c r="AS1283" t="e">
        <f>_xlfn.XLOOKUP(A1283,[3]Sheet1!$B:$B,[3]Sheet1!$B:$B)</f>
        <v>#N/A</v>
      </c>
    </row>
    <row r="1284" spans="1:45" x14ac:dyDescent="0.25">
      <c r="A1284" s="16" t="s">
        <v>497</v>
      </c>
      <c r="B1284" s="2" t="s">
        <v>656</v>
      </c>
      <c r="C1284" s="2" t="s">
        <v>498</v>
      </c>
      <c r="D1284" s="2" t="s">
        <v>554</v>
      </c>
      <c r="E1284" s="2">
        <v>1</v>
      </c>
      <c r="F1284" s="1" t="str">
        <f>VLOOKUP(H1284,'RM Used'!A:B,2,0)</f>
        <v>P0008</v>
      </c>
      <c r="G1284" s="1" t="str">
        <f>IFERROR(VLOOKUP(F1284,'RM Cost'!A:B,2,0),"")</f>
        <v>PALE BLUE BAG 470X750MM</v>
      </c>
      <c r="H1284" s="1" t="s">
        <v>1323</v>
      </c>
      <c r="I1284" s="1" t="str">
        <f>VLOOKUP(F1284,'RM Used'!B:D,3,0)</f>
        <v>RM-PACKING</v>
      </c>
      <c r="J1284" s="66">
        <v>1</v>
      </c>
      <c r="K1284" s="35" t="str">
        <f t="shared" si="372"/>
        <v/>
      </c>
      <c r="L1284" s="35">
        <f t="shared" si="381"/>
        <v>0</v>
      </c>
      <c r="M1284" s="77" t="str" cm="1">
        <f t="array" ref="M1284">_xlfn.IFS(BOM!I1284="RM-PACKING","100%",B1284="Reynolds",VLOOKUP(H1284,'Yield &amp; Time'!A:V,22,0),BOM!B1284="Dnata",VLOOKUP(BOM!H1284,'Yield &amp; Time'!A:M,13,0),B1284="NK",VLOOKUP(H1284,'Yield &amp; Time'!A:X,24,0))</f>
        <v>100%</v>
      </c>
      <c r="N1284" s="35">
        <f t="shared" si="380"/>
        <v>1</v>
      </c>
      <c r="O1284" s="1" t="str">
        <f>VLOOKUP(H1284,'RM Used'!A:E,5,0)</f>
        <v>Count</v>
      </c>
      <c r="P1284" s="11">
        <f>VLOOKUP(H1284,'RM Used'!A:F,6,0)</f>
        <v>0.14000000000000001</v>
      </c>
      <c r="Q1284" s="11">
        <f t="shared" si="390"/>
        <v>0.14000000000000001</v>
      </c>
      <c r="R1284" s="11">
        <f>IFERROR(IF(B1284="Reynolds",VLOOKUP(H1284,'Yield &amp; Time'!A:U,21,0),VLOOKUP(H1284,'Yield &amp; Time'!A:L,12,0)),0)</f>
        <v>0</v>
      </c>
      <c r="S1284" s="11">
        <f t="shared" si="382"/>
        <v>0</v>
      </c>
      <c r="T1284" s="11">
        <f t="shared" si="383"/>
        <v>0</v>
      </c>
      <c r="U1284" s="11">
        <f>IF(A1283=A1284,0,VLOOKUP(A1284,'Packing Time'!A:F,6,0))</f>
        <v>0</v>
      </c>
      <c r="V1284" s="11">
        <f t="shared" si="373"/>
        <v>0</v>
      </c>
      <c r="W1284" s="11">
        <f t="shared" si="374"/>
        <v>0</v>
      </c>
      <c r="X1284" s="11">
        <f t="shared" si="384"/>
        <v>0</v>
      </c>
      <c r="Y1284" s="11">
        <f t="shared" si="375"/>
        <v>0</v>
      </c>
      <c r="Z1284" s="37">
        <v>1</v>
      </c>
      <c r="AA1284" s="36">
        <f t="shared" si="385"/>
        <v>1</v>
      </c>
      <c r="AB1284" s="36">
        <f t="shared" si="386"/>
        <v>0.14000000000000001</v>
      </c>
      <c r="AC1284" s="11">
        <f t="shared" si="387"/>
        <v>0</v>
      </c>
      <c r="AD1284" s="36">
        <f t="shared" si="376"/>
        <v>0</v>
      </c>
      <c r="AE1284" s="36"/>
      <c r="AF1284" s="36">
        <f>IFERROR(VLOOKUP(AE1284,'Chemical Cost'!A:D,4,0),0)</f>
        <v>0</v>
      </c>
      <c r="AG1284" s="114">
        <f t="shared" si="388"/>
        <v>0</v>
      </c>
      <c r="AH1284" s="36">
        <f t="shared" si="371"/>
        <v>0</v>
      </c>
      <c r="AI1284" s="36">
        <f t="shared" si="377"/>
        <v>0.14000000000000001</v>
      </c>
      <c r="AJ1284" s="36">
        <f>IFERROR(VLOOKUP(A1284,'All Products'!A:F,6,0),0)</f>
        <v>6.03</v>
      </c>
      <c r="AK1284" s="36"/>
      <c r="AL1284" s="23">
        <v>1</v>
      </c>
      <c r="AM1284" s="23"/>
      <c r="AN1284" s="54" t="e">
        <v>#N/A</v>
      </c>
      <c r="AO1284" s="47"/>
      <c r="AP1284" s="4">
        <v>1.6</v>
      </c>
      <c r="AQ1284" s="111">
        <f t="shared" si="389"/>
        <v>0</v>
      </c>
      <c r="AR1284">
        <f>_xlfn.XLOOKUP(F1284,'RM Cost'!A:A,'RM Cost'!S:S)</f>
        <v>0</v>
      </c>
      <c r="AS1284" t="e">
        <f>_xlfn.XLOOKUP(A1284,[3]Sheet1!$B:$B,[3]Sheet1!$B:$B)</f>
        <v>#N/A</v>
      </c>
    </row>
    <row r="1285" spans="1:45" x14ac:dyDescent="0.25">
      <c r="A1285" s="16" t="s">
        <v>3</v>
      </c>
      <c r="B1285" s="2" t="s">
        <v>656</v>
      </c>
      <c r="C1285" s="2" t="s">
        <v>4</v>
      </c>
      <c r="D1285" s="2" t="s">
        <v>554</v>
      </c>
      <c r="E1285" s="2">
        <v>2.5</v>
      </c>
      <c r="F1285" s="1" t="str">
        <f>VLOOKUP(H1285,'RM Used'!A:B,2,0)</f>
        <v>3001CS</v>
      </c>
      <c r="G1285" s="1" t="str">
        <f>IFERROR(VLOOKUP(F1285,'RM Cost'!A:B,2,0),"")</f>
        <v>RM - AUBERGINE 5KG</v>
      </c>
      <c r="H1285" s="2" t="s">
        <v>1425</v>
      </c>
      <c r="I1285" s="1" t="str">
        <f>VLOOKUP(F1285,'RM Used'!B:D,3,0)</f>
        <v>RM-FOOD</v>
      </c>
      <c r="J1285" s="66">
        <v>0.2</v>
      </c>
      <c r="K1285" s="35">
        <f t="shared" si="372"/>
        <v>0.5</v>
      </c>
      <c r="L1285" s="35">
        <f t="shared" si="381"/>
        <v>0.5</v>
      </c>
      <c r="M1285" s="77" cm="1">
        <f t="array" ref="M1285">_xlfn.IFS(BOM!I1285="RM-PACKING","100%",B1285="Reynolds",VLOOKUP(H1285,'Yield &amp; Time'!A:V,22,0),BOM!B1285="Dnata",VLOOKUP(BOM!H1285,'Yield &amp; Time'!A:M,13,0),B1285="NK",VLOOKUP(H1285,'Yield &amp; Time'!A:X,24,0))</f>
        <v>0.75</v>
      </c>
      <c r="N1285" s="35">
        <f t="shared" si="380"/>
        <v>0.66666666666666663</v>
      </c>
      <c r="O1285" s="1" t="str">
        <f>VLOOKUP(H1285,'RM Used'!A:E,5,0)</f>
        <v>KG</v>
      </c>
      <c r="P1285" s="11">
        <f>VLOOKUP(H1285,'RM Used'!A:F,6,0)</f>
        <v>1.34</v>
      </c>
      <c r="Q1285" s="11">
        <f t="shared" si="390"/>
        <v>0.89333333333333331</v>
      </c>
      <c r="R1285" s="11">
        <f>IFERROR(IF(B1285="Reynolds",VLOOKUP(H1285,'Yield &amp; Time'!A:U,21,0),VLOOKUP(H1285,'Yield &amp; Time'!A:L,12,0)),0)</f>
        <v>2.3222222222222224</v>
      </c>
      <c r="S1285" s="11">
        <f t="shared" si="382"/>
        <v>0.39303611111111109</v>
      </c>
      <c r="T1285" s="11">
        <f t="shared" si="383"/>
        <v>1.9351851851851853E-2</v>
      </c>
      <c r="U1285" s="11">
        <f>IF(A1284=A1285,0,VLOOKUP(A1285,'Packing Time'!A:F,6,0))</f>
        <v>0.875</v>
      </c>
      <c r="V1285" s="11">
        <f t="shared" si="373"/>
        <v>0.29618749999999999</v>
      </c>
      <c r="W1285" s="11">
        <f t="shared" si="374"/>
        <v>1.4583333333333334E-2</v>
      </c>
      <c r="X1285" s="11">
        <f t="shared" si="384"/>
        <v>0.75814597222222235</v>
      </c>
      <c r="Y1285" s="11">
        <f t="shared" si="375"/>
        <v>0.75814597222222235</v>
      </c>
      <c r="Z1285" s="37">
        <v>1</v>
      </c>
      <c r="AA1285" s="36">
        <f t="shared" si="385"/>
        <v>0.66666666666666663</v>
      </c>
      <c r="AB1285" s="36">
        <f t="shared" si="386"/>
        <v>0.89333333333333331</v>
      </c>
      <c r="AC1285" s="11">
        <f t="shared" si="387"/>
        <v>3.7328703703703718E-2</v>
      </c>
      <c r="AD1285" s="36">
        <f t="shared" si="376"/>
        <v>0.75814597222222246</v>
      </c>
      <c r="AE1285" s="36" t="str">
        <f>VLOOKUP(H1285,'Yield &amp; Time'!A:I,9,0)</f>
        <v>SODIUM METABISULPHITE</v>
      </c>
      <c r="AF1285" s="36">
        <f>IFERROR(VLOOKUP(AE1285,'Chemical Cost'!A:D,4,0),0)</f>
        <v>9.7586225455882462E-3</v>
      </c>
      <c r="AG1285" s="114">
        <f t="shared" si="388"/>
        <v>2.1685827879084989E-3</v>
      </c>
      <c r="AH1285" s="36">
        <f t="shared" si="371"/>
        <v>2.1685827879084989E-3</v>
      </c>
      <c r="AI1285" s="36">
        <f t="shared" si="377"/>
        <v>1.6536478883434642</v>
      </c>
      <c r="AJ1285" s="36">
        <f>IFERROR(VLOOKUP(A1285,'All Products'!A:F,6,0),0)</f>
        <v>18.29</v>
      </c>
      <c r="AK1285" s="36">
        <f>AJ1285*Z1285*J1285</f>
        <v>3.6579999999999999</v>
      </c>
      <c r="AL1285" s="23">
        <v>1</v>
      </c>
      <c r="AM1285" s="23"/>
      <c r="AN1285" s="54" t="e">
        <v>#N/A</v>
      </c>
      <c r="AO1285" s="47"/>
      <c r="AP1285" s="4">
        <v>1.1000000000000001</v>
      </c>
      <c r="AQ1285" s="111">
        <f t="shared" si="389"/>
        <v>3.7328703703703718E-2</v>
      </c>
      <c r="AR1285">
        <f>_xlfn.XLOOKUP(F1285,'RM Cost'!A:A,'RM Cost'!S:S)</f>
        <v>0</v>
      </c>
      <c r="AS1285" t="e">
        <f>_xlfn.XLOOKUP(A1285,[3]Sheet1!$B:$B,[3]Sheet1!$B:$B)</f>
        <v>#N/A</v>
      </c>
    </row>
    <row r="1286" spans="1:45" x14ac:dyDescent="0.25">
      <c r="A1286" s="16" t="s">
        <v>3</v>
      </c>
      <c r="B1286" s="2" t="s">
        <v>656</v>
      </c>
      <c r="C1286" s="2" t="s">
        <v>4</v>
      </c>
      <c r="D1286" s="2" t="s">
        <v>554</v>
      </c>
      <c r="E1286" s="2">
        <v>2.5</v>
      </c>
      <c r="F1286" s="1" t="str">
        <f>VLOOKUP(H1286,'RM Used'!A:B,2,0)</f>
        <v>0930CS</v>
      </c>
      <c r="G1286" s="1" t="str">
        <f>IFERROR(VLOOKUP(F1286,'RM Cost'!A:B,2,0),"")</f>
        <v>RM - COURGETTE STANDARD</v>
      </c>
      <c r="H1286" s="2" t="s">
        <v>1424</v>
      </c>
      <c r="I1286" s="1" t="str">
        <f>VLOOKUP(F1286,'RM Used'!B:D,3,0)</f>
        <v>RM-FOOD</v>
      </c>
      <c r="J1286" s="66">
        <v>0.2</v>
      </c>
      <c r="K1286" s="35">
        <f t="shared" si="372"/>
        <v>0.5</v>
      </c>
      <c r="L1286" s="35">
        <f t="shared" si="381"/>
        <v>0.5</v>
      </c>
      <c r="M1286" s="77" cm="1">
        <f t="array" ref="M1286">_xlfn.IFS(BOM!I1286="RM-PACKING","100%",B1286="Reynolds",VLOOKUP(H1286,'Yield &amp; Time'!A:V,22,0),BOM!B1286="Dnata",VLOOKUP(BOM!H1286,'Yield &amp; Time'!A:M,13,0),B1286="NK",VLOOKUP(H1286,'Yield &amp; Time'!A:X,24,0))</f>
        <v>0.75230092036814722</v>
      </c>
      <c r="N1286" s="35">
        <f t="shared" si="380"/>
        <v>0.66462765957446812</v>
      </c>
      <c r="O1286" s="1" t="str">
        <f>VLOOKUP(H1286,'RM Used'!A:E,5,0)</f>
        <v>KG</v>
      </c>
      <c r="P1286" s="11">
        <f>VLOOKUP(H1286,'RM Used'!A:F,6,0)</f>
        <v>1.1000000000000001</v>
      </c>
      <c r="Q1286" s="11">
        <f t="shared" si="390"/>
        <v>0.73109042553191494</v>
      </c>
      <c r="R1286" s="11">
        <f>IFERROR(IF(B1286="Reynolds",VLOOKUP(H1286,'Yield &amp; Time'!A:U,21,0),VLOOKUP(H1286,'Yield &amp; Time'!A:L,12,0)),0)</f>
        <v>2.2225177304964538</v>
      </c>
      <c r="S1286" s="11">
        <f t="shared" si="382"/>
        <v>0.37616112588652478</v>
      </c>
      <c r="T1286" s="11">
        <f t="shared" si="383"/>
        <v>1.852098108747045E-2</v>
      </c>
      <c r="U1286" s="11">
        <f>IF(A1285=A1286,0,VLOOKUP(A1286,'Packing Time'!A:F,6,0))</f>
        <v>0</v>
      </c>
      <c r="V1286" s="11">
        <f t="shared" si="373"/>
        <v>0</v>
      </c>
      <c r="W1286" s="11">
        <f t="shared" si="374"/>
        <v>0</v>
      </c>
      <c r="X1286" s="11">
        <f t="shared" si="384"/>
        <v>0.41377723847517728</v>
      </c>
      <c r="Y1286" s="11">
        <f t="shared" si="375"/>
        <v>0.41377723847517728</v>
      </c>
      <c r="Z1286" s="37">
        <v>1</v>
      </c>
      <c r="AA1286" s="36">
        <f t="shared" si="385"/>
        <v>0.66462765957446812</v>
      </c>
      <c r="AB1286" s="36">
        <f t="shared" si="386"/>
        <v>0.73109042553191494</v>
      </c>
      <c r="AC1286" s="11">
        <f t="shared" si="387"/>
        <v>2.0373079196217496E-2</v>
      </c>
      <c r="AD1286" s="36">
        <f t="shared" si="376"/>
        <v>0.41377723847517728</v>
      </c>
      <c r="AE1286" s="36"/>
      <c r="AF1286" s="36">
        <f>IFERROR(VLOOKUP(AE1286,'Chemical Cost'!A:D,4,0),0)</f>
        <v>0</v>
      </c>
      <c r="AG1286" s="114">
        <f t="shared" si="388"/>
        <v>0</v>
      </c>
      <c r="AH1286" s="36">
        <f t="shared" si="371"/>
        <v>0</v>
      </c>
      <c r="AI1286" s="36">
        <f t="shared" si="377"/>
        <v>1.1448676640070923</v>
      </c>
      <c r="AJ1286" s="36">
        <f>IFERROR(VLOOKUP(A1286,'All Products'!A:F,6,0),0)</f>
        <v>18.29</v>
      </c>
      <c r="AK1286" s="36">
        <f>AJ1286*Z1286*J1286</f>
        <v>3.6579999999999999</v>
      </c>
      <c r="AL1286" s="23">
        <v>1</v>
      </c>
      <c r="AM1286" s="23"/>
      <c r="AN1286" s="54" t="e">
        <v>#N/A</v>
      </c>
      <c r="AO1286" s="47"/>
      <c r="AP1286" s="4">
        <v>1.1000000000000001</v>
      </c>
      <c r="AQ1286" s="111">
        <f t="shared" si="389"/>
        <v>2.0373079196217496E-2</v>
      </c>
      <c r="AR1286">
        <f>_xlfn.XLOOKUP(F1286,'RM Cost'!A:A,'RM Cost'!S:S)</f>
        <v>1.1644775886170367</v>
      </c>
      <c r="AS1286" t="e">
        <f>_xlfn.XLOOKUP(A1286,[3]Sheet1!$B:$B,[3]Sheet1!$B:$B)</f>
        <v>#N/A</v>
      </c>
    </row>
    <row r="1287" spans="1:45" x14ac:dyDescent="0.25">
      <c r="A1287" s="16" t="s">
        <v>3</v>
      </c>
      <c r="B1287" s="2" t="s">
        <v>656</v>
      </c>
      <c r="C1287" s="2" t="s">
        <v>4</v>
      </c>
      <c r="D1287" s="2" t="s">
        <v>554</v>
      </c>
      <c r="E1287" s="2">
        <v>2.5</v>
      </c>
      <c r="F1287" s="1" t="str">
        <f>VLOOKUP(H1287,'RM Used'!A:B,2,0)</f>
        <v>1318CS</v>
      </c>
      <c r="G1287" s="1" t="str">
        <f>IFERROR(VLOOKUP(F1287,'RM Cost'!A:B,2,0),"")</f>
        <v>RM - PREP ONION RED WHOLE 2.5KG</v>
      </c>
      <c r="H1287" s="2" t="s">
        <v>1423</v>
      </c>
      <c r="I1287" s="1" t="str">
        <f>VLOOKUP(F1287,'RM Used'!B:D,3,0)</f>
        <v>RM-FOOD</v>
      </c>
      <c r="J1287" s="66">
        <v>0.2</v>
      </c>
      <c r="K1287" s="35">
        <f t="shared" si="372"/>
        <v>0.5</v>
      </c>
      <c r="L1287" s="35">
        <f t="shared" si="381"/>
        <v>0.5</v>
      </c>
      <c r="M1287" s="77" cm="1">
        <f t="array" ref="M1287">_xlfn.IFS(BOM!I1287="RM-PACKING","100%",B1287="Reynolds",VLOOKUP(H1287,'Yield &amp; Time'!A:V,22,0),BOM!B1287="Dnata",VLOOKUP(BOM!H1287,'Yield &amp; Time'!A:M,13,0),B1287="NK",VLOOKUP(H1287,'Yield &amp; Time'!A:X,24,0))</f>
        <v>0.74712643678160917</v>
      </c>
      <c r="N1287" s="35">
        <f t="shared" si="380"/>
        <v>0.6692307692307693</v>
      </c>
      <c r="O1287" s="1" t="str">
        <f>VLOOKUP(H1287,'RM Used'!A:E,5,0)</f>
        <v>KG</v>
      </c>
      <c r="P1287" s="11">
        <f>VLOOKUP(H1287,'RM Used'!A:F,6,0)</f>
        <v>1.08</v>
      </c>
      <c r="Q1287" s="11">
        <f t="shared" si="390"/>
        <v>0.72276923076923094</v>
      </c>
      <c r="R1287" s="11">
        <f>IFERROR(IF(B1287="Reynolds",VLOOKUP(H1287,'Yield &amp; Time'!A:U,21,0),VLOOKUP(H1287,'Yield &amp; Time'!A:L,12,0)),0)</f>
        <v>4.615384615384615</v>
      </c>
      <c r="S1287" s="11">
        <f t="shared" si="382"/>
        <v>0.78115384615384598</v>
      </c>
      <c r="T1287" s="11">
        <f t="shared" si="383"/>
        <v>3.8461538461538457E-2</v>
      </c>
      <c r="U1287" s="11">
        <f>IF(A1286=A1287,0,VLOOKUP(A1287,'Packing Time'!A:F,6,0))</f>
        <v>0</v>
      </c>
      <c r="V1287" s="11">
        <f t="shared" si="373"/>
        <v>0</v>
      </c>
      <c r="W1287" s="11">
        <f t="shared" si="374"/>
        <v>0</v>
      </c>
      <c r="X1287" s="11">
        <f t="shared" si="384"/>
        <v>0.85926923076923067</v>
      </c>
      <c r="Y1287" s="11">
        <f t="shared" si="375"/>
        <v>0.85926923076923067</v>
      </c>
      <c r="Z1287" s="37">
        <v>1</v>
      </c>
      <c r="AA1287" s="36">
        <f t="shared" si="385"/>
        <v>0.6692307692307693</v>
      </c>
      <c r="AB1287" s="36">
        <f t="shared" si="386"/>
        <v>0.72276923076923094</v>
      </c>
      <c r="AC1287" s="11">
        <f t="shared" si="387"/>
        <v>4.2307692307692303E-2</v>
      </c>
      <c r="AD1287" s="36">
        <f t="shared" si="376"/>
        <v>0.85926923076923067</v>
      </c>
      <c r="AE1287" s="36"/>
      <c r="AF1287" s="36">
        <f>IFERROR(VLOOKUP(AE1287,'Chemical Cost'!A:D,4,0),0)</f>
        <v>0</v>
      </c>
      <c r="AG1287" s="114">
        <f t="shared" si="388"/>
        <v>0</v>
      </c>
      <c r="AH1287" s="36">
        <f t="shared" si="371"/>
        <v>0</v>
      </c>
      <c r="AI1287" s="36">
        <f t="shared" si="377"/>
        <v>1.5820384615384615</v>
      </c>
      <c r="AJ1287" s="36">
        <f>IFERROR(VLOOKUP(A1287,'All Products'!A:F,6,0),0)</f>
        <v>18.29</v>
      </c>
      <c r="AK1287" s="36">
        <f>AJ1287*Z1287*J1287</f>
        <v>3.6579999999999999</v>
      </c>
      <c r="AL1287" s="23">
        <v>1</v>
      </c>
      <c r="AM1287" s="23"/>
      <c r="AN1287" s="54" t="e">
        <v>#N/A</v>
      </c>
      <c r="AO1287" s="47"/>
      <c r="AP1287" s="4">
        <v>1.1000000000000001</v>
      </c>
      <c r="AQ1287" s="111">
        <f t="shared" si="389"/>
        <v>4.2307692307692303E-2</v>
      </c>
      <c r="AR1287">
        <f>_xlfn.XLOOKUP(F1287,'RM Cost'!A:A,'RM Cost'!S:S)</f>
        <v>0</v>
      </c>
      <c r="AS1287" t="e">
        <f>_xlfn.XLOOKUP(A1287,[3]Sheet1!$B:$B,[3]Sheet1!$B:$B)</f>
        <v>#N/A</v>
      </c>
    </row>
    <row r="1288" spans="1:45" x14ac:dyDescent="0.25">
      <c r="A1288" s="16" t="s">
        <v>3</v>
      </c>
      <c r="B1288" s="2" t="s">
        <v>656</v>
      </c>
      <c r="C1288" s="2" t="s">
        <v>4</v>
      </c>
      <c r="D1288" s="2" t="s">
        <v>554</v>
      </c>
      <c r="E1288" s="2">
        <v>2.5</v>
      </c>
      <c r="F1288" s="1" t="str">
        <f>VLOOKUP(H1288,'RM Used'!A:B,2,0)</f>
        <v>3567CS</v>
      </c>
      <c r="G1288" s="1" t="str">
        <f>IFERROR(VLOOKUP(F1288,'RM Cost'!A:B,2,0),"")</f>
        <v>RM - PEPPERS YELLOW  X 5KG</v>
      </c>
      <c r="H1288" s="1" t="s">
        <v>1399</v>
      </c>
      <c r="I1288" s="1" t="str">
        <f>VLOOKUP(F1288,'RM Used'!B:D,3,0)</f>
        <v>RM-FOOD</v>
      </c>
      <c r="J1288" s="66">
        <v>0.2</v>
      </c>
      <c r="K1288" s="35">
        <f t="shared" si="372"/>
        <v>0.5</v>
      </c>
      <c r="L1288" s="35">
        <f t="shared" si="381"/>
        <v>0.5</v>
      </c>
      <c r="M1288" s="77" cm="1">
        <f t="array" ref="M1288">_xlfn.IFS(BOM!I1288="RM-PACKING","100%",B1288="Reynolds",VLOOKUP(H1288,'Yield &amp; Time'!A:V,22,0),BOM!B1288="Dnata",VLOOKUP(BOM!H1288,'Yield &amp; Time'!A:M,13,0),B1288="NK",VLOOKUP(H1288,'Yield &amp; Time'!A:X,24,0))</f>
        <v>0.45454545454545459</v>
      </c>
      <c r="N1288" s="35">
        <f t="shared" si="380"/>
        <v>1.0999999999999999</v>
      </c>
      <c r="O1288" s="1" t="str">
        <f>VLOOKUP(H1288,'RM Used'!A:E,5,0)</f>
        <v>KG</v>
      </c>
      <c r="P1288" s="11">
        <f>VLOOKUP(H1288,'RM Used'!A:F,6,0)</f>
        <v>1.68</v>
      </c>
      <c r="Q1288" s="11">
        <f t="shared" si="390"/>
        <v>1.8479999999999996</v>
      </c>
      <c r="R1288" s="11">
        <f>IFERROR(IF(B1288="Reynolds",VLOOKUP(H1288,'Yield &amp; Time'!A:U,21,0),VLOOKUP(H1288,'Yield &amp; Time'!A:L,12,0)),0)</f>
        <v>6.75</v>
      </c>
      <c r="S1288" s="11">
        <f t="shared" si="382"/>
        <v>1.1424375</v>
      </c>
      <c r="T1288" s="11">
        <f t="shared" si="383"/>
        <v>5.6250000000000001E-2</v>
      </c>
      <c r="U1288" s="11">
        <f>IF(A1287=A1288,0,VLOOKUP(A1288,'Packing Time'!A:F,6,0))</f>
        <v>0</v>
      </c>
      <c r="V1288" s="11">
        <f t="shared" si="373"/>
        <v>0</v>
      </c>
      <c r="W1288" s="11">
        <f t="shared" si="374"/>
        <v>0</v>
      </c>
      <c r="X1288" s="11">
        <f t="shared" si="384"/>
        <v>1.2566812500000002</v>
      </c>
      <c r="Y1288" s="11">
        <f t="shared" si="375"/>
        <v>1.2566812500000002</v>
      </c>
      <c r="Z1288" s="37">
        <v>1</v>
      </c>
      <c r="AA1288" s="36">
        <f t="shared" si="385"/>
        <v>1.0999999999999999</v>
      </c>
      <c r="AB1288" s="36">
        <f t="shared" si="386"/>
        <v>1.8479999999999996</v>
      </c>
      <c r="AC1288" s="11">
        <f t="shared" si="387"/>
        <v>6.1875000000000006E-2</v>
      </c>
      <c r="AD1288" s="36">
        <f t="shared" si="376"/>
        <v>1.25668125</v>
      </c>
      <c r="AE1288" s="36"/>
      <c r="AF1288" s="36">
        <f>IFERROR(VLOOKUP(AE1288,'Chemical Cost'!A:D,4,0),0)</f>
        <v>0</v>
      </c>
      <c r="AG1288" s="114">
        <f t="shared" si="388"/>
        <v>0</v>
      </c>
      <c r="AH1288" s="36">
        <f t="shared" si="371"/>
        <v>0</v>
      </c>
      <c r="AI1288" s="36">
        <f t="shared" si="377"/>
        <v>3.1046812499999996</v>
      </c>
      <c r="AJ1288" s="36">
        <f>IFERROR(VLOOKUP(A1288,'All Products'!A:F,6,0),0)</f>
        <v>18.29</v>
      </c>
      <c r="AK1288" s="36">
        <f>AJ1288*Z1288*J1288</f>
        <v>3.6579999999999999</v>
      </c>
      <c r="AL1288" s="23">
        <v>1</v>
      </c>
      <c r="AM1288" s="23"/>
      <c r="AN1288" s="54" t="e">
        <v>#N/A</v>
      </c>
      <c r="AO1288" s="47"/>
      <c r="AP1288" s="4">
        <v>1.1000000000000001</v>
      </c>
      <c r="AQ1288" s="111">
        <f t="shared" si="389"/>
        <v>6.1875000000000006E-2</v>
      </c>
      <c r="AR1288">
        <f>_xlfn.XLOOKUP(F1288,'RM Cost'!A:A,'RM Cost'!S:S)</f>
        <v>0</v>
      </c>
      <c r="AS1288" t="e">
        <f>_xlfn.XLOOKUP(A1288,[3]Sheet1!$B:$B,[3]Sheet1!$B:$B)</f>
        <v>#N/A</v>
      </c>
    </row>
    <row r="1289" spans="1:45" x14ac:dyDescent="0.25">
      <c r="A1289" s="16" t="s">
        <v>3</v>
      </c>
      <c r="B1289" s="2" t="s">
        <v>656</v>
      </c>
      <c r="C1289" s="2" t="s">
        <v>4</v>
      </c>
      <c r="D1289" s="2" t="s">
        <v>554</v>
      </c>
      <c r="E1289" s="2">
        <v>2.5</v>
      </c>
      <c r="F1289" s="1" t="str">
        <f>VLOOKUP(H1289,'RM Used'!A:B,2,0)</f>
        <v>3566CS</v>
      </c>
      <c r="G1289" s="1" t="str">
        <f>IFERROR(VLOOKUP(F1289,'RM Cost'!A:B,2,0),"")</f>
        <v>PEPPERS RED X 5KG</v>
      </c>
      <c r="H1289" s="1" t="s">
        <v>1397</v>
      </c>
      <c r="I1289" s="1" t="str">
        <f>VLOOKUP(F1289,'RM Used'!B:D,3,0)</f>
        <v>RM-FOOD</v>
      </c>
      <c r="J1289" s="66">
        <v>0.2</v>
      </c>
      <c r="K1289" s="35">
        <f t="shared" si="372"/>
        <v>0.5</v>
      </c>
      <c r="L1289" s="35">
        <f t="shared" si="381"/>
        <v>0.5</v>
      </c>
      <c r="M1289" s="77" cm="1">
        <f t="array" ref="M1289">_xlfn.IFS(BOM!I1289="RM-PACKING","100%",B1289="Reynolds",VLOOKUP(H1289,'Yield &amp; Time'!A:V,22,0),BOM!B1289="Dnata",VLOOKUP(BOM!H1289,'Yield &amp; Time'!A:M,13,0),B1289="NK",VLOOKUP(H1289,'Yield &amp; Time'!A:X,24,0))</f>
        <v>0.45454545454545459</v>
      </c>
      <c r="N1289" s="35">
        <f t="shared" si="380"/>
        <v>1.0999999999999999</v>
      </c>
      <c r="O1289" s="1" t="str">
        <f>VLOOKUP(H1289,'RM Used'!A:E,5,0)</f>
        <v>KG</v>
      </c>
      <c r="P1289" s="11">
        <f>VLOOKUP(H1289,'RM Used'!A:F,6,0)</f>
        <v>1.72</v>
      </c>
      <c r="Q1289" s="11">
        <f t="shared" si="390"/>
        <v>1.8919999999999997</v>
      </c>
      <c r="R1289" s="11">
        <f>IFERROR(IF(B1289="Reynolds",VLOOKUP(H1289,'Yield &amp; Time'!A:U,21,0),VLOOKUP(H1289,'Yield &amp; Time'!A:L,12,0)),0)</f>
        <v>6.75</v>
      </c>
      <c r="S1289" s="11">
        <f t="shared" si="382"/>
        <v>1.1424375</v>
      </c>
      <c r="T1289" s="11">
        <f t="shared" si="383"/>
        <v>5.6250000000000001E-2</v>
      </c>
      <c r="U1289" s="11">
        <f>IF(A1288=A1289,0,VLOOKUP(A1289,'Packing Time'!A:F,6,0))</f>
        <v>0</v>
      </c>
      <c r="V1289" s="11">
        <f t="shared" si="373"/>
        <v>0</v>
      </c>
      <c r="W1289" s="11">
        <f t="shared" si="374"/>
        <v>0</v>
      </c>
      <c r="X1289" s="11">
        <f t="shared" si="384"/>
        <v>1.2566812500000002</v>
      </c>
      <c r="Y1289" s="11">
        <f t="shared" si="375"/>
        <v>1.2566812500000002</v>
      </c>
      <c r="Z1289" s="37">
        <v>1</v>
      </c>
      <c r="AA1289" s="36">
        <f t="shared" si="385"/>
        <v>1.0999999999999999</v>
      </c>
      <c r="AB1289" s="36">
        <f t="shared" si="386"/>
        <v>1.8919999999999997</v>
      </c>
      <c r="AC1289" s="11">
        <f t="shared" si="387"/>
        <v>6.1875000000000006E-2</v>
      </c>
      <c r="AD1289" s="36">
        <f t="shared" si="376"/>
        <v>1.25668125</v>
      </c>
      <c r="AE1289" s="36"/>
      <c r="AF1289" s="36">
        <f>IFERROR(VLOOKUP(AE1289,'Chemical Cost'!A:D,4,0),0)</f>
        <v>0</v>
      </c>
      <c r="AG1289" s="114">
        <f t="shared" si="388"/>
        <v>0</v>
      </c>
      <c r="AH1289" s="36">
        <f t="shared" si="371"/>
        <v>0</v>
      </c>
      <c r="AI1289" s="36">
        <f t="shared" si="377"/>
        <v>3.1486812500000001</v>
      </c>
      <c r="AJ1289" s="36">
        <f>IFERROR(VLOOKUP(A1289,'All Products'!A:F,6,0),0)</f>
        <v>18.29</v>
      </c>
      <c r="AK1289" s="36">
        <f>AJ1289*Z1289*J1289</f>
        <v>3.6579999999999999</v>
      </c>
      <c r="AL1289" s="23">
        <v>1</v>
      </c>
      <c r="AM1289" s="23"/>
      <c r="AN1289" s="54" t="e">
        <v>#N/A</v>
      </c>
      <c r="AO1289" s="47"/>
      <c r="AP1289" s="4">
        <v>1.1000000000000001</v>
      </c>
      <c r="AQ1289" s="111">
        <f t="shared" si="389"/>
        <v>6.1875000000000006E-2</v>
      </c>
      <c r="AR1289">
        <f>_xlfn.XLOOKUP(F1289,'RM Cost'!A:A,'RM Cost'!S:S)</f>
        <v>0</v>
      </c>
      <c r="AS1289" t="e">
        <f>_xlfn.XLOOKUP(A1289,[3]Sheet1!$B:$B,[3]Sheet1!$B:$B)</f>
        <v>#N/A</v>
      </c>
    </row>
    <row r="1290" spans="1:45" x14ac:dyDescent="0.25">
      <c r="A1290" s="16" t="s">
        <v>3</v>
      </c>
      <c r="B1290" s="2" t="s">
        <v>656</v>
      </c>
      <c r="C1290" s="2" t="s">
        <v>4</v>
      </c>
      <c r="D1290" s="2" t="s">
        <v>554</v>
      </c>
      <c r="E1290" s="2">
        <v>2.5</v>
      </c>
      <c r="F1290" s="1" t="str">
        <f>VLOOKUP(H1290,'RM Used'!A:B,2,0)</f>
        <v>P0008</v>
      </c>
      <c r="G1290" s="1" t="str">
        <f>IFERROR(VLOOKUP(F1290,'RM Cost'!A:B,2,0),"")</f>
        <v>PALE BLUE BAG 470X750MM</v>
      </c>
      <c r="H1290" s="1" t="s">
        <v>1323</v>
      </c>
      <c r="I1290" s="1" t="str">
        <f>VLOOKUP(F1290,'RM Used'!B:D,3,0)</f>
        <v>RM-PACKING</v>
      </c>
      <c r="J1290" s="66">
        <v>1</v>
      </c>
      <c r="K1290" s="35" t="str">
        <f t="shared" si="372"/>
        <v/>
      </c>
      <c r="L1290" s="35">
        <f t="shared" si="381"/>
        <v>0</v>
      </c>
      <c r="M1290" s="77" t="str" cm="1">
        <f t="array" ref="M1290">_xlfn.IFS(BOM!I1290="RM-PACKING","100%",B1290="Reynolds",VLOOKUP(H1290,'Yield &amp; Time'!A:V,22,0),BOM!B1290="Dnata",VLOOKUP(BOM!H1290,'Yield &amp; Time'!A:M,13,0),B1290="NK",VLOOKUP(H1290,'Yield &amp; Time'!A:X,24,0))</f>
        <v>100%</v>
      </c>
      <c r="N1290" s="35">
        <f t="shared" si="380"/>
        <v>1</v>
      </c>
      <c r="O1290" s="1" t="str">
        <f>VLOOKUP(H1290,'RM Used'!A:E,5,0)</f>
        <v>Count</v>
      </c>
      <c r="P1290" s="11">
        <f>VLOOKUP(H1290,'RM Used'!A:F,6,0)</f>
        <v>0.14000000000000001</v>
      </c>
      <c r="Q1290" s="11">
        <f t="shared" si="390"/>
        <v>0.14000000000000001</v>
      </c>
      <c r="R1290" s="11">
        <f>IFERROR(IF(B1290="Reynolds",VLOOKUP(H1290,'Yield &amp; Time'!A:U,21,0),VLOOKUP(H1290,'Yield &amp; Time'!A:L,12,0)),0)</f>
        <v>0</v>
      </c>
      <c r="S1290" s="11">
        <f t="shared" si="382"/>
        <v>0</v>
      </c>
      <c r="T1290" s="11">
        <f t="shared" si="383"/>
        <v>0</v>
      </c>
      <c r="U1290" s="11">
        <f>IF(A1289=A1290,0,VLOOKUP(A1290,'Packing Time'!A:F,6,0))</f>
        <v>0</v>
      </c>
      <c r="V1290" s="11">
        <f t="shared" si="373"/>
        <v>0</v>
      </c>
      <c r="W1290" s="11">
        <f t="shared" si="374"/>
        <v>0</v>
      </c>
      <c r="X1290" s="11">
        <f t="shared" si="384"/>
        <v>0</v>
      </c>
      <c r="Y1290" s="11">
        <f t="shared" si="375"/>
        <v>0</v>
      </c>
      <c r="Z1290" s="37">
        <v>1</v>
      </c>
      <c r="AA1290" s="36">
        <f t="shared" si="385"/>
        <v>1</v>
      </c>
      <c r="AB1290" s="36">
        <f t="shared" si="386"/>
        <v>0.14000000000000001</v>
      </c>
      <c r="AC1290" s="11">
        <f t="shared" si="387"/>
        <v>0</v>
      </c>
      <c r="AD1290" s="36">
        <f t="shared" si="376"/>
        <v>0</v>
      </c>
      <c r="AE1290" s="36"/>
      <c r="AF1290" s="36">
        <f>IFERROR(VLOOKUP(AE1290,'Chemical Cost'!A:D,4,0),0)</f>
        <v>0</v>
      </c>
      <c r="AG1290" s="114">
        <f t="shared" si="388"/>
        <v>0</v>
      </c>
      <c r="AH1290" s="36">
        <f t="shared" si="371"/>
        <v>0</v>
      </c>
      <c r="AI1290" s="36">
        <f t="shared" si="377"/>
        <v>0.14000000000000001</v>
      </c>
      <c r="AJ1290" s="36">
        <f>IFERROR(VLOOKUP(A1290,'All Products'!A:F,6,0),0)</f>
        <v>18.29</v>
      </c>
      <c r="AK1290" s="36"/>
      <c r="AL1290" s="23">
        <v>1</v>
      </c>
      <c r="AM1290" s="23"/>
      <c r="AN1290" s="54" t="e">
        <v>#N/A</v>
      </c>
      <c r="AO1290" s="47"/>
      <c r="AP1290" s="4">
        <v>1.1000000000000001</v>
      </c>
      <c r="AQ1290" s="111">
        <f t="shared" si="389"/>
        <v>0</v>
      </c>
      <c r="AR1290">
        <f>_xlfn.XLOOKUP(F1290,'RM Cost'!A:A,'RM Cost'!S:S)</f>
        <v>0</v>
      </c>
      <c r="AS1290" t="e">
        <f>_xlfn.XLOOKUP(A1290,[3]Sheet1!$B:$B,[3]Sheet1!$B:$B)</f>
        <v>#N/A</v>
      </c>
    </row>
    <row r="1291" spans="1:45" x14ac:dyDescent="0.25">
      <c r="A1291" s="16" t="s">
        <v>1077</v>
      </c>
      <c r="B1291" s="2" t="s">
        <v>656</v>
      </c>
      <c r="C1291" s="2" t="s">
        <v>1078</v>
      </c>
      <c r="D1291" s="2" t="s">
        <v>554</v>
      </c>
      <c r="E1291" s="2">
        <v>1</v>
      </c>
      <c r="F1291" s="1" t="str">
        <f>VLOOKUP(H1291,'RM Used'!A:B,2,0)</f>
        <v>032ACS</v>
      </c>
      <c r="G1291" s="1" t="str">
        <f>IFERROR(VLOOKUP(F1291,'RM Cost'!A:B,2,0),"")</f>
        <v>RM - LRG PROCESSING CARROT X 1000KG</v>
      </c>
      <c r="H1291" s="2" t="s">
        <v>1373</v>
      </c>
      <c r="I1291" s="1" t="str">
        <f>VLOOKUP(F1291,'RM Used'!B:D,3,0)</f>
        <v>RM-FOOD</v>
      </c>
      <c r="J1291" s="66">
        <v>0.3</v>
      </c>
      <c r="K1291" s="35">
        <f t="shared" si="372"/>
        <v>0.3</v>
      </c>
      <c r="L1291" s="35">
        <f t="shared" si="381"/>
        <v>0.3</v>
      </c>
      <c r="M1291" s="77" cm="1">
        <f t="array" ref="M1291">_xlfn.IFS(BOM!I1291="RM-PACKING","100%",B1291="Reynolds",VLOOKUP(H1291,'Yield &amp; Time'!A:V,22,0),BOM!B1291="Dnata",VLOOKUP(BOM!H1291,'Yield &amp; Time'!A:M,13,0),B1291="NK",VLOOKUP(H1291,'Yield &amp; Time'!A:X,24,0))</f>
        <v>0.71506673850809344</v>
      </c>
      <c r="N1291" s="35">
        <f t="shared" si="380"/>
        <v>0.41954125935981351</v>
      </c>
      <c r="O1291" s="1" t="str">
        <f>VLOOKUP(H1291,'RM Used'!A:E,5,0)</f>
        <v>KG</v>
      </c>
      <c r="P1291" s="11">
        <f>VLOOKUP(H1291,'RM Used'!A:F,6,0)</f>
        <v>0.38</v>
      </c>
      <c r="Q1291" s="11">
        <f t="shared" si="390"/>
        <v>0.15942567855672915</v>
      </c>
      <c r="R1291" s="11">
        <f>IFERROR(IF(B1291="Reynolds",VLOOKUP(H1291,'Yield &amp; Time'!A:U,21,0),VLOOKUP(H1291,'Yield &amp; Time'!A:L,12,0)),0)</f>
        <v>1.2475449219522261</v>
      </c>
      <c r="S1291" s="11">
        <f t="shared" si="382"/>
        <v>0.12668818682424854</v>
      </c>
      <c r="T1291" s="11">
        <f t="shared" si="383"/>
        <v>6.2377246097611305E-3</v>
      </c>
      <c r="U1291" s="11">
        <f>IF(A1290=A1291,0,VLOOKUP(A1291,'Packing Time'!A:F,6,0))</f>
        <v>0.64166666666666661</v>
      </c>
      <c r="V1291" s="11">
        <f t="shared" si="373"/>
        <v>0.21720416666666661</v>
      </c>
      <c r="W1291" s="11">
        <f t="shared" si="374"/>
        <v>1.0694444444444444E-2</v>
      </c>
      <c r="X1291" s="11">
        <f t="shared" si="384"/>
        <v>0.55022776558546427</v>
      </c>
      <c r="Y1291" s="11">
        <f t="shared" si="375"/>
        <v>0.55022776558546427</v>
      </c>
      <c r="Z1291" s="37">
        <v>1</v>
      </c>
      <c r="AA1291" s="36">
        <f t="shared" si="385"/>
        <v>0.41954125935981351</v>
      </c>
      <c r="AB1291" s="36">
        <f t="shared" si="386"/>
        <v>0.15942567855672915</v>
      </c>
      <c r="AC1291" s="11">
        <f t="shared" si="387"/>
        <v>2.709147048672892E-2</v>
      </c>
      <c r="AD1291" s="36">
        <f t="shared" si="376"/>
        <v>0.55022776558546427</v>
      </c>
      <c r="AE1291" s="36"/>
      <c r="AF1291" s="36">
        <f>IFERROR(VLOOKUP(AE1291,'Chemical Cost'!A:D,4,0),0)</f>
        <v>0</v>
      </c>
      <c r="AG1291" s="114">
        <f t="shared" si="388"/>
        <v>0</v>
      </c>
      <c r="AH1291" s="36">
        <f t="shared" si="371"/>
        <v>0</v>
      </c>
      <c r="AI1291" s="36">
        <f t="shared" si="377"/>
        <v>0.70965344414219345</v>
      </c>
      <c r="AJ1291" s="36">
        <f>IFERROR(VLOOKUP(A1291,'All Products'!A:F,6,0),0)</f>
        <v>5.36</v>
      </c>
      <c r="AK1291" s="36">
        <f>AJ1291*Z1291*J1291</f>
        <v>1.6080000000000001</v>
      </c>
      <c r="AL1291" s="23">
        <v>1</v>
      </c>
      <c r="AM1291" s="23"/>
      <c r="AN1291" s="54" t="e">
        <v>#N/A</v>
      </c>
      <c r="AO1291" s="47"/>
      <c r="AP1291" s="4">
        <v>1.6</v>
      </c>
      <c r="AQ1291" s="111">
        <f t="shared" si="389"/>
        <v>2.709147048672892E-2</v>
      </c>
      <c r="AR1291">
        <f>_xlfn.XLOOKUP(F1291,'RM Cost'!A:A,'RM Cost'!S:S)</f>
        <v>0</v>
      </c>
      <c r="AS1291" t="e">
        <f>_xlfn.XLOOKUP(A1291,[3]Sheet1!$B:$B,[3]Sheet1!$B:$B)</f>
        <v>#N/A</v>
      </c>
    </row>
    <row r="1292" spans="1:45" x14ac:dyDescent="0.25">
      <c r="A1292" s="16" t="s">
        <v>1077</v>
      </c>
      <c r="B1292" s="2" t="s">
        <v>656</v>
      </c>
      <c r="C1292" s="2" t="s">
        <v>1078</v>
      </c>
      <c r="D1292" s="2" t="s">
        <v>554</v>
      </c>
      <c r="E1292" s="2">
        <v>1</v>
      </c>
      <c r="F1292" s="1" t="str">
        <f>VLOOKUP(H1292,'RM Used'!A:B,2,0)</f>
        <v>3277CS</v>
      </c>
      <c r="G1292" s="1" t="str">
        <f>IFERROR(VLOOKUP(F1292,'RM Cost'!A:B,2,0),"")</f>
        <v>RM - SWEDE 12.5KG</v>
      </c>
      <c r="H1292" s="2" t="s">
        <v>1374</v>
      </c>
      <c r="I1292" s="1" t="str">
        <f>VLOOKUP(F1292,'RM Used'!B:D,3,0)</f>
        <v>RM-FOOD</v>
      </c>
      <c r="J1292" s="66">
        <v>0.3</v>
      </c>
      <c r="K1292" s="35">
        <f t="shared" si="372"/>
        <v>0.3</v>
      </c>
      <c r="L1292" s="35">
        <f t="shared" si="381"/>
        <v>0.3</v>
      </c>
      <c r="M1292" s="77" cm="1">
        <f t="array" ref="M1292">_xlfn.IFS(BOM!I1292="RM-PACKING","100%",B1292="Reynolds",VLOOKUP(H1292,'Yield &amp; Time'!A:V,22,0),BOM!B1292="Dnata",VLOOKUP(BOM!H1292,'Yield &amp; Time'!A:M,13,0),B1292="NK",VLOOKUP(H1292,'Yield &amp; Time'!A:X,24,0))</f>
        <v>0.82764227642276411</v>
      </c>
      <c r="N1292" s="35">
        <f t="shared" si="380"/>
        <v>0.36247544204322202</v>
      </c>
      <c r="O1292" s="1" t="str">
        <f>VLOOKUP(H1292,'RM Used'!A:E,5,0)</f>
        <v>KG</v>
      </c>
      <c r="P1292" s="11">
        <f>VLOOKUP(H1292,'RM Used'!A:F,6,0)</f>
        <v>0.52</v>
      </c>
      <c r="Q1292" s="11">
        <f t="shared" si="390"/>
        <v>0.18848722986247546</v>
      </c>
      <c r="R1292" s="11">
        <f>IFERROR(IF(B1292="Reynolds",VLOOKUP(H1292,'Yield &amp; Time'!A:U,21,0),VLOOKUP(H1292,'Yield &amp; Time'!A:L,12,0)),0)</f>
        <v>1.9511118703909343</v>
      </c>
      <c r="S1292" s="11">
        <f t="shared" si="382"/>
        <v>0.19813541043819935</v>
      </c>
      <c r="T1292" s="11">
        <f t="shared" si="383"/>
        <v>9.7555593519546725E-3</v>
      </c>
      <c r="U1292" s="11">
        <f>IF(A1291=A1292,0,VLOOKUP(A1292,'Packing Time'!A:F,6,0))</f>
        <v>0</v>
      </c>
      <c r="V1292" s="11">
        <f t="shared" si="373"/>
        <v>0</v>
      </c>
      <c r="W1292" s="11">
        <f t="shared" si="374"/>
        <v>0</v>
      </c>
      <c r="X1292" s="11">
        <f t="shared" si="384"/>
        <v>0.317016656701119</v>
      </c>
      <c r="Y1292" s="11">
        <f t="shared" si="375"/>
        <v>0.317016656701119</v>
      </c>
      <c r="Z1292" s="37">
        <v>1</v>
      </c>
      <c r="AA1292" s="36">
        <f t="shared" si="385"/>
        <v>0.36247544204322202</v>
      </c>
      <c r="AB1292" s="36">
        <f t="shared" si="386"/>
        <v>0.18848722986247546</v>
      </c>
      <c r="AC1292" s="11">
        <f t="shared" si="387"/>
        <v>1.5608894963127477E-2</v>
      </c>
      <c r="AD1292" s="36">
        <f t="shared" si="376"/>
        <v>0.317016656701119</v>
      </c>
      <c r="AE1292" s="36"/>
      <c r="AF1292" s="36">
        <f>IFERROR(VLOOKUP(AE1292,'Chemical Cost'!A:D,4,0),0)</f>
        <v>0</v>
      </c>
      <c r="AG1292" s="114">
        <f t="shared" si="388"/>
        <v>0</v>
      </c>
      <c r="AH1292" s="36">
        <f t="shared" si="371"/>
        <v>0</v>
      </c>
      <c r="AI1292" s="36">
        <f t="shared" si="377"/>
        <v>0.50550388656359446</v>
      </c>
      <c r="AJ1292" s="36">
        <f>IFERROR(VLOOKUP(A1292,'All Products'!A:F,6,0),0)</f>
        <v>5.36</v>
      </c>
      <c r="AK1292" s="36">
        <f>AJ1292*Z1292*J1292</f>
        <v>1.6080000000000001</v>
      </c>
      <c r="AL1292" s="23">
        <v>1</v>
      </c>
      <c r="AM1292" s="23"/>
      <c r="AN1292" s="54" t="e">
        <v>#N/A</v>
      </c>
      <c r="AO1292" s="47"/>
      <c r="AP1292" s="4">
        <v>1.6</v>
      </c>
      <c r="AQ1292" s="111">
        <f t="shared" si="389"/>
        <v>1.5608894963127477E-2</v>
      </c>
      <c r="AR1292">
        <f>_xlfn.XLOOKUP(F1292,'RM Cost'!A:A,'RM Cost'!S:S)</f>
        <v>0</v>
      </c>
      <c r="AS1292" t="e">
        <f>_xlfn.XLOOKUP(A1292,[3]Sheet1!$B:$B,[3]Sheet1!$B:$B)</f>
        <v>#N/A</v>
      </c>
    </row>
    <row r="1293" spans="1:45" x14ac:dyDescent="0.25">
      <c r="A1293" s="16" t="s">
        <v>1077</v>
      </c>
      <c r="B1293" s="2" t="s">
        <v>656</v>
      </c>
      <c r="C1293" s="2" t="s">
        <v>1078</v>
      </c>
      <c r="D1293" s="2" t="s">
        <v>554</v>
      </c>
      <c r="E1293" s="2">
        <v>1</v>
      </c>
      <c r="F1293" s="1" t="str">
        <f>VLOOKUP(H1293,'RM Used'!A:B,2,0)</f>
        <v>3191CS</v>
      </c>
      <c r="G1293" s="1" t="str">
        <f>IFERROR(VLOOKUP(F1293,'RM Cost'!A:B,2,0),"")</f>
        <v>RM - PARSNIPS 10KG</v>
      </c>
      <c r="H1293" s="2" t="s">
        <v>1376</v>
      </c>
      <c r="I1293" s="1" t="str">
        <f>VLOOKUP(F1293,'RM Used'!B:D,3,0)</f>
        <v>RM-FOOD</v>
      </c>
      <c r="J1293" s="66">
        <v>0.2</v>
      </c>
      <c r="K1293" s="35">
        <f t="shared" si="372"/>
        <v>0.2</v>
      </c>
      <c r="L1293" s="35">
        <f t="shared" si="381"/>
        <v>0.2</v>
      </c>
      <c r="M1293" s="77" cm="1">
        <f t="array" ref="M1293">_xlfn.IFS(BOM!I1293="RM-PACKING","100%",B1293="Reynolds",VLOOKUP(H1293,'Yield &amp; Time'!A:V,22,0),BOM!B1293="Dnata",VLOOKUP(BOM!H1293,'Yield &amp; Time'!A:M,13,0),B1293="NK",VLOOKUP(H1293,'Yield &amp; Time'!A:X,24,0))</f>
        <v>0.56310679611650483</v>
      </c>
      <c r="N1293" s="35">
        <f t="shared" si="380"/>
        <v>0.35517241379310349</v>
      </c>
      <c r="O1293" s="1" t="str">
        <f>VLOOKUP(H1293,'RM Used'!A:E,5,0)</f>
        <v>KG</v>
      </c>
      <c r="P1293" s="11">
        <f>VLOOKUP(H1293,'RM Used'!A:F,6,0)</f>
        <v>0.76</v>
      </c>
      <c r="Q1293" s="11">
        <f t="shared" si="390"/>
        <v>0.26993103448275868</v>
      </c>
      <c r="R1293" s="11">
        <f>IFERROR(IF(B1293="Reynolds",VLOOKUP(H1293,'Yield &amp; Time'!A:U,21,0),VLOOKUP(H1293,'Yield &amp; Time'!A:L,12,0)),0)</f>
        <v>7.63448275862069</v>
      </c>
      <c r="S1293" s="11">
        <f t="shared" si="382"/>
        <v>0.51685448275862078</v>
      </c>
      <c r="T1293" s="11">
        <f t="shared" si="383"/>
        <v>2.5448275862068971E-2</v>
      </c>
      <c r="U1293" s="11">
        <f>IF(A1292=A1293,0,VLOOKUP(A1293,'Packing Time'!A:F,6,0))</f>
        <v>0</v>
      </c>
      <c r="V1293" s="11">
        <f t="shared" si="373"/>
        <v>0</v>
      </c>
      <c r="W1293" s="11">
        <f t="shared" si="374"/>
        <v>0</v>
      </c>
      <c r="X1293" s="11">
        <f t="shared" si="384"/>
        <v>0.82696717241379325</v>
      </c>
      <c r="Y1293" s="11">
        <f t="shared" si="375"/>
        <v>0.82696717241379325</v>
      </c>
      <c r="Z1293" s="37">
        <v>1</v>
      </c>
      <c r="AA1293" s="36">
        <f t="shared" si="385"/>
        <v>0.35517241379310349</v>
      </c>
      <c r="AB1293" s="36">
        <f t="shared" si="386"/>
        <v>0.26993103448275868</v>
      </c>
      <c r="AC1293" s="11">
        <f t="shared" si="387"/>
        <v>4.0717241379310355E-2</v>
      </c>
      <c r="AD1293" s="36">
        <f t="shared" si="376"/>
        <v>0.82696717241379325</v>
      </c>
      <c r="AE1293" s="36" t="str">
        <f>VLOOKUP(H1293,'Yield &amp; Time'!A:I,9,0)</f>
        <v>SODIUM METABISULPHITE</v>
      </c>
      <c r="AF1293" s="36">
        <f>IFERROR(VLOOKUP(AE1293,'Chemical Cost'!A:D,4,0),0)</f>
        <v>9.7586225455882462E-3</v>
      </c>
      <c r="AG1293" s="114">
        <f t="shared" si="388"/>
        <v>1.1553311749374592E-3</v>
      </c>
      <c r="AH1293" s="36">
        <f t="shared" si="371"/>
        <v>1.1553311749374592E-3</v>
      </c>
      <c r="AI1293" s="36">
        <f t="shared" si="377"/>
        <v>1.0980535380714893</v>
      </c>
      <c r="AJ1293" s="36">
        <f>IFERROR(VLOOKUP(A1293,'All Products'!A:F,6,0),0)</f>
        <v>5.36</v>
      </c>
      <c r="AK1293" s="36">
        <f>AJ1293*Z1293*J1293</f>
        <v>1.0720000000000001</v>
      </c>
      <c r="AL1293" s="23">
        <v>1</v>
      </c>
      <c r="AM1293" s="23"/>
      <c r="AN1293" s="54" t="e">
        <v>#N/A</v>
      </c>
      <c r="AO1293" s="47"/>
      <c r="AP1293" s="4">
        <v>1.6</v>
      </c>
      <c r="AQ1293" s="111">
        <f t="shared" si="389"/>
        <v>4.0717241379310355E-2</v>
      </c>
      <c r="AR1293">
        <f>_xlfn.XLOOKUP(F1293,'RM Cost'!A:A,'RM Cost'!S:S)</f>
        <v>0</v>
      </c>
      <c r="AS1293" t="e">
        <f>_xlfn.XLOOKUP(A1293,[3]Sheet1!$B:$B,[3]Sheet1!$B:$B)</f>
        <v>#N/A</v>
      </c>
    </row>
    <row r="1294" spans="1:45" x14ac:dyDescent="0.25">
      <c r="A1294" s="16" t="s">
        <v>1077</v>
      </c>
      <c r="B1294" s="2" t="s">
        <v>656</v>
      </c>
      <c r="C1294" s="2" t="s">
        <v>1078</v>
      </c>
      <c r="D1294" s="2" t="s">
        <v>554</v>
      </c>
      <c r="E1294" s="2">
        <v>1</v>
      </c>
      <c r="F1294" s="1" t="str">
        <f>VLOOKUP(H1294,'RM Used'!A:B,2,0)</f>
        <v>3409CS</v>
      </c>
      <c r="G1294" s="1" t="str">
        <f>IFERROR(VLOOKUP(F1294,'RM Cost'!A:B,2,0),"")</f>
        <v>RM - CELERY 1 X 12</v>
      </c>
      <c r="H1294" s="2" t="s">
        <v>1426</v>
      </c>
      <c r="I1294" s="1" t="str">
        <f>VLOOKUP(F1294,'RM Used'!B:D,3,0)</f>
        <v>RM-FOOD</v>
      </c>
      <c r="J1294" s="66">
        <v>0.2</v>
      </c>
      <c r="K1294" s="35">
        <f t="shared" si="372"/>
        <v>0.2</v>
      </c>
      <c r="L1294" s="35">
        <f t="shared" si="381"/>
        <v>0.2</v>
      </c>
      <c r="M1294" s="77" cm="1">
        <f t="array" ref="M1294">_xlfn.IFS(BOM!I1294="RM-PACKING","100%",B1294="Reynolds",VLOOKUP(H1294,'Yield &amp; Time'!A:V,22,0),BOM!B1294="Dnata",VLOOKUP(BOM!H1294,'Yield &amp; Time'!A:M,13,0),B1294="NK",VLOOKUP(H1294,'Yield &amp; Time'!A:X,24,0))</f>
        <v>0.68540145985401446</v>
      </c>
      <c r="N1294" s="35">
        <f t="shared" si="380"/>
        <v>0.29179978700745479</v>
      </c>
      <c r="O1294" s="1" t="str">
        <f>VLOOKUP(H1294,'RM Used'!A:E,5,0)</f>
        <v>KG</v>
      </c>
      <c r="P1294" s="11">
        <f>VLOOKUP(H1294,'RM Used'!A:F,6,0)</f>
        <v>0.91</v>
      </c>
      <c r="Q1294" s="11">
        <f t="shared" si="390"/>
        <v>0.26553780617678385</v>
      </c>
      <c r="R1294" s="11">
        <f>IFERROR(IF(B1294="Reynolds",VLOOKUP(H1294,'Yield &amp; Time'!A:U,21,0),VLOOKUP(H1294,'Yield &amp; Time'!A:L,12,0)),0)</f>
        <v>11.625843095491657</v>
      </c>
      <c r="S1294" s="11">
        <f t="shared" si="382"/>
        <v>0.78706957756478513</v>
      </c>
      <c r="T1294" s="11">
        <f t="shared" si="383"/>
        <v>3.8752810318305526E-2</v>
      </c>
      <c r="U1294" s="11">
        <f>IF(A1293=A1294,0,VLOOKUP(A1294,'Packing Time'!A:F,6,0))</f>
        <v>0</v>
      </c>
      <c r="V1294" s="11">
        <f t="shared" si="373"/>
        <v>0</v>
      </c>
      <c r="W1294" s="11">
        <f t="shared" si="374"/>
        <v>0</v>
      </c>
      <c r="X1294" s="11">
        <f t="shared" si="384"/>
        <v>1.2593113241036562</v>
      </c>
      <c r="Y1294" s="11">
        <f t="shared" si="375"/>
        <v>1.2593113241036562</v>
      </c>
      <c r="Z1294" s="37">
        <v>1</v>
      </c>
      <c r="AA1294" s="36">
        <f t="shared" si="385"/>
        <v>0.29179978700745479</v>
      </c>
      <c r="AB1294" s="36">
        <f t="shared" si="386"/>
        <v>0.26553780617678385</v>
      </c>
      <c r="AC1294" s="11">
        <f t="shared" si="387"/>
        <v>6.2004496509288846E-2</v>
      </c>
      <c r="AD1294" s="36">
        <f t="shared" si="376"/>
        <v>1.2593113241036564</v>
      </c>
      <c r="AE1294" s="36"/>
      <c r="AF1294" s="36">
        <f>IFERROR(VLOOKUP(AE1294,'Chemical Cost'!A:D,4,0),0)</f>
        <v>0</v>
      </c>
      <c r="AG1294" s="114">
        <f t="shared" si="388"/>
        <v>0</v>
      </c>
      <c r="AH1294" s="36">
        <f t="shared" si="371"/>
        <v>0</v>
      </c>
      <c r="AI1294" s="36">
        <f t="shared" si="377"/>
        <v>1.5248491302804401</v>
      </c>
      <c r="AJ1294" s="36">
        <f>IFERROR(VLOOKUP(A1294,'All Products'!A:F,6,0),0)</f>
        <v>5.36</v>
      </c>
      <c r="AK1294" s="36">
        <f>AJ1294*Z1294*J1294</f>
        <v>1.0720000000000001</v>
      </c>
      <c r="AL1294" s="23">
        <v>1</v>
      </c>
      <c r="AM1294" s="23"/>
      <c r="AN1294" s="54" t="e">
        <v>#N/A</v>
      </c>
      <c r="AO1294" s="47"/>
      <c r="AP1294" s="4">
        <v>1.6</v>
      </c>
      <c r="AQ1294" s="111">
        <f t="shared" si="389"/>
        <v>6.2004496509288846E-2</v>
      </c>
      <c r="AR1294">
        <f>_xlfn.XLOOKUP(F1294,'RM Cost'!A:A,'RM Cost'!S:S)</f>
        <v>0</v>
      </c>
      <c r="AS1294" t="e">
        <f>_xlfn.XLOOKUP(A1294,[3]Sheet1!$B:$B,[3]Sheet1!$B:$B)</f>
        <v>#N/A</v>
      </c>
    </row>
    <row r="1295" spans="1:45" x14ac:dyDescent="0.25">
      <c r="A1295" s="16" t="s">
        <v>1077</v>
      </c>
      <c r="B1295" s="2" t="s">
        <v>656</v>
      </c>
      <c r="C1295" s="2" t="s">
        <v>1078</v>
      </c>
      <c r="D1295" s="2" t="s">
        <v>554</v>
      </c>
      <c r="E1295" s="2">
        <v>1</v>
      </c>
      <c r="F1295" s="1" t="str">
        <f>VLOOKUP(H1295,'RM Used'!A:B,2,0)</f>
        <v>P0008</v>
      </c>
      <c r="G1295" s="1" t="str">
        <f>IFERROR(VLOOKUP(F1295,'RM Cost'!A:B,2,0),"")</f>
        <v>PALE BLUE BAG 470X750MM</v>
      </c>
      <c r="H1295" s="1" t="s">
        <v>1323</v>
      </c>
      <c r="I1295" s="1" t="str">
        <f>VLOOKUP(F1295,'RM Used'!B:D,3,0)</f>
        <v>RM-PACKING</v>
      </c>
      <c r="J1295" s="66">
        <v>1</v>
      </c>
      <c r="K1295" s="35" t="str">
        <f t="shared" si="372"/>
        <v/>
      </c>
      <c r="L1295" s="35">
        <f t="shared" si="381"/>
        <v>0</v>
      </c>
      <c r="M1295" s="77" t="str" cm="1">
        <f t="array" ref="M1295">_xlfn.IFS(BOM!I1295="RM-PACKING","100%",B1295="Reynolds",VLOOKUP(H1295,'Yield &amp; Time'!A:V,22,0),BOM!B1295="Dnata",VLOOKUP(BOM!H1295,'Yield &amp; Time'!A:M,13,0),B1295="NK",VLOOKUP(H1295,'Yield &amp; Time'!A:X,24,0))</f>
        <v>100%</v>
      </c>
      <c r="N1295" s="35">
        <f t="shared" si="380"/>
        <v>1</v>
      </c>
      <c r="O1295" s="1" t="str">
        <f>VLOOKUP(H1295,'RM Used'!A:E,5,0)</f>
        <v>Count</v>
      </c>
      <c r="P1295" s="11">
        <f>VLOOKUP(H1295,'RM Used'!A:F,6,0)</f>
        <v>0.14000000000000001</v>
      </c>
      <c r="Q1295" s="11">
        <f t="shared" si="390"/>
        <v>0.14000000000000001</v>
      </c>
      <c r="R1295" s="11">
        <f>IFERROR(IF(B1295="Reynolds",VLOOKUP(H1295,'Yield &amp; Time'!A:U,21,0),VLOOKUP(H1295,'Yield &amp; Time'!A:L,12,0)),0)</f>
        <v>0</v>
      </c>
      <c r="S1295" s="11">
        <f t="shared" si="382"/>
        <v>0</v>
      </c>
      <c r="T1295" s="11">
        <f t="shared" si="383"/>
        <v>0</v>
      </c>
      <c r="U1295" s="11">
        <f>IF(A1294=A1295,0,VLOOKUP(A1295,'Packing Time'!A:F,6,0))</f>
        <v>0</v>
      </c>
      <c r="V1295" s="11">
        <f t="shared" si="373"/>
        <v>0</v>
      </c>
      <c r="W1295" s="11">
        <f t="shared" si="374"/>
        <v>0</v>
      </c>
      <c r="X1295" s="11">
        <f t="shared" si="384"/>
        <v>0</v>
      </c>
      <c r="Y1295" s="11">
        <f t="shared" si="375"/>
        <v>0</v>
      </c>
      <c r="Z1295" s="37">
        <v>1</v>
      </c>
      <c r="AA1295" s="36">
        <f t="shared" si="385"/>
        <v>1</v>
      </c>
      <c r="AB1295" s="36">
        <f t="shared" si="386"/>
        <v>0.14000000000000001</v>
      </c>
      <c r="AC1295" s="11">
        <f t="shared" si="387"/>
        <v>0</v>
      </c>
      <c r="AD1295" s="36">
        <f t="shared" si="376"/>
        <v>0</v>
      </c>
      <c r="AE1295" s="36"/>
      <c r="AF1295" s="36">
        <f>IFERROR(VLOOKUP(AE1295,'Chemical Cost'!A:D,4,0),0)</f>
        <v>0</v>
      </c>
      <c r="AG1295" s="114">
        <f t="shared" si="388"/>
        <v>0</v>
      </c>
      <c r="AH1295" s="36">
        <f t="shared" si="371"/>
        <v>0</v>
      </c>
      <c r="AI1295" s="36">
        <f t="shared" si="377"/>
        <v>0.14000000000000001</v>
      </c>
      <c r="AJ1295" s="36">
        <f>IFERROR(VLOOKUP(A1295,'All Products'!A:F,6,0),0)</f>
        <v>5.36</v>
      </c>
      <c r="AK1295" s="36"/>
      <c r="AL1295" s="23">
        <v>1</v>
      </c>
      <c r="AM1295" s="23"/>
      <c r="AN1295" s="54" t="e">
        <v>#N/A</v>
      </c>
      <c r="AO1295" s="47"/>
      <c r="AP1295" s="4">
        <v>1.6</v>
      </c>
      <c r="AQ1295" s="111">
        <f t="shared" si="389"/>
        <v>0</v>
      </c>
      <c r="AR1295">
        <f>_xlfn.XLOOKUP(F1295,'RM Cost'!A:A,'RM Cost'!S:S)</f>
        <v>0</v>
      </c>
      <c r="AS1295" t="e">
        <f>_xlfn.XLOOKUP(A1295,[3]Sheet1!$B:$B,[3]Sheet1!$B:$B)</f>
        <v>#N/A</v>
      </c>
    </row>
    <row r="1296" spans="1:45" x14ac:dyDescent="0.25">
      <c r="A1296" s="16" t="s">
        <v>1079</v>
      </c>
      <c r="B1296" s="2" t="s">
        <v>656</v>
      </c>
      <c r="C1296" s="2" t="s">
        <v>1080</v>
      </c>
      <c r="D1296" s="2" t="s">
        <v>554</v>
      </c>
      <c r="E1296" s="2">
        <v>2.5</v>
      </c>
      <c r="F1296" s="1" t="str">
        <f>VLOOKUP(H1296,'RM Used'!A:B,2,0)</f>
        <v>032ACS</v>
      </c>
      <c r="G1296" s="1" t="str">
        <f>IFERROR(VLOOKUP(F1296,'RM Cost'!A:B,2,0),"")</f>
        <v>RM - LRG PROCESSING CARROT X 1000KG</v>
      </c>
      <c r="H1296" s="2" t="s">
        <v>1373</v>
      </c>
      <c r="I1296" s="1" t="str">
        <f>VLOOKUP(F1296,'RM Used'!B:D,3,0)</f>
        <v>RM-FOOD</v>
      </c>
      <c r="J1296" s="66">
        <v>0.3</v>
      </c>
      <c r="K1296" s="35">
        <f t="shared" si="372"/>
        <v>0.75</v>
      </c>
      <c r="L1296" s="35">
        <f t="shared" si="381"/>
        <v>0.75</v>
      </c>
      <c r="M1296" s="77" cm="1">
        <f t="array" ref="M1296">_xlfn.IFS(BOM!I1296="RM-PACKING","100%",B1296="Reynolds",VLOOKUP(H1296,'Yield &amp; Time'!A:V,22,0),BOM!B1296="Dnata",VLOOKUP(BOM!H1296,'Yield &amp; Time'!A:M,13,0),B1296="NK",VLOOKUP(H1296,'Yield &amp; Time'!A:X,24,0))</f>
        <v>0.71506673850809344</v>
      </c>
      <c r="N1296" s="35">
        <f t="shared" si="380"/>
        <v>1.0488531483995338</v>
      </c>
      <c r="O1296" s="1" t="str">
        <f>VLOOKUP(H1296,'RM Used'!A:E,5,0)</f>
        <v>KG</v>
      </c>
      <c r="P1296" s="11">
        <f>VLOOKUP(H1296,'RM Used'!A:F,6,0)</f>
        <v>0.38</v>
      </c>
      <c r="Q1296" s="11">
        <f t="shared" si="390"/>
        <v>0.39856419639182283</v>
      </c>
      <c r="R1296" s="11">
        <f>IFERROR(IF(B1296="Reynolds",VLOOKUP(H1296,'Yield &amp; Time'!A:U,21,0),VLOOKUP(H1296,'Yield &amp; Time'!A:L,12,0)),0)</f>
        <v>1.2475449219522261</v>
      </c>
      <c r="S1296" s="11">
        <f t="shared" si="382"/>
        <v>0.31672046706062135</v>
      </c>
      <c r="T1296" s="11">
        <f t="shared" si="383"/>
        <v>1.5594311524402826E-2</v>
      </c>
      <c r="U1296" s="11">
        <f>IF(A1295=A1296,0,VLOOKUP(A1296,'Packing Time'!A:F,6,0))</f>
        <v>0.875</v>
      </c>
      <c r="V1296" s="11">
        <f t="shared" si="373"/>
        <v>0.29618749999999999</v>
      </c>
      <c r="W1296" s="11">
        <f t="shared" si="374"/>
        <v>1.4583333333333334E-2</v>
      </c>
      <c r="X1296" s="11">
        <f t="shared" si="384"/>
        <v>0.98065274729699414</v>
      </c>
      <c r="Y1296" s="11">
        <f t="shared" si="375"/>
        <v>0.98065274729699414</v>
      </c>
      <c r="Z1296" s="37">
        <v>1</v>
      </c>
      <c r="AA1296" s="36">
        <f t="shared" si="385"/>
        <v>1.0488531483995338</v>
      </c>
      <c r="AB1296" s="36">
        <f t="shared" si="386"/>
        <v>0.39856419639182283</v>
      </c>
      <c r="AC1296" s="11">
        <f t="shared" si="387"/>
        <v>4.828423177237786E-2</v>
      </c>
      <c r="AD1296" s="36">
        <f t="shared" si="376"/>
        <v>0.98065274729699425</v>
      </c>
      <c r="AE1296" s="36"/>
      <c r="AF1296" s="36">
        <f>IFERROR(VLOOKUP(AE1296,'Chemical Cost'!A:D,4,0),0)</f>
        <v>0</v>
      </c>
      <c r="AG1296" s="114">
        <f t="shared" si="388"/>
        <v>0</v>
      </c>
      <c r="AH1296" s="36">
        <f t="shared" si="371"/>
        <v>0</v>
      </c>
      <c r="AI1296" s="36">
        <f t="shared" si="377"/>
        <v>1.3792169436888169</v>
      </c>
      <c r="AJ1296" s="36">
        <f>IFERROR(VLOOKUP(A1296,'All Products'!A:F,6,0),0)</f>
        <v>13.65</v>
      </c>
      <c r="AK1296" s="36">
        <f>AJ1296*Z1296*J1296</f>
        <v>4.0949999999999998</v>
      </c>
      <c r="AL1296" s="23">
        <v>1</v>
      </c>
      <c r="AM1296" s="23"/>
      <c r="AN1296" s="54" t="e">
        <v>#N/A</v>
      </c>
      <c r="AO1296" s="47"/>
      <c r="AP1296" s="4">
        <v>1.6</v>
      </c>
      <c r="AQ1296" s="111">
        <f t="shared" si="389"/>
        <v>4.828423177237786E-2</v>
      </c>
      <c r="AR1296">
        <f>_xlfn.XLOOKUP(F1296,'RM Cost'!A:A,'RM Cost'!S:S)</f>
        <v>0</v>
      </c>
      <c r="AS1296" t="e">
        <f>_xlfn.XLOOKUP(A1296,[3]Sheet1!$B:$B,[3]Sheet1!$B:$B)</f>
        <v>#N/A</v>
      </c>
    </row>
    <row r="1297" spans="1:46" x14ac:dyDescent="0.25">
      <c r="A1297" s="16" t="s">
        <v>1079</v>
      </c>
      <c r="B1297" s="2" t="s">
        <v>656</v>
      </c>
      <c r="C1297" s="2" t="s">
        <v>1080</v>
      </c>
      <c r="D1297" s="2" t="s">
        <v>554</v>
      </c>
      <c r="E1297" s="2">
        <v>2.5</v>
      </c>
      <c r="F1297" s="1" t="str">
        <f>VLOOKUP(H1297,'RM Used'!A:B,2,0)</f>
        <v>3277CS</v>
      </c>
      <c r="G1297" s="1" t="str">
        <f>IFERROR(VLOOKUP(F1297,'RM Cost'!A:B,2,0),"")</f>
        <v>RM - SWEDE 12.5KG</v>
      </c>
      <c r="H1297" s="2" t="s">
        <v>1374</v>
      </c>
      <c r="I1297" s="1" t="str">
        <f>VLOOKUP(F1297,'RM Used'!B:D,3,0)</f>
        <v>RM-FOOD</v>
      </c>
      <c r="J1297" s="66">
        <v>0.3</v>
      </c>
      <c r="K1297" s="35">
        <f t="shared" si="372"/>
        <v>0.75</v>
      </c>
      <c r="L1297" s="35">
        <f t="shared" si="381"/>
        <v>0.75</v>
      </c>
      <c r="M1297" s="77" cm="1">
        <f t="array" ref="M1297">_xlfn.IFS(BOM!I1297="RM-PACKING","100%",B1297="Reynolds",VLOOKUP(H1297,'Yield &amp; Time'!A:V,22,0),BOM!B1297="Dnata",VLOOKUP(BOM!H1297,'Yield &amp; Time'!A:M,13,0),B1297="NK",VLOOKUP(H1297,'Yield &amp; Time'!A:X,24,0))</f>
        <v>0.82764227642276411</v>
      </c>
      <c r="N1297" s="35">
        <f t="shared" si="380"/>
        <v>0.9061886051080551</v>
      </c>
      <c r="O1297" s="1" t="str">
        <f>VLOOKUP(H1297,'RM Used'!A:E,5,0)</f>
        <v>KG</v>
      </c>
      <c r="P1297" s="11">
        <f>VLOOKUP(H1297,'RM Used'!A:F,6,0)</f>
        <v>0.52</v>
      </c>
      <c r="Q1297" s="11">
        <f t="shared" si="390"/>
        <v>0.47121807465618865</v>
      </c>
      <c r="R1297" s="11">
        <f>IFERROR(IF(B1297="Reynolds",VLOOKUP(H1297,'Yield &amp; Time'!A:U,21,0),VLOOKUP(H1297,'Yield &amp; Time'!A:L,12,0)),0)</f>
        <v>1.9511118703909343</v>
      </c>
      <c r="S1297" s="11">
        <f t="shared" si="382"/>
        <v>0.49533852609549839</v>
      </c>
      <c r="T1297" s="11">
        <f t="shared" si="383"/>
        <v>2.4388898379886677E-2</v>
      </c>
      <c r="U1297" s="11">
        <f>IF(A1296=A1297,0,VLOOKUP(A1297,'Packing Time'!A:F,6,0))</f>
        <v>0</v>
      </c>
      <c r="V1297" s="11">
        <f t="shared" si="373"/>
        <v>0</v>
      </c>
      <c r="W1297" s="11">
        <f t="shared" si="374"/>
        <v>0</v>
      </c>
      <c r="X1297" s="11">
        <f t="shared" si="384"/>
        <v>0.79254164175279751</v>
      </c>
      <c r="Y1297" s="11">
        <f t="shared" si="375"/>
        <v>0.79254164175279751</v>
      </c>
      <c r="Z1297" s="37">
        <v>1</v>
      </c>
      <c r="AA1297" s="36">
        <f t="shared" si="385"/>
        <v>0.9061886051080551</v>
      </c>
      <c r="AB1297" s="36">
        <f t="shared" si="386"/>
        <v>0.47121807465618865</v>
      </c>
      <c r="AC1297" s="11">
        <f t="shared" si="387"/>
        <v>3.9022237407818683E-2</v>
      </c>
      <c r="AD1297" s="36">
        <f t="shared" si="376"/>
        <v>0.7925416417527974</v>
      </c>
      <c r="AE1297" s="36"/>
      <c r="AF1297" s="36">
        <f>IFERROR(VLOOKUP(AE1297,'Chemical Cost'!A:D,4,0),0)</f>
        <v>0</v>
      </c>
      <c r="AG1297" s="114">
        <f t="shared" si="388"/>
        <v>0</v>
      </c>
      <c r="AH1297" s="36">
        <f t="shared" si="371"/>
        <v>0</v>
      </c>
      <c r="AI1297" s="36">
        <f t="shared" si="377"/>
        <v>1.2637597164089862</v>
      </c>
      <c r="AJ1297" s="36">
        <f>IFERROR(VLOOKUP(A1297,'All Products'!A:F,6,0),0)</f>
        <v>13.65</v>
      </c>
      <c r="AK1297" s="36">
        <f>AJ1297*Z1297*J1297</f>
        <v>4.0949999999999998</v>
      </c>
      <c r="AL1297" s="23">
        <v>1</v>
      </c>
      <c r="AM1297" s="23"/>
      <c r="AN1297" s="54" t="e">
        <v>#N/A</v>
      </c>
      <c r="AO1297" s="47"/>
      <c r="AP1297" s="4">
        <v>1.6</v>
      </c>
      <c r="AQ1297" s="111">
        <f t="shared" si="389"/>
        <v>3.9022237407818683E-2</v>
      </c>
      <c r="AR1297">
        <f>_xlfn.XLOOKUP(F1297,'RM Cost'!A:A,'RM Cost'!S:S)</f>
        <v>0</v>
      </c>
      <c r="AS1297" t="e">
        <f>_xlfn.XLOOKUP(A1297,[3]Sheet1!$B:$B,[3]Sheet1!$B:$B)</f>
        <v>#N/A</v>
      </c>
    </row>
    <row r="1298" spans="1:46" x14ac:dyDescent="0.25">
      <c r="A1298" s="16" t="s">
        <v>1079</v>
      </c>
      <c r="B1298" s="2" t="s">
        <v>656</v>
      </c>
      <c r="C1298" s="2" t="s">
        <v>1080</v>
      </c>
      <c r="D1298" s="2" t="s">
        <v>554</v>
      </c>
      <c r="E1298" s="2">
        <v>2.5</v>
      </c>
      <c r="F1298" s="1" t="str">
        <f>VLOOKUP(H1298,'RM Used'!A:B,2,0)</f>
        <v>3191CS</v>
      </c>
      <c r="G1298" s="1" t="str">
        <f>IFERROR(VLOOKUP(F1298,'RM Cost'!A:B,2,0),"")</f>
        <v>RM - PARSNIPS 10KG</v>
      </c>
      <c r="H1298" s="2" t="s">
        <v>1376</v>
      </c>
      <c r="I1298" s="1" t="str">
        <f>VLOOKUP(F1298,'RM Used'!B:D,3,0)</f>
        <v>RM-FOOD</v>
      </c>
      <c r="J1298" s="66">
        <v>0.2</v>
      </c>
      <c r="K1298" s="35">
        <f t="shared" si="372"/>
        <v>0.5</v>
      </c>
      <c r="L1298" s="35">
        <f t="shared" si="381"/>
        <v>0.5</v>
      </c>
      <c r="M1298" s="77" cm="1">
        <f t="array" ref="M1298">_xlfn.IFS(BOM!I1298="RM-PACKING","100%",B1298="Reynolds",VLOOKUP(H1298,'Yield &amp; Time'!A:V,22,0),BOM!B1298="Dnata",VLOOKUP(BOM!H1298,'Yield &amp; Time'!A:M,13,0),B1298="NK",VLOOKUP(H1298,'Yield &amp; Time'!A:X,24,0))</f>
        <v>0.56310679611650483</v>
      </c>
      <c r="N1298" s="35">
        <f t="shared" si="380"/>
        <v>0.88793103448275867</v>
      </c>
      <c r="O1298" s="1" t="str">
        <f>VLOOKUP(H1298,'RM Used'!A:E,5,0)</f>
        <v>KG</v>
      </c>
      <c r="P1298" s="11">
        <f>VLOOKUP(H1298,'RM Used'!A:F,6,0)</f>
        <v>0.76</v>
      </c>
      <c r="Q1298" s="11">
        <f t="shared" si="390"/>
        <v>0.67482758620689665</v>
      </c>
      <c r="R1298" s="11">
        <f>IFERROR(IF(B1298="Reynolds",VLOOKUP(H1298,'Yield &amp; Time'!A:U,21,0),VLOOKUP(H1298,'Yield &amp; Time'!A:L,12,0)),0)</f>
        <v>7.63448275862069</v>
      </c>
      <c r="S1298" s="11">
        <f t="shared" si="382"/>
        <v>1.2921362068965518</v>
      </c>
      <c r="T1298" s="11">
        <f t="shared" si="383"/>
        <v>6.3620689655172424E-2</v>
      </c>
      <c r="U1298" s="11">
        <f>IF(A1297=A1298,0,VLOOKUP(A1298,'Packing Time'!A:F,6,0))</f>
        <v>0</v>
      </c>
      <c r="V1298" s="11">
        <f t="shared" si="373"/>
        <v>0</v>
      </c>
      <c r="W1298" s="11">
        <f t="shared" si="374"/>
        <v>0</v>
      </c>
      <c r="X1298" s="11">
        <f t="shared" si="384"/>
        <v>2.0674179310344831</v>
      </c>
      <c r="Y1298" s="11">
        <f t="shared" si="375"/>
        <v>2.0674179310344831</v>
      </c>
      <c r="Z1298" s="37">
        <v>1</v>
      </c>
      <c r="AA1298" s="36">
        <f t="shared" si="385"/>
        <v>0.88793103448275867</v>
      </c>
      <c r="AB1298" s="36">
        <f t="shared" si="386"/>
        <v>0.67482758620689665</v>
      </c>
      <c r="AC1298" s="11">
        <f t="shared" si="387"/>
        <v>0.10179310344827588</v>
      </c>
      <c r="AD1298" s="36">
        <f t="shared" si="376"/>
        <v>2.0674179310344831</v>
      </c>
      <c r="AE1298" s="36" t="str">
        <f>VLOOKUP(H1298,'Yield &amp; Time'!A:I,9,0)</f>
        <v>SODIUM METABISULPHITE</v>
      </c>
      <c r="AF1298" s="36">
        <f>IFERROR(VLOOKUP(AE1298,'Chemical Cost'!A:D,4,0),0)</f>
        <v>9.7586225455882462E-3</v>
      </c>
      <c r="AG1298" s="114">
        <f t="shared" si="388"/>
        <v>2.888327937343648E-3</v>
      </c>
      <c r="AH1298" s="36">
        <f t="shared" si="371"/>
        <v>2.888327937343648E-3</v>
      </c>
      <c r="AI1298" s="36">
        <f t="shared" si="377"/>
        <v>2.7451338451787235</v>
      </c>
      <c r="AJ1298" s="36">
        <f>IFERROR(VLOOKUP(A1298,'All Products'!A:F,6,0),0)</f>
        <v>13.65</v>
      </c>
      <c r="AK1298" s="36">
        <f>AJ1298*Z1298*J1298</f>
        <v>2.7300000000000004</v>
      </c>
      <c r="AL1298" s="23">
        <v>1</v>
      </c>
      <c r="AM1298" s="23"/>
      <c r="AN1298" s="54" t="e">
        <v>#N/A</v>
      </c>
      <c r="AO1298" s="47"/>
      <c r="AP1298" s="4">
        <v>1.6</v>
      </c>
      <c r="AQ1298" s="111">
        <f t="shared" si="389"/>
        <v>0.10179310344827588</v>
      </c>
      <c r="AR1298">
        <f>_xlfn.XLOOKUP(F1298,'RM Cost'!A:A,'RM Cost'!S:S)</f>
        <v>0</v>
      </c>
      <c r="AS1298" t="e">
        <f>_xlfn.XLOOKUP(A1298,[3]Sheet1!$B:$B,[3]Sheet1!$B:$B)</f>
        <v>#N/A</v>
      </c>
    </row>
    <row r="1299" spans="1:46" x14ac:dyDescent="0.25">
      <c r="A1299" s="16" t="s">
        <v>1079</v>
      </c>
      <c r="B1299" s="2" t="s">
        <v>656</v>
      </c>
      <c r="C1299" s="2" t="s">
        <v>1080</v>
      </c>
      <c r="D1299" s="2" t="s">
        <v>554</v>
      </c>
      <c r="E1299" s="2">
        <v>2.5</v>
      </c>
      <c r="F1299" s="1" t="str">
        <f>VLOOKUP(H1299,'RM Used'!A:B,2,0)</f>
        <v>3409CS</v>
      </c>
      <c r="G1299" s="1" t="str">
        <f>IFERROR(VLOOKUP(F1299,'RM Cost'!A:B,2,0),"")</f>
        <v>RM - CELERY 1 X 12</v>
      </c>
      <c r="H1299" s="2" t="s">
        <v>1426</v>
      </c>
      <c r="I1299" s="1" t="str">
        <f>VLOOKUP(F1299,'RM Used'!B:D,3,0)</f>
        <v>RM-FOOD</v>
      </c>
      <c r="J1299" s="66">
        <v>0.2</v>
      </c>
      <c r="K1299" s="35">
        <f t="shared" si="372"/>
        <v>0.5</v>
      </c>
      <c r="L1299" s="35">
        <f t="shared" si="381"/>
        <v>0.5</v>
      </c>
      <c r="M1299" s="77" cm="1">
        <f t="array" ref="M1299">_xlfn.IFS(BOM!I1299="RM-PACKING","100%",B1299="Reynolds",VLOOKUP(H1299,'Yield &amp; Time'!A:V,22,0),BOM!B1299="Dnata",VLOOKUP(BOM!H1299,'Yield &amp; Time'!A:M,13,0),B1299="NK",VLOOKUP(H1299,'Yield &amp; Time'!A:X,24,0))</f>
        <v>0.68540145985401446</v>
      </c>
      <c r="N1299" s="35">
        <f t="shared" si="380"/>
        <v>0.72949946751863703</v>
      </c>
      <c r="O1299" s="1" t="str">
        <f>VLOOKUP(H1299,'RM Used'!A:E,5,0)</f>
        <v>KG</v>
      </c>
      <c r="P1299" s="11">
        <f>VLOOKUP(H1299,'RM Used'!A:F,6,0)</f>
        <v>0.91</v>
      </c>
      <c r="Q1299" s="11">
        <f t="shared" si="390"/>
        <v>0.66384451544195977</v>
      </c>
      <c r="R1299" s="11">
        <f>IFERROR(IF(B1299="Reynolds",VLOOKUP(H1299,'Yield &amp; Time'!A:U,21,0),VLOOKUP(H1299,'Yield &amp; Time'!A:L,12,0)),0)</f>
        <v>11.625843095491657</v>
      </c>
      <c r="S1299" s="11">
        <f t="shared" si="382"/>
        <v>1.9676739439119628</v>
      </c>
      <c r="T1299" s="11">
        <f t="shared" si="383"/>
        <v>9.6882025795763813E-2</v>
      </c>
      <c r="U1299" s="11">
        <f>IF(A1298=A1299,0,VLOOKUP(A1299,'Packing Time'!A:F,6,0))</f>
        <v>0</v>
      </c>
      <c r="V1299" s="11">
        <f t="shared" si="373"/>
        <v>0</v>
      </c>
      <c r="W1299" s="11">
        <f t="shared" si="374"/>
        <v>0</v>
      </c>
      <c r="X1299" s="11">
        <f t="shared" si="384"/>
        <v>3.1482783102591405</v>
      </c>
      <c r="Y1299" s="11">
        <f t="shared" si="375"/>
        <v>3.1482783102591405</v>
      </c>
      <c r="Z1299" s="37">
        <v>1</v>
      </c>
      <c r="AA1299" s="36">
        <f t="shared" si="385"/>
        <v>0.72949946751863703</v>
      </c>
      <c r="AB1299" s="36">
        <f t="shared" si="386"/>
        <v>0.66384451544195977</v>
      </c>
      <c r="AC1299" s="11">
        <f t="shared" si="387"/>
        <v>0.15501124127322211</v>
      </c>
      <c r="AD1299" s="36">
        <f t="shared" si="376"/>
        <v>3.1482783102591405</v>
      </c>
      <c r="AE1299" s="36"/>
      <c r="AF1299" s="36">
        <f>IFERROR(VLOOKUP(AE1299,'Chemical Cost'!A:D,4,0),0)</f>
        <v>0</v>
      </c>
      <c r="AG1299" s="114">
        <f t="shared" si="388"/>
        <v>0</v>
      </c>
      <c r="AH1299" s="36">
        <f t="shared" si="371"/>
        <v>0</v>
      </c>
      <c r="AI1299" s="36">
        <f t="shared" si="377"/>
        <v>3.8121228257011004</v>
      </c>
      <c r="AJ1299" s="36">
        <f>IFERROR(VLOOKUP(A1299,'All Products'!A:F,6,0),0)</f>
        <v>13.65</v>
      </c>
      <c r="AK1299" s="36">
        <f>AJ1299*Z1299*J1299</f>
        <v>2.7300000000000004</v>
      </c>
      <c r="AL1299" s="23">
        <v>1</v>
      </c>
      <c r="AM1299" s="23"/>
      <c r="AN1299" s="54" t="e">
        <v>#N/A</v>
      </c>
      <c r="AO1299" s="47"/>
      <c r="AP1299" s="4">
        <v>1.6</v>
      </c>
      <c r="AQ1299" s="111">
        <f t="shared" si="389"/>
        <v>0.15501124127322211</v>
      </c>
      <c r="AR1299">
        <f>_xlfn.XLOOKUP(F1299,'RM Cost'!A:A,'RM Cost'!S:S)</f>
        <v>0</v>
      </c>
      <c r="AS1299" t="e">
        <f>_xlfn.XLOOKUP(A1299,[3]Sheet1!$B:$B,[3]Sheet1!$B:$B)</f>
        <v>#N/A</v>
      </c>
    </row>
    <row r="1300" spans="1:46" x14ac:dyDescent="0.25">
      <c r="A1300" s="16" t="s">
        <v>1079</v>
      </c>
      <c r="B1300" s="2" t="s">
        <v>656</v>
      </c>
      <c r="C1300" s="2" t="s">
        <v>1080</v>
      </c>
      <c r="D1300" s="2" t="s">
        <v>554</v>
      </c>
      <c r="E1300" s="2">
        <v>2.5</v>
      </c>
      <c r="F1300" s="1" t="str">
        <f>VLOOKUP(H1300,'RM Used'!A:B,2,0)</f>
        <v>P0008</v>
      </c>
      <c r="G1300" s="1" t="str">
        <f>IFERROR(VLOOKUP(F1300,'RM Cost'!A:B,2,0),"")</f>
        <v>PALE BLUE BAG 470X750MM</v>
      </c>
      <c r="H1300" s="1" t="s">
        <v>1323</v>
      </c>
      <c r="I1300" s="1" t="str">
        <f>VLOOKUP(F1300,'RM Used'!B:D,3,0)</f>
        <v>RM-PACKING</v>
      </c>
      <c r="J1300" s="66">
        <v>1</v>
      </c>
      <c r="K1300" s="35" t="str">
        <f t="shared" si="372"/>
        <v/>
      </c>
      <c r="L1300" s="35">
        <f t="shared" si="381"/>
        <v>0</v>
      </c>
      <c r="M1300" s="77" t="str" cm="1">
        <f t="array" ref="M1300">_xlfn.IFS(BOM!I1300="RM-PACKING","100%",B1300="Reynolds",VLOOKUP(H1300,'Yield &amp; Time'!A:V,22,0),BOM!B1300="Dnata",VLOOKUP(BOM!H1300,'Yield &amp; Time'!A:M,13,0),B1300="NK",VLOOKUP(H1300,'Yield &amp; Time'!A:X,24,0))</f>
        <v>100%</v>
      </c>
      <c r="N1300" s="35">
        <f t="shared" si="380"/>
        <v>1</v>
      </c>
      <c r="O1300" s="1" t="str">
        <f>VLOOKUP(H1300,'RM Used'!A:E,5,0)</f>
        <v>Count</v>
      </c>
      <c r="P1300" s="11">
        <f>VLOOKUP(H1300,'RM Used'!A:F,6,0)</f>
        <v>0.14000000000000001</v>
      </c>
      <c r="Q1300" s="11">
        <f t="shared" si="390"/>
        <v>0.14000000000000001</v>
      </c>
      <c r="R1300" s="11">
        <f>IFERROR(IF(B1300="Reynolds",VLOOKUP(H1300,'Yield &amp; Time'!A:U,21,0),VLOOKUP(H1300,'Yield &amp; Time'!A:L,12,0)),0)</f>
        <v>0</v>
      </c>
      <c r="S1300" s="11">
        <f t="shared" si="382"/>
        <v>0</v>
      </c>
      <c r="T1300" s="11">
        <f t="shared" si="383"/>
        <v>0</v>
      </c>
      <c r="U1300" s="11">
        <f>IF(A1299=A1300,0,VLOOKUP(A1300,'Packing Time'!A:F,6,0))</f>
        <v>0</v>
      </c>
      <c r="V1300" s="11">
        <f t="shared" si="373"/>
        <v>0</v>
      </c>
      <c r="W1300" s="11">
        <f t="shared" si="374"/>
        <v>0</v>
      </c>
      <c r="X1300" s="11">
        <f t="shared" si="384"/>
        <v>0</v>
      </c>
      <c r="Y1300" s="11">
        <f t="shared" si="375"/>
        <v>0</v>
      </c>
      <c r="Z1300" s="37">
        <v>1</v>
      </c>
      <c r="AA1300" s="36">
        <f t="shared" si="385"/>
        <v>1</v>
      </c>
      <c r="AB1300" s="36">
        <f t="shared" si="386"/>
        <v>0.14000000000000001</v>
      </c>
      <c r="AC1300" s="11">
        <f t="shared" si="387"/>
        <v>0</v>
      </c>
      <c r="AD1300" s="36">
        <f t="shared" si="376"/>
        <v>0</v>
      </c>
      <c r="AE1300" s="36"/>
      <c r="AF1300" s="36">
        <f>IFERROR(VLOOKUP(AE1300,'Chemical Cost'!A:D,4,0),0)</f>
        <v>0</v>
      </c>
      <c r="AG1300" s="114">
        <f t="shared" si="388"/>
        <v>0</v>
      </c>
      <c r="AH1300" s="36">
        <f t="shared" si="371"/>
        <v>0</v>
      </c>
      <c r="AI1300" s="36">
        <f t="shared" si="377"/>
        <v>0.14000000000000001</v>
      </c>
      <c r="AJ1300" s="36">
        <f>IFERROR(VLOOKUP(A1300,'All Products'!A:F,6,0),0)</f>
        <v>13.65</v>
      </c>
      <c r="AK1300" s="36"/>
      <c r="AL1300" s="23">
        <v>1</v>
      </c>
      <c r="AM1300" s="23"/>
      <c r="AN1300" s="54" t="e">
        <v>#N/A</v>
      </c>
      <c r="AO1300" s="47"/>
      <c r="AP1300" s="4">
        <v>1.6</v>
      </c>
      <c r="AQ1300" s="111">
        <f t="shared" si="389"/>
        <v>0</v>
      </c>
      <c r="AR1300">
        <f>_xlfn.XLOOKUP(F1300,'RM Cost'!A:A,'RM Cost'!S:S)</f>
        <v>0</v>
      </c>
      <c r="AS1300" t="e">
        <f>_xlfn.XLOOKUP(A1300,[3]Sheet1!$B:$B,[3]Sheet1!$B:$B)</f>
        <v>#N/A</v>
      </c>
    </row>
    <row r="1301" spans="1:46" x14ac:dyDescent="0.25">
      <c r="A1301" s="15" t="s">
        <v>1081</v>
      </c>
      <c r="B1301" s="2" t="s">
        <v>552</v>
      </c>
      <c r="C1301" s="2" t="s">
        <v>414</v>
      </c>
      <c r="D1301" s="2" t="s">
        <v>554</v>
      </c>
      <c r="E1301" s="2">
        <v>1</v>
      </c>
      <c r="F1301" s="1" t="str">
        <f>VLOOKUP(H1301,'RM Used'!A:B,2,0)</f>
        <v>1445CS</v>
      </c>
      <c r="G1301" s="1" t="str">
        <f>IFERROR(VLOOKUP(F1301,'RM Cost'!A:B,2,0),"")</f>
        <v>RM - GARLIC PEELED 10X1KG</v>
      </c>
      <c r="H1301" s="2" t="s">
        <v>1610</v>
      </c>
      <c r="I1301" s="1" t="str">
        <f>VLOOKUP(F1301,'RM Used'!B:D,3,0)</f>
        <v>RM-FOOD</v>
      </c>
      <c r="J1301" s="66">
        <v>1</v>
      </c>
      <c r="K1301" s="35">
        <f t="shared" si="372"/>
        <v>1</v>
      </c>
      <c r="L1301" s="35">
        <f t="shared" si="381"/>
        <v>1</v>
      </c>
      <c r="M1301" s="77" cm="1">
        <f t="array" ref="M1301">_xlfn.IFS(BOM!I1301="RM-PACKING","100%",B1301="Reynolds",VLOOKUP(H1301,'Yield &amp; Time'!A:V,22,0),BOM!B1301="Dnata",VLOOKUP(BOM!H1301,'Yield &amp; Time'!A:M,13,0),B1301="NK",VLOOKUP(H1301,'Yield &amp; Time'!A:X,24,0))</f>
        <v>0.96750369276218617</v>
      </c>
      <c r="N1301" s="35">
        <f t="shared" si="380"/>
        <v>1.033587786259542</v>
      </c>
      <c r="O1301" s="1" t="str">
        <f>VLOOKUP(H1301,'RM Used'!A:E,5,0)</f>
        <v>KG</v>
      </c>
      <c r="P1301" s="11">
        <f>VLOOKUP(H1301,'RM Used'!A:F,6,0)</f>
        <v>2.76</v>
      </c>
      <c r="Q1301" s="11">
        <f t="shared" si="390"/>
        <v>2.8527022900763357</v>
      </c>
      <c r="R1301" s="11">
        <f>IFERROR(IF(B1301="Reynolds",VLOOKUP(H1301,'Yield &amp; Time'!A:U,21,0),VLOOKUP(H1301,'Yield &amp; Time'!A:L,12,0)),0)</f>
        <v>0.5</v>
      </c>
      <c r="S1301" s="11">
        <f t="shared" si="382"/>
        <v>0.16924999999999998</v>
      </c>
      <c r="T1301" s="11">
        <f t="shared" si="383"/>
        <v>8.3333333333333332E-3</v>
      </c>
      <c r="U1301" s="11">
        <f>IF(A1300=A1301,0,VLOOKUP(A1301,'Packing Time'!A:F,6,0))</f>
        <v>0.64500000000000002</v>
      </c>
      <c r="V1301" s="11">
        <f t="shared" si="373"/>
        <v>0.21833249999999998</v>
      </c>
      <c r="W1301" s="11">
        <f t="shared" si="374"/>
        <v>1.0750000000000001E-2</v>
      </c>
      <c r="X1301" s="11">
        <f t="shared" si="384"/>
        <v>0.62013200000000002</v>
      </c>
      <c r="Y1301" s="11">
        <f t="shared" si="375"/>
        <v>0.62013200000000002</v>
      </c>
      <c r="Z1301" s="37">
        <v>1</v>
      </c>
      <c r="AA1301" s="36">
        <f t="shared" si="385"/>
        <v>1.033587786259542</v>
      </c>
      <c r="AB1301" s="36">
        <f t="shared" si="386"/>
        <v>2.8527022900763357</v>
      </c>
      <c r="AC1301" s="11">
        <f t="shared" si="387"/>
        <v>3.0533333333333336E-2</v>
      </c>
      <c r="AD1301" s="36">
        <f t="shared" si="376"/>
        <v>0.62013200000000002</v>
      </c>
      <c r="AE1301" s="36"/>
      <c r="AF1301" s="36">
        <f>IFERROR(VLOOKUP(AE1301,'Chemical Cost'!A:D,4,0),0)</f>
        <v>0</v>
      </c>
      <c r="AG1301" s="114">
        <f t="shared" si="388"/>
        <v>0</v>
      </c>
      <c r="AH1301" s="36">
        <f t="shared" si="371"/>
        <v>0</v>
      </c>
      <c r="AI1301" s="36">
        <f t="shared" si="377"/>
        <v>3.4728342900763356</v>
      </c>
      <c r="AJ1301" s="36">
        <f>IFERROR(VLOOKUP(A1301,'All Products'!A:F,6,0),0)</f>
        <v>9.0528566793893113</v>
      </c>
      <c r="AK1301" s="36">
        <f>AJ1301*Z1301*J1301</f>
        <v>9.0528566793893113</v>
      </c>
      <c r="AL1301" s="23">
        <v>0.5</v>
      </c>
      <c r="AM1301" s="23">
        <v>0.5</v>
      </c>
      <c r="AN1301" s="54" t="e">
        <v>#N/A</v>
      </c>
      <c r="AO1301" s="47"/>
      <c r="AP1301" s="4">
        <v>1.6</v>
      </c>
      <c r="AQ1301" s="111">
        <f t="shared" si="389"/>
        <v>3.0533333333333336E-2</v>
      </c>
      <c r="AR1301">
        <f>_xlfn.XLOOKUP(F1301,'RM Cost'!A:A,'RM Cost'!S:S)</f>
        <v>0</v>
      </c>
      <c r="AS1301" t="e">
        <f>_xlfn.XLOOKUP(A1301,[3]Sheet1!$B:$B,[3]Sheet1!$B:$B)</f>
        <v>#N/A</v>
      </c>
    </row>
    <row r="1302" spans="1:46" x14ac:dyDescent="0.25">
      <c r="A1302" s="15" t="s">
        <v>1081</v>
      </c>
      <c r="B1302" s="2" t="s">
        <v>552</v>
      </c>
      <c r="C1302" s="2" t="s">
        <v>414</v>
      </c>
      <c r="D1302" s="2" t="s">
        <v>554</v>
      </c>
      <c r="E1302" s="2">
        <v>1</v>
      </c>
      <c r="F1302" s="1" t="str">
        <f>VLOOKUP(H1302,'RM Used'!A:B,2,0)</f>
        <v>P0011</v>
      </c>
      <c r="G1302" s="1" t="str">
        <f>IFERROR(VLOOKUP(F1302,'RM Cost'!A:B,2,0),"")</f>
        <v>VACK PACK 300x400</v>
      </c>
      <c r="H1302" s="2" t="s">
        <v>1326</v>
      </c>
      <c r="I1302" s="1" t="str">
        <f>VLOOKUP(F1302,'RM Used'!B:D,3,0)</f>
        <v>RM-PACKING</v>
      </c>
      <c r="J1302" s="66">
        <v>1</v>
      </c>
      <c r="K1302" s="35" t="str">
        <f t="shared" si="372"/>
        <v/>
      </c>
      <c r="L1302" s="35">
        <f t="shared" si="381"/>
        <v>0</v>
      </c>
      <c r="M1302" s="77" t="str" cm="1">
        <f t="array" ref="M1302">_xlfn.IFS(BOM!I1302="RM-PACKING","100%",B1302="Reynolds",VLOOKUP(H1302,'Yield &amp; Time'!A:V,22,0),BOM!B1302="Dnata",VLOOKUP(BOM!H1302,'Yield &amp; Time'!A:M,13,0),B1302="NK",VLOOKUP(H1302,'Yield &amp; Time'!A:X,24,0))</f>
        <v>100%</v>
      </c>
      <c r="N1302" s="35">
        <f t="shared" si="380"/>
        <v>1</v>
      </c>
      <c r="O1302" s="1" t="str">
        <f>VLOOKUP(H1302,'RM Used'!A:E,5,0)</f>
        <v>Count</v>
      </c>
      <c r="P1302" s="11">
        <f>VLOOKUP(H1302,'RM Used'!A:F,6,0)</f>
        <v>0.1</v>
      </c>
      <c r="Q1302" s="11">
        <f t="shared" si="390"/>
        <v>0.1</v>
      </c>
      <c r="R1302" s="11">
        <f>IFERROR(IF(B1302="Reynolds",VLOOKUP(H1302,'Yield &amp; Time'!A:U,21,0),VLOOKUP(H1302,'Yield &amp; Time'!A:L,12,0)),0)</f>
        <v>0</v>
      </c>
      <c r="S1302" s="11">
        <f t="shared" si="382"/>
        <v>0</v>
      </c>
      <c r="T1302" s="11">
        <f t="shared" si="383"/>
        <v>0</v>
      </c>
      <c r="U1302" s="11">
        <f>IF(A1301=A1302,0,VLOOKUP(A1302,'Packing Time'!A:F,6,0))</f>
        <v>0</v>
      </c>
      <c r="V1302" s="11">
        <f t="shared" si="373"/>
        <v>0</v>
      </c>
      <c r="W1302" s="11">
        <f t="shared" si="374"/>
        <v>0</v>
      </c>
      <c r="X1302" s="11">
        <f t="shared" si="384"/>
        <v>0</v>
      </c>
      <c r="Y1302" s="11">
        <f t="shared" si="375"/>
        <v>0</v>
      </c>
      <c r="Z1302" s="37">
        <v>1</v>
      </c>
      <c r="AA1302" s="36">
        <f t="shared" si="385"/>
        <v>1</v>
      </c>
      <c r="AB1302" s="36">
        <f t="shared" si="386"/>
        <v>0.1</v>
      </c>
      <c r="AC1302" s="11">
        <f t="shared" si="387"/>
        <v>0</v>
      </c>
      <c r="AD1302" s="36">
        <f t="shared" si="376"/>
        <v>0</v>
      </c>
      <c r="AE1302" s="36"/>
      <c r="AF1302" s="36">
        <f>IFERROR(VLOOKUP(AE1302,'Chemical Cost'!A:D,4,0),0)</f>
        <v>0</v>
      </c>
      <c r="AG1302" s="114">
        <f t="shared" si="388"/>
        <v>0</v>
      </c>
      <c r="AH1302" s="36">
        <f t="shared" si="371"/>
        <v>0</v>
      </c>
      <c r="AI1302" s="36">
        <f t="shared" si="377"/>
        <v>0.1</v>
      </c>
      <c r="AJ1302" s="36">
        <f>IFERROR(VLOOKUP(A1302,'All Products'!A:F,6,0),0)</f>
        <v>9.0528566793893113</v>
      </c>
      <c r="AK1302" s="36"/>
      <c r="AL1302" s="23">
        <v>0.5</v>
      </c>
      <c r="AM1302" s="23">
        <v>0.5</v>
      </c>
      <c r="AN1302" s="54" t="e">
        <v>#N/A</v>
      </c>
      <c r="AO1302" s="47"/>
      <c r="AP1302" s="4">
        <v>1.6</v>
      </c>
      <c r="AQ1302" s="111">
        <f t="shared" si="389"/>
        <v>0</v>
      </c>
      <c r="AR1302">
        <f>_xlfn.XLOOKUP(F1302,'RM Cost'!A:A,'RM Cost'!S:S)</f>
        <v>0</v>
      </c>
      <c r="AS1302" t="e">
        <f>_xlfn.XLOOKUP(A1302,[3]Sheet1!$B:$B,[3]Sheet1!$B:$B)</f>
        <v>#N/A</v>
      </c>
    </row>
    <row r="1303" spans="1:46" x14ac:dyDescent="0.25">
      <c r="A1303" s="2" t="s">
        <v>1081</v>
      </c>
      <c r="B1303" s="2" t="s">
        <v>552</v>
      </c>
      <c r="C1303" s="2" t="s">
        <v>414</v>
      </c>
      <c r="D1303" s="2" t="s">
        <v>554</v>
      </c>
      <c r="E1303" s="2">
        <v>1</v>
      </c>
      <c r="F1303" s="1" t="str">
        <f>VLOOKUP(H1303,'RM Used'!A:B,2,0)</f>
        <v>P0016</v>
      </c>
      <c r="G1303" s="1" t="str">
        <f>IFERROR(VLOOKUP(F1303,'RM Cost'!A:B,2,0),"")</f>
        <v>REY 40 30 BOX</v>
      </c>
      <c r="H1303" s="2" t="s">
        <v>1332</v>
      </c>
      <c r="I1303" s="1" t="str">
        <f>VLOOKUP(F1303,'RM Used'!B:D,3,0)</f>
        <v>RM-PACKING</v>
      </c>
      <c r="J1303" s="66">
        <v>1</v>
      </c>
      <c r="K1303" s="35" t="str">
        <f t="shared" si="372"/>
        <v/>
      </c>
      <c r="L1303" s="35">
        <f t="shared" si="381"/>
        <v>0</v>
      </c>
      <c r="M1303" s="77" t="str" cm="1">
        <f t="array" ref="M1303">_xlfn.IFS(BOM!I1303="RM-PACKING","100%",B1303="Reynolds",VLOOKUP(H1303,'Yield &amp; Time'!A:V,22,0),BOM!B1303="Dnata",VLOOKUP(BOM!H1303,'Yield &amp; Time'!A:M,13,0),B1303="NK",VLOOKUP(H1303,'Yield &amp; Time'!A:X,24,0))</f>
        <v>100%</v>
      </c>
      <c r="N1303" s="35">
        <f t="shared" si="380"/>
        <v>1</v>
      </c>
      <c r="O1303" s="1" t="str">
        <f>VLOOKUP(H1303,'RM Used'!A:E,5,0)</f>
        <v>Count</v>
      </c>
      <c r="P1303" s="11">
        <f>VLOOKUP(H1303,'RM Used'!A:F,6,0)</f>
        <v>0.28000000000000003</v>
      </c>
      <c r="Q1303" s="11">
        <f t="shared" si="390"/>
        <v>0.28000000000000003</v>
      </c>
      <c r="R1303" s="11">
        <f>IFERROR(IF(B1303="Reynolds",VLOOKUP(H1303,'Yield &amp; Time'!A:U,21,0),VLOOKUP(H1303,'Yield &amp; Time'!A:L,12,0)),0)</f>
        <v>0</v>
      </c>
      <c r="S1303" s="11">
        <f t="shared" si="382"/>
        <v>0</v>
      </c>
      <c r="T1303" s="11">
        <f t="shared" si="383"/>
        <v>0</v>
      </c>
      <c r="U1303" s="11">
        <f>IF(A1302=A1303,0,VLOOKUP(A1303,'Packing Time'!A:F,6,0))</f>
        <v>0</v>
      </c>
      <c r="V1303" s="11">
        <f t="shared" si="373"/>
        <v>0</v>
      </c>
      <c r="W1303" s="11">
        <f t="shared" si="374"/>
        <v>0</v>
      </c>
      <c r="X1303" s="11">
        <f t="shared" si="384"/>
        <v>0</v>
      </c>
      <c r="Y1303" s="11">
        <f t="shared" si="375"/>
        <v>0</v>
      </c>
      <c r="Z1303" s="37">
        <v>1</v>
      </c>
      <c r="AA1303" s="36">
        <f t="shared" si="385"/>
        <v>1</v>
      </c>
      <c r="AB1303" s="36">
        <f t="shared" si="386"/>
        <v>0.28000000000000003</v>
      </c>
      <c r="AC1303" s="11">
        <f t="shared" si="387"/>
        <v>0</v>
      </c>
      <c r="AD1303" s="36">
        <f t="shared" si="376"/>
        <v>0</v>
      </c>
      <c r="AE1303" s="36"/>
      <c r="AF1303" s="36">
        <f>IFERROR(VLOOKUP(AE1303,'Chemical Cost'!A:D,4,0),0)</f>
        <v>0</v>
      </c>
      <c r="AG1303" s="114">
        <f t="shared" si="388"/>
        <v>0</v>
      </c>
      <c r="AH1303" s="36">
        <f t="shared" ref="AH1303:AH1366" si="391">AF1303*AA1303/3</f>
        <v>0</v>
      </c>
      <c r="AI1303" s="36">
        <f t="shared" si="377"/>
        <v>0.28000000000000003</v>
      </c>
      <c r="AJ1303" s="36">
        <f>IFERROR(VLOOKUP(A1303,'All Products'!A:F,6,0),0)</f>
        <v>9.0528566793893113</v>
      </c>
      <c r="AK1303" s="36"/>
      <c r="AL1303" s="23">
        <v>0.5</v>
      </c>
      <c r="AM1303" s="23">
        <v>0.5</v>
      </c>
      <c r="AN1303" s="54" t="e">
        <v>#N/A</v>
      </c>
      <c r="AO1303" s="47"/>
      <c r="AP1303" s="4">
        <v>1.6</v>
      </c>
      <c r="AQ1303" s="111">
        <f t="shared" si="389"/>
        <v>0</v>
      </c>
      <c r="AR1303">
        <f>_xlfn.XLOOKUP(F1303,'RM Cost'!A:A,'RM Cost'!S:S)</f>
        <v>0</v>
      </c>
      <c r="AS1303" t="e">
        <f>_xlfn.XLOOKUP(A1303,[3]Sheet1!$B:$B,[3]Sheet1!$B:$B)</f>
        <v>#N/A</v>
      </c>
    </row>
    <row r="1304" spans="1:46" x14ac:dyDescent="0.25">
      <c r="A1304" s="15" t="s">
        <v>1082</v>
      </c>
      <c r="B1304" s="2" t="s">
        <v>552</v>
      </c>
      <c r="C1304" s="2" t="s">
        <v>1083</v>
      </c>
      <c r="D1304" s="2" t="s">
        <v>554</v>
      </c>
      <c r="E1304" s="2">
        <v>5</v>
      </c>
      <c r="F1304" s="1" t="str">
        <f>VLOOKUP(H1304,'RM Used'!A:B,2,0)</f>
        <v>3136CS</v>
      </c>
      <c r="G1304" s="1" t="str">
        <f>IFERROR(VLOOKUP(F1304,'RM Cost'!A:B,2,0),"")</f>
        <v>RM - PROCESSING LEEKS 5KG</v>
      </c>
      <c r="H1304" s="2" t="s">
        <v>1638</v>
      </c>
      <c r="I1304" s="1" t="str">
        <f>VLOOKUP(F1304,'RM Used'!B:D,3,0)</f>
        <v>RM-FOOD</v>
      </c>
      <c r="J1304" s="66">
        <v>1</v>
      </c>
      <c r="K1304" s="35">
        <f t="shared" si="372"/>
        <v>5</v>
      </c>
      <c r="L1304" s="35">
        <f t="shared" si="381"/>
        <v>5</v>
      </c>
      <c r="M1304" s="77" cm="1">
        <f t="array" ref="M1304">_xlfn.IFS(BOM!I1304="RM-PACKING","100%",B1304="Reynolds",VLOOKUP(H1304,'Yield &amp; Time'!A:V,22,0),BOM!B1304="Dnata",VLOOKUP(BOM!H1304,'Yield &amp; Time'!A:M,13,0),B1304="NK",VLOOKUP(H1304,'Yield &amp; Time'!A:X,24,0))</f>
        <v>0.61290322580645162</v>
      </c>
      <c r="N1304" s="35">
        <f t="shared" si="380"/>
        <v>8.1578947368421044</v>
      </c>
      <c r="O1304" s="1" t="str">
        <f>VLOOKUP(H1304,'RM Used'!A:E,5,0)</f>
        <v>KG</v>
      </c>
      <c r="P1304" s="11">
        <f>VLOOKUP(H1304,'RM Used'!A:F,6,0)</f>
        <v>1.05</v>
      </c>
      <c r="Q1304" s="11">
        <f t="shared" si="390"/>
        <v>8.5657894736842106</v>
      </c>
      <c r="R1304" s="11">
        <f>IFERROR(IF(B1304="Reynolds",VLOOKUP(H1304,'Yield &amp; Time'!A:U,21,0),VLOOKUP(H1304,'Yield &amp; Time'!A:L,12,0)),0)</f>
        <v>3.9473684210526314</v>
      </c>
      <c r="S1304" s="11">
        <f t="shared" si="382"/>
        <v>6.6809210526315779</v>
      </c>
      <c r="T1304" s="11">
        <f t="shared" si="383"/>
        <v>0.3289473684210526</v>
      </c>
      <c r="U1304" s="11">
        <f>IF(A1303=A1304,0,VLOOKUP(A1304,'Packing Time'!A:F,6,0))</f>
        <v>1.1850000000000001</v>
      </c>
      <c r="V1304" s="11">
        <f t="shared" si="373"/>
        <v>0.40112249999999999</v>
      </c>
      <c r="W1304" s="11">
        <f t="shared" si="374"/>
        <v>1.975E-2</v>
      </c>
      <c r="X1304" s="11">
        <f t="shared" si="384"/>
        <v>7.7902479078947362</v>
      </c>
      <c r="Y1304" s="11">
        <f t="shared" si="375"/>
        <v>7.7902479078947362</v>
      </c>
      <c r="Z1304" s="37">
        <v>1</v>
      </c>
      <c r="AA1304" s="36">
        <f t="shared" si="385"/>
        <v>8.1578947368421044</v>
      </c>
      <c r="AB1304" s="36">
        <f t="shared" si="386"/>
        <v>8.5657894736842106</v>
      </c>
      <c r="AC1304" s="11">
        <f t="shared" si="387"/>
        <v>0.3835671052631579</v>
      </c>
      <c r="AD1304" s="36">
        <f t="shared" si="376"/>
        <v>7.7902479078947371</v>
      </c>
      <c r="AE1304" s="36"/>
      <c r="AF1304" s="36">
        <f>IFERROR(VLOOKUP(AE1304,'Chemical Cost'!A:D,4,0),0)</f>
        <v>0</v>
      </c>
      <c r="AG1304" s="114">
        <f t="shared" si="388"/>
        <v>0</v>
      </c>
      <c r="AH1304" s="36">
        <f t="shared" si="391"/>
        <v>0</v>
      </c>
      <c r="AI1304" s="36">
        <f t="shared" si="377"/>
        <v>16.356037381578947</v>
      </c>
      <c r="AJ1304" s="36">
        <f>IFERROR(VLOOKUP(A1304,'All Products'!A:F,6,0),0)</f>
        <v>19.09</v>
      </c>
      <c r="AK1304" s="36">
        <f>AJ1304*Z1304*J1304</f>
        <v>19.09</v>
      </c>
      <c r="AL1304" s="23">
        <v>1</v>
      </c>
      <c r="AM1304" s="23"/>
      <c r="AN1304" s="54" t="e">
        <v>#N/A</v>
      </c>
      <c r="AO1304" s="47"/>
      <c r="AP1304" s="4">
        <v>1.1000000000000001</v>
      </c>
      <c r="AQ1304" s="111">
        <f t="shared" si="389"/>
        <v>0.3835671052631579</v>
      </c>
      <c r="AR1304">
        <f>_xlfn.XLOOKUP(F1304,'RM Cost'!A:A,'RM Cost'!S:S)</f>
        <v>0</v>
      </c>
      <c r="AS1304" t="str">
        <f>_xlfn.XLOOKUP(A1304,[3]Sheet1!$B:$B,[3]Sheet1!$B:$B)</f>
        <v>055BCS</v>
      </c>
      <c r="AT1304">
        <f>_xlfn.XLOOKUP(H1304,'Yield &amp; Time'!A:A,'Yield &amp; Time'!F:F)</f>
        <v>0</v>
      </c>
    </row>
    <row r="1305" spans="1:46" x14ac:dyDescent="0.25">
      <c r="A1305" s="15" t="s">
        <v>1082</v>
      </c>
      <c r="B1305" s="2" t="s">
        <v>552</v>
      </c>
      <c r="C1305" s="2" t="s">
        <v>1083</v>
      </c>
      <c r="D1305" s="2" t="s">
        <v>554</v>
      </c>
      <c r="E1305" s="2">
        <v>5</v>
      </c>
      <c r="F1305" s="1" t="str">
        <f>VLOOKUP(H1305,'RM Used'!A:B,2,0)</f>
        <v>P0008</v>
      </c>
      <c r="G1305" s="1" t="str">
        <f>IFERROR(VLOOKUP(F1305,'RM Cost'!A:B,2,0),"")</f>
        <v>PALE BLUE BAG 470X750MM</v>
      </c>
      <c r="H1305" s="1" t="s">
        <v>1323</v>
      </c>
      <c r="I1305" s="1" t="str">
        <f>VLOOKUP(F1305,'RM Used'!B:D,3,0)</f>
        <v>RM-PACKING</v>
      </c>
      <c r="J1305" s="66">
        <v>1</v>
      </c>
      <c r="K1305" s="35" t="str">
        <f t="shared" si="372"/>
        <v/>
      </c>
      <c r="L1305" s="35">
        <f t="shared" si="381"/>
        <v>0</v>
      </c>
      <c r="M1305" s="77" t="str" cm="1">
        <f t="array" ref="M1305">_xlfn.IFS(BOM!I1305="RM-PACKING","100%",B1305="Reynolds",VLOOKUP(H1305,'Yield &amp; Time'!A:V,22,0),BOM!B1305="Dnata",VLOOKUP(BOM!H1305,'Yield &amp; Time'!A:M,13,0),B1305="NK",VLOOKUP(H1305,'Yield &amp; Time'!A:X,24,0))</f>
        <v>100%</v>
      </c>
      <c r="N1305" s="35">
        <f t="shared" si="380"/>
        <v>1</v>
      </c>
      <c r="O1305" s="1" t="str">
        <f>VLOOKUP(H1305,'RM Used'!A:E,5,0)</f>
        <v>Count</v>
      </c>
      <c r="P1305" s="11">
        <f>VLOOKUP(H1305,'RM Used'!A:F,6,0)</f>
        <v>0.14000000000000001</v>
      </c>
      <c r="Q1305" s="11">
        <f t="shared" si="390"/>
        <v>0.14000000000000001</v>
      </c>
      <c r="R1305" s="11">
        <f>IFERROR(IF(B1305="Reynolds",VLOOKUP(H1305,'Yield &amp; Time'!A:U,21,0),VLOOKUP(H1305,'Yield &amp; Time'!A:L,12,0)),0)</f>
        <v>0</v>
      </c>
      <c r="S1305" s="11">
        <f t="shared" si="382"/>
        <v>0</v>
      </c>
      <c r="T1305" s="11">
        <f t="shared" si="383"/>
        <v>0</v>
      </c>
      <c r="U1305" s="11">
        <f>IF(A1304=A1305,0,VLOOKUP(A1305,'Packing Time'!A:F,6,0))</f>
        <v>0</v>
      </c>
      <c r="V1305" s="11">
        <f t="shared" si="373"/>
        <v>0</v>
      </c>
      <c r="W1305" s="11">
        <f t="shared" si="374"/>
        <v>0</v>
      </c>
      <c r="X1305" s="11">
        <f t="shared" si="384"/>
        <v>0</v>
      </c>
      <c r="Y1305" s="11">
        <f t="shared" si="375"/>
        <v>0</v>
      </c>
      <c r="Z1305" s="37">
        <v>1</v>
      </c>
      <c r="AA1305" s="36">
        <f t="shared" si="385"/>
        <v>1</v>
      </c>
      <c r="AB1305" s="36">
        <f t="shared" si="386"/>
        <v>0.14000000000000001</v>
      </c>
      <c r="AC1305" s="11">
        <f t="shared" si="387"/>
        <v>0</v>
      </c>
      <c r="AD1305" s="36">
        <f t="shared" si="376"/>
        <v>0</v>
      </c>
      <c r="AE1305" s="36"/>
      <c r="AF1305" s="36">
        <f>IFERROR(VLOOKUP(AE1305,'Chemical Cost'!A:D,4,0),0)</f>
        <v>0</v>
      </c>
      <c r="AG1305" s="114">
        <f t="shared" si="388"/>
        <v>0</v>
      </c>
      <c r="AH1305" s="36">
        <f t="shared" si="391"/>
        <v>0</v>
      </c>
      <c r="AI1305" s="36">
        <f t="shared" si="377"/>
        <v>0.14000000000000001</v>
      </c>
      <c r="AJ1305" s="36">
        <f>IFERROR(VLOOKUP(A1305,'All Products'!A:F,6,0),0)</f>
        <v>19.09</v>
      </c>
      <c r="AK1305" s="36"/>
      <c r="AL1305" s="23">
        <v>1</v>
      </c>
      <c r="AM1305" s="23"/>
      <c r="AN1305" s="54" t="e">
        <v>#N/A</v>
      </c>
      <c r="AO1305" s="47"/>
      <c r="AP1305" s="4">
        <v>1.1000000000000001</v>
      </c>
      <c r="AQ1305" s="111">
        <f t="shared" si="389"/>
        <v>0</v>
      </c>
      <c r="AR1305">
        <f>_xlfn.XLOOKUP(F1305,'RM Cost'!A:A,'RM Cost'!S:S)</f>
        <v>0</v>
      </c>
      <c r="AS1305" t="str">
        <f>_xlfn.XLOOKUP(A1305,[3]Sheet1!$B:$B,[3]Sheet1!$B:$B)</f>
        <v>055BCS</v>
      </c>
      <c r="AT1305" t="e">
        <f>_xlfn.XLOOKUP(H1305,'Yield &amp; Time'!A:A,'Yield &amp; Time'!F:F)</f>
        <v>#N/A</v>
      </c>
    </row>
    <row r="1306" spans="1:46" x14ac:dyDescent="0.25">
      <c r="A1306" s="2" t="s">
        <v>1082</v>
      </c>
      <c r="B1306" s="2" t="s">
        <v>552</v>
      </c>
      <c r="C1306" s="2" t="s">
        <v>1083</v>
      </c>
      <c r="D1306" s="2" t="s">
        <v>554</v>
      </c>
      <c r="E1306" s="2">
        <v>5</v>
      </c>
      <c r="F1306" s="1" t="str">
        <f>VLOOKUP(H1306,'RM Used'!A:B,2,0)</f>
        <v>P0016</v>
      </c>
      <c r="G1306" s="1" t="str">
        <f>IFERROR(VLOOKUP(F1306,'RM Cost'!A:B,2,0),"")</f>
        <v>REY 40 30 BOX</v>
      </c>
      <c r="H1306" s="1" t="s">
        <v>1332</v>
      </c>
      <c r="I1306" s="1" t="str">
        <f>VLOOKUP(F1306,'RM Used'!B:D,3,0)</f>
        <v>RM-PACKING</v>
      </c>
      <c r="J1306" s="66">
        <v>1</v>
      </c>
      <c r="K1306" s="35" t="str">
        <f t="shared" si="372"/>
        <v/>
      </c>
      <c r="L1306" s="35">
        <f t="shared" si="381"/>
        <v>0</v>
      </c>
      <c r="M1306" s="77" t="str" cm="1">
        <f t="array" ref="M1306">_xlfn.IFS(BOM!I1306="RM-PACKING","100%",B1306="Reynolds",VLOOKUP(H1306,'Yield &amp; Time'!A:V,22,0),BOM!B1306="Dnata",VLOOKUP(BOM!H1306,'Yield &amp; Time'!A:M,13,0),B1306="NK",VLOOKUP(H1306,'Yield &amp; Time'!A:X,24,0))</f>
        <v>100%</v>
      </c>
      <c r="N1306" s="35">
        <f t="shared" si="380"/>
        <v>1</v>
      </c>
      <c r="O1306" s="1" t="str">
        <f>VLOOKUP(H1306,'RM Used'!A:E,5,0)</f>
        <v>Count</v>
      </c>
      <c r="P1306" s="11">
        <f>VLOOKUP(H1306,'RM Used'!A:F,6,0)</f>
        <v>0.28000000000000003</v>
      </c>
      <c r="Q1306" s="11">
        <f t="shared" si="390"/>
        <v>0.28000000000000003</v>
      </c>
      <c r="R1306" s="11">
        <f>IFERROR(IF(B1306="Reynolds",VLOOKUP(H1306,'Yield &amp; Time'!A:U,21,0),VLOOKUP(H1306,'Yield &amp; Time'!A:L,12,0)),0)</f>
        <v>0</v>
      </c>
      <c r="S1306" s="11">
        <f t="shared" si="382"/>
        <v>0</v>
      </c>
      <c r="T1306" s="11">
        <f t="shared" si="383"/>
        <v>0</v>
      </c>
      <c r="U1306" s="11">
        <f>IF(A1305=A1306,0,VLOOKUP(A1306,'Packing Time'!A:F,6,0))</f>
        <v>0</v>
      </c>
      <c r="V1306" s="11">
        <f t="shared" si="373"/>
        <v>0</v>
      </c>
      <c r="W1306" s="11">
        <f t="shared" si="374"/>
        <v>0</v>
      </c>
      <c r="X1306" s="11">
        <f t="shared" si="384"/>
        <v>0</v>
      </c>
      <c r="Y1306" s="11">
        <f t="shared" si="375"/>
        <v>0</v>
      </c>
      <c r="Z1306" s="37">
        <v>1</v>
      </c>
      <c r="AA1306" s="36">
        <f t="shared" si="385"/>
        <v>1</v>
      </c>
      <c r="AB1306" s="36">
        <f t="shared" si="386"/>
        <v>0.28000000000000003</v>
      </c>
      <c r="AC1306" s="11">
        <f t="shared" si="387"/>
        <v>0</v>
      </c>
      <c r="AD1306" s="36">
        <f t="shared" si="376"/>
        <v>0</v>
      </c>
      <c r="AE1306" s="36"/>
      <c r="AF1306" s="36">
        <f>IFERROR(VLOOKUP(AE1306,'Chemical Cost'!A:D,4,0),0)</f>
        <v>0</v>
      </c>
      <c r="AG1306" s="114">
        <f t="shared" si="388"/>
        <v>0</v>
      </c>
      <c r="AH1306" s="36">
        <f t="shared" si="391"/>
        <v>0</v>
      </c>
      <c r="AI1306" s="36">
        <f t="shared" si="377"/>
        <v>0.28000000000000003</v>
      </c>
      <c r="AJ1306" s="36">
        <f>IFERROR(VLOOKUP(A1306,'All Products'!A:F,6,0),0)</f>
        <v>19.09</v>
      </c>
      <c r="AK1306" s="36"/>
      <c r="AL1306" s="23">
        <v>1</v>
      </c>
      <c r="AM1306" s="23"/>
      <c r="AN1306" s="54" t="e">
        <v>#N/A</v>
      </c>
      <c r="AO1306" s="47"/>
      <c r="AP1306" s="4">
        <v>1.1000000000000001</v>
      </c>
      <c r="AQ1306" s="111">
        <f t="shared" si="389"/>
        <v>0</v>
      </c>
      <c r="AR1306">
        <f>_xlfn.XLOOKUP(F1306,'RM Cost'!A:A,'RM Cost'!S:S)</f>
        <v>0</v>
      </c>
      <c r="AS1306" t="str">
        <f>_xlfn.XLOOKUP(A1306,[3]Sheet1!$B:$B,[3]Sheet1!$B:$B)</f>
        <v>055BCS</v>
      </c>
      <c r="AT1306" t="e">
        <f>_xlfn.XLOOKUP(H1306,'Yield &amp; Time'!A:A,'Yield &amp; Time'!F:F)</f>
        <v>#N/A</v>
      </c>
    </row>
    <row r="1307" spans="1:46" x14ac:dyDescent="0.25">
      <c r="A1307" s="16" t="s">
        <v>1084</v>
      </c>
      <c r="B1307" s="2" t="s">
        <v>656</v>
      </c>
      <c r="C1307" s="2" t="s">
        <v>1085</v>
      </c>
      <c r="D1307" s="2" t="s">
        <v>554</v>
      </c>
      <c r="E1307" s="2">
        <v>1</v>
      </c>
      <c r="F1307" s="1" t="str">
        <f>VLOOKUP(H1307,'RM Used'!A:B,2,0)</f>
        <v>3270CS</v>
      </c>
      <c r="G1307" s="1" t="str">
        <f>IFERROR(VLOOKUP(F1307,'RM Cost'!A:B,2,0),"")</f>
        <v>RM - SUGAR SNAP 2KG</v>
      </c>
      <c r="H1307" s="1" t="s">
        <v>1590</v>
      </c>
      <c r="I1307" s="1" t="str">
        <f>VLOOKUP(F1307,'RM Used'!B:D,3,0)</f>
        <v>RM-FOOD</v>
      </c>
      <c r="J1307" s="66">
        <v>1</v>
      </c>
      <c r="K1307" s="35">
        <f t="shared" si="372"/>
        <v>1</v>
      </c>
      <c r="L1307" s="35">
        <f t="shared" si="381"/>
        <v>1</v>
      </c>
      <c r="M1307" s="77" cm="1">
        <f t="array" ref="M1307">_xlfn.IFS(BOM!I1307="RM-PACKING","100%",B1307="Reynolds",VLOOKUP(H1307,'Yield &amp; Time'!A:V,22,0),BOM!B1307="Dnata",VLOOKUP(BOM!H1307,'Yield &amp; Time'!A:M,13,0),B1307="NK",VLOOKUP(H1307,'Yield &amp; Time'!A:X,24,0))</f>
        <v>0.85</v>
      </c>
      <c r="N1307" s="35">
        <f t="shared" si="380"/>
        <v>1.1764705882352942</v>
      </c>
      <c r="O1307" s="1" t="str">
        <f>VLOOKUP(H1307,'RM Used'!A:E,5,0)</f>
        <v>KG</v>
      </c>
      <c r="P1307" s="11">
        <f>VLOOKUP(H1307,'RM Used'!A:F,6,0)</f>
        <v>3.37</v>
      </c>
      <c r="Q1307" s="11">
        <f t="shared" si="390"/>
        <v>3.9647058823529413</v>
      </c>
      <c r="R1307" s="11">
        <f>IFERROR(IF(B1307="Reynolds",VLOOKUP(H1307,'Yield &amp; Time'!A:U,21,0),VLOOKUP(H1307,'Yield &amp; Time'!A:L,12,0)),0)</f>
        <v>13.6</v>
      </c>
      <c r="S1307" s="11">
        <f t="shared" si="382"/>
        <v>4.6035999999999992</v>
      </c>
      <c r="T1307" s="11">
        <f t="shared" si="383"/>
        <v>0.22666666666666666</v>
      </c>
      <c r="U1307" s="11">
        <f>IF(A1306=A1307,0,VLOOKUP(A1307,'Packing Time'!A:F,6,0))</f>
        <v>0.64166666666666661</v>
      </c>
      <c r="V1307" s="11">
        <f t="shared" si="373"/>
        <v>0.21720416666666661</v>
      </c>
      <c r="W1307" s="11">
        <f t="shared" si="374"/>
        <v>1.0694444444444444E-2</v>
      </c>
      <c r="X1307" s="11">
        <f t="shared" si="384"/>
        <v>7.713286666666666</v>
      </c>
      <c r="Y1307" s="11">
        <f t="shared" si="375"/>
        <v>7.713286666666666</v>
      </c>
      <c r="Z1307" s="37">
        <v>1</v>
      </c>
      <c r="AA1307" s="36">
        <f t="shared" si="385"/>
        <v>1.1764705882352942</v>
      </c>
      <c r="AB1307" s="36">
        <f t="shared" si="386"/>
        <v>3.9647058823529413</v>
      </c>
      <c r="AC1307" s="11">
        <f t="shared" si="387"/>
        <v>0.37977777777777777</v>
      </c>
      <c r="AD1307" s="36">
        <f t="shared" si="376"/>
        <v>7.7132866666666651</v>
      </c>
      <c r="AE1307" s="36" t="str">
        <f>VLOOKUP(H1307,'Yield &amp; Time'!A:I,9,0)</f>
        <v>CHLORINE</v>
      </c>
      <c r="AF1307" s="36">
        <f>IFERROR(VLOOKUP(AE1307,'Chemical Cost'!A:D,4,0),0)</f>
        <v>2.7756518066439469E-2</v>
      </c>
      <c r="AG1307" s="114">
        <f t="shared" si="388"/>
        <v>1.0884909045662536E-2</v>
      </c>
      <c r="AH1307" s="36">
        <f t="shared" si="391"/>
        <v>1.0884909045662536E-2</v>
      </c>
      <c r="AI1307" s="36">
        <f t="shared" si="377"/>
        <v>11.688877458065269</v>
      </c>
      <c r="AJ1307" s="36">
        <f>IFERROR(VLOOKUP(A1307,'All Products'!A:F,6,0),0)</f>
        <v>12.85</v>
      </c>
      <c r="AK1307" s="36">
        <f>AJ1307*Z1307*J1307</f>
        <v>12.85</v>
      </c>
      <c r="AL1307" s="23">
        <v>1</v>
      </c>
      <c r="AM1307" s="23"/>
      <c r="AN1307" s="54" t="e">
        <v>#N/A</v>
      </c>
      <c r="AO1307" s="47"/>
      <c r="AP1307" s="4">
        <v>1.6</v>
      </c>
      <c r="AQ1307" s="111">
        <f t="shared" si="389"/>
        <v>0.37977777777777777</v>
      </c>
      <c r="AR1307">
        <f>_xlfn.XLOOKUP(F1307,'RM Cost'!A:A,'RM Cost'!S:S)</f>
        <v>0</v>
      </c>
      <c r="AS1307" t="e">
        <f>_xlfn.XLOOKUP(A1307,[3]Sheet1!$B:$B,[3]Sheet1!$B:$B)</f>
        <v>#N/A</v>
      </c>
    </row>
    <row r="1308" spans="1:46" x14ac:dyDescent="0.25">
      <c r="A1308" s="16" t="s">
        <v>1084</v>
      </c>
      <c r="B1308" s="2" t="s">
        <v>656</v>
      </c>
      <c r="C1308" s="2" t="s">
        <v>1085</v>
      </c>
      <c r="D1308" s="2" t="s">
        <v>554</v>
      </c>
      <c r="E1308" s="2">
        <v>1</v>
      </c>
      <c r="F1308" s="1" t="str">
        <f>VLOOKUP(H1308,'RM Used'!A:B,2,0)</f>
        <v>P0008</v>
      </c>
      <c r="G1308" s="1" t="str">
        <f>IFERROR(VLOOKUP(F1308,'RM Cost'!A:B,2,0),"")</f>
        <v>PALE BLUE BAG 470X750MM</v>
      </c>
      <c r="H1308" s="1" t="s">
        <v>1323</v>
      </c>
      <c r="I1308" s="1" t="str">
        <f>VLOOKUP(F1308,'RM Used'!B:D,3,0)</f>
        <v>RM-PACKING</v>
      </c>
      <c r="J1308" s="66">
        <v>1</v>
      </c>
      <c r="K1308" s="35" t="str">
        <f t="shared" si="372"/>
        <v/>
      </c>
      <c r="L1308" s="35">
        <f t="shared" si="381"/>
        <v>0</v>
      </c>
      <c r="M1308" s="77" t="str" cm="1">
        <f t="array" ref="M1308">_xlfn.IFS(BOM!I1308="RM-PACKING","100%",B1308="Reynolds",VLOOKUP(H1308,'Yield &amp; Time'!A:V,22,0),BOM!B1308="Dnata",VLOOKUP(BOM!H1308,'Yield &amp; Time'!A:M,13,0),B1308="NK",VLOOKUP(H1308,'Yield &amp; Time'!A:X,24,0))</f>
        <v>100%</v>
      </c>
      <c r="N1308" s="35">
        <f t="shared" si="380"/>
        <v>1</v>
      </c>
      <c r="O1308" s="1" t="str">
        <f>VLOOKUP(H1308,'RM Used'!A:E,5,0)</f>
        <v>Count</v>
      </c>
      <c r="P1308" s="11">
        <f>VLOOKUP(H1308,'RM Used'!A:F,6,0)</f>
        <v>0.14000000000000001</v>
      </c>
      <c r="Q1308" s="11">
        <f t="shared" si="390"/>
        <v>0.14000000000000001</v>
      </c>
      <c r="R1308" s="11">
        <f>IFERROR(IF(B1308="Reynolds",VLOOKUP(H1308,'Yield &amp; Time'!A:U,21,0),VLOOKUP(H1308,'Yield &amp; Time'!A:L,12,0)),0)</f>
        <v>0</v>
      </c>
      <c r="S1308" s="11">
        <f t="shared" si="382"/>
        <v>0</v>
      </c>
      <c r="T1308" s="11">
        <f t="shared" si="383"/>
        <v>0</v>
      </c>
      <c r="U1308" s="11">
        <f>IF(A1307=A1308,0,VLOOKUP(A1308,'Packing Time'!A:F,6,0))</f>
        <v>0</v>
      </c>
      <c r="V1308" s="11">
        <f t="shared" si="373"/>
        <v>0</v>
      </c>
      <c r="W1308" s="11">
        <f t="shared" si="374"/>
        <v>0</v>
      </c>
      <c r="X1308" s="11">
        <f t="shared" si="384"/>
        <v>0</v>
      </c>
      <c r="Y1308" s="11">
        <f t="shared" si="375"/>
        <v>0</v>
      </c>
      <c r="Z1308" s="37">
        <v>1</v>
      </c>
      <c r="AA1308" s="36">
        <f t="shared" si="385"/>
        <v>1</v>
      </c>
      <c r="AB1308" s="36">
        <f t="shared" si="386"/>
        <v>0.14000000000000001</v>
      </c>
      <c r="AC1308" s="11">
        <f t="shared" si="387"/>
        <v>0</v>
      </c>
      <c r="AD1308" s="36">
        <f t="shared" si="376"/>
        <v>0</v>
      </c>
      <c r="AE1308" s="36"/>
      <c r="AF1308" s="36">
        <f>IFERROR(VLOOKUP(AE1308,'Chemical Cost'!A:D,4,0),0)</f>
        <v>0</v>
      </c>
      <c r="AG1308" s="114">
        <f t="shared" si="388"/>
        <v>0</v>
      </c>
      <c r="AH1308" s="36">
        <f t="shared" si="391"/>
        <v>0</v>
      </c>
      <c r="AI1308" s="36">
        <f t="shared" si="377"/>
        <v>0.14000000000000001</v>
      </c>
      <c r="AJ1308" s="36">
        <f>IFERROR(VLOOKUP(A1308,'All Products'!A:F,6,0),0)</f>
        <v>12.85</v>
      </c>
      <c r="AK1308" s="36"/>
      <c r="AL1308" s="23">
        <v>1</v>
      </c>
      <c r="AM1308" s="23"/>
      <c r="AN1308" s="54" t="e">
        <v>#N/A</v>
      </c>
      <c r="AO1308" s="47"/>
      <c r="AP1308" s="4">
        <v>1.6</v>
      </c>
      <c r="AQ1308" s="111">
        <f t="shared" si="389"/>
        <v>0</v>
      </c>
      <c r="AR1308">
        <f>_xlfn.XLOOKUP(F1308,'RM Cost'!A:A,'RM Cost'!S:S)</f>
        <v>0</v>
      </c>
      <c r="AS1308" t="e">
        <f>_xlfn.XLOOKUP(A1308,[3]Sheet1!$B:$B,[3]Sheet1!$B:$B)</f>
        <v>#N/A</v>
      </c>
    </row>
    <row r="1309" spans="1:46" x14ac:dyDescent="0.25">
      <c r="A1309" s="15" t="s">
        <v>92</v>
      </c>
      <c r="B1309" s="2" t="s">
        <v>552</v>
      </c>
      <c r="C1309" s="2" t="s">
        <v>93</v>
      </c>
      <c r="D1309" s="2" t="s">
        <v>554</v>
      </c>
      <c r="E1309" s="2">
        <v>5</v>
      </c>
      <c r="F1309" s="1" t="str">
        <f>VLOOKUP(H1309,'RM Used'!A:B,2,0)</f>
        <v>3210CS</v>
      </c>
      <c r="G1309" s="1" t="str">
        <f>IFERROR(VLOOKUP(F1309,'RM Cost'!A:B,2,0),"")</f>
        <v>RM - POTATOES WARE 25KG</v>
      </c>
      <c r="H1309" s="2" t="s">
        <v>1639</v>
      </c>
      <c r="I1309" s="1" t="str">
        <f>VLOOKUP(F1309,'RM Used'!B:D,3,0)</f>
        <v>RM-FOOD</v>
      </c>
      <c r="J1309" s="66">
        <v>1</v>
      </c>
      <c r="K1309" s="35">
        <f t="shared" si="372"/>
        <v>5</v>
      </c>
      <c r="L1309" s="35">
        <f t="shared" si="381"/>
        <v>5</v>
      </c>
      <c r="M1309" s="77" cm="1">
        <f t="array" ref="M1309">_xlfn.IFS(BOM!I1309="RM-PACKING","100%",B1309="Reynolds",VLOOKUP(H1309,'Yield &amp; Time'!A:V,22,0),BOM!B1309="Dnata",VLOOKUP(BOM!H1309,'Yield &amp; Time'!A:M,13,0),B1309="NK",VLOOKUP(H1309,'Yield &amp; Time'!A:X,24,0))</f>
        <v>0.65764406779661022</v>
      </c>
      <c r="N1309" s="35">
        <f t="shared" si="380"/>
        <v>7.602896832555861</v>
      </c>
      <c r="O1309" s="1" t="str">
        <f>VLOOKUP(H1309,'RM Used'!A:E,5,0)</f>
        <v>KG</v>
      </c>
      <c r="P1309" s="11">
        <f>VLOOKUP(H1309,'RM Used'!A:F,6,0)</f>
        <v>0.27</v>
      </c>
      <c r="Q1309" s="11">
        <f t="shared" si="390"/>
        <v>2.0527821447900827</v>
      </c>
      <c r="R1309" s="11">
        <f>IFERROR(IF(B1309="Reynolds",VLOOKUP(H1309,'Yield &amp; Time'!A:U,21,0),VLOOKUP(H1309,'Yield &amp; Time'!A:L,12,0)),0)</f>
        <v>2.7983840622664364</v>
      </c>
      <c r="S1309" s="11">
        <f t="shared" si="382"/>
        <v>4.7362650253859426</v>
      </c>
      <c r="T1309" s="11">
        <f t="shared" si="383"/>
        <v>0.23319867185553636</v>
      </c>
      <c r="U1309" s="11">
        <f>IF(A1308=A1309,0,VLOOKUP(A1309,'Packing Time'!A:F,6,0))</f>
        <v>1.1850000000000001</v>
      </c>
      <c r="V1309" s="11">
        <f t="shared" si="373"/>
        <v>0.40112249999999999</v>
      </c>
      <c r="W1309" s="11">
        <f t="shared" si="374"/>
        <v>1.975E-2</v>
      </c>
      <c r="X1309" s="11">
        <f t="shared" si="384"/>
        <v>5.6511262779245381</v>
      </c>
      <c r="Y1309" s="11">
        <f t="shared" si="375"/>
        <v>5.6511262779245381</v>
      </c>
      <c r="Z1309" s="37">
        <v>1</v>
      </c>
      <c r="AA1309" s="36">
        <f t="shared" si="385"/>
        <v>7.602896832555861</v>
      </c>
      <c r="AB1309" s="36">
        <f t="shared" si="386"/>
        <v>2.0527821447900827</v>
      </c>
      <c r="AC1309" s="11">
        <f t="shared" si="387"/>
        <v>0.27824353904109006</v>
      </c>
      <c r="AD1309" s="36">
        <f t="shared" si="376"/>
        <v>5.651126277924539</v>
      </c>
      <c r="AE1309" s="36" t="str">
        <f>VLOOKUP(H1309,'Yield &amp; Time'!A:R,18,0)</f>
        <v>SODIUM METABISULPHITE</v>
      </c>
      <c r="AF1309" s="36">
        <f>IFERROR(VLOOKUP(AE1309,'Chemical Cost'!A:D,4,0),0)</f>
        <v>9.7586225455882462E-3</v>
      </c>
      <c r="AG1309" s="114">
        <f t="shared" si="388"/>
        <v>2.4731266813987032E-2</v>
      </c>
      <c r="AH1309" s="36">
        <f t="shared" si="391"/>
        <v>2.4731266813987032E-2</v>
      </c>
      <c r="AI1309" s="36">
        <f t="shared" si="377"/>
        <v>7.7286396895286078</v>
      </c>
      <c r="AJ1309" s="36">
        <f>IFERROR(VLOOKUP(A1309,'All Products'!A:F,6,0),0)</f>
        <v>9.36</v>
      </c>
      <c r="AK1309" s="36">
        <f>AJ1309*Z1309*J1309</f>
        <v>9.36</v>
      </c>
      <c r="AL1309" s="23">
        <v>1</v>
      </c>
      <c r="AM1309" s="23"/>
      <c r="AN1309" s="54" t="e">
        <v>#N/A</v>
      </c>
      <c r="AO1309" s="47"/>
      <c r="AP1309" s="4">
        <v>1.1000000000000001</v>
      </c>
      <c r="AQ1309" s="111">
        <f t="shared" si="389"/>
        <v>0.27824353904109006</v>
      </c>
      <c r="AR1309">
        <f>_xlfn.XLOOKUP(F1309,'RM Cost'!A:A,'RM Cost'!S:S)</f>
        <v>0</v>
      </c>
      <c r="AS1309" t="str">
        <f>_xlfn.XLOOKUP(A1309,[3]Sheet1!$B:$B,[3]Sheet1!$B:$B)</f>
        <v>1052CS</v>
      </c>
      <c r="AT1309">
        <f>_xlfn.XLOOKUP(H1309,'Yield &amp; Time'!A:A,'Yield &amp; Time'!F:F)</f>
        <v>0</v>
      </c>
    </row>
    <row r="1310" spans="1:46" x14ac:dyDescent="0.25">
      <c r="A1310" s="15" t="s">
        <v>92</v>
      </c>
      <c r="B1310" s="2" t="s">
        <v>552</v>
      </c>
      <c r="C1310" s="2" t="s">
        <v>93</v>
      </c>
      <c r="D1310" s="2" t="s">
        <v>554</v>
      </c>
      <c r="E1310" s="2">
        <v>5</v>
      </c>
      <c r="F1310" s="1" t="str">
        <f>VLOOKUP(H1310,'RM Used'!A:B,2,0)</f>
        <v>P0008</v>
      </c>
      <c r="G1310" s="1" t="str">
        <f>IFERROR(VLOOKUP(F1310,'RM Cost'!A:B,2,0),"")</f>
        <v>PALE BLUE BAG 470X750MM</v>
      </c>
      <c r="H1310" s="1" t="s">
        <v>1323</v>
      </c>
      <c r="I1310" s="1" t="str">
        <f>VLOOKUP(F1310,'RM Used'!B:D,3,0)</f>
        <v>RM-PACKING</v>
      </c>
      <c r="J1310" s="66">
        <v>1</v>
      </c>
      <c r="K1310" s="35" t="str">
        <f t="shared" ref="K1310:K1379" si="392">IF(I1310="RM-FOOD",J1310*E1310,"")</f>
        <v/>
      </c>
      <c r="L1310" s="35">
        <f t="shared" si="381"/>
        <v>0</v>
      </c>
      <c r="M1310" s="77" t="str" cm="1">
        <f t="array" ref="M1310">_xlfn.IFS(BOM!I1310="RM-PACKING","100%",B1310="Reynolds",VLOOKUP(H1310,'Yield &amp; Time'!A:V,22,0),BOM!B1310="Dnata",VLOOKUP(BOM!H1310,'Yield &amp; Time'!A:M,13,0),B1310="NK",VLOOKUP(H1310,'Yield &amp; Time'!A:X,24,0))</f>
        <v>100%</v>
      </c>
      <c r="N1310" s="35">
        <f t="shared" si="380"/>
        <v>1</v>
      </c>
      <c r="O1310" s="1" t="str">
        <f>VLOOKUP(H1310,'RM Used'!A:E,5,0)</f>
        <v>Count</v>
      </c>
      <c r="P1310" s="11">
        <f>VLOOKUP(H1310,'RM Used'!A:F,6,0)</f>
        <v>0.14000000000000001</v>
      </c>
      <c r="Q1310" s="11">
        <f t="shared" si="390"/>
        <v>0.14000000000000001</v>
      </c>
      <c r="R1310" s="11">
        <f>IFERROR(IF(B1310="Reynolds",VLOOKUP(H1310,'Yield &amp; Time'!A:U,21,0),VLOOKUP(H1310,'Yield &amp; Time'!A:L,12,0)),0)</f>
        <v>0</v>
      </c>
      <c r="S1310" s="11">
        <f t="shared" si="382"/>
        <v>0</v>
      </c>
      <c r="T1310" s="11">
        <f t="shared" si="383"/>
        <v>0</v>
      </c>
      <c r="U1310" s="11">
        <f>IF(A1309=A1310,0,VLOOKUP(A1310,'Packing Time'!A:F,6,0))</f>
        <v>0</v>
      </c>
      <c r="V1310" s="11">
        <f t="shared" si="373"/>
        <v>0</v>
      </c>
      <c r="W1310" s="11">
        <f t="shared" si="374"/>
        <v>0</v>
      </c>
      <c r="X1310" s="11">
        <f t="shared" si="384"/>
        <v>0</v>
      </c>
      <c r="Y1310" s="11">
        <f t="shared" si="375"/>
        <v>0</v>
      </c>
      <c r="Z1310" s="37">
        <v>1</v>
      </c>
      <c r="AA1310" s="36">
        <f t="shared" si="385"/>
        <v>1</v>
      </c>
      <c r="AB1310" s="36">
        <f t="shared" si="386"/>
        <v>0.14000000000000001</v>
      </c>
      <c r="AC1310" s="11">
        <f t="shared" si="387"/>
        <v>0</v>
      </c>
      <c r="AD1310" s="36">
        <f t="shared" si="376"/>
        <v>0</v>
      </c>
      <c r="AE1310" s="36"/>
      <c r="AF1310" s="36">
        <f>IFERROR(VLOOKUP(AE1310,'Chemical Cost'!A:D,4,0),0)</f>
        <v>0</v>
      </c>
      <c r="AG1310" s="114">
        <f t="shared" si="388"/>
        <v>0</v>
      </c>
      <c r="AH1310" s="36">
        <f t="shared" si="391"/>
        <v>0</v>
      </c>
      <c r="AI1310" s="36">
        <f t="shared" si="377"/>
        <v>0.14000000000000001</v>
      </c>
      <c r="AJ1310" s="36">
        <f>IFERROR(VLOOKUP(A1310,'All Products'!A:F,6,0),0)</f>
        <v>9.36</v>
      </c>
      <c r="AK1310" s="36"/>
      <c r="AL1310" s="23">
        <v>1</v>
      </c>
      <c r="AM1310" s="23"/>
      <c r="AN1310" s="54" t="e">
        <v>#N/A</v>
      </c>
      <c r="AO1310" s="47"/>
      <c r="AP1310" s="4">
        <v>1.1000000000000001</v>
      </c>
      <c r="AQ1310" s="111">
        <f t="shared" si="389"/>
        <v>0</v>
      </c>
      <c r="AR1310">
        <f>_xlfn.XLOOKUP(F1310,'RM Cost'!A:A,'RM Cost'!S:S)</f>
        <v>0</v>
      </c>
      <c r="AS1310" t="str">
        <f>_xlfn.XLOOKUP(A1310,[3]Sheet1!$B:$B,[3]Sheet1!$B:$B)</f>
        <v>1052CS</v>
      </c>
      <c r="AT1310" t="e">
        <f>_xlfn.XLOOKUP(H1310,'Yield &amp; Time'!A:A,'Yield &amp; Time'!F:F)</f>
        <v>#N/A</v>
      </c>
    </row>
    <row r="1311" spans="1:46" x14ac:dyDescent="0.25">
      <c r="A1311" s="2" t="s">
        <v>92</v>
      </c>
      <c r="B1311" s="2" t="s">
        <v>552</v>
      </c>
      <c r="C1311" s="2" t="s">
        <v>93</v>
      </c>
      <c r="D1311" s="2" t="s">
        <v>554</v>
      </c>
      <c r="E1311" s="2">
        <v>5</v>
      </c>
      <c r="F1311" s="1" t="str">
        <f>VLOOKUP(H1311,'RM Used'!A:B,2,0)</f>
        <v>P0016</v>
      </c>
      <c r="G1311" s="1" t="str">
        <f>IFERROR(VLOOKUP(F1311,'RM Cost'!A:B,2,0),"")</f>
        <v>REY 40 30 BOX</v>
      </c>
      <c r="H1311" s="1" t="s">
        <v>1332</v>
      </c>
      <c r="I1311" s="1" t="str">
        <f>VLOOKUP(F1311,'RM Used'!B:D,3,0)</f>
        <v>RM-PACKING</v>
      </c>
      <c r="J1311" s="66">
        <v>1</v>
      </c>
      <c r="K1311" s="35" t="str">
        <f t="shared" si="392"/>
        <v/>
      </c>
      <c r="L1311" s="35">
        <f t="shared" si="381"/>
        <v>0</v>
      </c>
      <c r="M1311" s="77" t="str" cm="1">
        <f t="array" ref="M1311">_xlfn.IFS(BOM!I1311="RM-PACKING","100%",B1311="Reynolds",VLOOKUP(H1311,'Yield &amp; Time'!A:V,22,0),BOM!B1311="Dnata",VLOOKUP(BOM!H1311,'Yield &amp; Time'!A:M,13,0),B1311="NK",VLOOKUP(H1311,'Yield &amp; Time'!A:X,24,0))</f>
        <v>100%</v>
      </c>
      <c r="N1311" s="35">
        <f t="shared" si="380"/>
        <v>1</v>
      </c>
      <c r="O1311" s="1" t="str">
        <f>VLOOKUP(H1311,'RM Used'!A:E,5,0)</f>
        <v>Count</v>
      </c>
      <c r="P1311" s="11">
        <f>VLOOKUP(H1311,'RM Used'!A:F,6,0)</f>
        <v>0.28000000000000003</v>
      </c>
      <c r="Q1311" s="11">
        <f t="shared" si="390"/>
        <v>0.28000000000000003</v>
      </c>
      <c r="R1311" s="11">
        <f>IFERROR(IF(B1311="Reynolds",VLOOKUP(H1311,'Yield &amp; Time'!A:U,21,0),VLOOKUP(H1311,'Yield &amp; Time'!A:L,12,0)),0)</f>
        <v>0</v>
      </c>
      <c r="S1311" s="11">
        <f t="shared" si="382"/>
        <v>0</v>
      </c>
      <c r="T1311" s="11">
        <f t="shared" si="383"/>
        <v>0</v>
      </c>
      <c r="U1311" s="11">
        <f>IF(A1310=A1311,0,VLOOKUP(A1311,'Packing Time'!A:F,6,0))</f>
        <v>0</v>
      </c>
      <c r="V1311" s="11">
        <f t="shared" ref="V1311:V1377" si="393">U1311*AO$1</f>
        <v>0</v>
      </c>
      <c r="W1311" s="11">
        <f t="shared" ref="W1311:W1377" si="394">(U1311*Z1311)/60</f>
        <v>0</v>
      </c>
      <c r="X1311" s="11">
        <f t="shared" si="384"/>
        <v>0</v>
      </c>
      <c r="Y1311" s="11">
        <f t="shared" ref="Y1311:Y1377" si="395">X1311*Z1311</f>
        <v>0</v>
      </c>
      <c r="Z1311" s="37">
        <v>1</v>
      </c>
      <c r="AA1311" s="36">
        <f t="shared" si="385"/>
        <v>1</v>
      </c>
      <c r="AB1311" s="36">
        <f t="shared" si="386"/>
        <v>0.28000000000000003</v>
      </c>
      <c r="AC1311" s="11">
        <f t="shared" si="387"/>
        <v>0</v>
      </c>
      <c r="AD1311" s="36">
        <f t="shared" ref="AD1311:AD1377" si="396">AC1311*60*AO$1</f>
        <v>0</v>
      </c>
      <c r="AE1311" s="36"/>
      <c r="AF1311" s="36">
        <f>IFERROR(VLOOKUP(AE1311,'Chemical Cost'!A:D,4,0),0)</f>
        <v>0</v>
      </c>
      <c r="AG1311" s="114">
        <f t="shared" si="388"/>
        <v>0</v>
      </c>
      <c r="AH1311" s="36">
        <f t="shared" si="391"/>
        <v>0</v>
      </c>
      <c r="AI1311" s="36">
        <f t="shared" ref="AI1311:AI1377" si="397">IFERROR((Q1311*Z1311)+(Z1311*X1311)+AH1311,0)</f>
        <v>0.28000000000000003</v>
      </c>
      <c r="AJ1311" s="36">
        <f>IFERROR(VLOOKUP(A1311,'All Products'!A:F,6,0),0)</f>
        <v>9.36</v>
      </c>
      <c r="AK1311" s="36"/>
      <c r="AL1311" s="23">
        <v>1</v>
      </c>
      <c r="AM1311" s="23"/>
      <c r="AN1311" s="54" t="e">
        <v>#N/A</v>
      </c>
      <c r="AO1311" s="47"/>
      <c r="AP1311" s="4">
        <v>1.1000000000000001</v>
      </c>
      <c r="AQ1311" s="111">
        <f t="shared" si="389"/>
        <v>0</v>
      </c>
      <c r="AR1311">
        <f>_xlfn.XLOOKUP(F1311,'RM Cost'!A:A,'RM Cost'!S:S)</f>
        <v>0</v>
      </c>
      <c r="AS1311" t="str">
        <f>_xlfn.XLOOKUP(A1311,[3]Sheet1!$B:$B,[3]Sheet1!$B:$B)</f>
        <v>1052CS</v>
      </c>
      <c r="AT1311" t="e">
        <f>_xlfn.XLOOKUP(H1311,'Yield &amp; Time'!A:A,'Yield &amp; Time'!F:F)</f>
        <v>#N/A</v>
      </c>
    </row>
    <row r="1312" spans="1:46" x14ac:dyDescent="0.25">
      <c r="A1312" s="15" t="s">
        <v>512</v>
      </c>
      <c r="B1312" s="2" t="s">
        <v>552</v>
      </c>
      <c r="C1312" s="2" t="s">
        <v>513</v>
      </c>
      <c r="D1312" s="2" t="s">
        <v>554</v>
      </c>
      <c r="E1312" s="2">
        <v>5</v>
      </c>
      <c r="F1312" s="1" t="str">
        <f>VLOOKUP(H1312,'RM Used'!A:B,2,0)</f>
        <v>3210CS</v>
      </c>
      <c r="G1312" s="1" t="str">
        <f>IFERROR(VLOOKUP(F1312,'RM Cost'!A:B,2,0),"")</f>
        <v>RM - POTATOES WARE 25KG</v>
      </c>
      <c r="H1312" s="2" t="s">
        <v>1640</v>
      </c>
      <c r="I1312" s="1" t="str">
        <f>VLOOKUP(F1312,'RM Used'!B:D,3,0)</f>
        <v>RM-FOOD</v>
      </c>
      <c r="J1312" s="66">
        <v>1</v>
      </c>
      <c r="K1312" s="35">
        <f t="shared" si="392"/>
        <v>5</v>
      </c>
      <c r="L1312" s="35">
        <f t="shared" si="381"/>
        <v>5</v>
      </c>
      <c r="M1312" s="77" cm="1">
        <f t="array" ref="M1312">_xlfn.IFS(BOM!I1312="RM-PACKING","100%",B1312="Reynolds",VLOOKUP(H1312,'Yield &amp; Time'!A:V,22,0),BOM!B1312="Dnata",VLOOKUP(BOM!H1312,'Yield &amp; Time'!A:M,13,0),B1312="NK",VLOOKUP(H1312,'Yield &amp; Time'!A:X,24,0))</f>
        <v>0.65254237288135597</v>
      </c>
      <c r="N1312" s="35">
        <f t="shared" si="380"/>
        <v>7.662337662337662</v>
      </c>
      <c r="O1312" s="1" t="str">
        <f>VLOOKUP(H1312,'RM Used'!A:E,5,0)</f>
        <v>KG</v>
      </c>
      <c r="P1312" s="11">
        <f>VLOOKUP(H1312,'RM Used'!A:F,6,0)</f>
        <v>0.27</v>
      </c>
      <c r="Q1312" s="11">
        <f t="shared" si="390"/>
        <v>2.0688311688311689</v>
      </c>
      <c r="R1312" s="11">
        <f>IFERROR(IF(B1312="Reynolds",VLOOKUP(H1312,'Yield &amp; Time'!A:U,21,0),VLOOKUP(H1312,'Yield &amp; Time'!A:L,12,0)),0)</f>
        <v>2.7406926406926404</v>
      </c>
      <c r="S1312" s="11">
        <f t="shared" si="382"/>
        <v>4.6386222943722935</v>
      </c>
      <c r="T1312" s="11">
        <f t="shared" si="383"/>
        <v>0.22839105339105334</v>
      </c>
      <c r="U1312" s="11">
        <f>IF(A1311=A1312,0,VLOOKUP(A1312,'Packing Time'!A:F,6,0))</f>
        <v>1.1850000000000001</v>
      </c>
      <c r="V1312" s="11">
        <f t="shared" si="393"/>
        <v>0.40112249999999999</v>
      </c>
      <c r="W1312" s="11">
        <f t="shared" si="394"/>
        <v>1.975E-2</v>
      </c>
      <c r="X1312" s="11">
        <f t="shared" si="384"/>
        <v>7.0556427121212097</v>
      </c>
      <c r="Y1312" s="11">
        <f t="shared" si="395"/>
        <v>7.0556427121212097</v>
      </c>
      <c r="Z1312" s="37">
        <v>1</v>
      </c>
      <c r="AA1312" s="36">
        <f t="shared" si="385"/>
        <v>7.662337662337662</v>
      </c>
      <c r="AB1312" s="36">
        <f t="shared" si="386"/>
        <v>2.0688311688311689</v>
      </c>
      <c r="AC1312" s="11">
        <f t="shared" si="387"/>
        <v>0.34739747474747468</v>
      </c>
      <c r="AD1312" s="36">
        <f t="shared" si="396"/>
        <v>7.0556427121212097</v>
      </c>
      <c r="AE1312" s="36" t="str">
        <f>VLOOKUP(H1312,'Yield &amp; Time'!A:R,18,0)</f>
        <v>SODIUM METABISULPHITE</v>
      </c>
      <c r="AF1312" s="36">
        <f>IFERROR(VLOOKUP(AE1312,'Chemical Cost'!A:D,4,0),0)</f>
        <v>9.7586225455882462E-3</v>
      </c>
      <c r="AG1312" s="114">
        <f t="shared" si="388"/>
        <v>2.4924620354532748E-2</v>
      </c>
      <c r="AH1312" s="36">
        <f t="shared" si="391"/>
        <v>2.4924620354532748E-2</v>
      </c>
      <c r="AI1312" s="36">
        <f t="shared" si="397"/>
        <v>9.1493985013069121</v>
      </c>
      <c r="AJ1312" s="36">
        <f>IFERROR(VLOOKUP(A1312,'All Products'!A:F,6,0),0)</f>
        <v>9.07</v>
      </c>
      <c r="AK1312" s="36">
        <f>AJ1312*Z1312*J1312</f>
        <v>9.07</v>
      </c>
      <c r="AL1312" s="23">
        <v>1</v>
      </c>
      <c r="AM1312" s="23"/>
      <c r="AN1312" s="54" t="e">
        <v>#N/A</v>
      </c>
      <c r="AO1312" s="47"/>
      <c r="AP1312" s="4">
        <v>1.4</v>
      </c>
      <c r="AQ1312" s="111">
        <f t="shared" si="389"/>
        <v>0.34739747474747468</v>
      </c>
      <c r="AR1312">
        <f>_xlfn.XLOOKUP(F1312,'RM Cost'!A:A,'RM Cost'!S:S)</f>
        <v>0</v>
      </c>
      <c r="AS1312" t="str">
        <f>_xlfn.XLOOKUP(A1312,[3]Sheet1!$B:$B,[3]Sheet1!$B:$B)</f>
        <v>1033CS</v>
      </c>
      <c r="AT1312">
        <f>_xlfn.XLOOKUP(H1312,'Yield &amp; Time'!A:A,'Yield &amp; Time'!F:F)</f>
        <v>0</v>
      </c>
    </row>
    <row r="1313" spans="1:46" x14ac:dyDescent="0.25">
      <c r="A1313" s="15" t="s">
        <v>512</v>
      </c>
      <c r="B1313" s="2" t="s">
        <v>552</v>
      </c>
      <c r="C1313" s="2" t="s">
        <v>513</v>
      </c>
      <c r="D1313" s="2" t="s">
        <v>554</v>
      </c>
      <c r="E1313" s="2">
        <v>5</v>
      </c>
      <c r="F1313" s="1" t="str">
        <f>VLOOKUP(H1313,'RM Used'!A:B,2,0)</f>
        <v>P0008</v>
      </c>
      <c r="G1313" s="1" t="str">
        <f>IFERROR(VLOOKUP(F1313,'RM Cost'!A:B,2,0),"")</f>
        <v>PALE BLUE BAG 470X750MM</v>
      </c>
      <c r="H1313" s="1" t="s">
        <v>1323</v>
      </c>
      <c r="I1313" s="1" t="str">
        <f>VLOOKUP(F1313,'RM Used'!B:D,3,0)</f>
        <v>RM-PACKING</v>
      </c>
      <c r="J1313" s="66">
        <v>1</v>
      </c>
      <c r="K1313" s="35" t="str">
        <f t="shared" si="392"/>
        <v/>
      </c>
      <c r="L1313" s="35">
        <f t="shared" si="381"/>
        <v>0</v>
      </c>
      <c r="M1313" s="77" t="str" cm="1">
        <f t="array" ref="M1313">_xlfn.IFS(BOM!I1313="RM-PACKING","100%",B1313="Reynolds",VLOOKUP(H1313,'Yield &amp; Time'!A:V,22,0),BOM!B1313="Dnata",VLOOKUP(BOM!H1313,'Yield &amp; Time'!A:M,13,0),B1313="NK",VLOOKUP(H1313,'Yield &amp; Time'!A:X,24,0))</f>
        <v>100%</v>
      </c>
      <c r="N1313" s="35">
        <f t="shared" si="380"/>
        <v>1</v>
      </c>
      <c r="O1313" s="1" t="str">
        <f>VLOOKUP(H1313,'RM Used'!A:E,5,0)</f>
        <v>Count</v>
      </c>
      <c r="P1313" s="11">
        <f>VLOOKUP(H1313,'RM Used'!A:F,6,0)</f>
        <v>0.14000000000000001</v>
      </c>
      <c r="Q1313" s="11">
        <f t="shared" si="390"/>
        <v>0.14000000000000001</v>
      </c>
      <c r="R1313" s="11">
        <f>IFERROR(IF(B1313="Reynolds",VLOOKUP(H1313,'Yield &amp; Time'!A:U,21,0),VLOOKUP(H1313,'Yield &amp; Time'!A:L,12,0)),0)</f>
        <v>0</v>
      </c>
      <c r="S1313" s="11">
        <f t="shared" si="382"/>
        <v>0</v>
      </c>
      <c r="T1313" s="11">
        <f t="shared" si="383"/>
        <v>0</v>
      </c>
      <c r="U1313" s="11">
        <f>IF(A1312=A1313,0,VLOOKUP(A1313,'Packing Time'!A:F,6,0))</f>
        <v>0</v>
      </c>
      <c r="V1313" s="11">
        <f t="shared" si="393"/>
        <v>0</v>
      </c>
      <c r="W1313" s="11">
        <f t="shared" si="394"/>
        <v>0</v>
      </c>
      <c r="X1313" s="11">
        <f t="shared" si="384"/>
        <v>0</v>
      </c>
      <c r="Y1313" s="11">
        <f t="shared" si="395"/>
        <v>0</v>
      </c>
      <c r="Z1313" s="37">
        <v>1</v>
      </c>
      <c r="AA1313" s="36">
        <f t="shared" si="385"/>
        <v>1</v>
      </c>
      <c r="AB1313" s="36">
        <f t="shared" si="386"/>
        <v>0.14000000000000001</v>
      </c>
      <c r="AC1313" s="11">
        <f t="shared" si="387"/>
        <v>0</v>
      </c>
      <c r="AD1313" s="36">
        <f t="shared" si="396"/>
        <v>0</v>
      </c>
      <c r="AE1313" s="36"/>
      <c r="AF1313" s="36">
        <f>IFERROR(VLOOKUP(AE1313,'Chemical Cost'!A:D,4,0),0)</f>
        <v>0</v>
      </c>
      <c r="AG1313" s="114">
        <f t="shared" si="388"/>
        <v>0</v>
      </c>
      <c r="AH1313" s="36">
        <f t="shared" si="391"/>
        <v>0</v>
      </c>
      <c r="AI1313" s="36">
        <f t="shared" si="397"/>
        <v>0.14000000000000001</v>
      </c>
      <c r="AJ1313" s="36">
        <f>IFERROR(VLOOKUP(A1313,'All Products'!A:F,6,0),0)</f>
        <v>9.07</v>
      </c>
      <c r="AK1313" s="36"/>
      <c r="AL1313" s="23">
        <v>1</v>
      </c>
      <c r="AM1313" s="23"/>
      <c r="AN1313" s="54" t="e">
        <v>#N/A</v>
      </c>
      <c r="AO1313" s="47"/>
      <c r="AP1313" s="4">
        <v>1.4</v>
      </c>
      <c r="AQ1313" s="111">
        <f t="shared" si="389"/>
        <v>0</v>
      </c>
      <c r="AR1313">
        <f>_xlfn.XLOOKUP(F1313,'RM Cost'!A:A,'RM Cost'!S:S)</f>
        <v>0</v>
      </c>
      <c r="AS1313" t="str">
        <f>_xlfn.XLOOKUP(A1313,[3]Sheet1!$B:$B,[3]Sheet1!$B:$B)</f>
        <v>1033CS</v>
      </c>
      <c r="AT1313" t="e">
        <f>_xlfn.XLOOKUP(H1313,'Yield &amp; Time'!A:A,'Yield &amp; Time'!F:F)</f>
        <v>#N/A</v>
      </c>
    </row>
    <row r="1314" spans="1:46" x14ac:dyDescent="0.25">
      <c r="A1314" s="2" t="s">
        <v>512</v>
      </c>
      <c r="B1314" s="2" t="s">
        <v>552</v>
      </c>
      <c r="C1314" s="2" t="s">
        <v>513</v>
      </c>
      <c r="D1314" s="2" t="s">
        <v>554</v>
      </c>
      <c r="E1314" s="2">
        <v>5</v>
      </c>
      <c r="F1314" s="1" t="str">
        <f>VLOOKUP(H1314,'RM Used'!A:B,2,0)</f>
        <v>P0016</v>
      </c>
      <c r="G1314" s="1" t="str">
        <f>IFERROR(VLOOKUP(F1314,'RM Cost'!A:B,2,0),"")</f>
        <v>REY 40 30 BOX</v>
      </c>
      <c r="H1314" s="1" t="s">
        <v>1332</v>
      </c>
      <c r="I1314" s="1" t="str">
        <f>VLOOKUP(F1314,'RM Used'!B:D,3,0)</f>
        <v>RM-PACKING</v>
      </c>
      <c r="J1314" s="66">
        <v>1</v>
      </c>
      <c r="K1314" s="35" t="str">
        <f t="shared" si="392"/>
        <v/>
      </c>
      <c r="L1314" s="35">
        <f t="shared" si="381"/>
        <v>0</v>
      </c>
      <c r="M1314" s="77" t="str" cm="1">
        <f t="array" ref="M1314">_xlfn.IFS(BOM!I1314="RM-PACKING","100%",B1314="Reynolds",VLOOKUP(H1314,'Yield &amp; Time'!A:V,22,0),BOM!B1314="Dnata",VLOOKUP(BOM!H1314,'Yield &amp; Time'!A:M,13,0),B1314="NK",VLOOKUP(H1314,'Yield &amp; Time'!A:X,24,0))</f>
        <v>100%</v>
      </c>
      <c r="N1314" s="35">
        <f t="shared" si="380"/>
        <v>1</v>
      </c>
      <c r="O1314" s="1" t="str">
        <f>VLOOKUP(H1314,'RM Used'!A:E,5,0)</f>
        <v>Count</v>
      </c>
      <c r="P1314" s="11">
        <f>VLOOKUP(H1314,'RM Used'!A:F,6,0)</f>
        <v>0.28000000000000003</v>
      </c>
      <c r="Q1314" s="11">
        <f t="shared" si="390"/>
        <v>0.28000000000000003</v>
      </c>
      <c r="R1314" s="11">
        <f>IFERROR(IF(B1314="Reynolds",VLOOKUP(H1314,'Yield &amp; Time'!A:U,21,0),VLOOKUP(H1314,'Yield &amp; Time'!A:L,12,0)),0)</f>
        <v>0</v>
      </c>
      <c r="S1314" s="11">
        <f t="shared" si="382"/>
        <v>0</v>
      </c>
      <c r="T1314" s="11">
        <f t="shared" si="383"/>
        <v>0</v>
      </c>
      <c r="U1314" s="11">
        <f>IF(A1313=A1314,0,VLOOKUP(A1314,'Packing Time'!A:F,6,0))</f>
        <v>0</v>
      </c>
      <c r="V1314" s="11">
        <f t="shared" si="393"/>
        <v>0</v>
      </c>
      <c r="W1314" s="11">
        <f t="shared" si="394"/>
        <v>0</v>
      </c>
      <c r="X1314" s="11">
        <f t="shared" si="384"/>
        <v>0</v>
      </c>
      <c r="Y1314" s="11">
        <f t="shared" si="395"/>
        <v>0</v>
      </c>
      <c r="Z1314" s="37">
        <v>1</v>
      </c>
      <c r="AA1314" s="36">
        <f t="shared" si="385"/>
        <v>1</v>
      </c>
      <c r="AB1314" s="36">
        <f t="shared" si="386"/>
        <v>0.28000000000000003</v>
      </c>
      <c r="AC1314" s="11">
        <f t="shared" si="387"/>
        <v>0</v>
      </c>
      <c r="AD1314" s="36">
        <f t="shared" si="396"/>
        <v>0</v>
      </c>
      <c r="AE1314" s="36"/>
      <c r="AF1314" s="36">
        <f>IFERROR(VLOOKUP(AE1314,'Chemical Cost'!A:D,4,0),0)</f>
        <v>0</v>
      </c>
      <c r="AG1314" s="114">
        <f t="shared" si="388"/>
        <v>0</v>
      </c>
      <c r="AH1314" s="36">
        <f t="shared" si="391"/>
        <v>0</v>
      </c>
      <c r="AI1314" s="36">
        <f t="shared" si="397"/>
        <v>0.28000000000000003</v>
      </c>
      <c r="AJ1314" s="36">
        <f>IFERROR(VLOOKUP(A1314,'All Products'!A:F,6,0),0)</f>
        <v>9.07</v>
      </c>
      <c r="AK1314" s="36"/>
      <c r="AL1314" s="23">
        <v>1</v>
      </c>
      <c r="AM1314" s="23"/>
      <c r="AN1314" s="54" t="e">
        <v>#N/A</v>
      </c>
      <c r="AO1314" s="47"/>
      <c r="AP1314" s="4">
        <v>1.4</v>
      </c>
      <c r="AQ1314" s="111">
        <f t="shared" si="389"/>
        <v>0</v>
      </c>
      <c r="AR1314">
        <f>_xlfn.XLOOKUP(F1314,'RM Cost'!A:A,'RM Cost'!S:S)</f>
        <v>0</v>
      </c>
      <c r="AS1314" t="str">
        <f>_xlfn.XLOOKUP(A1314,[3]Sheet1!$B:$B,[3]Sheet1!$B:$B)</f>
        <v>1033CS</v>
      </c>
      <c r="AT1314" t="e">
        <f>_xlfn.XLOOKUP(H1314,'Yield &amp; Time'!A:A,'Yield &amp; Time'!F:F)</f>
        <v>#N/A</v>
      </c>
    </row>
    <row r="1315" spans="1:46" x14ac:dyDescent="0.25">
      <c r="A1315" s="16" t="s">
        <v>1673</v>
      </c>
      <c r="B1315" s="2" t="s">
        <v>552</v>
      </c>
      <c r="C1315" s="2" t="s">
        <v>1087</v>
      </c>
      <c r="D1315" s="2" t="s">
        <v>554</v>
      </c>
      <c r="E1315" s="2">
        <v>5</v>
      </c>
      <c r="F1315" s="1" t="str">
        <f>VLOOKUP(H1315,'RM Used'!A:B,2,0)</f>
        <v>3221CS</v>
      </c>
      <c r="G1315" s="1" t="str">
        <f>IFERROR(VLOOKUP(F1315,'RM Cost'!A:B,2,0),"")</f>
        <v>BAKING POTATO X50 EA</v>
      </c>
      <c r="H1315" s="2" t="s">
        <v>1661</v>
      </c>
      <c r="I1315" s="1" t="str">
        <f>VLOOKUP(F1315,'RM Used'!B:D,3,0)</f>
        <v>RM-FOOD</v>
      </c>
      <c r="J1315" s="74">
        <v>1</v>
      </c>
      <c r="K1315" s="35">
        <f t="shared" si="392"/>
        <v>5</v>
      </c>
      <c r="L1315" s="35">
        <f t="shared" si="381"/>
        <v>5</v>
      </c>
      <c r="M1315" s="77" cm="1">
        <f t="array" ref="M1315">_xlfn.IFS(BOM!I1315="RM-PACKING","100%",B1315="Reynolds",VLOOKUP(H1315,'Yield &amp; Time'!A:V,22,0),BOM!B1315="Dnata",VLOOKUP(BOM!H1315,'Yield &amp; Time'!A:M,13,0),B1315="NK",VLOOKUP(H1315,'Yield &amp; Time'!A:X,24,0))</f>
        <v>0.61216429699842023</v>
      </c>
      <c r="N1315" s="35">
        <f t="shared" si="380"/>
        <v>8.1677419354838712</v>
      </c>
      <c r="O1315" s="1" t="str">
        <f>VLOOKUP(H1315,'RM Used'!A:E,5,0)</f>
        <v>KG</v>
      </c>
      <c r="P1315" s="11">
        <f>VLOOKUP(H1315,'RM Used'!A:F,6,0)</f>
        <v>0.57000000000000006</v>
      </c>
      <c r="Q1315" s="11">
        <f t="shared" si="390"/>
        <v>4.6556129032258067</v>
      </c>
      <c r="R1315" s="11">
        <f>IFERROR(IF(B1315="Reynolds",VLOOKUP(H1315,'Yield &amp; Time'!A:U,21,0),VLOOKUP(H1315,'Yield &amp; Time'!A:L,12,0)),0)</f>
        <v>2.0569892473118276</v>
      </c>
      <c r="S1315" s="11">
        <f t="shared" si="382"/>
        <v>3.4814543010752681</v>
      </c>
      <c r="T1315" s="11">
        <f t="shared" si="383"/>
        <v>0.17141577060931898</v>
      </c>
      <c r="U1315" s="11">
        <f>IF(A1314=A1315,0,VLOOKUP(A1315,'Packing Time'!A:F,6,0))</f>
        <v>1.1850000000000001</v>
      </c>
      <c r="V1315" s="11">
        <f t="shared" si="393"/>
        <v>0.40112249999999999</v>
      </c>
      <c r="W1315" s="11">
        <f t="shared" si="394"/>
        <v>1.975E-2</v>
      </c>
      <c r="X1315" s="11">
        <f t="shared" si="384"/>
        <v>6.212122881720429</v>
      </c>
      <c r="Y1315" s="11">
        <f t="shared" si="395"/>
        <v>6.212122881720429</v>
      </c>
      <c r="Z1315" s="37">
        <v>1</v>
      </c>
      <c r="AA1315" s="36">
        <f t="shared" si="385"/>
        <v>8.1677419354838712</v>
      </c>
      <c r="AB1315" s="36">
        <f t="shared" si="386"/>
        <v>4.6556129032258067</v>
      </c>
      <c r="AC1315" s="11">
        <f t="shared" si="387"/>
        <v>0.30586523297491036</v>
      </c>
      <c r="AD1315" s="36">
        <f t="shared" si="396"/>
        <v>6.212122881720429</v>
      </c>
      <c r="AE1315" s="36" t="str">
        <f>VLOOKUP(H1315,'Yield &amp; Time'!A:R,18,0)</f>
        <v>SODIUM METABISULPHITE</v>
      </c>
      <c r="AF1315" s="36">
        <f>IFERROR(VLOOKUP(AE1315,'Chemical Cost'!A:D,4,0),0)</f>
        <v>9.7586225455882462E-3</v>
      </c>
      <c r="AG1315" s="114">
        <f t="shared" si="388"/>
        <v>2.6568636866053163E-2</v>
      </c>
      <c r="AH1315" s="36">
        <f t="shared" si="391"/>
        <v>2.6568636866053163E-2</v>
      </c>
      <c r="AI1315" s="36">
        <f t="shared" si="397"/>
        <v>10.894304421812288</v>
      </c>
      <c r="AJ1315" s="36">
        <f>IFERROR(VLOOKUP(A1315,'All Products'!A:F,6,0),0)</f>
        <v>10.79</v>
      </c>
      <c r="AK1315" s="36">
        <f>AJ1315*Z1315*J1315</f>
        <v>10.79</v>
      </c>
      <c r="AL1315" s="23">
        <v>1</v>
      </c>
      <c r="AM1315" s="23"/>
      <c r="AN1315" s="54" t="e">
        <v>#N/A</v>
      </c>
      <c r="AO1315" s="47"/>
      <c r="AP1315" s="4">
        <v>1.6</v>
      </c>
      <c r="AQ1315" s="111">
        <f t="shared" si="389"/>
        <v>0.30586523297491036</v>
      </c>
      <c r="AR1315">
        <f>_xlfn.XLOOKUP(F1315,'RM Cost'!A:A,'RM Cost'!S:S)</f>
        <v>0</v>
      </c>
      <c r="AS1315" t="e">
        <f>_xlfn.XLOOKUP(A1315,[3]Sheet1!$B:$B,[3]Sheet1!$B:$B)</f>
        <v>#N/A</v>
      </c>
    </row>
    <row r="1316" spans="1:46" x14ac:dyDescent="0.25">
      <c r="A1316" s="16" t="s">
        <v>1673</v>
      </c>
      <c r="B1316" s="2" t="s">
        <v>552</v>
      </c>
      <c r="C1316" s="2" t="s">
        <v>1087</v>
      </c>
      <c r="D1316" s="2" t="s">
        <v>554</v>
      </c>
      <c r="E1316" s="2">
        <v>5</v>
      </c>
      <c r="F1316" s="1" t="str">
        <f>VLOOKUP(H1316,'RM Used'!A:B,2,0)</f>
        <v>P0008</v>
      </c>
      <c r="G1316" s="1" t="str">
        <f>IFERROR(VLOOKUP(F1316,'RM Cost'!A:B,2,0),"")</f>
        <v>PALE BLUE BAG 470X750MM</v>
      </c>
      <c r="H1316" s="1" t="s">
        <v>1323</v>
      </c>
      <c r="I1316" s="1" t="str">
        <f>VLOOKUP(F1316,'RM Used'!B:D,3,0)</f>
        <v>RM-PACKING</v>
      </c>
      <c r="J1316" s="66">
        <v>1</v>
      </c>
      <c r="K1316" s="35" t="str">
        <f t="shared" si="392"/>
        <v/>
      </c>
      <c r="L1316" s="35">
        <f t="shared" si="381"/>
        <v>0</v>
      </c>
      <c r="M1316" s="77" t="str" cm="1">
        <f t="array" ref="M1316">_xlfn.IFS(BOM!I1316="RM-PACKING","100%",B1316="Reynolds",VLOOKUP(H1316,'Yield &amp; Time'!A:V,22,0),BOM!B1316="Dnata",VLOOKUP(BOM!H1316,'Yield &amp; Time'!A:M,13,0),B1316="NK",VLOOKUP(H1316,'Yield &amp; Time'!A:X,24,0))</f>
        <v>100%</v>
      </c>
      <c r="N1316" s="35">
        <f t="shared" si="380"/>
        <v>1</v>
      </c>
      <c r="O1316" s="1" t="str">
        <f>VLOOKUP(H1316,'RM Used'!A:E,5,0)</f>
        <v>Count</v>
      </c>
      <c r="P1316" s="11">
        <f>VLOOKUP(H1316,'RM Used'!A:F,6,0)</f>
        <v>0.14000000000000001</v>
      </c>
      <c r="Q1316" s="11">
        <f t="shared" si="390"/>
        <v>0.14000000000000001</v>
      </c>
      <c r="R1316" s="11">
        <f>IFERROR(IF(B1316="Reynolds",VLOOKUP(H1316,'Yield &amp; Time'!A:U,21,0),VLOOKUP(H1316,'Yield &amp; Time'!A:L,12,0)),0)</f>
        <v>0</v>
      </c>
      <c r="S1316" s="11">
        <f t="shared" si="382"/>
        <v>0</v>
      </c>
      <c r="T1316" s="11">
        <f t="shared" si="383"/>
        <v>0</v>
      </c>
      <c r="U1316" s="11">
        <f>IF(A1315=A1316,0,VLOOKUP(A1316,'Packing Time'!A:F,6,0))</f>
        <v>0</v>
      </c>
      <c r="V1316" s="11">
        <f t="shared" si="393"/>
        <v>0</v>
      </c>
      <c r="W1316" s="11">
        <f t="shared" si="394"/>
        <v>0</v>
      </c>
      <c r="X1316" s="11">
        <f t="shared" si="384"/>
        <v>0</v>
      </c>
      <c r="Y1316" s="11">
        <f t="shared" si="395"/>
        <v>0</v>
      </c>
      <c r="Z1316" s="37">
        <v>1</v>
      </c>
      <c r="AA1316" s="36">
        <f t="shared" si="385"/>
        <v>1</v>
      </c>
      <c r="AB1316" s="36">
        <f t="shared" si="386"/>
        <v>0.14000000000000001</v>
      </c>
      <c r="AC1316" s="11">
        <f t="shared" si="387"/>
        <v>0</v>
      </c>
      <c r="AD1316" s="36">
        <f t="shared" si="396"/>
        <v>0</v>
      </c>
      <c r="AE1316" s="36"/>
      <c r="AF1316" s="36">
        <f>IFERROR(VLOOKUP(AE1316,'Chemical Cost'!A:D,4,0),0)</f>
        <v>0</v>
      </c>
      <c r="AG1316" s="114">
        <f t="shared" si="388"/>
        <v>0</v>
      </c>
      <c r="AH1316" s="36">
        <f t="shared" si="391"/>
        <v>0</v>
      </c>
      <c r="AI1316" s="36">
        <f t="shared" si="397"/>
        <v>0.14000000000000001</v>
      </c>
      <c r="AJ1316" s="36">
        <f>IFERROR(VLOOKUP(A1316,'All Products'!A:F,6,0),0)</f>
        <v>10.79</v>
      </c>
      <c r="AK1316" s="36"/>
      <c r="AL1316" s="23">
        <v>1</v>
      </c>
      <c r="AM1316" s="23"/>
      <c r="AN1316" s="54" t="e">
        <v>#N/A</v>
      </c>
      <c r="AO1316" s="47"/>
      <c r="AP1316" s="4">
        <v>1.6</v>
      </c>
      <c r="AQ1316" s="111">
        <f t="shared" si="389"/>
        <v>0</v>
      </c>
      <c r="AR1316">
        <f>_xlfn.XLOOKUP(F1316,'RM Cost'!A:A,'RM Cost'!S:S)</f>
        <v>0</v>
      </c>
      <c r="AS1316" t="e">
        <f>_xlfn.XLOOKUP(A1316,[3]Sheet1!$B:$B,[3]Sheet1!$B:$B)</f>
        <v>#N/A</v>
      </c>
    </row>
    <row r="1317" spans="1:46" x14ac:dyDescent="0.25">
      <c r="A1317" s="2" t="s">
        <v>1673</v>
      </c>
      <c r="B1317" s="2" t="s">
        <v>552</v>
      </c>
      <c r="C1317" s="2" t="s">
        <v>1087</v>
      </c>
      <c r="D1317" s="2" t="s">
        <v>554</v>
      </c>
      <c r="E1317" s="2">
        <v>5</v>
      </c>
      <c r="F1317" s="1" t="str">
        <f>VLOOKUP(H1317,'RM Used'!A:B,2,0)</f>
        <v>P0016</v>
      </c>
      <c r="G1317" s="1" t="str">
        <f>IFERROR(VLOOKUP(F1317,'RM Cost'!A:B,2,0),"")</f>
        <v>REY 40 30 BOX</v>
      </c>
      <c r="H1317" s="1" t="s">
        <v>1332</v>
      </c>
      <c r="I1317" s="1" t="str">
        <f>VLOOKUP(F1317,'RM Used'!B:D,3,0)</f>
        <v>RM-PACKING</v>
      </c>
      <c r="J1317" s="66">
        <v>1</v>
      </c>
      <c r="K1317" s="35" t="str">
        <f t="shared" si="392"/>
        <v/>
      </c>
      <c r="L1317" s="35">
        <f t="shared" si="381"/>
        <v>0</v>
      </c>
      <c r="M1317" s="77" t="str" cm="1">
        <f t="array" ref="M1317">_xlfn.IFS(BOM!I1317="RM-PACKING","100%",B1317="Reynolds",VLOOKUP(H1317,'Yield &amp; Time'!A:V,22,0),BOM!B1317="Dnata",VLOOKUP(BOM!H1317,'Yield &amp; Time'!A:M,13,0),B1317="NK",VLOOKUP(H1317,'Yield &amp; Time'!A:X,24,0))</f>
        <v>100%</v>
      </c>
      <c r="N1317" s="35">
        <f t="shared" si="380"/>
        <v>1</v>
      </c>
      <c r="O1317" s="1" t="str">
        <f>VLOOKUP(H1317,'RM Used'!A:E,5,0)</f>
        <v>Count</v>
      </c>
      <c r="P1317" s="11">
        <f>VLOOKUP(H1317,'RM Used'!A:F,6,0)</f>
        <v>0.28000000000000003</v>
      </c>
      <c r="Q1317" s="11">
        <f t="shared" si="390"/>
        <v>0.28000000000000003</v>
      </c>
      <c r="R1317" s="11">
        <f>IFERROR(IF(B1317="Reynolds",VLOOKUP(H1317,'Yield &amp; Time'!A:U,21,0),VLOOKUP(H1317,'Yield &amp; Time'!A:L,12,0)),0)</f>
        <v>0</v>
      </c>
      <c r="S1317" s="11">
        <f t="shared" si="382"/>
        <v>0</v>
      </c>
      <c r="T1317" s="11">
        <f t="shared" si="383"/>
        <v>0</v>
      </c>
      <c r="U1317" s="11">
        <f>IF(A1316=A1317,0,VLOOKUP(A1317,'Packing Time'!A:F,6,0))</f>
        <v>0</v>
      </c>
      <c r="V1317" s="11">
        <f t="shared" si="393"/>
        <v>0</v>
      </c>
      <c r="W1317" s="11">
        <f t="shared" si="394"/>
        <v>0</v>
      </c>
      <c r="X1317" s="11">
        <f t="shared" si="384"/>
        <v>0</v>
      </c>
      <c r="Y1317" s="11">
        <f t="shared" si="395"/>
        <v>0</v>
      </c>
      <c r="Z1317" s="37">
        <v>1</v>
      </c>
      <c r="AA1317" s="36">
        <f t="shared" si="385"/>
        <v>1</v>
      </c>
      <c r="AB1317" s="36">
        <f t="shared" si="386"/>
        <v>0.28000000000000003</v>
      </c>
      <c r="AC1317" s="11">
        <f t="shared" si="387"/>
        <v>0</v>
      </c>
      <c r="AD1317" s="36">
        <f t="shared" si="396"/>
        <v>0</v>
      </c>
      <c r="AE1317" s="36"/>
      <c r="AF1317" s="36">
        <f>IFERROR(VLOOKUP(AE1317,'Chemical Cost'!A:D,4,0),0)</f>
        <v>0</v>
      </c>
      <c r="AG1317" s="114">
        <f t="shared" si="388"/>
        <v>0</v>
      </c>
      <c r="AH1317" s="36">
        <f t="shared" si="391"/>
        <v>0</v>
      </c>
      <c r="AI1317" s="36">
        <f t="shared" si="397"/>
        <v>0.28000000000000003</v>
      </c>
      <c r="AJ1317" s="36">
        <f>IFERROR(VLOOKUP(A1317,'All Products'!A:F,6,0),0)</f>
        <v>10.79</v>
      </c>
      <c r="AK1317" s="36"/>
      <c r="AL1317" s="23">
        <v>1</v>
      </c>
      <c r="AM1317" s="23"/>
      <c r="AN1317" s="54" t="e">
        <v>#N/A</v>
      </c>
      <c r="AO1317" s="47"/>
      <c r="AP1317" s="4">
        <v>1.6</v>
      </c>
      <c r="AQ1317" s="111">
        <f t="shared" si="389"/>
        <v>0</v>
      </c>
      <c r="AR1317">
        <f>_xlfn.XLOOKUP(F1317,'RM Cost'!A:A,'RM Cost'!S:S)</f>
        <v>0</v>
      </c>
      <c r="AS1317" t="e">
        <f>_xlfn.XLOOKUP(A1317,[3]Sheet1!$B:$B,[3]Sheet1!$B:$B)</f>
        <v>#N/A</v>
      </c>
    </row>
    <row r="1318" spans="1:46" x14ac:dyDescent="0.25">
      <c r="A1318" s="16" t="s">
        <v>57</v>
      </c>
      <c r="B1318" s="2" t="s">
        <v>656</v>
      </c>
      <c r="C1318" s="2" t="s">
        <v>58</v>
      </c>
      <c r="D1318" s="2" t="s">
        <v>554</v>
      </c>
      <c r="E1318" s="2">
        <v>2.5</v>
      </c>
      <c r="F1318" s="1" t="str">
        <f>VLOOKUP(H1318,'RM Used'!A:B,2,0)</f>
        <v>3080CS</v>
      </c>
      <c r="G1318" s="1" t="str">
        <f>IFERROR(VLOOKUP(F1318,'RM Cost'!A:B,2,0),"")</f>
        <v>RM - SAVOY CABBAGE 1 X 5KG</v>
      </c>
      <c r="H1318" s="2" t="s">
        <v>1641</v>
      </c>
      <c r="I1318" s="1" t="str">
        <f>VLOOKUP(F1318,'RM Used'!B:D,3,0)</f>
        <v>RM-FOOD</v>
      </c>
      <c r="J1318" s="74">
        <v>1</v>
      </c>
      <c r="K1318" s="35">
        <f t="shared" si="392"/>
        <v>2.5</v>
      </c>
      <c r="L1318" s="35">
        <f t="shared" si="381"/>
        <v>2.5</v>
      </c>
      <c r="M1318" s="77" cm="1">
        <f t="array" ref="M1318">_xlfn.IFS(BOM!I1318="RM-PACKING","100%",B1318="Reynolds",VLOOKUP(H1318,'Yield &amp; Time'!A:V,22,0),BOM!B1318="Dnata",VLOOKUP(BOM!H1318,'Yield &amp; Time'!A:M,13,0),B1318="NK",VLOOKUP(H1318,'Yield &amp; Time'!A:X,24,0))</f>
        <v>0.65384615384615385</v>
      </c>
      <c r="N1318" s="35">
        <f t="shared" si="380"/>
        <v>3.8235294117647056</v>
      </c>
      <c r="O1318" s="1" t="str">
        <f>VLOOKUP(H1318,'RM Used'!A:E,5,0)</f>
        <v>KG</v>
      </c>
      <c r="P1318" s="11">
        <f>VLOOKUP(H1318,'RM Used'!A:F,6,0)</f>
        <v>0.76</v>
      </c>
      <c r="Q1318" s="11">
        <f t="shared" si="390"/>
        <v>2.9058823529411764</v>
      </c>
      <c r="R1318" s="11">
        <f>IFERROR(IF(B1318="Reynolds",VLOOKUP(H1318,'Yield &amp; Time'!A:U,21,0),VLOOKUP(H1318,'Yield &amp; Time'!A:L,12,0)),0)</f>
        <v>2.1176470588235294</v>
      </c>
      <c r="S1318" s="11">
        <f t="shared" si="382"/>
        <v>1.7920588235294115</v>
      </c>
      <c r="T1318" s="11">
        <f t="shared" si="383"/>
        <v>8.8235294117647051E-2</v>
      </c>
      <c r="U1318" s="11">
        <f>IF(A1317=A1318,0,VLOOKUP(A1318,'Packing Time'!A:F,6,0))</f>
        <v>0.875</v>
      </c>
      <c r="V1318" s="11">
        <f t="shared" si="393"/>
        <v>0.29618749999999999</v>
      </c>
      <c r="W1318" s="11">
        <f t="shared" si="394"/>
        <v>1.4583333333333334E-2</v>
      </c>
      <c r="X1318" s="11">
        <f t="shared" si="384"/>
        <v>3.3411941176470585</v>
      </c>
      <c r="Y1318" s="11">
        <f t="shared" si="395"/>
        <v>3.3411941176470585</v>
      </c>
      <c r="Z1318" s="37">
        <v>1</v>
      </c>
      <c r="AA1318" s="36">
        <f t="shared" si="385"/>
        <v>3.8235294117647056</v>
      </c>
      <c r="AB1318" s="36">
        <f t="shared" si="386"/>
        <v>2.9058823529411764</v>
      </c>
      <c r="AC1318" s="11">
        <f t="shared" si="387"/>
        <v>0.16450980392156864</v>
      </c>
      <c r="AD1318" s="36">
        <f t="shared" si="396"/>
        <v>3.3411941176470585</v>
      </c>
      <c r="AE1318" s="36"/>
      <c r="AF1318" s="36">
        <f>IFERROR(VLOOKUP(AE1318,'Chemical Cost'!A:D,4,0),0)</f>
        <v>0</v>
      </c>
      <c r="AG1318" s="114">
        <f t="shared" si="388"/>
        <v>0</v>
      </c>
      <c r="AH1318" s="36">
        <f t="shared" si="391"/>
        <v>0</v>
      </c>
      <c r="AI1318" s="36">
        <f t="shared" si="397"/>
        <v>6.2470764705882349</v>
      </c>
      <c r="AJ1318" s="36">
        <f>IFERROR(VLOOKUP(A1318,'All Products'!A:F,6,0),0)</f>
        <v>12.14</v>
      </c>
      <c r="AK1318" s="36">
        <f>AJ1318*Z1318*J1318</f>
        <v>12.14</v>
      </c>
      <c r="AL1318" s="23">
        <v>1</v>
      </c>
      <c r="AM1318" s="23"/>
      <c r="AN1318" s="54" t="e">
        <v>#N/A</v>
      </c>
      <c r="AO1318" s="47"/>
      <c r="AP1318" s="4">
        <v>1.6</v>
      </c>
      <c r="AQ1318" s="111">
        <f t="shared" si="389"/>
        <v>0.16450980392156864</v>
      </c>
      <c r="AR1318">
        <f>_xlfn.XLOOKUP(F1318,'RM Cost'!A:A,'RM Cost'!S:S)</f>
        <v>0</v>
      </c>
      <c r="AS1318" t="e">
        <f>_xlfn.XLOOKUP(A1318,[3]Sheet1!$B:$B,[3]Sheet1!$B:$B)</f>
        <v>#N/A</v>
      </c>
    </row>
    <row r="1319" spans="1:46" x14ac:dyDescent="0.25">
      <c r="A1319" s="16" t="s">
        <v>57</v>
      </c>
      <c r="B1319" s="2" t="s">
        <v>656</v>
      </c>
      <c r="C1319" s="2" t="s">
        <v>58</v>
      </c>
      <c r="D1319" s="2" t="s">
        <v>554</v>
      </c>
      <c r="E1319" s="2">
        <v>2.5</v>
      </c>
      <c r="F1319" s="1" t="str">
        <f>VLOOKUP(H1319,'RM Used'!A:B,2,0)</f>
        <v>P0008</v>
      </c>
      <c r="G1319" s="1" t="str">
        <f>IFERROR(VLOOKUP(F1319,'RM Cost'!A:B,2,0),"")</f>
        <v>PALE BLUE BAG 470X750MM</v>
      </c>
      <c r="H1319" s="1" t="s">
        <v>1323</v>
      </c>
      <c r="I1319" s="1" t="str">
        <f>VLOOKUP(F1319,'RM Used'!B:D,3,0)</f>
        <v>RM-PACKING</v>
      </c>
      <c r="J1319" s="66">
        <v>1</v>
      </c>
      <c r="K1319" s="35" t="str">
        <f t="shared" si="392"/>
        <v/>
      </c>
      <c r="L1319" s="35">
        <f t="shared" si="381"/>
        <v>0</v>
      </c>
      <c r="M1319" s="77" t="str" cm="1">
        <f t="array" ref="M1319">_xlfn.IFS(BOM!I1319="RM-PACKING","100%",B1319="Reynolds",VLOOKUP(H1319,'Yield &amp; Time'!A:V,22,0),BOM!B1319="Dnata",VLOOKUP(BOM!H1319,'Yield &amp; Time'!A:M,13,0),B1319="NK",VLOOKUP(H1319,'Yield &amp; Time'!A:X,24,0))</f>
        <v>100%</v>
      </c>
      <c r="N1319" s="35">
        <f t="shared" si="380"/>
        <v>1</v>
      </c>
      <c r="O1319" s="1" t="str">
        <f>VLOOKUP(H1319,'RM Used'!A:E,5,0)</f>
        <v>Count</v>
      </c>
      <c r="P1319" s="11">
        <f>VLOOKUP(H1319,'RM Used'!A:F,6,0)</f>
        <v>0.14000000000000001</v>
      </c>
      <c r="Q1319" s="11">
        <f t="shared" si="390"/>
        <v>0.14000000000000001</v>
      </c>
      <c r="R1319" s="11">
        <f>IFERROR(IF(B1319="Reynolds",VLOOKUP(H1319,'Yield &amp; Time'!A:U,21,0),VLOOKUP(H1319,'Yield &amp; Time'!A:L,12,0)),0)</f>
        <v>0</v>
      </c>
      <c r="S1319" s="11">
        <f t="shared" si="382"/>
        <v>0</v>
      </c>
      <c r="T1319" s="11">
        <f t="shared" si="383"/>
        <v>0</v>
      </c>
      <c r="U1319" s="11">
        <f>IF(A1318=A1319,0,VLOOKUP(A1319,'Packing Time'!A:F,6,0))</f>
        <v>0</v>
      </c>
      <c r="V1319" s="11">
        <f t="shared" si="393"/>
        <v>0</v>
      </c>
      <c r="W1319" s="11">
        <f t="shared" si="394"/>
        <v>0</v>
      </c>
      <c r="X1319" s="11">
        <f t="shared" si="384"/>
        <v>0</v>
      </c>
      <c r="Y1319" s="11">
        <f t="shared" si="395"/>
        <v>0</v>
      </c>
      <c r="Z1319" s="37">
        <v>1</v>
      </c>
      <c r="AA1319" s="36">
        <f t="shared" si="385"/>
        <v>1</v>
      </c>
      <c r="AB1319" s="36">
        <f t="shared" si="386"/>
        <v>0.14000000000000001</v>
      </c>
      <c r="AC1319" s="11">
        <f t="shared" si="387"/>
        <v>0</v>
      </c>
      <c r="AD1319" s="36">
        <f t="shared" si="396"/>
        <v>0</v>
      </c>
      <c r="AE1319" s="36"/>
      <c r="AF1319" s="36">
        <f>IFERROR(VLOOKUP(AE1319,'Chemical Cost'!A:D,4,0),0)</f>
        <v>0</v>
      </c>
      <c r="AG1319" s="114">
        <f t="shared" si="388"/>
        <v>0</v>
      </c>
      <c r="AH1319" s="36">
        <f t="shared" si="391"/>
        <v>0</v>
      </c>
      <c r="AI1319" s="36">
        <f t="shared" si="397"/>
        <v>0.14000000000000001</v>
      </c>
      <c r="AJ1319" s="36">
        <f>IFERROR(VLOOKUP(A1319,'All Products'!A:F,6,0),0)</f>
        <v>12.14</v>
      </c>
      <c r="AK1319" s="36"/>
      <c r="AL1319" s="23">
        <v>1</v>
      </c>
      <c r="AM1319" s="23"/>
      <c r="AN1319" s="54" t="e">
        <v>#N/A</v>
      </c>
      <c r="AO1319" s="47"/>
      <c r="AP1319" s="4">
        <v>1.6</v>
      </c>
      <c r="AQ1319" s="111">
        <f t="shared" si="389"/>
        <v>0</v>
      </c>
      <c r="AR1319">
        <f>_xlfn.XLOOKUP(F1319,'RM Cost'!A:A,'RM Cost'!S:S)</f>
        <v>0</v>
      </c>
      <c r="AS1319" t="e">
        <f>_xlfn.XLOOKUP(A1319,[3]Sheet1!$B:$B,[3]Sheet1!$B:$B)</f>
        <v>#N/A</v>
      </c>
    </row>
    <row r="1320" spans="1:46" x14ac:dyDescent="0.25">
      <c r="A1320" s="16" t="s">
        <v>106</v>
      </c>
      <c r="B1320" s="2" t="s">
        <v>656</v>
      </c>
      <c r="C1320" s="2" t="s">
        <v>107</v>
      </c>
      <c r="D1320" s="2" t="s">
        <v>554</v>
      </c>
      <c r="E1320" s="2">
        <v>2.5</v>
      </c>
      <c r="F1320" s="1" t="str">
        <f>VLOOKUP(H1320,'RM Used'!A:B,2,0)</f>
        <v>3112CS</v>
      </c>
      <c r="G1320" s="1" t="str">
        <f>IFERROR(VLOOKUP(F1320,'RM Cost'!A:B,2,0),"")</f>
        <v>WHOLE LEAF CURLY KALE 5X1KG</v>
      </c>
      <c r="H1320" s="2" t="s">
        <v>1642</v>
      </c>
      <c r="I1320" s="1" t="str">
        <f>VLOOKUP(F1320,'RM Used'!B:D,3,0)</f>
        <v>RM-FOOD</v>
      </c>
      <c r="J1320" s="74">
        <v>1</v>
      </c>
      <c r="K1320" s="35">
        <f t="shared" si="392"/>
        <v>2.5</v>
      </c>
      <c r="L1320" s="35">
        <f t="shared" si="381"/>
        <v>2.5</v>
      </c>
      <c r="M1320" s="77" cm="1">
        <f t="array" ref="M1320">_xlfn.IFS(BOM!I1320="RM-PACKING","100%",B1320="Reynolds",VLOOKUP(H1320,'Yield &amp; Time'!A:V,22,0),BOM!B1320="Dnata",VLOOKUP(BOM!H1320,'Yield &amp; Time'!A:M,13,0),B1320="NK",VLOOKUP(H1320,'Yield &amp; Time'!A:X,24,0))</f>
        <v>0.59374999999999989</v>
      </c>
      <c r="N1320" s="35">
        <f t="shared" si="380"/>
        <v>4.2105263157894743</v>
      </c>
      <c r="O1320" s="1" t="str">
        <f>VLOOKUP(H1320,'RM Used'!A:E,5,0)</f>
        <v>KG</v>
      </c>
      <c r="P1320" s="11">
        <f>VLOOKUP(H1320,'RM Used'!A:F,6,0)</f>
        <v>1.45</v>
      </c>
      <c r="Q1320" s="11">
        <f t="shared" si="390"/>
        <v>6.1052631578947372</v>
      </c>
      <c r="R1320" s="11">
        <f>IFERROR(IF(B1320="Reynolds",VLOOKUP(H1320,'Yield &amp; Time'!A:U,21,0),VLOOKUP(H1320,'Yield &amp; Time'!A:L,12,0)),0)</f>
        <v>3.6842105263157898</v>
      </c>
      <c r="S1320" s="11">
        <f t="shared" si="382"/>
        <v>3.1177631578947369</v>
      </c>
      <c r="T1320" s="11">
        <f t="shared" si="383"/>
        <v>0.15350877192982457</v>
      </c>
      <c r="U1320" s="11">
        <f>IF(A1319=A1320,0,VLOOKUP(A1320,'Packing Time'!A:F,6,0))</f>
        <v>0.875</v>
      </c>
      <c r="V1320" s="11">
        <f t="shared" si="393"/>
        <v>0.29618749999999999</v>
      </c>
      <c r="W1320" s="11">
        <f t="shared" si="394"/>
        <v>1.4583333333333334E-2</v>
      </c>
      <c r="X1320" s="11">
        <f t="shared" si="384"/>
        <v>4.2674383223684211</v>
      </c>
      <c r="Y1320" s="11">
        <f t="shared" si="395"/>
        <v>4.2674383223684211</v>
      </c>
      <c r="Z1320" s="37">
        <v>1</v>
      </c>
      <c r="AA1320" s="36">
        <f t="shared" si="385"/>
        <v>4.2105263157894743</v>
      </c>
      <c r="AB1320" s="36">
        <f t="shared" si="386"/>
        <v>6.1052631578947372</v>
      </c>
      <c r="AC1320" s="11">
        <f t="shared" si="387"/>
        <v>0.21011513157894737</v>
      </c>
      <c r="AD1320" s="36">
        <f t="shared" si="396"/>
        <v>4.2674383223684211</v>
      </c>
      <c r="AE1320" s="36"/>
      <c r="AF1320" s="36">
        <f>IFERROR(VLOOKUP(AE1320,'Chemical Cost'!A:D,4,0),0)</f>
        <v>0</v>
      </c>
      <c r="AG1320" s="114">
        <f t="shared" si="388"/>
        <v>0</v>
      </c>
      <c r="AH1320" s="36">
        <f t="shared" si="391"/>
        <v>0</v>
      </c>
      <c r="AI1320" s="36">
        <f t="shared" si="397"/>
        <v>10.372701480263158</v>
      </c>
      <c r="AJ1320" s="36">
        <f>IFERROR(VLOOKUP(A1320,'All Products'!A:F,6,0),0)</f>
        <v>37.799999999999997</v>
      </c>
      <c r="AK1320" s="36">
        <f>AJ1320*Z1320*J1320</f>
        <v>37.799999999999997</v>
      </c>
      <c r="AL1320" s="23">
        <v>1</v>
      </c>
      <c r="AM1320" s="23"/>
      <c r="AN1320" s="54" t="e">
        <v>#N/A</v>
      </c>
      <c r="AO1320" s="47"/>
      <c r="AP1320" s="4">
        <v>1.25</v>
      </c>
      <c r="AQ1320" s="111">
        <f t="shared" si="389"/>
        <v>0.21011513157894737</v>
      </c>
      <c r="AR1320">
        <f>_xlfn.XLOOKUP(F1320,'RM Cost'!A:A,'RM Cost'!S:S)</f>
        <v>0</v>
      </c>
      <c r="AS1320" t="e">
        <f>_xlfn.XLOOKUP(A1320,[3]Sheet1!$B:$B,[3]Sheet1!$B:$B)</f>
        <v>#N/A</v>
      </c>
    </row>
    <row r="1321" spans="1:46" x14ac:dyDescent="0.25">
      <c r="A1321" s="16" t="s">
        <v>106</v>
      </c>
      <c r="B1321" s="2" t="s">
        <v>656</v>
      </c>
      <c r="C1321" s="2" t="s">
        <v>107</v>
      </c>
      <c r="D1321" s="2" t="s">
        <v>554</v>
      </c>
      <c r="E1321" s="2">
        <v>2.5</v>
      </c>
      <c r="F1321" s="1" t="str">
        <f>VLOOKUP(H1321,'RM Used'!A:B,2,0)</f>
        <v>P0008</v>
      </c>
      <c r="G1321" s="1" t="str">
        <f>IFERROR(VLOOKUP(F1321,'RM Cost'!A:B,2,0),"")</f>
        <v>PALE BLUE BAG 470X750MM</v>
      </c>
      <c r="H1321" s="1" t="s">
        <v>1323</v>
      </c>
      <c r="I1321" s="1" t="str">
        <f>VLOOKUP(F1321,'RM Used'!B:D,3,0)</f>
        <v>RM-PACKING</v>
      </c>
      <c r="J1321" s="66">
        <v>1</v>
      </c>
      <c r="K1321" s="35" t="str">
        <f t="shared" si="392"/>
        <v/>
      </c>
      <c r="L1321" s="35">
        <f t="shared" si="381"/>
        <v>0</v>
      </c>
      <c r="M1321" s="77" t="str" cm="1">
        <f t="array" ref="M1321">_xlfn.IFS(BOM!I1321="RM-PACKING","100%",B1321="Reynolds",VLOOKUP(H1321,'Yield &amp; Time'!A:V,22,0),BOM!B1321="Dnata",VLOOKUP(BOM!H1321,'Yield &amp; Time'!A:M,13,0),B1321="NK",VLOOKUP(H1321,'Yield &amp; Time'!A:X,24,0))</f>
        <v>100%</v>
      </c>
      <c r="N1321" s="35">
        <f t="shared" si="380"/>
        <v>1</v>
      </c>
      <c r="O1321" s="1" t="str">
        <f>VLOOKUP(H1321,'RM Used'!A:E,5,0)</f>
        <v>Count</v>
      </c>
      <c r="P1321" s="11">
        <f>VLOOKUP(H1321,'RM Used'!A:F,6,0)</f>
        <v>0.14000000000000001</v>
      </c>
      <c r="Q1321" s="11">
        <f t="shared" si="390"/>
        <v>0.14000000000000001</v>
      </c>
      <c r="R1321" s="11">
        <f>IFERROR(IF(B1321="Reynolds",VLOOKUP(H1321,'Yield &amp; Time'!A:U,21,0),VLOOKUP(H1321,'Yield &amp; Time'!A:L,12,0)),0)</f>
        <v>0</v>
      </c>
      <c r="S1321" s="11">
        <f t="shared" si="382"/>
        <v>0</v>
      </c>
      <c r="T1321" s="11">
        <f t="shared" si="383"/>
        <v>0</v>
      </c>
      <c r="U1321" s="11">
        <f>IF(A1320=A1321,0,VLOOKUP(A1321,'Packing Time'!A:F,6,0))</f>
        <v>0</v>
      </c>
      <c r="V1321" s="11">
        <f t="shared" si="393"/>
        <v>0</v>
      </c>
      <c r="W1321" s="11">
        <f t="shared" si="394"/>
        <v>0</v>
      </c>
      <c r="X1321" s="11">
        <f t="shared" si="384"/>
        <v>0</v>
      </c>
      <c r="Y1321" s="11">
        <f t="shared" si="395"/>
        <v>0</v>
      </c>
      <c r="Z1321" s="37">
        <v>1</v>
      </c>
      <c r="AA1321" s="36">
        <f t="shared" si="385"/>
        <v>1</v>
      </c>
      <c r="AB1321" s="36">
        <f t="shared" si="386"/>
        <v>0.14000000000000001</v>
      </c>
      <c r="AC1321" s="11">
        <f t="shared" si="387"/>
        <v>0</v>
      </c>
      <c r="AD1321" s="36">
        <f t="shared" si="396"/>
        <v>0</v>
      </c>
      <c r="AE1321" s="36"/>
      <c r="AF1321" s="36">
        <f>IFERROR(VLOOKUP(AE1321,'Chemical Cost'!A:D,4,0),0)</f>
        <v>0</v>
      </c>
      <c r="AG1321" s="114">
        <f t="shared" si="388"/>
        <v>0</v>
      </c>
      <c r="AH1321" s="36">
        <f t="shared" si="391"/>
        <v>0</v>
      </c>
      <c r="AI1321" s="36">
        <f t="shared" si="397"/>
        <v>0.14000000000000001</v>
      </c>
      <c r="AJ1321" s="36">
        <f>IFERROR(VLOOKUP(A1321,'All Products'!A:F,6,0),0)</f>
        <v>37.799999999999997</v>
      </c>
      <c r="AK1321" s="36"/>
      <c r="AL1321" s="23">
        <v>1</v>
      </c>
      <c r="AM1321" s="23"/>
      <c r="AN1321" s="54" t="e">
        <v>#N/A</v>
      </c>
      <c r="AO1321" s="47"/>
      <c r="AP1321" s="4">
        <v>1.25</v>
      </c>
      <c r="AQ1321" s="111">
        <f t="shared" si="389"/>
        <v>0</v>
      </c>
      <c r="AR1321">
        <f>_xlfn.XLOOKUP(F1321,'RM Cost'!A:A,'RM Cost'!S:S)</f>
        <v>0</v>
      </c>
      <c r="AS1321" t="e">
        <f>_xlfn.XLOOKUP(A1321,[3]Sheet1!$B:$B,[3]Sheet1!$B:$B)</f>
        <v>#N/A</v>
      </c>
    </row>
    <row r="1322" spans="1:46" x14ac:dyDescent="0.25">
      <c r="A1322" s="16" t="s">
        <v>108</v>
      </c>
      <c r="B1322" s="2" t="s">
        <v>656</v>
      </c>
      <c r="C1322" s="2" t="s">
        <v>109</v>
      </c>
      <c r="D1322" s="2" t="s">
        <v>554</v>
      </c>
      <c r="E1322" s="2">
        <v>1</v>
      </c>
      <c r="F1322" s="1" t="str">
        <f>VLOOKUP(H1322,'RM Used'!A:B,2,0)</f>
        <v>3112CS</v>
      </c>
      <c r="G1322" s="1" t="str">
        <f>IFERROR(VLOOKUP(F1322,'RM Cost'!A:B,2,0),"")</f>
        <v>WHOLE LEAF CURLY KALE 5X1KG</v>
      </c>
      <c r="H1322" s="2" t="s">
        <v>1642</v>
      </c>
      <c r="I1322" s="1" t="str">
        <f>VLOOKUP(F1322,'RM Used'!B:D,3,0)</f>
        <v>RM-FOOD</v>
      </c>
      <c r="J1322" s="74">
        <v>1</v>
      </c>
      <c r="K1322" s="35">
        <f t="shared" si="392"/>
        <v>1</v>
      </c>
      <c r="L1322" s="35">
        <f t="shared" si="381"/>
        <v>1</v>
      </c>
      <c r="M1322" s="77" cm="1">
        <f t="array" ref="M1322">_xlfn.IFS(BOM!I1322="RM-PACKING","100%",B1322="Reynolds",VLOOKUP(H1322,'Yield &amp; Time'!A:V,22,0),BOM!B1322="Dnata",VLOOKUP(BOM!H1322,'Yield &amp; Time'!A:M,13,0),B1322="NK",VLOOKUP(H1322,'Yield &amp; Time'!A:X,24,0))</f>
        <v>0.59374999999999989</v>
      </c>
      <c r="N1322" s="35">
        <f t="shared" si="380"/>
        <v>1.6842105263157898</v>
      </c>
      <c r="O1322" s="1" t="str">
        <f>VLOOKUP(H1322,'RM Used'!A:E,5,0)</f>
        <v>KG</v>
      </c>
      <c r="P1322" s="11">
        <f>VLOOKUP(H1322,'RM Used'!A:F,6,0)</f>
        <v>1.45</v>
      </c>
      <c r="Q1322" s="11">
        <f t="shared" si="390"/>
        <v>2.4421052631578952</v>
      </c>
      <c r="R1322" s="11">
        <f>IFERROR(IF(B1322="Reynolds",VLOOKUP(H1322,'Yield &amp; Time'!A:U,21,0),VLOOKUP(H1322,'Yield &amp; Time'!A:L,12,0)),0)</f>
        <v>3.6842105263157898</v>
      </c>
      <c r="S1322" s="11">
        <f t="shared" si="382"/>
        <v>1.2471052631578947</v>
      </c>
      <c r="T1322" s="11">
        <f t="shared" si="383"/>
        <v>6.1403508771929828E-2</v>
      </c>
      <c r="U1322" s="11">
        <f>IF(A1321=A1322,0,VLOOKUP(A1322,'Packing Time'!A:F,6,0))</f>
        <v>0.64166666666666661</v>
      </c>
      <c r="V1322" s="11">
        <f t="shared" si="393"/>
        <v>0.21720416666666661</v>
      </c>
      <c r="W1322" s="11">
        <f t="shared" si="394"/>
        <v>1.0694444444444444E-2</v>
      </c>
      <c r="X1322" s="11">
        <f t="shared" si="384"/>
        <v>2.0500332017543861</v>
      </c>
      <c r="Y1322" s="11">
        <f t="shared" si="395"/>
        <v>2.0500332017543861</v>
      </c>
      <c r="Z1322" s="37">
        <v>1</v>
      </c>
      <c r="AA1322" s="36">
        <f t="shared" si="385"/>
        <v>1.6842105263157898</v>
      </c>
      <c r="AB1322" s="36">
        <f t="shared" si="386"/>
        <v>2.4421052631578952</v>
      </c>
      <c r="AC1322" s="11">
        <f t="shared" si="387"/>
        <v>0.10093713450292399</v>
      </c>
      <c r="AD1322" s="36">
        <f t="shared" si="396"/>
        <v>2.0500332017543861</v>
      </c>
      <c r="AE1322" s="36"/>
      <c r="AF1322" s="36">
        <f>IFERROR(VLOOKUP(AE1322,'Chemical Cost'!A:D,4,0),0)</f>
        <v>0</v>
      </c>
      <c r="AG1322" s="114">
        <f t="shared" si="388"/>
        <v>0</v>
      </c>
      <c r="AH1322" s="36">
        <f t="shared" si="391"/>
        <v>0</v>
      </c>
      <c r="AI1322" s="36">
        <f t="shared" si="397"/>
        <v>4.4921384649122817</v>
      </c>
      <c r="AJ1322" s="36">
        <f>IFERROR(VLOOKUP(A1322,'All Products'!A:F,6,0),0)</f>
        <v>15.13</v>
      </c>
      <c r="AK1322" s="36">
        <f>AJ1322*Z1322*J1322</f>
        <v>15.13</v>
      </c>
      <c r="AL1322" s="23">
        <v>1</v>
      </c>
      <c r="AM1322" s="23"/>
      <c r="AN1322" s="54" t="e">
        <v>#N/A</v>
      </c>
      <c r="AO1322" s="47"/>
      <c r="AP1322" s="4">
        <v>1.4</v>
      </c>
      <c r="AQ1322" s="111">
        <f t="shared" si="389"/>
        <v>0.10093713450292399</v>
      </c>
      <c r="AR1322">
        <f>_xlfn.XLOOKUP(F1322,'RM Cost'!A:A,'RM Cost'!S:S)</f>
        <v>0</v>
      </c>
      <c r="AS1322" t="e">
        <f>_xlfn.XLOOKUP(A1322,[3]Sheet1!$B:$B,[3]Sheet1!$B:$B)</f>
        <v>#N/A</v>
      </c>
    </row>
    <row r="1323" spans="1:46" x14ac:dyDescent="0.25">
      <c r="A1323" s="16" t="s">
        <v>108</v>
      </c>
      <c r="B1323" s="2" t="s">
        <v>656</v>
      </c>
      <c r="C1323" s="2" t="s">
        <v>109</v>
      </c>
      <c r="D1323" s="2" t="s">
        <v>554</v>
      </c>
      <c r="E1323" s="2">
        <v>1</v>
      </c>
      <c r="F1323" s="1" t="str">
        <f>VLOOKUP(H1323,'RM Used'!A:B,2,0)</f>
        <v>P0008</v>
      </c>
      <c r="G1323" s="1" t="str">
        <f>IFERROR(VLOOKUP(F1323,'RM Cost'!A:B,2,0),"")</f>
        <v>PALE BLUE BAG 470X750MM</v>
      </c>
      <c r="H1323" s="1" t="s">
        <v>1323</v>
      </c>
      <c r="I1323" s="1" t="str">
        <f>VLOOKUP(F1323,'RM Used'!B:D,3,0)</f>
        <v>RM-PACKING</v>
      </c>
      <c r="J1323" s="66">
        <v>1</v>
      </c>
      <c r="K1323" s="35" t="str">
        <f t="shared" si="392"/>
        <v/>
      </c>
      <c r="L1323" s="35">
        <f t="shared" si="381"/>
        <v>0</v>
      </c>
      <c r="M1323" s="77" t="str" cm="1">
        <f t="array" ref="M1323">_xlfn.IFS(BOM!I1323="RM-PACKING","100%",B1323="Reynolds",VLOOKUP(H1323,'Yield &amp; Time'!A:V,22,0),BOM!B1323="Dnata",VLOOKUP(BOM!H1323,'Yield &amp; Time'!A:M,13,0),B1323="NK",VLOOKUP(H1323,'Yield &amp; Time'!A:X,24,0))</f>
        <v>100%</v>
      </c>
      <c r="N1323" s="35">
        <f t="shared" si="380"/>
        <v>1</v>
      </c>
      <c r="O1323" s="1" t="str">
        <f>VLOOKUP(H1323,'RM Used'!A:E,5,0)</f>
        <v>Count</v>
      </c>
      <c r="P1323" s="11">
        <f>VLOOKUP(H1323,'RM Used'!A:F,6,0)</f>
        <v>0.14000000000000001</v>
      </c>
      <c r="Q1323" s="11">
        <f t="shared" si="390"/>
        <v>0.14000000000000001</v>
      </c>
      <c r="R1323" s="11">
        <f>IFERROR(IF(B1323="Reynolds",VLOOKUP(H1323,'Yield &amp; Time'!A:U,21,0),VLOOKUP(H1323,'Yield &amp; Time'!A:L,12,0)),0)</f>
        <v>0</v>
      </c>
      <c r="S1323" s="11">
        <f t="shared" si="382"/>
        <v>0</v>
      </c>
      <c r="T1323" s="11">
        <f t="shared" si="383"/>
        <v>0</v>
      </c>
      <c r="U1323" s="11">
        <f>IF(A1322=A1323,0,VLOOKUP(A1323,'Packing Time'!A:F,6,0))</f>
        <v>0</v>
      </c>
      <c r="V1323" s="11">
        <f t="shared" si="393"/>
        <v>0</v>
      </c>
      <c r="W1323" s="11">
        <f t="shared" si="394"/>
        <v>0</v>
      </c>
      <c r="X1323" s="11">
        <f t="shared" si="384"/>
        <v>0</v>
      </c>
      <c r="Y1323" s="11">
        <f t="shared" si="395"/>
        <v>0</v>
      </c>
      <c r="Z1323" s="37">
        <v>1</v>
      </c>
      <c r="AA1323" s="36">
        <f t="shared" si="385"/>
        <v>1</v>
      </c>
      <c r="AB1323" s="36">
        <f t="shared" si="386"/>
        <v>0.14000000000000001</v>
      </c>
      <c r="AC1323" s="11">
        <f t="shared" si="387"/>
        <v>0</v>
      </c>
      <c r="AD1323" s="36">
        <f t="shared" si="396"/>
        <v>0</v>
      </c>
      <c r="AE1323" s="36"/>
      <c r="AF1323" s="36">
        <f>IFERROR(VLOOKUP(AE1323,'Chemical Cost'!A:D,4,0),0)</f>
        <v>0</v>
      </c>
      <c r="AG1323" s="114">
        <f t="shared" si="388"/>
        <v>0</v>
      </c>
      <c r="AH1323" s="36">
        <f t="shared" si="391"/>
        <v>0</v>
      </c>
      <c r="AI1323" s="36">
        <f t="shared" si="397"/>
        <v>0.14000000000000001</v>
      </c>
      <c r="AJ1323" s="36">
        <f>IFERROR(VLOOKUP(A1323,'All Products'!A:F,6,0),0)</f>
        <v>15.13</v>
      </c>
      <c r="AK1323" s="36"/>
      <c r="AL1323" s="23">
        <v>1</v>
      </c>
      <c r="AM1323" s="23"/>
      <c r="AN1323" s="54" t="e">
        <v>#N/A</v>
      </c>
      <c r="AO1323" s="47"/>
      <c r="AP1323" s="4">
        <v>1.4</v>
      </c>
      <c r="AQ1323" s="111">
        <f t="shared" si="389"/>
        <v>0</v>
      </c>
      <c r="AR1323">
        <f>_xlfn.XLOOKUP(F1323,'RM Cost'!A:A,'RM Cost'!S:S)</f>
        <v>0</v>
      </c>
      <c r="AS1323" t="e">
        <f>_xlfn.XLOOKUP(A1323,[3]Sheet1!$B:$B,[3]Sheet1!$B:$B)</f>
        <v>#N/A</v>
      </c>
    </row>
    <row r="1324" spans="1:46" x14ac:dyDescent="0.25">
      <c r="A1324" s="16" t="s">
        <v>541</v>
      </c>
      <c r="B1324" s="2" t="s">
        <v>656</v>
      </c>
      <c r="C1324" s="2" t="s">
        <v>1088</v>
      </c>
      <c r="D1324" s="2" t="s">
        <v>554</v>
      </c>
      <c r="E1324" s="2">
        <v>2.5</v>
      </c>
      <c r="F1324" s="1" t="str">
        <f>VLOOKUP(H1324,'RM Used'!A:B,2,0)</f>
        <v>142CCS</v>
      </c>
      <c r="G1324" s="1" t="str">
        <f>IFERROR(VLOOKUP(F1324,'RM Cost'!A:B,2,0),"")</f>
        <v>RM - ROSE ONIONS 10 X 1KG</v>
      </c>
      <c r="H1324" s="2" t="s">
        <v>1643</v>
      </c>
      <c r="I1324" s="1" t="str">
        <f>VLOOKUP(F1324,'RM Used'!B:D,3,0)</f>
        <v>RM-FOOD</v>
      </c>
      <c r="J1324" s="74">
        <v>1</v>
      </c>
      <c r="K1324" s="35">
        <f t="shared" si="392"/>
        <v>2.5</v>
      </c>
      <c r="L1324" s="35">
        <f t="shared" si="381"/>
        <v>2.5</v>
      </c>
      <c r="M1324" s="77" cm="1">
        <f t="array" ref="M1324">_xlfn.IFS(BOM!I1324="RM-PACKING","100%",B1324="Reynolds",VLOOKUP(H1324,'Yield &amp; Time'!A:V,22,0),BOM!B1324="Dnata",VLOOKUP(BOM!H1324,'Yield &amp; Time'!A:M,13,0),B1324="NK",VLOOKUP(H1324,'Yield &amp; Time'!A:X,24,0))</f>
        <v>0.7727272727272726</v>
      </c>
      <c r="N1324" s="35">
        <f t="shared" si="380"/>
        <v>3.2352941176470593</v>
      </c>
      <c r="O1324" s="1" t="str">
        <f>VLOOKUP(H1324,'RM Used'!A:E,5,0)</f>
        <v>KG</v>
      </c>
      <c r="P1324" s="11" t="e">
        <f>VLOOKUP(H1324,'RM Used'!A:F,6,0)</f>
        <v>#N/A</v>
      </c>
      <c r="Q1324" s="11" t="e">
        <f t="shared" si="390"/>
        <v>#N/A</v>
      </c>
      <c r="R1324" s="11">
        <f>IFERROR(IF(B1324="Reynolds",VLOOKUP(H1324,'Yield &amp; Time'!A:U,21,0),VLOOKUP(H1324,'Yield &amp; Time'!A:L,12,0)),0)</f>
        <v>5.4313725490196072</v>
      </c>
      <c r="S1324" s="11">
        <f t="shared" si="382"/>
        <v>4.5962990196078417</v>
      </c>
      <c r="T1324" s="11">
        <f t="shared" si="383"/>
        <v>0.22630718954248363</v>
      </c>
      <c r="U1324" s="11">
        <f>IF(A1323=A1324,0,VLOOKUP(A1324,'Packing Time'!A:F,6,0))</f>
        <v>0.875</v>
      </c>
      <c r="V1324" s="11">
        <f t="shared" si="393"/>
        <v>0.29618749999999999</v>
      </c>
      <c r="W1324" s="11">
        <f t="shared" si="394"/>
        <v>1.4583333333333334E-2</v>
      </c>
      <c r="X1324" s="11">
        <f t="shared" si="384"/>
        <v>7.8279784313725473</v>
      </c>
      <c r="Y1324" s="11">
        <f t="shared" si="395"/>
        <v>7.8279784313725473</v>
      </c>
      <c r="Z1324" s="37">
        <v>1</v>
      </c>
      <c r="AA1324" s="36">
        <f t="shared" si="385"/>
        <v>3.2352941176470593</v>
      </c>
      <c r="AB1324" s="36" t="e">
        <f t="shared" si="386"/>
        <v>#N/A</v>
      </c>
      <c r="AC1324" s="11">
        <f t="shared" si="387"/>
        <v>0.38542483660130716</v>
      </c>
      <c r="AD1324" s="36">
        <f t="shared" si="396"/>
        <v>7.8279784313725482</v>
      </c>
      <c r="AE1324" s="36"/>
      <c r="AF1324" s="36">
        <f>IFERROR(VLOOKUP(AE1324,'Chemical Cost'!A:D,4,0),0)</f>
        <v>0</v>
      </c>
      <c r="AG1324" s="114">
        <f t="shared" si="388"/>
        <v>0</v>
      </c>
      <c r="AH1324" s="36">
        <f t="shared" si="391"/>
        <v>0</v>
      </c>
      <c r="AI1324" s="36">
        <f t="shared" si="397"/>
        <v>0</v>
      </c>
      <c r="AJ1324" s="36">
        <f>IFERROR(VLOOKUP(A1324,'All Products'!A:F,6,0),0)</f>
        <v>39.36</v>
      </c>
      <c r="AK1324" s="36">
        <f>AJ1324*Z1324*J1324</f>
        <v>39.36</v>
      </c>
      <c r="AL1324" s="23">
        <v>1</v>
      </c>
      <c r="AM1324" s="23"/>
      <c r="AN1324" s="54" t="e">
        <v>#N/A</v>
      </c>
      <c r="AO1324" s="47"/>
      <c r="AP1324" s="4">
        <v>1.6</v>
      </c>
      <c r="AQ1324" s="111">
        <f t="shared" si="389"/>
        <v>0.38542483660130716</v>
      </c>
      <c r="AR1324">
        <f>_xlfn.XLOOKUP(F1324,'RM Cost'!A:A,'RM Cost'!S:S)</f>
        <v>0</v>
      </c>
      <c r="AS1324" t="e">
        <f>_xlfn.XLOOKUP(A1324,[3]Sheet1!$B:$B,[3]Sheet1!$B:$B)</f>
        <v>#N/A</v>
      </c>
    </row>
    <row r="1325" spans="1:46" x14ac:dyDescent="0.25">
      <c r="A1325" s="16" t="s">
        <v>541</v>
      </c>
      <c r="B1325" s="2" t="s">
        <v>656</v>
      </c>
      <c r="C1325" s="2" t="s">
        <v>1088</v>
      </c>
      <c r="D1325" s="2" t="s">
        <v>554</v>
      </c>
      <c r="E1325" s="2">
        <v>2.5</v>
      </c>
      <c r="F1325" s="1" t="str">
        <f>VLOOKUP(H1325,'RM Used'!A:B,2,0)</f>
        <v>P0008</v>
      </c>
      <c r="G1325" s="1" t="str">
        <f>IFERROR(VLOOKUP(F1325,'RM Cost'!A:B,2,0),"")</f>
        <v>PALE BLUE BAG 470X750MM</v>
      </c>
      <c r="H1325" s="1" t="s">
        <v>1323</v>
      </c>
      <c r="I1325" s="1" t="str">
        <f>VLOOKUP(F1325,'RM Used'!B:D,3,0)</f>
        <v>RM-PACKING</v>
      </c>
      <c r="J1325" s="66">
        <v>1</v>
      </c>
      <c r="K1325" s="35" t="str">
        <f t="shared" si="392"/>
        <v/>
      </c>
      <c r="L1325" s="35">
        <f t="shared" si="381"/>
        <v>0</v>
      </c>
      <c r="M1325" s="77" t="str" cm="1">
        <f t="array" ref="M1325">_xlfn.IFS(BOM!I1325="RM-PACKING","100%",B1325="Reynolds",VLOOKUP(H1325,'Yield &amp; Time'!A:V,22,0),BOM!B1325="Dnata",VLOOKUP(BOM!H1325,'Yield &amp; Time'!A:M,13,0),B1325="NK",VLOOKUP(H1325,'Yield &amp; Time'!A:X,24,0))</f>
        <v>100%</v>
      </c>
      <c r="N1325" s="35">
        <f t="shared" si="380"/>
        <v>1</v>
      </c>
      <c r="O1325" s="1" t="str">
        <f>VLOOKUP(H1325,'RM Used'!A:E,5,0)</f>
        <v>Count</v>
      </c>
      <c r="P1325" s="11">
        <f>VLOOKUP(H1325,'RM Used'!A:F,6,0)</f>
        <v>0.14000000000000001</v>
      </c>
      <c r="Q1325" s="11">
        <f t="shared" si="390"/>
        <v>0.14000000000000001</v>
      </c>
      <c r="R1325" s="11">
        <f>IFERROR(IF(B1325="Reynolds",VLOOKUP(H1325,'Yield &amp; Time'!A:U,21,0),VLOOKUP(H1325,'Yield &amp; Time'!A:L,12,0)),0)</f>
        <v>0</v>
      </c>
      <c r="S1325" s="11">
        <f t="shared" si="382"/>
        <v>0</v>
      </c>
      <c r="T1325" s="11">
        <f t="shared" si="383"/>
        <v>0</v>
      </c>
      <c r="U1325" s="11">
        <f>IF(A1324=A1325,0,VLOOKUP(A1325,'Packing Time'!A:F,6,0))</f>
        <v>0</v>
      </c>
      <c r="V1325" s="11">
        <f t="shared" si="393"/>
        <v>0</v>
      </c>
      <c r="W1325" s="11">
        <f t="shared" si="394"/>
        <v>0</v>
      </c>
      <c r="X1325" s="11">
        <f t="shared" si="384"/>
        <v>0</v>
      </c>
      <c r="Y1325" s="11">
        <f t="shared" si="395"/>
        <v>0</v>
      </c>
      <c r="Z1325" s="37">
        <v>1</v>
      </c>
      <c r="AA1325" s="36">
        <f t="shared" si="385"/>
        <v>1</v>
      </c>
      <c r="AB1325" s="36">
        <f t="shared" si="386"/>
        <v>0.14000000000000001</v>
      </c>
      <c r="AC1325" s="11">
        <f t="shared" si="387"/>
        <v>0</v>
      </c>
      <c r="AD1325" s="36">
        <f t="shared" si="396"/>
        <v>0</v>
      </c>
      <c r="AE1325" s="36"/>
      <c r="AF1325" s="36">
        <f>IFERROR(VLOOKUP(AE1325,'Chemical Cost'!A:D,4,0),0)</f>
        <v>0</v>
      </c>
      <c r="AG1325" s="114">
        <f t="shared" si="388"/>
        <v>0</v>
      </c>
      <c r="AH1325" s="36">
        <f t="shared" si="391"/>
        <v>0</v>
      </c>
      <c r="AI1325" s="36">
        <f t="shared" si="397"/>
        <v>0.14000000000000001</v>
      </c>
      <c r="AJ1325" s="36">
        <f>IFERROR(VLOOKUP(A1325,'All Products'!A:F,6,0),0)</f>
        <v>39.36</v>
      </c>
      <c r="AK1325" s="36"/>
      <c r="AL1325" s="23">
        <v>1</v>
      </c>
      <c r="AM1325" s="23"/>
      <c r="AN1325" s="54" t="e">
        <v>#N/A</v>
      </c>
      <c r="AO1325" s="47"/>
      <c r="AP1325" s="4">
        <v>1.6</v>
      </c>
      <c r="AQ1325" s="111">
        <f t="shared" si="389"/>
        <v>0</v>
      </c>
      <c r="AR1325">
        <f>_xlfn.XLOOKUP(F1325,'RM Cost'!A:A,'RM Cost'!S:S)</f>
        <v>0</v>
      </c>
      <c r="AS1325" t="e">
        <f>_xlfn.XLOOKUP(A1325,[3]Sheet1!$B:$B,[3]Sheet1!$B:$B)</f>
        <v>#N/A</v>
      </c>
    </row>
    <row r="1326" spans="1:46" x14ac:dyDescent="0.25">
      <c r="A1326" s="16" t="s">
        <v>59</v>
      </c>
      <c r="B1326" s="2" t="s">
        <v>656</v>
      </c>
      <c r="C1326" s="2" t="s">
        <v>1089</v>
      </c>
      <c r="D1326" s="2" t="s">
        <v>554</v>
      </c>
      <c r="E1326" s="2">
        <v>1</v>
      </c>
      <c r="F1326" s="1" t="str">
        <f>VLOOKUP(H1326,'RM Used'!A:B,2,0)</f>
        <v>142CCS</v>
      </c>
      <c r="G1326" s="1" t="str">
        <f>IFERROR(VLOOKUP(F1326,'RM Cost'!A:B,2,0),"")</f>
        <v>RM - ROSE ONIONS 10 X 1KG</v>
      </c>
      <c r="H1326" s="2" t="s">
        <v>1643</v>
      </c>
      <c r="I1326" s="1" t="str">
        <f>VLOOKUP(F1326,'RM Used'!B:D,3,0)</f>
        <v>RM-FOOD</v>
      </c>
      <c r="J1326" s="74">
        <v>1</v>
      </c>
      <c r="K1326" s="35">
        <f t="shared" si="392"/>
        <v>1</v>
      </c>
      <c r="L1326" s="35">
        <f t="shared" si="381"/>
        <v>1</v>
      </c>
      <c r="M1326" s="77" cm="1">
        <f t="array" ref="M1326">_xlfn.IFS(BOM!I1326="RM-PACKING","100%",B1326="Reynolds",VLOOKUP(H1326,'Yield &amp; Time'!A:V,22,0),BOM!B1326="Dnata",VLOOKUP(BOM!H1326,'Yield &amp; Time'!A:M,13,0),B1326="NK",VLOOKUP(H1326,'Yield &amp; Time'!A:X,24,0))</f>
        <v>0.7727272727272726</v>
      </c>
      <c r="N1326" s="35">
        <f t="shared" si="380"/>
        <v>1.2941176470588238</v>
      </c>
      <c r="O1326" s="1" t="str">
        <f>VLOOKUP(H1326,'RM Used'!A:E,5,0)</f>
        <v>KG</v>
      </c>
      <c r="P1326" s="11" t="e">
        <f>VLOOKUP(H1326,'RM Used'!A:F,6,0)</f>
        <v>#N/A</v>
      </c>
      <c r="Q1326" s="11" t="e">
        <f t="shared" si="390"/>
        <v>#N/A</v>
      </c>
      <c r="R1326" s="11">
        <f>IFERROR(IF(B1326="Reynolds",VLOOKUP(H1326,'Yield &amp; Time'!A:U,21,0),VLOOKUP(H1326,'Yield &amp; Time'!A:L,12,0)),0)</f>
        <v>5.4313725490196072</v>
      </c>
      <c r="S1326" s="11">
        <f t="shared" si="382"/>
        <v>1.8385196078431369</v>
      </c>
      <c r="T1326" s="11">
        <f t="shared" si="383"/>
        <v>9.0522875816993448E-2</v>
      </c>
      <c r="U1326" s="11">
        <f>IF(A1325=A1326,0,VLOOKUP(A1326,'Packing Time'!A:F,6,0))</f>
        <v>0.64166666666666661</v>
      </c>
      <c r="V1326" s="11">
        <f t="shared" si="393"/>
        <v>0.21720416666666661</v>
      </c>
      <c r="W1326" s="11">
        <f t="shared" si="394"/>
        <v>1.0694444444444444E-2</v>
      </c>
      <c r="X1326" s="11">
        <f t="shared" si="384"/>
        <v>3.2891580392156854</v>
      </c>
      <c r="Y1326" s="11">
        <f t="shared" si="395"/>
        <v>3.2891580392156854</v>
      </c>
      <c r="Z1326" s="37">
        <v>1</v>
      </c>
      <c r="AA1326" s="36">
        <f t="shared" si="385"/>
        <v>1.2941176470588238</v>
      </c>
      <c r="AB1326" s="36" t="e">
        <f t="shared" si="386"/>
        <v>#N/A</v>
      </c>
      <c r="AC1326" s="11">
        <f t="shared" si="387"/>
        <v>0.16194771241830064</v>
      </c>
      <c r="AD1326" s="36">
        <f t="shared" si="396"/>
        <v>3.2891580392156854</v>
      </c>
      <c r="AE1326" s="36"/>
      <c r="AF1326" s="36">
        <f>IFERROR(VLOOKUP(AE1326,'Chemical Cost'!A:D,4,0),0)</f>
        <v>0</v>
      </c>
      <c r="AG1326" s="114">
        <f t="shared" si="388"/>
        <v>0</v>
      </c>
      <c r="AH1326" s="36">
        <f t="shared" si="391"/>
        <v>0</v>
      </c>
      <c r="AI1326" s="36">
        <f t="shared" si="397"/>
        <v>0</v>
      </c>
      <c r="AJ1326" s="36">
        <f>IFERROR(VLOOKUP(A1326,'All Products'!A:F,6,0),0)</f>
        <v>15.75</v>
      </c>
      <c r="AK1326" s="36">
        <f>AJ1326*Z1326*J1326</f>
        <v>15.75</v>
      </c>
      <c r="AL1326" s="23">
        <v>1</v>
      </c>
      <c r="AM1326" s="23"/>
      <c r="AN1326" s="54" t="e">
        <v>#N/A</v>
      </c>
      <c r="AO1326" s="47"/>
      <c r="AP1326" s="4">
        <v>1.6</v>
      </c>
      <c r="AQ1326" s="111">
        <f t="shared" si="389"/>
        <v>0.16194771241830064</v>
      </c>
      <c r="AR1326">
        <f>_xlfn.XLOOKUP(F1326,'RM Cost'!A:A,'RM Cost'!S:S)</f>
        <v>0</v>
      </c>
      <c r="AS1326" t="e">
        <f>_xlfn.XLOOKUP(A1326,[3]Sheet1!$B:$B,[3]Sheet1!$B:$B)</f>
        <v>#N/A</v>
      </c>
    </row>
    <row r="1327" spans="1:46" x14ac:dyDescent="0.25">
      <c r="A1327" s="16" t="s">
        <v>59</v>
      </c>
      <c r="B1327" s="2" t="s">
        <v>656</v>
      </c>
      <c r="C1327" s="2" t="s">
        <v>1089</v>
      </c>
      <c r="D1327" s="2" t="s">
        <v>554</v>
      </c>
      <c r="E1327" s="2">
        <v>1</v>
      </c>
      <c r="F1327" s="1" t="str">
        <f>VLOOKUP(H1327,'RM Used'!A:B,2,0)</f>
        <v>P0008</v>
      </c>
      <c r="G1327" s="1" t="str">
        <f>IFERROR(VLOOKUP(F1327,'RM Cost'!A:B,2,0),"")</f>
        <v>PALE BLUE BAG 470X750MM</v>
      </c>
      <c r="H1327" s="1" t="s">
        <v>1323</v>
      </c>
      <c r="I1327" s="1" t="str">
        <f>VLOOKUP(F1327,'RM Used'!B:D,3,0)</f>
        <v>RM-PACKING</v>
      </c>
      <c r="J1327" s="66">
        <v>1</v>
      </c>
      <c r="K1327" s="35" t="str">
        <f t="shared" si="392"/>
        <v/>
      </c>
      <c r="L1327" s="35">
        <f t="shared" si="381"/>
        <v>0</v>
      </c>
      <c r="M1327" s="77" t="str" cm="1">
        <f t="array" ref="M1327">_xlfn.IFS(BOM!I1327="RM-PACKING","100%",B1327="Reynolds",VLOOKUP(H1327,'Yield &amp; Time'!A:V,22,0),BOM!B1327="Dnata",VLOOKUP(BOM!H1327,'Yield &amp; Time'!A:M,13,0),B1327="NK",VLOOKUP(H1327,'Yield &amp; Time'!A:X,24,0))</f>
        <v>100%</v>
      </c>
      <c r="N1327" s="35">
        <f t="shared" si="380"/>
        <v>1</v>
      </c>
      <c r="O1327" s="1" t="str">
        <f>VLOOKUP(H1327,'RM Used'!A:E,5,0)</f>
        <v>Count</v>
      </c>
      <c r="P1327" s="11">
        <f>VLOOKUP(H1327,'RM Used'!A:F,6,0)</f>
        <v>0.14000000000000001</v>
      </c>
      <c r="Q1327" s="11">
        <f t="shared" si="390"/>
        <v>0.14000000000000001</v>
      </c>
      <c r="R1327" s="11">
        <f>IFERROR(IF(B1327="Reynolds",VLOOKUP(H1327,'Yield &amp; Time'!A:U,21,0),VLOOKUP(H1327,'Yield &amp; Time'!A:L,12,0)),0)</f>
        <v>0</v>
      </c>
      <c r="S1327" s="11">
        <f t="shared" si="382"/>
        <v>0</v>
      </c>
      <c r="T1327" s="11">
        <f t="shared" si="383"/>
        <v>0</v>
      </c>
      <c r="U1327" s="11">
        <f>IF(A1326=A1327,0,VLOOKUP(A1327,'Packing Time'!A:F,6,0))</f>
        <v>0</v>
      </c>
      <c r="V1327" s="11">
        <f t="shared" si="393"/>
        <v>0</v>
      </c>
      <c r="W1327" s="11">
        <f t="shared" si="394"/>
        <v>0</v>
      </c>
      <c r="X1327" s="11">
        <f t="shared" si="384"/>
        <v>0</v>
      </c>
      <c r="Y1327" s="11">
        <f t="shared" si="395"/>
        <v>0</v>
      </c>
      <c r="Z1327" s="37">
        <v>1</v>
      </c>
      <c r="AA1327" s="36">
        <f t="shared" si="385"/>
        <v>1</v>
      </c>
      <c r="AB1327" s="36">
        <f t="shared" si="386"/>
        <v>0.14000000000000001</v>
      </c>
      <c r="AC1327" s="11">
        <f t="shared" si="387"/>
        <v>0</v>
      </c>
      <c r="AD1327" s="36">
        <f t="shared" si="396"/>
        <v>0</v>
      </c>
      <c r="AE1327" s="36"/>
      <c r="AF1327" s="36">
        <f>IFERROR(VLOOKUP(AE1327,'Chemical Cost'!A:D,4,0),0)</f>
        <v>0</v>
      </c>
      <c r="AG1327" s="114">
        <f t="shared" si="388"/>
        <v>0</v>
      </c>
      <c r="AH1327" s="36">
        <f t="shared" si="391"/>
        <v>0</v>
      </c>
      <c r="AI1327" s="36">
        <f t="shared" si="397"/>
        <v>0.14000000000000001</v>
      </c>
      <c r="AJ1327" s="36">
        <f>IFERROR(VLOOKUP(A1327,'All Products'!A:F,6,0),0)</f>
        <v>15.75</v>
      </c>
      <c r="AK1327" s="36"/>
      <c r="AL1327" s="23">
        <v>1</v>
      </c>
      <c r="AM1327" s="23"/>
      <c r="AN1327" s="54" t="e">
        <v>#N/A</v>
      </c>
      <c r="AO1327" s="47"/>
      <c r="AP1327" s="4">
        <v>1.6</v>
      </c>
      <c r="AQ1327" s="111">
        <f t="shared" si="389"/>
        <v>0</v>
      </c>
      <c r="AR1327">
        <f>_xlfn.XLOOKUP(F1327,'RM Cost'!A:A,'RM Cost'!S:S)</f>
        <v>0</v>
      </c>
      <c r="AS1327" t="e">
        <f>_xlfn.XLOOKUP(A1327,[3]Sheet1!$B:$B,[3]Sheet1!$B:$B)</f>
        <v>#N/A</v>
      </c>
    </row>
    <row r="1328" spans="1:46" x14ac:dyDescent="0.25">
      <c r="A1328" s="16" t="s">
        <v>1096</v>
      </c>
      <c r="B1328" s="2" t="s">
        <v>552</v>
      </c>
      <c r="C1328" s="2" t="s">
        <v>1097</v>
      </c>
      <c r="D1328" s="2" t="s">
        <v>554</v>
      </c>
      <c r="E1328" s="2">
        <v>1</v>
      </c>
      <c r="F1328" s="1">
        <f>VLOOKUP(H1328,'RM Used'!A:B,2,0)</f>
        <v>0</v>
      </c>
      <c r="G1328" s="1" t="str">
        <f>IFERROR(VLOOKUP(F1328,'RM Cost'!A:B,2,0),"")</f>
        <v/>
      </c>
      <c r="H1328" s="2" t="s">
        <v>1644</v>
      </c>
      <c r="I1328" s="1" t="str">
        <f>VLOOKUP(F1328,'RM Used'!B:D,3,0)</f>
        <v>RM-FOOD</v>
      </c>
      <c r="J1328" s="74">
        <v>1</v>
      </c>
      <c r="K1328" s="35">
        <f t="shared" si="392"/>
        <v>1</v>
      </c>
      <c r="L1328" s="35">
        <f t="shared" si="381"/>
        <v>1</v>
      </c>
      <c r="M1328" s="77" cm="1">
        <f t="array" ref="M1328">_xlfn.IFS(BOM!I1328="RM-PACKING","100%",B1328="Reynolds",VLOOKUP(H1328,'Yield &amp; Time'!A:V,22,0),BOM!B1328="Dnata",VLOOKUP(BOM!H1328,'Yield &amp; Time'!A:M,13,0),B1328="NK",VLOOKUP(H1328,'Yield &amp; Time'!A:X,24,0))</f>
        <v>0</v>
      </c>
      <c r="N1328" s="35">
        <f t="shared" si="380"/>
        <v>0</v>
      </c>
      <c r="O1328" s="1" t="str">
        <f>VLOOKUP(H1328,'RM Used'!A:E,5,0)</f>
        <v>KG</v>
      </c>
      <c r="P1328" s="11" t="e">
        <f>VLOOKUP(H1328,'RM Used'!A:F,6,0)</f>
        <v>#N/A</v>
      </c>
      <c r="Q1328" s="11" t="e">
        <f t="shared" si="390"/>
        <v>#N/A</v>
      </c>
      <c r="R1328" s="11">
        <f>IFERROR(IF(B1328="Reynolds",VLOOKUP(H1328,'Yield &amp; Time'!A:U,21,0),VLOOKUP(H1328,'Yield &amp; Time'!A:L,12,0)),0)</f>
        <v>0</v>
      </c>
      <c r="S1328" s="11">
        <f t="shared" si="382"/>
        <v>0</v>
      </c>
      <c r="T1328" s="11">
        <f t="shared" si="383"/>
        <v>0</v>
      </c>
      <c r="U1328" s="11">
        <f>IF(A1327=A1328,0,VLOOKUP(A1328,'Packing Time'!A:F,6,0))</f>
        <v>0</v>
      </c>
      <c r="V1328" s="11">
        <f t="shared" si="393"/>
        <v>0</v>
      </c>
      <c r="W1328" s="11">
        <f t="shared" si="394"/>
        <v>0</v>
      </c>
      <c r="X1328" s="11">
        <f t="shared" si="384"/>
        <v>0</v>
      </c>
      <c r="Y1328" s="11">
        <f t="shared" si="395"/>
        <v>0</v>
      </c>
      <c r="Z1328" s="37">
        <v>1</v>
      </c>
      <c r="AA1328" s="36">
        <f t="shared" si="385"/>
        <v>0</v>
      </c>
      <c r="AB1328" s="36" t="e">
        <f t="shared" si="386"/>
        <v>#N/A</v>
      </c>
      <c r="AC1328" s="11">
        <f t="shared" si="387"/>
        <v>0</v>
      </c>
      <c r="AD1328" s="36">
        <f t="shared" si="396"/>
        <v>0</v>
      </c>
      <c r="AE1328" s="36"/>
      <c r="AF1328" s="36">
        <f>IFERROR(VLOOKUP(AE1328,'Chemical Cost'!A:D,4,0),0)</f>
        <v>0</v>
      </c>
      <c r="AG1328" s="114">
        <f t="shared" si="388"/>
        <v>0</v>
      </c>
      <c r="AH1328" s="36">
        <f t="shared" si="391"/>
        <v>0</v>
      </c>
      <c r="AI1328" s="36">
        <f t="shared" si="397"/>
        <v>0</v>
      </c>
      <c r="AJ1328" s="36">
        <f>IFERROR(VLOOKUP(A1328,'All Products'!A:F,6,0),0)</f>
        <v>0</v>
      </c>
      <c r="AK1328" s="36">
        <f>AJ1328*Z1328*J1328</f>
        <v>0</v>
      </c>
      <c r="AL1328" s="23">
        <v>0.8</v>
      </c>
      <c r="AM1328" s="23">
        <v>0.2</v>
      </c>
      <c r="AN1328" s="54" t="e">
        <v>#N/A</v>
      </c>
      <c r="AO1328" s="47"/>
      <c r="AP1328" s="4">
        <v>1.6</v>
      </c>
      <c r="AQ1328" s="111">
        <f t="shared" si="389"/>
        <v>0</v>
      </c>
      <c r="AR1328" t="e">
        <f>_xlfn.XLOOKUP(F1328,'RM Cost'!A:A,'RM Cost'!S:S)</f>
        <v>#N/A</v>
      </c>
      <c r="AS1328" t="e">
        <f>_xlfn.XLOOKUP(A1328,[3]Sheet1!$B:$B,[3]Sheet1!$B:$B)</f>
        <v>#N/A</v>
      </c>
    </row>
    <row r="1329" spans="1:46" x14ac:dyDescent="0.25">
      <c r="A1329" s="16" t="s">
        <v>1096</v>
      </c>
      <c r="B1329" s="2" t="s">
        <v>552</v>
      </c>
      <c r="C1329" s="2" t="s">
        <v>1097</v>
      </c>
      <c r="D1329" s="2" t="s">
        <v>554</v>
      </c>
      <c r="E1329" s="2">
        <v>1</v>
      </c>
      <c r="F1329" s="1" t="str">
        <f>VLOOKUP(H1329,'RM Used'!A:B,2,0)</f>
        <v>P0008</v>
      </c>
      <c r="G1329" s="1" t="str">
        <f>IFERROR(VLOOKUP(F1329,'RM Cost'!A:B,2,0),"")</f>
        <v>PALE BLUE BAG 470X750MM</v>
      </c>
      <c r="H1329" s="1" t="s">
        <v>1323</v>
      </c>
      <c r="I1329" s="1" t="str">
        <f>VLOOKUP(F1329,'RM Used'!B:D,3,0)</f>
        <v>RM-PACKING</v>
      </c>
      <c r="J1329" s="66">
        <v>1</v>
      </c>
      <c r="K1329" s="35" t="str">
        <f t="shared" si="392"/>
        <v/>
      </c>
      <c r="L1329" s="35">
        <f t="shared" si="381"/>
        <v>0</v>
      </c>
      <c r="M1329" s="77" t="str" cm="1">
        <f t="array" ref="M1329">_xlfn.IFS(BOM!I1329="RM-PACKING","100%",B1329="Reynolds",VLOOKUP(H1329,'Yield &amp; Time'!A:V,22,0),BOM!B1329="Dnata",VLOOKUP(BOM!H1329,'Yield &amp; Time'!A:M,13,0),B1329="NK",VLOOKUP(H1329,'Yield &amp; Time'!A:X,24,0))</f>
        <v>100%</v>
      </c>
      <c r="N1329" s="35">
        <f t="shared" si="380"/>
        <v>1</v>
      </c>
      <c r="O1329" s="1" t="str">
        <f>VLOOKUP(H1329,'RM Used'!A:E,5,0)</f>
        <v>Count</v>
      </c>
      <c r="P1329" s="11">
        <f>VLOOKUP(H1329,'RM Used'!A:F,6,0)</f>
        <v>0.14000000000000001</v>
      </c>
      <c r="Q1329" s="11">
        <f t="shared" si="390"/>
        <v>0.14000000000000001</v>
      </c>
      <c r="R1329" s="11">
        <f>IFERROR(IF(B1329="Reynolds",VLOOKUP(H1329,'Yield &amp; Time'!A:U,21,0),VLOOKUP(H1329,'Yield &amp; Time'!A:L,12,0)),0)</f>
        <v>0</v>
      </c>
      <c r="S1329" s="11">
        <f t="shared" si="382"/>
        <v>0</v>
      </c>
      <c r="T1329" s="11">
        <f t="shared" si="383"/>
        <v>0</v>
      </c>
      <c r="U1329" s="11">
        <f>IF(A1328=A1329,0,VLOOKUP(A1329,'Packing Time'!A:F,6,0))</f>
        <v>0</v>
      </c>
      <c r="V1329" s="11">
        <f t="shared" si="393"/>
        <v>0</v>
      </c>
      <c r="W1329" s="11">
        <f t="shared" si="394"/>
        <v>0</v>
      </c>
      <c r="X1329" s="11">
        <f t="shared" si="384"/>
        <v>0</v>
      </c>
      <c r="Y1329" s="11">
        <f t="shared" si="395"/>
        <v>0</v>
      </c>
      <c r="Z1329" s="37">
        <v>1</v>
      </c>
      <c r="AA1329" s="36">
        <f t="shared" si="385"/>
        <v>1</v>
      </c>
      <c r="AB1329" s="36">
        <f t="shared" si="386"/>
        <v>0.14000000000000001</v>
      </c>
      <c r="AC1329" s="11">
        <f t="shared" si="387"/>
        <v>0</v>
      </c>
      <c r="AD1329" s="36">
        <f t="shared" si="396"/>
        <v>0</v>
      </c>
      <c r="AE1329" s="36"/>
      <c r="AF1329" s="36">
        <f>IFERROR(VLOOKUP(AE1329,'Chemical Cost'!A:D,4,0),0)</f>
        <v>0</v>
      </c>
      <c r="AG1329" s="114">
        <f t="shared" si="388"/>
        <v>0</v>
      </c>
      <c r="AH1329" s="36">
        <f t="shared" si="391"/>
        <v>0</v>
      </c>
      <c r="AI1329" s="36">
        <f t="shared" si="397"/>
        <v>0.14000000000000001</v>
      </c>
      <c r="AJ1329" s="36">
        <f>IFERROR(VLOOKUP(A1329,'All Products'!A:F,6,0),0)</f>
        <v>0</v>
      </c>
      <c r="AK1329" s="36"/>
      <c r="AL1329" s="23">
        <v>0.8</v>
      </c>
      <c r="AM1329" s="23">
        <v>0.2</v>
      </c>
      <c r="AN1329" s="54" t="e">
        <v>#N/A</v>
      </c>
      <c r="AO1329" s="47"/>
      <c r="AP1329" s="4">
        <v>1.6</v>
      </c>
      <c r="AQ1329" s="111">
        <f t="shared" si="389"/>
        <v>0</v>
      </c>
      <c r="AR1329">
        <f>_xlfn.XLOOKUP(F1329,'RM Cost'!A:A,'RM Cost'!S:S)</f>
        <v>0</v>
      </c>
      <c r="AS1329" t="e">
        <f>_xlfn.XLOOKUP(A1329,[3]Sheet1!$B:$B,[3]Sheet1!$B:$B)</f>
        <v>#N/A</v>
      </c>
    </row>
    <row r="1330" spans="1:46" x14ac:dyDescent="0.25">
      <c r="A1330" s="2" t="s">
        <v>1096</v>
      </c>
      <c r="B1330" s="2" t="s">
        <v>552</v>
      </c>
      <c r="C1330" s="2" t="s">
        <v>1097</v>
      </c>
      <c r="D1330" s="2" t="s">
        <v>554</v>
      </c>
      <c r="E1330" s="2">
        <v>1</v>
      </c>
      <c r="F1330" s="1" t="str">
        <f>VLOOKUP(H1330,'RM Used'!A:B,2,0)</f>
        <v>P0016</v>
      </c>
      <c r="G1330" s="1" t="str">
        <f>IFERROR(VLOOKUP(F1330,'RM Cost'!A:B,2,0),"")</f>
        <v>REY 40 30 BOX</v>
      </c>
      <c r="H1330" s="2" t="s">
        <v>1332</v>
      </c>
      <c r="I1330" s="1" t="str">
        <f>VLOOKUP(F1330,'RM Used'!B:D,3,0)</f>
        <v>RM-PACKING</v>
      </c>
      <c r="J1330" s="66">
        <v>1</v>
      </c>
      <c r="K1330" s="35" t="str">
        <f t="shared" si="392"/>
        <v/>
      </c>
      <c r="L1330" s="35">
        <f t="shared" si="381"/>
        <v>0</v>
      </c>
      <c r="M1330" s="77" t="str" cm="1">
        <f t="array" ref="M1330">_xlfn.IFS(BOM!I1330="RM-PACKING","100%",B1330="Reynolds",VLOOKUP(H1330,'Yield &amp; Time'!A:V,22,0),BOM!B1330="Dnata",VLOOKUP(BOM!H1330,'Yield &amp; Time'!A:M,13,0),B1330="NK",VLOOKUP(H1330,'Yield &amp; Time'!A:X,24,0))</f>
        <v>100%</v>
      </c>
      <c r="N1330" s="35">
        <f t="shared" si="380"/>
        <v>1</v>
      </c>
      <c r="O1330" s="1" t="str">
        <f>VLOOKUP(H1330,'RM Used'!A:E,5,0)</f>
        <v>Count</v>
      </c>
      <c r="P1330" s="11">
        <f>VLOOKUP(H1330,'RM Used'!A:F,6,0)</f>
        <v>0.28000000000000003</v>
      </c>
      <c r="Q1330" s="11">
        <f t="shared" si="390"/>
        <v>0.28000000000000003</v>
      </c>
      <c r="R1330" s="11">
        <f>IFERROR(IF(B1330="Reynolds",VLOOKUP(H1330,'Yield &amp; Time'!A:U,21,0),VLOOKUP(H1330,'Yield &amp; Time'!A:L,12,0)),0)</f>
        <v>0</v>
      </c>
      <c r="S1330" s="11">
        <f t="shared" si="382"/>
        <v>0</v>
      </c>
      <c r="T1330" s="11">
        <f t="shared" si="383"/>
        <v>0</v>
      </c>
      <c r="U1330" s="11">
        <f>IF(A1329=A1330,0,VLOOKUP(A1330,'Packing Time'!A:F,6,0))</f>
        <v>0</v>
      </c>
      <c r="V1330" s="11">
        <f t="shared" si="393"/>
        <v>0</v>
      </c>
      <c r="W1330" s="11">
        <f t="shared" si="394"/>
        <v>0</v>
      </c>
      <c r="X1330" s="11">
        <f t="shared" si="384"/>
        <v>0</v>
      </c>
      <c r="Y1330" s="11">
        <f t="shared" si="395"/>
        <v>0</v>
      </c>
      <c r="Z1330" s="37">
        <v>1</v>
      </c>
      <c r="AA1330" s="36">
        <f t="shared" si="385"/>
        <v>1</v>
      </c>
      <c r="AB1330" s="36">
        <f t="shared" si="386"/>
        <v>0.28000000000000003</v>
      </c>
      <c r="AC1330" s="11">
        <f t="shared" si="387"/>
        <v>0</v>
      </c>
      <c r="AD1330" s="36">
        <f t="shared" si="396"/>
        <v>0</v>
      </c>
      <c r="AE1330" s="36"/>
      <c r="AF1330" s="36">
        <f>IFERROR(VLOOKUP(AE1330,'Chemical Cost'!A:D,4,0),0)</f>
        <v>0</v>
      </c>
      <c r="AG1330" s="114">
        <f t="shared" si="388"/>
        <v>0</v>
      </c>
      <c r="AH1330" s="36">
        <f t="shared" si="391"/>
        <v>0</v>
      </c>
      <c r="AI1330" s="36">
        <f t="shared" si="397"/>
        <v>0.28000000000000003</v>
      </c>
      <c r="AJ1330" s="36">
        <f>IFERROR(VLOOKUP(A1330,'All Products'!A:F,6,0),0)</f>
        <v>0</v>
      </c>
      <c r="AK1330" s="36"/>
      <c r="AL1330" s="23">
        <v>0.8</v>
      </c>
      <c r="AM1330" s="23">
        <v>0.2</v>
      </c>
      <c r="AN1330" s="54" t="e">
        <v>#N/A</v>
      </c>
      <c r="AO1330" s="47"/>
      <c r="AP1330" s="4">
        <v>1.6</v>
      </c>
      <c r="AQ1330" s="111">
        <f t="shared" si="389"/>
        <v>0</v>
      </c>
      <c r="AR1330">
        <f>_xlfn.XLOOKUP(F1330,'RM Cost'!A:A,'RM Cost'!S:S)</f>
        <v>0</v>
      </c>
      <c r="AS1330" t="e">
        <f>_xlfn.XLOOKUP(A1330,[3]Sheet1!$B:$B,[3]Sheet1!$B:$B)</f>
        <v>#N/A</v>
      </c>
    </row>
    <row r="1331" spans="1:46" x14ac:dyDescent="0.25">
      <c r="A1331" s="16" t="s">
        <v>1098</v>
      </c>
      <c r="B1331" s="2" t="s">
        <v>552</v>
      </c>
      <c r="C1331" s="2" t="s">
        <v>1099</v>
      </c>
      <c r="D1331" s="2" t="s">
        <v>554</v>
      </c>
      <c r="E1331" s="2">
        <v>2.5</v>
      </c>
      <c r="F1331" s="1" t="str">
        <f>VLOOKUP(H1331,'RM Used'!A:B,2,0)</f>
        <v>HS685</v>
      </c>
      <c r="G1331" s="1" t="str">
        <f>IFERROR(VLOOKUP(F1331,'RM Cost'!A:B,2,0),"")</f>
        <v>RM - TIC AMAZU PICKLING VINEGAR 5KG</v>
      </c>
      <c r="H1331" s="2" t="s">
        <v>1645</v>
      </c>
      <c r="I1331" s="1" t="str">
        <f>VLOOKUP(F1331,'RM Used'!B:D,3,0)</f>
        <v>RM-FOOD</v>
      </c>
      <c r="J1331" s="74">
        <v>1</v>
      </c>
      <c r="K1331" s="35">
        <f t="shared" si="392"/>
        <v>2.5</v>
      </c>
      <c r="L1331" s="35">
        <f t="shared" si="381"/>
        <v>2.5</v>
      </c>
      <c r="M1331" s="77" cm="1">
        <f t="array" ref="M1331">_xlfn.IFS(BOM!I1331="RM-PACKING","100%",B1331="Reynolds",VLOOKUP(H1331,'Yield &amp; Time'!A:V,22,0),BOM!B1331="Dnata",VLOOKUP(BOM!H1331,'Yield &amp; Time'!A:M,13,0),B1331="NK",VLOOKUP(H1331,'Yield &amp; Time'!A:X,24,0))</f>
        <v>1</v>
      </c>
      <c r="N1331" s="35">
        <f t="shared" si="380"/>
        <v>2.5</v>
      </c>
      <c r="O1331" s="1" t="str">
        <f>VLOOKUP(H1331,'RM Used'!A:E,5,0)</f>
        <v>KG</v>
      </c>
      <c r="P1331" s="11">
        <f>VLOOKUP(H1331,'RM Used'!A:F,6,0)</f>
        <v>3.6</v>
      </c>
      <c r="Q1331" s="11">
        <f t="shared" si="390"/>
        <v>9</v>
      </c>
      <c r="R1331" s="11">
        <f>IFERROR(IF(B1331="Reynolds",VLOOKUP(H1331,'Yield &amp; Time'!A:U,21,0),VLOOKUP(H1331,'Yield &amp; Time'!A:L,12,0)),0)</f>
        <v>0</v>
      </c>
      <c r="S1331" s="11">
        <f t="shared" si="382"/>
        <v>0</v>
      </c>
      <c r="T1331" s="11">
        <f t="shared" si="383"/>
        <v>0</v>
      </c>
      <c r="U1331" s="11">
        <f>IF(A1330=A1331,0,VLOOKUP(A1331,'Packing Time'!A:F,6,0))</f>
        <v>0.875</v>
      </c>
      <c r="V1331" s="11">
        <f t="shared" si="393"/>
        <v>0.29618749999999999</v>
      </c>
      <c r="W1331" s="11">
        <f t="shared" si="394"/>
        <v>1.4583333333333334E-2</v>
      </c>
      <c r="X1331" s="11">
        <f t="shared" si="384"/>
        <v>0.47389999999999999</v>
      </c>
      <c r="Y1331" s="11">
        <f t="shared" si="395"/>
        <v>0.47389999999999999</v>
      </c>
      <c r="Z1331" s="37">
        <v>1</v>
      </c>
      <c r="AA1331" s="36">
        <f t="shared" si="385"/>
        <v>2.5</v>
      </c>
      <c r="AB1331" s="36">
        <f t="shared" si="386"/>
        <v>9</v>
      </c>
      <c r="AC1331" s="11">
        <f t="shared" si="387"/>
        <v>2.3333333333333334E-2</v>
      </c>
      <c r="AD1331" s="36">
        <f t="shared" si="396"/>
        <v>0.47389999999999999</v>
      </c>
      <c r="AE1331" s="36"/>
      <c r="AF1331" s="36">
        <f>IFERROR(VLOOKUP(AE1331,'Chemical Cost'!A:D,4,0),0)</f>
        <v>0</v>
      </c>
      <c r="AG1331" s="114">
        <f t="shared" si="388"/>
        <v>0</v>
      </c>
      <c r="AH1331" s="36">
        <f t="shared" si="391"/>
        <v>0</v>
      </c>
      <c r="AI1331" s="36">
        <f t="shared" si="397"/>
        <v>9.4739000000000004</v>
      </c>
      <c r="AJ1331" s="36">
        <f>IFERROR(VLOOKUP(A1331,'All Products'!A:F,6,0),0)</f>
        <v>9.1031249999999986</v>
      </c>
      <c r="AK1331" s="36">
        <f>AJ1331*Z1331*J1331</f>
        <v>9.1031249999999986</v>
      </c>
      <c r="AL1331" s="23">
        <v>0.5</v>
      </c>
      <c r="AM1331" s="23">
        <v>0.5</v>
      </c>
      <c r="AN1331" s="54" t="e">
        <v>#N/A</v>
      </c>
      <c r="AO1331" s="47"/>
      <c r="AP1331" s="4">
        <v>1.6</v>
      </c>
      <c r="AQ1331" s="111">
        <f t="shared" si="389"/>
        <v>2.3333333333333334E-2</v>
      </c>
      <c r="AR1331">
        <f>_xlfn.XLOOKUP(F1331,'RM Cost'!A:A,'RM Cost'!S:S)</f>
        <v>0</v>
      </c>
      <c r="AS1331" t="e">
        <f>_xlfn.XLOOKUP(A1331,[3]Sheet1!$B:$B,[3]Sheet1!$B:$B)</f>
        <v>#N/A</v>
      </c>
    </row>
    <row r="1332" spans="1:46" x14ac:dyDescent="0.25">
      <c r="A1332" s="16" t="s">
        <v>1098</v>
      </c>
      <c r="B1332" s="2" t="s">
        <v>552</v>
      </c>
      <c r="C1332" s="2" t="s">
        <v>1099</v>
      </c>
      <c r="D1332" s="2" t="s">
        <v>554</v>
      </c>
      <c r="E1332" s="2">
        <v>2.5</v>
      </c>
      <c r="F1332" s="1" t="str">
        <f>VLOOKUP(H1332,'RM Used'!A:B,2,0)</f>
        <v>P0008</v>
      </c>
      <c r="G1332" s="1" t="str">
        <f>IFERROR(VLOOKUP(F1332,'RM Cost'!A:B,2,0),"")</f>
        <v>PALE BLUE BAG 470X750MM</v>
      </c>
      <c r="H1332" s="1" t="s">
        <v>1323</v>
      </c>
      <c r="I1332" s="1" t="str">
        <f>VLOOKUP(F1332,'RM Used'!B:D,3,0)</f>
        <v>RM-PACKING</v>
      </c>
      <c r="J1332" s="66">
        <v>1</v>
      </c>
      <c r="K1332" s="35" t="str">
        <f t="shared" si="392"/>
        <v/>
      </c>
      <c r="L1332" s="35">
        <f t="shared" si="381"/>
        <v>0</v>
      </c>
      <c r="M1332" s="77" t="str" cm="1">
        <f t="array" ref="M1332">_xlfn.IFS(BOM!I1332="RM-PACKING","100%",B1332="Reynolds",VLOOKUP(H1332,'Yield &amp; Time'!A:V,22,0),BOM!B1332="Dnata",VLOOKUP(BOM!H1332,'Yield &amp; Time'!A:M,13,0),B1332="NK",VLOOKUP(H1332,'Yield &amp; Time'!A:X,24,0))</f>
        <v>100%</v>
      </c>
      <c r="N1332" s="35">
        <f t="shared" si="380"/>
        <v>1</v>
      </c>
      <c r="O1332" s="1" t="str">
        <f>VLOOKUP(H1332,'RM Used'!A:E,5,0)</f>
        <v>Count</v>
      </c>
      <c r="P1332" s="11">
        <f>VLOOKUP(H1332,'RM Used'!A:F,6,0)</f>
        <v>0.14000000000000001</v>
      </c>
      <c r="Q1332" s="11">
        <f t="shared" si="390"/>
        <v>0.14000000000000001</v>
      </c>
      <c r="R1332" s="11">
        <f>IFERROR(IF(B1332="Reynolds",VLOOKUP(H1332,'Yield &amp; Time'!A:U,21,0),VLOOKUP(H1332,'Yield &amp; Time'!A:L,12,0)),0)</f>
        <v>0</v>
      </c>
      <c r="S1332" s="11">
        <f t="shared" si="382"/>
        <v>0</v>
      </c>
      <c r="T1332" s="11">
        <f t="shared" si="383"/>
        <v>0</v>
      </c>
      <c r="U1332" s="11">
        <f>IF(A1331=A1332,0,VLOOKUP(A1332,'Packing Time'!A:F,6,0))</f>
        <v>0</v>
      </c>
      <c r="V1332" s="11">
        <f t="shared" si="393"/>
        <v>0</v>
      </c>
      <c r="W1332" s="11">
        <f t="shared" si="394"/>
        <v>0</v>
      </c>
      <c r="X1332" s="11">
        <f t="shared" si="384"/>
        <v>0</v>
      </c>
      <c r="Y1332" s="11">
        <f t="shared" si="395"/>
        <v>0</v>
      </c>
      <c r="Z1332" s="37">
        <v>1</v>
      </c>
      <c r="AA1332" s="36">
        <f t="shared" si="385"/>
        <v>1</v>
      </c>
      <c r="AB1332" s="36">
        <f t="shared" si="386"/>
        <v>0.14000000000000001</v>
      </c>
      <c r="AC1332" s="11">
        <f t="shared" si="387"/>
        <v>0</v>
      </c>
      <c r="AD1332" s="36">
        <f t="shared" si="396"/>
        <v>0</v>
      </c>
      <c r="AE1332" s="36"/>
      <c r="AF1332" s="36">
        <f>IFERROR(VLOOKUP(AE1332,'Chemical Cost'!A:D,4,0),0)</f>
        <v>0</v>
      </c>
      <c r="AG1332" s="114">
        <f t="shared" si="388"/>
        <v>0</v>
      </c>
      <c r="AH1332" s="36">
        <f t="shared" si="391"/>
        <v>0</v>
      </c>
      <c r="AI1332" s="36">
        <f t="shared" si="397"/>
        <v>0.14000000000000001</v>
      </c>
      <c r="AJ1332" s="36">
        <f>IFERROR(VLOOKUP(A1332,'All Products'!A:F,6,0),0)</f>
        <v>9.1031249999999986</v>
      </c>
      <c r="AK1332" s="36"/>
      <c r="AL1332" s="23">
        <v>0.5</v>
      </c>
      <c r="AM1332" s="23">
        <v>0.5</v>
      </c>
      <c r="AN1332" s="54" t="e">
        <v>#N/A</v>
      </c>
      <c r="AO1332" s="47"/>
      <c r="AP1332" s="4">
        <v>1.6</v>
      </c>
      <c r="AQ1332" s="111">
        <f t="shared" si="389"/>
        <v>0</v>
      </c>
      <c r="AR1332">
        <f>_xlfn.XLOOKUP(F1332,'RM Cost'!A:A,'RM Cost'!S:S)</f>
        <v>0</v>
      </c>
      <c r="AS1332" t="e">
        <f>_xlfn.XLOOKUP(A1332,[3]Sheet1!$B:$B,[3]Sheet1!$B:$B)</f>
        <v>#N/A</v>
      </c>
    </row>
    <row r="1333" spans="1:46" x14ac:dyDescent="0.25">
      <c r="A1333" s="16" t="s">
        <v>40</v>
      </c>
      <c r="B1333" s="2" t="s">
        <v>552</v>
      </c>
      <c r="C1333" s="2" t="s">
        <v>41</v>
      </c>
      <c r="D1333" s="2" t="s">
        <v>554</v>
      </c>
      <c r="E1333" s="2">
        <v>2.5</v>
      </c>
      <c r="F1333" s="1" t="str">
        <f>VLOOKUP(H1333,'RM Used'!A:B,2,0)</f>
        <v>3210CS</v>
      </c>
      <c r="G1333" s="1" t="str">
        <f>IFERROR(VLOOKUP(F1333,'RM Cost'!A:B,2,0),"")</f>
        <v>RM - POTATOES WARE 25KG</v>
      </c>
      <c r="H1333" s="2" t="s">
        <v>1646</v>
      </c>
      <c r="I1333" s="1" t="str">
        <f>VLOOKUP(F1333,'RM Used'!B:D,3,0)</f>
        <v>RM-FOOD</v>
      </c>
      <c r="J1333" s="74">
        <v>1</v>
      </c>
      <c r="K1333" s="35">
        <f t="shared" si="392"/>
        <v>2.5</v>
      </c>
      <c r="L1333" s="35">
        <f t="shared" si="381"/>
        <v>2.5</v>
      </c>
      <c r="M1333" s="77" cm="1">
        <f t="array" ref="M1333">_xlfn.IFS(BOM!I1333="RM-PACKING","100%",B1333="Reynolds",VLOOKUP(H1333,'Yield &amp; Time'!A:V,22,0),BOM!B1333="Dnata",VLOOKUP(BOM!H1333,'Yield &amp; Time'!A:M,13,0),B1333="NK",VLOOKUP(H1333,'Yield &amp; Time'!A:X,24,0))</f>
        <v>0.57305084745762713</v>
      </c>
      <c r="N1333" s="35">
        <f t="shared" ref="N1333:N1358" si="398">IFERROR(IF(I1333="RM-FOOD",(E1333*J1333)/M1333,1),0)</f>
        <v>4.362614611061816</v>
      </c>
      <c r="O1333" s="1" t="str">
        <f>VLOOKUP(H1333,'RM Used'!A:E,5,0)</f>
        <v>KG</v>
      </c>
      <c r="P1333" s="11">
        <f>VLOOKUP(H1333,'RM Used'!A:F,6,0)</f>
        <v>0.27</v>
      </c>
      <c r="Q1333" s="11">
        <f t="shared" si="390"/>
        <v>1.1779059449866904</v>
      </c>
      <c r="R1333" s="11">
        <f>IFERROR(IF(B1333="Reynolds",VLOOKUP(H1333,'Yield &amp; Time'!A:U,21,0),VLOOKUP(H1333,'Yield &amp; Time'!A:L,12,0)),0)</f>
        <v>3.4348121857438629</v>
      </c>
      <c r="S1333" s="11">
        <f t="shared" si="382"/>
        <v>2.9067098121857438</v>
      </c>
      <c r="T1333" s="11">
        <f t="shared" si="383"/>
        <v>0.14311717440599428</v>
      </c>
      <c r="U1333" s="11">
        <f>IF(A1332=A1333,0,VLOOKUP(A1333,'Packing Time'!A:F,6,0))</f>
        <v>0.875</v>
      </c>
      <c r="V1333" s="11">
        <f t="shared" si="393"/>
        <v>0.29618749999999999</v>
      </c>
      <c r="W1333" s="11">
        <f t="shared" si="394"/>
        <v>1.4583333333333334E-2</v>
      </c>
      <c r="X1333" s="11">
        <f t="shared" si="384"/>
        <v>5.1246356994971904</v>
      </c>
      <c r="Y1333" s="11">
        <f t="shared" si="395"/>
        <v>5.1246356994971904</v>
      </c>
      <c r="Z1333" s="37">
        <v>1</v>
      </c>
      <c r="AA1333" s="36">
        <f t="shared" si="385"/>
        <v>4.362614611061816</v>
      </c>
      <c r="AB1333" s="36">
        <f t="shared" si="386"/>
        <v>1.1779059449866904</v>
      </c>
      <c r="AC1333" s="11">
        <f t="shared" si="387"/>
        <v>0.2523208123829242</v>
      </c>
      <c r="AD1333" s="36">
        <f t="shared" si="396"/>
        <v>5.1246356994971904</v>
      </c>
      <c r="AE1333" s="36" t="str">
        <f>VLOOKUP(H1333,'Yield &amp; Time'!A:R,18,0)</f>
        <v>SODIUM METABISULPHITE</v>
      </c>
      <c r="AF1333" s="36">
        <f>IFERROR(VLOOKUP(AE1333,'Chemical Cost'!A:D,4,0),0)</f>
        <v>9.7586225455882462E-3</v>
      </c>
      <c r="AG1333" s="114">
        <f t="shared" si="388"/>
        <v>1.4191036433740178E-2</v>
      </c>
      <c r="AH1333" s="36">
        <f t="shared" si="391"/>
        <v>1.4191036433740178E-2</v>
      </c>
      <c r="AI1333" s="36">
        <f t="shared" si="397"/>
        <v>6.316732680917621</v>
      </c>
      <c r="AJ1333" s="36">
        <f>IFERROR(VLOOKUP(A1333,'All Products'!A:F,6,0),0)</f>
        <v>6.77</v>
      </c>
      <c r="AK1333" s="36">
        <f>AJ1333*Z1333*J1333</f>
        <v>6.77</v>
      </c>
      <c r="AL1333" s="23">
        <v>1</v>
      </c>
      <c r="AM1333" s="23"/>
      <c r="AN1333" s="54" t="e">
        <v>#N/A</v>
      </c>
      <c r="AO1333" s="47"/>
      <c r="AP1333" s="4">
        <v>1.6</v>
      </c>
      <c r="AQ1333" s="111">
        <f t="shared" si="389"/>
        <v>0.2523208123829242</v>
      </c>
      <c r="AR1333">
        <f>_xlfn.XLOOKUP(F1333,'RM Cost'!A:A,'RM Cost'!S:S)</f>
        <v>0</v>
      </c>
      <c r="AS1333" t="e">
        <f>_xlfn.XLOOKUP(A1333,[3]Sheet1!$B:$B,[3]Sheet1!$B:$B)</f>
        <v>#N/A</v>
      </c>
    </row>
    <row r="1334" spans="1:46" x14ac:dyDescent="0.25">
      <c r="A1334" s="16" t="s">
        <v>40</v>
      </c>
      <c r="B1334" s="2" t="s">
        <v>552</v>
      </c>
      <c r="C1334" s="2" t="s">
        <v>41</v>
      </c>
      <c r="D1334" s="2" t="s">
        <v>554</v>
      </c>
      <c r="E1334" s="2">
        <v>2.5</v>
      </c>
      <c r="F1334" s="1" t="str">
        <f>VLOOKUP(H1334,'RM Used'!A:B,2,0)</f>
        <v>P0020</v>
      </c>
      <c r="G1334" s="1" t="str">
        <f>IFERROR(VLOOKUP(F1334,'RM Cost'!A:B,2,0),"")</f>
        <v>PALE BLUE BAG 430X430MM</v>
      </c>
      <c r="H1334" s="2" t="s">
        <v>1659</v>
      </c>
      <c r="I1334" s="1" t="str">
        <f>VLOOKUP(F1334,'RM Used'!B:D,3,0)</f>
        <v>RM-PACKING</v>
      </c>
      <c r="J1334" s="66">
        <v>1</v>
      </c>
      <c r="K1334" s="35" t="str">
        <f t="shared" si="392"/>
        <v/>
      </c>
      <c r="L1334" s="35">
        <f t="shared" si="381"/>
        <v>0</v>
      </c>
      <c r="M1334" s="77" t="str" cm="1">
        <f t="array" ref="M1334">_xlfn.IFS(BOM!I1334="RM-PACKING","100%",B1334="Reynolds",VLOOKUP(H1334,'Yield &amp; Time'!A:V,22,0),BOM!B1334="Dnata",VLOOKUP(BOM!H1334,'Yield &amp; Time'!A:M,13,0),B1334="NK",VLOOKUP(H1334,'Yield &amp; Time'!A:X,24,0))</f>
        <v>100%</v>
      </c>
      <c r="N1334" s="35">
        <f t="shared" si="398"/>
        <v>1</v>
      </c>
      <c r="O1334" s="1" t="str">
        <f>VLOOKUP(H1334,'RM Used'!A:E,5,0)</f>
        <v>Count</v>
      </c>
      <c r="P1334" s="11">
        <f>VLOOKUP(H1334,'RM Used'!A:F,6,0)</f>
        <v>0.09</v>
      </c>
      <c r="Q1334" s="11">
        <f t="shared" si="390"/>
        <v>0.09</v>
      </c>
      <c r="R1334" s="11">
        <f>IFERROR(IF(B1334="Reynolds",VLOOKUP(H1334,'Yield &amp; Time'!A:U,21,0),VLOOKUP(H1334,'Yield &amp; Time'!A:L,12,0)),0)</f>
        <v>0</v>
      </c>
      <c r="S1334" s="11">
        <f t="shared" si="382"/>
        <v>0</v>
      </c>
      <c r="T1334" s="11">
        <f t="shared" si="383"/>
        <v>0</v>
      </c>
      <c r="U1334" s="11">
        <f>IF(A1333=A1334,0,VLOOKUP(A1334,'Packing Time'!A:F,6,0))</f>
        <v>0</v>
      </c>
      <c r="V1334" s="11">
        <f t="shared" si="393"/>
        <v>0</v>
      </c>
      <c r="W1334" s="11">
        <f t="shared" si="394"/>
        <v>0</v>
      </c>
      <c r="X1334" s="11">
        <f t="shared" si="384"/>
        <v>0</v>
      </c>
      <c r="Y1334" s="11">
        <f t="shared" si="395"/>
        <v>0</v>
      </c>
      <c r="Z1334" s="37">
        <v>1</v>
      </c>
      <c r="AA1334" s="36">
        <f t="shared" si="385"/>
        <v>1</v>
      </c>
      <c r="AB1334" s="36">
        <f t="shared" si="386"/>
        <v>0.09</v>
      </c>
      <c r="AC1334" s="11">
        <f t="shared" si="387"/>
        <v>0</v>
      </c>
      <c r="AD1334" s="36">
        <f t="shared" si="396"/>
        <v>0</v>
      </c>
      <c r="AE1334" s="36"/>
      <c r="AF1334" s="36">
        <f>IFERROR(VLOOKUP(AE1334,'Chemical Cost'!A:D,4,0),0)</f>
        <v>0</v>
      </c>
      <c r="AG1334" s="114">
        <f t="shared" si="388"/>
        <v>0</v>
      </c>
      <c r="AH1334" s="36">
        <f t="shared" si="391"/>
        <v>0</v>
      </c>
      <c r="AI1334" s="36">
        <f t="shared" si="397"/>
        <v>0.09</v>
      </c>
      <c r="AJ1334" s="36">
        <f>IFERROR(VLOOKUP(A1334,'All Products'!A:F,6,0),0)</f>
        <v>6.77</v>
      </c>
      <c r="AK1334" s="36"/>
      <c r="AL1334" s="23">
        <v>1</v>
      </c>
      <c r="AM1334" s="23"/>
      <c r="AN1334" s="54" t="e">
        <v>#N/A</v>
      </c>
      <c r="AO1334" s="47"/>
      <c r="AP1334" s="4">
        <v>1.6</v>
      </c>
      <c r="AQ1334" s="111">
        <f t="shared" si="389"/>
        <v>0</v>
      </c>
      <c r="AR1334">
        <f>_xlfn.XLOOKUP(F1334,'RM Cost'!A:A,'RM Cost'!S:S)</f>
        <v>0</v>
      </c>
      <c r="AS1334" t="e">
        <f>_xlfn.XLOOKUP(A1334,[3]Sheet1!$B:$B,[3]Sheet1!$B:$B)</f>
        <v>#N/A</v>
      </c>
    </row>
    <row r="1335" spans="1:46" x14ac:dyDescent="0.25">
      <c r="A1335" s="16" t="s">
        <v>40</v>
      </c>
      <c r="B1335" s="2" t="s">
        <v>552</v>
      </c>
      <c r="C1335" s="2" t="s">
        <v>41</v>
      </c>
      <c r="D1335" s="2" t="s">
        <v>554</v>
      </c>
      <c r="E1335" s="2">
        <v>2.5</v>
      </c>
      <c r="F1335" s="1" t="str">
        <f>VLOOKUP(H1335,'RM Used'!A:B,2,0)</f>
        <v>P0016</v>
      </c>
      <c r="G1335" s="1" t="str">
        <f>IFERROR(VLOOKUP(F1335,'RM Cost'!A:B,2,0),"")</f>
        <v>REY 40 30 BOX</v>
      </c>
      <c r="H1335" s="1" t="s">
        <v>1332</v>
      </c>
      <c r="I1335" s="1" t="str">
        <f>VLOOKUP(F1335,'RM Used'!B:D,3,0)</f>
        <v>RM-PACKING</v>
      </c>
      <c r="J1335" s="66">
        <v>1</v>
      </c>
      <c r="K1335" s="35" t="str">
        <f>IF(I1335="RM-FOOD",J1335*E1335,"")</f>
        <v/>
      </c>
      <c r="L1335" s="35">
        <f t="shared" si="381"/>
        <v>0</v>
      </c>
      <c r="M1335" s="77" t="str" cm="1">
        <f t="array" ref="M1335">_xlfn.IFS(BOM!I1335="RM-PACKING","100%",B1335="Reynolds",VLOOKUP(H1335,'Yield &amp; Time'!A:V,22,0),BOM!B1335="Dnata",VLOOKUP(BOM!H1335,'Yield &amp; Time'!A:M,13,0),B1335="NK",VLOOKUP(H1335,'Yield &amp; Time'!A:X,24,0))</f>
        <v>100%</v>
      </c>
      <c r="N1335" s="35">
        <f>IFERROR(IF(I1335="RM-FOOD",(E1335*J1335)/M1335,1),0)</f>
        <v>1</v>
      </c>
      <c r="O1335" s="1" t="str">
        <f>VLOOKUP(H1335,'RM Used'!A:E,5,0)</f>
        <v>Count</v>
      </c>
      <c r="P1335" s="11">
        <f>VLOOKUP(H1335,'RM Used'!A:F,6,0)</f>
        <v>0.28000000000000003</v>
      </c>
      <c r="Q1335" s="11">
        <f t="shared" si="390"/>
        <v>0.28000000000000003</v>
      </c>
      <c r="R1335" s="11">
        <f>IFERROR(IF(B1335="Reynolds",VLOOKUP(H1335,'Yield &amp; Time'!A:U,21,0),VLOOKUP(H1335,'Yield &amp; Time'!A:L,12,0)),0)</f>
        <v>0</v>
      </c>
      <c r="S1335" s="11">
        <f t="shared" si="382"/>
        <v>0</v>
      </c>
      <c r="T1335" s="11">
        <f t="shared" si="383"/>
        <v>0</v>
      </c>
      <c r="U1335" s="11">
        <f>IF(A1334=A1335,0,VLOOKUP(A1335,'Packing Time'!A:F,6,0))</f>
        <v>0</v>
      </c>
      <c r="V1335" s="11">
        <f>U1335*AO$1</f>
        <v>0</v>
      </c>
      <c r="W1335" s="11">
        <f>(U1335*Z1335)/60</f>
        <v>0</v>
      </c>
      <c r="X1335" s="11">
        <f t="shared" si="384"/>
        <v>0</v>
      </c>
      <c r="Y1335" s="11">
        <f>X1335*Z1335</f>
        <v>0</v>
      </c>
      <c r="Z1335" s="37">
        <v>1</v>
      </c>
      <c r="AA1335" s="36">
        <f t="shared" si="385"/>
        <v>1</v>
      </c>
      <c r="AB1335" s="36">
        <f t="shared" si="386"/>
        <v>0.28000000000000003</v>
      </c>
      <c r="AC1335" s="11">
        <f t="shared" si="387"/>
        <v>0</v>
      </c>
      <c r="AD1335" s="36">
        <f>AC1335*60*AO$1</f>
        <v>0</v>
      </c>
      <c r="AE1335" s="36"/>
      <c r="AF1335" s="36">
        <f>IFERROR(VLOOKUP(AE1335,'Chemical Cost'!A:D,4,0),0)</f>
        <v>0</v>
      </c>
      <c r="AG1335" s="114">
        <f t="shared" si="388"/>
        <v>0</v>
      </c>
      <c r="AH1335" s="36">
        <f t="shared" si="391"/>
        <v>0</v>
      </c>
      <c r="AI1335" s="36">
        <f>IFERROR((Q1335*Z1335)+(Z1335*X1335)+AH1335,0)</f>
        <v>0.28000000000000003</v>
      </c>
      <c r="AJ1335" s="36">
        <f>IFERROR(VLOOKUP(A1335,'All Products'!A:F,6,0),0)</f>
        <v>6.77</v>
      </c>
      <c r="AK1335" s="36"/>
      <c r="AL1335" s="23">
        <v>1</v>
      </c>
      <c r="AM1335" s="23"/>
      <c r="AN1335" s="54" t="e">
        <v>#N/A</v>
      </c>
      <c r="AO1335" s="47"/>
      <c r="AP1335" s="4">
        <v>1.6</v>
      </c>
      <c r="AQ1335" s="111">
        <f t="shared" si="389"/>
        <v>0</v>
      </c>
      <c r="AR1335">
        <f>_xlfn.XLOOKUP(F1335,'RM Cost'!A:A,'RM Cost'!S:S)</f>
        <v>0</v>
      </c>
      <c r="AS1335" t="e">
        <f>_xlfn.XLOOKUP(A1335,[3]Sheet1!$B:$B,[3]Sheet1!$B:$B)</f>
        <v>#N/A</v>
      </c>
    </row>
    <row r="1336" spans="1:46" x14ac:dyDescent="0.25">
      <c r="A1336" s="16" t="s">
        <v>1100</v>
      </c>
      <c r="B1336" s="2" t="s">
        <v>552</v>
      </c>
      <c r="C1336" s="2" t="s">
        <v>1101</v>
      </c>
      <c r="D1336" s="2" t="s">
        <v>981</v>
      </c>
      <c r="E1336" s="2">
        <v>1</v>
      </c>
      <c r="F1336" s="1" t="str">
        <f>VLOOKUP(H1336,'RM Used'!A:B,2,0)</f>
        <v>032ACS</v>
      </c>
      <c r="G1336" s="1" t="str">
        <f>IFERROR(VLOOKUP(F1336,'RM Cost'!A:B,2,0),"")</f>
        <v>RM - LRG PROCESSING CARROT X 1000KG</v>
      </c>
      <c r="H1336" s="2" t="s">
        <v>1647</v>
      </c>
      <c r="I1336" s="1" t="str">
        <f>VLOOKUP(F1336,'RM Used'!B:D,3,0)</f>
        <v>RM-FOOD</v>
      </c>
      <c r="J1336" s="74">
        <v>1</v>
      </c>
      <c r="K1336" s="35">
        <f t="shared" si="392"/>
        <v>1</v>
      </c>
      <c r="L1336" s="35">
        <f t="shared" si="381"/>
        <v>1</v>
      </c>
      <c r="M1336" s="77" cm="1">
        <f t="array" ref="M1336">_xlfn.IFS(BOM!I1336="RM-PACKING","100%",B1336="Reynolds",VLOOKUP(H1336,'Yield &amp; Time'!A:V,22,0),BOM!B1336="Dnata",VLOOKUP(BOM!H1336,'Yield &amp; Time'!A:M,13,0),B1336="NK",VLOOKUP(H1336,'Yield &amp; Time'!A:X,24,0))</f>
        <v>0.24010070493454178</v>
      </c>
      <c r="N1336" s="35">
        <f t="shared" si="398"/>
        <v>4.164919050415234</v>
      </c>
      <c r="O1336" s="1" t="str">
        <f>VLOOKUP(H1336,'RM Used'!A:E,5,0)</f>
        <v>KG</v>
      </c>
      <c r="P1336" s="11">
        <f>VLOOKUP(H1336,'RM Used'!A:F,6,0)</f>
        <v>0.38</v>
      </c>
      <c r="Q1336" s="11">
        <f t="shared" si="390"/>
        <v>1.582669239157789</v>
      </c>
      <c r="R1336" s="11">
        <f>IFERROR(IF(B1336="Reynolds",VLOOKUP(H1336,'Yield &amp; Time'!A:U,21,0),VLOOKUP(H1336,'Yield &amp; Time'!A:L,12,0)),0)</f>
        <v>3.1876520426138746</v>
      </c>
      <c r="S1336" s="11">
        <f t="shared" si="382"/>
        <v>1.0790202164247964</v>
      </c>
      <c r="T1336" s="11">
        <f t="shared" si="383"/>
        <v>5.312753404356458E-2</v>
      </c>
      <c r="U1336" s="11">
        <f>IF(A1335=A1336,0,VLOOKUP(A1336,'Packing Time'!A:F,6,0))</f>
        <v>0.625</v>
      </c>
      <c r="V1336" s="11">
        <f t="shared" si="393"/>
        <v>0.21156249999999999</v>
      </c>
      <c r="W1336" s="11">
        <f t="shared" si="394"/>
        <v>1.0416666666666666E-2</v>
      </c>
      <c r="X1336" s="11">
        <f t="shared" si="384"/>
        <v>2.0649323462796745</v>
      </c>
      <c r="Y1336" s="11">
        <f t="shared" si="395"/>
        <v>2.0649323462796745</v>
      </c>
      <c r="Z1336" s="37">
        <v>1</v>
      </c>
      <c r="AA1336" s="36">
        <f t="shared" si="385"/>
        <v>4.164919050415234</v>
      </c>
      <c r="AB1336" s="36">
        <f t="shared" si="386"/>
        <v>1.582669239157789</v>
      </c>
      <c r="AC1336" s="11">
        <f t="shared" si="387"/>
        <v>0.10167072113636999</v>
      </c>
      <c r="AD1336" s="36">
        <f t="shared" si="396"/>
        <v>2.064932346279674</v>
      </c>
      <c r="AE1336" s="36"/>
      <c r="AF1336" s="36">
        <f>IFERROR(VLOOKUP(AE1336,'Chemical Cost'!A:D,4,0),0)</f>
        <v>0</v>
      </c>
      <c r="AG1336" s="114">
        <f t="shared" si="388"/>
        <v>0</v>
      </c>
      <c r="AH1336" s="36">
        <f t="shared" si="391"/>
        <v>0</v>
      </c>
      <c r="AI1336" s="36">
        <f t="shared" si="397"/>
        <v>3.6476015854374637</v>
      </c>
      <c r="AJ1336" s="36">
        <f>IFERROR(VLOOKUP(A1336,'All Products'!A:F,6,0),0)</f>
        <v>4.5</v>
      </c>
      <c r="AK1336" s="36">
        <f>AJ1336*Z1336*J1336</f>
        <v>4.5</v>
      </c>
      <c r="AL1336" s="23">
        <v>0.19999999999999996</v>
      </c>
      <c r="AM1336" s="23">
        <v>0.8</v>
      </c>
      <c r="AN1336" s="54" t="e">
        <v>#N/A</v>
      </c>
      <c r="AO1336" s="47"/>
      <c r="AP1336" s="4">
        <v>1.6</v>
      </c>
      <c r="AQ1336" s="111">
        <f t="shared" si="389"/>
        <v>0.10167072113636999</v>
      </c>
      <c r="AR1336">
        <f>_xlfn.XLOOKUP(F1336,'RM Cost'!A:A,'RM Cost'!S:S)</f>
        <v>0</v>
      </c>
      <c r="AS1336" t="str">
        <f>_xlfn.XLOOKUP(A1336,[3]Sheet1!$B:$B,[3]Sheet1!$B:$B)</f>
        <v>2010CS</v>
      </c>
      <c r="AT1336">
        <f>_xlfn.XLOOKUP(H1336,'Yield &amp; Time'!A:A,'Yield &amp; Time'!F:F)</f>
        <v>0</v>
      </c>
    </row>
    <row r="1337" spans="1:46" x14ac:dyDescent="0.25">
      <c r="A1337" s="16" t="s">
        <v>1100</v>
      </c>
      <c r="B1337" s="2" t="s">
        <v>552</v>
      </c>
      <c r="C1337" s="2" t="s">
        <v>1101</v>
      </c>
      <c r="D1337" s="2" t="s">
        <v>981</v>
      </c>
      <c r="E1337" s="2">
        <v>1</v>
      </c>
      <c r="F1337" s="1" t="str">
        <f>VLOOKUP(H1337,'RM Used'!A:B,2,0)</f>
        <v>P0018</v>
      </c>
      <c r="G1337" s="1" t="str">
        <f>IFERROR(VLOOKUP(F1337,'RM Cost'!A:B,2,0),"")</f>
        <v>1 LTR   BOTTLE WFP</v>
      </c>
      <c r="H1337" s="2" t="s">
        <v>1336</v>
      </c>
      <c r="I1337" s="1" t="str">
        <f>VLOOKUP(F1337,'RM Used'!B:D,3,0)</f>
        <v>RM-PACKING</v>
      </c>
      <c r="J1337" s="66">
        <v>1</v>
      </c>
      <c r="K1337" s="35" t="str">
        <f t="shared" si="392"/>
        <v/>
      </c>
      <c r="L1337" s="35">
        <f t="shared" si="381"/>
        <v>0</v>
      </c>
      <c r="M1337" s="77" t="str" cm="1">
        <f t="array" ref="M1337">_xlfn.IFS(BOM!I1337="RM-PACKING","100%",B1337="Reynolds",VLOOKUP(H1337,'Yield &amp; Time'!A:V,22,0),BOM!B1337="Dnata",VLOOKUP(BOM!H1337,'Yield &amp; Time'!A:M,13,0),B1337="NK",VLOOKUP(H1337,'Yield &amp; Time'!A:X,24,0))</f>
        <v>100%</v>
      </c>
      <c r="N1337" s="35">
        <f t="shared" si="398"/>
        <v>1</v>
      </c>
      <c r="O1337" s="1" t="str">
        <f>VLOOKUP(H1337,'RM Used'!A:E,5,0)</f>
        <v>Count</v>
      </c>
      <c r="P1337" s="11">
        <f>VLOOKUP(H1337,'RM Used'!A:F,6,0)</f>
        <v>0.27</v>
      </c>
      <c r="Q1337" s="11">
        <f t="shared" si="390"/>
        <v>0.27</v>
      </c>
      <c r="R1337" s="11">
        <f>IFERROR(IF(B1337="Reynolds",VLOOKUP(H1337,'Yield &amp; Time'!A:U,21,0),VLOOKUP(H1337,'Yield &amp; Time'!A:L,12,0)),0)</f>
        <v>0</v>
      </c>
      <c r="S1337" s="11">
        <f t="shared" si="382"/>
        <v>0</v>
      </c>
      <c r="T1337" s="11">
        <f t="shared" si="383"/>
        <v>0</v>
      </c>
      <c r="U1337" s="11">
        <f>IF(A1336=A1337,0,VLOOKUP(A1337,'Packing Time'!A:F,6,0))</f>
        <v>0</v>
      </c>
      <c r="V1337" s="11">
        <f t="shared" si="393"/>
        <v>0</v>
      </c>
      <c r="W1337" s="11">
        <f t="shared" si="394"/>
        <v>0</v>
      </c>
      <c r="X1337" s="11">
        <f t="shared" si="384"/>
        <v>0</v>
      </c>
      <c r="Y1337" s="11">
        <f t="shared" si="395"/>
        <v>0</v>
      </c>
      <c r="Z1337" s="37">
        <v>1</v>
      </c>
      <c r="AA1337" s="36">
        <f t="shared" si="385"/>
        <v>1</v>
      </c>
      <c r="AB1337" s="36">
        <f t="shared" si="386"/>
        <v>0.27</v>
      </c>
      <c r="AC1337" s="11">
        <f t="shared" si="387"/>
        <v>0</v>
      </c>
      <c r="AD1337" s="36">
        <f t="shared" si="396"/>
        <v>0</v>
      </c>
      <c r="AE1337" s="36"/>
      <c r="AF1337" s="36">
        <f>IFERROR(VLOOKUP(AE1337,'Chemical Cost'!A:D,4,0),0)</f>
        <v>0</v>
      </c>
      <c r="AG1337" s="114">
        <f t="shared" si="388"/>
        <v>0</v>
      </c>
      <c r="AH1337" s="36">
        <f t="shared" si="391"/>
        <v>0</v>
      </c>
      <c r="AI1337" s="36">
        <f t="shared" si="397"/>
        <v>0.27</v>
      </c>
      <c r="AJ1337" s="36">
        <f>IFERROR(VLOOKUP(A1337,'All Products'!A:F,6,0),0)</f>
        <v>4.5</v>
      </c>
      <c r="AK1337" s="36"/>
      <c r="AL1337" s="23">
        <v>0.19999999999999996</v>
      </c>
      <c r="AM1337" s="23">
        <v>0.8</v>
      </c>
      <c r="AN1337" s="54" t="e">
        <v>#N/A</v>
      </c>
      <c r="AO1337" s="47"/>
      <c r="AP1337" s="4">
        <v>1.6</v>
      </c>
      <c r="AQ1337" s="111">
        <f t="shared" si="389"/>
        <v>0</v>
      </c>
      <c r="AR1337">
        <f>_xlfn.XLOOKUP(F1337,'RM Cost'!A:A,'RM Cost'!S:S)</f>
        <v>0</v>
      </c>
      <c r="AS1337" t="str">
        <f>_xlfn.XLOOKUP(A1337,[3]Sheet1!$B:$B,[3]Sheet1!$B:$B)</f>
        <v>2010CS</v>
      </c>
      <c r="AT1337" t="e">
        <f>_xlfn.XLOOKUP(H1337,'Yield &amp; Time'!A:A,'Yield &amp; Time'!F:F)</f>
        <v>#N/A</v>
      </c>
    </row>
    <row r="1338" spans="1:46" x14ac:dyDescent="0.25">
      <c r="A1338" s="2" t="s">
        <v>1100</v>
      </c>
      <c r="B1338" s="2" t="s">
        <v>552</v>
      </c>
      <c r="C1338" s="2" t="s">
        <v>1101</v>
      </c>
      <c r="D1338" s="2" t="s">
        <v>981</v>
      </c>
      <c r="E1338" s="2">
        <v>1</v>
      </c>
      <c r="F1338" s="1" t="str">
        <f>VLOOKUP(H1338,'RM Used'!A:B,2,0)</f>
        <v>P0016</v>
      </c>
      <c r="G1338" s="1" t="str">
        <f>IFERROR(VLOOKUP(F1338,'RM Cost'!A:B,2,0),"")</f>
        <v>REY 40 30 BOX</v>
      </c>
      <c r="H1338" s="2" t="s">
        <v>1332</v>
      </c>
      <c r="I1338" s="1" t="str">
        <f>VLOOKUP(F1338,'RM Used'!B:D,3,0)</f>
        <v>RM-PACKING</v>
      </c>
      <c r="J1338" s="66">
        <v>1</v>
      </c>
      <c r="K1338" s="35" t="str">
        <f t="shared" si="392"/>
        <v/>
      </c>
      <c r="L1338" s="35">
        <f t="shared" si="381"/>
        <v>0</v>
      </c>
      <c r="M1338" s="77" t="str" cm="1">
        <f t="array" ref="M1338">_xlfn.IFS(BOM!I1338="RM-PACKING","100%",B1338="Reynolds",VLOOKUP(H1338,'Yield &amp; Time'!A:V,22,0),BOM!B1338="Dnata",VLOOKUP(BOM!H1338,'Yield &amp; Time'!A:M,13,0),B1338="NK",VLOOKUP(H1338,'Yield &amp; Time'!A:X,24,0))</f>
        <v>100%</v>
      </c>
      <c r="N1338" s="35">
        <f t="shared" si="398"/>
        <v>1</v>
      </c>
      <c r="O1338" s="1" t="str">
        <f>VLOOKUP(H1338,'RM Used'!A:E,5,0)</f>
        <v>Count</v>
      </c>
      <c r="P1338" s="11">
        <f>VLOOKUP(H1338,'RM Used'!A:F,6,0)</f>
        <v>0.28000000000000003</v>
      </c>
      <c r="Q1338" s="11">
        <f t="shared" si="390"/>
        <v>0.28000000000000003</v>
      </c>
      <c r="R1338" s="11">
        <f>IFERROR(IF(B1338="Reynolds",VLOOKUP(H1338,'Yield &amp; Time'!A:U,21,0),VLOOKUP(H1338,'Yield &amp; Time'!A:L,12,0)),0)</f>
        <v>0</v>
      </c>
      <c r="S1338" s="11">
        <f t="shared" si="382"/>
        <v>0</v>
      </c>
      <c r="T1338" s="11">
        <f t="shared" si="383"/>
        <v>0</v>
      </c>
      <c r="U1338" s="11">
        <f>IF(A1337=A1338,0,VLOOKUP(A1338,'Packing Time'!A:F,6,0))</f>
        <v>0</v>
      </c>
      <c r="V1338" s="11">
        <f t="shared" si="393"/>
        <v>0</v>
      </c>
      <c r="W1338" s="11">
        <f t="shared" si="394"/>
        <v>0</v>
      </c>
      <c r="X1338" s="11">
        <f t="shared" si="384"/>
        <v>0</v>
      </c>
      <c r="Y1338" s="11">
        <f t="shared" si="395"/>
        <v>0</v>
      </c>
      <c r="Z1338" s="37">
        <v>1</v>
      </c>
      <c r="AA1338" s="36">
        <f t="shared" si="385"/>
        <v>1</v>
      </c>
      <c r="AB1338" s="36">
        <f t="shared" si="386"/>
        <v>0.28000000000000003</v>
      </c>
      <c r="AC1338" s="11">
        <f t="shared" si="387"/>
        <v>0</v>
      </c>
      <c r="AD1338" s="36">
        <f t="shared" si="396"/>
        <v>0</v>
      </c>
      <c r="AE1338" s="36"/>
      <c r="AF1338" s="36">
        <f>IFERROR(VLOOKUP(AE1338,'Chemical Cost'!A:D,4,0),0)</f>
        <v>0</v>
      </c>
      <c r="AG1338" s="114">
        <f t="shared" si="388"/>
        <v>0</v>
      </c>
      <c r="AH1338" s="36">
        <f t="shared" si="391"/>
        <v>0</v>
      </c>
      <c r="AI1338" s="36">
        <f t="shared" si="397"/>
        <v>0.28000000000000003</v>
      </c>
      <c r="AJ1338" s="36">
        <f>IFERROR(VLOOKUP(A1338,'All Products'!A:F,6,0),0)</f>
        <v>4.5</v>
      </c>
      <c r="AK1338" s="36"/>
      <c r="AL1338" s="23">
        <v>0.19999999999999996</v>
      </c>
      <c r="AM1338" s="23">
        <v>0.8</v>
      </c>
      <c r="AN1338" s="54" t="e">
        <v>#N/A</v>
      </c>
      <c r="AO1338" s="47"/>
      <c r="AP1338" s="4">
        <v>1.6</v>
      </c>
      <c r="AQ1338" s="111">
        <f t="shared" si="389"/>
        <v>0</v>
      </c>
      <c r="AR1338">
        <f>_xlfn.XLOOKUP(F1338,'RM Cost'!A:A,'RM Cost'!S:S)</f>
        <v>0</v>
      </c>
      <c r="AS1338" t="str">
        <f>_xlfn.XLOOKUP(A1338,[3]Sheet1!$B:$B,[3]Sheet1!$B:$B)</f>
        <v>2010CS</v>
      </c>
      <c r="AT1338" t="e">
        <f>_xlfn.XLOOKUP(H1338,'Yield &amp; Time'!A:A,'Yield &amp; Time'!F:F)</f>
        <v>#N/A</v>
      </c>
    </row>
    <row r="1339" spans="1:46" x14ac:dyDescent="0.25">
      <c r="A1339" s="16" t="s">
        <v>1102</v>
      </c>
      <c r="B1339" s="2" t="s">
        <v>552</v>
      </c>
      <c r="C1339" s="2" t="s">
        <v>1103</v>
      </c>
      <c r="D1339" s="2" t="s">
        <v>554</v>
      </c>
      <c r="E1339" s="2">
        <v>1</v>
      </c>
      <c r="F1339" s="1" t="str">
        <f>VLOOKUP(H1339,'RM Used'!A:B,2,0)</f>
        <v>032ACS</v>
      </c>
      <c r="G1339" s="1" t="str">
        <f>IFERROR(VLOOKUP(F1339,'RM Cost'!A:B,2,0),"")</f>
        <v>RM - LRG PROCESSING CARROT X 1000KG</v>
      </c>
      <c r="H1339" s="2" t="s">
        <v>1648</v>
      </c>
      <c r="I1339" s="1" t="str">
        <f>VLOOKUP(F1339,'RM Used'!B:D,3,0)</f>
        <v>RM-FOOD</v>
      </c>
      <c r="J1339" s="74">
        <v>1</v>
      </c>
      <c r="K1339" s="35">
        <f t="shared" si="392"/>
        <v>1</v>
      </c>
      <c r="L1339" s="35">
        <f t="shared" si="381"/>
        <v>1</v>
      </c>
      <c r="M1339" s="77" cm="1">
        <f t="array" ref="M1339">_xlfn.IFS(BOM!I1339="RM-PACKING","100%",B1339="Reynolds",VLOOKUP(H1339,'Yield &amp; Time'!A:V,22,0),BOM!B1339="Dnata",VLOOKUP(BOM!H1339,'Yield &amp; Time'!A:M,13,0),B1339="NK",VLOOKUP(H1339,'Yield &amp; Time'!A:X,24,0))</f>
        <v>0.71222563837881381</v>
      </c>
      <c r="N1339" s="35">
        <f t="shared" si="398"/>
        <v>1.4040494277575088</v>
      </c>
      <c r="O1339" s="1" t="str">
        <f>VLOOKUP(H1339,'RM Used'!A:E,5,0)</f>
        <v>KG</v>
      </c>
      <c r="P1339" s="11">
        <f>VLOOKUP(H1339,'RM Used'!A:F,6,0)</f>
        <v>0.38</v>
      </c>
      <c r="Q1339" s="11">
        <f t="shared" si="390"/>
        <v>0.53353878254785336</v>
      </c>
      <c r="R1339" s="11">
        <f>IFERROR(IF(B1339="Reynolds",VLOOKUP(H1339,'Yield &amp; Time'!A:U,21,0),VLOOKUP(H1339,'Yield &amp; Time'!A:L,12,0)),0)</f>
        <v>1.2525214347987847</v>
      </c>
      <c r="S1339" s="11">
        <f t="shared" si="382"/>
        <v>0.42397850567938861</v>
      </c>
      <c r="T1339" s="11">
        <f t="shared" si="383"/>
        <v>2.0875357246646412E-2</v>
      </c>
      <c r="U1339" s="11">
        <f>IF(A1338=A1339,0,VLOOKUP(A1339,'Packing Time'!A:F,6,0))</f>
        <v>0.64500000000000002</v>
      </c>
      <c r="V1339" s="11">
        <f t="shared" si="393"/>
        <v>0.21833249999999998</v>
      </c>
      <c r="W1339" s="11">
        <f t="shared" si="394"/>
        <v>1.0750000000000001E-2</v>
      </c>
      <c r="X1339" s="11">
        <f t="shared" si="384"/>
        <v>1.0276976090870218</v>
      </c>
      <c r="Y1339" s="11">
        <f t="shared" si="395"/>
        <v>1.0276976090870218</v>
      </c>
      <c r="Z1339" s="37">
        <v>1</v>
      </c>
      <c r="AA1339" s="36">
        <f t="shared" si="385"/>
        <v>1.4040494277575088</v>
      </c>
      <c r="AB1339" s="36">
        <f t="shared" si="386"/>
        <v>0.53353878254785336</v>
      </c>
      <c r="AC1339" s="11">
        <f t="shared" si="387"/>
        <v>5.0600571594634262E-2</v>
      </c>
      <c r="AD1339" s="36">
        <f t="shared" si="396"/>
        <v>1.0276976090870218</v>
      </c>
      <c r="AE1339" s="36"/>
      <c r="AF1339" s="36">
        <f>IFERROR(VLOOKUP(AE1339,'Chemical Cost'!A:D,4,0),0)</f>
        <v>0</v>
      </c>
      <c r="AG1339" s="114">
        <f t="shared" si="388"/>
        <v>0</v>
      </c>
      <c r="AH1339" s="36">
        <f t="shared" si="391"/>
        <v>0</v>
      </c>
      <c r="AI1339" s="36">
        <f t="shared" si="397"/>
        <v>1.5612363916348753</v>
      </c>
      <c r="AJ1339" s="36">
        <f>IFERROR(VLOOKUP(A1339,'All Products'!A:F,6,0),0)</f>
        <v>0.89</v>
      </c>
      <c r="AK1339" s="36">
        <f>AJ1339*Z1339*J1339</f>
        <v>0.89</v>
      </c>
      <c r="AL1339" s="23">
        <v>1</v>
      </c>
      <c r="AM1339" s="23"/>
      <c r="AN1339" s="54" t="e">
        <v>#N/A</v>
      </c>
      <c r="AO1339" s="47"/>
      <c r="AP1339" s="4">
        <v>1.6</v>
      </c>
      <c r="AQ1339" s="111">
        <f t="shared" si="389"/>
        <v>5.0600571594634262E-2</v>
      </c>
      <c r="AR1339">
        <f>_xlfn.XLOOKUP(F1339,'RM Cost'!A:A,'RM Cost'!S:S)</f>
        <v>0</v>
      </c>
      <c r="AS1339" t="e">
        <f>_xlfn.XLOOKUP(A1339,[3]Sheet1!$B:$B,[3]Sheet1!$B:$B)</f>
        <v>#N/A</v>
      </c>
    </row>
    <row r="1340" spans="1:46" x14ac:dyDescent="0.25">
      <c r="A1340" s="16" t="s">
        <v>1102</v>
      </c>
      <c r="B1340" s="2" t="s">
        <v>552</v>
      </c>
      <c r="C1340" s="2" t="s">
        <v>1103</v>
      </c>
      <c r="D1340" s="2" t="s">
        <v>554</v>
      </c>
      <c r="E1340" s="2">
        <v>1</v>
      </c>
      <c r="F1340" s="1" t="str">
        <f>VLOOKUP(H1340,'RM Used'!A:B,2,0)</f>
        <v>P0020</v>
      </c>
      <c r="G1340" s="1" t="str">
        <f>IFERROR(VLOOKUP(F1340,'RM Cost'!A:B,2,0),"")</f>
        <v>PALE BLUE BAG 430X430MM</v>
      </c>
      <c r="H1340" s="2" t="s">
        <v>1659</v>
      </c>
      <c r="I1340" s="1" t="str">
        <f>VLOOKUP(F1340,'RM Used'!B:D,3,0)</f>
        <v>RM-PACKING</v>
      </c>
      <c r="J1340" s="66">
        <v>1</v>
      </c>
      <c r="K1340" s="35" t="str">
        <f t="shared" si="392"/>
        <v/>
      </c>
      <c r="L1340" s="35">
        <f t="shared" si="381"/>
        <v>0</v>
      </c>
      <c r="M1340" s="77" t="str" cm="1">
        <f t="array" ref="M1340">_xlfn.IFS(BOM!I1340="RM-PACKING","100%",B1340="Reynolds",VLOOKUP(H1340,'Yield &amp; Time'!A:V,22,0),BOM!B1340="Dnata",VLOOKUP(BOM!H1340,'Yield &amp; Time'!A:M,13,0),B1340="NK",VLOOKUP(H1340,'Yield &amp; Time'!A:X,24,0))</f>
        <v>100%</v>
      </c>
      <c r="N1340" s="35">
        <f t="shared" si="398"/>
        <v>1</v>
      </c>
      <c r="O1340" s="1" t="str">
        <f>VLOOKUP(H1340,'RM Used'!A:E,5,0)</f>
        <v>Count</v>
      </c>
      <c r="P1340" s="11">
        <f>VLOOKUP(H1340,'RM Used'!A:F,6,0)</f>
        <v>0.09</v>
      </c>
      <c r="Q1340" s="11">
        <f t="shared" si="390"/>
        <v>0.09</v>
      </c>
      <c r="R1340" s="11">
        <f>IFERROR(IF(B1340="Reynolds",VLOOKUP(H1340,'Yield &amp; Time'!A:U,21,0),VLOOKUP(H1340,'Yield &amp; Time'!A:L,12,0)),0)</f>
        <v>0</v>
      </c>
      <c r="S1340" s="11">
        <f t="shared" si="382"/>
        <v>0</v>
      </c>
      <c r="T1340" s="11">
        <f t="shared" si="383"/>
        <v>0</v>
      </c>
      <c r="U1340" s="11">
        <f>IF(A1339=A1340,0,VLOOKUP(A1340,'Packing Time'!A:F,6,0))</f>
        <v>0</v>
      </c>
      <c r="V1340" s="11">
        <f t="shared" si="393"/>
        <v>0</v>
      </c>
      <c r="W1340" s="11">
        <f t="shared" si="394"/>
        <v>0</v>
      </c>
      <c r="X1340" s="11">
        <f t="shared" si="384"/>
        <v>0</v>
      </c>
      <c r="Y1340" s="11">
        <f t="shared" si="395"/>
        <v>0</v>
      </c>
      <c r="Z1340" s="37">
        <v>1</v>
      </c>
      <c r="AA1340" s="36">
        <f t="shared" si="385"/>
        <v>1</v>
      </c>
      <c r="AB1340" s="36">
        <f t="shared" si="386"/>
        <v>0.09</v>
      </c>
      <c r="AC1340" s="11">
        <f t="shared" si="387"/>
        <v>0</v>
      </c>
      <c r="AD1340" s="36">
        <f t="shared" si="396"/>
        <v>0</v>
      </c>
      <c r="AE1340" s="36"/>
      <c r="AF1340" s="36">
        <f>IFERROR(VLOOKUP(AE1340,'Chemical Cost'!A:D,4,0),0)</f>
        <v>0</v>
      </c>
      <c r="AG1340" s="114">
        <f t="shared" si="388"/>
        <v>0</v>
      </c>
      <c r="AH1340" s="36">
        <f t="shared" si="391"/>
        <v>0</v>
      </c>
      <c r="AI1340" s="36">
        <f t="shared" si="397"/>
        <v>0.09</v>
      </c>
      <c r="AJ1340" s="36">
        <f>IFERROR(VLOOKUP(A1340,'All Products'!A:F,6,0),0)</f>
        <v>0.89</v>
      </c>
      <c r="AK1340" s="36"/>
      <c r="AL1340" s="23">
        <v>1</v>
      </c>
      <c r="AM1340" s="23"/>
      <c r="AN1340" s="54" t="e">
        <v>#N/A</v>
      </c>
      <c r="AO1340" s="47"/>
      <c r="AP1340" s="4">
        <v>1.6</v>
      </c>
      <c r="AQ1340" s="111">
        <f t="shared" si="389"/>
        <v>0</v>
      </c>
      <c r="AR1340">
        <f>_xlfn.XLOOKUP(F1340,'RM Cost'!A:A,'RM Cost'!S:S)</f>
        <v>0</v>
      </c>
      <c r="AS1340" t="e">
        <f>_xlfn.XLOOKUP(A1340,[3]Sheet1!$B:$B,[3]Sheet1!$B:$B)</f>
        <v>#N/A</v>
      </c>
    </row>
    <row r="1341" spans="1:46" x14ac:dyDescent="0.25">
      <c r="A1341" s="16" t="s">
        <v>1102</v>
      </c>
      <c r="B1341" s="2" t="s">
        <v>552</v>
      </c>
      <c r="C1341" s="2" t="s">
        <v>1103</v>
      </c>
      <c r="D1341" s="2" t="s">
        <v>554</v>
      </c>
      <c r="E1341" s="2">
        <v>1</v>
      </c>
      <c r="F1341" s="1" t="str">
        <f>VLOOKUP(H1341,'RM Used'!A:B,2,0)</f>
        <v>P0016</v>
      </c>
      <c r="G1341" s="1" t="str">
        <f>IFERROR(VLOOKUP(F1341,'RM Cost'!A:B,2,0),"")</f>
        <v>REY 40 30 BOX</v>
      </c>
      <c r="H1341" s="1" t="s">
        <v>1332</v>
      </c>
      <c r="I1341" s="1" t="str">
        <f>VLOOKUP(F1341,'RM Used'!B:D,3,0)</f>
        <v>RM-PACKING</v>
      </c>
      <c r="J1341" s="66">
        <v>1</v>
      </c>
      <c r="K1341" s="35" t="str">
        <f>IF(I1341="RM-FOOD",J1341*E1341,"")</f>
        <v/>
      </c>
      <c r="L1341" s="35">
        <f t="shared" si="381"/>
        <v>0</v>
      </c>
      <c r="M1341" s="77" t="str" cm="1">
        <f t="array" ref="M1341">_xlfn.IFS(BOM!I1341="RM-PACKING","100%",B1341="Reynolds",VLOOKUP(H1341,'Yield &amp; Time'!A:V,22,0),BOM!B1341="Dnata",VLOOKUP(BOM!H1341,'Yield &amp; Time'!A:M,13,0),B1341="NK",VLOOKUP(H1341,'Yield &amp; Time'!A:X,24,0))</f>
        <v>100%</v>
      </c>
      <c r="N1341" s="35">
        <f>IFERROR(IF(I1341="RM-FOOD",(E1341*J1341)/M1341,1),0)</f>
        <v>1</v>
      </c>
      <c r="O1341" s="1" t="str">
        <f>VLOOKUP(H1341,'RM Used'!A:E,5,0)</f>
        <v>Count</v>
      </c>
      <c r="P1341" s="11">
        <f>VLOOKUP(H1341,'RM Used'!A:F,6,0)</f>
        <v>0.28000000000000003</v>
      </c>
      <c r="Q1341" s="11">
        <f t="shared" si="390"/>
        <v>0.28000000000000003</v>
      </c>
      <c r="R1341" s="11">
        <f>IFERROR(IF(B1341="Reynolds",VLOOKUP(H1341,'Yield &amp; Time'!A:U,21,0),VLOOKUP(H1341,'Yield &amp; Time'!A:L,12,0)),0)</f>
        <v>0</v>
      </c>
      <c r="S1341" s="11">
        <f t="shared" si="382"/>
        <v>0</v>
      </c>
      <c r="T1341" s="11">
        <f t="shared" si="383"/>
        <v>0</v>
      </c>
      <c r="U1341" s="11">
        <f>IF(A1340=A1341,0,VLOOKUP(A1341,'Packing Time'!A:F,6,0))</f>
        <v>0</v>
      </c>
      <c r="V1341" s="11">
        <f>U1341*AO$1</f>
        <v>0</v>
      </c>
      <c r="W1341" s="11">
        <f>(U1341*Z1341)/60</f>
        <v>0</v>
      </c>
      <c r="X1341" s="11">
        <f t="shared" si="384"/>
        <v>0</v>
      </c>
      <c r="Y1341" s="11">
        <f>X1341*Z1341</f>
        <v>0</v>
      </c>
      <c r="Z1341" s="37">
        <v>1</v>
      </c>
      <c r="AA1341" s="36">
        <f t="shared" si="385"/>
        <v>1</v>
      </c>
      <c r="AB1341" s="36">
        <f t="shared" si="386"/>
        <v>0.28000000000000003</v>
      </c>
      <c r="AC1341" s="11">
        <f t="shared" si="387"/>
        <v>0</v>
      </c>
      <c r="AD1341" s="36">
        <f>AC1341*60*AO$1</f>
        <v>0</v>
      </c>
      <c r="AE1341" s="36"/>
      <c r="AF1341" s="36">
        <f>IFERROR(VLOOKUP(AE1341,'Chemical Cost'!A:D,4,0),0)</f>
        <v>0</v>
      </c>
      <c r="AG1341" s="114">
        <f t="shared" si="388"/>
        <v>0</v>
      </c>
      <c r="AH1341" s="36">
        <f t="shared" si="391"/>
        <v>0</v>
      </c>
      <c r="AI1341" s="36">
        <f>IFERROR((Q1341*Z1341)+(Z1341*X1341)+AH1341,0)</f>
        <v>0.28000000000000003</v>
      </c>
      <c r="AJ1341" s="36">
        <f>IFERROR(VLOOKUP(A1341,'All Products'!A:F,6,0),0)</f>
        <v>0.89</v>
      </c>
      <c r="AK1341" s="36"/>
      <c r="AL1341" s="23"/>
      <c r="AM1341" s="23"/>
      <c r="AN1341" s="54" t="e">
        <v>#N/A</v>
      </c>
      <c r="AO1341" s="47"/>
      <c r="AP1341" s="4">
        <v>1.6</v>
      </c>
      <c r="AQ1341" s="111">
        <f t="shared" si="389"/>
        <v>0</v>
      </c>
      <c r="AR1341">
        <f>_xlfn.XLOOKUP(F1341,'RM Cost'!A:A,'RM Cost'!S:S)</f>
        <v>0</v>
      </c>
      <c r="AS1341" t="e">
        <f>_xlfn.XLOOKUP(A1341,[3]Sheet1!$B:$B,[3]Sheet1!$B:$B)</f>
        <v>#N/A</v>
      </c>
    </row>
    <row r="1342" spans="1:46" x14ac:dyDescent="0.25">
      <c r="A1342" s="16" t="s">
        <v>1104</v>
      </c>
      <c r="B1342" s="2" t="s">
        <v>552</v>
      </c>
      <c r="C1342" s="2" t="s">
        <v>1105</v>
      </c>
      <c r="D1342" s="2" t="s">
        <v>554</v>
      </c>
      <c r="E1342" s="2">
        <v>1</v>
      </c>
      <c r="F1342" s="1" t="str">
        <f>VLOOKUP(H1342,'RM Used'!A:B,2,0)</f>
        <v>023ACS</v>
      </c>
      <c r="G1342" s="1" t="str">
        <f>IFERROR(VLOOKUP(F1342,'RM Cost'!A:B,2,0),"")</f>
        <v>RM - SHALLOT BANANA 1X20KG</v>
      </c>
      <c r="H1342" s="2" t="s">
        <v>1649</v>
      </c>
      <c r="I1342" s="1" t="str">
        <f>VLOOKUP(F1342,'RM Used'!B:D,3,0)</f>
        <v>RM-FOOD</v>
      </c>
      <c r="J1342" s="74">
        <v>1</v>
      </c>
      <c r="K1342" s="35">
        <f t="shared" si="392"/>
        <v>1</v>
      </c>
      <c r="L1342" s="35">
        <f t="shared" si="381"/>
        <v>1</v>
      </c>
      <c r="M1342" s="77" cm="1">
        <f t="array" ref="M1342">_xlfn.IFS(BOM!I1342="RM-PACKING","100%",B1342="Reynolds",VLOOKUP(H1342,'Yield &amp; Time'!A:V,22,0),BOM!B1342="Dnata",VLOOKUP(BOM!H1342,'Yield &amp; Time'!A:M,13,0),B1342="NK",VLOOKUP(H1342,'Yield &amp; Time'!A:X,24,0))</f>
        <v>0.81408450704225344</v>
      </c>
      <c r="N1342" s="35">
        <f t="shared" si="398"/>
        <v>1.2283737024221455</v>
      </c>
      <c r="O1342" s="1" t="str">
        <f>VLOOKUP(H1342,'RM Used'!A:E,5,0)</f>
        <v>KG</v>
      </c>
      <c r="P1342" s="11">
        <f>VLOOKUP(H1342,'RM Used'!A:F,6,0)</f>
        <v>0.92</v>
      </c>
      <c r="Q1342" s="11">
        <f t="shared" si="390"/>
        <v>1.1301038062283739</v>
      </c>
      <c r="R1342" s="11">
        <f>IFERROR(IF(B1342="Reynolds",VLOOKUP(H1342,'Yield &amp; Time'!A:U,21,0),VLOOKUP(H1342,'Yield &amp; Time'!A:L,12,0)),0)</f>
        <v>4.1522491349480974</v>
      </c>
      <c r="S1342" s="11">
        <f t="shared" si="382"/>
        <v>1.4055363321799308</v>
      </c>
      <c r="T1342" s="11">
        <f t="shared" si="383"/>
        <v>6.9204152249134954E-2</v>
      </c>
      <c r="U1342" s="11">
        <f>IF(A1341=A1342,0,VLOOKUP(A1342,'Packing Time'!A:F,6,0))</f>
        <v>0.64500000000000002</v>
      </c>
      <c r="V1342" s="11">
        <f t="shared" si="393"/>
        <v>0.21833249999999998</v>
      </c>
      <c r="W1342" s="11">
        <f t="shared" si="394"/>
        <v>1.0750000000000001E-2</v>
      </c>
      <c r="X1342" s="11">
        <f t="shared" si="384"/>
        <v>2.5981901314878897</v>
      </c>
      <c r="Y1342" s="11">
        <f t="shared" si="395"/>
        <v>2.5981901314878897</v>
      </c>
      <c r="Z1342" s="37">
        <v>1</v>
      </c>
      <c r="AA1342" s="36">
        <f t="shared" si="385"/>
        <v>1.2283737024221455</v>
      </c>
      <c r="AB1342" s="36">
        <f t="shared" si="386"/>
        <v>1.1301038062283739</v>
      </c>
      <c r="AC1342" s="11">
        <f t="shared" si="387"/>
        <v>0.12792664359861594</v>
      </c>
      <c r="AD1342" s="36">
        <f t="shared" si="396"/>
        <v>2.5981901314878897</v>
      </c>
      <c r="AE1342" s="36"/>
      <c r="AF1342" s="36">
        <f>IFERROR(VLOOKUP(AE1342,'Chemical Cost'!A:D,4,0),0)</f>
        <v>0</v>
      </c>
      <c r="AG1342" s="114">
        <f t="shared" si="388"/>
        <v>0</v>
      </c>
      <c r="AH1342" s="36">
        <f t="shared" si="391"/>
        <v>0</v>
      </c>
      <c r="AI1342" s="36">
        <f t="shared" si="397"/>
        <v>3.7282939377162636</v>
      </c>
      <c r="AJ1342" s="36">
        <f>IFERROR(VLOOKUP(A1342,'All Products'!A:F,6,0),0)</f>
        <v>3.02</v>
      </c>
      <c r="AK1342" s="36">
        <f>AJ1342*Z1342*J1342</f>
        <v>3.02</v>
      </c>
      <c r="AL1342" s="23">
        <v>1</v>
      </c>
      <c r="AM1342" s="23"/>
      <c r="AN1342" s="54" t="e">
        <v>#N/A</v>
      </c>
      <c r="AO1342" s="47"/>
      <c r="AP1342" s="4">
        <v>1.6</v>
      </c>
      <c r="AQ1342" s="111">
        <f t="shared" si="389"/>
        <v>0.12792664359861594</v>
      </c>
      <c r="AR1342">
        <f>_xlfn.XLOOKUP(F1342,'RM Cost'!A:A,'RM Cost'!S:S)</f>
        <v>0</v>
      </c>
      <c r="AS1342" t="e">
        <f>_xlfn.XLOOKUP(A1342,[3]Sheet1!$B:$B,[3]Sheet1!$B:$B)</f>
        <v>#N/A</v>
      </c>
    </row>
    <row r="1343" spans="1:46" x14ac:dyDescent="0.25">
      <c r="A1343" s="16" t="s">
        <v>1104</v>
      </c>
      <c r="B1343" s="2" t="s">
        <v>552</v>
      </c>
      <c r="C1343" s="2" t="s">
        <v>1105</v>
      </c>
      <c r="D1343" s="2" t="s">
        <v>554</v>
      </c>
      <c r="E1343" s="2">
        <v>1</v>
      </c>
      <c r="F1343" s="1" t="str">
        <f>VLOOKUP(H1343,'RM Used'!A:B,2,0)</f>
        <v>P0020</v>
      </c>
      <c r="G1343" s="1" t="str">
        <f>IFERROR(VLOOKUP(F1343,'RM Cost'!A:B,2,0),"")</f>
        <v>PALE BLUE BAG 430X430MM</v>
      </c>
      <c r="H1343" s="2" t="s">
        <v>1659</v>
      </c>
      <c r="I1343" s="1" t="str">
        <f>VLOOKUP(F1343,'RM Used'!B:D,3,0)</f>
        <v>RM-PACKING</v>
      </c>
      <c r="J1343" s="66">
        <v>1</v>
      </c>
      <c r="K1343" s="35" t="str">
        <f t="shared" si="392"/>
        <v/>
      </c>
      <c r="L1343" s="35">
        <f t="shared" si="381"/>
        <v>0</v>
      </c>
      <c r="M1343" s="77" t="str" cm="1">
        <f t="array" ref="M1343">_xlfn.IFS(BOM!I1343="RM-PACKING","100%",B1343="Reynolds",VLOOKUP(H1343,'Yield &amp; Time'!A:V,22,0),BOM!B1343="Dnata",VLOOKUP(BOM!H1343,'Yield &amp; Time'!A:M,13,0),B1343="NK",VLOOKUP(H1343,'Yield &amp; Time'!A:X,24,0))</f>
        <v>100%</v>
      </c>
      <c r="N1343" s="35">
        <f t="shared" si="398"/>
        <v>1</v>
      </c>
      <c r="O1343" s="1" t="str">
        <f>VLOOKUP(H1343,'RM Used'!A:E,5,0)</f>
        <v>Count</v>
      </c>
      <c r="P1343" s="11">
        <f>VLOOKUP(H1343,'RM Used'!A:F,6,0)</f>
        <v>0.09</v>
      </c>
      <c r="Q1343" s="11">
        <f t="shared" si="390"/>
        <v>0.09</v>
      </c>
      <c r="R1343" s="11">
        <f>IFERROR(IF(B1343="Reynolds",VLOOKUP(H1343,'Yield &amp; Time'!A:U,21,0),VLOOKUP(H1343,'Yield &amp; Time'!A:L,12,0)),0)</f>
        <v>0</v>
      </c>
      <c r="S1343" s="11">
        <f t="shared" si="382"/>
        <v>0</v>
      </c>
      <c r="T1343" s="11">
        <f t="shared" si="383"/>
        <v>0</v>
      </c>
      <c r="U1343" s="11">
        <f>IF(A1342=A1343,0,VLOOKUP(A1343,'Packing Time'!A:F,6,0))</f>
        <v>0</v>
      </c>
      <c r="V1343" s="11">
        <f t="shared" si="393"/>
        <v>0</v>
      </c>
      <c r="W1343" s="11">
        <f t="shared" si="394"/>
        <v>0</v>
      </c>
      <c r="X1343" s="11">
        <f t="shared" si="384"/>
        <v>0</v>
      </c>
      <c r="Y1343" s="11">
        <f t="shared" si="395"/>
        <v>0</v>
      </c>
      <c r="Z1343" s="37">
        <v>1</v>
      </c>
      <c r="AA1343" s="36">
        <f t="shared" si="385"/>
        <v>1</v>
      </c>
      <c r="AB1343" s="36">
        <f t="shared" si="386"/>
        <v>0.09</v>
      </c>
      <c r="AC1343" s="11">
        <f t="shared" si="387"/>
        <v>0</v>
      </c>
      <c r="AD1343" s="36">
        <f t="shared" si="396"/>
        <v>0</v>
      </c>
      <c r="AE1343" s="36"/>
      <c r="AF1343" s="36">
        <f>IFERROR(VLOOKUP(AE1343,'Chemical Cost'!A:D,4,0),0)</f>
        <v>0</v>
      </c>
      <c r="AG1343" s="114">
        <f t="shared" si="388"/>
        <v>0</v>
      </c>
      <c r="AH1343" s="36">
        <f t="shared" si="391"/>
        <v>0</v>
      </c>
      <c r="AI1343" s="36">
        <f t="shared" si="397"/>
        <v>0.09</v>
      </c>
      <c r="AJ1343" s="36">
        <f>IFERROR(VLOOKUP(A1343,'All Products'!A:F,6,0),0)</f>
        <v>3.02</v>
      </c>
      <c r="AK1343" s="36"/>
      <c r="AL1343" s="23">
        <v>1</v>
      </c>
      <c r="AM1343" s="23"/>
      <c r="AN1343" s="54" t="e">
        <v>#N/A</v>
      </c>
      <c r="AO1343" s="47"/>
      <c r="AP1343" s="4">
        <v>1.6</v>
      </c>
      <c r="AQ1343" s="111">
        <f t="shared" si="389"/>
        <v>0</v>
      </c>
      <c r="AR1343">
        <f>_xlfn.XLOOKUP(F1343,'RM Cost'!A:A,'RM Cost'!S:S)</f>
        <v>0</v>
      </c>
      <c r="AS1343" t="e">
        <f>_xlfn.XLOOKUP(A1343,[3]Sheet1!$B:$B,[3]Sheet1!$B:$B)</f>
        <v>#N/A</v>
      </c>
    </row>
    <row r="1344" spans="1:46" x14ac:dyDescent="0.25">
      <c r="A1344" s="16" t="s">
        <v>1104</v>
      </c>
      <c r="B1344" s="2" t="s">
        <v>552</v>
      </c>
      <c r="C1344" s="2" t="s">
        <v>1105</v>
      </c>
      <c r="D1344" s="2" t="s">
        <v>554</v>
      </c>
      <c r="E1344" s="2">
        <v>1</v>
      </c>
      <c r="F1344" s="1" t="str">
        <f>VLOOKUP(H1344,'RM Used'!A:B,2,0)</f>
        <v>P0016</v>
      </c>
      <c r="G1344" s="1" t="str">
        <f>IFERROR(VLOOKUP(F1344,'RM Cost'!A:B,2,0),"")</f>
        <v>REY 40 30 BOX</v>
      </c>
      <c r="H1344" s="1" t="s">
        <v>1332</v>
      </c>
      <c r="I1344" s="1" t="str">
        <f>VLOOKUP(F1344,'RM Used'!B:D,3,0)</f>
        <v>RM-PACKING</v>
      </c>
      <c r="J1344" s="66">
        <v>1</v>
      </c>
      <c r="K1344" s="35" t="str">
        <f>IF(I1344="RM-FOOD",J1344*E1344,"")</f>
        <v/>
      </c>
      <c r="L1344" s="35">
        <f t="shared" si="381"/>
        <v>0</v>
      </c>
      <c r="M1344" s="77" t="str" cm="1">
        <f t="array" ref="M1344">_xlfn.IFS(BOM!I1344="RM-PACKING","100%",B1344="Reynolds",VLOOKUP(H1344,'Yield &amp; Time'!A:V,22,0),BOM!B1344="Dnata",VLOOKUP(BOM!H1344,'Yield &amp; Time'!A:M,13,0),B1344="NK",VLOOKUP(H1344,'Yield &amp; Time'!A:X,24,0))</f>
        <v>100%</v>
      </c>
      <c r="N1344" s="35">
        <f>IFERROR(IF(I1344="RM-FOOD",(E1344*J1344)/M1344,1),0)</f>
        <v>1</v>
      </c>
      <c r="O1344" s="1" t="str">
        <f>VLOOKUP(H1344,'RM Used'!A:E,5,0)</f>
        <v>Count</v>
      </c>
      <c r="P1344" s="11">
        <f>VLOOKUP(H1344,'RM Used'!A:F,6,0)</f>
        <v>0.28000000000000003</v>
      </c>
      <c r="Q1344" s="11">
        <f t="shared" si="390"/>
        <v>0.28000000000000003</v>
      </c>
      <c r="R1344" s="11">
        <f>IFERROR(IF(B1344="Reynolds",VLOOKUP(H1344,'Yield &amp; Time'!A:U,21,0),VLOOKUP(H1344,'Yield &amp; Time'!A:L,12,0)),0)</f>
        <v>0</v>
      </c>
      <c r="S1344" s="11">
        <f t="shared" si="382"/>
        <v>0</v>
      </c>
      <c r="T1344" s="11">
        <f t="shared" si="383"/>
        <v>0</v>
      </c>
      <c r="U1344" s="11">
        <f>IF(A1343=A1344,0,VLOOKUP(A1344,'Packing Time'!A:F,6,0))</f>
        <v>0</v>
      </c>
      <c r="V1344" s="11">
        <f>U1344*AO$1</f>
        <v>0</v>
      </c>
      <c r="W1344" s="11">
        <f>(U1344*Z1344)/60</f>
        <v>0</v>
      </c>
      <c r="X1344" s="11">
        <f t="shared" si="384"/>
        <v>0</v>
      </c>
      <c r="Y1344" s="11">
        <f>X1344*Z1344</f>
        <v>0</v>
      </c>
      <c r="Z1344" s="37">
        <v>1</v>
      </c>
      <c r="AA1344" s="36">
        <f t="shared" si="385"/>
        <v>1</v>
      </c>
      <c r="AB1344" s="36">
        <f t="shared" si="386"/>
        <v>0.28000000000000003</v>
      </c>
      <c r="AC1344" s="11">
        <f t="shared" si="387"/>
        <v>0</v>
      </c>
      <c r="AD1344" s="36">
        <f>AC1344*60*AO$1</f>
        <v>0</v>
      </c>
      <c r="AE1344" s="36"/>
      <c r="AF1344" s="36">
        <f>IFERROR(VLOOKUP(AE1344,'Chemical Cost'!A:D,4,0),0)</f>
        <v>0</v>
      </c>
      <c r="AG1344" s="114">
        <f t="shared" si="388"/>
        <v>0</v>
      </c>
      <c r="AH1344" s="36">
        <f t="shared" si="391"/>
        <v>0</v>
      </c>
      <c r="AI1344" s="36">
        <f>IFERROR((Q1344*Z1344)+(Z1344*X1344)+AH1344,0)</f>
        <v>0.28000000000000003</v>
      </c>
      <c r="AJ1344" s="36">
        <f>IFERROR(VLOOKUP(A1344,'All Products'!A:F,6,0),0)</f>
        <v>3.02</v>
      </c>
      <c r="AK1344" s="36"/>
      <c r="AL1344" s="23"/>
      <c r="AM1344" s="23"/>
      <c r="AN1344" s="54" t="e">
        <v>#N/A</v>
      </c>
      <c r="AO1344" s="47"/>
      <c r="AP1344" s="4">
        <v>1.6</v>
      </c>
      <c r="AQ1344" s="111">
        <f t="shared" si="389"/>
        <v>0</v>
      </c>
      <c r="AR1344">
        <f>_xlfn.XLOOKUP(F1344,'RM Cost'!A:A,'RM Cost'!S:S)</f>
        <v>0</v>
      </c>
      <c r="AS1344" t="e">
        <f>_xlfn.XLOOKUP(A1344,[3]Sheet1!$B:$B,[3]Sheet1!$B:$B)</f>
        <v>#N/A</v>
      </c>
    </row>
    <row r="1345" spans="1:46" x14ac:dyDescent="0.25">
      <c r="A1345" s="16" t="s">
        <v>1106</v>
      </c>
      <c r="B1345" s="2" t="s">
        <v>552</v>
      </c>
      <c r="C1345" s="2" t="s">
        <v>1107</v>
      </c>
      <c r="D1345" s="2" t="s">
        <v>554</v>
      </c>
      <c r="E1345" s="2">
        <v>2.5</v>
      </c>
      <c r="F1345" s="1" t="str">
        <f>VLOOKUP(H1345,'RM Used'!A:B,2,0)</f>
        <v>206ACS</v>
      </c>
      <c r="G1345" s="1" t="str">
        <f>IFERROR(VLOOKUP(F1345,'RM Cost'!A:B,2,0),"")</f>
        <v>RM - PREP ONION WHOLE 10KG</v>
      </c>
      <c r="H1345" s="2" t="s">
        <v>1650</v>
      </c>
      <c r="I1345" s="1" t="str">
        <f>VLOOKUP(F1345,'RM Used'!B:D,3,0)</f>
        <v>RM-FOOD</v>
      </c>
      <c r="J1345" s="74">
        <v>1</v>
      </c>
      <c r="K1345" s="35">
        <f t="shared" si="392"/>
        <v>2.5</v>
      </c>
      <c r="L1345" s="35">
        <f t="shared" si="381"/>
        <v>2.5</v>
      </c>
      <c r="M1345" s="77" cm="1">
        <f t="array" ref="M1345">_xlfn.IFS(BOM!I1345="RM-PACKING","100%",B1345="Reynolds",VLOOKUP(H1345,'Yield &amp; Time'!A:V,22,0),BOM!B1345="Dnata",VLOOKUP(BOM!H1345,'Yield &amp; Time'!A:M,13,0),B1345="NK",VLOOKUP(H1345,'Yield &amp; Time'!A:X,24,0))</f>
        <v>0.91823899371069173</v>
      </c>
      <c r="N1345" s="35">
        <f t="shared" si="398"/>
        <v>2.7226027397260277</v>
      </c>
      <c r="O1345" s="1" t="str">
        <f>VLOOKUP(H1345,'RM Used'!A:E,5,0)</f>
        <v>KG</v>
      </c>
      <c r="P1345" s="11">
        <f>VLOOKUP(H1345,'RM Used'!A:F,6,0)</f>
        <v>0.87</v>
      </c>
      <c r="Q1345" s="11">
        <f t="shared" si="390"/>
        <v>2.3686643835616441</v>
      </c>
      <c r="R1345" s="11">
        <f>IFERROR(IF(B1345="Reynolds",VLOOKUP(H1345,'Yield &amp; Time'!A:U,21,0),VLOOKUP(H1345,'Yield &amp; Time'!A:L,12,0)),0)</f>
        <v>0.2</v>
      </c>
      <c r="S1345" s="11">
        <f t="shared" si="382"/>
        <v>0.16924999999999998</v>
      </c>
      <c r="T1345" s="11">
        <f t="shared" si="383"/>
        <v>8.3333333333333332E-3</v>
      </c>
      <c r="U1345" s="11">
        <f>IF(A1344=A1345,0,VLOOKUP(A1345,'Packing Time'!A:F,6,0))</f>
        <v>0.875</v>
      </c>
      <c r="V1345" s="11">
        <f t="shared" si="393"/>
        <v>0.29618749999999999</v>
      </c>
      <c r="W1345" s="11">
        <f t="shared" si="394"/>
        <v>1.4583333333333334E-2</v>
      </c>
      <c r="X1345" s="11">
        <f t="shared" si="384"/>
        <v>0.74469999999999992</v>
      </c>
      <c r="Y1345" s="11">
        <f t="shared" si="395"/>
        <v>0.74469999999999992</v>
      </c>
      <c r="Z1345" s="37">
        <v>1</v>
      </c>
      <c r="AA1345" s="36">
        <f t="shared" si="385"/>
        <v>2.7226027397260277</v>
      </c>
      <c r="AB1345" s="36">
        <f t="shared" si="386"/>
        <v>2.3686643835616441</v>
      </c>
      <c r="AC1345" s="11">
        <f t="shared" si="387"/>
        <v>3.6666666666666667E-2</v>
      </c>
      <c r="AD1345" s="36">
        <f t="shared" si="396"/>
        <v>0.74470000000000003</v>
      </c>
      <c r="AE1345" s="36"/>
      <c r="AF1345" s="36">
        <f>IFERROR(VLOOKUP(AE1345,'Chemical Cost'!A:D,4,0),0)</f>
        <v>0</v>
      </c>
      <c r="AG1345" s="114">
        <f t="shared" si="388"/>
        <v>0</v>
      </c>
      <c r="AH1345" s="36">
        <f t="shared" si="391"/>
        <v>0</v>
      </c>
      <c r="AI1345" s="36">
        <f t="shared" si="397"/>
        <v>3.113364383561644</v>
      </c>
      <c r="AJ1345" s="36">
        <f>IFERROR(VLOOKUP(A1345,'All Products'!A:F,6,0),0)</f>
        <v>3.47</v>
      </c>
      <c r="AK1345" s="36">
        <f>AJ1345*Z1345*J1345</f>
        <v>3.47</v>
      </c>
      <c r="AL1345" s="23">
        <v>1</v>
      </c>
      <c r="AM1345" s="23"/>
      <c r="AN1345" s="54" t="e">
        <v>#N/A</v>
      </c>
      <c r="AO1345" s="47"/>
      <c r="AP1345" s="4">
        <v>1.6</v>
      </c>
      <c r="AQ1345" s="111">
        <f t="shared" si="389"/>
        <v>3.6666666666666667E-2</v>
      </c>
      <c r="AR1345">
        <f>_xlfn.XLOOKUP(F1345,'RM Cost'!A:A,'RM Cost'!S:S)</f>
        <v>0</v>
      </c>
      <c r="AS1345" t="e">
        <f>_xlfn.XLOOKUP(A1345,[3]Sheet1!$B:$B,[3]Sheet1!$B:$B)</f>
        <v>#N/A</v>
      </c>
    </row>
    <row r="1346" spans="1:46" x14ac:dyDescent="0.25">
      <c r="A1346" s="16" t="s">
        <v>1106</v>
      </c>
      <c r="B1346" s="2" t="s">
        <v>552</v>
      </c>
      <c r="C1346" s="2" t="s">
        <v>1107</v>
      </c>
      <c r="D1346" s="2" t="s">
        <v>554</v>
      </c>
      <c r="E1346" s="2">
        <v>2.5</v>
      </c>
      <c r="F1346" s="1" t="str">
        <f>VLOOKUP(H1346,'RM Used'!A:B,2,0)</f>
        <v>P0020</v>
      </c>
      <c r="G1346" s="1" t="str">
        <f>IFERROR(VLOOKUP(F1346,'RM Cost'!A:B,2,0),"")</f>
        <v>PALE BLUE BAG 430X430MM</v>
      </c>
      <c r="H1346" s="2" t="s">
        <v>1659</v>
      </c>
      <c r="I1346" s="1" t="str">
        <f>VLOOKUP(F1346,'RM Used'!B:D,3,0)</f>
        <v>RM-PACKING</v>
      </c>
      <c r="J1346" s="66">
        <v>1</v>
      </c>
      <c r="K1346" s="35" t="str">
        <f t="shared" si="392"/>
        <v/>
      </c>
      <c r="L1346" s="35">
        <f t="shared" ref="L1346:L1409" si="399">IFERROR(K1346*Z1346,0)</f>
        <v>0</v>
      </c>
      <c r="M1346" s="77" t="str" cm="1">
        <f t="array" ref="M1346">_xlfn.IFS(BOM!I1346="RM-PACKING","100%",B1346="Reynolds",VLOOKUP(H1346,'Yield &amp; Time'!A:V,22,0),BOM!B1346="Dnata",VLOOKUP(BOM!H1346,'Yield &amp; Time'!A:M,13,0),B1346="NK",VLOOKUP(H1346,'Yield &amp; Time'!A:X,24,0))</f>
        <v>100%</v>
      </c>
      <c r="N1346" s="35">
        <f t="shared" si="398"/>
        <v>1</v>
      </c>
      <c r="O1346" s="1" t="str">
        <f>VLOOKUP(H1346,'RM Used'!A:E,5,0)</f>
        <v>Count</v>
      </c>
      <c r="P1346" s="11">
        <f>VLOOKUP(H1346,'RM Used'!A:F,6,0)</f>
        <v>0.09</v>
      </c>
      <c r="Q1346" s="11">
        <f t="shared" si="390"/>
        <v>0.09</v>
      </c>
      <c r="R1346" s="11">
        <f>IFERROR(IF(B1346="Reynolds",VLOOKUP(H1346,'Yield &amp; Time'!A:U,21,0),VLOOKUP(H1346,'Yield &amp; Time'!A:L,12,0)),0)</f>
        <v>0</v>
      </c>
      <c r="S1346" s="11">
        <f t="shared" ref="S1346:S1409" si="400">R1346*J1346*E1346*AO$1</f>
        <v>0</v>
      </c>
      <c r="T1346" s="11">
        <f t="shared" ref="T1346:T1409" si="401">(R1346*Z1346*J1346*E1346)/60</f>
        <v>0</v>
      </c>
      <c r="U1346" s="11">
        <f>IF(A1345=A1346,0,VLOOKUP(A1346,'Packing Time'!A:F,6,0))</f>
        <v>0</v>
      </c>
      <c r="V1346" s="11">
        <f t="shared" si="393"/>
        <v>0</v>
      </c>
      <c r="W1346" s="11">
        <f t="shared" si="394"/>
        <v>0</v>
      </c>
      <c r="X1346" s="11">
        <f t="shared" ref="X1346:X1409" si="402">((R1346*J1346*E1346)+U1346)*AO$1*AP1346</f>
        <v>0</v>
      </c>
      <c r="Y1346" s="11">
        <f t="shared" si="395"/>
        <v>0</v>
      </c>
      <c r="Z1346" s="37">
        <v>1</v>
      </c>
      <c r="AA1346" s="36">
        <f t="shared" ref="AA1346:AA1409" si="403">Z1346*N1346</f>
        <v>1</v>
      </c>
      <c r="AB1346" s="36">
        <f t="shared" ref="AB1346:AB1409" si="404">AA1346*P1346</f>
        <v>0.09</v>
      </c>
      <c r="AC1346" s="11">
        <f t="shared" ref="AC1346:AC1409" si="405">(((R1346*J1346*E1346)+U1346)/60)*Z1346*AP1346</f>
        <v>0</v>
      </c>
      <c r="AD1346" s="36">
        <f t="shared" si="396"/>
        <v>0</v>
      </c>
      <c r="AE1346" s="36"/>
      <c r="AF1346" s="36">
        <f>IFERROR(VLOOKUP(AE1346,'Chemical Cost'!A:D,4,0),0)</f>
        <v>0</v>
      </c>
      <c r="AG1346" s="114">
        <f t="shared" ref="AG1346:AG1409" si="406">AF1346*N1346/3</f>
        <v>0</v>
      </c>
      <c r="AH1346" s="36">
        <f t="shared" si="391"/>
        <v>0</v>
      </c>
      <c r="AI1346" s="36">
        <f t="shared" si="397"/>
        <v>0.09</v>
      </c>
      <c r="AJ1346" s="36">
        <f>IFERROR(VLOOKUP(A1346,'All Products'!A:F,6,0),0)</f>
        <v>3.47</v>
      </c>
      <c r="AK1346" s="36"/>
      <c r="AL1346" s="23">
        <v>1</v>
      </c>
      <c r="AM1346" s="23"/>
      <c r="AN1346" s="54" t="e">
        <v>#N/A</v>
      </c>
      <c r="AO1346" s="47"/>
      <c r="AP1346" s="4">
        <v>1.6</v>
      </c>
      <c r="AQ1346" s="111">
        <f t="shared" ref="AQ1346:AQ1409" si="407">(((R1346*J1346*E1346)+U1346)/60)*AP1346</f>
        <v>0</v>
      </c>
      <c r="AR1346">
        <f>_xlfn.XLOOKUP(F1346,'RM Cost'!A:A,'RM Cost'!S:S)</f>
        <v>0</v>
      </c>
      <c r="AS1346" t="e">
        <f>_xlfn.XLOOKUP(A1346,[3]Sheet1!$B:$B,[3]Sheet1!$B:$B)</f>
        <v>#N/A</v>
      </c>
    </row>
    <row r="1347" spans="1:46" x14ac:dyDescent="0.25">
      <c r="A1347" s="16" t="s">
        <v>1106</v>
      </c>
      <c r="B1347" s="2" t="s">
        <v>552</v>
      </c>
      <c r="C1347" s="2" t="s">
        <v>1107</v>
      </c>
      <c r="D1347" s="2" t="s">
        <v>554</v>
      </c>
      <c r="E1347" s="2">
        <v>2.5</v>
      </c>
      <c r="F1347" s="1" t="str">
        <f>VLOOKUP(H1347,'RM Used'!A:B,2,0)</f>
        <v>P0016</v>
      </c>
      <c r="G1347" s="1" t="str">
        <f>IFERROR(VLOOKUP(F1347,'RM Cost'!A:B,2,0),"")</f>
        <v>REY 40 30 BOX</v>
      </c>
      <c r="H1347" s="1" t="s">
        <v>1332</v>
      </c>
      <c r="I1347" s="1" t="str">
        <f>VLOOKUP(F1347,'RM Used'!B:D,3,0)</f>
        <v>RM-PACKING</v>
      </c>
      <c r="J1347" s="66">
        <v>1</v>
      </c>
      <c r="K1347" s="35" t="str">
        <f>IF(I1347="RM-FOOD",J1347*E1347,"")</f>
        <v/>
      </c>
      <c r="L1347" s="35">
        <f t="shared" si="399"/>
        <v>0</v>
      </c>
      <c r="M1347" s="77" t="str" cm="1">
        <f t="array" ref="M1347">_xlfn.IFS(BOM!I1347="RM-PACKING","100%",B1347="Reynolds",VLOOKUP(H1347,'Yield &amp; Time'!A:V,22,0),BOM!B1347="Dnata",VLOOKUP(BOM!H1347,'Yield &amp; Time'!A:M,13,0),B1347="NK",VLOOKUP(H1347,'Yield &amp; Time'!A:X,24,0))</f>
        <v>100%</v>
      </c>
      <c r="N1347" s="35">
        <f>IFERROR(IF(I1347="RM-FOOD",(E1347*J1347)/M1347,1),0)</f>
        <v>1</v>
      </c>
      <c r="O1347" s="1" t="str">
        <f>VLOOKUP(H1347,'RM Used'!A:E,5,0)</f>
        <v>Count</v>
      </c>
      <c r="P1347" s="11">
        <f>VLOOKUP(H1347,'RM Used'!A:F,6,0)</f>
        <v>0.28000000000000003</v>
      </c>
      <c r="Q1347" s="11">
        <f t="shared" ref="Q1347:Q1410" si="408">P1347*N1347</f>
        <v>0.28000000000000003</v>
      </c>
      <c r="R1347" s="11">
        <f>IFERROR(IF(B1347="Reynolds",VLOOKUP(H1347,'Yield &amp; Time'!A:U,21,0),VLOOKUP(H1347,'Yield &amp; Time'!A:L,12,0)),0)</f>
        <v>0</v>
      </c>
      <c r="S1347" s="11">
        <f t="shared" si="400"/>
        <v>0</v>
      </c>
      <c r="T1347" s="11">
        <f t="shared" si="401"/>
        <v>0</v>
      </c>
      <c r="U1347" s="11">
        <f>IF(A1346=A1347,0,VLOOKUP(A1347,'Packing Time'!A:F,6,0))</f>
        <v>0</v>
      </c>
      <c r="V1347" s="11">
        <f>U1347*AO$1</f>
        <v>0</v>
      </c>
      <c r="W1347" s="11">
        <f>(U1347*Z1347)/60</f>
        <v>0</v>
      </c>
      <c r="X1347" s="11">
        <f t="shared" si="402"/>
        <v>0</v>
      </c>
      <c r="Y1347" s="11">
        <f>X1347*Z1347</f>
        <v>0</v>
      </c>
      <c r="Z1347" s="37">
        <v>1</v>
      </c>
      <c r="AA1347" s="36">
        <f t="shared" si="403"/>
        <v>1</v>
      </c>
      <c r="AB1347" s="36">
        <f t="shared" si="404"/>
        <v>0.28000000000000003</v>
      </c>
      <c r="AC1347" s="11">
        <f t="shared" si="405"/>
        <v>0</v>
      </c>
      <c r="AD1347" s="36">
        <f>AC1347*60*AO$1</f>
        <v>0</v>
      </c>
      <c r="AE1347" s="36"/>
      <c r="AF1347" s="36">
        <f>IFERROR(VLOOKUP(AE1347,'Chemical Cost'!A:D,4,0),0)</f>
        <v>0</v>
      </c>
      <c r="AG1347" s="114">
        <f t="shared" si="406"/>
        <v>0</v>
      </c>
      <c r="AH1347" s="36">
        <f t="shared" si="391"/>
        <v>0</v>
      </c>
      <c r="AI1347" s="36">
        <f>IFERROR((Q1347*Z1347)+(Z1347*X1347)+AH1347,0)</f>
        <v>0.28000000000000003</v>
      </c>
      <c r="AJ1347" s="36">
        <f>IFERROR(VLOOKUP(A1347,'All Products'!A:F,6,0),0)</f>
        <v>3.47</v>
      </c>
      <c r="AK1347" s="36"/>
      <c r="AL1347" s="23">
        <v>1</v>
      </c>
      <c r="AM1347" s="23"/>
      <c r="AN1347" s="54" t="e">
        <v>#N/A</v>
      </c>
      <c r="AO1347" s="47"/>
      <c r="AP1347" s="4">
        <v>1.6</v>
      </c>
      <c r="AQ1347" s="111">
        <f t="shared" si="407"/>
        <v>0</v>
      </c>
      <c r="AR1347">
        <f>_xlfn.XLOOKUP(F1347,'RM Cost'!A:A,'RM Cost'!S:S)</f>
        <v>0</v>
      </c>
      <c r="AS1347" t="e">
        <f>_xlfn.XLOOKUP(A1347,[3]Sheet1!$B:$B,[3]Sheet1!$B:$B)</f>
        <v>#N/A</v>
      </c>
    </row>
    <row r="1348" spans="1:46" x14ac:dyDescent="0.25">
      <c r="A1348" s="16" t="s">
        <v>436</v>
      </c>
      <c r="B1348" s="2" t="s">
        <v>552</v>
      </c>
      <c r="C1348" s="2" t="s">
        <v>437</v>
      </c>
      <c r="D1348" s="2" t="s">
        <v>554</v>
      </c>
      <c r="E1348" s="2">
        <v>2.5</v>
      </c>
      <c r="F1348" s="1" t="str">
        <f>VLOOKUP(H1348,'RM Used'!A:B,2,0)</f>
        <v>3210CS</v>
      </c>
      <c r="G1348" s="1" t="str">
        <f>IFERROR(VLOOKUP(F1348,'RM Cost'!A:B,2,0),"")</f>
        <v>RM - POTATOES WARE 25KG</v>
      </c>
      <c r="H1348" s="2" t="s">
        <v>1651</v>
      </c>
      <c r="I1348" s="1" t="str">
        <f>VLOOKUP(F1348,'RM Used'!B:D,3,0)</f>
        <v>RM-FOOD</v>
      </c>
      <c r="J1348" s="74">
        <v>1</v>
      </c>
      <c r="K1348" s="35">
        <f t="shared" si="392"/>
        <v>2.5</v>
      </c>
      <c r="L1348" s="35">
        <f t="shared" si="399"/>
        <v>2.5</v>
      </c>
      <c r="M1348" s="77" cm="1">
        <f t="array" ref="M1348">_xlfn.IFS(BOM!I1348="RM-PACKING","100%",B1348="Reynolds",VLOOKUP(H1348,'Yield &amp; Time'!A:V,22,0),BOM!B1348="Dnata",VLOOKUP(BOM!H1348,'Yield &amp; Time'!A:M,13,0),B1348="NK",VLOOKUP(H1348,'Yield &amp; Time'!A:X,24,0))</f>
        <v>0.65518543379761707</v>
      </c>
      <c r="N1348" s="35">
        <f t="shared" si="398"/>
        <v>3.8157136453864378</v>
      </c>
      <c r="O1348" s="1" t="str">
        <f>VLOOKUP(H1348,'RM Used'!A:E,5,0)</f>
        <v>KG</v>
      </c>
      <c r="P1348" s="11">
        <f>VLOOKUP(H1348,'RM Used'!A:F,6,0)</f>
        <v>0.27</v>
      </c>
      <c r="Q1348" s="11">
        <f t="shared" si="408"/>
        <v>1.0302426842543382</v>
      </c>
      <c r="R1348" s="11">
        <f>IFERROR(IF(B1348="Reynolds",VLOOKUP(H1348,'Yield &amp; Time'!A:U,21,0),VLOOKUP(H1348,'Yield &amp; Time'!A:L,12,0)),0)</f>
        <v>2.6656101257177007</v>
      </c>
      <c r="S1348" s="11">
        <f t="shared" si="400"/>
        <v>2.2557725688886041</v>
      </c>
      <c r="T1348" s="11">
        <f t="shared" si="401"/>
        <v>0.11106708857157085</v>
      </c>
      <c r="U1348" s="11">
        <f>IF(A1347=A1348,0,VLOOKUP(A1348,'Packing Time'!A:F,6,0))</f>
        <v>0.875</v>
      </c>
      <c r="V1348" s="11">
        <f t="shared" si="393"/>
        <v>0.29618749999999999</v>
      </c>
      <c r="W1348" s="11">
        <f t="shared" si="394"/>
        <v>1.4583333333333334E-2</v>
      </c>
      <c r="X1348" s="11">
        <f t="shared" si="402"/>
        <v>2.8071560757774647</v>
      </c>
      <c r="Y1348" s="11">
        <f t="shared" si="395"/>
        <v>2.8071560757774647</v>
      </c>
      <c r="Z1348" s="37">
        <v>1</v>
      </c>
      <c r="AA1348" s="36">
        <f t="shared" si="403"/>
        <v>3.8157136453864378</v>
      </c>
      <c r="AB1348" s="36">
        <f t="shared" si="404"/>
        <v>1.0302426842543382</v>
      </c>
      <c r="AC1348" s="11">
        <f t="shared" si="405"/>
        <v>0.13821546409539462</v>
      </c>
      <c r="AD1348" s="36">
        <f t="shared" si="396"/>
        <v>2.8071560757774643</v>
      </c>
      <c r="AE1348" s="36"/>
      <c r="AF1348" s="36">
        <f>IFERROR(VLOOKUP(AE1348,'Chemical Cost'!A:D,4,0),0)</f>
        <v>0</v>
      </c>
      <c r="AG1348" s="114">
        <f t="shared" si="406"/>
        <v>0</v>
      </c>
      <c r="AH1348" s="36">
        <f t="shared" si="391"/>
        <v>0</v>
      </c>
      <c r="AI1348" s="36">
        <f t="shared" si="397"/>
        <v>3.8373987600318031</v>
      </c>
      <c r="AJ1348" s="36">
        <f>IFERROR(VLOOKUP(A1348,'All Products'!A:F,6,0),0)</f>
        <v>3.9</v>
      </c>
      <c r="AK1348" s="36">
        <f>AJ1348*Z1348*J1348</f>
        <v>3.9</v>
      </c>
      <c r="AL1348" s="23">
        <v>1</v>
      </c>
      <c r="AM1348" s="23"/>
      <c r="AN1348" s="54" t="e">
        <v>#N/A</v>
      </c>
      <c r="AO1348" s="47"/>
      <c r="AP1348" s="4">
        <v>1.1000000000000001</v>
      </c>
      <c r="AQ1348" s="111">
        <f t="shared" si="407"/>
        <v>0.13821546409539462</v>
      </c>
      <c r="AR1348">
        <f>_xlfn.XLOOKUP(F1348,'RM Cost'!A:A,'RM Cost'!S:S)</f>
        <v>0</v>
      </c>
      <c r="AS1348" t="e">
        <f>_xlfn.XLOOKUP(A1348,[3]Sheet1!$B:$B,[3]Sheet1!$B:$B)</f>
        <v>#N/A</v>
      </c>
    </row>
    <row r="1349" spans="1:46" x14ac:dyDescent="0.25">
      <c r="A1349" s="16" t="s">
        <v>436</v>
      </c>
      <c r="B1349" s="2" t="s">
        <v>552</v>
      </c>
      <c r="C1349" s="2" t="s">
        <v>437</v>
      </c>
      <c r="D1349" s="2" t="s">
        <v>554</v>
      </c>
      <c r="E1349" s="2">
        <v>2.5</v>
      </c>
      <c r="F1349" s="1" t="str">
        <f>VLOOKUP(H1349,'RM Used'!A:B,2,0)</f>
        <v>P0020</v>
      </c>
      <c r="G1349" s="1" t="str">
        <f>IFERROR(VLOOKUP(F1349,'RM Cost'!A:B,2,0),"")</f>
        <v>PALE BLUE BAG 430X430MM</v>
      </c>
      <c r="H1349" s="2" t="s">
        <v>1659</v>
      </c>
      <c r="I1349" s="1" t="str">
        <f>VLOOKUP(F1349,'RM Used'!B:D,3,0)</f>
        <v>RM-PACKING</v>
      </c>
      <c r="J1349" s="66">
        <v>1</v>
      </c>
      <c r="K1349" s="35" t="str">
        <f t="shared" si="392"/>
        <v/>
      </c>
      <c r="L1349" s="35">
        <f t="shared" si="399"/>
        <v>0</v>
      </c>
      <c r="M1349" s="77" t="str" cm="1">
        <f t="array" ref="M1349">_xlfn.IFS(BOM!I1349="RM-PACKING","100%",B1349="Reynolds",VLOOKUP(H1349,'Yield &amp; Time'!A:V,22,0),BOM!B1349="Dnata",VLOOKUP(BOM!H1349,'Yield &amp; Time'!A:M,13,0),B1349="NK",VLOOKUP(H1349,'Yield &amp; Time'!A:X,24,0))</f>
        <v>100%</v>
      </c>
      <c r="N1349" s="35">
        <f t="shared" si="398"/>
        <v>1</v>
      </c>
      <c r="O1349" s="1" t="str">
        <f>VLOOKUP(H1349,'RM Used'!A:E,5,0)</f>
        <v>Count</v>
      </c>
      <c r="P1349" s="11">
        <f>VLOOKUP(H1349,'RM Used'!A:F,6,0)</f>
        <v>0.09</v>
      </c>
      <c r="Q1349" s="11">
        <f t="shared" si="408"/>
        <v>0.09</v>
      </c>
      <c r="R1349" s="11">
        <f>IFERROR(IF(B1349="Reynolds",VLOOKUP(H1349,'Yield &amp; Time'!A:U,21,0),VLOOKUP(H1349,'Yield &amp; Time'!A:L,12,0)),0)</f>
        <v>0</v>
      </c>
      <c r="S1349" s="11">
        <f t="shared" si="400"/>
        <v>0</v>
      </c>
      <c r="T1349" s="11">
        <f t="shared" si="401"/>
        <v>0</v>
      </c>
      <c r="U1349" s="11">
        <f>IF(A1348=A1349,0,VLOOKUP(A1349,'Packing Time'!A:F,6,0))</f>
        <v>0</v>
      </c>
      <c r="V1349" s="11">
        <f t="shared" si="393"/>
        <v>0</v>
      </c>
      <c r="W1349" s="11">
        <f t="shared" si="394"/>
        <v>0</v>
      </c>
      <c r="X1349" s="11">
        <f t="shared" si="402"/>
        <v>0</v>
      </c>
      <c r="Y1349" s="11">
        <f t="shared" si="395"/>
        <v>0</v>
      </c>
      <c r="Z1349" s="37">
        <v>1</v>
      </c>
      <c r="AA1349" s="36">
        <f t="shared" si="403"/>
        <v>1</v>
      </c>
      <c r="AB1349" s="36">
        <f t="shared" si="404"/>
        <v>0.09</v>
      </c>
      <c r="AC1349" s="11">
        <f t="shared" si="405"/>
        <v>0</v>
      </c>
      <c r="AD1349" s="36">
        <f t="shared" si="396"/>
        <v>0</v>
      </c>
      <c r="AE1349" s="36"/>
      <c r="AF1349" s="36">
        <f>IFERROR(VLOOKUP(AE1349,'Chemical Cost'!A:D,4,0),0)</f>
        <v>0</v>
      </c>
      <c r="AG1349" s="114">
        <f t="shared" si="406"/>
        <v>0</v>
      </c>
      <c r="AH1349" s="36">
        <f t="shared" si="391"/>
        <v>0</v>
      </c>
      <c r="AI1349" s="36">
        <f t="shared" si="397"/>
        <v>0.09</v>
      </c>
      <c r="AJ1349" s="36">
        <f>IFERROR(VLOOKUP(A1349,'All Products'!A:F,6,0),0)</f>
        <v>3.9</v>
      </c>
      <c r="AK1349" s="36"/>
      <c r="AL1349" s="23">
        <v>1</v>
      </c>
      <c r="AM1349" s="23"/>
      <c r="AN1349" s="54" t="e">
        <v>#N/A</v>
      </c>
      <c r="AO1349" s="47"/>
      <c r="AP1349" s="4">
        <v>1.1000000000000001</v>
      </c>
      <c r="AQ1349" s="111">
        <f t="shared" si="407"/>
        <v>0</v>
      </c>
      <c r="AR1349">
        <f>_xlfn.XLOOKUP(F1349,'RM Cost'!A:A,'RM Cost'!S:S)</f>
        <v>0</v>
      </c>
      <c r="AS1349" t="e">
        <f>_xlfn.XLOOKUP(A1349,[3]Sheet1!$B:$B,[3]Sheet1!$B:$B)</f>
        <v>#N/A</v>
      </c>
    </row>
    <row r="1350" spans="1:46" x14ac:dyDescent="0.25">
      <c r="A1350" s="16" t="s">
        <v>436</v>
      </c>
      <c r="B1350" s="2" t="s">
        <v>552</v>
      </c>
      <c r="C1350" s="2" t="s">
        <v>437</v>
      </c>
      <c r="D1350" s="2" t="s">
        <v>554</v>
      </c>
      <c r="E1350" s="2">
        <v>2.5</v>
      </c>
      <c r="F1350" s="1" t="str">
        <f>VLOOKUP(H1350,'RM Used'!A:B,2,0)</f>
        <v>P0016</v>
      </c>
      <c r="G1350" s="1" t="str">
        <f>IFERROR(VLOOKUP(F1350,'RM Cost'!A:B,2,0),"")</f>
        <v>REY 40 30 BOX</v>
      </c>
      <c r="H1350" s="1" t="s">
        <v>1332</v>
      </c>
      <c r="I1350" s="1" t="str">
        <f>VLOOKUP(F1350,'RM Used'!B:D,3,0)</f>
        <v>RM-PACKING</v>
      </c>
      <c r="J1350" s="66">
        <v>1</v>
      </c>
      <c r="K1350" s="35" t="str">
        <f>IF(I1350="RM-FOOD",J1350*E1350,"")</f>
        <v/>
      </c>
      <c r="L1350" s="35">
        <f t="shared" si="399"/>
        <v>0</v>
      </c>
      <c r="M1350" s="77" t="str" cm="1">
        <f t="array" ref="M1350">_xlfn.IFS(BOM!I1350="RM-PACKING","100%",B1350="Reynolds",VLOOKUP(H1350,'Yield &amp; Time'!A:V,22,0),BOM!B1350="Dnata",VLOOKUP(BOM!H1350,'Yield &amp; Time'!A:M,13,0),B1350="NK",VLOOKUP(H1350,'Yield &amp; Time'!A:X,24,0))</f>
        <v>100%</v>
      </c>
      <c r="N1350" s="35">
        <f>IFERROR(IF(I1350="RM-FOOD",(E1350*J1350)/M1350,1),0)</f>
        <v>1</v>
      </c>
      <c r="O1350" s="1" t="str">
        <f>VLOOKUP(H1350,'RM Used'!A:E,5,0)</f>
        <v>Count</v>
      </c>
      <c r="P1350" s="11">
        <f>VLOOKUP(H1350,'RM Used'!A:F,6,0)</f>
        <v>0.28000000000000003</v>
      </c>
      <c r="Q1350" s="11">
        <f t="shared" si="408"/>
        <v>0.28000000000000003</v>
      </c>
      <c r="R1350" s="11">
        <f>IFERROR(IF(B1350="Reynolds",VLOOKUP(H1350,'Yield &amp; Time'!A:U,21,0),VLOOKUP(H1350,'Yield &amp; Time'!A:L,12,0)),0)</f>
        <v>0</v>
      </c>
      <c r="S1350" s="11">
        <f t="shared" si="400"/>
        <v>0</v>
      </c>
      <c r="T1350" s="11">
        <f t="shared" si="401"/>
        <v>0</v>
      </c>
      <c r="U1350" s="11">
        <f>IF(A1349=A1350,0,VLOOKUP(A1350,'Packing Time'!A:F,6,0))</f>
        <v>0</v>
      </c>
      <c r="V1350" s="11">
        <f>U1350*AO$1</f>
        <v>0</v>
      </c>
      <c r="W1350" s="11">
        <f>(U1350*Z1350)/60</f>
        <v>0</v>
      </c>
      <c r="X1350" s="11">
        <f t="shared" si="402"/>
        <v>0</v>
      </c>
      <c r="Y1350" s="11">
        <f>X1350*Z1350</f>
        <v>0</v>
      </c>
      <c r="Z1350" s="37">
        <v>1</v>
      </c>
      <c r="AA1350" s="36">
        <f t="shared" si="403"/>
        <v>1</v>
      </c>
      <c r="AB1350" s="36">
        <f t="shared" si="404"/>
        <v>0.28000000000000003</v>
      </c>
      <c r="AC1350" s="11">
        <f t="shared" si="405"/>
        <v>0</v>
      </c>
      <c r="AD1350" s="36">
        <f>AC1350*60*AO$1</f>
        <v>0</v>
      </c>
      <c r="AE1350" s="36"/>
      <c r="AF1350" s="36">
        <f>IFERROR(VLOOKUP(AE1350,'Chemical Cost'!A:D,4,0),0)</f>
        <v>0</v>
      </c>
      <c r="AG1350" s="114">
        <f t="shared" si="406"/>
        <v>0</v>
      </c>
      <c r="AH1350" s="36">
        <f t="shared" si="391"/>
        <v>0</v>
      </c>
      <c r="AI1350" s="36">
        <f>IFERROR((Q1350*Z1350)+(Z1350*X1350)+AH1350,0)</f>
        <v>0.28000000000000003</v>
      </c>
      <c r="AJ1350" s="36">
        <f>IFERROR(VLOOKUP(A1350,'All Products'!A:F,6,0),0)</f>
        <v>3.9</v>
      </c>
      <c r="AK1350" s="36"/>
      <c r="AL1350" s="23">
        <v>1</v>
      </c>
      <c r="AM1350" s="23"/>
      <c r="AN1350" s="54" t="e">
        <v>#N/A</v>
      </c>
      <c r="AO1350" s="47"/>
      <c r="AP1350" s="4">
        <v>1.1000000000000001</v>
      </c>
      <c r="AQ1350" s="111">
        <f t="shared" si="407"/>
        <v>0</v>
      </c>
      <c r="AR1350">
        <f>_xlfn.XLOOKUP(F1350,'RM Cost'!A:A,'RM Cost'!S:S)</f>
        <v>0</v>
      </c>
      <c r="AS1350" t="e">
        <f>_xlfn.XLOOKUP(A1350,[3]Sheet1!$B:$B,[3]Sheet1!$B:$B)</f>
        <v>#N/A</v>
      </c>
    </row>
    <row r="1351" spans="1:46" x14ac:dyDescent="0.25">
      <c r="A1351" s="16" t="s">
        <v>257</v>
      </c>
      <c r="B1351" s="2" t="s">
        <v>656</v>
      </c>
      <c r="C1351" s="2" t="s">
        <v>258</v>
      </c>
      <c r="D1351" s="2" t="s">
        <v>554</v>
      </c>
      <c r="E1351" s="2">
        <v>2.5</v>
      </c>
      <c r="F1351" s="1" t="str">
        <f>VLOOKUP(H1351,'RM Used'!A:B,2,0)</f>
        <v>3011CS</v>
      </c>
      <c r="G1351" s="1" t="str">
        <f>IFERROR(VLOOKUP(F1351,'RM Cost'!A:B,2,0),"")</f>
        <v>GOLDEN BEETROOT 1 X 5KG</v>
      </c>
      <c r="H1351" s="2" t="s">
        <v>1652</v>
      </c>
      <c r="I1351" s="1" t="str">
        <f>VLOOKUP(F1351,'RM Used'!B:D,3,0)</f>
        <v>RM-FOOD</v>
      </c>
      <c r="J1351" s="74">
        <v>1</v>
      </c>
      <c r="K1351" s="35">
        <f t="shared" si="392"/>
        <v>2.5</v>
      </c>
      <c r="L1351" s="35">
        <f t="shared" si="399"/>
        <v>2.5</v>
      </c>
      <c r="M1351" s="77" cm="1">
        <f t="array" ref="M1351">_xlfn.IFS(BOM!I1351="RM-PACKING","100%",B1351="Reynolds",VLOOKUP(H1351,'Yield &amp; Time'!A:V,22,0),BOM!B1351="Dnata",VLOOKUP(BOM!H1351,'Yield &amp; Time'!A:M,13,0),B1351="NK",VLOOKUP(H1351,'Yield &amp; Time'!A:X,24,0))</f>
        <v>0.31372549019607848</v>
      </c>
      <c r="N1351" s="35">
        <f t="shared" si="398"/>
        <v>7.9687499999999991</v>
      </c>
      <c r="O1351" s="1" t="str">
        <f>VLOOKUP(H1351,'RM Used'!A:E,5,0)</f>
        <v>KG</v>
      </c>
      <c r="P1351" s="11">
        <f>VLOOKUP(H1351,'RM Used'!A:F,6,0)</f>
        <v>1.1000000000000001</v>
      </c>
      <c r="Q1351" s="11">
        <f t="shared" si="408"/>
        <v>8.765625</v>
      </c>
      <c r="R1351" s="11">
        <f>IFERROR(IF(B1351="Reynolds",VLOOKUP(H1351,'Yield &amp; Time'!A:U,21,0),VLOOKUP(H1351,'Yield &amp; Time'!A:L,12,0)),0)</f>
        <v>7.5</v>
      </c>
      <c r="S1351" s="11">
        <f t="shared" si="400"/>
        <v>6.3468749999999998</v>
      </c>
      <c r="T1351" s="11">
        <f t="shared" si="401"/>
        <v>0.3125</v>
      </c>
      <c r="U1351" s="11">
        <f>IF(A1350=A1351,0,VLOOKUP(A1351,'Packing Time'!A:F,6,0))</f>
        <v>0.875</v>
      </c>
      <c r="V1351" s="11">
        <f t="shared" si="393"/>
        <v>0.29618749999999999</v>
      </c>
      <c r="W1351" s="11">
        <f t="shared" si="394"/>
        <v>1.4583333333333334E-2</v>
      </c>
      <c r="X1351" s="11">
        <f t="shared" si="402"/>
        <v>10.6289</v>
      </c>
      <c r="Y1351" s="11">
        <f t="shared" si="395"/>
        <v>10.6289</v>
      </c>
      <c r="Z1351" s="37">
        <v>1</v>
      </c>
      <c r="AA1351" s="36">
        <f t="shared" si="403"/>
        <v>7.9687499999999991</v>
      </c>
      <c r="AB1351" s="36">
        <f t="shared" si="404"/>
        <v>8.765625</v>
      </c>
      <c r="AC1351" s="11">
        <f t="shared" si="405"/>
        <v>0.52333333333333332</v>
      </c>
      <c r="AD1351" s="36">
        <f t="shared" si="396"/>
        <v>10.628899999999998</v>
      </c>
      <c r="AE1351" s="36"/>
      <c r="AF1351" s="36">
        <f>IFERROR(VLOOKUP(AE1351,'Chemical Cost'!A:D,4,0),0)</f>
        <v>0</v>
      </c>
      <c r="AG1351" s="114">
        <f t="shared" si="406"/>
        <v>0</v>
      </c>
      <c r="AH1351" s="36">
        <f t="shared" si="391"/>
        <v>0</v>
      </c>
      <c r="AI1351" s="36">
        <f t="shared" si="397"/>
        <v>19.394525000000002</v>
      </c>
      <c r="AJ1351" s="36">
        <f>IFERROR(VLOOKUP(A1351,'All Products'!A:F,6,0),0)</f>
        <v>27.68</v>
      </c>
      <c r="AK1351" s="36">
        <f>AJ1351*Z1351*J1351</f>
        <v>27.68</v>
      </c>
      <c r="AL1351" s="29">
        <v>1</v>
      </c>
      <c r="AM1351" s="23"/>
      <c r="AN1351" s="54" t="e">
        <v>#N/A</v>
      </c>
      <c r="AO1351" s="47"/>
      <c r="AP1351" s="4">
        <v>1.6</v>
      </c>
      <c r="AQ1351" s="111">
        <f t="shared" si="407"/>
        <v>0.52333333333333332</v>
      </c>
      <c r="AR1351">
        <f>_xlfn.XLOOKUP(F1351,'RM Cost'!A:A,'RM Cost'!S:S)</f>
        <v>0</v>
      </c>
      <c r="AS1351" t="e">
        <f>_xlfn.XLOOKUP(A1351,[3]Sheet1!$B:$B,[3]Sheet1!$B:$B)</f>
        <v>#N/A</v>
      </c>
    </row>
    <row r="1352" spans="1:46" x14ac:dyDescent="0.25">
      <c r="A1352" s="16" t="s">
        <v>257</v>
      </c>
      <c r="B1352" s="2" t="s">
        <v>656</v>
      </c>
      <c r="C1352" s="2" t="s">
        <v>258</v>
      </c>
      <c r="D1352" s="2" t="s">
        <v>554</v>
      </c>
      <c r="E1352" s="2">
        <v>2.5</v>
      </c>
      <c r="F1352" s="1" t="str">
        <f>VLOOKUP(H1352,'RM Used'!A:B,2,0)</f>
        <v>P0008</v>
      </c>
      <c r="G1352" s="1" t="str">
        <f>IFERROR(VLOOKUP(F1352,'RM Cost'!A:B,2,0),"")</f>
        <v>PALE BLUE BAG 470X750MM</v>
      </c>
      <c r="H1352" s="1" t="s">
        <v>1323</v>
      </c>
      <c r="I1352" s="1" t="str">
        <f>VLOOKUP(F1352,'RM Used'!B:D,3,0)</f>
        <v>RM-PACKING</v>
      </c>
      <c r="J1352" s="66">
        <v>1</v>
      </c>
      <c r="K1352" s="35" t="str">
        <f t="shared" si="392"/>
        <v/>
      </c>
      <c r="L1352" s="35">
        <f t="shared" si="399"/>
        <v>0</v>
      </c>
      <c r="M1352" s="77" t="str" cm="1">
        <f t="array" ref="M1352">_xlfn.IFS(BOM!I1352="RM-PACKING","100%",B1352="Reynolds",VLOOKUP(H1352,'Yield &amp; Time'!A:V,22,0),BOM!B1352="Dnata",VLOOKUP(BOM!H1352,'Yield &amp; Time'!A:M,13,0),B1352="NK",VLOOKUP(H1352,'Yield &amp; Time'!A:X,24,0))</f>
        <v>100%</v>
      </c>
      <c r="N1352" s="35">
        <f t="shared" si="398"/>
        <v>1</v>
      </c>
      <c r="O1352" s="1" t="str">
        <f>VLOOKUP(H1352,'RM Used'!A:E,5,0)</f>
        <v>Count</v>
      </c>
      <c r="P1352" s="11">
        <f>VLOOKUP(H1352,'RM Used'!A:F,6,0)</f>
        <v>0.14000000000000001</v>
      </c>
      <c r="Q1352" s="11">
        <f t="shared" si="408"/>
        <v>0.14000000000000001</v>
      </c>
      <c r="R1352" s="11">
        <f>IFERROR(IF(B1352="Reynolds",VLOOKUP(H1352,'Yield &amp; Time'!A:U,21,0),VLOOKUP(H1352,'Yield &amp; Time'!A:L,12,0)),0)</f>
        <v>0</v>
      </c>
      <c r="S1352" s="11">
        <f t="shared" si="400"/>
        <v>0</v>
      </c>
      <c r="T1352" s="11">
        <f t="shared" si="401"/>
        <v>0</v>
      </c>
      <c r="U1352" s="11">
        <f>IF(A1351=A1352,0,VLOOKUP(A1352,'Packing Time'!A:F,6,0))</f>
        <v>0</v>
      </c>
      <c r="V1352" s="11">
        <f t="shared" si="393"/>
        <v>0</v>
      </c>
      <c r="W1352" s="11">
        <f t="shared" si="394"/>
        <v>0</v>
      </c>
      <c r="X1352" s="11">
        <f t="shared" si="402"/>
        <v>0</v>
      </c>
      <c r="Y1352" s="11">
        <f t="shared" si="395"/>
        <v>0</v>
      </c>
      <c r="Z1352" s="37">
        <v>1</v>
      </c>
      <c r="AA1352" s="36">
        <f t="shared" si="403"/>
        <v>1</v>
      </c>
      <c r="AB1352" s="36">
        <f t="shared" si="404"/>
        <v>0.14000000000000001</v>
      </c>
      <c r="AC1352" s="11">
        <f t="shared" si="405"/>
        <v>0</v>
      </c>
      <c r="AD1352" s="36">
        <f t="shared" si="396"/>
        <v>0</v>
      </c>
      <c r="AE1352" s="36"/>
      <c r="AF1352" s="36">
        <f>IFERROR(VLOOKUP(AE1352,'Chemical Cost'!A:D,4,0),0)</f>
        <v>0</v>
      </c>
      <c r="AG1352" s="114">
        <f t="shared" si="406"/>
        <v>0</v>
      </c>
      <c r="AH1352" s="36">
        <f t="shared" si="391"/>
        <v>0</v>
      </c>
      <c r="AI1352" s="36">
        <f t="shared" si="397"/>
        <v>0.14000000000000001</v>
      </c>
      <c r="AJ1352" s="36">
        <f>IFERROR(VLOOKUP(A1352,'All Products'!A:F,6,0),0)</f>
        <v>27.68</v>
      </c>
      <c r="AK1352" s="36"/>
      <c r="AL1352" s="29">
        <v>1</v>
      </c>
      <c r="AM1352" s="23"/>
      <c r="AN1352" s="54" t="e">
        <v>#N/A</v>
      </c>
      <c r="AO1352" s="47"/>
      <c r="AP1352" s="4">
        <v>1.6</v>
      </c>
      <c r="AQ1352" s="111">
        <f t="shared" si="407"/>
        <v>0</v>
      </c>
      <c r="AR1352">
        <f>_xlfn.XLOOKUP(F1352,'RM Cost'!A:A,'RM Cost'!S:S)</f>
        <v>0</v>
      </c>
      <c r="AS1352" t="e">
        <f>_xlfn.XLOOKUP(A1352,[3]Sheet1!$B:$B,[3]Sheet1!$B:$B)</f>
        <v>#N/A</v>
      </c>
    </row>
    <row r="1353" spans="1:46" x14ac:dyDescent="0.25">
      <c r="A1353" s="16" t="s">
        <v>76</v>
      </c>
      <c r="B1353" s="2" t="s">
        <v>656</v>
      </c>
      <c r="C1353" s="2" t="s">
        <v>77</v>
      </c>
      <c r="D1353" s="2" t="s">
        <v>1108</v>
      </c>
      <c r="E1353" s="48">
        <v>2.88</v>
      </c>
      <c r="F1353" s="1" t="str">
        <f>VLOOKUP(H1353,'RM Used'!A:B,2,0)</f>
        <v>2519CS</v>
      </c>
      <c r="G1353" s="1" t="str">
        <f>IFERROR(VLOOKUP(F1353,'RM Cost'!A:B,2,0),"")</f>
        <v>RM - APPLES RED X 125/138</v>
      </c>
      <c r="H1353" s="2" t="s">
        <v>1653</v>
      </c>
      <c r="I1353" s="1" t="str">
        <f>VLOOKUP(F1353,'RM Used'!B:D,3,0)</f>
        <v>RM-FOOD</v>
      </c>
      <c r="J1353" s="74">
        <v>1</v>
      </c>
      <c r="K1353" s="35">
        <f t="shared" si="392"/>
        <v>2.88</v>
      </c>
      <c r="L1353" s="35">
        <f t="shared" si="399"/>
        <v>2.88</v>
      </c>
      <c r="M1353" s="77" cm="1">
        <f t="array" ref="M1353">_xlfn.IFS(BOM!I1353="RM-PACKING","100%",B1353="Reynolds",VLOOKUP(H1353,'Yield &amp; Time'!A:V,22,0),BOM!B1353="Dnata",VLOOKUP(BOM!H1353,'Yield &amp; Time'!A:M,13,0),B1353="NK",VLOOKUP(H1353,'Yield &amp; Time'!A:X,24,0))</f>
        <v>1</v>
      </c>
      <c r="N1353" s="35">
        <f t="shared" si="398"/>
        <v>2.88</v>
      </c>
      <c r="O1353" s="1" t="str">
        <f>VLOOKUP(H1353,'RM Used'!A:E,5,0)</f>
        <v>KG</v>
      </c>
      <c r="P1353" s="11">
        <f>VLOOKUP(H1353,'RM Used'!A:F,6,0)</f>
        <v>1.1200000000000001</v>
      </c>
      <c r="Q1353" s="11">
        <f t="shared" si="408"/>
        <v>3.2256</v>
      </c>
      <c r="R1353" s="11">
        <f>IFERROR(IF(B1353="Reynolds",VLOOKUP(H1353,'Yield &amp; Time'!A:U,21,0),VLOOKUP(H1353,'Yield &amp; Time'!A:L,12,0)),0)</f>
        <v>0.05</v>
      </c>
      <c r="S1353" s="11">
        <f t="shared" si="400"/>
        <v>4.8743999999999989E-2</v>
      </c>
      <c r="T1353" s="11">
        <f t="shared" si="401"/>
        <v>2.3999999999999998E-3</v>
      </c>
      <c r="U1353" s="11">
        <f>IF(A1352=A1353,0,VLOOKUP(A1353,'Packing Time'!A:F,6,0))</f>
        <v>0.8</v>
      </c>
      <c r="V1353" s="11">
        <f t="shared" si="393"/>
        <v>0.27079999999999999</v>
      </c>
      <c r="W1353" s="11">
        <f t="shared" si="394"/>
        <v>1.3333333333333334E-2</v>
      </c>
      <c r="X1353" s="11">
        <f t="shared" si="402"/>
        <v>0.35149840000000004</v>
      </c>
      <c r="Y1353" s="11">
        <f t="shared" si="395"/>
        <v>0.35149840000000004</v>
      </c>
      <c r="Z1353" s="37">
        <v>1</v>
      </c>
      <c r="AA1353" s="36">
        <f t="shared" si="403"/>
        <v>2.88</v>
      </c>
      <c r="AB1353" s="36">
        <f t="shared" si="404"/>
        <v>3.2256</v>
      </c>
      <c r="AC1353" s="11">
        <f t="shared" si="405"/>
        <v>1.7306666666666672E-2</v>
      </c>
      <c r="AD1353" s="36">
        <f t="shared" si="396"/>
        <v>0.35149840000000004</v>
      </c>
      <c r="AE1353" s="36" t="str">
        <f>VLOOKUP(H1353,'Yield &amp; Time'!A:I,9,0)</f>
        <v>CHLORINE</v>
      </c>
      <c r="AF1353" s="36">
        <f>IFERROR(VLOOKUP(AE1353,'Chemical Cost'!A:D,4,0),0)</f>
        <v>2.7756518066439469E-2</v>
      </c>
      <c r="AG1353" s="114">
        <f t="shared" si="406"/>
        <v>2.6646257343781888E-2</v>
      </c>
      <c r="AH1353" s="36">
        <f t="shared" si="391"/>
        <v>2.6646257343781888E-2</v>
      </c>
      <c r="AI1353" s="36">
        <f t="shared" si="397"/>
        <v>3.6037446573437819</v>
      </c>
      <c r="AJ1353" s="36">
        <f>IFERROR(VLOOKUP(A1353,'All Products'!A:F,6,0),0)</f>
        <v>8.1999999999999993</v>
      </c>
      <c r="AK1353" s="36">
        <f>AJ1353*Z1353*J1353</f>
        <v>8.1999999999999993</v>
      </c>
      <c r="AL1353" s="29"/>
      <c r="AM1353" s="23">
        <v>1</v>
      </c>
      <c r="AN1353" s="54" t="e">
        <v>#N/A</v>
      </c>
      <c r="AO1353" s="47"/>
      <c r="AP1353" s="4">
        <v>1.1000000000000001</v>
      </c>
      <c r="AQ1353" s="111">
        <f t="shared" si="407"/>
        <v>1.7306666666666672E-2</v>
      </c>
      <c r="AR1353">
        <f>_xlfn.XLOOKUP(F1353,'RM Cost'!A:A,'RM Cost'!S:S)</f>
        <v>0</v>
      </c>
      <c r="AS1353" t="str">
        <f>_xlfn.XLOOKUP(A1353,[3]Sheet1!$B:$B,[3]Sheet1!$B:$B)</f>
        <v>Z429CS</v>
      </c>
      <c r="AT1353">
        <f>_xlfn.XLOOKUP(H1353,'Yield &amp; Time'!A:A,'Yield &amp; Time'!F:F)</f>
        <v>0</v>
      </c>
    </row>
    <row r="1354" spans="1:46" x14ac:dyDescent="0.25">
      <c r="A1354" s="16" t="s">
        <v>76</v>
      </c>
      <c r="B1354" s="2" t="s">
        <v>656</v>
      </c>
      <c r="C1354" s="2" t="s">
        <v>77</v>
      </c>
      <c r="D1354" s="2" t="s">
        <v>1108</v>
      </c>
      <c r="E1354" s="48">
        <v>2.88</v>
      </c>
      <c r="F1354" s="1" t="str">
        <f>VLOOKUP(H1354,'RM Used'!A:B,2,0)</f>
        <v>P0008</v>
      </c>
      <c r="G1354" s="1" t="str">
        <f>IFERROR(VLOOKUP(F1354,'RM Cost'!A:B,2,0),"")</f>
        <v>PALE BLUE BAG 470X750MM</v>
      </c>
      <c r="H1354" s="1" t="s">
        <v>1323</v>
      </c>
      <c r="I1354" s="1" t="str">
        <f>VLOOKUP(F1354,'RM Used'!B:D,3,0)</f>
        <v>RM-PACKING</v>
      </c>
      <c r="J1354" s="66">
        <v>1</v>
      </c>
      <c r="K1354" s="35" t="str">
        <f t="shared" si="392"/>
        <v/>
      </c>
      <c r="L1354" s="35">
        <f t="shared" si="399"/>
        <v>0</v>
      </c>
      <c r="M1354" s="77" t="str" cm="1">
        <f t="array" ref="M1354">_xlfn.IFS(BOM!I1354="RM-PACKING","100%",B1354="Reynolds",VLOOKUP(H1354,'Yield &amp; Time'!A:V,22,0),BOM!B1354="Dnata",VLOOKUP(BOM!H1354,'Yield &amp; Time'!A:M,13,0),B1354="NK",VLOOKUP(H1354,'Yield &amp; Time'!A:X,24,0))</f>
        <v>100%</v>
      </c>
      <c r="N1354" s="35">
        <f t="shared" si="398"/>
        <v>1</v>
      </c>
      <c r="O1354" s="1" t="str">
        <f>VLOOKUP(H1354,'RM Used'!A:E,5,0)</f>
        <v>Count</v>
      </c>
      <c r="P1354" s="11">
        <f>VLOOKUP(H1354,'RM Used'!A:F,6,0)</f>
        <v>0.14000000000000001</v>
      </c>
      <c r="Q1354" s="11">
        <f t="shared" si="408"/>
        <v>0.14000000000000001</v>
      </c>
      <c r="R1354" s="11">
        <f>IFERROR(IF(B1354="Reynolds",VLOOKUP(H1354,'Yield &amp; Time'!A:U,21,0),VLOOKUP(H1354,'Yield &amp; Time'!A:L,12,0)),0)</f>
        <v>0</v>
      </c>
      <c r="S1354" s="11">
        <f t="shared" si="400"/>
        <v>0</v>
      </c>
      <c r="T1354" s="11">
        <f t="shared" si="401"/>
        <v>0</v>
      </c>
      <c r="U1354" s="11">
        <f>IF(A1353=A1354,0,VLOOKUP(A1354,'Packing Time'!A:F,6,0))</f>
        <v>0</v>
      </c>
      <c r="V1354" s="11">
        <f t="shared" si="393"/>
        <v>0</v>
      </c>
      <c r="W1354" s="11">
        <f t="shared" si="394"/>
        <v>0</v>
      </c>
      <c r="X1354" s="11">
        <f t="shared" si="402"/>
        <v>0</v>
      </c>
      <c r="Y1354" s="11">
        <f t="shared" si="395"/>
        <v>0</v>
      </c>
      <c r="Z1354" s="37">
        <v>1</v>
      </c>
      <c r="AA1354" s="36">
        <f t="shared" si="403"/>
        <v>1</v>
      </c>
      <c r="AB1354" s="36">
        <f t="shared" si="404"/>
        <v>0.14000000000000001</v>
      </c>
      <c r="AC1354" s="11">
        <f t="shared" si="405"/>
        <v>0</v>
      </c>
      <c r="AD1354" s="36">
        <f t="shared" si="396"/>
        <v>0</v>
      </c>
      <c r="AE1354" s="36"/>
      <c r="AF1354" s="36">
        <f>IFERROR(VLOOKUP(AE1354,'Chemical Cost'!A:D,4,0),0)</f>
        <v>0</v>
      </c>
      <c r="AG1354" s="114">
        <f t="shared" si="406"/>
        <v>0</v>
      </c>
      <c r="AH1354" s="36">
        <f t="shared" si="391"/>
        <v>0</v>
      </c>
      <c r="AI1354" s="36">
        <f t="shared" si="397"/>
        <v>0.14000000000000001</v>
      </c>
      <c r="AJ1354" s="36">
        <f>IFERROR(VLOOKUP(A1354,'All Products'!A:F,6,0),0)</f>
        <v>8.1999999999999993</v>
      </c>
      <c r="AK1354" s="36"/>
      <c r="AL1354" s="29"/>
      <c r="AM1354" s="23">
        <v>1</v>
      </c>
      <c r="AN1354" s="54" t="e">
        <v>#N/A</v>
      </c>
      <c r="AO1354" s="47"/>
      <c r="AP1354" s="4">
        <v>1.1000000000000001</v>
      </c>
      <c r="AQ1354" s="111">
        <f t="shared" si="407"/>
        <v>0</v>
      </c>
      <c r="AR1354">
        <f>_xlfn.XLOOKUP(F1354,'RM Cost'!A:A,'RM Cost'!S:S)</f>
        <v>0</v>
      </c>
      <c r="AS1354" t="str">
        <f>_xlfn.XLOOKUP(A1354,[3]Sheet1!$B:$B,[3]Sheet1!$B:$B)</f>
        <v>Z429CS</v>
      </c>
      <c r="AT1354" t="e">
        <f>_xlfn.XLOOKUP(H1354,'Yield &amp; Time'!A:A,'Yield &amp; Time'!F:F)</f>
        <v>#N/A</v>
      </c>
    </row>
    <row r="1355" spans="1:46" x14ac:dyDescent="0.25">
      <c r="A1355" s="16" t="s">
        <v>508</v>
      </c>
      <c r="B1355" s="2" t="s">
        <v>656</v>
      </c>
      <c r="C1355" s="2" t="s">
        <v>509</v>
      </c>
      <c r="D1355" s="2" t="s">
        <v>554</v>
      </c>
      <c r="E1355" s="2">
        <v>1</v>
      </c>
      <c r="F1355" s="1" t="str">
        <f>VLOOKUP(H1355,'RM Used'!A:B,2,0)</f>
        <v>3011CS</v>
      </c>
      <c r="G1355" s="1" t="str">
        <f>IFERROR(VLOOKUP(F1355,'RM Cost'!A:B,2,0),"")</f>
        <v>GOLDEN BEETROOT 1 X 5KG</v>
      </c>
      <c r="H1355" s="2" t="s">
        <v>1652</v>
      </c>
      <c r="I1355" s="1" t="str">
        <f>VLOOKUP(F1355,'RM Used'!B:D,3,0)</f>
        <v>RM-FOOD</v>
      </c>
      <c r="J1355" s="74">
        <v>1</v>
      </c>
      <c r="K1355" s="35">
        <f t="shared" si="392"/>
        <v>1</v>
      </c>
      <c r="L1355" s="35">
        <f t="shared" si="399"/>
        <v>1</v>
      </c>
      <c r="M1355" s="77" cm="1">
        <f t="array" ref="M1355">_xlfn.IFS(BOM!I1355="RM-PACKING","100%",B1355="Reynolds",VLOOKUP(H1355,'Yield &amp; Time'!A:V,22,0),BOM!B1355="Dnata",VLOOKUP(BOM!H1355,'Yield &amp; Time'!A:M,13,0),B1355="NK",VLOOKUP(H1355,'Yield &amp; Time'!A:X,24,0))</f>
        <v>0.31372549019607848</v>
      </c>
      <c r="N1355" s="35">
        <f t="shared" si="398"/>
        <v>3.1874999999999996</v>
      </c>
      <c r="O1355" s="1" t="str">
        <f>VLOOKUP(H1355,'RM Used'!A:E,5,0)</f>
        <v>KG</v>
      </c>
      <c r="P1355" s="11">
        <f>VLOOKUP(H1355,'RM Used'!A:F,6,0)</f>
        <v>1.1000000000000001</v>
      </c>
      <c r="Q1355" s="11">
        <f t="shared" si="408"/>
        <v>3.5062499999999996</v>
      </c>
      <c r="R1355" s="11">
        <f>IFERROR(IF(B1355="Reynolds",VLOOKUP(H1355,'Yield &amp; Time'!A:U,21,0),VLOOKUP(H1355,'Yield &amp; Time'!A:L,12,0)),0)</f>
        <v>7.5</v>
      </c>
      <c r="S1355" s="11">
        <f t="shared" si="400"/>
        <v>2.5387499999999998</v>
      </c>
      <c r="T1355" s="11">
        <f t="shared" si="401"/>
        <v>0.125</v>
      </c>
      <c r="U1355" s="11">
        <f>IF(A1354=A1355,0,VLOOKUP(A1355,'Packing Time'!A:F,6,0))</f>
        <v>0.64166666666666661</v>
      </c>
      <c r="V1355" s="11">
        <f t="shared" si="393"/>
        <v>0.21720416666666661</v>
      </c>
      <c r="W1355" s="11">
        <f t="shared" si="394"/>
        <v>1.0694444444444444E-2</v>
      </c>
      <c r="X1355" s="11">
        <f t="shared" si="402"/>
        <v>4.4095266666666664</v>
      </c>
      <c r="Y1355" s="11">
        <f t="shared" si="395"/>
        <v>4.4095266666666664</v>
      </c>
      <c r="Z1355" s="37">
        <v>1</v>
      </c>
      <c r="AA1355" s="36">
        <f t="shared" si="403"/>
        <v>3.1874999999999996</v>
      </c>
      <c r="AB1355" s="36">
        <f t="shared" si="404"/>
        <v>3.5062499999999996</v>
      </c>
      <c r="AC1355" s="11">
        <f t="shared" si="405"/>
        <v>0.21711111111111109</v>
      </c>
      <c r="AD1355" s="36">
        <f t="shared" si="396"/>
        <v>4.4095266666666655</v>
      </c>
      <c r="AE1355" s="36"/>
      <c r="AF1355" s="36">
        <f>IFERROR(VLOOKUP(AE1355,'Chemical Cost'!A:D,4,0),0)</f>
        <v>0</v>
      </c>
      <c r="AG1355" s="114">
        <f t="shared" si="406"/>
        <v>0</v>
      </c>
      <c r="AH1355" s="36">
        <f t="shared" si="391"/>
        <v>0</v>
      </c>
      <c r="AI1355" s="36">
        <f t="shared" si="397"/>
        <v>7.915776666666666</v>
      </c>
      <c r="AJ1355" s="36">
        <f>IFERROR(VLOOKUP(A1355,'All Products'!A:F,6,0),0)</f>
        <v>11.15</v>
      </c>
      <c r="AK1355" s="36">
        <f>AJ1355*Z1355*J1355</f>
        <v>11.15</v>
      </c>
      <c r="AL1355" s="29">
        <v>1</v>
      </c>
      <c r="AM1355" s="23"/>
      <c r="AN1355" s="54" t="e">
        <v>#N/A</v>
      </c>
      <c r="AO1355" s="47"/>
      <c r="AP1355" s="4">
        <v>1.6</v>
      </c>
      <c r="AQ1355" s="111">
        <f t="shared" si="407"/>
        <v>0.21711111111111109</v>
      </c>
      <c r="AR1355">
        <f>_xlfn.XLOOKUP(F1355,'RM Cost'!A:A,'RM Cost'!S:S)</f>
        <v>0</v>
      </c>
      <c r="AS1355" t="e">
        <f>_xlfn.XLOOKUP(A1355,[3]Sheet1!$B:$B,[3]Sheet1!$B:$B)</f>
        <v>#N/A</v>
      </c>
    </row>
    <row r="1356" spans="1:46" x14ac:dyDescent="0.25">
      <c r="A1356" s="16" t="s">
        <v>508</v>
      </c>
      <c r="B1356" s="2" t="s">
        <v>656</v>
      </c>
      <c r="C1356" s="2" t="s">
        <v>509</v>
      </c>
      <c r="D1356" s="2" t="s">
        <v>554</v>
      </c>
      <c r="E1356" s="2">
        <v>1</v>
      </c>
      <c r="F1356" s="1" t="str">
        <f>VLOOKUP(H1356,'RM Used'!A:B,2,0)</f>
        <v>P0008</v>
      </c>
      <c r="G1356" s="1" t="str">
        <f>IFERROR(VLOOKUP(F1356,'RM Cost'!A:B,2,0),"")</f>
        <v>PALE BLUE BAG 470X750MM</v>
      </c>
      <c r="H1356" s="1" t="s">
        <v>1323</v>
      </c>
      <c r="I1356" s="1" t="str">
        <f>VLOOKUP(F1356,'RM Used'!B:D,3,0)</f>
        <v>RM-PACKING</v>
      </c>
      <c r="J1356" s="66">
        <v>1</v>
      </c>
      <c r="K1356" s="35" t="str">
        <f t="shared" si="392"/>
        <v/>
      </c>
      <c r="L1356" s="35">
        <f t="shared" si="399"/>
        <v>0</v>
      </c>
      <c r="M1356" s="77" t="str" cm="1">
        <f t="array" ref="M1356">_xlfn.IFS(BOM!I1356="RM-PACKING","100%",B1356="Reynolds",VLOOKUP(H1356,'Yield &amp; Time'!A:V,22,0),BOM!B1356="Dnata",VLOOKUP(BOM!H1356,'Yield &amp; Time'!A:M,13,0),B1356="NK",VLOOKUP(H1356,'Yield &amp; Time'!A:X,24,0))</f>
        <v>100%</v>
      </c>
      <c r="N1356" s="35">
        <f t="shared" si="398"/>
        <v>1</v>
      </c>
      <c r="O1356" s="1" t="str">
        <f>VLOOKUP(H1356,'RM Used'!A:E,5,0)</f>
        <v>Count</v>
      </c>
      <c r="P1356" s="11">
        <f>VLOOKUP(H1356,'RM Used'!A:F,6,0)</f>
        <v>0.14000000000000001</v>
      </c>
      <c r="Q1356" s="11">
        <f t="shared" si="408"/>
        <v>0.14000000000000001</v>
      </c>
      <c r="R1356" s="11">
        <f>IFERROR(IF(B1356="Reynolds",VLOOKUP(H1356,'Yield &amp; Time'!A:U,21,0),VLOOKUP(H1356,'Yield &amp; Time'!A:L,12,0)),0)</f>
        <v>0</v>
      </c>
      <c r="S1356" s="11">
        <f t="shared" si="400"/>
        <v>0</v>
      </c>
      <c r="T1356" s="11">
        <f t="shared" si="401"/>
        <v>0</v>
      </c>
      <c r="U1356" s="11">
        <f>IF(A1355=A1356,0,VLOOKUP(A1356,'Packing Time'!A:F,6,0))</f>
        <v>0</v>
      </c>
      <c r="V1356" s="11">
        <f t="shared" si="393"/>
        <v>0</v>
      </c>
      <c r="W1356" s="11">
        <f t="shared" si="394"/>
        <v>0</v>
      </c>
      <c r="X1356" s="11">
        <f t="shared" si="402"/>
        <v>0</v>
      </c>
      <c r="Y1356" s="11">
        <f t="shared" si="395"/>
        <v>0</v>
      </c>
      <c r="Z1356" s="37">
        <v>1</v>
      </c>
      <c r="AA1356" s="36">
        <f t="shared" si="403"/>
        <v>1</v>
      </c>
      <c r="AB1356" s="36">
        <f t="shared" si="404"/>
        <v>0.14000000000000001</v>
      </c>
      <c r="AC1356" s="11">
        <f t="shared" si="405"/>
        <v>0</v>
      </c>
      <c r="AD1356" s="36">
        <f t="shared" si="396"/>
        <v>0</v>
      </c>
      <c r="AE1356" s="36"/>
      <c r="AF1356" s="36">
        <f>IFERROR(VLOOKUP(AE1356,'Chemical Cost'!A:D,4,0),0)</f>
        <v>0</v>
      </c>
      <c r="AG1356" s="114">
        <f t="shared" si="406"/>
        <v>0</v>
      </c>
      <c r="AH1356" s="36">
        <f t="shared" si="391"/>
        <v>0</v>
      </c>
      <c r="AI1356" s="36">
        <f t="shared" si="397"/>
        <v>0.14000000000000001</v>
      </c>
      <c r="AJ1356" s="36">
        <f>IFERROR(VLOOKUP(A1356,'All Products'!A:F,6,0),0)</f>
        <v>11.15</v>
      </c>
      <c r="AK1356" s="36"/>
      <c r="AL1356" s="29">
        <v>1</v>
      </c>
      <c r="AM1356" s="23"/>
      <c r="AN1356" s="54" t="e">
        <v>#N/A</v>
      </c>
      <c r="AO1356" s="47"/>
      <c r="AP1356" s="4">
        <v>1.6</v>
      </c>
      <c r="AQ1356" s="111">
        <f t="shared" si="407"/>
        <v>0</v>
      </c>
      <c r="AR1356">
        <f>_xlfn.XLOOKUP(F1356,'RM Cost'!A:A,'RM Cost'!S:S)</f>
        <v>0</v>
      </c>
      <c r="AS1356" t="e">
        <f>_xlfn.XLOOKUP(A1356,[3]Sheet1!$B:$B,[3]Sheet1!$B:$B)</f>
        <v>#N/A</v>
      </c>
    </row>
    <row r="1357" spans="1:46" x14ac:dyDescent="0.25">
      <c r="A1357" s="16" t="s">
        <v>539</v>
      </c>
      <c r="B1357" s="2" t="s">
        <v>552</v>
      </c>
      <c r="C1357" s="2" t="s">
        <v>540</v>
      </c>
      <c r="D1357" s="2" t="s">
        <v>554</v>
      </c>
      <c r="E1357" s="2">
        <v>2.6</v>
      </c>
      <c r="F1357" s="1" t="str">
        <f>VLOOKUP(H1357,'RM Used'!A:B,2,0)</f>
        <v>3446CS</v>
      </c>
      <c r="G1357" s="1" t="str">
        <f>IFERROR(VLOOKUP(F1357,'RM Cost'!A:B,2,0),"")</f>
        <v>RM - CUCUMBER X12 EA</v>
      </c>
      <c r="H1357" s="2" t="s">
        <v>1654</v>
      </c>
      <c r="I1357" s="1" t="str">
        <f>VLOOKUP(F1357,'RM Used'!B:D,3,0)</f>
        <v>RM-FOOD</v>
      </c>
      <c r="J1357" s="74">
        <f>1.2/1.3</f>
        <v>0.92307692307692302</v>
      </c>
      <c r="K1357" s="35">
        <f t="shared" si="392"/>
        <v>2.4</v>
      </c>
      <c r="L1357" s="35">
        <f t="shared" si="399"/>
        <v>2.4</v>
      </c>
      <c r="M1357" s="77" cm="1">
        <f t="array" ref="M1357">_xlfn.IFS(BOM!I1357="RM-PACKING","100%",B1357="Reynolds",VLOOKUP(H1357,'Yield &amp; Time'!A:V,22,0),BOM!B1357="Dnata",VLOOKUP(BOM!H1357,'Yield &amp; Time'!A:M,13,0),B1357="NK",VLOOKUP(H1357,'Yield &amp; Time'!A:X,24,0))</f>
        <v>0.61874999999999991</v>
      </c>
      <c r="N1357" s="35">
        <f t="shared" si="398"/>
        <v>3.8787878787878793</v>
      </c>
      <c r="O1357" s="1" t="str">
        <f>VLOOKUP(H1357,'RM Used'!A:E,5,0)</f>
        <v>KG</v>
      </c>
      <c r="P1357" s="11">
        <f>VLOOKUP(H1357,'RM Used'!A:F,6,0)</f>
        <v>1.18</v>
      </c>
      <c r="Q1357" s="11">
        <f t="shared" si="408"/>
        <v>4.5769696969696971</v>
      </c>
      <c r="R1357" s="11">
        <f>IFERROR(IF(B1357="Reynolds",VLOOKUP(H1357,'Yield &amp; Time'!A:U,21,0),VLOOKUP(H1357,'Yield &amp; Time'!A:L,12,0)),0)</f>
        <v>13.939393939393939</v>
      </c>
      <c r="S1357" s="11">
        <f t="shared" si="400"/>
        <v>11.324363636363636</v>
      </c>
      <c r="T1357" s="11">
        <f t="shared" si="401"/>
        <v>0.5575757575757575</v>
      </c>
      <c r="U1357" s="11">
        <f>IF(A1356=A1357,0,VLOOKUP(A1357,'Packing Time'!A:F,6,0))</f>
        <v>1.75</v>
      </c>
      <c r="V1357" s="11">
        <f t="shared" si="393"/>
        <v>0.59237499999999998</v>
      </c>
      <c r="W1357" s="11">
        <f t="shared" si="394"/>
        <v>2.9166666666666667E-2</v>
      </c>
      <c r="X1357" s="11">
        <f t="shared" si="402"/>
        <v>13.108412499999998</v>
      </c>
      <c r="Y1357" s="11">
        <f t="shared" si="395"/>
        <v>13.108412499999998</v>
      </c>
      <c r="Z1357" s="37">
        <v>1</v>
      </c>
      <c r="AA1357" s="36">
        <f t="shared" si="403"/>
        <v>3.8787878787878793</v>
      </c>
      <c r="AB1357" s="36">
        <f t="shared" si="404"/>
        <v>4.5769696969696971</v>
      </c>
      <c r="AC1357" s="11">
        <f t="shared" si="405"/>
        <v>0.64541666666666664</v>
      </c>
      <c r="AD1357" s="36">
        <f t="shared" si="396"/>
        <v>13.1084125</v>
      </c>
      <c r="AE1357" s="36"/>
      <c r="AF1357" s="36">
        <f>IFERROR(VLOOKUP(AE1357,'Chemical Cost'!A:D,4,0),0)</f>
        <v>0</v>
      </c>
      <c r="AG1357" s="114">
        <f t="shared" si="406"/>
        <v>0</v>
      </c>
      <c r="AH1357" s="36">
        <f t="shared" si="391"/>
        <v>0</v>
      </c>
      <c r="AI1357" s="36">
        <f t="shared" si="397"/>
        <v>17.685382196969694</v>
      </c>
      <c r="AJ1357" s="36">
        <f>IFERROR(VLOOKUP(A1357,'All Products'!A:F,6,0),0)</f>
        <v>23.29</v>
      </c>
      <c r="AK1357" s="36">
        <f>AJ1357*Z1357*J1357</f>
        <v>21.498461538461537</v>
      </c>
      <c r="AL1357" s="23"/>
      <c r="AM1357" s="23">
        <v>1</v>
      </c>
      <c r="AN1357" s="54" t="e">
        <v>#N/A</v>
      </c>
      <c r="AO1357" s="47"/>
      <c r="AP1357" s="4">
        <v>1.1000000000000001</v>
      </c>
      <c r="AQ1357" s="111">
        <f t="shared" si="407"/>
        <v>0.64541666666666664</v>
      </c>
      <c r="AR1357">
        <f>_xlfn.XLOOKUP(F1357,'RM Cost'!A:A,'RM Cost'!S:S)</f>
        <v>0</v>
      </c>
      <c r="AS1357" t="e">
        <f>_xlfn.XLOOKUP(A1357,[3]Sheet1!$B:$B,[3]Sheet1!$B:$B)</f>
        <v>#N/A</v>
      </c>
    </row>
    <row r="1358" spans="1:46" x14ac:dyDescent="0.25">
      <c r="A1358" s="16" t="s">
        <v>539</v>
      </c>
      <c r="B1358" s="2" t="s">
        <v>552</v>
      </c>
      <c r="C1358" s="2" t="s">
        <v>540</v>
      </c>
      <c r="D1358" s="2" t="s">
        <v>554</v>
      </c>
      <c r="E1358" s="2">
        <v>2.6</v>
      </c>
      <c r="F1358" s="1" t="str">
        <f>VLOOKUP(H1358,'RM Used'!A:B,2,0)</f>
        <v>HS685</v>
      </c>
      <c r="G1358" s="1" t="str">
        <f>IFERROR(VLOOKUP(F1358,'RM Cost'!A:B,2,0),"")</f>
        <v>RM - TIC AMAZU PICKLING VINEGAR 5KG</v>
      </c>
      <c r="H1358" s="2" t="s">
        <v>1386</v>
      </c>
      <c r="I1358" s="1" t="str">
        <f>VLOOKUP(F1358,'RM Used'!B:D,3,0)</f>
        <v>RM-FOOD</v>
      </c>
      <c r="J1358" s="74">
        <f>0.3/1.3</f>
        <v>0.23076923076923075</v>
      </c>
      <c r="K1358" s="35">
        <f t="shared" si="392"/>
        <v>0.6</v>
      </c>
      <c r="L1358" s="35">
        <f t="shared" si="399"/>
        <v>0.6</v>
      </c>
      <c r="M1358" s="77" cm="1">
        <f t="array" ref="M1358">_xlfn.IFS(BOM!I1358="RM-PACKING","100%",B1358="Reynolds",VLOOKUP(H1358,'Yield &amp; Time'!A:V,22,0),BOM!B1358="Dnata",VLOOKUP(BOM!H1358,'Yield &amp; Time'!A:M,13,0),B1358="NK",VLOOKUP(H1358,'Yield &amp; Time'!A:X,24,0))</f>
        <v>1</v>
      </c>
      <c r="N1358" s="35">
        <f t="shared" si="398"/>
        <v>0.6</v>
      </c>
      <c r="O1358" s="1" t="s">
        <v>981</v>
      </c>
      <c r="P1358" s="11">
        <f>VLOOKUP(H1358,'RM Used'!A:F,6,0)</f>
        <v>3.6</v>
      </c>
      <c r="Q1358" s="11">
        <f t="shared" si="408"/>
        <v>2.16</v>
      </c>
      <c r="R1358" s="11">
        <f>IFERROR(IF(B1358="Reynolds",VLOOKUP(H1358,'Yield &amp; Time'!A:U,21,0),VLOOKUP(H1358,'Yield &amp; Time'!A:L,12,0)),0)</f>
        <v>0</v>
      </c>
      <c r="S1358" s="11">
        <f t="shared" si="400"/>
        <v>0</v>
      </c>
      <c r="T1358" s="11">
        <f t="shared" si="401"/>
        <v>0</v>
      </c>
      <c r="U1358" s="11">
        <f>IF(A1357=A1358,0,VLOOKUP(A1358,'Packing Time'!A:F,6,0))</f>
        <v>0</v>
      </c>
      <c r="V1358" s="11">
        <f>U1358*AO$1</f>
        <v>0</v>
      </c>
      <c r="W1358" s="11">
        <f>(U1358*Z1358)/60</f>
        <v>0</v>
      </c>
      <c r="X1358" s="11">
        <f t="shared" si="402"/>
        <v>0</v>
      </c>
      <c r="Y1358" s="11">
        <f>X1358*Z1358</f>
        <v>0</v>
      </c>
      <c r="Z1358" s="37">
        <v>1</v>
      </c>
      <c r="AA1358" s="36">
        <f t="shared" si="403"/>
        <v>0.6</v>
      </c>
      <c r="AB1358" s="36">
        <f t="shared" si="404"/>
        <v>2.16</v>
      </c>
      <c r="AC1358" s="11">
        <f t="shared" si="405"/>
        <v>0</v>
      </c>
      <c r="AD1358" s="36">
        <f>AC1358*60*AO$1</f>
        <v>0</v>
      </c>
      <c r="AE1358" s="36"/>
      <c r="AF1358" s="36">
        <f>IFERROR(VLOOKUP(AE1358,'Chemical Cost'!A:D,4,0),0)</f>
        <v>0</v>
      </c>
      <c r="AG1358" s="114">
        <f t="shared" si="406"/>
        <v>0</v>
      </c>
      <c r="AH1358" s="36">
        <f t="shared" si="391"/>
        <v>0</v>
      </c>
      <c r="AI1358" s="36">
        <f>IFERROR((Q1358*Z1358)+(Z1358*X1358)+AH1358,0)</f>
        <v>2.16</v>
      </c>
      <c r="AJ1358" s="36">
        <f>IFERROR(VLOOKUP(A1358,'All Products'!A:F,6,0),0)</f>
        <v>23.29</v>
      </c>
      <c r="AK1358" s="36">
        <f>AJ1358*Z1358*J1358</f>
        <v>5.3746153846153844</v>
      </c>
      <c r="AL1358" s="23"/>
      <c r="AM1358" s="23">
        <v>1</v>
      </c>
      <c r="AN1358" s="54" t="e">
        <v>#N/A</v>
      </c>
      <c r="AO1358" s="47"/>
      <c r="AP1358" s="4">
        <v>1.1000000000000001</v>
      </c>
      <c r="AQ1358" s="111">
        <f t="shared" si="407"/>
        <v>0</v>
      </c>
      <c r="AR1358">
        <f>_xlfn.XLOOKUP(F1358,'RM Cost'!A:A,'RM Cost'!S:S)</f>
        <v>0</v>
      </c>
      <c r="AS1358" t="e">
        <f>_xlfn.XLOOKUP(A1358,[3]Sheet1!$B:$B,[3]Sheet1!$B:$B)</f>
        <v>#N/A</v>
      </c>
    </row>
    <row r="1359" spans="1:46" x14ac:dyDescent="0.25">
      <c r="A1359" s="16" t="s">
        <v>539</v>
      </c>
      <c r="B1359" s="2" t="s">
        <v>552</v>
      </c>
      <c r="C1359" s="2" t="s">
        <v>540</v>
      </c>
      <c r="D1359" s="2" t="s">
        <v>554</v>
      </c>
      <c r="E1359" s="2">
        <v>2.6</v>
      </c>
      <c r="F1359" s="1" t="str">
        <f>VLOOKUP(H1359,'RM Used'!A:B,2,0)</f>
        <v>P0011</v>
      </c>
      <c r="G1359" s="1" t="str">
        <f>IFERROR(VLOOKUP(F1359,'RM Cost'!A:B,2,0),"")</f>
        <v>VACK PACK 300x400</v>
      </c>
      <c r="H1359" s="2" t="s">
        <v>1326</v>
      </c>
      <c r="I1359" s="1" t="str">
        <f>VLOOKUP(F1359,'RM Used'!B:D,3,0)</f>
        <v>RM-PACKING</v>
      </c>
      <c r="J1359" s="66">
        <v>1</v>
      </c>
      <c r="K1359" s="35" t="str">
        <f t="shared" si="392"/>
        <v/>
      </c>
      <c r="L1359" s="35">
        <f t="shared" si="399"/>
        <v>0</v>
      </c>
      <c r="M1359" s="77" t="str" cm="1">
        <f t="array" ref="M1359">_xlfn.IFS(BOM!I1359="RM-PACKING","100%",B1359="Reynolds",VLOOKUP(H1359,'Yield &amp; Time'!A:V,22,0),BOM!B1359="Dnata",VLOOKUP(BOM!H1359,'Yield &amp; Time'!A:M,13,0),B1359="NK",VLOOKUP(H1359,'Yield &amp; Time'!A:X,24,0))</f>
        <v>100%</v>
      </c>
      <c r="N1359" s="35">
        <v>2</v>
      </c>
      <c r="O1359" s="1" t="str">
        <f>VLOOKUP(H1359,'RM Used'!A:E,5,0)</f>
        <v>Count</v>
      </c>
      <c r="P1359" s="11">
        <f>VLOOKUP(H1359,'RM Used'!A:F,6,0)</f>
        <v>0.1</v>
      </c>
      <c r="Q1359" s="11">
        <f t="shared" si="408"/>
        <v>0.2</v>
      </c>
      <c r="R1359" s="11">
        <f>IFERROR(IF(B1359="Reynolds",VLOOKUP(H1359,'Yield &amp; Time'!A:U,21,0),VLOOKUP(H1359,'Yield &amp; Time'!A:L,12,0)),0)</f>
        <v>0</v>
      </c>
      <c r="S1359" s="11">
        <f t="shared" si="400"/>
        <v>0</v>
      </c>
      <c r="T1359" s="11">
        <f t="shared" si="401"/>
        <v>0</v>
      </c>
      <c r="U1359" s="11">
        <f>IF(A1358=A1359,0,VLOOKUP(A1359,'Packing Time'!A:F,6,0))</f>
        <v>0</v>
      </c>
      <c r="V1359" s="11">
        <f t="shared" si="393"/>
        <v>0</v>
      </c>
      <c r="W1359" s="11">
        <f t="shared" si="394"/>
        <v>0</v>
      </c>
      <c r="X1359" s="11">
        <f t="shared" si="402"/>
        <v>0</v>
      </c>
      <c r="Y1359" s="11">
        <f t="shared" si="395"/>
        <v>0</v>
      </c>
      <c r="Z1359" s="37">
        <v>1</v>
      </c>
      <c r="AA1359" s="36">
        <f t="shared" si="403"/>
        <v>2</v>
      </c>
      <c r="AB1359" s="36">
        <f t="shared" si="404"/>
        <v>0.2</v>
      </c>
      <c r="AC1359" s="11">
        <f t="shared" si="405"/>
        <v>0</v>
      </c>
      <c r="AD1359" s="36">
        <f t="shared" si="396"/>
        <v>0</v>
      </c>
      <c r="AE1359" s="36"/>
      <c r="AF1359" s="36">
        <f>IFERROR(VLOOKUP(AE1359,'Chemical Cost'!A:D,4,0),0)</f>
        <v>0</v>
      </c>
      <c r="AG1359" s="114">
        <f t="shared" si="406"/>
        <v>0</v>
      </c>
      <c r="AH1359" s="36">
        <f t="shared" si="391"/>
        <v>0</v>
      </c>
      <c r="AI1359" s="36">
        <f t="shared" si="397"/>
        <v>0.2</v>
      </c>
      <c r="AJ1359" s="36">
        <f>IFERROR(VLOOKUP(A1359,'All Products'!A:F,6,0),0)</f>
        <v>23.29</v>
      </c>
      <c r="AK1359" s="36"/>
      <c r="AL1359" s="23"/>
      <c r="AM1359" s="23">
        <v>1</v>
      </c>
      <c r="AN1359" s="54" t="e">
        <v>#N/A</v>
      </c>
      <c r="AO1359" s="47"/>
      <c r="AP1359" s="4">
        <v>1.1000000000000001</v>
      </c>
      <c r="AQ1359" s="111">
        <f t="shared" si="407"/>
        <v>0</v>
      </c>
      <c r="AR1359">
        <f>_xlfn.XLOOKUP(F1359,'RM Cost'!A:A,'RM Cost'!S:S)</f>
        <v>0</v>
      </c>
      <c r="AS1359" t="e">
        <f>_xlfn.XLOOKUP(A1359,[3]Sheet1!$B:$B,[3]Sheet1!$B:$B)</f>
        <v>#N/A</v>
      </c>
    </row>
    <row r="1360" spans="1:46" x14ac:dyDescent="0.25">
      <c r="A1360" s="16" t="s">
        <v>539</v>
      </c>
      <c r="B1360" s="2" t="s">
        <v>552</v>
      </c>
      <c r="C1360" s="2" t="s">
        <v>540</v>
      </c>
      <c r="D1360" s="2" t="s">
        <v>554</v>
      </c>
      <c r="E1360" s="2">
        <v>2.6</v>
      </c>
      <c r="F1360" s="1" t="str">
        <f>VLOOKUP(H1360,'RM Used'!A:B,2,0)</f>
        <v>P0016</v>
      </c>
      <c r="G1360" s="1" t="str">
        <f>IFERROR(VLOOKUP(F1360,'RM Cost'!A:B,2,0),"")</f>
        <v>REY 40 30 BOX</v>
      </c>
      <c r="H1360" s="2" t="s">
        <v>1332</v>
      </c>
      <c r="I1360" s="1" t="str">
        <f>VLOOKUP(F1360,'RM Used'!B:D,3,0)</f>
        <v>RM-PACKING</v>
      </c>
      <c r="J1360" s="66">
        <v>1</v>
      </c>
      <c r="K1360" s="35" t="str">
        <f t="shared" si="392"/>
        <v/>
      </c>
      <c r="L1360" s="35">
        <f t="shared" si="399"/>
        <v>0</v>
      </c>
      <c r="M1360" s="77" t="str" cm="1">
        <f t="array" ref="M1360">_xlfn.IFS(BOM!I1360="RM-PACKING","100%",B1360="Reynolds",VLOOKUP(H1360,'Yield &amp; Time'!A:V,22,0),BOM!B1360="Dnata",VLOOKUP(BOM!H1360,'Yield &amp; Time'!A:M,13,0),B1360="NK",VLOOKUP(H1360,'Yield &amp; Time'!A:X,24,0))</f>
        <v>100%</v>
      </c>
      <c r="N1360" s="35">
        <f t="shared" ref="N1360:N1397" si="409">IFERROR(IF(I1360="RM-FOOD",(E1360*J1360)/M1360,1),0)</f>
        <v>1</v>
      </c>
      <c r="O1360" s="1" t="str">
        <f>VLOOKUP(H1360,'RM Used'!A:E,5,0)</f>
        <v>Count</v>
      </c>
      <c r="P1360" s="11">
        <f>VLOOKUP(H1360,'RM Used'!A:F,6,0)</f>
        <v>0.28000000000000003</v>
      </c>
      <c r="Q1360" s="11">
        <f t="shared" si="408"/>
        <v>0.28000000000000003</v>
      </c>
      <c r="R1360" s="11">
        <f>IFERROR(IF(B1360="Reynolds",VLOOKUP(H1360,'Yield &amp; Time'!A:U,21,0),VLOOKUP(H1360,'Yield &amp; Time'!A:L,12,0)),0)</f>
        <v>0</v>
      </c>
      <c r="S1360" s="11">
        <f t="shared" si="400"/>
        <v>0</v>
      </c>
      <c r="T1360" s="11">
        <f t="shared" si="401"/>
        <v>0</v>
      </c>
      <c r="U1360" s="11">
        <f>IF(A1359=A1360,0,VLOOKUP(A1360,'Packing Time'!A:F,6,0))</f>
        <v>0</v>
      </c>
      <c r="V1360" s="11">
        <f t="shared" si="393"/>
        <v>0</v>
      </c>
      <c r="W1360" s="11">
        <f t="shared" si="394"/>
        <v>0</v>
      </c>
      <c r="X1360" s="11">
        <f t="shared" si="402"/>
        <v>0</v>
      </c>
      <c r="Y1360" s="11">
        <f t="shared" si="395"/>
        <v>0</v>
      </c>
      <c r="Z1360" s="37">
        <v>1</v>
      </c>
      <c r="AA1360" s="36">
        <f t="shared" si="403"/>
        <v>1</v>
      </c>
      <c r="AB1360" s="36">
        <f t="shared" si="404"/>
        <v>0.28000000000000003</v>
      </c>
      <c r="AC1360" s="11">
        <f t="shared" si="405"/>
        <v>0</v>
      </c>
      <c r="AD1360" s="36">
        <f t="shared" si="396"/>
        <v>0</v>
      </c>
      <c r="AE1360" s="36"/>
      <c r="AF1360" s="36">
        <f>IFERROR(VLOOKUP(AE1360,'Chemical Cost'!A:D,4,0),0)</f>
        <v>0</v>
      </c>
      <c r="AG1360" s="114">
        <f t="shared" si="406"/>
        <v>0</v>
      </c>
      <c r="AH1360" s="36">
        <f t="shared" si="391"/>
        <v>0</v>
      </c>
      <c r="AI1360" s="36">
        <f t="shared" si="397"/>
        <v>0.28000000000000003</v>
      </c>
      <c r="AJ1360" s="36">
        <f>IFERROR(VLOOKUP(A1360,'All Products'!A:F,6,0),0)</f>
        <v>23.29</v>
      </c>
      <c r="AK1360" s="36"/>
      <c r="AL1360" s="23"/>
      <c r="AM1360" s="23">
        <v>1</v>
      </c>
      <c r="AN1360" s="54" t="e">
        <v>#N/A</v>
      </c>
      <c r="AO1360" s="47"/>
      <c r="AP1360" s="4">
        <v>1.1000000000000001</v>
      </c>
      <c r="AQ1360" s="111">
        <f t="shared" si="407"/>
        <v>0</v>
      </c>
      <c r="AR1360">
        <f>_xlfn.XLOOKUP(F1360,'RM Cost'!A:A,'RM Cost'!S:S)</f>
        <v>0</v>
      </c>
      <c r="AS1360" t="e">
        <f>_xlfn.XLOOKUP(A1360,[3]Sheet1!$B:$B,[3]Sheet1!$B:$B)</f>
        <v>#N/A</v>
      </c>
    </row>
    <row r="1361" spans="1:46" x14ac:dyDescent="0.25">
      <c r="A1361" s="16" t="s">
        <v>1109</v>
      </c>
      <c r="B1361" s="2" t="s">
        <v>552</v>
      </c>
      <c r="C1361" s="2" t="s">
        <v>1110</v>
      </c>
      <c r="D1361" s="2" t="s">
        <v>554</v>
      </c>
      <c r="E1361" s="2">
        <v>2.5</v>
      </c>
      <c r="F1361" s="1" t="str">
        <f>VLOOKUP(H1361,'RM Used'!A:B,2,0)</f>
        <v>3565CS</v>
      </c>
      <c r="G1361" s="1" t="str">
        <f>IFERROR(VLOOKUP(F1361,'RM Cost'!A:B,2,0),"")</f>
        <v>RM - PEPPERS GREEN  X 5KG</v>
      </c>
      <c r="H1361" s="2" t="s">
        <v>1427</v>
      </c>
      <c r="I1361" s="1" t="str">
        <f>VLOOKUP(F1361,'RM Used'!B:D,3,0)</f>
        <v>RM-FOOD</v>
      </c>
      <c r="J1361" s="66">
        <v>0.34</v>
      </c>
      <c r="K1361" s="35">
        <f t="shared" si="392"/>
        <v>0.85000000000000009</v>
      </c>
      <c r="L1361" s="35">
        <f t="shared" si="399"/>
        <v>0.85000000000000009</v>
      </c>
      <c r="M1361" s="77" cm="1">
        <f t="array" ref="M1361">_xlfn.IFS(BOM!I1361="RM-PACKING","100%",B1361="Reynolds",VLOOKUP(H1361,'Yield &amp; Time'!A:V,22,0),BOM!B1361="Dnata",VLOOKUP(BOM!H1361,'Yield &amp; Time'!A:M,13,0),B1361="NK",VLOOKUP(H1361,'Yield &amp; Time'!A:X,24,0))</f>
        <v>0.6847247897317198</v>
      </c>
      <c r="N1361" s="35">
        <f t="shared" si="409"/>
        <v>1.2413746555503509</v>
      </c>
      <c r="O1361" s="1" t="str">
        <f>VLOOKUP(H1361,'RM Used'!A:E,5,0)</f>
        <v>KG</v>
      </c>
      <c r="P1361" s="11">
        <f>VLOOKUP(H1361,'RM Used'!A:F,6,0)</f>
        <v>1.76</v>
      </c>
      <c r="Q1361" s="11">
        <f t="shared" si="408"/>
        <v>2.1848193937686173</v>
      </c>
      <c r="R1361" s="11">
        <f>IFERROR(IF(B1361="Reynolds",VLOOKUP(H1361,'Yield &amp; Time'!A:U,21,0),VLOOKUP(H1361,'Yield &amp; Time'!A:L,12,0)),0)</f>
        <v>1.2945876946879427</v>
      </c>
      <c r="S1361" s="11">
        <f t="shared" si="400"/>
        <v>0.37248524445408826</v>
      </c>
      <c r="T1361" s="11">
        <f t="shared" si="401"/>
        <v>1.8339992341412523E-2</v>
      </c>
      <c r="U1361" s="11">
        <f>IF(A1360=A1361,0,VLOOKUP(A1361,'Packing Time'!A:F,6,0))</f>
        <v>0.875</v>
      </c>
      <c r="V1361" s="11">
        <f t="shared" si="393"/>
        <v>0.29618749999999999</v>
      </c>
      <c r="W1361" s="11">
        <f t="shared" si="394"/>
        <v>1.4583333333333334E-2</v>
      </c>
      <c r="X1361" s="11">
        <f t="shared" si="402"/>
        <v>1.0698763911265412</v>
      </c>
      <c r="Y1361" s="11">
        <f t="shared" si="395"/>
        <v>1.0698763911265412</v>
      </c>
      <c r="Z1361" s="37">
        <v>1</v>
      </c>
      <c r="AA1361" s="36">
        <f t="shared" si="403"/>
        <v>1.2413746555503509</v>
      </c>
      <c r="AB1361" s="36">
        <f t="shared" si="404"/>
        <v>2.1848193937686173</v>
      </c>
      <c r="AC1361" s="11">
        <f t="shared" si="405"/>
        <v>5.2677321079593366E-2</v>
      </c>
      <c r="AD1361" s="36">
        <f t="shared" si="396"/>
        <v>1.0698763911265412</v>
      </c>
      <c r="AE1361" s="36" t="str">
        <f>VLOOKUP(H1361,'Yield &amp; Time'!A:R,18,0)</f>
        <v>CHLORINE</v>
      </c>
      <c r="AF1361" s="36">
        <f>IFERROR(VLOOKUP(AE1361,'Chemical Cost'!A:D,4,0),0)</f>
        <v>2.7756518066439469E-2</v>
      </c>
      <c r="AG1361" s="114">
        <f t="shared" si="406"/>
        <v>1.1485412684667795E-2</v>
      </c>
      <c r="AH1361" s="36">
        <f t="shared" si="391"/>
        <v>1.1485412684667795E-2</v>
      </c>
      <c r="AI1361" s="36">
        <f t="shared" si="397"/>
        <v>3.2661811975798263</v>
      </c>
      <c r="AJ1361" s="36">
        <f>IFERROR(VLOOKUP(A1361,'All Products'!A:F,6,0),0)</f>
        <v>14.55</v>
      </c>
      <c r="AK1361" s="36">
        <f>AJ1361*Z1361*J1361</f>
        <v>4.947000000000001</v>
      </c>
      <c r="AL1361" s="23">
        <v>0.8</v>
      </c>
      <c r="AM1361" s="23">
        <v>0.2</v>
      </c>
      <c r="AN1361" s="54" t="e">
        <v>#N/A</v>
      </c>
      <c r="AO1361" s="47"/>
      <c r="AP1361" s="4">
        <v>1.6</v>
      </c>
      <c r="AQ1361" s="111">
        <f t="shared" si="407"/>
        <v>5.2677321079593366E-2</v>
      </c>
      <c r="AR1361">
        <f>_xlfn.XLOOKUP(F1361,'RM Cost'!A:A,'RM Cost'!S:S)</f>
        <v>0</v>
      </c>
      <c r="AS1361" t="e">
        <f>_xlfn.XLOOKUP(A1361,[3]Sheet1!$B:$B,[3]Sheet1!$B:$B)</f>
        <v>#N/A</v>
      </c>
    </row>
    <row r="1362" spans="1:46" x14ac:dyDescent="0.25">
      <c r="A1362" s="16" t="s">
        <v>1109</v>
      </c>
      <c r="B1362" s="2" t="s">
        <v>552</v>
      </c>
      <c r="C1362" s="2" t="s">
        <v>1110</v>
      </c>
      <c r="D1362" s="2" t="s">
        <v>554</v>
      </c>
      <c r="E1362" s="2">
        <v>2.5</v>
      </c>
      <c r="F1362" s="1" t="str">
        <f>VLOOKUP(H1362,'RM Used'!A:B,2,0)</f>
        <v>3567CS</v>
      </c>
      <c r="G1362" s="1" t="str">
        <f>IFERROR(VLOOKUP(F1362,'RM Cost'!A:B,2,0),"")</f>
        <v>RM - PEPPERS YELLOW  X 5KG</v>
      </c>
      <c r="H1362" s="2" t="s">
        <v>1428</v>
      </c>
      <c r="I1362" s="1" t="str">
        <f>VLOOKUP(F1362,'RM Used'!B:D,3,0)</f>
        <v>RM-FOOD</v>
      </c>
      <c r="J1362" s="74">
        <v>0.33</v>
      </c>
      <c r="K1362" s="35">
        <f t="shared" si="392"/>
        <v>0.82500000000000007</v>
      </c>
      <c r="L1362" s="35">
        <f t="shared" si="399"/>
        <v>0.82500000000000007</v>
      </c>
      <c r="M1362" s="77" cm="1">
        <f t="array" ref="M1362">_xlfn.IFS(BOM!I1362="RM-PACKING","100%",B1362="Reynolds",VLOOKUP(H1362,'Yield &amp; Time'!A:V,22,0),BOM!B1362="Dnata",VLOOKUP(BOM!H1362,'Yield &amp; Time'!A:M,13,0),B1362="NK",VLOOKUP(H1362,'Yield &amp; Time'!A:X,24,0))</f>
        <v>0.71086263685622397</v>
      </c>
      <c r="N1362" s="35">
        <f t="shared" si="409"/>
        <v>1.1605617699202004</v>
      </c>
      <c r="O1362" s="1" t="str">
        <f>VLOOKUP(H1362,'RM Used'!A:E,5,0)</f>
        <v>KG</v>
      </c>
      <c r="P1362" s="11">
        <f>VLOOKUP(H1362,'RM Used'!A:F,6,0)</f>
        <v>1.68</v>
      </c>
      <c r="Q1362" s="11">
        <f t="shared" si="408"/>
        <v>1.9497437734659366</v>
      </c>
      <c r="R1362" s="11">
        <f>IFERROR(IF(B1362="Reynolds",VLOOKUP(H1362,'Yield &amp; Time'!A:U,21,0),VLOOKUP(H1362,'Yield &amp; Time'!A:L,12,0)),0)</f>
        <v>1.4664882652687532</v>
      </c>
      <c r="S1362" s="11">
        <f t="shared" si="400"/>
        <v>0.40953517917961518</v>
      </c>
      <c r="T1362" s="11">
        <f t="shared" si="401"/>
        <v>2.0164213647445358E-2</v>
      </c>
      <c r="U1362" s="11">
        <f>IF(A1361=A1362,0,VLOOKUP(A1362,'Packing Time'!A:F,6,0))</f>
        <v>0</v>
      </c>
      <c r="V1362" s="11">
        <f t="shared" si="393"/>
        <v>0</v>
      </c>
      <c r="W1362" s="11">
        <f t="shared" si="394"/>
        <v>0</v>
      </c>
      <c r="X1362" s="11">
        <f t="shared" si="402"/>
        <v>0.65525628668738434</v>
      </c>
      <c r="Y1362" s="11">
        <f t="shared" si="395"/>
        <v>0.65525628668738434</v>
      </c>
      <c r="Z1362" s="37">
        <v>1</v>
      </c>
      <c r="AA1362" s="36">
        <f t="shared" si="403"/>
        <v>1.1605617699202004</v>
      </c>
      <c r="AB1362" s="36">
        <f t="shared" si="404"/>
        <v>1.9497437734659366</v>
      </c>
      <c r="AC1362" s="11">
        <f t="shared" si="405"/>
        <v>3.2262741835912573E-2</v>
      </c>
      <c r="AD1362" s="36">
        <f t="shared" si="396"/>
        <v>0.65525628668738423</v>
      </c>
      <c r="AE1362" s="36" t="str">
        <f>VLOOKUP(H1362,'Yield &amp; Time'!A:R,18,0)</f>
        <v>CHLORINE</v>
      </c>
      <c r="AF1362" s="36">
        <f>IFERROR(VLOOKUP(AE1362,'Chemical Cost'!A:D,4,0),0)</f>
        <v>2.7756518066439469E-2</v>
      </c>
      <c r="AG1362" s="114">
        <f t="shared" si="406"/>
        <v>1.0737717911336335E-2</v>
      </c>
      <c r="AH1362" s="36">
        <f t="shared" si="391"/>
        <v>1.0737717911336335E-2</v>
      </c>
      <c r="AI1362" s="36">
        <f t="shared" si="397"/>
        <v>2.6157377780646573</v>
      </c>
      <c r="AJ1362" s="36">
        <f>IFERROR(VLOOKUP(A1362,'All Products'!A:F,6,0),0)</f>
        <v>14.55</v>
      </c>
      <c r="AK1362" s="36">
        <f>AJ1362*Z1362*J1362</f>
        <v>4.8015000000000008</v>
      </c>
      <c r="AL1362" s="23">
        <v>0.8</v>
      </c>
      <c r="AM1362" s="23">
        <v>0.2</v>
      </c>
      <c r="AN1362" s="54" t="e">
        <v>#N/A</v>
      </c>
      <c r="AO1362" s="47"/>
      <c r="AP1362" s="4">
        <v>1.6</v>
      </c>
      <c r="AQ1362" s="111">
        <f t="shared" si="407"/>
        <v>3.2262741835912573E-2</v>
      </c>
      <c r="AR1362">
        <f>_xlfn.XLOOKUP(F1362,'RM Cost'!A:A,'RM Cost'!S:S)</f>
        <v>0</v>
      </c>
      <c r="AS1362" t="e">
        <f>_xlfn.XLOOKUP(A1362,[3]Sheet1!$B:$B,[3]Sheet1!$B:$B)</f>
        <v>#N/A</v>
      </c>
    </row>
    <row r="1363" spans="1:46" x14ac:dyDescent="0.25">
      <c r="A1363" s="16" t="s">
        <v>1109</v>
      </c>
      <c r="B1363" s="2" t="s">
        <v>552</v>
      </c>
      <c r="C1363" s="2" t="s">
        <v>1110</v>
      </c>
      <c r="D1363" s="2" t="s">
        <v>554</v>
      </c>
      <c r="E1363" s="2">
        <v>2.5</v>
      </c>
      <c r="F1363" s="1" t="str">
        <f>VLOOKUP(H1363,'RM Used'!A:B,2,0)</f>
        <v>3566CS</v>
      </c>
      <c r="G1363" s="1" t="str">
        <f>IFERROR(VLOOKUP(F1363,'RM Cost'!A:B,2,0),"")</f>
        <v>PEPPERS RED X 5KG</v>
      </c>
      <c r="H1363" s="2" t="s">
        <v>1429</v>
      </c>
      <c r="I1363" s="1" t="str">
        <f>VLOOKUP(F1363,'RM Used'!B:D,3,0)</f>
        <v>RM-FOOD</v>
      </c>
      <c r="J1363" s="74">
        <v>0.33</v>
      </c>
      <c r="K1363" s="35">
        <f t="shared" si="392"/>
        <v>0.82500000000000007</v>
      </c>
      <c r="L1363" s="35">
        <f t="shared" si="399"/>
        <v>0.82500000000000007</v>
      </c>
      <c r="M1363" s="77" cm="1">
        <f t="array" ref="M1363">_xlfn.IFS(BOM!I1363="RM-PACKING","100%",B1363="Reynolds",VLOOKUP(H1363,'Yield &amp; Time'!A:V,22,0),BOM!B1363="Dnata",VLOOKUP(BOM!H1363,'Yield &amp; Time'!A:M,13,0),B1363="NK",VLOOKUP(H1363,'Yield &amp; Time'!A:X,24,0))</f>
        <v>0.65645882729527616</v>
      </c>
      <c r="N1363" s="35">
        <f t="shared" si="409"/>
        <v>1.2567429451731842</v>
      </c>
      <c r="O1363" s="1" t="str">
        <f>VLOOKUP(H1363,'RM Used'!A:E,5,0)</f>
        <v>KG</v>
      </c>
      <c r="P1363" s="11">
        <f>VLOOKUP(H1363,'RM Used'!A:F,6,0)</f>
        <v>1.72</v>
      </c>
      <c r="Q1363" s="11">
        <f t="shared" si="408"/>
        <v>2.1615978656978769</v>
      </c>
      <c r="R1363" s="11">
        <f>IFERROR(IF(B1363="Reynolds",VLOOKUP(H1363,'Yield &amp; Time'!A:U,21,0),VLOOKUP(H1363,'Yield &amp; Time'!A:L,12,0)),0)</f>
        <v>1.488179763954117</v>
      </c>
      <c r="S1363" s="11">
        <f t="shared" si="400"/>
        <v>0.41559280133123655</v>
      </c>
      <c r="T1363" s="11">
        <f t="shared" si="401"/>
        <v>2.0462471754369108E-2</v>
      </c>
      <c r="U1363" s="11">
        <f>IF(A1362=A1363,0,VLOOKUP(A1363,'Packing Time'!A:F,6,0))</f>
        <v>0</v>
      </c>
      <c r="V1363" s="11">
        <f t="shared" si="393"/>
        <v>0</v>
      </c>
      <c r="W1363" s="11">
        <f t="shared" si="394"/>
        <v>0</v>
      </c>
      <c r="X1363" s="11">
        <f t="shared" si="402"/>
        <v>0.66494848212997848</v>
      </c>
      <c r="Y1363" s="11">
        <f t="shared" si="395"/>
        <v>0.66494848212997848</v>
      </c>
      <c r="Z1363" s="37">
        <v>1</v>
      </c>
      <c r="AA1363" s="36">
        <f t="shared" si="403"/>
        <v>1.2567429451731842</v>
      </c>
      <c r="AB1363" s="36">
        <f t="shared" si="404"/>
        <v>2.1615978656978769</v>
      </c>
      <c r="AC1363" s="11">
        <f t="shared" si="405"/>
        <v>3.2739954806990573E-2</v>
      </c>
      <c r="AD1363" s="36">
        <f t="shared" si="396"/>
        <v>0.66494848212997848</v>
      </c>
      <c r="AE1363" s="36" t="str">
        <f>VLOOKUP(H1363,'Yield &amp; Time'!A:R,18,0)</f>
        <v>CHLORINE</v>
      </c>
      <c r="AF1363" s="36">
        <f>IFERROR(VLOOKUP(AE1363,'Chemical Cost'!A:D,4,0),0)</f>
        <v>2.7756518066439469E-2</v>
      </c>
      <c r="AG1363" s="114">
        <f t="shared" si="406"/>
        <v>1.1627602754189946E-2</v>
      </c>
      <c r="AH1363" s="36">
        <f t="shared" si="391"/>
        <v>1.1627602754189946E-2</v>
      </c>
      <c r="AI1363" s="36">
        <f t="shared" si="397"/>
        <v>2.8381739505820454</v>
      </c>
      <c r="AJ1363" s="36">
        <f>IFERROR(VLOOKUP(A1363,'All Products'!A:F,6,0),0)</f>
        <v>14.55</v>
      </c>
      <c r="AK1363" s="36">
        <f>AJ1363*Z1363*J1363</f>
        <v>4.8015000000000008</v>
      </c>
      <c r="AL1363" s="23">
        <v>0.8</v>
      </c>
      <c r="AM1363" s="23">
        <v>0.2</v>
      </c>
      <c r="AN1363" s="54" t="e">
        <v>#N/A</v>
      </c>
      <c r="AO1363" s="47"/>
      <c r="AP1363" s="4">
        <v>1.6</v>
      </c>
      <c r="AQ1363" s="111">
        <f t="shared" si="407"/>
        <v>3.2739954806990573E-2</v>
      </c>
      <c r="AR1363">
        <f>_xlfn.XLOOKUP(F1363,'RM Cost'!A:A,'RM Cost'!S:S)</f>
        <v>0</v>
      </c>
      <c r="AS1363" t="e">
        <f>_xlfn.XLOOKUP(A1363,[3]Sheet1!$B:$B,[3]Sheet1!$B:$B)</f>
        <v>#N/A</v>
      </c>
    </row>
    <row r="1364" spans="1:46" x14ac:dyDescent="0.25">
      <c r="A1364" s="16" t="s">
        <v>1109</v>
      </c>
      <c r="B1364" s="2" t="s">
        <v>552</v>
      </c>
      <c r="C1364" s="2" t="s">
        <v>1110</v>
      </c>
      <c r="D1364" s="2" t="s">
        <v>554</v>
      </c>
      <c r="E1364" s="2">
        <v>2.5</v>
      </c>
      <c r="F1364" s="1" t="str">
        <f>VLOOKUP(H1364,'RM Used'!A:B,2,0)</f>
        <v>P0020</v>
      </c>
      <c r="G1364" s="1" t="str">
        <f>IFERROR(VLOOKUP(F1364,'RM Cost'!A:B,2,0),"")</f>
        <v>PALE BLUE BAG 430X430MM</v>
      </c>
      <c r="H1364" s="2" t="s">
        <v>1659</v>
      </c>
      <c r="I1364" s="1" t="str">
        <f>VLOOKUP(F1364,'RM Used'!B:D,3,0)</f>
        <v>RM-PACKING</v>
      </c>
      <c r="J1364" s="66">
        <v>1</v>
      </c>
      <c r="K1364" s="35" t="str">
        <f t="shared" si="392"/>
        <v/>
      </c>
      <c r="L1364" s="35">
        <f t="shared" si="399"/>
        <v>0</v>
      </c>
      <c r="M1364" s="77" t="str" cm="1">
        <f t="array" ref="M1364">_xlfn.IFS(BOM!I1364="RM-PACKING","100%",B1364="Reynolds",VLOOKUP(H1364,'Yield &amp; Time'!A:V,22,0),BOM!B1364="Dnata",VLOOKUP(BOM!H1364,'Yield &amp; Time'!A:M,13,0),B1364="NK",VLOOKUP(H1364,'Yield &amp; Time'!A:X,24,0))</f>
        <v>100%</v>
      </c>
      <c r="N1364" s="35">
        <f t="shared" si="409"/>
        <v>1</v>
      </c>
      <c r="O1364" s="1" t="str">
        <f>VLOOKUP(H1364,'RM Used'!A:E,5,0)</f>
        <v>Count</v>
      </c>
      <c r="P1364" s="11">
        <f>VLOOKUP(H1364,'RM Used'!A:F,6,0)</f>
        <v>0.09</v>
      </c>
      <c r="Q1364" s="11">
        <f t="shared" si="408"/>
        <v>0.09</v>
      </c>
      <c r="R1364" s="11">
        <f>IFERROR(IF(B1364="Reynolds",VLOOKUP(H1364,'Yield &amp; Time'!A:U,21,0),VLOOKUP(H1364,'Yield &amp; Time'!A:L,12,0)),0)</f>
        <v>0</v>
      </c>
      <c r="S1364" s="11">
        <f t="shared" si="400"/>
        <v>0</v>
      </c>
      <c r="T1364" s="11">
        <f t="shared" si="401"/>
        <v>0</v>
      </c>
      <c r="U1364" s="11">
        <f>IF(A1363=A1364,0,VLOOKUP(A1364,'Packing Time'!A:F,6,0))</f>
        <v>0</v>
      </c>
      <c r="V1364" s="11">
        <f t="shared" si="393"/>
        <v>0</v>
      </c>
      <c r="W1364" s="11">
        <f t="shared" si="394"/>
        <v>0</v>
      </c>
      <c r="X1364" s="11">
        <f t="shared" si="402"/>
        <v>0</v>
      </c>
      <c r="Y1364" s="11">
        <f t="shared" si="395"/>
        <v>0</v>
      </c>
      <c r="Z1364" s="37">
        <v>1</v>
      </c>
      <c r="AA1364" s="36">
        <f t="shared" si="403"/>
        <v>1</v>
      </c>
      <c r="AB1364" s="36">
        <f t="shared" si="404"/>
        <v>0.09</v>
      </c>
      <c r="AC1364" s="11">
        <f t="shared" si="405"/>
        <v>0</v>
      </c>
      <c r="AD1364" s="36">
        <f t="shared" si="396"/>
        <v>0</v>
      </c>
      <c r="AE1364" s="36"/>
      <c r="AF1364" s="36">
        <f>IFERROR(VLOOKUP(AE1364,'Chemical Cost'!A:D,4,0),0)</f>
        <v>0</v>
      </c>
      <c r="AG1364" s="114">
        <f t="shared" si="406"/>
        <v>0</v>
      </c>
      <c r="AH1364" s="36">
        <f t="shared" si="391"/>
        <v>0</v>
      </c>
      <c r="AI1364" s="36">
        <f t="shared" si="397"/>
        <v>0.09</v>
      </c>
      <c r="AJ1364" s="36">
        <f>IFERROR(VLOOKUP(A1364,'All Products'!A:F,6,0),0)</f>
        <v>14.55</v>
      </c>
      <c r="AK1364" s="36"/>
      <c r="AL1364" s="23">
        <v>1</v>
      </c>
      <c r="AM1364" s="23"/>
      <c r="AN1364" s="54" t="e">
        <v>#N/A</v>
      </c>
      <c r="AO1364" s="47"/>
      <c r="AP1364" s="4">
        <v>1.6</v>
      </c>
      <c r="AQ1364" s="111">
        <f t="shared" si="407"/>
        <v>0</v>
      </c>
      <c r="AR1364">
        <f>_xlfn.XLOOKUP(F1364,'RM Cost'!A:A,'RM Cost'!S:S)</f>
        <v>0</v>
      </c>
      <c r="AS1364" t="e">
        <f>_xlfn.XLOOKUP(A1364,[3]Sheet1!$B:$B,[3]Sheet1!$B:$B)</f>
        <v>#N/A</v>
      </c>
    </row>
    <row r="1365" spans="1:46" x14ac:dyDescent="0.25">
      <c r="A1365" s="16" t="s">
        <v>1109</v>
      </c>
      <c r="B1365" s="2" t="s">
        <v>552</v>
      </c>
      <c r="C1365" s="2" t="s">
        <v>1110</v>
      </c>
      <c r="D1365" s="2" t="s">
        <v>554</v>
      </c>
      <c r="E1365" s="2">
        <v>2.5</v>
      </c>
      <c r="F1365" s="1" t="str">
        <f>VLOOKUP(H1365,'RM Used'!A:B,2,0)</f>
        <v>P0016</v>
      </c>
      <c r="G1365" s="1" t="str">
        <f>IFERROR(VLOOKUP(F1365,'RM Cost'!A:B,2,0),"")</f>
        <v>REY 40 30 BOX</v>
      </c>
      <c r="H1365" s="1" t="s">
        <v>1332</v>
      </c>
      <c r="I1365" s="1" t="str">
        <f>VLOOKUP(F1365,'RM Used'!B:D,3,0)</f>
        <v>RM-PACKING</v>
      </c>
      <c r="J1365" s="66">
        <v>1</v>
      </c>
      <c r="K1365" s="35" t="str">
        <f>IF(I1365="RM-FOOD",J1365*E1365,"")</f>
        <v/>
      </c>
      <c r="L1365" s="35">
        <f t="shared" si="399"/>
        <v>0</v>
      </c>
      <c r="M1365" s="77" t="str" cm="1">
        <f t="array" ref="M1365">_xlfn.IFS(BOM!I1365="RM-PACKING","100%",B1365="Reynolds",VLOOKUP(H1365,'Yield &amp; Time'!A:V,22,0),BOM!B1365="Dnata",VLOOKUP(BOM!H1365,'Yield &amp; Time'!A:M,13,0),B1365="NK",VLOOKUP(H1365,'Yield &amp; Time'!A:X,24,0))</f>
        <v>100%</v>
      </c>
      <c r="N1365" s="35">
        <f>IFERROR(IF(I1365="RM-FOOD",(E1365*J1365)/M1365,1),0)</f>
        <v>1</v>
      </c>
      <c r="O1365" s="1" t="str">
        <f>VLOOKUP(H1365,'RM Used'!A:E,5,0)</f>
        <v>Count</v>
      </c>
      <c r="P1365" s="11">
        <f>VLOOKUP(H1365,'RM Used'!A:F,6,0)</f>
        <v>0.28000000000000003</v>
      </c>
      <c r="Q1365" s="11">
        <f t="shared" si="408"/>
        <v>0.28000000000000003</v>
      </c>
      <c r="R1365" s="11">
        <f>IFERROR(IF(B1365="Reynolds",VLOOKUP(H1365,'Yield &amp; Time'!A:U,21,0),VLOOKUP(H1365,'Yield &amp; Time'!A:L,12,0)),0)</f>
        <v>0</v>
      </c>
      <c r="S1365" s="11">
        <f t="shared" si="400"/>
        <v>0</v>
      </c>
      <c r="T1365" s="11">
        <f t="shared" si="401"/>
        <v>0</v>
      </c>
      <c r="U1365" s="11">
        <f>IF(A1364=A1365,0,VLOOKUP(A1365,'Packing Time'!A:F,6,0))</f>
        <v>0</v>
      </c>
      <c r="V1365" s="11">
        <f>U1365*AO$1</f>
        <v>0</v>
      </c>
      <c r="W1365" s="11">
        <f>(U1365*Z1365)/60</f>
        <v>0</v>
      </c>
      <c r="X1365" s="11">
        <f t="shared" si="402"/>
        <v>0</v>
      </c>
      <c r="Y1365" s="11">
        <f>X1365*Z1365</f>
        <v>0</v>
      </c>
      <c r="Z1365" s="37">
        <v>1</v>
      </c>
      <c r="AA1365" s="36">
        <f t="shared" si="403"/>
        <v>1</v>
      </c>
      <c r="AB1365" s="36">
        <f t="shared" si="404"/>
        <v>0.28000000000000003</v>
      </c>
      <c r="AC1365" s="11">
        <f t="shared" si="405"/>
        <v>0</v>
      </c>
      <c r="AD1365" s="36">
        <f>AC1365*60*AO$1</f>
        <v>0</v>
      </c>
      <c r="AE1365" s="36"/>
      <c r="AF1365" s="36">
        <f>IFERROR(VLOOKUP(AE1365,'Chemical Cost'!A:D,4,0),0)</f>
        <v>0</v>
      </c>
      <c r="AG1365" s="114">
        <f t="shared" si="406"/>
        <v>0</v>
      </c>
      <c r="AH1365" s="36">
        <f t="shared" si="391"/>
        <v>0</v>
      </c>
      <c r="AI1365" s="36">
        <f>IFERROR((Q1365*Z1365)+(Z1365*X1365)+AH1365,0)</f>
        <v>0.28000000000000003</v>
      </c>
      <c r="AJ1365" s="36">
        <f>IFERROR(VLOOKUP(A1365,'All Products'!A:F,6,0),0)</f>
        <v>14.55</v>
      </c>
      <c r="AK1365" s="36"/>
      <c r="AL1365" s="23">
        <v>1</v>
      </c>
      <c r="AM1365" s="23"/>
      <c r="AN1365" s="54" t="e">
        <v>#N/A</v>
      </c>
      <c r="AO1365" s="47"/>
      <c r="AP1365" s="4">
        <v>1.6</v>
      </c>
      <c r="AQ1365" s="111">
        <f t="shared" si="407"/>
        <v>0</v>
      </c>
      <c r="AR1365">
        <f>_xlfn.XLOOKUP(F1365,'RM Cost'!A:A,'RM Cost'!S:S)</f>
        <v>0</v>
      </c>
      <c r="AS1365" t="e">
        <f>_xlfn.XLOOKUP(A1365,[3]Sheet1!$B:$B,[3]Sheet1!$B:$B)</f>
        <v>#N/A</v>
      </c>
    </row>
    <row r="1366" spans="1:46" x14ac:dyDescent="0.25">
      <c r="A1366" s="16" t="s">
        <v>1090</v>
      </c>
      <c r="B1366" s="2" t="s">
        <v>656</v>
      </c>
      <c r="C1366" s="2" t="s">
        <v>1091</v>
      </c>
      <c r="D1366" s="2" t="s">
        <v>554</v>
      </c>
      <c r="E1366" s="2">
        <v>2.5</v>
      </c>
      <c r="F1366" s="1" t="str">
        <f>VLOOKUP(H1366,'RM Used'!A:B,2,0)</f>
        <v>182BCS</v>
      </c>
      <c r="G1366" s="1" t="str">
        <f>IFERROR(VLOOKUP(F1366,'RM Cost'!A:B,2,0),"")</f>
        <v>RM - BABY YELLOW CARROT 6X200G</v>
      </c>
      <c r="H1366" s="2" t="s">
        <v>1655</v>
      </c>
      <c r="I1366" s="1" t="str">
        <f>VLOOKUP(F1366,'RM Used'!B:D,3,0)</f>
        <v>RM-FOOD</v>
      </c>
      <c r="J1366" s="74">
        <v>1</v>
      </c>
      <c r="K1366" s="35">
        <f t="shared" si="392"/>
        <v>2.5</v>
      </c>
      <c r="L1366" s="35">
        <f t="shared" si="399"/>
        <v>2.5</v>
      </c>
      <c r="M1366" s="77" cm="1">
        <f t="array" ref="M1366">_xlfn.IFS(BOM!I1366="RM-PACKING","100%",B1366="Reynolds",VLOOKUP(H1366,'Yield &amp; Time'!A:V,22,0),BOM!B1366="Dnata",VLOOKUP(BOM!H1366,'Yield &amp; Time'!A:M,13,0),B1366="NK",VLOOKUP(H1366,'Yield &amp; Time'!A:X,24,0))</f>
        <v>0.7069767441860465</v>
      </c>
      <c r="N1366" s="35">
        <f t="shared" si="409"/>
        <v>3.5361842105263159</v>
      </c>
      <c r="O1366" s="1" t="str">
        <f>VLOOKUP(H1366,'RM Used'!A:E,5,0)</f>
        <v>KG</v>
      </c>
      <c r="P1366" s="11" t="e">
        <f>VLOOKUP(H1366,'RM Used'!A:F,6,0)</f>
        <v>#N/A</v>
      </c>
      <c r="Q1366" s="11" t="e">
        <f t="shared" si="408"/>
        <v>#N/A</v>
      </c>
      <c r="R1366" s="11">
        <f>IFERROR(IF(B1366="Reynolds",VLOOKUP(H1366,'Yield &amp; Time'!A:U,21,0),VLOOKUP(H1366,'Yield &amp; Time'!A:L,12,0)),0)</f>
        <v>12.171052631578947</v>
      </c>
      <c r="S1366" s="11">
        <f t="shared" si="400"/>
        <v>10.299753289473683</v>
      </c>
      <c r="T1366" s="11">
        <f t="shared" si="401"/>
        <v>0.50712719298245612</v>
      </c>
      <c r="U1366" s="11">
        <f>IF(A1365=A1366,0,VLOOKUP(A1366,'Packing Time'!A:F,6,0))</f>
        <v>0.875</v>
      </c>
      <c r="V1366" s="11">
        <f t="shared" si="393"/>
        <v>0.29618749999999999</v>
      </c>
      <c r="W1366" s="11">
        <f t="shared" si="394"/>
        <v>1.4583333333333334E-2</v>
      </c>
      <c r="X1366" s="11">
        <f t="shared" si="402"/>
        <v>16.95350526315789</v>
      </c>
      <c r="Y1366" s="11">
        <f t="shared" si="395"/>
        <v>16.95350526315789</v>
      </c>
      <c r="Z1366" s="37">
        <v>1</v>
      </c>
      <c r="AA1366" s="36">
        <f t="shared" si="403"/>
        <v>3.5361842105263159</v>
      </c>
      <c r="AB1366" s="36" t="e">
        <f t="shared" si="404"/>
        <v>#N/A</v>
      </c>
      <c r="AC1366" s="11">
        <f t="shared" si="405"/>
        <v>0.83473684210526311</v>
      </c>
      <c r="AD1366" s="36">
        <f t="shared" si="396"/>
        <v>16.953505263157894</v>
      </c>
      <c r="AE1366" s="36"/>
      <c r="AF1366" s="36">
        <f>IFERROR(VLOOKUP(AE1366,'Chemical Cost'!A:D,4,0),0)</f>
        <v>0</v>
      </c>
      <c r="AG1366" s="114">
        <f t="shared" si="406"/>
        <v>0</v>
      </c>
      <c r="AH1366" s="36">
        <f t="shared" si="391"/>
        <v>0</v>
      </c>
      <c r="AI1366" s="36">
        <f t="shared" si="397"/>
        <v>0</v>
      </c>
      <c r="AJ1366" s="36">
        <f>IFERROR(VLOOKUP(A1366,'All Products'!A:F,6,0),0)</f>
        <v>158.04</v>
      </c>
      <c r="AK1366" s="36">
        <f>AJ1366*Z1366*J1366</f>
        <v>158.04</v>
      </c>
      <c r="AL1366" s="23">
        <v>1</v>
      </c>
      <c r="AM1366" s="23"/>
      <c r="AN1366" s="54" t="e">
        <v>#N/A</v>
      </c>
      <c r="AO1366" s="47"/>
      <c r="AP1366" s="4">
        <v>1.6</v>
      </c>
      <c r="AQ1366" s="111">
        <f t="shared" si="407"/>
        <v>0.83473684210526311</v>
      </c>
      <c r="AR1366">
        <f>_xlfn.XLOOKUP(F1366,'RM Cost'!A:A,'RM Cost'!S:S)</f>
        <v>0</v>
      </c>
      <c r="AS1366" t="e">
        <f>_xlfn.XLOOKUP(A1366,[3]Sheet1!$B:$B,[3]Sheet1!$B:$B)</f>
        <v>#N/A</v>
      </c>
    </row>
    <row r="1367" spans="1:46" x14ac:dyDescent="0.25">
      <c r="A1367" s="16" t="s">
        <v>1090</v>
      </c>
      <c r="B1367" s="2" t="s">
        <v>656</v>
      </c>
      <c r="C1367" s="2" t="s">
        <v>1091</v>
      </c>
      <c r="D1367" s="2" t="s">
        <v>554</v>
      </c>
      <c r="E1367" s="2">
        <v>2.5</v>
      </c>
      <c r="F1367" s="1" t="str">
        <f>VLOOKUP(H1367,'RM Used'!A:B,2,0)</f>
        <v>P0008</v>
      </c>
      <c r="G1367" s="1" t="str">
        <f>IFERROR(VLOOKUP(F1367,'RM Cost'!A:B,2,0),"")</f>
        <v>PALE BLUE BAG 470X750MM</v>
      </c>
      <c r="H1367" s="1" t="s">
        <v>1323</v>
      </c>
      <c r="I1367" s="1" t="str">
        <f>VLOOKUP(F1367,'RM Used'!B:D,3,0)</f>
        <v>RM-PACKING</v>
      </c>
      <c r="J1367" s="66">
        <v>1</v>
      </c>
      <c r="K1367" s="35" t="str">
        <f t="shared" si="392"/>
        <v/>
      </c>
      <c r="L1367" s="35">
        <f t="shared" si="399"/>
        <v>0</v>
      </c>
      <c r="M1367" s="77" t="str" cm="1">
        <f t="array" ref="M1367">_xlfn.IFS(BOM!I1367="RM-PACKING","100%",B1367="Reynolds",VLOOKUP(H1367,'Yield &amp; Time'!A:V,22,0),BOM!B1367="Dnata",VLOOKUP(BOM!H1367,'Yield &amp; Time'!A:M,13,0),B1367="NK",VLOOKUP(H1367,'Yield &amp; Time'!A:X,24,0))</f>
        <v>100%</v>
      </c>
      <c r="N1367" s="35">
        <f t="shared" si="409"/>
        <v>1</v>
      </c>
      <c r="O1367" s="1" t="str">
        <f>VLOOKUP(H1367,'RM Used'!A:E,5,0)</f>
        <v>Count</v>
      </c>
      <c r="P1367" s="11">
        <f>VLOOKUP(H1367,'RM Used'!A:F,6,0)</f>
        <v>0.14000000000000001</v>
      </c>
      <c r="Q1367" s="11">
        <f t="shared" si="408"/>
        <v>0.14000000000000001</v>
      </c>
      <c r="R1367" s="11">
        <f>IFERROR(IF(B1367="Reynolds",VLOOKUP(H1367,'Yield &amp; Time'!A:U,21,0),VLOOKUP(H1367,'Yield &amp; Time'!A:L,12,0)),0)</f>
        <v>0</v>
      </c>
      <c r="S1367" s="11">
        <f t="shared" si="400"/>
        <v>0</v>
      </c>
      <c r="T1367" s="11">
        <f t="shared" si="401"/>
        <v>0</v>
      </c>
      <c r="U1367" s="11">
        <f>IF(A1366=A1367,0,VLOOKUP(A1367,'Packing Time'!A:F,6,0))</f>
        <v>0</v>
      </c>
      <c r="V1367" s="11">
        <f t="shared" si="393"/>
        <v>0</v>
      </c>
      <c r="W1367" s="11">
        <f t="shared" si="394"/>
        <v>0</v>
      </c>
      <c r="X1367" s="11">
        <f t="shared" si="402"/>
        <v>0</v>
      </c>
      <c r="Y1367" s="11">
        <f t="shared" si="395"/>
        <v>0</v>
      </c>
      <c r="Z1367" s="37">
        <v>1</v>
      </c>
      <c r="AA1367" s="36">
        <f t="shared" si="403"/>
        <v>1</v>
      </c>
      <c r="AB1367" s="36">
        <f t="shared" si="404"/>
        <v>0.14000000000000001</v>
      </c>
      <c r="AC1367" s="11">
        <f t="shared" si="405"/>
        <v>0</v>
      </c>
      <c r="AD1367" s="36">
        <f t="shared" si="396"/>
        <v>0</v>
      </c>
      <c r="AE1367" s="36"/>
      <c r="AF1367" s="36">
        <f>IFERROR(VLOOKUP(AE1367,'Chemical Cost'!A:D,4,0),0)</f>
        <v>0</v>
      </c>
      <c r="AG1367" s="114">
        <f t="shared" si="406"/>
        <v>0</v>
      </c>
      <c r="AH1367" s="36">
        <f t="shared" ref="AH1367:AH1430" si="410">AF1367*AA1367/3</f>
        <v>0</v>
      </c>
      <c r="AI1367" s="36">
        <f t="shared" si="397"/>
        <v>0.14000000000000001</v>
      </c>
      <c r="AJ1367" s="36">
        <f>IFERROR(VLOOKUP(A1367,'All Products'!A:F,6,0),0)</f>
        <v>158.04</v>
      </c>
      <c r="AK1367" s="36"/>
      <c r="AL1367" s="23">
        <v>1</v>
      </c>
      <c r="AM1367" s="23"/>
      <c r="AN1367" s="54" t="e">
        <v>#N/A</v>
      </c>
      <c r="AO1367" s="47"/>
      <c r="AP1367" s="4">
        <v>1.6</v>
      </c>
      <c r="AQ1367" s="111">
        <f t="shared" si="407"/>
        <v>0</v>
      </c>
      <c r="AR1367">
        <f>_xlfn.XLOOKUP(F1367,'RM Cost'!A:A,'RM Cost'!S:S)</f>
        <v>0</v>
      </c>
      <c r="AS1367" t="e">
        <f>_xlfn.XLOOKUP(A1367,[3]Sheet1!$B:$B,[3]Sheet1!$B:$B)</f>
        <v>#N/A</v>
      </c>
    </row>
    <row r="1368" spans="1:46" x14ac:dyDescent="0.25">
      <c r="A1368" s="16" t="s">
        <v>1092</v>
      </c>
      <c r="B1368" s="2" t="s">
        <v>656</v>
      </c>
      <c r="C1368" s="2" t="s">
        <v>1093</v>
      </c>
      <c r="D1368" s="2" t="s">
        <v>554</v>
      </c>
      <c r="E1368" s="2">
        <v>1</v>
      </c>
      <c r="F1368" s="1" t="str">
        <f>VLOOKUP(H1368,'RM Used'!A:B,2,0)</f>
        <v>182BCS</v>
      </c>
      <c r="G1368" s="1" t="str">
        <f>IFERROR(VLOOKUP(F1368,'RM Cost'!A:B,2,0),"")</f>
        <v>RM - BABY YELLOW CARROT 6X200G</v>
      </c>
      <c r="H1368" s="2" t="s">
        <v>1655</v>
      </c>
      <c r="I1368" s="1" t="str">
        <f>VLOOKUP(F1368,'RM Used'!B:D,3,0)</f>
        <v>RM-FOOD</v>
      </c>
      <c r="J1368" s="74">
        <v>1</v>
      </c>
      <c r="K1368" s="35">
        <f t="shared" si="392"/>
        <v>1</v>
      </c>
      <c r="L1368" s="35">
        <f t="shared" si="399"/>
        <v>1</v>
      </c>
      <c r="M1368" s="77" cm="1">
        <f t="array" ref="M1368">_xlfn.IFS(BOM!I1368="RM-PACKING","100%",B1368="Reynolds",VLOOKUP(H1368,'Yield &amp; Time'!A:V,22,0),BOM!B1368="Dnata",VLOOKUP(BOM!H1368,'Yield &amp; Time'!A:M,13,0),B1368="NK",VLOOKUP(H1368,'Yield &amp; Time'!A:X,24,0))</f>
        <v>0.7069767441860465</v>
      </c>
      <c r="N1368" s="35">
        <f t="shared" si="409"/>
        <v>1.4144736842105263</v>
      </c>
      <c r="O1368" s="1" t="str">
        <f>VLOOKUP(H1368,'RM Used'!A:E,5,0)</f>
        <v>KG</v>
      </c>
      <c r="P1368" s="11" t="e">
        <f>VLOOKUP(H1368,'RM Used'!A:F,6,0)</f>
        <v>#N/A</v>
      </c>
      <c r="Q1368" s="11" t="e">
        <f t="shared" si="408"/>
        <v>#N/A</v>
      </c>
      <c r="R1368" s="11">
        <f>IFERROR(IF(B1368="Reynolds",VLOOKUP(H1368,'Yield &amp; Time'!A:U,21,0),VLOOKUP(H1368,'Yield &amp; Time'!A:L,12,0)),0)</f>
        <v>12.171052631578947</v>
      </c>
      <c r="S1368" s="11">
        <f t="shared" si="400"/>
        <v>4.1199013157894733</v>
      </c>
      <c r="T1368" s="11">
        <f t="shared" si="401"/>
        <v>0.20285087719298245</v>
      </c>
      <c r="U1368" s="11">
        <f>IF(A1367=A1368,0,VLOOKUP(A1368,'Packing Time'!A:F,6,0))</f>
        <v>0.64166666666666661</v>
      </c>
      <c r="V1368" s="11">
        <f t="shared" si="393"/>
        <v>0.21720416666666661</v>
      </c>
      <c r="W1368" s="11">
        <f t="shared" si="394"/>
        <v>1.0694444444444444E-2</v>
      </c>
      <c r="X1368" s="11">
        <f t="shared" si="402"/>
        <v>6.9393687719298249</v>
      </c>
      <c r="Y1368" s="11">
        <f t="shared" si="395"/>
        <v>6.9393687719298249</v>
      </c>
      <c r="Z1368" s="37">
        <v>1</v>
      </c>
      <c r="AA1368" s="36">
        <f t="shared" si="403"/>
        <v>1.4144736842105263</v>
      </c>
      <c r="AB1368" s="36" t="e">
        <f t="shared" si="404"/>
        <v>#N/A</v>
      </c>
      <c r="AC1368" s="11">
        <f t="shared" si="405"/>
        <v>0.34167251461988307</v>
      </c>
      <c r="AD1368" s="36">
        <f t="shared" si="396"/>
        <v>6.9393687719298249</v>
      </c>
      <c r="AE1368" s="36"/>
      <c r="AF1368" s="36">
        <f>IFERROR(VLOOKUP(AE1368,'Chemical Cost'!A:D,4,0),0)</f>
        <v>0</v>
      </c>
      <c r="AG1368" s="114">
        <f t="shared" si="406"/>
        <v>0</v>
      </c>
      <c r="AH1368" s="36">
        <f t="shared" si="410"/>
        <v>0</v>
      </c>
      <c r="AI1368" s="36">
        <f t="shared" si="397"/>
        <v>0</v>
      </c>
      <c r="AJ1368" s="36">
        <f>IFERROR(VLOOKUP(A1368,'All Products'!A:F,6,0),0)</f>
        <v>63.22</v>
      </c>
      <c r="AK1368" s="36">
        <f>AJ1368*Z1368*J1368</f>
        <v>63.22</v>
      </c>
      <c r="AL1368" s="23">
        <v>1</v>
      </c>
      <c r="AM1368" s="23"/>
      <c r="AN1368" s="54" t="e">
        <v>#N/A</v>
      </c>
      <c r="AO1368" s="47"/>
      <c r="AP1368" s="4">
        <v>1.6</v>
      </c>
      <c r="AQ1368" s="111">
        <f t="shared" si="407"/>
        <v>0.34167251461988307</v>
      </c>
      <c r="AR1368">
        <f>_xlfn.XLOOKUP(F1368,'RM Cost'!A:A,'RM Cost'!S:S)</f>
        <v>0</v>
      </c>
      <c r="AS1368" t="e">
        <f>_xlfn.XLOOKUP(A1368,[3]Sheet1!$B:$B,[3]Sheet1!$B:$B)</f>
        <v>#N/A</v>
      </c>
    </row>
    <row r="1369" spans="1:46" x14ac:dyDescent="0.25">
      <c r="A1369" s="16" t="s">
        <v>1092</v>
      </c>
      <c r="B1369" s="2" t="s">
        <v>656</v>
      </c>
      <c r="C1369" s="2" t="s">
        <v>1093</v>
      </c>
      <c r="D1369" s="2" t="s">
        <v>554</v>
      </c>
      <c r="E1369" s="2">
        <v>1</v>
      </c>
      <c r="F1369" s="1" t="str">
        <f>VLOOKUP(H1369,'RM Used'!A:B,2,0)</f>
        <v>P0008</v>
      </c>
      <c r="G1369" s="1" t="str">
        <f>IFERROR(VLOOKUP(F1369,'RM Cost'!A:B,2,0),"")</f>
        <v>PALE BLUE BAG 470X750MM</v>
      </c>
      <c r="H1369" s="1" t="s">
        <v>1323</v>
      </c>
      <c r="I1369" s="1" t="str">
        <f>VLOOKUP(F1369,'RM Used'!B:D,3,0)</f>
        <v>RM-PACKING</v>
      </c>
      <c r="J1369" s="66">
        <v>1</v>
      </c>
      <c r="K1369" s="35" t="str">
        <f t="shared" si="392"/>
        <v/>
      </c>
      <c r="L1369" s="35">
        <f t="shared" si="399"/>
        <v>0</v>
      </c>
      <c r="M1369" s="77" t="str" cm="1">
        <f t="array" ref="M1369">_xlfn.IFS(BOM!I1369="RM-PACKING","100%",B1369="Reynolds",VLOOKUP(H1369,'Yield &amp; Time'!A:V,22,0),BOM!B1369="Dnata",VLOOKUP(BOM!H1369,'Yield &amp; Time'!A:M,13,0),B1369="NK",VLOOKUP(H1369,'Yield &amp; Time'!A:X,24,0))</f>
        <v>100%</v>
      </c>
      <c r="N1369" s="35">
        <f t="shared" si="409"/>
        <v>1</v>
      </c>
      <c r="O1369" s="1" t="str">
        <f>VLOOKUP(H1369,'RM Used'!A:E,5,0)</f>
        <v>Count</v>
      </c>
      <c r="P1369" s="11">
        <f>VLOOKUP(H1369,'RM Used'!A:F,6,0)</f>
        <v>0.14000000000000001</v>
      </c>
      <c r="Q1369" s="11">
        <f t="shared" si="408"/>
        <v>0.14000000000000001</v>
      </c>
      <c r="R1369" s="11">
        <f>IFERROR(IF(B1369="Reynolds",VLOOKUP(H1369,'Yield &amp; Time'!A:U,21,0),VLOOKUP(H1369,'Yield &amp; Time'!A:L,12,0)),0)</f>
        <v>0</v>
      </c>
      <c r="S1369" s="11">
        <f t="shared" si="400"/>
        <v>0</v>
      </c>
      <c r="T1369" s="11">
        <f t="shared" si="401"/>
        <v>0</v>
      </c>
      <c r="U1369" s="11">
        <f>IF(A1368=A1369,0,VLOOKUP(A1369,'Packing Time'!A:F,6,0))</f>
        <v>0</v>
      </c>
      <c r="V1369" s="11">
        <f t="shared" si="393"/>
        <v>0</v>
      </c>
      <c r="W1369" s="11">
        <f t="shared" si="394"/>
        <v>0</v>
      </c>
      <c r="X1369" s="11">
        <f t="shared" si="402"/>
        <v>0</v>
      </c>
      <c r="Y1369" s="11">
        <f t="shared" si="395"/>
        <v>0</v>
      </c>
      <c r="Z1369" s="37">
        <v>1</v>
      </c>
      <c r="AA1369" s="36">
        <f t="shared" si="403"/>
        <v>1</v>
      </c>
      <c r="AB1369" s="36">
        <f t="shared" si="404"/>
        <v>0.14000000000000001</v>
      </c>
      <c r="AC1369" s="11">
        <f t="shared" si="405"/>
        <v>0</v>
      </c>
      <c r="AD1369" s="36">
        <f t="shared" si="396"/>
        <v>0</v>
      </c>
      <c r="AE1369" s="36"/>
      <c r="AF1369" s="36">
        <f>IFERROR(VLOOKUP(AE1369,'Chemical Cost'!A:D,4,0),0)</f>
        <v>0</v>
      </c>
      <c r="AG1369" s="114">
        <f t="shared" si="406"/>
        <v>0</v>
      </c>
      <c r="AH1369" s="36">
        <f t="shared" si="410"/>
        <v>0</v>
      </c>
      <c r="AI1369" s="36">
        <f t="shared" si="397"/>
        <v>0.14000000000000001</v>
      </c>
      <c r="AJ1369" s="36">
        <f>IFERROR(VLOOKUP(A1369,'All Products'!A:F,6,0),0)</f>
        <v>63.22</v>
      </c>
      <c r="AK1369" s="36"/>
      <c r="AL1369" s="23">
        <v>1</v>
      </c>
      <c r="AM1369" s="23"/>
      <c r="AN1369" s="54" t="e">
        <v>#N/A</v>
      </c>
      <c r="AO1369" s="47"/>
      <c r="AP1369" s="4">
        <v>1.6</v>
      </c>
      <c r="AQ1369" s="111">
        <f t="shared" si="407"/>
        <v>0</v>
      </c>
      <c r="AR1369">
        <f>_xlfn.XLOOKUP(F1369,'RM Cost'!A:A,'RM Cost'!S:S)</f>
        <v>0</v>
      </c>
      <c r="AS1369" t="e">
        <f>_xlfn.XLOOKUP(A1369,[3]Sheet1!$B:$B,[3]Sheet1!$B:$B)</f>
        <v>#N/A</v>
      </c>
    </row>
    <row r="1370" spans="1:46" x14ac:dyDescent="0.25">
      <c r="A1370" s="16" t="s">
        <v>1094</v>
      </c>
      <c r="B1370" s="2" t="s">
        <v>656</v>
      </c>
      <c r="C1370" s="2" t="s">
        <v>41</v>
      </c>
      <c r="D1370" s="2" t="s">
        <v>554</v>
      </c>
      <c r="E1370" s="2">
        <v>2.5</v>
      </c>
      <c r="F1370" s="1" t="str">
        <f>VLOOKUP(H1370,'RM Used'!A:B,2,0)</f>
        <v>3210CS</v>
      </c>
      <c r="G1370" s="1" t="str">
        <f>IFERROR(VLOOKUP(F1370,'RM Cost'!A:B,2,0),"")</f>
        <v>RM - POTATOES WARE 25KG</v>
      </c>
      <c r="H1370" s="2" t="s">
        <v>1646</v>
      </c>
      <c r="I1370" s="1" t="str">
        <f>VLOOKUP(F1370,'RM Used'!B:D,3,0)</f>
        <v>RM-FOOD</v>
      </c>
      <c r="J1370" s="74">
        <v>1</v>
      </c>
      <c r="K1370" s="35">
        <f t="shared" si="392"/>
        <v>2.5</v>
      </c>
      <c r="L1370" s="35">
        <f t="shared" si="399"/>
        <v>2.5</v>
      </c>
      <c r="M1370" s="77" cm="1">
        <f t="array" ref="M1370">_xlfn.IFS(BOM!I1370="RM-PACKING","100%",B1370="Reynolds",VLOOKUP(H1370,'Yield &amp; Time'!A:V,22,0),BOM!B1370="Dnata",VLOOKUP(BOM!H1370,'Yield &amp; Time'!A:M,13,0),B1370="NK",VLOOKUP(H1370,'Yield &amp; Time'!A:X,24,0))</f>
        <v>0.57305084745762713</v>
      </c>
      <c r="N1370" s="35">
        <f t="shared" si="409"/>
        <v>4.362614611061816</v>
      </c>
      <c r="O1370" s="1" t="str">
        <f>VLOOKUP(H1370,'RM Used'!A:E,5,0)</f>
        <v>KG</v>
      </c>
      <c r="P1370" s="11">
        <f>VLOOKUP(H1370,'RM Used'!A:F,6,0)</f>
        <v>0.27</v>
      </c>
      <c r="Q1370" s="11">
        <f t="shared" si="408"/>
        <v>1.1779059449866904</v>
      </c>
      <c r="R1370" s="11">
        <f>IFERROR(IF(B1370="Reynolds",VLOOKUP(H1370,'Yield &amp; Time'!A:U,21,0),VLOOKUP(H1370,'Yield &amp; Time'!A:L,12,0)),0)</f>
        <v>3.4348121857438629</v>
      </c>
      <c r="S1370" s="11">
        <f t="shared" si="400"/>
        <v>2.9067098121857438</v>
      </c>
      <c r="T1370" s="11">
        <f t="shared" si="401"/>
        <v>0.14311717440599428</v>
      </c>
      <c r="U1370" s="11">
        <f>IF(A1369=A1370,0,VLOOKUP(A1370,'Packing Time'!A:F,6,0))</f>
        <v>0.875</v>
      </c>
      <c r="V1370" s="11">
        <f t="shared" si="393"/>
        <v>0.29618749999999999</v>
      </c>
      <c r="W1370" s="11">
        <f t="shared" si="394"/>
        <v>1.4583333333333334E-2</v>
      </c>
      <c r="X1370" s="11">
        <f t="shared" si="402"/>
        <v>4.0036216402321791</v>
      </c>
      <c r="Y1370" s="11">
        <f t="shared" si="395"/>
        <v>4.0036216402321791</v>
      </c>
      <c r="Z1370" s="37">
        <v>1</v>
      </c>
      <c r="AA1370" s="36">
        <f t="shared" si="403"/>
        <v>4.362614611061816</v>
      </c>
      <c r="AB1370" s="36">
        <f t="shared" si="404"/>
        <v>1.1779059449866904</v>
      </c>
      <c r="AC1370" s="11">
        <f t="shared" si="405"/>
        <v>0.19712563467415953</v>
      </c>
      <c r="AD1370" s="36">
        <f t="shared" si="396"/>
        <v>4.0036216402321791</v>
      </c>
      <c r="AE1370" s="36" t="str">
        <f>VLOOKUP(H1370,'Yield &amp; Time'!A:I,9,0)</f>
        <v>SODIUM METABISULPHITE</v>
      </c>
      <c r="AF1370" s="36">
        <f>IFERROR(VLOOKUP(AE1370,'Chemical Cost'!A:D,4,0),0)</f>
        <v>9.7586225455882462E-3</v>
      </c>
      <c r="AG1370" s="114">
        <f t="shared" si="406"/>
        <v>1.4191036433740178E-2</v>
      </c>
      <c r="AH1370" s="36">
        <f t="shared" si="410"/>
        <v>1.4191036433740178E-2</v>
      </c>
      <c r="AI1370" s="36">
        <f t="shared" si="397"/>
        <v>5.1957186216526097</v>
      </c>
      <c r="AJ1370" s="36">
        <f>IFERROR(VLOOKUP(A1370,'All Products'!A:F,6,0),0)</f>
        <v>6.91</v>
      </c>
      <c r="AK1370" s="36">
        <f>AJ1370*Z1370*J1370</f>
        <v>6.91</v>
      </c>
      <c r="AL1370" s="23">
        <v>1</v>
      </c>
      <c r="AM1370" s="23"/>
      <c r="AN1370" s="54" t="e">
        <v>#N/A</v>
      </c>
      <c r="AO1370" s="47"/>
      <c r="AP1370" s="4">
        <v>1.25</v>
      </c>
      <c r="AQ1370" s="111">
        <f t="shared" si="407"/>
        <v>0.19712563467415953</v>
      </c>
      <c r="AR1370">
        <f>_xlfn.XLOOKUP(F1370,'RM Cost'!A:A,'RM Cost'!S:S)</f>
        <v>0</v>
      </c>
      <c r="AS1370" t="str">
        <f>_xlfn.XLOOKUP(A1370,[3]Sheet1!$B:$B,[3]Sheet1!$B:$B)</f>
        <v>Z425CS</v>
      </c>
      <c r="AT1370">
        <f>_xlfn.XLOOKUP(H1370,'Yield &amp; Time'!A:A,'Yield &amp; Time'!F:F)</f>
        <v>0</v>
      </c>
    </row>
    <row r="1371" spans="1:46" x14ac:dyDescent="0.25">
      <c r="A1371" s="16" t="s">
        <v>1094</v>
      </c>
      <c r="B1371" s="2" t="s">
        <v>656</v>
      </c>
      <c r="C1371" s="2" t="s">
        <v>41</v>
      </c>
      <c r="D1371" s="2" t="s">
        <v>554</v>
      </c>
      <c r="E1371" s="2">
        <v>2.5</v>
      </c>
      <c r="F1371" s="1" t="str">
        <f>VLOOKUP(H1371,'RM Used'!A:B,2,0)</f>
        <v>P0008</v>
      </c>
      <c r="G1371" s="1" t="str">
        <f>IFERROR(VLOOKUP(F1371,'RM Cost'!A:B,2,0),"")</f>
        <v>PALE BLUE BAG 470X750MM</v>
      </c>
      <c r="H1371" s="1" t="s">
        <v>1323</v>
      </c>
      <c r="I1371" s="1" t="str">
        <f>VLOOKUP(F1371,'RM Used'!B:D,3,0)</f>
        <v>RM-PACKING</v>
      </c>
      <c r="J1371" s="66">
        <v>1</v>
      </c>
      <c r="K1371" s="35" t="str">
        <f t="shared" si="392"/>
        <v/>
      </c>
      <c r="L1371" s="35">
        <f t="shared" si="399"/>
        <v>0</v>
      </c>
      <c r="M1371" s="77" t="str" cm="1">
        <f t="array" ref="M1371">_xlfn.IFS(BOM!I1371="RM-PACKING","100%",B1371="Reynolds",VLOOKUP(H1371,'Yield &amp; Time'!A:V,22,0),BOM!B1371="Dnata",VLOOKUP(BOM!H1371,'Yield &amp; Time'!A:M,13,0),B1371="NK",VLOOKUP(H1371,'Yield &amp; Time'!A:X,24,0))</f>
        <v>100%</v>
      </c>
      <c r="N1371" s="35">
        <f t="shared" si="409"/>
        <v>1</v>
      </c>
      <c r="O1371" s="1" t="str">
        <f>VLOOKUP(H1371,'RM Used'!A:E,5,0)</f>
        <v>Count</v>
      </c>
      <c r="P1371" s="11">
        <f>VLOOKUP(H1371,'RM Used'!A:F,6,0)</f>
        <v>0.14000000000000001</v>
      </c>
      <c r="Q1371" s="11">
        <f t="shared" si="408"/>
        <v>0.14000000000000001</v>
      </c>
      <c r="R1371" s="11">
        <f>IFERROR(IF(B1371="Reynolds",VLOOKUP(H1371,'Yield &amp; Time'!A:U,21,0),VLOOKUP(H1371,'Yield &amp; Time'!A:L,12,0)),0)</f>
        <v>0</v>
      </c>
      <c r="S1371" s="11">
        <f t="shared" si="400"/>
        <v>0</v>
      </c>
      <c r="T1371" s="11">
        <f t="shared" si="401"/>
        <v>0</v>
      </c>
      <c r="U1371" s="11">
        <f>IF(A1370=A1371,0,VLOOKUP(A1371,'Packing Time'!A:F,6,0))</f>
        <v>0</v>
      </c>
      <c r="V1371" s="11">
        <f t="shared" si="393"/>
        <v>0</v>
      </c>
      <c r="W1371" s="11">
        <f t="shared" si="394"/>
        <v>0</v>
      </c>
      <c r="X1371" s="11">
        <f t="shared" si="402"/>
        <v>0</v>
      </c>
      <c r="Y1371" s="11">
        <f t="shared" si="395"/>
        <v>0</v>
      </c>
      <c r="Z1371" s="37">
        <v>1</v>
      </c>
      <c r="AA1371" s="36">
        <f t="shared" si="403"/>
        <v>1</v>
      </c>
      <c r="AB1371" s="36">
        <f t="shared" si="404"/>
        <v>0.14000000000000001</v>
      </c>
      <c r="AC1371" s="11">
        <f t="shared" si="405"/>
        <v>0</v>
      </c>
      <c r="AD1371" s="36">
        <f t="shared" si="396"/>
        <v>0</v>
      </c>
      <c r="AE1371" s="36"/>
      <c r="AF1371" s="36">
        <f>IFERROR(VLOOKUP(AE1371,'Chemical Cost'!A:D,4,0),0)</f>
        <v>0</v>
      </c>
      <c r="AG1371" s="114">
        <f t="shared" si="406"/>
        <v>0</v>
      </c>
      <c r="AH1371" s="36">
        <f t="shared" si="410"/>
        <v>0</v>
      </c>
      <c r="AI1371" s="36">
        <f t="shared" si="397"/>
        <v>0.14000000000000001</v>
      </c>
      <c r="AJ1371" s="36">
        <f>IFERROR(VLOOKUP(A1371,'All Products'!A:F,6,0),0)</f>
        <v>6.91</v>
      </c>
      <c r="AK1371" s="36"/>
      <c r="AL1371" s="23">
        <v>1</v>
      </c>
      <c r="AM1371" s="23"/>
      <c r="AN1371" s="54" t="e">
        <v>#N/A</v>
      </c>
      <c r="AO1371" s="47"/>
      <c r="AP1371" s="4">
        <v>1.25</v>
      </c>
      <c r="AQ1371" s="111">
        <f t="shared" si="407"/>
        <v>0</v>
      </c>
      <c r="AR1371">
        <f>_xlfn.XLOOKUP(F1371,'RM Cost'!A:A,'RM Cost'!S:S)</f>
        <v>0</v>
      </c>
      <c r="AS1371" t="str">
        <f>_xlfn.XLOOKUP(A1371,[3]Sheet1!$B:$B,[3]Sheet1!$B:$B)</f>
        <v>Z425CS</v>
      </c>
      <c r="AT1371" t="e">
        <f>_xlfn.XLOOKUP(H1371,'Yield &amp; Time'!A:A,'Yield &amp; Time'!F:F)</f>
        <v>#N/A</v>
      </c>
    </row>
    <row r="1372" spans="1:46" x14ac:dyDescent="0.25">
      <c r="A1372" s="16" t="s">
        <v>1095</v>
      </c>
      <c r="B1372" s="2" t="s">
        <v>656</v>
      </c>
      <c r="C1372" s="2" t="s">
        <v>39</v>
      </c>
      <c r="D1372" s="2" t="s">
        <v>554</v>
      </c>
      <c r="E1372" s="2">
        <v>2.5</v>
      </c>
      <c r="F1372" s="1" t="str">
        <f>VLOOKUP(H1372,'RM Used'!A:B,2,0)</f>
        <v>032ACS</v>
      </c>
      <c r="G1372" s="1" t="str">
        <f>IFERROR(VLOOKUP(F1372,'RM Cost'!A:B,2,0),"")</f>
        <v>RM - LRG PROCESSING CARROT X 1000KG</v>
      </c>
      <c r="H1372" s="2" t="s">
        <v>1607</v>
      </c>
      <c r="I1372" s="1" t="str">
        <f>VLOOKUP(F1372,'RM Used'!B:D,3,0)</f>
        <v>RM-FOOD</v>
      </c>
      <c r="J1372" s="74">
        <v>1</v>
      </c>
      <c r="K1372" s="35">
        <f t="shared" si="392"/>
        <v>2.5</v>
      </c>
      <c r="L1372" s="35">
        <f t="shared" si="399"/>
        <v>2.5</v>
      </c>
      <c r="M1372" s="77" cm="1">
        <f t="array" ref="M1372">_xlfn.IFS(BOM!I1372="RM-PACKING","100%",B1372="Reynolds",VLOOKUP(H1372,'Yield &amp; Time'!A:V,22,0),BOM!B1372="Dnata",VLOOKUP(BOM!H1372,'Yield &amp; Time'!A:M,13,0),B1372="NK",VLOOKUP(H1372,'Yield &amp; Time'!A:X,24,0))</f>
        <v>0.2524835726235764</v>
      </c>
      <c r="N1372" s="35">
        <f t="shared" si="409"/>
        <v>9.9016342886085855</v>
      </c>
      <c r="O1372" s="1" t="str">
        <f>VLOOKUP(H1372,'RM Used'!A:E,5,0)</f>
        <v>KG</v>
      </c>
      <c r="P1372" s="11">
        <f>VLOOKUP(H1372,'RM Used'!A:F,6,0)</f>
        <v>0.38</v>
      </c>
      <c r="Q1372" s="11">
        <f t="shared" si="408"/>
        <v>3.7626210296712626</v>
      </c>
      <c r="R1372" s="11">
        <f>IFERROR(IF(B1372="Reynolds",VLOOKUP(H1372,'Yield &amp; Time'!A:U,21,0),VLOOKUP(H1372,'Yield &amp; Time'!A:L,12,0)),0)</f>
        <v>9.7822627333725443</v>
      </c>
      <c r="S1372" s="11">
        <f t="shared" si="400"/>
        <v>8.2782398381165159</v>
      </c>
      <c r="T1372" s="11">
        <f t="shared" si="401"/>
        <v>0.40759428055718938</v>
      </c>
      <c r="U1372" s="11">
        <f>IF(A1371=A1372,0,VLOOKUP(A1372,'Packing Time'!A:F,6,0))</f>
        <v>0.875</v>
      </c>
      <c r="V1372" s="11">
        <f t="shared" si="393"/>
        <v>0.29618749999999999</v>
      </c>
      <c r="W1372" s="11">
        <f t="shared" si="394"/>
        <v>1.4583333333333334E-2</v>
      </c>
      <c r="X1372" s="11">
        <f t="shared" si="402"/>
        <v>10.718034172645645</v>
      </c>
      <c r="Y1372" s="11">
        <f t="shared" si="395"/>
        <v>10.718034172645645</v>
      </c>
      <c r="Z1372" s="37">
        <v>1</v>
      </c>
      <c r="AA1372" s="36">
        <f t="shared" si="403"/>
        <v>9.9016342886085855</v>
      </c>
      <c r="AB1372" s="36">
        <f t="shared" si="404"/>
        <v>3.7626210296712626</v>
      </c>
      <c r="AC1372" s="11">
        <f t="shared" si="405"/>
        <v>0.52772201736315338</v>
      </c>
      <c r="AD1372" s="36">
        <f t="shared" si="396"/>
        <v>10.718034172645645</v>
      </c>
      <c r="AE1372" s="36" t="str">
        <f>VLOOKUP(H1372,'Yield &amp; Time'!A:I,9,0)</f>
        <v>CHLORINE</v>
      </c>
      <c r="AF1372" s="36">
        <f>IFERROR(VLOOKUP(AE1372,'Chemical Cost'!A:D,4,0),0)</f>
        <v>2.7756518066439469E-2</v>
      </c>
      <c r="AG1372" s="114">
        <f t="shared" si="406"/>
        <v>9.1611630339680242E-2</v>
      </c>
      <c r="AH1372" s="36">
        <f t="shared" si="410"/>
        <v>9.1611630339680242E-2</v>
      </c>
      <c r="AI1372" s="36">
        <f t="shared" si="397"/>
        <v>14.572266832656586</v>
      </c>
      <c r="AJ1372" s="36">
        <f>IFERROR(VLOOKUP(A1372,'All Products'!A:F,6,0),0)</f>
        <v>15.68</v>
      </c>
      <c r="AK1372" s="36">
        <f>AJ1372*Z1372*J1372</f>
        <v>15.68</v>
      </c>
      <c r="AL1372" s="23">
        <v>0</v>
      </c>
      <c r="AM1372" s="23">
        <v>1</v>
      </c>
      <c r="AN1372" s="54" t="e">
        <v>#N/A</v>
      </c>
      <c r="AO1372" s="47"/>
      <c r="AP1372" s="4">
        <v>1.25</v>
      </c>
      <c r="AQ1372" s="111">
        <f t="shared" si="407"/>
        <v>0.52772201736315338</v>
      </c>
      <c r="AR1372">
        <f>_xlfn.XLOOKUP(F1372,'RM Cost'!A:A,'RM Cost'!S:S)</f>
        <v>0</v>
      </c>
      <c r="AS1372" t="str">
        <f>_xlfn.XLOOKUP(A1372,[3]Sheet1!$B:$B,[3]Sheet1!$B:$B)</f>
        <v>Z426CS</v>
      </c>
      <c r="AT1372">
        <f>_xlfn.XLOOKUP(H1372,'Yield &amp; Time'!A:A,'Yield &amp; Time'!F:F)</f>
        <v>0</v>
      </c>
    </row>
    <row r="1373" spans="1:46" x14ac:dyDescent="0.25">
      <c r="A1373" s="16" t="s">
        <v>1095</v>
      </c>
      <c r="B1373" s="2" t="s">
        <v>656</v>
      </c>
      <c r="C1373" s="2" t="s">
        <v>39</v>
      </c>
      <c r="D1373" s="2" t="s">
        <v>554</v>
      </c>
      <c r="E1373" s="2">
        <v>2.5</v>
      </c>
      <c r="F1373" s="1" t="str">
        <f>VLOOKUP(H1373,'RM Used'!A:B,2,0)</f>
        <v>P0008</v>
      </c>
      <c r="G1373" s="1" t="str">
        <f>IFERROR(VLOOKUP(F1373,'RM Cost'!A:B,2,0),"")</f>
        <v>PALE BLUE BAG 470X750MM</v>
      </c>
      <c r="H1373" s="1" t="s">
        <v>1323</v>
      </c>
      <c r="I1373" s="1" t="str">
        <f>VLOOKUP(F1373,'RM Used'!B:D,3,0)</f>
        <v>RM-PACKING</v>
      </c>
      <c r="J1373" s="66">
        <v>1</v>
      </c>
      <c r="K1373" s="35" t="str">
        <f t="shared" si="392"/>
        <v/>
      </c>
      <c r="L1373" s="35">
        <f t="shared" si="399"/>
        <v>0</v>
      </c>
      <c r="M1373" s="77" t="str" cm="1">
        <f t="array" ref="M1373">_xlfn.IFS(BOM!I1373="RM-PACKING","100%",B1373="Reynolds",VLOOKUP(H1373,'Yield &amp; Time'!A:V,22,0),BOM!B1373="Dnata",VLOOKUP(BOM!H1373,'Yield &amp; Time'!A:M,13,0),B1373="NK",VLOOKUP(H1373,'Yield &amp; Time'!A:X,24,0))</f>
        <v>100%</v>
      </c>
      <c r="N1373" s="35">
        <f t="shared" si="409"/>
        <v>1</v>
      </c>
      <c r="O1373" s="1" t="str">
        <f>VLOOKUP(H1373,'RM Used'!A:E,5,0)</f>
        <v>Count</v>
      </c>
      <c r="P1373" s="11">
        <f>VLOOKUP(H1373,'RM Used'!A:F,6,0)</f>
        <v>0.14000000000000001</v>
      </c>
      <c r="Q1373" s="11">
        <f t="shared" si="408"/>
        <v>0.14000000000000001</v>
      </c>
      <c r="R1373" s="11">
        <f>IFERROR(IF(B1373="Reynolds",VLOOKUP(H1373,'Yield &amp; Time'!A:U,21,0),VLOOKUP(H1373,'Yield &amp; Time'!A:L,12,0)),0)</f>
        <v>0</v>
      </c>
      <c r="S1373" s="11">
        <f t="shared" si="400"/>
        <v>0</v>
      </c>
      <c r="T1373" s="11">
        <f t="shared" si="401"/>
        <v>0</v>
      </c>
      <c r="U1373" s="11">
        <f>IF(A1372=A1373,0,VLOOKUP(A1373,'Packing Time'!A:F,6,0))</f>
        <v>0</v>
      </c>
      <c r="V1373" s="11">
        <f t="shared" si="393"/>
        <v>0</v>
      </c>
      <c r="W1373" s="11">
        <f t="shared" si="394"/>
        <v>0</v>
      </c>
      <c r="X1373" s="11">
        <f t="shared" si="402"/>
        <v>0</v>
      </c>
      <c r="Y1373" s="11">
        <f t="shared" si="395"/>
        <v>0</v>
      </c>
      <c r="Z1373" s="37">
        <v>1</v>
      </c>
      <c r="AA1373" s="36">
        <f t="shared" si="403"/>
        <v>1</v>
      </c>
      <c r="AB1373" s="36">
        <f t="shared" si="404"/>
        <v>0.14000000000000001</v>
      </c>
      <c r="AC1373" s="11">
        <f t="shared" si="405"/>
        <v>0</v>
      </c>
      <c r="AD1373" s="36">
        <f t="shared" si="396"/>
        <v>0</v>
      </c>
      <c r="AE1373" s="36"/>
      <c r="AF1373" s="36">
        <f>IFERROR(VLOOKUP(AE1373,'Chemical Cost'!A:D,4,0),0)</f>
        <v>0</v>
      </c>
      <c r="AG1373" s="114">
        <f t="shared" si="406"/>
        <v>0</v>
      </c>
      <c r="AH1373" s="36">
        <f t="shared" si="410"/>
        <v>0</v>
      </c>
      <c r="AI1373" s="36">
        <f t="shared" si="397"/>
        <v>0.14000000000000001</v>
      </c>
      <c r="AJ1373" s="36">
        <f>IFERROR(VLOOKUP(A1373,'All Products'!A:F,6,0),0)</f>
        <v>15.68</v>
      </c>
      <c r="AK1373" s="36"/>
      <c r="AL1373" s="23">
        <v>0</v>
      </c>
      <c r="AM1373" s="23">
        <v>1</v>
      </c>
      <c r="AN1373" s="54" t="e">
        <v>#N/A</v>
      </c>
      <c r="AO1373" s="47"/>
      <c r="AP1373" s="4">
        <v>1.25</v>
      </c>
      <c r="AQ1373" s="111">
        <f t="shared" si="407"/>
        <v>0</v>
      </c>
      <c r="AR1373">
        <f>_xlfn.XLOOKUP(F1373,'RM Cost'!A:A,'RM Cost'!S:S)</f>
        <v>0</v>
      </c>
      <c r="AS1373" t="str">
        <f>_xlfn.XLOOKUP(A1373,[3]Sheet1!$B:$B,[3]Sheet1!$B:$B)</f>
        <v>Z426CS</v>
      </c>
      <c r="AT1373" t="e">
        <f>_xlfn.XLOOKUP(H1373,'Yield &amp; Time'!A:A,'Yield &amp; Time'!F:F)</f>
        <v>#N/A</v>
      </c>
    </row>
    <row r="1374" spans="1:46" x14ac:dyDescent="0.25">
      <c r="A1374" s="16" t="s">
        <v>1010</v>
      </c>
      <c r="B1374" s="2" t="s">
        <v>656</v>
      </c>
      <c r="C1374" s="2" t="s">
        <v>1011</v>
      </c>
      <c r="D1374" s="2" t="s">
        <v>554</v>
      </c>
      <c r="E1374" s="2">
        <v>1</v>
      </c>
      <c r="F1374" s="1" t="str">
        <f>VLOOKUP(H1374,'RM Used'!A:B,2,0)</f>
        <v>2961CS</v>
      </c>
      <c r="G1374" s="1" t="str">
        <f>IFERROR(VLOOKUP(F1374,'RM Cost'!A:B,2,0),"")</f>
        <v>RM - ARTICHOKES JERUSALEM  X5KG</v>
      </c>
      <c r="H1374" s="2" t="s">
        <v>1656</v>
      </c>
      <c r="I1374" s="1" t="str">
        <f>VLOOKUP(F1374,'RM Used'!B:D,3,0)</f>
        <v>RM-FOOD</v>
      </c>
      <c r="J1374" s="74">
        <v>1</v>
      </c>
      <c r="K1374" s="35">
        <f t="shared" si="392"/>
        <v>1</v>
      </c>
      <c r="L1374" s="35">
        <f t="shared" si="399"/>
        <v>1</v>
      </c>
      <c r="M1374" s="77" cm="1">
        <f t="array" ref="M1374">_xlfn.IFS(BOM!I1374="RM-PACKING","100%",B1374="Reynolds",VLOOKUP(H1374,'Yield &amp; Time'!A:V,22,0),BOM!B1374="Dnata",VLOOKUP(BOM!H1374,'Yield &amp; Time'!A:M,13,0),B1374="NK",VLOOKUP(H1374,'Yield &amp; Time'!A:X,24,0))</f>
        <v>0</v>
      </c>
      <c r="N1374" s="35">
        <f t="shared" si="409"/>
        <v>0</v>
      </c>
      <c r="O1374" s="1" t="str">
        <f>VLOOKUP(H1374,'RM Used'!A:E,5,0)</f>
        <v>KG</v>
      </c>
      <c r="P1374" s="11">
        <f>VLOOKUP(H1374,'RM Used'!A:F,6,0)</f>
        <v>1.57</v>
      </c>
      <c r="Q1374" s="11">
        <f t="shared" si="408"/>
        <v>0</v>
      </c>
      <c r="R1374" s="11">
        <f>IFERROR(IF(B1374="Reynolds",VLOOKUP(H1374,'Yield &amp; Time'!A:U,21,0),VLOOKUP(H1374,'Yield &amp; Time'!A:L,12,0)),0)</f>
        <v>0.1</v>
      </c>
      <c r="S1374" s="11">
        <f t="shared" si="400"/>
        <v>3.3849999999999998E-2</v>
      </c>
      <c r="T1374" s="11">
        <f t="shared" si="401"/>
        <v>1.6666666666666668E-3</v>
      </c>
      <c r="U1374" s="11">
        <f>IF(A1373=A1374,0,VLOOKUP(A1374,'Packing Time'!A:F,6,0))</f>
        <v>0.64166666666666661</v>
      </c>
      <c r="V1374" s="11">
        <f t="shared" si="393"/>
        <v>0.21720416666666661</v>
      </c>
      <c r="W1374" s="11">
        <f t="shared" si="394"/>
        <v>1.0694444444444444E-2</v>
      </c>
      <c r="X1374" s="11">
        <f t="shared" si="402"/>
        <v>0.40168666666666664</v>
      </c>
      <c r="Y1374" s="11">
        <f t="shared" si="395"/>
        <v>0.40168666666666664</v>
      </c>
      <c r="Z1374" s="37">
        <v>1</v>
      </c>
      <c r="AA1374" s="36">
        <f t="shared" si="403"/>
        <v>0</v>
      </c>
      <c r="AB1374" s="36">
        <f t="shared" si="404"/>
        <v>0</v>
      </c>
      <c r="AC1374" s="11">
        <f t="shared" si="405"/>
        <v>1.9777777777777776E-2</v>
      </c>
      <c r="AD1374" s="36">
        <f t="shared" si="396"/>
        <v>0.40168666666666658</v>
      </c>
      <c r="AE1374" s="36" t="str">
        <f>VLOOKUP(H1374,'Yield &amp; Time'!A:I,9,0)</f>
        <v>SODIUM METABISULPHITE</v>
      </c>
      <c r="AF1374" s="36">
        <f>IFERROR(VLOOKUP(AE1374,'Chemical Cost'!A:D,4,0),0)</f>
        <v>9.7586225455882462E-3</v>
      </c>
      <c r="AG1374" s="114">
        <f t="shared" si="406"/>
        <v>0</v>
      </c>
      <c r="AH1374" s="36">
        <f t="shared" si="410"/>
        <v>0</v>
      </c>
      <c r="AI1374" s="36">
        <f t="shared" si="397"/>
        <v>0.40168666666666664</v>
      </c>
      <c r="AJ1374" s="36">
        <f>IFERROR(VLOOKUP(A1374,'All Products'!A:F,6,0),0)</f>
        <v>75.05</v>
      </c>
      <c r="AK1374" s="36">
        <f>AJ1374*Z1374*J1374</f>
        <v>75.05</v>
      </c>
      <c r="AL1374" s="23">
        <v>1</v>
      </c>
      <c r="AM1374" s="23"/>
      <c r="AN1374" s="54" t="e">
        <v>#N/A</v>
      </c>
      <c r="AO1374" s="47"/>
      <c r="AP1374" s="4">
        <v>1.6</v>
      </c>
      <c r="AQ1374" s="111">
        <f t="shared" si="407"/>
        <v>1.9777777777777776E-2</v>
      </c>
      <c r="AR1374">
        <f>_xlfn.XLOOKUP(F1374,'RM Cost'!A:A,'RM Cost'!S:S)</f>
        <v>0</v>
      </c>
      <c r="AS1374" t="e">
        <f>_xlfn.XLOOKUP(A1374,[3]Sheet1!$B:$B,[3]Sheet1!$B:$B)</f>
        <v>#N/A</v>
      </c>
    </row>
    <row r="1375" spans="1:46" x14ac:dyDescent="0.25">
      <c r="A1375" s="16" t="s">
        <v>1010</v>
      </c>
      <c r="B1375" s="2" t="s">
        <v>656</v>
      </c>
      <c r="C1375" s="2" t="s">
        <v>1011</v>
      </c>
      <c r="D1375" s="2" t="s">
        <v>554</v>
      </c>
      <c r="E1375" s="2">
        <v>1</v>
      </c>
      <c r="F1375" s="1" t="str">
        <f>VLOOKUP(H1375,'RM Used'!A:B,2,0)</f>
        <v>P0008</v>
      </c>
      <c r="G1375" s="1" t="str">
        <f>IFERROR(VLOOKUP(F1375,'RM Cost'!A:B,2,0),"")</f>
        <v>PALE BLUE BAG 470X750MM</v>
      </c>
      <c r="H1375" s="1" t="s">
        <v>1323</v>
      </c>
      <c r="I1375" s="1" t="str">
        <f>VLOOKUP(F1375,'RM Used'!B:D,3,0)</f>
        <v>RM-PACKING</v>
      </c>
      <c r="J1375" s="66">
        <v>1</v>
      </c>
      <c r="K1375" s="35" t="str">
        <f t="shared" si="392"/>
        <v/>
      </c>
      <c r="L1375" s="35">
        <f t="shared" si="399"/>
        <v>0</v>
      </c>
      <c r="M1375" s="77" t="str" cm="1">
        <f t="array" ref="M1375">_xlfn.IFS(BOM!I1375="RM-PACKING","100%",B1375="Reynolds",VLOOKUP(H1375,'Yield &amp; Time'!A:V,22,0),BOM!B1375="Dnata",VLOOKUP(BOM!H1375,'Yield &amp; Time'!A:M,13,0),B1375="NK",VLOOKUP(H1375,'Yield &amp; Time'!A:X,24,0))</f>
        <v>100%</v>
      </c>
      <c r="N1375" s="35">
        <f t="shared" si="409"/>
        <v>1</v>
      </c>
      <c r="O1375" s="1" t="str">
        <f>VLOOKUP(H1375,'RM Used'!A:E,5,0)</f>
        <v>Count</v>
      </c>
      <c r="P1375" s="11">
        <f>VLOOKUP(H1375,'RM Used'!A:F,6,0)</f>
        <v>0.14000000000000001</v>
      </c>
      <c r="Q1375" s="11">
        <f t="shared" si="408"/>
        <v>0.14000000000000001</v>
      </c>
      <c r="R1375" s="11">
        <f>IFERROR(IF(B1375="Reynolds",VLOOKUP(H1375,'Yield &amp; Time'!A:U,21,0),VLOOKUP(H1375,'Yield &amp; Time'!A:L,12,0)),0)</f>
        <v>0</v>
      </c>
      <c r="S1375" s="11">
        <f t="shared" si="400"/>
        <v>0</v>
      </c>
      <c r="T1375" s="11">
        <f t="shared" si="401"/>
        <v>0</v>
      </c>
      <c r="U1375" s="11">
        <f>IF(A1374=A1375,0,VLOOKUP(A1375,'Packing Time'!A:F,6,0))</f>
        <v>0</v>
      </c>
      <c r="V1375" s="11">
        <f t="shared" si="393"/>
        <v>0</v>
      </c>
      <c r="W1375" s="11">
        <f t="shared" si="394"/>
        <v>0</v>
      </c>
      <c r="X1375" s="11">
        <f t="shared" si="402"/>
        <v>0</v>
      </c>
      <c r="Y1375" s="11">
        <f t="shared" si="395"/>
        <v>0</v>
      </c>
      <c r="Z1375" s="37">
        <v>1</v>
      </c>
      <c r="AA1375" s="36">
        <f t="shared" si="403"/>
        <v>1</v>
      </c>
      <c r="AB1375" s="36">
        <f t="shared" si="404"/>
        <v>0.14000000000000001</v>
      </c>
      <c r="AC1375" s="11">
        <f t="shared" si="405"/>
        <v>0</v>
      </c>
      <c r="AD1375" s="36">
        <f t="shared" si="396"/>
        <v>0</v>
      </c>
      <c r="AE1375" s="36"/>
      <c r="AF1375" s="36">
        <f>IFERROR(VLOOKUP(AE1375,'Chemical Cost'!A:D,4,0),0)</f>
        <v>0</v>
      </c>
      <c r="AG1375" s="114">
        <f t="shared" si="406"/>
        <v>0</v>
      </c>
      <c r="AH1375" s="36">
        <f t="shared" si="410"/>
        <v>0</v>
      </c>
      <c r="AI1375" s="36">
        <f t="shared" si="397"/>
        <v>0.14000000000000001</v>
      </c>
      <c r="AJ1375" s="36">
        <f>IFERROR(VLOOKUP(A1375,'All Products'!A:F,6,0),0)</f>
        <v>75.05</v>
      </c>
      <c r="AK1375" s="36"/>
      <c r="AL1375" s="23">
        <v>1</v>
      </c>
      <c r="AM1375" s="23"/>
      <c r="AN1375" s="54" t="e">
        <v>#N/A</v>
      </c>
      <c r="AO1375" s="47"/>
      <c r="AP1375" s="4">
        <v>1.6</v>
      </c>
      <c r="AQ1375" s="111">
        <f t="shared" si="407"/>
        <v>0</v>
      </c>
      <c r="AR1375">
        <f>_xlfn.XLOOKUP(F1375,'RM Cost'!A:A,'RM Cost'!S:S)</f>
        <v>0</v>
      </c>
      <c r="AS1375" t="e">
        <f>_xlfn.XLOOKUP(A1375,[3]Sheet1!$B:$B,[3]Sheet1!$B:$B)</f>
        <v>#N/A</v>
      </c>
    </row>
    <row r="1376" spans="1:46" x14ac:dyDescent="0.25">
      <c r="A1376" s="16" t="s">
        <v>1012</v>
      </c>
      <c r="B1376" s="2" t="s">
        <v>656</v>
      </c>
      <c r="C1376" s="2" t="s">
        <v>1013</v>
      </c>
      <c r="D1376" s="2" t="s">
        <v>554</v>
      </c>
      <c r="E1376" s="2">
        <v>2.5</v>
      </c>
      <c r="F1376" s="1" t="str">
        <f>VLOOKUP(H1376,'RM Used'!A:B,2,0)</f>
        <v>2961CS</v>
      </c>
      <c r="G1376" s="1" t="str">
        <f>IFERROR(VLOOKUP(F1376,'RM Cost'!A:B,2,0),"")</f>
        <v>RM - ARTICHOKES JERUSALEM  X5KG</v>
      </c>
      <c r="H1376" s="2" t="s">
        <v>1656</v>
      </c>
      <c r="I1376" s="1" t="str">
        <f>VLOOKUP(F1376,'RM Used'!B:D,3,0)</f>
        <v>RM-FOOD</v>
      </c>
      <c r="J1376" s="74">
        <v>1</v>
      </c>
      <c r="K1376" s="35">
        <f t="shared" si="392"/>
        <v>2.5</v>
      </c>
      <c r="L1376" s="35">
        <f t="shared" si="399"/>
        <v>2.5</v>
      </c>
      <c r="M1376" s="77" cm="1">
        <f t="array" ref="M1376">_xlfn.IFS(BOM!I1376="RM-PACKING","100%",B1376="Reynolds",VLOOKUP(H1376,'Yield &amp; Time'!A:V,22,0),BOM!B1376="Dnata",VLOOKUP(BOM!H1376,'Yield &amp; Time'!A:M,13,0),B1376="NK",VLOOKUP(H1376,'Yield &amp; Time'!A:X,24,0))</f>
        <v>0</v>
      </c>
      <c r="N1376" s="35">
        <f t="shared" si="409"/>
        <v>0</v>
      </c>
      <c r="O1376" s="1" t="str">
        <f>VLOOKUP(H1376,'RM Used'!A:E,5,0)</f>
        <v>KG</v>
      </c>
      <c r="P1376" s="11">
        <f>VLOOKUP(H1376,'RM Used'!A:F,6,0)</f>
        <v>1.57</v>
      </c>
      <c r="Q1376" s="11">
        <f t="shared" si="408"/>
        <v>0</v>
      </c>
      <c r="R1376" s="11">
        <f>IFERROR(IF(B1376="Reynolds",VLOOKUP(H1376,'Yield &amp; Time'!A:U,21,0),VLOOKUP(H1376,'Yield &amp; Time'!A:L,12,0)),0)</f>
        <v>0.1</v>
      </c>
      <c r="S1376" s="11">
        <f t="shared" si="400"/>
        <v>8.4624999999999992E-2</v>
      </c>
      <c r="T1376" s="11">
        <f t="shared" si="401"/>
        <v>4.1666666666666666E-3</v>
      </c>
      <c r="U1376" s="11">
        <f>IF(A1375=A1376,0,VLOOKUP(A1376,'Packing Time'!A:F,6,0))</f>
        <v>0.875</v>
      </c>
      <c r="V1376" s="11">
        <f t="shared" si="393"/>
        <v>0.29618749999999999</v>
      </c>
      <c r="W1376" s="11">
        <f t="shared" si="394"/>
        <v>1.4583333333333334E-2</v>
      </c>
      <c r="X1376" s="11">
        <f t="shared" si="402"/>
        <v>0.60929999999999995</v>
      </c>
      <c r="Y1376" s="11">
        <f t="shared" si="395"/>
        <v>0.60929999999999995</v>
      </c>
      <c r="Z1376" s="37">
        <v>1</v>
      </c>
      <c r="AA1376" s="36">
        <f t="shared" si="403"/>
        <v>0</v>
      </c>
      <c r="AB1376" s="36">
        <f t="shared" si="404"/>
        <v>0</v>
      </c>
      <c r="AC1376" s="11">
        <f t="shared" si="405"/>
        <v>0.03</v>
      </c>
      <c r="AD1376" s="36">
        <f t="shared" si="396"/>
        <v>0.60929999999999984</v>
      </c>
      <c r="AE1376" s="36" t="str">
        <f>VLOOKUP(H1376,'Yield &amp; Time'!A:I,9,0)</f>
        <v>SODIUM METABISULPHITE</v>
      </c>
      <c r="AF1376" s="36">
        <f>IFERROR(VLOOKUP(AE1376,'Chemical Cost'!A:D,4,0),0)</f>
        <v>9.7586225455882462E-3</v>
      </c>
      <c r="AG1376" s="114">
        <f t="shared" si="406"/>
        <v>0</v>
      </c>
      <c r="AH1376" s="36">
        <f t="shared" si="410"/>
        <v>0</v>
      </c>
      <c r="AI1376" s="36">
        <f t="shared" si="397"/>
        <v>0.60929999999999995</v>
      </c>
      <c r="AJ1376" s="36">
        <f>IFERROR(VLOOKUP(A1376,'All Products'!A:F,6,0),0)</f>
        <v>187.62</v>
      </c>
      <c r="AK1376" s="36">
        <f>AJ1376*Z1376*J1376</f>
        <v>187.62</v>
      </c>
      <c r="AL1376" s="23">
        <v>1</v>
      </c>
      <c r="AM1376" s="23"/>
      <c r="AN1376" s="54" t="e">
        <v>#N/A</v>
      </c>
      <c r="AO1376" s="47"/>
      <c r="AP1376" s="4">
        <v>1.6</v>
      </c>
      <c r="AQ1376" s="111">
        <f t="shared" si="407"/>
        <v>0.03</v>
      </c>
      <c r="AR1376">
        <f>_xlfn.XLOOKUP(F1376,'RM Cost'!A:A,'RM Cost'!S:S)</f>
        <v>0</v>
      </c>
      <c r="AS1376" t="e">
        <f>_xlfn.XLOOKUP(A1376,[3]Sheet1!$B:$B,[3]Sheet1!$B:$B)</f>
        <v>#N/A</v>
      </c>
    </row>
    <row r="1377" spans="1:46" x14ac:dyDescent="0.25">
      <c r="A1377" s="16" t="s">
        <v>1012</v>
      </c>
      <c r="B1377" s="2" t="s">
        <v>656</v>
      </c>
      <c r="C1377" s="2" t="s">
        <v>1013</v>
      </c>
      <c r="D1377" s="2" t="s">
        <v>554</v>
      </c>
      <c r="E1377" s="2">
        <v>2.5</v>
      </c>
      <c r="F1377" s="1" t="str">
        <f>VLOOKUP(H1377,'RM Used'!A:B,2,0)</f>
        <v>P0008</v>
      </c>
      <c r="G1377" s="1" t="str">
        <f>IFERROR(VLOOKUP(F1377,'RM Cost'!A:B,2,0),"")</f>
        <v>PALE BLUE BAG 470X750MM</v>
      </c>
      <c r="H1377" s="1" t="s">
        <v>1323</v>
      </c>
      <c r="I1377" s="1" t="str">
        <f>VLOOKUP(F1377,'RM Used'!B:D,3,0)</f>
        <v>RM-PACKING</v>
      </c>
      <c r="J1377" s="66">
        <v>1</v>
      </c>
      <c r="K1377" s="35" t="str">
        <f t="shared" si="392"/>
        <v/>
      </c>
      <c r="L1377" s="35">
        <f t="shared" si="399"/>
        <v>0</v>
      </c>
      <c r="M1377" s="77" t="str" cm="1">
        <f t="array" ref="M1377">_xlfn.IFS(BOM!I1377="RM-PACKING","100%",B1377="Reynolds",VLOOKUP(H1377,'Yield &amp; Time'!A:V,22,0),BOM!B1377="Dnata",VLOOKUP(BOM!H1377,'Yield &amp; Time'!A:M,13,0),B1377="NK",VLOOKUP(H1377,'Yield &amp; Time'!A:X,24,0))</f>
        <v>100%</v>
      </c>
      <c r="N1377" s="35">
        <f t="shared" si="409"/>
        <v>1</v>
      </c>
      <c r="O1377" s="1" t="str">
        <f>VLOOKUP(H1377,'RM Used'!A:E,5,0)</f>
        <v>Count</v>
      </c>
      <c r="P1377" s="11">
        <f>VLOOKUP(H1377,'RM Used'!A:F,6,0)</f>
        <v>0.14000000000000001</v>
      </c>
      <c r="Q1377" s="11">
        <f t="shared" si="408"/>
        <v>0.14000000000000001</v>
      </c>
      <c r="R1377" s="11">
        <f>IFERROR(IF(B1377="Reynolds",VLOOKUP(H1377,'Yield &amp; Time'!A:U,21,0),VLOOKUP(H1377,'Yield &amp; Time'!A:L,12,0)),0)</f>
        <v>0</v>
      </c>
      <c r="S1377" s="11">
        <f t="shared" si="400"/>
        <v>0</v>
      </c>
      <c r="T1377" s="11">
        <f t="shared" si="401"/>
        <v>0</v>
      </c>
      <c r="U1377" s="11">
        <f>IF(A1376=A1377,0,VLOOKUP(A1377,'Packing Time'!A:F,6,0))</f>
        <v>0</v>
      </c>
      <c r="V1377" s="11">
        <f t="shared" si="393"/>
        <v>0</v>
      </c>
      <c r="W1377" s="11">
        <f t="shared" si="394"/>
        <v>0</v>
      </c>
      <c r="X1377" s="11">
        <f t="shared" si="402"/>
        <v>0</v>
      </c>
      <c r="Y1377" s="11">
        <f t="shared" si="395"/>
        <v>0</v>
      </c>
      <c r="Z1377" s="37">
        <v>1</v>
      </c>
      <c r="AA1377" s="36">
        <f t="shared" si="403"/>
        <v>1</v>
      </c>
      <c r="AB1377" s="36">
        <f t="shared" si="404"/>
        <v>0.14000000000000001</v>
      </c>
      <c r="AC1377" s="11">
        <f t="shared" si="405"/>
        <v>0</v>
      </c>
      <c r="AD1377" s="36">
        <f t="shared" si="396"/>
        <v>0</v>
      </c>
      <c r="AE1377" s="36"/>
      <c r="AF1377" s="36">
        <f>IFERROR(VLOOKUP(AE1377,'Chemical Cost'!A:D,4,0),0)</f>
        <v>0</v>
      </c>
      <c r="AG1377" s="114">
        <f t="shared" si="406"/>
        <v>0</v>
      </c>
      <c r="AH1377" s="36">
        <f t="shared" si="410"/>
        <v>0</v>
      </c>
      <c r="AI1377" s="36">
        <f t="shared" si="397"/>
        <v>0.14000000000000001</v>
      </c>
      <c r="AJ1377" s="36">
        <f>IFERROR(VLOOKUP(A1377,'All Products'!A:F,6,0),0)</f>
        <v>187.62</v>
      </c>
      <c r="AK1377" s="36"/>
      <c r="AL1377" s="23">
        <v>1</v>
      </c>
      <c r="AM1377" s="23"/>
      <c r="AN1377" s="54" t="e">
        <v>#N/A</v>
      </c>
      <c r="AO1377" s="47"/>
      <c r="AP1377" s="4">
        <v>1.6</v>
      </c>
      <c r="AQ1377" s="111">
        <f t="shared" si="407"/>
        <v>0</v>
      </c>
      <c r="AR1377">
        <f>_xlfn.XLOOKUP(F1377,'RM Cost'!A:A,'RM Cost'!S:S)</f>
        <v>0</v>
      </c>
      <c r="AS1377" t="e">
        <f>_xlfn.XLOOKUP(A1377,[3]Sheet1!$B:$B,[3]Sheet1!$B:$B)</f>
        <v>#N/A</v>
      </c>
    </row>
    <row r="1378" spans="1:46" x14ac:dyDescent="0.25">
      <c r="A1378" s="16" t="s">
        <v>1868</v>
      </c>
      <c r="B1378" s="2" t="s">
        <v>552</v>
      </c>
      <c r="C1378" s="1" t="s">
        <v>1767</v>
      </c>
      <c r="D1378" s="2" t="s">
        <v>554</v>
      </c>
      <c r="E1378" s="2">
        <v>5</v>
      </c>
      <c r="F1378" s="1" t="str">
        <f>VLOOKUP(H1378,'RM Used'!A:B,2,0)</f>
        <v>182BCS</v>
      </c>
      <c r="G1378" s="1" t="str">
        <f>IFERROR(VLOOKUP(F1378,'RM Cost'!A:B,2,0),"")</f>
        <v>RM - BABY YELLOW CARROT 6X200G</v>
      </c>
      <c r="H1378" s="1" t="s">
        <v>1655</v>
      </c>
      <c r="I1378" s="1" t="str">
        <f>VLOOKUP(F1378,'RM Used'!B:D,3,0)</f>
        <v>RM-FOOD</v>
      </c>
      <c r="J1378" s="66">
        <v>1</v>
      </c>
      <c r="K1378" s="35">
        <f t="shared" si="392"/>
        <v>5</v>
      </c>
      <c r="L1378" s="35">
        <f t="shared" si="399"/>
        <v>5</v>
      </c>
      <c r="M1378" s="77" cm="1">
        <f t="array" ref="M1378">_xlfn.IFS(BOM!I1378="RM-PACKING","100%",B1378="Reynolds",VLOOKUP(H1378,'Yield &amp; Time'!A:V,22,0),BOM!B1378="Dnata",VLOOKUP(BOM!H1378,'Yield &amp; Time'!A:M,13,0),B1378="NK",VLOOKUP(H1378,'Yield &amp; Time'!A:X,24,0))</f>
        <v>0.7069767441860465</v>
      </c>
      <c r="N1378" s="35">
        <f t="shared" si="409"/>
        <v>7.0723684210526319</v>
      </c>
      <c r="O1378" s="1" t="str">
        <f>VLOOKUP(H1378,'RM Used'!A:E,5,0)</f>
        <v>KG</v>
      </c>
      <c r="P1378" s="11" t="e">
        <f>VLOOKUP(H1378,'RM Used'!A:F,6,0)</f>
        <v>#N/A</v>
      </c>
      <c r="Q1378" s="11" t="e">
        <f t="shared" si="408"/>
        <v>#N/A</v>
      </c>
      <c r="R1378" s="11">
        <f>IFERROR(IF(B1378="Reynolds",VLOOKUP(H1378,'Yield &amp; Time'!A:U,21,0),VLOOKUP(H1378,'Yield &amp; Time'!A:L,12,0)),0)</f>
        <v>12.171052631578947</v>
      </c>
      <c r="S1378" s="11">
        <f t="shared" si="400"/>
        <v>20.599506578947366</v>
      </c>
      <c r="T1378" s="11">
        <f t="shared" si="401"/>
        <v>1.0142543859649122</v>
      </c>
      <c r="U1378" s="11">
        <f>IF(A1377=A1378,0,VLOOKUP(A1378,'Packing Time'!A:F,6,0))</f>
        <v>1.1850000000000001</v>
      </c>
      <c r="V1378" s="11">
        <f t="shared" ref="V1378:V1412" si="411">U1378*AO$1</f>
        <v>0.40112249999999999</v>
      </c>
      <c r="W1378" s="11">
        <f t="shared" ref="W1378:W1412" si="412">(U1378*Z1378)/60</f>
        <v>1.975E-2</v>
      </c>
      <c r="X1378" s="11">
        <f t="shared" si="402"/>
        <v>33.601006526315786</v>
      </c>
      <c r="Y1378" s="11">
        <f t="shared" ref="Y1378:Y1412" si="413">X1378*Z1378</f>
        <v>33.601006526315786</v>
      </c>
      <c r="Z1378" s="37">
        <v>1</v>
      </c>
      <c r="AA1378" s="36">
        <f t="shared" si="403"/>
        <v>7.0723684210526319</v>
      </c>
      <c r="AB1378" s="36" t="e">
        <f t="shared" si="404"/>
        <v>#N/A</v>
      </c>
      <c r="AC1378" s="11">
        <f t="shared" si="405"/>
        <v>1.6544070175438597</v>
      </c>
      <c r="AD1378" s="36">
        <f t="shared" ref="AD1378:AD1429" si="414">AC1378*60*AO$1</f>
        <v>33.601006526315786</v>
      </c>
      <c r="AE1378" s="36"/>
      <c r="AF1378" s="36">
        <f>IFERROR(VLOOKUP(AE1378,'Chemical Cost'!A:D,4,0),0)</f>
        <v>0</v>
      </c>
      <c r="AG1378" s="114">
        <f t="shared" si="406"/>
        <v>0</v>
      </c>
      <c r="AH1378" s="36">
        <f t="shared" si="410"/>
        <v>0</v>
      </c>
      <c r="AI1378" s="36">
        <f t="shared" ref="AI1378:AI1412" si="415">IFERROR((Q1378*Z1378)+(Z1378*X1378)+AH1378,0)</f>
        <v>0</v>
      </c>
      <c r="AJ1378" s="36">
        <f>IFERROR(VLOOKUP(A1378,'All Products'!A:F,6,0),0)</f>
        <v>295.66000000000003</v>
      </c>
      <c r="AK1378" s="36">
        <f>AJ1378*Z1378*J1378</f>
        <v>295.66000000000003</v>
      </c>
      <c r="AL1378" s="23">
        <v>1</v>
      </c>
      <c r="AM1378" s="23"/>
      <c r="AN1378" s="54" t="e">
        <v>#N/A</v>
      </c>
      <c r="AO1378" s="47"/>
      <c r="AP1378" s="4">
        <v>1.6</v>
      </c>
      <c r="AQ1378" s="111">
        <f t="shared" si="407"/>
        <v>1.6544070175438597</v>
      </c>
      <c r="AR1378">
        <f>_xlfn.XLOOKUP(F1378,'RM Cost'!A:A,'RM Cost'!S:S)</f>
        <v>0</v>
      </c>
      <c r="AS1378" t="e">
        <f>_xlfn.XLOOKUP(A1378,[3]Sheet1!$B:$B,[3]Sheet1!$B:$B)</f>
        <v>#N/A</v>
      </c>
    </row>
    <row r="1379" spans="1:46" x14ac:dyDescent="0.25">
      <c r="A1379" s="16" t="s">
        <v>1868</v>
      </c>
      <c r="B1379" s="2" t="s">
        <v>552</v>
      </c>
      <c r="C1379" s="1" t="s">
        <v>1767</v>
      </c>
      <c r="D1379" s="2" t="s">
        <v>554</v>
      </c>
      <c r="E1379" s="2">
        <v>5</v>
      </c>
      <c r="F1379" s="1" t="str">
        <f>VLOOKUP(H1379,'RM Used'!A:B,2,0)</f>
        <v>P0008</v>
      </c>
      <c r="G1379" s="1" t="str">
        <f>IFERROR(VLOOKUP(F1379,'RM Cost'!A:B,2,0),"")</f>
        <v>PALE BLUE BAG 470X750MM</v>
      </c>
      <c r="H1379" s="1" t="s">
        <v>1323</v>
      </c>
      <c r="I1379" s="1" t="str">
        <f>VLOOKUP(F1379,'RM Used'!B:D,3,0)</f>
        <v>RM-PACKING</v>
      </c>
      <c r="J1379" s="66">
        <v>1</v>
      </c>
      <c r="K1379" s="35" t="str">
        <f t="shared" si="392"/>
        <v/>
      </c>
      <c r="L1379" s="35">
        <f t="shared" si="399"/>
        <v>0</v>
      </c>
      <c r="M1379" s="77" t="str" cm="1">
        <f t="array" ref="M1379">_xlfn.IFS(BOM!I1379="RM-PACKING","100%",B1379="Reynolds",VLOOKUP(H1379,'Yield &amp; Time'!A:V,22,0),BOM!B1379="Dnata",VLOOKUP(BOM!H1379,'Yield &amp; Time'!A:M,13,0),B1379="NK",VLOOKUP(H1379,'Yield &amp; Time'!A:X,24,0))</f>
        <v>100%</v>
      </c>
      <c r="N1379" s="35">
        <f t="shared" si="409"/>
        <v>1</v>
      </c>
      <c r="O1379" s="1" t="str">
        <f>VLOOKUP(H1379,'RM Used'!A:E,5,0)</f>
        <v>Count</v>
      </c>
      <c r="P1379" s="11">
        <f>VLOOKUP(H1379,'RM Used'!A:F,6,0)</f>
        <v>0.14000000000000001</v>
      </c>
      <c r="Q1379" s="11">
        <f t="shared" si="408"/>
        <v>0.14000000000000001</v>
      </c>
      <c r="R1379" s="11">
        <f>IFERROR(IF(B1379="Reynolds",VLOOKUP(H1379,'Yield &amp; Time'!A:U,21,0),VLOOKUP(H1379,'Yield &amp; Time'!A:L,12,0)),0)</f>
        <v>0</v>
      </c>
      <c r="S1379" s="11">
        <f t="shared" si="400"/>
        <v>0</v>
      </c>
      <c r="T1379" s="11">
        <f t="shared" si="401"/>
        <v>0</v>
      </c>
      <c r="U1379" s="11">
        <f>IF(A1378=A1379,0,VLOOKUP(A1379,'Packing Time'!A:F,6,0))</f>
        <v>0</v>
      </c>
      <c r="V1379" s="11">
        <f t="shared" si="411"/>
        <v>0</v>
      </c>
      <c r="W1379" s="11">
        <f t="shared" si="412"/>
        <v>0</v>
      </c>
      <c r="X1379" s="11">
        <f t="shared" si="402"/>
        <v>0</v>
      </c>
      <c r="Y1379" s="11">
        <f t="shared" si="413"/>
        <v>0</v>
      </c>
      <c r="Z1379" s="37">
        <v>1</v>
      </c>
      <c r="AA1379" s="36">
        <f t="shared" si="403"/>
        <v>1</v>
      </c>
      <c r="AB1379" s="36">
        <f t="shared" si="404"/>
        <v>0.14000000000000001</v>
      </c>
      <c r="AC1379" s="11">
        <f t="shared" si="405"/>
        <v>0</v>
      </c>
      <c r="AD1379" s="36">
        <f t="shared" si="414"/>
        <v>0</v>
      </c>
      <c r="AE1379" s="36"/>
      <c r="AF1379" s="36">
        <f>IFERROR(VLOOKUP(AE1379,'Chemical Cost'!A:D,4,0),0)</f>
        <v>0</v>
      </c>
      <c r="AG1379" s="114">
        <f t="shared" si="406"/>
        <v>0</v>
      </c>
      <c r="AH1379" s="36">
        <f t="shared" si="410"/>
        <v>0</v>
      </c>
      <c r="AI1379" s="36">
        <f t="shared" si="415"/>
        <v>0.14000000000000001</v>
      </c>
      <c r="AJ1379" s="36">
        <f>IFERROR(VLOOKUP(A1379,'All Products'!A:F,6,0),0)</f>
        <v>295.66000000000003</v>
      </c>
      <c r="AK1379" s="36"/>
      <c r="AL1379" s="23">
        <v>1</v>
      </c>
      <c r="AM1379" s="23"/>
      <c r="AN1379" s="54" t="e">
        <v>#N/A</v>
      </c>
      <c r="AO1379" s="47"/>
      <c r="AP1379" s="4">
        <v>1.6</v>
      </c>
      <c r="AQ1379" s="111">
        <f t="shared" si="407"/>
        <v>0</v>
      </c>
      <c r="AR1379">
        <f>_xlfn.XLOOKUP(F1379,'RM Cost'!A:A,'RM Cost'!S:S)</f>
        <v>0</v>
      </c>
      <c r="AS1379" t="e">
        <f>_xlfn.XLOOKUP(A1379,[3]Sheet1!$B:$B,[3]Sheet1!$B:$B)</f>
        <v>#N/A</v>
      </c>
    </row>
    <row r="1380" spans="1:46" x14ac:dyDescent="0.25">
      <c r="A1380" s="16" t="s">
        <v>1868</v>
      </c>
      <c r="B1380" s="2" t="s">
        <v>552</v>
      </c>
      <c r="C1380" s="1" t="s">
        <v>1767</v>
      </c>
      <c r="D1380" s="2" t="s">
        <v>554</v>
      </c>
      <c r="E1380" s="2">
        <v>5</v>
      </c>
      <c r="F1380" s="1" t="str">
        <f>VLOOKUP(H1380,'RM Used'!A:B,2,0)</f>
        <v>P0016</v>
      </c>
      <c r="G1380" s="1" t="str">
        <f>IFERROR(VLOOKUP(F1380,'RM Cost'!A:B,2,0),"")</f>
        <v>REY 40 30 BOX</v>
      </c>
      <c r="H1380" s="1" t="s">
        <v>1332</v>
      </c>
      <c r="I1380" s="1" t="str">
        <f>VLOOKUP(F1380,'RM Used'!B:D,3,0)</f>
        <v>RM-PACKING</v>
      </c>
      <c r="J1380" s="66">
        <v>1</v>
      </c>
      <c r="K1380" s="35" t="str">
        <f>IF(I1380="RM-FOOD",J1380*E1380,"")</f>
        <v/>
      </c>
      <c r="L1380" s="35">
        <f t="shared" si="399"/>
        <v>0</v>
      </c>
      <c r="M1380" s="77" t="str" cm="1">
        <f t="array" ref="M1380">_xlfn.IFS(BOM!I1380="RM-PACKING","100%",B1380="Reynolds",VLOOKUP(H1380,'Yield &amp; Time'!A:V,22,0),BOM!B1380="Dnata",VLOOKUP(BOM!H1380,'Yield &amp; Time'!A:M,13,0),B1380="NK",VLOOKUP(H1380,'Yield &amp; Time'!A:X,24,0))</f>
        <v>100%</v>
      </c>
      <c r="N1380" s="35">
        <f>IFERROR(IF(I1380="RM-FOOD",(E1380*J1380)/M1380,1),0)</f>
        <v>1</v>
      </c>
      <c r="O1380" s="1" t="str">
        <f>VLOOKUP(H1380,'RM Used'!A:E,5,0)</f>
        <v>Count</v>
      </c>
      <c r="P1380" s="11">
        <f>VLOOKUP(H1380,'RM Used'!A:F,6,0)</f>
        <v>0.28000000000000003</v>
      </c>
      <c r="Q1380" s="11">
        <f t="shared" si="408"/>
        <v>0.28000000000000003</v>
      </c>
      <c r="R1380" s="11">
        <f>IFERROR(IF(B1380="Reynolds",VLOOKUP(H1380,'Yield &amp; Time'!A:U,21,0),VLOOKUP(H1380,'Yield &amp; Time'!A:L,12,0)),0)</f>
        <v>0</v>
      </c>
      <c r="S1380" s="11">
        <f t="shared" si="400"/>
        <v>0</v>
      </c>
      <c r="T1380" s="11">
        <f t="shared" si="401"/>
        <v>0</v>
      </c>
      <c r="U1380" s="11">
        <f>IF(A1379=A1380,0,VLOOKUP(A1380,'Packing Time'!A:F,6,0))</f>
        <v>0</v>
      </c>
      <c r="V1380" s="11">
        <f>U1380*AO$1</f>
        <v>0</v>
      </c>
      <c r="W1380" s="11">
        <f>(U1380*Z1380)/60</f>
        <v>0</v>
      </c>
      <c r="X1380" s="11">
        <f t="shared" si="402"/>
        <v>0</v>
      </c>
      <c r="Y1380" s="11">
        <f>X1380*Z1380</f>
        <v>0</v>
      </c>
      <c r="Z1380" s="37">
        <v>1</v>
      </c>
      <c r="AA1380" s="36">
        <f t="shared" si="403"/>
        <v>1</v>
      </c>
      <c r="AB1380" s="36">
        <f t="shared" si="404"/>
        <v>0.28000000000000003</v>
      </c>
      <c r="AC1380" s="11">
        <f t="shared" si="405"/>
        <v>0</v>
      </c>
      <c r="AD1380" s="36">
        <f>AC1380*60*AO$1</f>
        <v>0</v>
      </c>
      <c r="AE1380" s="36"/>
      <c r="AF1380" s="36">
        <f>IFERROR(VLOOKUP(AE1380,'Chemical Cost'!A:D,4,0),0)</f>
        <v>0</v>
      </c>
      <c r="AG1380" s="114">
        <f t="shared" si="406"/>
        <v>0</v>
      </c>
      <c r="AH1380" s="36">
        <f t="shared" si="410"/>
        <v>0</v>
      </c>
      <c r="AI1380" s="36">
        <f>IFERROR((Q1380*Z1380)+(Z1380*X1380)+AH1380,0)</f>
        <v>0.28000000000000003</v>
      </c>
      <c r="AJ1380" s="36">
        <f>IFERROR(VLOOKUP(A1380,'All Products'!A:F,6,0),0)</f>
        <v>295.66000000000003</v>
      </c>
      <c r="AK1380" s="36"/>
      <c r="AL1380" s="23">
        <v>1</v>
      </c>
      <c r="AM1380" s="23"/>
      <c r="AN1380" s="54" t="e">
        <v>#N/A</v>
      </c>
      <c r="AO1380" s="47"/>
      <c r="AP1380" s="4">
        <v>1.6</v>
      </c>
      <c r="AQ1380" s="111">
        <f t="shared" si="407"/>
        <v>0</v>
      </c>
      <c r="AR1380">
        <f>_xlfn.XLOOKUP(F1380,'RM Cost'!A:A,'RM Cost'!S:S)</f>
        <v>0</v>
      </c>
      <c r="AS1380" t="e">
        <f>_xlfn.XLOOKUP(A1380,[3]Sheet1!$B:$B,[3]Sheet1!$B:$B)</f>
        <v>#N/A</v>
      </c>
    </row>
    <row r="1381" spans="1:46" x14ac:dyDescent="0.25">
      <c r="A1381" s="1" t="s">
        <v>1859</v>
      </c>
      <c r="B1381" s="2" t="s">
        <v>552</v>
      </c>
      <c r="C1381" s="1" t="s">
        <v>1891</v>
      </c>
      <c r="D1381" s="2" t="s">
        <v>554</v>
      </c>
      <c r="E1381" s="2">
        <v>2.5</v>
      </c>
      <c r="F1381" s="1" t="str">
        <f>VLOOKUP(H1381,'RM Used'!A:B,2,0)</f>
        <v>283ACS</v>
      </c>
      <c r="G1381" s="1" t="str">
        <f>IFERROR(VLOOKUP(F1381,'RM Cost'!A:B,2,0),"")</f>
        <v>RM - BUTTERNUT SQUASH BIN X 625KG</v>
      </c>
      <c r="H1381" s="1" t="s">
        <v>1894</v>
      </c>
      <c r="I1381" s="1" t="str">
        <f>VLOOKUP(F1381,'RM Used'!B:D,3,0)</f>
        <v>RM-FOOD</v>
      </c>
      <c r="J1381" s="66">
        <v>1</v>
      </c>
      <c r="K1381" s="35">
        <f t="shared" ref="K1381:K1444" si="416">IF(I1381="RM-FOOD",J1381*E1381,"")</f>
        <v>2.5</v>
      </c>
      <c r="L1381" s="35">
        <f t="shared" si="399"/>
        <v>2.5</v>
      </c>
      <c r="M1381" s="77" cm="1">
        <f t="array" ref="M1381">_xlfn.IFS(BOM!I1381="RM-PACKING","100%",B1381="Reynolds",VLOOKUP(H1381,'Yield &amp; Time'!A:V,22,0),BOM!B1381="Dnata",VLOOKUP(BOM!H1381,'Yield &amp; Time'!A:M,13,0),B1381="NK",VLOOKUP(H1381,'Yield &amp; Time'!A:X,24,0))</f>
        <v>0.72626953182953835</v>
      </c>
      <c r="N1381" s="35">
        <f t="shared" si="409"/>
        <v>3.4422482156208245</v>
      </c>
      <c r="O1381" s="1" t="str">
        <f>VLOOKUP(H1381,'RM Used'!A:E,5,0)</f>
        <v>KG</v>
      </c>
      <c r="P1381" s="11">
        <f>VLOOKUP(H1381,'RM Used'!A:F,6,0)</f>
        <v>0.65</v>
      </c>
      <c r="Q1381" s="11">
        <f t="shared" si="408"/>
        <v>2.2374613401535361</v>
      </c>
      <c r="R1381" s="11">
        <f>IFERROR(IF(B1381="Reynolds",VLOOKUP(H1381,'Yield &amp; Time'!A:U,21,0),VLOOKUP(H1381,'Yield &amp; Time'!A:L,12,0)),0)</f>
        <v>1.7256965581671522</v>
      </c>
      <c r="S1381" s="11">
        <f t="shared" si="400"/>
        <v>1.4603707123489524</v>
      </c>
      <c r="T1381" s="11">
        <f t="shared" si="401"/>
        <v>7.1904023256964683E-2</v>
      </c>
      <c r="U1381" s="11">
        <f>IF(A1380=A1381,0,VLOOKUP(A1381,'Packing Time'!A:F,6,0))</f>
        <v>0.875</v>
      </c>
      <c r="V1381" s="11">
        <f t="shared" si="411"/>
        <v>0.29618749999999999</v>
      </c>
      <c r="W1381" s="11">
        <f t="shared" si="412"/>
        <v>1.4583333333333334E-2</v>
      </c>
      <c r="X1381" s="11">
        <f t="shared" si="402"/>
        <v>2.8104931397583242</v>
      </c>
      <c r="Y1381" s="11">
        <f t="shared" si="413"/>
        <v>2.8104931397583242</v>
      </c>
      <c r="Z1381" s="37">
        <v>1</v>
      </c>
      <c r="AA1381" s="36">
        <f t="shared" si="403"/>
        <v>3.4422482156208245</v>
      </c>
      <c r="AB1381" s="36">
        <f t="shared" si="404"/>
        <v>2.2374613401535361</v>
      </c>
      <c r="AC1381" s="11">
        <f t="shared" si="405"/>
        <v>0.13837977054447681</v>
      </c>
      <c r="AD1381" s="36">
        <f t="shared" si="414"/>
        <v>2.8104931397583237</v>
      </c>
      <c r="AE1381" s="36"/>
      <c r="AF1381" s="36">
        <f>IFERROR(VLOOKUP(AE1381,'Chemical Cost'!A:D,4,0),0)</f>
        <v>0</v>
      </c>
      <c r="AG1381" s="114">
        <f t="shared" si="406"/>
        <v>0</v>
      </c>
      <c r="AH1381" s="36">
        <f t="shared" si="410"/>
        <v>0</v>
      </c>
      <c r="AI1381" s="36">
        <f t="shared" si="415"/>
        <v>5.0479544799118603</v>
      </c>
      <c r="AJ1381" s="36">
        <f>IFERROR(VLOOKUP(A1381,'All Products'!A:F,6,0),0)</f>
        <v>7.79</v>
      </c>
      <c r="AK1381" s="36">
        <f>AJ1381*Z1381*J1381</f>
        <v>7.79</v>
      </c>
      <c r="AL1381" s="23">
        <v>1</v>
      </c>
      <c r="AM1381" s="23"/>
      <c r="AN1381" s="54" t="e">
        <v>#N/A</v>
      </c>
      <c r="AO1381" s="47"/>
      <c r="AP1381" s="4">
        <v>1.6</v>
      </c>
      <c r="AQ1381" s="111">
        <f t="shared" si="407"/>
        <v>0.13837977054447681</v>
      </c>
      <c r="AR1381">
        <f>_xlfn.XLOOKUP(F1381,'RM Cost'!A:A,'RM Cost'!S:S)</f>
        <v>0</v>
      </c>
      <c r="AS1381" t="e">
        <f>_xlfn.XLOOKUP(A1381,[3]Sheet1!$B:$B,[3]Sheet1!$B:$B)</f>
        <v>#N/A</v>
      </c>
    </row>
    <row r="1382" spans="1:46" x14ac:dyDescent="0.25">
      <c r="A1382" s="1" t="s">
        <v>1859</v>
      </c>
      <c r="B1382" s="2" t="s">
        <v>552</v>
      </c>
      <c r="C1382" s="1" t="s">
        <v>1891</v>
      </c>
      <c r="D1382" s="2" t="s">
        <v>554</v>
      </c>
      <c r="E1382" s="2">
        <v>2.5</v>
      </c>
      <c r="F1382" s="1" t="str">
        <f>VLOOKUP(H1382,'RM Used'!A:B,2,0)</f>
        <v>P0008</v>
      </c>
      <c r="G1382" s="1" t="str">
        <f>IFERROR(VLOOKUP(F1382,'RM Cost'!A:B,2,0),"")</f>
        <v>PALE BLUE BAG 470X750MM</v>
      </c>
      <c r="H1382" s="1" t="s">
        <v>1323</v>
      </c>
      <c r="I1382" s="1" t="str">
        <f>VLOOKUP(F1382,'RM Used'!B:D,3,0)</f>
        <v>RM-PACKING</v>
      </c>
      <c r="J1382" s="66">
        <v>1</v>
      </c>
      <c r="K1382" s="35" t="str">
        <f t="shared" si="416"/>
        <v/>
      </c>
      <c r="L1382" s="35">
        <f t="shared" si="399"/>
        <v>0</v>
      </c>
      <c r="M1382" s="77" t="str" cm="1">
        <f t="array" ref="M1382">_xlfn.IFS(BOM!I1382="RM-PACKING","100%",B1382="Reynolds",VLOOKUP(H1382,'Yield &amp; Time'!A:V,22,0),BOM!B1382="Dnata",VLOOKUP(BOM!H1382,'Yield &amp; Time'!A:M,13,0),B1382="NK",VLOOKUP(H1382,'Yield &amp; Time'!A:X,24,0))</f>
        <v>100%</v>
      </c>
      <c r="N1382" s="35">
        <f t="shared" si="409"/>
        <v>1</v>
      </c>
      <c r="O1382" s="1" t="str">
        <f>VLOOKUP(H1382,'RM Used'!A:E,5,0)</f>
        <v>Count</v>
      </c>
      <c r="P1382" s="11">
        <f>VLOOKUP(H1382,'RM Used'!A:F,6,0)</f>
        <v>0.14000000000000001</v>
      </c>
      <c r="Q1382" s="11">
        <f t="shared" si="408"/>
        <v>0.14000000000000001</v>
      </c>
      <c r="R1382" s="11">
        <f>IFERROR(IF(B1382="Reynolds",VLOOKUP(H1382,'Yield &amp; Time'!A:U,21,0),VLOOKUP(H1382,'Yield &amp; Time'!A:L,12,0)),0)</f>
        <v>0</v>
      </c>
      <c r="S1382" s="11">
        <f t="shared" si="400"/>
        <v>0</v>
      </c>
      <c r="T1382" s="11">
        <f t="shared" si="401"/>
        <v>0</v>
      </c>
      <c r="U1382" s="11">
        <f>IF(A1381=A1382,0,VLOOKUP(A1382,'Packing Time'!A:F,6,0))</f>
        <v>0</v>
      </c>
      <c r="V1382" s="11">
        <f t="shared" si="411"/>
        <v>0</v>
      </c>
      <c r="W1382" s="11">
        <f t="shared" si="412"/>
        <v>0</v>
      </c>
      <c r="X1382" s="11">
        <f t="shared" si="402"/>
        <v>0</v>
      </c>
      <c r="Y1382" s="11">
        <f t="shared" si="413"/>
        <v>0</v>
      </c>
      <c r="Z1382" s="37">
        <v>1</v>
      </c>
      <c r="AA1382" s="36">
        <f t="shared" si="403"/>
        <v>1</v>
      </c>
      <c r="AB1382" s="36">
        <f t="shared" si="404"/>
        <v>0.14000000000000001</v>
      </c>
      <c r="AC1382" s="11">
        <f t="shared" si="405"/>
        <v>0</v>
      </c>
      <c r="AD1382" s="36">
        <f t="shared" si="414"/>
        <v>0</v>
      </c>
      <c r="AE1382" s="36"/>
      <c r="AF1382" s="36">
        <f>IFERROR(VLOOKUP(AE1382,'Chemical Cost'!A:D,4,0),0)</f>
        <v>0</v>
      </c>
      <c r="AG1382" s="114">
        <f t="shared" si="406"/>
        <v>0</v>
      </c>
      <c r="AH1382" s="36">
        <f t="shared" si="410"/>
        <v>0</v>
      </c>
      <c r="AI1382" s="36">
        <f t="shared" si="415"/>
        <v>0.14000000000000001</v>
      </c>
      <c r="AJ1382" s="36">
        <f>IFERROR(VLOOKUP(A1382,'All Products'!A:F,6,0),0)</f>
        <v>7.79</v>
      </c>
      <c r="AK1382" s="36"/>
      <c r="AL1382" s="23">
        <v>1</v>
      </c>
      <c r="AM1382" s="23"/>
      <c r="AN1382" s="54" t="e">
        <v>#N/A</v>
      </c>
      <c r="AO1382" s="47"/>
      <c r="AP1382" s="4">
        <v>1.6</v>
      </c>
      <c r="AQ1382" s="111">
        <f t="shared" si="407"/>
        <v>0</v>
      </c>
      <c r="AR1382">
        <f>_xlfn.XLOOKUP(F1382,'RM Cost'!A:A,'RM Cost'!S:S)</f>
        <v>0</v>
      </c>
      <c r="AS1382" t="e">
        <f>_xlfn.XLOOKUP(A1382,[3]Sheet1!$B:$B,[3]Sheet1!$B:$B)</f>
        <v>#N/A</v>
      </c>
    </row>
    <row r="1383" spans="1:46" x14ac:dyDescent="0.25">
      <c r="A1383" s="1" t="s">
        <v>1859</v>
      </c>
      <c r="B1383" s="2" t="s">
        <v>552</v>
      </c>
      <c r="C1383" s="1" t="s">
        <v>1891</v>
      </c>
      <c r="D1383" s="2" t="s">
        <v>554</v>
      </c>
      <c r="E1383" s="2">
        <v>2.5</v>
      </c>
      <c r="F1383" s="1" t="str">
        <f>VLOOKUP(H1383,'RM Used'!A:B,2,0)</f>
        <v>P0016</v>
      </c>
      <c r="G1383" s="1" t="str">
        <f>IFERROR(VLOOKUP(F1383,'RM Cost'!A:B,2,0),"")</f>
        <v>REY 40 30 BOX</v>
      </c>
      <c r="H1383" s="1" t="s">
        <v>1332</v>
      </c>
      <c r="I1383" s="1" t="str">
        <f>VLOOKUP(F1383,'RM Used'!B:D,3,0)</f>
        <v>RM-PACKING</v>
      </c>
      <c r="J1383" s="66">
        <v>1</v>
      </c>
      <c r="K1383" s="35" t="str">
        <f>IF(I1383="RM-FOOD",J1383*E1383,"")</f>
        <v/>
      </c>
      <c r="L1383" s="35">
        <f t="shared" si="399"/>
        <v>0</v>
      </c>
      <c r="M1383" s="77" t="str" cm="1">
        <f t="array" ref="M1383">_xlfn.IFS(BOM!I1383="RM-PACKING","100%",B1383="Reynolds",VLOOKUP(H1383,'Yield &amp; Time'!A:V,22,0),BOM!B1383="Dnata",VLOOKUP(BOM!H1383,'Yield &amp; Time'!A:M,13,0),B1383="NK",VLOOKUP(H1383,'Yield &amp; Time'!A:X,24,0))</f>
        <v>100%</v>
      </c>
      <c r="N1383" s="35">
        <f>IFERROR(IF(I1383="RM-FOOD",(E1383*J1383)/M1383,1),0)</f>
        <v>1</v>
      </c>
      <c r="O1383" s="1" t="str">
        <f>VLOOKUP(H1383,'RM Used'!A:E,5,0)</f>
        <v>Count</v>
      </c>
      <c r="P1383" s="11">
        <f>VLOOKUP(H1383,'RM Used'!A:F,6,0)</f>
        <v>0.28000000000000003</v>
      </c>
      <c r="Q1383" s="11">
        <f t="shared" si="408"/>
        <v>0.28000000000000003</v>
      </c>
      <c r="R1383" s="11">
        <f>IFERROR(IF(B1383="Reynolds",VLOOKUP(H1383,'Yield &amp; Time'!A:U,21,0),VLOOKUP(H1383,'Yield &amp; Time'!A:L,12,0)),0)</f>
        <v>0</v>
      </c>
      <c r="S1383" s="11">
        <f t="shared" si="400"/>
        <v>0</v>
      </c>
      <c r="T1383" s="11">
        <f t="shared" si="401"/>
        <v>0</v>
      </c>
      <c r="U1383" s="11">
        <f>IF(A1382=A1383,0,VLOOKUP(A1383,'Packing Time'!A:F,6,0))</f>
        <v>0</v>
      </c>
      <c r="V1383" s="11">
        <f>U1383*AO$1</f>
        <v>0</v>
      </c>
      <c r="W1383" s="11">
        <f>(U1383*Z1383)/60</f>
        <v>0</v>
      </c>
      <c r="X1383" s="11">
        <f t="shared" si="402"/>
        <v>0</v>
      </c>
      <c r="Y1383" s="11">
        <f>X1383*Z1383</f>
        <v>0</v>
      </c>
      <c r="Z1383" s="37">
        <v>1</v>
      </c>
      <c r="AA1383" s="36">
        <f t="shared" si="403"/>
        <v>1</v>
      </c>
      <c r="AB1383" s="36">
        <f t="shared" si="404"/>
        <v>0.28000000000000003</v>
      </c>
      <c r="AC1383" s="11">
        <f t="shared" si="405"/>
        <v>0</v>
      </c>
      <c r="AD1383" s="36">
        <f>AC1383*60*AO$1</f>
        <v>0</v>
      </c>
      <c r="AE1383" s="36"/>
      <c r="AF1383" s="36">
        <f>IFERROR(VLOOKUP(AE1383,'Chemical Cost'!A:D,4,0),0)</f>
        <v>0</v>
      </c>
      <c r="AG1383" s="114">
        <f t="shared" si="406"/>
        <v>0</v>
      </c>
      <c r="AH1383" s="36">
        <f t="shared" si="410"/>
        <v>0</v>
      </c>
      <c r="AI1383" s="36">
        <f>IFERROR((Q1383*Z1383)+(Z1383*X1383)+AH1383,0)</f>
        <v>0.28000000000000003</v>
      </c>
      <c r="AJ1383" s="36">
        <f>IFERROR(VLOOKUP(A1383,'All Products'!A:F,6,0),0)</f>
        <v>7.79</v>
      </c>
      <c r="AK1383" s="36"/>
      <c r="AL1383" s="23">
        <v>1</v>
      </c>
      <c r="AM1383" s="23"/>
      <c r="AN1383" s="54" t="e">
        <v>#N/A</v>
      </c>
      <c r="AO1383" s="47"/>
      <c r="AP1383" s="4">
        <v>1.6</v>
      </c>
      <c r="AQ1383" s="111">
        <f t="shared" si="407"/>
        <v>0</v>
      </c>
      <c r="AR1383">
        <f>_xlfn.XLOOKUP(F1383,'RM Cost'!A:A,'RM Cost'!S:S)</f>
        <v>0</v>
      </c>
      <c r="AS1383" t="e">
        <f>_xlfn.XLOOKUP(A1383,[3]Sheet1!$B:$B,[3]Sheet1!$B:$B)</f>
        <v>#N/A</v>
      </c>
    </row>
    <row r="1384" spans="1:46" x14ac:dyDescent="0.25">
      <c r="A1384" s="1" t="s">
        <v>1860</v>
      </c>
      <c r="B1384" s="2" t="s">
        <v>552</v>
      </c>
      <c r="C1384" s="1" t="s">
        <v>1892</v>
      </c>
      <c r="D1384" s="2" t="s">
        <v>554</v>
      </c>
      <c r="E1384" s="2">
        <v>2.5</v>
      </c>
      <c r="F1384" s="1" t="str">
        <f>VLOOKUP(H1384,'RM Used'!A:B,2,0)</f>
        <v>206ACS</v>
      </c>
      <c r="G1384" s="1" t="str">
        <f>IFERROR(VLOOKUP(F1384,'RM Cost'!A:B,2,0),"")</f>
        <v>RM - PREP ONION WHOLE 10KG</v>
      </c>
      <c r="H1384" s="1" t="s">
        <v>1406</v>
      </c>
      <c r="I1384" s="1" t="str">
        <f>VLOOKUP(F1384,'RM Used'!B:D,3,0)</f>
        <v>RM-FOOD</v>
      </c>
      <c r="J1384" s="66">
        <v>1</v>
      </c>
      <c r="K1384" s="35">
        <f t="shared" si="416"/>
        <v>2.5</v>
      </c>
      <c r="L1384" s="35">
        <f t="shared" si="399"/>
        <v>2.5</v>
      </c>
      <c r="M1384" s="77" cm="1">
        <f t="array" ref="M1384">_xlfn.IFS(BOM!I1384="RM-PACKING","100%",B1384="Reynolds",VLOOKUP(H1384,'Yield &amp; Time'!A:V,22,0),BOM!B1384="Dnata",VLOOKUP(BOM!H1384,'Yield &amp; Time'!A:M,13,0),B1384="NK",VLOOKUP(H1384,'Yield &amp; Time'!A:X,24,0))</f>
        <v>0.90806063628959444</v>
      </c>
      <c r="N1384" s="35">
        <f t="shared" si="409"/>
        <v>2.7531201112463064</v>
      </c>
      <c r="O1384" s="1" t="str">
        <f>VLOOKUP(H1384,'RM Used'!A:E,5,0)</f>
        <v>KG</v>
      </c>
      <c r="P1384" s="11">
        <f>VLOOKUP(H1384,'RM Used'!A:F,6,0)</f>
        <v>0.87</v>
      </c>
      <c r="Q1384" s="11">
        <f t="shared" si="408"/>
        <v>2.3952144967842868</v>
      </c>
      <c r="R1384" s="11">
        <f>IFERROR(IF(B1384="Reynolds",VLOOKUP(H1384,'Yield &amp; Time'!A:U,21,0),VLOOKUP(H1384,'Yield &amp; Time'!A:L,12,0)),0)</f>
        <v>1.3</v>
      </c>
      <c r="S1384" s="11">
        <f t="shared" si="400"/>
        <v>1.1001249999999998</v>
      </c>
      <c r="T1384" s="11">
        <f t="shared" si="401"/>
        <v>5.4166666666666669E-2</v>
      </c>
      <c r="U1384" s="11">
        <f>IF(A1383=A1384,0,VLOOKUP(A1384,'Packing Time'!A:F,6,0))</f>
        <v>0.875</v>
      </c>
      <c r="V1384" s="11">
        <f t="shared" si="411"/>
        <v>0.29618749999999999</v>
      </c>
      <c r="W1384" s="11">
        <f t="shared" si="412"/>
        <v>1.4583333333333334E-2</v>
      </c>
      <c r="X1384" s="11">
        <f t="shared" si="402"/>
        <v>2.2340999999999998</v>
      </c>
      <c r="Y1384" s="11">
        <f t="shared" si="413"/>
        <v>2.2340999999999998</v>
      </c>
      <c r="Z1384" s="37">
        <v>1</v>
      </c>
      <c r="AA1384" s="36">
        <f t="shared" si="403"/>
        <v>2.7531201112463064</v>
      </c>
      <c r="AB1384" s="36">
        <f t="shared" si="404"/>
        <v>2.3952144967842868</v>
      </c>
      <c r="AC1384" s="11">
        <f t="shared" si="405"/>
        <v>0.11000000000000001</v>
      </c>
      <c r="AD1384" s="36">
        <f t="shared" si="414"/>
        <v>2.2340999999999998</v>
      </c>
      <c r="AE1384" s="36" t="str">
        <f>VLOOKUP(H1384,'Yield &amp; Time'!A:I,9,0)</f>
        <v>CHLORINE</v>
      </c>
      <c r="AF1384" s="36">
        <f>IFERROR(VLOOKUP(AE1384,'Chemical Cost'!A:D,4,0),0)</f>
        <v>2.7756518066439469E-2</v>
      </c>
      <c r="AG1384" s="114">
        <f t="shared" si="406"/>
        <v>2.5472342702295314E-2</v>
      </c>
      <c r="AH1384" s="36">
        <f t="shared" si="410"/>
        <v>2.5472342702295314E-2</v>
      </c>
      <c r="AI1384" s="36">
        <f t="shared" si="415"/>
        <v>4.6547868394865821</v>
      </c>
      <c r="AJ1384" s="36">
        <f>IFERROR(VLOOKUP(A1384,'All Products'!A:F,6,0),0)</f>
        <v>4.49</v>
      </c>
      <c r="AK1384" s="36">
        <f>AJ1384*Z1384*J1384</f>
        <v>4.49</v>
      </c>
      <c r="AL1384" s="23">
        <v>1</v>
      </c>
      <c r="AM1384" s="23"/>
      <c r="AN1384" s="54" t="e">
        <v>#N/A</v>
      </c>
      <c r="AO1384" s="47"/>
      <c r="AP1384" s="4">
        <v>1.6</v>
      </c>
      <c r="AQ1384" s="111">
        <f t="shared" si="407"/>
        <v>0.11000000000000001</v>
      </c>
      <c r="AR1384">
        <f>_xlfn.XLOOKUP(F1384,'RM Cost'!A:A,'RM Cost'!S:S)</f>
        <v>0</v>
      </c>
      <c r="AS1384" t="str">
        <f>_xlfn.XLOOKUP(A1384,[3]Sheet1!$B:$B,[3]Sheet1!$B:$B)</f>
        <v>094BCS</v>
      </c>
      <c r="AT1384" t="str">
        <f>_xlfn.XLOOKUP(H1384,'Yield &amp; Time'!A:A,'Yield &amp; Time'!O:O)</f>
        <v>Yes</v>
      </c>
    </row>
    <row r="1385" spans="1:46" x14ac:dyDescent="0.25">
      <c r="A1385" s="1" t="s">
        <v>1860</v>
      </c>
      <c r="B1385" s="2" t="s">
        <v>552</v>
      </c>
      <c r="C1385" s="1" t="s">
        <v>1892</v>
      </c>
      <c r="D1385" s="2" t="s">
        <v>554</v>
      </c>
      <c r="E1385" s="2">
        <v>2.5</v>
      </c>
      <c r="F1385" s="1" t="str">
        <f>VLOOKUP(H1385,'RM Used'!A:B,2,0)</f>
        <v>P0008</v>
      </c>
      <c r="G1385" s="1" t="str">
        <f>IFERROR(VLOOKUP(F1385,'RM Cost'!A:B,2,0),"")</f>
        <v>PALE BLUE BAG 470X750MM</v>
      </c>
      <c r="H1385" s="1" t="s">
        <v>1323</v>
      </c>
      <c r="I1385" s="1" t="str">
        <f>VLOOKUP(F1385,'RM Used'!B:D,3,0)</f>
        <v>RM-PACKING</v>
      </c>
      <c r="J1385" s="66">
        <v>1</v>
      </c>
      <c r="K1385" s="35" t="str">
        <f t="shared" si="416"/>
        <v/>
      </c>
      <c r="L1385" s="35">
        <f t="shared" si="399"/>
        <v>0</v>
      </c>
      <c r="M1385" s="77" t="str" cm="1">
        <f t="array" ref="M1385">_xlfn.IFS(BOM!I1385="RM-PACKING","100%",B1385="Reynolds",VLOOKUP(H1385,'Yield &amp; Time'!A:V,22,0),BOM!B1385="Dnata",VLOOKUP(BOM!H1385,'Yield &amp; Time'!A:M,13,0),B1385="NK",VLOOKUP(H1385,'Yield &amp; Time'!A:X,24,0))</f>
        <v>100%</v>
      </c>
      <c r="N1385" s="35">
        <f t="shared" si="409"/>
        <v>1</v>
      </c>
      <c r="O1385" s="1" t="str">
        <f>VLOOKUP(H1385,'RM Used'!A:E,5,0)</f>
        <v>Count</v>
      </c>
      <c r="P1385" s="11">
        <f>VLOOKUP(H1385,'RM Used'!A:F,6,0)</f>
        <v>0.14000000000000001</v>
      </c>
      <c r="Q1385" s="11">
        <f t="shared" si="408"/>
        <v>0.14000000000000001</v>
      </c>
      <c r="R1385" s="11">
        <f>IFERROR(IF(B1385="Reynolds",VLOOKUP(H1385,'Yield &amp; Time'!A:U,21,0),VLOOKUP(H1385,'Yield &amp; Time'!A:L,12,0)),0)</f>
        <v>0</v>
      </c>
      <c r="S1385" s="11">
        <f t="shared" si="400"/>
        <v>0</v>
      </c>
      <c r="T1385" s="11">
        <f t="shared" si="401"/>
        <v>0</v>
      </c>
      <c r="U1385" s="11">
        <f>IF(A1384=A1385,0,VLOOKUP(A1385,'Packing Time'!A:F,6,0))</f>
        <v>0</v>
      </c>
      <c r="V1385" s="11">
        <f t="shared" si="411"/>
        <v>0</v>
      </c>
      <c r="W1385" s="11">
        <f t="shared" si="412"/>
        <v>0</v>
      </c>
      <c r="X1385" s="11">
        <f t="shared" si="402"/>
        <v>0</v>
      </c>
      <c r="Y1385" s="11">
        <f t="shared" si="413"/>
        <v>0</v>
      </c>
      <c r="Z1385" s="37">
        <v>1</v>
      </c>
      <c r="AA1385" s="36">
        <f t="shared" si="403"/>
        <v>1</v>
      </c>
      <c r="AB1385" s="36">
        <f t="shared" si="404"/>
        <v>0.14000000000000001</v>
      </c>
      <c r="AC1385" s="11">
        <f t="shared" si="405"/>
        <v>0</v>
      </c>
      <c r="AD1385" s="36">
        <f t="shared" si="414"/>
        <v>0</v>
      </c>
      <c r="AE1385" s="36"/>
      <c r="AF1385" s="36">
        <f>IFERROR(VLOOKUP(AE1385,'Chemical Cost'!A:D,4,0),0)</f>
        <v>0</v>
      </c>
      <c r="AG1385" s="114">
        <f t="shared" si="406"/>
        <v>0</v>
      </c>
      <c r="AH1385" s="36">
        <f t="shared" si="410"/>
        <v>0</v>
      </c>
      <c r="AI1385" s="36">
        <f t="shared" si="415"/>
        <v>0.14000000000000001</v>
      </c>
      <c r="AJ1385" s="36">
        <f>IFERROR(VLOOKUP(A1385,'All Products'!A:F,6,0),0)</f>
        <v>4.49</v>
      </c>
      <c r="AK1385" s="1"/>
      <c r="AL1385" s="23">
        <v>1</v>
      </c>
      <c r="AM1385" s="23"/>
      <c r="AN1385" s="54" t="e">
        <v>#N/A</v>
      </c>
      <c r="AO1385" s="47"/>
      <c r="AP1385" s="4">
        <v>1.6</v>
      </c>
      <c r="AQ1385" s="111">
        <f t="shared" si="407"/>
        <v>0</v>
      </c>
      <c r="AR1385">
        <f>_xlfn.XLOOKUP(F1385,'RM Cost'!A:A,'RM Cost'!S:S)</f>
        <v>0</v>
      </c>
      <c r="AS1385" t="str">
        <f>_xlfn.XLOOKUP(A1385,[3]Sheet1!$B:$B,[3]Sheet1!$B:$B)</f>
        <v>094BCS</v>
      </c>
      <c r="AT1385" t="e">
        <f>_xlfn.XLOOKUP(H1385,'Yield &amp; Time'!A:A,'Yield &amp; Time'!F:F)</f>
        <v>#N/A</v>
      </c>
    </row>
    <row r="1386" spans="1:46" x14ac:dyDescent="0.25">
      <c r="A1386" s="1" t="s">
        <v>1860</v>
      </c>
      <c r="B1386" s="2" t="s">
        <v>552</v>
      </c>
      <c r="C1386" s="1" t="s">
        <v>1892</v>
      </c>
      <c r="D1386" s="2" t="s">
        <v>554</v>
      </c>
      <c r="E1386" s="2">
        <v>2.5</v>
      </c>
      <c r="F1386" s="1" t="str">
        <f>VLOOKUP(H1386,'RM Used'!A:B,2,0)</f>
        <v>P0016</v>
      </c>
      <c r="G1386" s="1" t="str">
        <f>IFERROR(VLOOKUP(F1386,'RM Cost'!A:B,2,0),"")</f>
        <v>REY 40 30 BOX</v>
      </c>
      <c r="H1386" s="1" t="s">
        <v>1332</v>
      </c>
      <c r="I1386" s="1" t="str">
        <f>VLOOKUP(F1386,'RM Used'!B:D,3,0)</f>
        <v>RM-PACKING</v>
      </c>
      <c r="J1386" s="66">
        <v>1</v>
      </c>
      <c r="K1386" s="35" t="str">
        <f>IF(I1386="RM-FOOD",J1386*E1386,"")</f>
        <v/>
      </c>
      <c r="L1386" s="35">
        <f t="shared" si="399"/>
        <v>0</v>
      </c>
      <c r="M1386" s="77" t="str" cm="1">
        <f t="array" ref="M1386">_xlfn.IFS(BOM!I1386="RM-PACKING","100%",B1386="Reynolds",VLOOKUP(H1386,'Yield &amp; Time'!A:V,22,0),BOM!B1386="Dnata",VLOOKUP(BOM!H1386,'Yield &amp; Time'!A:M,13,0),B1386="NK",VLOOKUP(H1386,'Yield &amp; Time'!A:X,24,0))</f>
        <v>100%</v>
      </c>
      <c r="N1386" s="35">
        <f>IFERROR(IF(I1386="RM-FOOD",(E1386*J1386)/M1386,1),0)</f>
        <v>1</v>
      </c>
      <c r="O1386" s="1" t="str">
        <f>VLOOKUP(H1386,'RM Used'!A:E,5,0)</f>
        <v>Count</v>
      </c>
      <c r="P1386" s="11">
        <f>VLOOKUP(H1386,'RM Used'!A:F,6,0)</f>
        <v>0.28000000000000003</v>
      </c>
      <c r="Q1386" s="11">
        <f t="shared" si="408"/>
        <v>0.28000000000000003</v>
      </c>
      <c r="R1386" s="11">
        <f>IFERROR(IF(B1386="Reynolds",VLOOKUP(H1386,'Yield &amp; Time'!A:U,21,0),VLOOKUP(H1386,'Yield &amp; Time'!A:L,12,0)),0)</f>
        <v>0</v>
      </c>
      <c r="S1386" s="11">
        <f t="shared" si="400"/>
        <v>0</v>
      </c>
      <c r="T1386" s="11">
        <f t="shared" si="401"/>
        <v>0</v>
      </c>
      <c r="U1386" s="11">
        <f>IF(A1385=A1386,0,VLOOKUP(A1386,'Packing Time'!A:F,6,0))</f>
        <v>0</v>
      </c>
      <c r="V1386" s="11">
        <f>U1386*AO$1</f>
        <v>0</v>
      </c>
      <c r="W1386" s="11">
        <f>(U1386*Z1386)/60</f>
        <v>0</v>
      </c>
      <c r="X1386" s="11">
        <f t="shared" si="402"/>
        <v>0</v>
      </c>
      <c r="Y1386" s="11">
        <f>X1386*Z1386</f>
        <v>0</v>
      </c>
      <c r="Z1386" s="37">
        <v>1</v>
      </c>
      <c r="AA1386" s="36">
        <f t="shared" si="403"/>
        <v>1</v>
      </c>
      <c r="AB1386" s="36">
        <f t="shared" si="404"/>
        <v>0.28000000000000003</v>
      </c>
      <c r="AC1386" s="11">
        <f t="shared" si="405"/>
        <v>0</v>
      </c>
      <c r="AD1386" s="36">
        <f>AC1386*60*AO$1</f>
        <v>0</v>
      </c>
      <c r="AE1386" s="36"/>
      <c r="AF1386" s="36">
        <f>IFERROR(VLOOKUP(AE1386,'Chemical Cost'!A:D,4,0),0)</f>
        <v>0</v>
      </c>
      <c r="AG1386" s="114">
        <f t="shared" si="406"/>
        <v>0</v>
      </c>
      <c r="AH1386" s="36">
        <f t="shared" si="410"/>
        <v>0</v>
      </c>
      <c r="AI1386" s="36">
        <f>IFERROR((Q1386*Z1386)+(Z1386*X1386)+AH1386,0)</f>
        <v>0.28000000000000003</v>
      </c>
      <c r="AJ1386" s="36">
        <f>IFERROR(VLOOKUP(A1386,'All Products'!A:F,6,0),0)</f>
        <v>4.49</v>
      </c>
      <c r="AK1386" s="1"/>
      <c r="AL1386" s="23">
        <v>1</v>
      </c>
      <c r="AM1386" s="23"/>
      <c r="AN1386" s="54" t="e">
        <v>#N/A</v>
      </c>
      <c r="AO1386" s="47"/>
      <c r="AP1386" s="4">
        <v>1.6</v>
      </c>
      <c r="AQ1386" s="111">
        <f t="shared" si="407"/>
        <v>0</v>
      </c>
      <c r="AR1386">
        <f>_xlfn.XLOOKUP(F1386,'RM Cost'!A:A,'RM Cost'!S:S)</f>
        <v>0</v>
      </c>
      <c r="AS1386" t="str">
        <f>_xlfn.XLOOKUP(A1386,[3]Sheet1!$B:$B,[3]Sheet1!$B:$B)</f>
        <v>094BCS</v>
      </c>
      <c r="AT1386" t="e">
        <f>_xlfn.XLOOKUP(H1386,'Yield &amp; Time'!A:A,'Yield &amp; Time'!F:F)</f>
        <v>#N/A</v>
      </c>
    </row>
    <row r="1387" spans="1:46" x14ac:dyDescent="0.25">
      <c r="A1387" s="1" t="s">
        <v>1855</v>
      </c>
      <c r="B1387" s="2" t="s">
        <v>552</v>
      </c>
      <c r="C1387" s="1" t="s">
        <v>1893</v>
      </c>
      <c r="D1387" s="2" t="s">
        <v>554</v>
      </c>
      <c r="E1387" s="2">
        <v>2.5</v>
      </c>
      <c r="F1387" s="1" t="str">
        <f>VLOOKUP(H1387,'RM Used'!A:B,2,0)</f>
        <v>3020CS</v>
      </c>
      <c r="G1387" s="1" t="str">
        <f>IFERROR(VLOOKUP(F1387,'RM Cost'!A:B,2,0),"")</f>
        <v>RM - CELERIAC 10KG</v>
      </c>
      <c r="H1387" s="1" t="s">
        <v>1501</v>
      </c>
      <c r="I1387" s="1" t="str">
        <f>VLOOKUP(F1387,'RM Used'!B:D,3,0)</f>
        <v>RM-FOOD</v>
      </c>
      <c r="J1387" s="66">
        <v>1</v>
      </c>
      <c r="K1387" s="35">
        <f t="shared" si="416"/>
        <v>2.5</v>
      </c>
      <c r="L1387" s="35">
        <f t="shared" si="399"/>
        <v>2.5</v>
      </c>
      <c r="M1387" s="77" cm="1">
        <f t="array" ref="M1387">_xlfn.IFS(BOM!I1387="RM-PACKING","100%",B1387="Reynolds",VLOOKUP(H1387,'Yield &amp; Time'!A:V,22,0),BOM!B1387="Dnata",VLOOKUP(BOM!H1387,'Yield &amp; Time'!A:M,13,0),B1387="NK",VLOOKUP(H1387,'Yield &amp; Time'!A:X,24,0))</f>
        <v>0.51557890855457233</v>
      </c>
      <c r="N1387" s="35">
        <f t="shared" si="409"/>
        <v>4.848918290720543</v>
      </c>
      <c r="O1387" s="1" t="str">
        <f>VLOOKUP(H1387,'RM Used'!A:E,5,0)</f>
        <v>KG</v>
      </c>
      <c r="P1387" s="11">
        <f>VLOOKUP(H1387,'RM Used'!A:F,6,0)</f>
        <v>0.55000000000000004</v>
      </c>
      <c r="Q1387" s="11">
        <f t="shared" si="408"/>
        <v>2.6669050598962989</v>
      </c>
      <c r="R1387" s="11">
        <f>IFERROR(IF(B1387="Reynolds",VLOOKUP(H1387,'Yield &amp; Time'!A:U,21,0),VLOOKUP(H1387,'Yield &amp; Time'!A:L,12,0)),0)</f>
        <v>1.8072829131652661</v>
      </c>
      <c r="S1387" s="11">
        <f t="shared" si="400"/>
        <v>1.5294131652661063</v>
      </c>
      <c r="T1387" s="11">
        <f t="shared" si="401"/>
        <v>7.5303454715219417E-2</v>
      </c>
      <c r="U1387" s="11">
        <f>IF(A1386=A1387,0,VLOOKUP(A1387,'Packing Time'!A:F,6,0))</f>
        <v>0.875</v>
      </c>
      <c r="V1387" s="11">
        <f t="shared" si="411"/>
        <v>0.29618749999999999</v>
      </c>
      <c r="W1387" s="11">
        <f t="shared" si="412"/>
        <v>1.4583333333333334E-2</v>
      </c>
      <c r="X1387" s="11">
        <f t="shared" si="402"/>
        <v>2.9209610644257702</v>
      </c>
      <c r="Y1387" s="11">
        <f t="shared" si="413"/>
        <v>2.9209610644257702</v>
      </c>
      <c r="Z1387" s="37">
        <v>1</v>
      </c>
      <c r="AA1387" s="36">
        <f t="shared" si="403"/>
        <v>4.848918290720543</v>
      </c>
      <c r="AB1387" s="36">
        <f t="shared" si="404"/>
        <v>2.6669050598962989</v>
      </c>
      <c r="AC1387" s="11">
        <f t="shared" si="405"/>
        <v>0.14381886087768442</v>
      </c>
      <c r="AD1387" s="36">
        <f t="shared" si="414"/>
        <v>2.9209610644257706</v>
      </c>
      <c r="AE1387" s="36" t="str">
        <f>VLOOKUP(H1387,'Yield &amp; Time'!A:I,9,0)</f>
        <v>PS10 &amp; CHLORINE</v>
      </c>
      <c r="AF1387" s="36">
        <f>IFERROR(VLOOKUP(AE1387,'Chemical Cost'!A:D,4,0),0)</f>
        <v>0.51079223287545206</v>
      </c>
      <c r="AG1387" s="114">
        <f t="shared" si="406"/>
        <v>0.82559660024925552</v>
      </c>
      <c r="AH1387" s="36">
        <f t="shared" si="410"/>
        <v>0.82559660024925552</v>
      </c>
      <c r="AI1387" s="36">
        <f t="shared" si="415"/>
        <v>6.4134627245713247</v>
      </c>
      <c r="AJ1387" s="36">
        <f>IFERROR(VLOOKUP(A1387,'All Products'!A:F,6,0),0)</f>
        <v>10.38</v>
      </c>
      <c r="AK1387" s="36">
        <f>AJ1387*Z1387*J1387</f>
        <v>10.38</v>
      </c>
      <c r="AL1387" s="23">
        <v>1</v>
      </c>
      <c r="AM1387" s="23"/>
      <c r="AN1387" s="54" t="e">
        <v>#N/A</v>
      </c>
      <c r="AO1387" s="47"/>
      <c r="AP1387" s="4">
        <v>1.6</v>
      </c>
      <c r="AQ1387" s="111">
        <f t="shared" si="407"/>
        <v>0.14381886087768442</v>
      </c>
      <c r="AR1387">
        <f>_xlfn.XLOOKUP(F1387,'RM Cost'!A:A,'RM Cost'!S:S)</f>
        <v>0</v>
      </c>
      <c r="AS1387" t="e">
        <f>_xlfn.XLOOKUP(A1387,[3]Sheet1!$B:$B,[3]Sheet1!$B:$B)</f>
        <v>#N/A</v>
      </c>
    </row>
    <row r="1388" spans="1:46" x14ac:dyDescent="0.25">
      <c r="A1388" s="1" t="s">
        <v>1855</v>
      </c>
      <c r="B1388" s="2" t="s">
        <v>552</v>
      </c>
      <c r="C1388" s="1" t="s">
        <v>1893</v>
      </c>
      <c r="D1388" s="2" t="s">
        <v>554</v>
      </c>
      <c r="E1388" s="2">
        <v>2.5</v>
      </c>
      <c r="F1388" s="1" t="str">
        <f>VLOOKUP(H1388,'RM Used'!A:B,2,0)</f>
        <v>P0008</v>
      </c>
      <c r="G1388" s="1" t="str">
        <f>IFERROR(VLOOKUP(F1388,'RM Cost'!A:B,2,0),"")</f>
        <v>PALE BLUE BAG 470X750MM</v>
      </c>
      <c r="H1388" s="1" t="s">
        <v>1323</v>
      </c>
      <c r="I1388" s="1" t="str">
        <f>VLOOKUP(F1388,'RM Used'!B:D,3,0)</f>
        <v>RM-PACKING</v>
      </c>
      <c r="J1388" s="66">
        <v>1</v>
      </c>
      <c r="K1388" s="35" t="str">
        <f t="shared" si="416"/>
        <v/>
      </c>
      <c r="L1388" s="35">
        <f t="shared" si="399"/>
        <v>0</v>
      </c>
      <c r="M1388" s="77" t="str" cm="1">
        <f t="array" ref="M1388">_xlfn.IFS(BOM!I1388="RM-PACKING","100%",B1388="Reynolds",VLOOKUP(H1388,'Yield &amp; Time'!A:V,22,0),BOM!B1388="Dnata",VLOOKUP(BOM!H1388,'Yield &amp; Time'!A:M,13,0),B1388="NK",VLOOKUP(H1388,'Yield &amp; Time'!A:X,24,0))</f>
        <v>100%</v>
      </c>
      <c r="N1388" s="35">
        <f t="shared" si="409"/>
        <v>1</v>
      </c>
      <c r="O1388" s="1" t="str">
        <f>VLOOKUP(H1388,'RM Used'!A:E,5,0)</f>
        <v>Count</v>
      </c>
      <c r="P1388" s="11">
        <f>VLOOKUP(H1388,'RM Used'!A:F,6,0)</f>
        <v>0.14000000000000001</v>
      </c>
      <c r="Q1388" s="11">
        <f t="shared" si="408"/>
        <v>0.14000000000000001</v>
      </c>
      <c r="R1388" s="11">
        <f>IFERROR(IF(B1388="Reynolds",VLOOKUP(H1388,'Yield &amp; Time'!A:U,21,0),VLOOKUP(H1388,'Yield &amp; Time'!A:L,12,0)),0)</f>
        <v>0</v>
      </c>
      <c r="S1388" s="11">
        <f t="shared" si="400"/>
        <v>0</v>
      </c>
      <c r="T1388" s="11">
        <f t="shared" si="401"/>
        <v>0</v>
      </c>
      <c r="U1388" s="11">
        <f>IF(A1387=A1388,0,VLOOKUP(A1388,'Packing Time'!A:F,6,0))</f>
        <v>0</v>
      </c>
      <c r="V1388" s="11">
        <f t="shared" si="411"/>
        <v>0</v>
      </c>
      <c r="W1388" s="11">
        <f t="shared" si="412"/>
        <v>0</v>
      </c>
      <c r="X1388" s="11">
        <f t="shared" si="402"/>
        <v>0</v>
      </c>
      <c r="Y1388" s="11">
        <f t="shared" si="413"/>
        <v>0</v>
      </c>
      <c r="Z1388" s="37">
        <v>1</v>
      </c>
      <c r="AA1388" s="36">
        <f t="shared" si="403"/>
        <v>1</v>
      </c>
      <c r="AB1388" s="36">
        <f t="shared" si="404"/>
        <v>0.14000000000000001</v>
      </c>
      <c r="AC1388" s="11">
        <f t="shared" si="405"/>
        <v>0</v>
      </c>
      <c r="AD1388" s="36">
        <f t="shared" si="414"/>
        <v>0</v>
      </c>
      <c r="AE1388" s="36"/>
      <c r="AF1388" s="36">
        <f>IFERROR(VLOOKUP(AE1388,'Chemical Cost'!A:D,4,0),0)</f>
        <v>0</v>
      </c>
      <c r="AG1388" s="114">
        <f t="shared" si="406"/>
        <v>0</v>
      </c>
      <c r="AH1388" s="36">
        <f t="shared" si="410"/>
        <v>0</v>
      </c>
      <c r="AI1388" s="36">
        <f t="shared" si="415"/>
        <v>0.14000000000000001</v>
      </c>
      <c r="AJ1388" s="36">
        <f>IFERROR(VLOOKUP(A1388,'All Products'!A:F,6,0),0)</f>
        <v>10.38</v>
      </c>
      <c r="AK1388" s="1"/>
      <c r="AL1388" s="23">
        <v>1</v>
      </c>
      <c r="AM1388" s="23"/>
      <c r="AN1388" s="54" t="e">
        <v>#N/A</v>
      </c>
      <c r="AO1388" s="47"/>
      <c r="AP1388" s="4">
        <v>1.6</v>
      </c>
      <c r="AQ1388" s="111">
        <f t="shared" si="407"/>
        <v>0</v>
      </c>
      <c r="AR1388">
        <f>_xlfn.XLOOKUP(F1388,'RM Cost'!A:A,'RM Cost'!S:S)</f>
        <v>0</v>
      </c>
      <c r="AS1388" t="e">
        <f>_xlfn.XLOOKUP(A1388,[3]Sheet1!$B:$B,[3]Sheet1!$B:$B)</f>
        <v>#N/A</v>
      </c>
    </row>
    <row r="1389" spans="1:46" x14ac:dyDescent="0.25">
      <c r="A1389" s="1" t="s">
        <v>1855</v>
      </c>
      <c r="B1389" s="2" t="s">
        <v>552</v>
      </c>
      <c r="C1389" s="1" t="s">
        <v>1893</v>
      </c>
      <c r="D1389" s="2" t="s">
        <v>554</v>
      </c>
      <c r="E1389" s="2">
        <v>2.5</v>
      </c>
      <c r="F1389" s="1" t="str">
        <f>VLOOKUP(H1389,'RM Used'!A:B,2,0)</f>
        <v>P0016</v>
      </c>
      <c r="G1389" s="1" t="str">
        <f>IFERROR(VLOOKUP(F1389,'RM Cost'!A:B,2,0),"")</f>
        <v>REY 40 30 BOX</v>
      </c>
      <c r="H1389" s="1" t="s">
        <v>1332</v>
      </c>
      <c r="I1389" s="1" t="str">
        <f>VLOOKUP(F1389,'RM Used'!B:D,3,0)</f>
        <v>RM-PACKING</v>
      </c>
      <c r="J1389" s="66">
        <v>1</v>
      </c>
      <c r="K1389" s="35" t="str">
        <f>IF(I1389="RM-FOOD",J1389*E1389,"")</f>
        <v/>
      </c>
      <c r="L1389" s="35">
        <f t="shared" si="399"/>
        <v>0</v>
      </c>
      <c r="M1389" s="77" t="str" cm="1">
        <f t="array" ref="M1389">_xlfn.IFS(BOM!I1389="RM-PACKING","100%",B1389="Reynolds",VLOOKUP(H1389,'Yield &amp; Time'!A:V,22,0),BOM!B1389="Dnata",VLOOKUP(BOM!H1389,'Yield &amp; Time'!A:M,13,0),B1389="NK",VLOOKUP(H1389,'Yield &amp; Time'!A:X,24,0))</f>
        <v>100%</v>
      </c>
      <c r="N1389" s="35">
        <f>IFERROR(IF(I1389="RM-FOOD",(E1389*J1389)/M1389,1),0)</f>
        <v>1</v>
      </c>
      <c r="O1389" s="1" t="str">
        <f>VLOOKUP(H1389,'RM Used'!A:E,5,0)</f>
        <v>Count</v>
      </c>
      <c r="P1389" s="11">
        <f>VLOOKUP(H1389,'RM Used'!A:F,6,0)</f>
        <v>0.28000000000000003</v>
      </c>
      <c r="Q1389" s="11">
        <f t="shared" si="408"/>
        <v>0.28000000000000003</v>
      </c>
      <c r="R1389" s="11">
        <f>IFERROR(IF(B1389="Reynolds",VLOOKUP(H1389,'Yield &amp; Time'!A:U,21,0),VLOOKUP(H1389,'Yield &amp; Time'!A:L,12,0)),0)</f>
        <v>0</v>
      </c>
      <c r="S1389" s="11">
        <f t="shared" si="400"/>
        <v>0</v>
      </c>
      <c r="T1389" s="11">
        <f t="shared" si="401"/>
        <v>0</v>
      </c>
      <c r="U1389" s="11">
        <f>IF(A1388=A1389,0,VLOOKUP(A1389,'Packing Time'!A:F,6,0))</f>
        <v>0</v>
      </c>
      <c r="V1389" s="11">
        <f>U1389*AO$1</f>
        <v>0</v>
      </c>
      <c r="W1389" s="11">
        <f>(U1389*Z1389)/60</f>
        <v>0</v>
      </c>
      <c r="X1389" s="11">
        <f t="shared" si="402"/>
        <v>0</v>
      </c>
      <c r="Y1389" s="11">
        <f>X1389*Z1389</f>
        <v>0</v>
      </c>
      <c r="Z1389" s="37">
        <v>1</v>
      </c>
      <c r="AA1389" s="36">
        <f t="shared" si="403"/>
        <v>1</v>
      </c>
      <c r="AB1389" s="36">
        <f t="shared" si="404"/>
        <v>0.28000000000000003</v>
      </c>
      <c r="AC1389" s="11">
        <f t="shared" si="405"/>
        <v>0</v>
      </c>
      <c r="AD1389" s="36">
        <f>AC1389*60*AO$1</f>
        <v>0</v>
      </c>
      <c r="AE1389" s="36"/>
      <c r="AF1389" s="36">
        <f>IFERROR(VLOOKUP(AE1389,'Chemical Cost'!A:D,4,0),0)</f>
        <v>0</v>
      </c>
      <c r="AG1389" s="114">
        <f t="shared" si="406"/>
        <v>0</v>
      </c>
      <c r="AH1389" s="36">
        <f t="shared" si="410"/>
        <v>0</v>
      </c>
      <c r="AI1389" s="36">
        <f>IFERROR((Q1389*Z1389)+(Z1389*X1389)+AH1389,0)</f>
        <v>0.28000000000000003</v>
      </c>
      <c r="AJ1389" s="36">
        <f>IFERROR(VLOOKUP(A1389,'All Products'!A:F,6,0),0)</f>
        <v>10.38</v>
      </c>
      <c r="AK1389" s="1"/>
      <c r="AL1389" s="23">
        <v>1</v>
      </c>
      <c r="AM1389" s="23"/>
      <c r="AN1389" s="54" t="e">
        <v>#N/A</v>
      </c>
      <c r="AO1389" s="47"/>
      <c r="AP1389" s="4">
        <v>1.6</v>
      </c>
      <c r="AQ1389" s="111">
        <f t="shared" si="407"/>
        <v>0</v>
      </c>
      <c r="AR1389">
        <f>_xlfn.XLOOKUP(F1389,'RM Cost'!A:A,'RM Cost'!S:S)</f>
        <v>0</v>
      </c>
      <c r="AS1389" t="e">
        <f>_xlfn.XLOOKUP(A1389,[3]Sheet1!$B:$B,[3]Sheet1!$B:$B)</f>
        <v>#N/A</v>
      </c>
    </row>
    <row r="1390" spans="1:46" x14ac:dyDescent="0.25">
      <c r="A1390" s="1" t="s">
        <v>1861</v>
      </c>
      <c r="B1390" s="2" t="s">
        <v>552</v>
      </c>
      <c r="C1390" s="1" t="s">
        <v>1762</v>
      </c>
      <c r="D1390" s="2" t="s">
        <v>554</v>
      </c>
      <c r="E1390" s="2">
        <v>2.5</v>
      </c>
      <c r="F1390" s="1" t="str">
        <f>VLOOKUP(H1390,'RM Used'!A:B,2,0)</f>
        <v>3566CS</v>
      </c>
      <c r="G1390" s="1" t="str">
        <f>IFERROR(VLOOKUP(F1390,'RM Cost'!A:B,2,0),"")</f>
        <v>PEPPERS RED X 5KG</v>
      </c>
      <c r="H1390" s="1" t="s">
        <v>1418</v>
      </c>
      <c r="I1390" s="1" t="str">
        <f>VLOOKUP(F1390,'RM Used'!B:D,3,0)</f>
        <v>RM-FOOD</v>
      </c>
      <c r="J1390" s="66">
        <v>1</v>
      </c>
      <c r="K1390" s="35">
        <f t="shared" si="416"/>
        <v>2.5</v>
      </c>
      <c r="L1390" s="35">
        <f t="shared" si="399"/>
        <v>2.5</v>
      </c>
      <c r="M1390" s="77" cm="1">
        <f t="array" ref="M1390">_xlfn.IFS(BOM!I1390="RM-PACKING","100%",B1390="Reynolds",VLOOKUP(H1390,'Yield &amp; Time'!A:V,22,0),BOM!B1390="Dnata",VLOOKUP(BOM!H1390,'Yield &amp; Time'!A:M,13,0),B1390="NK",VLOOKUP(H1390,'Yield &amp; Time'!A:X,24,0))</f>
        <v>0.50283088235294104</v>
      </c>
      <c r="N1390" s="35">
        <f t="shared" si="409"/>
        <v>4.9718505520216434</v>
      </c>
      <c r="O1390" s="1" t="str">
        <f>VLOOKUP(H1390,'RM Used'!A:E,5,0)</f>
        <v>KG</v>
      </c>
      <c r="P1390" s="11">
        <f>VLOOKUP(H1390,'RM Used'!A:F,6,0)</f>
        <v>1.72</v>
      </c>
      <c r="Q1390" s="11">
        <f t="shared" si="408"/>
        <v>8.5515829494772273</v>
      </c>
      <c r="R1390" s="11">
        <f>IFERROR(IF(B1390="Reynolds",VLOOKUP(H1390,'Yield &amp; Time'!A:U,21,0),VLOOKUP(H1390,'Yield &amp; Time'!A:L,12,0)),0)</f>
        <v>4.255319148936171</v>
      </c>
      <c r="S1390" s="11">
        <f t="shared" si="400"/>
        <v>3.6010638297872344</v>
      </c>
      <c r="T1390" s="11">
        <f t="shared" si="401"/>
        <v>0.17730496453900713</v>
      </c>
      <c r="U1390" s="11">
        <f>IF(A1389=A1390,0,VLOOKUP(A1390,'Packing Time'!A:F,6,0))</f>
        <v>0.875</v>
      </c>
      <c r="V1390" s="11">
        <f t="shared" si="411"/>
        <v>0.29618749999999999</v>
      </c>
      <c r="W1390" s="11">
        <f t="shared" si="412"/>
        <v>1.4583333333333334E-2</v>
      </c>
      <c r="X1390" s="11">
        <f t="shared" si="402"/>
        <v>6.2356021276595754</v>
      </c>
      <c r="Y1390" s="11">
        <f t="shared" si="413"/>
        <v>6.2356021276595754</v>
      </c>
      <c r="Z1390" s="37">
        <v>1</v>
      </c>
      <c r="AA1390" s="36">
        <f t="shared" si="403"/>
        <v>4.9718505520216434</v>
      </c>
      <c r="AB1390" s="36">
        <f t="shared" si="404"/>
        <v>8.5515829494772273</v>
      </c>
      <c r="AC1390" s="11">
        <f t="shared" si="405"/>
        <v>0.30702127659574474</v>
      </c>
      <c r="AD1390" s="36">
        <f t="shared" si="414"/>
        <v>6.2356021276595754</v>
      </c>
      <c r="AE1390" s="36"/>
      <c r="AF1390" s="36">
        <f>IFERROR(VLOOKUP(AE1390,'Chemical Cost'!A:D,4,0),0)</f>
        <v>0</v>
      </c>
      <c r="AG1390" s="114">
        <f t="shared" si="406"/>
        <v>0</v>
      </c>
      <c r="AH1390" s="36">
        <f t="shared" si="410"/>
        <v>0</v>
      </c>
      <c r="AI1390" s="36">
        <f t="shared" si="415"/>
        <v>14.787185077136803</v>
      </c>
      <c r="AJ1390" s="36">
        <f>IFERROR(VLOOKUP(A1390,'All Products'!A:F,6,0),0)</f>
        <v>22.14</v>
      </c>
      <c r="AK1390" s="36">
        <f>AJ1390*Z1390*J1390</f>
        <v>22.14</v>
      </c>
      <c r="AL1390" s="23">
        <v>0.8</v>
      </c>
      <c r="AM1390" s="23">
        <v>0.2</v>
      </c>
      <c r="AN1390" s="54" t="e">
        <v>#N/A</v>
      </c>
      <c r="AO1390" s="47"/>
      <c r="AP1390" s="4">
        <v>1.6</v>
      </c>
      <c r="AQ1390" s="111">
        <f t="shared" si="407"/>
        <v>0.30702127659574474</v>
      </c>
      <c r="AR1390">
        <f>_xlfn.XLOOKUP(F1390,'RM Cost'!A:A,'RM Cost'!S:S)</f>
        <v>0</v>
      </c>
      <c r="AS1390" t="e">
        <f>_xlfn.XLOOKUP(A1390,[3]Sheet1!$B:$B,[3]Sheet1!$B:$B)</f>
        <v>#N/A</v>
      </c>
    </row>
    <row r="1391" spans="1:46" x14ac:dyDescent="0.25">
      <c r="A1391" s="1" t="s">
        <v>1861</v>
      </c>
      <c r="B1391" s="2" t="s">
        <v>552</v>
      </c>
      <c r="C1391" s="1" t="s">
        <v>1762</v>
      </c>
      <c r="D1391" s="2" t="s">
        <v>554</v>
      </c>
      <c r="E1391" s="2">
        <v>2.5</v>
      </c>
      <c r="F1391" s="1" t="str">
        <f>VLOOKUP(H1391,'RM Used'!A:B,2,0)</f>
        <v>P0020</v>
      </c>
      <c r="G1391" s="1" t="str">
        <f>IFERROR(VLOOKUP(F1391,'RM Cost'!A:B,2,0),"")</f>
        <v>PALE BLUE BAG 430X430MM</v>
      </c>
      <c r="H1391" s="2" t="s">
        <v>1659</v>
      </c>
      <c r="I1391" s="1" t="str">
        <f>VLOOKUP(F1391,'RM Used'!B:D,3,0)</f>
        <v>RM-PACKING</v>
      </c>
      <c r="J1391" s="66">
        <v>1</v>
      </c>
      <c r="K1391" s="35" t="str">
        <f t="shared" si="416"/>
        <v/>
      </c>
      <c r="L1391" s="35">
        <f t="shared" si="399"/>
        <v>0</v>
      </c>
      <c r="M1391" s="77" t="str" cm="1">
        <f t="array" ref="M1391">_xlfn.IFS(BOM!I1391="RM-PACKING","100%",B1391="Reynolds",VLOOKUP(H1391,'Yield &amp; Time'!A:V,22,0),BOM!B1391="Dnata",VLOOKUP(BOM!H1391,'Yield &amp; Time'!A:M,13,0),B1391="NK",VLOOKUP(H1391,'Yield &amp; Time'!A:X,24,0))</f>
        <v>100%</v>
      </c>
      <c r="N1391" s="35">
        <f t="shared" si="409"/>
        <v>1</v>
      </c>
      <c r="O1391" s="1" t="str">
        <f>VLOOKUP(H1391,'RM Used'!A:E,5,0)</f>
        <v>Count</v>
      </c>
      <c r="P1391" s="11">
        <f>VLOOKUP(H1391,'RM Used'!A:F,6,0)</f>
        <v>0.09</v>
      </c>
      <c r="Q1391" s="11">
        <f t="shared" si="408"/>
        <v>0.09</v>
      </c>
      <c r="R1391" s="11">
        <f>IFERROR(IF(B1391="Reynolds",VLOOKUP(H1391,'Yield &amp; Time'!A:U,21,0),VLOOKUP(H1391,'Yield &amp; Time'!A:L,12,0)),0)</f>
        <v>0</v>
      </c>
      <c r="S1391" s="11">
        <f t="shared" si="400"/>
        <v>0</v>
      </c>
      <c r="T1391" s="11">
        <f t="shared" si="401"/>
        <v>0</v>
      </c>
      <c r="U1391" s="11">
        <f>IF(A1390=A1391,0,VLOOKUP(A1391,'Packing Time'!A:F,6,0))</f>
        <v>0</v>
      </c>
      <c r="V1391" s="11">
        <f t="shared" si="411"/>
        <v>0</v>
      </c>
      <c r="W1391" s="11">
        <f t="shared" si="412"/>
        <v>0</v>
      </c>
      <c r="X1391" s="11">
        <f t="shared" si="402"/>
        <v>0</v>
      </c>
      <c r="Y1391" s="11">
        <f t="shared" si="413"/>
        <v>0</v>
      </c>
      <c r="Z1391" s="37">
        <v>1</v>
      </c>
      <c r="AA1391" s="36">
        <f t="shared" si="403"/>
        <v>1</v>
      </c>
      <c r="AB1391" s="36">
        <f t="shared" si="404"/>
        <v>0.09</v>
      </c>
      <c r="AC1391" s="11">
        <f t="shared" si="405"/>
        <v>0</v>
      </c>
      <c r="AD1391" s="36">
        <f t="shared" si="414"/>
        <v>0</v>
      </c>
      <c r="AE1391" s="36"/>
      <c r="AF1391" s="36">
        <f>IFERROR(VLOOKUP(AE1391,'Chemical Cost'!A:D,4,0),0)</f>
        <v>0</v>
      </c>
      <c r="AG1391" s="114">
        <f t="shared" si="406"/>
        <v>0</v>
      </c>
      <c r="AH1391" s="36">
        <f t="shared" si="410"/>
        <v>0</v>
      </c>
      <c r="AI1391" s="36">
        <f t="shared" si="415"/>
        <v>0.09</v>
      </c>
      <c r="AJ1391" s="36">
        <f>IFERROR(VLOOKUP(A1391,'All Products'!A:F,6,0),0)</f>
        <v>22.14</v>
      </c>
      <c r="AK1391" s="1"/>
      <c r="AL1391" s="23">
        <v>0.8</v>
      </c>
      <c r="AM1391" s="23">
        <v>0.2</v>
      </c>
      <c r="AN1391" s="54" t="e">
        <v>#N/A</v>
      </c>
      <c r="AO1391" s="47"/>
      <c r="AP1391" s="4">
        <v>1.6</v>
      </c>
      <c r="AQ1391" s="111">
        <f t="shared" si="407"/>
        <v>0</v>
      </c>
      <c r="AR1391">
        <f>_xlfn.XLOOKUP(F1391,'RM Cost'!A:A,'RM Cost'!S:S)</f>
        <v>0</v>
      </c>
      <c r="AS1391" t="e">
        <f>_xlfn.XLOOKUP(A1391,[3]Sheet1!$B:$B,[3]Sheet1!$B:$B)</f>
        <v>#N/A</v>
      </c>
    </row>
    <row r="1392" spans="1:46" x14ac:dyDescent="0.25">
      <c r="A1392" s="1" t="s">
        <v>1861</v>
      </c>
      <c r="B1392" s="2" t="s">
        <v>552</v>
      </c>
      <c r="C1392" s="1" t="s">
        <v>1762</v>
      </c>
      <c r="D1392" s="2" t="s">
        <v>554</v>
      </c>
      <c r="E1392" s="2">
        <v>2.5</v>
      </c>
      <c r="F1392" s="1" t="str">
        <f>VLOOKUP(H1392,'RM Used'!A:B,2,0)</f>
        <v>P0016</v>
      </c>
      <c r="G1392" s="1" t="str">
        <f>IFERROR(VLOOKUP(F1392,'RM Cost'!A:B,2,0),"")</f>
        <v>REY 40 30 BOX</v>
      </c>
      <c r="H1392" s="1" t="s">
        <v>1332</v>
      </c>
      <c r="I1392" s="1" t="str">
        <f>VLOOKUP(F1392,'RM Used'!B:D,3,0)</f>
        <v>RM-PACKING</v>
      </c>
      <c r="J1392" s="66">
        <v>1</v>
      </c>
      <c r="K1392" s="35" t="str">
        <f>IF(I1392="RM-FOOD",J1392*E1392,"")</f>
        <v/>
      </c>
      <c r="L1392" s="35">
        <f t="shared" si="399"/>
        <v>0</v>
      </c>
      <c r="M1392" s="77" t="str" cm="1">
        <f t="array" ref="M1392">_xlfn.IFS(BOM!I1392="RM-PACKING","100%",B1392="Reynolds",VLOOKUP(H1392,'Yield &amp; Time'!A:V,22,0),BOM!B1392="Dnata",VLOOKUP(BOM!H1392,'Yield &amp; Time'!A:M,13,0),B1392="NK",VLOOKUP(H1392,'Yield &amp; Time'!A:X,24,0))</f>
        <v>100%</v>
      </c>
      <c r="N1392" s="35">
        <f>IFERROR(IF(I1392="RM-FOOD",(E1392*J1392)/M1392,1),0)</f>
        <v>1</v>
      </c>
      <c r="O1392" s="1" t="str">
        <f>VLOOKUP(H1392,'RM Used'!A:E,5,0)</f>
        <v>Count</v>
      </c>
      <c r="P1392" s="11">
        <f>VLOOKUP(H1392,'RM Used'!A:F,6,0)</f>
        <v>0.28000000000000003</v>
      </c>
      <c r="Q1392" s="11">
        <f t="shared" si="408"/>
        <v>0.28000000000000003</v>
      </c>
      <c r="R1392" s="11">
        <f>IFERROR(IF(B1392="Reynolds",VLOOKUP(H1392,'Yield &amp; Time'!A:U,21,0),VLOOKUP(H1392,'Yield &amp; Time'!A:L,12,0)),0)</f>
        <v>0</v>
      </c>
      <c r="S1392" s="11">
        <f t="shared" si="400"/>
        <v>0</v>
      </c>
      <c r="T1392" s="11">
        <f t="shared" si="401"/>
        <v>0</v>
      </c>
      <c r="U1392" s="11">
        <f>IF(A1391=A1392,0,VLOOKUP(A1392,'Packing Time'!A:F,6,0))</f>
        <v>0</v>
      </c>
      <c r="V1392" s="11">
        <f>U1392*AO$1</f>
        <v>0</v>
      </c>
      <c r="W1392" s="11">
        <f>(U1392*Z1392)/60</f>
        <v>0</v>
      </c>
      <c r="X1392" s="11">
        <f t="shared" si="402"/>
        <v>0</v>
      </c>
      <c r="Y1392" s="11">
        <f>X1392*Z1392</f>
        <v>0</v>
      </c>
      <c r="Z1392" s="37">
        <v>1</v>
      </c>
      <c r="AA1392" s="36">
        <f t="shared" si="403"/>
        <v>1</v>
      </c>
      <c r="AB1392" s="36">
        <f t="shared" si="404"/>
        <v>0.28000000000000003</v>
      </c>
      <c r="AC1392" s="11">
        <f t="shared" si="405"/>
        <v>0</v>
      </c>
      <c r="AD1392" s="36">
        <f>AC1392*60*AO$1</f>
        <v>0</v>
      </c>
      <c r="AE1392" s="36"/>
      <c r="AF1392" s="36">
        <f>IFERROR(VLOOKUP(AE1392,'Chemical Cost'!A:D,4,0),0)</f>
        <v>0</v>
      </c>
      <c r="AG1392" s="114">
        <f t="shared" si="406"/>
        <v>0</v>
      </c>
      <c r="AH1392" s="36">
        <f t="shared" si="410"/>
        <v>0</v>
      </c>
      <c r="AI1392" s="36">
        <f>IFERROR((Q1392*Z1392)+(Z1392*X1392)+AH1392,0)</f>
        <v>0.28000000000000003</v>
      </c>
      <c r="AJ1392" s="36">
        <f>IFERROR(VLOOKUP(A1392,'All Products'!A:F,6,0),0)</f>
        <v>22.14</v>
      </c>
      <c r="AK1392" s="1"/>
      <c r="AL1392" s="23">
        <v>0.8</v>
      </c>
      <c r="AM1392" s="23">
        <v>0.2</v>
      </c>
      <c r="AN1392" s="54" t="e">
        <v>#N/A</v>
      </c>
      <c r="AO1392" s="47"/>
      <c r="AP1392" s="4">
        <v>1.6</v>
      </c>
      <c r="AQ1392" s="111">
        <f t="shared" si="407"/>
        <v>0</v>
      </c>
      <c r="AR1392">
        <f>_xlfn.XLOOKUP(F1392,'RM Cost'!A:A,'RM Cost'!S:S)</f>
        <v>0</v>
      </c>
      <c r="AS1392" t="e">
        <f>_xlfn.XLOOKUP(A1392,[3]Sheet1!$B:$B,[3]Sheet1!$B:$B)</f>
        <v>#N/A</v>
      </c>
    </row>
    <row r="1393" spans="1:45" x14ac:dyDescent="0.25">
      <c r="A1393" s="1" t="s">
        <v>1898</v>
      </c>
      <c r="B1393" s="2" t="s">
        <v>552</v>
      </c>
      <c r="C1393" s="1" t="s">
        <v>1899</v>
      </c>
      <c r="D1393" s="2" t="s">
        <v>554</v>
      </c>
      <c r="E1393" s="2">
        <v>1</v>
      </c>
      <c r="F1393" s="1" t="str">
        <f>VLOOKUP(H1393,'RM Used'!A:B,2,0)</f>
        <v>353BCS</v>
      </c>
      <c r="G1393" s="1" t="str">
        <f>IFERROR(VLOOKUP(F1393,'RM Cost'!A:B,2,0),"")</f>
        <v>CARDYMA CHIPPING POTATOES 25KG</v>
      </c>
      <c r="H1393" s="1" t="s">
        <v>1899</v>
      </c>
      <c r="I1393" s="1" t="str">
        <f>VLOOKUP(F1393,'RM Used'!B:D,3,0)</f>
        <v>RM-FOOD</v>
      </c>
      <c r="J1393" s="66">
        <v>1</v>
      </c>
      <c r="K1393" s="35">
        <f t="shared" si="416"/>
        <v>1</v>
      </c>
      <c r="L1393" s="35">
        <f t="shared" si="399"/>
        <v>1</v>
      </c>
      <c r="M1393" s="77" cm="1">
        <f t="array" ref="M1393">_xlfn.IFS(BOM!I1393="RM-PACKING","100%",B1393="Reynolds",VLOOKUP(H1393,'Yield &amp; Time'!A:V,22,0),BOM!B1393="Dnata",VLOOKUP(BOM!H1393,'Yield &amp; Time'!A:M,13,0),B1393="NK",VLOOKUP(H1393,'Yield &amp; Time'!A:X,24,0))</f>
        <v>0.54</v>
      </c>
      <c r="N1393" s="35">
        <f t="shared" si="409"/>
        <v>1.8518518518518516</v>
      </c>
      <c r="O1393" s="1" t="str">
        <f>VLOOKUP(H1393,'RM Used'!A:E,5,0)</f>
        <v>KG</v>
      </c>
      <c r="P1393" s="11">
        <f>VLOOKUP(H1393,'RM Used'!A:F,6,0)</f>
        <v>0.55000000000000004</v>
      </c>
      <c r="Q1393" s="11">
        <f t="shared" si="408"/>
        <v>1.0185185185185184</v>
      </c>
      <c r="R1393" s="11">
        <f>IFERROR(IF(B1393="Reynolds",VLOOKUP(H1393,'Yield &amp; Time'!A:U,21,0),VLOOKUP(H1393,'Yield &amp; Time'!A:L,12,0)),0)</f>
        <v>3.61</v>
      </c>
      <c r="S1393" s="11">
        <f t="shared" si="400"/>
        <v>1.2219849999999999</v>
      </c>
      <c r="T1393" s="11">
        <f t="shared" si="401"/>
        <v>6.0166666666666667E-2</v>
      </c>
      <c r="U1393" s="11">
        <f>IF(A1392=A1393,0,VLOOKUP(A1393,'Packing Time'!A:F,6,0))</f>
        <v>0.64500000000000002</v>
      </c>
      <c r="V1393" s="11">
        <f t="shared" si="411"/>
        <v>0.21833249999999998</v>
      </c>
      <c r="W1393" s="11">
        <f t="shared" si="412"/>
        <v>1.0750000000000001E-2</v>
      </c>
      <c r="X1393" s="11">
        <f t="shared" si="402"/>
        <v>2.0164445</v>
      </c>
      <c r="Y1393" s="11">
        <f t="shared" si="413"/>
        <v>2.0164445</v>
      </c>
      <c r="Z1393" s="37">
        <v>1</v>
      </c>
      <c r="AA1393" s="36">
        <f t="shared" si="403"/>
        <v>1.8518518518518516</v>
      </c>
      <c r="AB1393" s="36">
        <f t="shared" si="404"/>
        <v>1.0185185185185184</v>
      </c>
      <c r="AC1393" s="11">
        <f t="shared" si="405"/>
        <v>9.9283333333333335E-2</v>
      </c>
      <c r="AD1393" s="36">
        <f t="shared" si="414"/>
        <v>2.0164445</v>
      </c>
      <c r="AE1393" s="36"/>
      <c r="AF1393" s="36">
        <f>IFERROR(VLOOKUP(AE1393,'Chemical Cost'!A:D,4,0),0)</f>
        <v>0</v>
      </c>
      <c r="AG1393" s="114">
        <f t="shared" si="406"/>
        <v>0</v>
      </c>
      <c r="AH1393" s="36">
        <f t="shared" si="410"/>
        <v>0</v>
      </c>
      <c r="AI1393" s="36">
        <f t="shared" si="415"/>
        <v>3.0349630185185186</v>
      </c>
      <c r="AJ1393" s="36">
        <f>IFERROR(VLOOKUP(A1393,'All Products'!A:F,6,0),0)</f>
        <v>3.7415046296296297</v>
      </c>
      <c r="AK1393" s="1"/>
      <c r="AL1393" s="23">
        <v>1</v>
      </c>
      <c r="AM1393" s="23"/>
      <c r="AN1393" s="54" t="e">
        <v>#N/A</v>
      </c>
      <c r="AO1393" s="47"/>
      <c r="AP1393" s="4">
        <v>1.4</v>
      </c>
      <c r="AQ1393" s="111">
        <f t="shared" si="407"/>
        <v>9.9283333333333335E-2</v>
      </c>
      <c r="AR1393">
        <f>_xlfn.XLOOKUP(F1393,'RM Cost'!A:A,'RM Cost'!S:S)</f>
        <v>0</v>
      </c>
      <c r="AS1393" t="e">
        <f>_xlfn.XLOOKUP(A1393,[3]Sheet1!$B:$B,[3]Sheet1!$B:$B)</f>
        <v>#N/A</v>
      </c>
    </row>
    <row r="1394" spans="1:45" x14ac:dyDescent="0.25">
      <c r="A1394" s="1" t="s">
        <v>1898</v>
      </c>
      <c r="B1394" s="2" t="s">
        <v>552</v>
      </c>
      <c r="C1394" s="1" t="s">
        <v>1899</v>
      </c>
      <c r="D1394" s="2" t="s">
        <v>554</v>
      </c>
      <c r="E1394" s="2">
        <v>1</v>
      </c>
      <c r="F1394" s="1" t="str">
        <f>VLOOKUP(H1394,'RM Used'!A:B,2,0)</f>
        <v>P0008</v>
      </c>
      <c r="G1394" s="1" t="str">
        <f>IFERROR(VLOOKUP(F1394,'RM Cost'!A:B,2,0),"")</f>
        <v>PALE BLUE BAG 470X750MM</v>
      </c>
      <c r="H1394" s="1" t="s">
        <v>1323</v>
      </c>
      <c r="I1394" s="1" t="str">
        <f>VLOOKUP(F1394,'RM Used'!B:D,3,0)</f>
        <v>RM-PACKING</v>
      </c>
      <c r="J1394" s="66">
        <v>1</v>
      </c>
      <c r="K1394" s="35" t="str">
        <f t="shared" si="416"/>
        <v/>
      </c>
      <c r="L1394" s="35">
        <f t="shared" si="399"/>
        <v>0</v>
      </c>
      <c r="M1394" s="77" t="str" cm="1">
        <f t="array" ref="M1394">_xlfn.IFS(BOM!I1394="RM-PACKING","100%",B1394="Reynolds",VLOOKUP(H1394,'Yield &amp; Time'!A:V,22,0),BOM!B1394="Dnata",VLOOKUP(BOM!H1394,'Yield &amp; Time'!A:M,13,0),B1394="NK",VLOOKUP(H1394,'Yield &amp; Time'!A:X,24,0))</f>
        <v>100%</v>
      </c>
      <c r="N1394" s="35">
        <f t="shared" si="409"/>
        <v>1</v>
      </c>
      <c r="O1394" s="1" t="str">
        <f>VLOOKUP(H1394,'RM Used'!A:E,5,0)</f>
        <v>Count</v>
      </c>
      <c r="P1394" s="11">
        <f>VLOOKUP(H1394,'RM Used'!A:F,6,0)</f>
        <v>0.14000000000000001</v>
      </c>
      <c r="Q1394" s="11">
        <f t="shared" si="408"/>
        <v>0.14000000000000001</v>
      </c>
      <c r="R1394" s="11">
        <f>IFERROR(IF(B1394="Reynolds",VLOOKUP(H1394,'Yield &amp; Time'!A:U,21,0),VLOOKUP(H1394,'Yield &amp; Time'!A:L,12,0)),0)</f>
        <v>0</v>
      </c>
      <c r="S1394" s="11">
        <f t="shared" si="400"/>
        <v>0</v>
      </c>
      <c r="T1394" s="11">
        <f t="shared" si="401"/>
        <v>0</v>
      </c>
      <c r="U1394" s="11">
        <f>IF(A1393=A1394,0,VLOOKUP(A1394,'Packing Time'!A:F,6,0))</f>
        <v>0</v>
      </c>
      <c r="V1394" s="11">
        <f t="shared" si="411"/>
        <v>0</v>
      </c>
      <c r="W1394" s="11">
        <f t="shared" si="412"/>
        <v>0</v>
      </c>
      <c r="X1394" s="11">
        <f t="shared" si="402"/>
        <v>0</v>
      </c>
      <c r="Y1394" s="11">
        <f t="shared" si="413"/>
        <v>0</v>
      </c>
      <c r="Z1394" s="37">
        <v>1</v>
      </c>
      <c r="AA1394" s="36">
        <f t="shared" si="403"/>
        <v>1</v>
      </c>
      <c r="AB1394" s="36">
        <f t="shared" si="404"/>
        <v>0.14000000000000001</v>
      </c>
      <c r="AC1394" s="11">
        <f t="shared" si="405"/>
        <v>0</v>
      </c>
      <c r="AD1394" s="36">
        <f t="shared" si="414"/>
        <v>0</v>
      </c>
      <c r="AE1394" s="36"/>
      <c r="AF1394" s="36">
        <f>IFERROR(VLOOKUP(AE1394,'Chemical Cost'!A:D,4,0),0)</f>
        <v>0</v>
      </c>
      <c r="AG1394" s="114">
        <f t="shared" si="406"/>
        <v>0</v>
      </c>
      <c r="AH1394" s="36">
        <f t="shared" si="410"/>
        <v>0</v>
      </c>
      <c r="AI1394" s="36">
        <f t="shared" si="415"/>
        <v>0.14000000000000001</v>
      </c>
      <c r="AJ1394" s="36">
        <f>IFERROR(VLOOKUP(A1394,'All Products'!A:F,6,0),0)</f>
        <v>3.7415046296296297</v>
      </c>
      <c r="AK1394" s="1"/>
      <c r="AL1394" s="23">
        <v>1</v>
      </c>
      <c r="AM1394" s="23"/>
      <c r="AN1394" s="54" t="e">
        <v>#N/A</v>
      </c>
      <c r="AO1394" s="47"/>
      <c r="AP1394" s="4">
        <v>1.4</v>
      </c>
      <c r="AQ1394" s="111">
        <f t="shared" si="407"/>
        <v>0</v>
      </c>
      <c r="AR1394">
        <f>_xlfn.XLOOKUP(F1394,'RM Cost'!A:A,'RM Cost'!S:S)</f>
        <v>0</v>
      </c>
      <c r="AS1394" t="e">
        <f>_xlfn.XLOOKUP(A1394,[3]Sheet1!$B:$B,[3]Sheet1!$B:$B)</f>
        <v>#N/A</v>
      </c>
    </row>
    <row r="1395" spans="1:45" x14ac:dyDescent="0.25">
      <c r="A1395" s="1" t="s">
        <v>1898</v>
      </c>
      <c r="B1395" s="2" t="s">
        <v>552</v>
      </c>
      <c r="C1395" s="1" t="s">
        <v>1899</v>
      </c>
      <c r="D1395" s="2" t="s">
        <v>554</v>
      </c>
      <c r="E1395" s="2">
        <v>1</v>
      </c>
      <c r="F1395" s="1" t="str">
        <f>VLOOKUP(H1395,'RM Used'!A:B,2,0)</f>
        <v>P0016</v>
      </c>
      <c r="G1395" s="1" t="str">
        <f>IFERROR(VLOOKUP(F1395,'RM Cost'!A:B,2,0),"")</f>
        <v>REY 40 30 BOX</v>
      </c>
      <c r="H1395" s="1" t="s">
        <v>1332</v>
      </c>
      <c r="I1395" s="1" t="str">
        <f>VLOOKUP(F1395,'RM Used'!B:D,3,0)</f>
        <v>RM-PACKING</v>
      </c>
      <c r="J1395" s="66">
        <v>1</v>
      </c>
      <c r="K1395" s="35" t="str">
        <f t="shared" si="416"/>
        <v/>
      </c>
      <c r="L1395" s="35">
        <f t="shared" si="399"/>
        <v>0</v>
      </c>
      <c r="M1395" s="77" t="str" cm="1">
        <f t="array" ref="M1395">_xlfn.IFS(BOM!I1395="RM-PACKING","100%",B1395="Reynolds",VLOOKUP(H1395,'Yield &amp; Time'!A:V,22,0),BOM!B1395="Dnata",VLOOKUP(BOM!H1395,'Yield &amp; Time'!A:M,13,0),B1395="NK",VLOOKUP(H1395,'Yield &amp; Time'!A:X,24,0))</f>
        <v>100%</v>
      </c>
      <c r="N1395" s="35">
        <f t="shared" si="409"/>
        <v>1</v>
      </c>
      <c r="O1395" s="1" t="str">
        <f>VLOOKUP(H1395,'RM Used'!A:E,5,0)</f>
        <v>Count</v>
      </c>
      <c r="P1395" s="11">
        <f>VLOOKUP(H1395,'RM Used'!A:F,6,0)</f>
        <v>0.28000000000000003</v>
      </c>
      <c r="Q1395" s="11">
        <f t="shared" si="408"/>
        <v>0.28000000000000003</v>
      </c>
      <c r="R1395" s="11">
        <f>IFERROR(IF(B1395="Reynolds",VLOOKUP(H1395,'Yield &amp; Time'!A:U,21,0),VLOOKUP(H1395,'Yield &amp; Time'!A:L,12,0)),0)</f>
        <v>0</v>
      </c>
      <c r="S1395" s="11">
        <f t="shared" si="400"/>
        <v>0</v>
      </c>
      <c r="T1395" s="11">
        <f t="shared" si="401"/>
        <v>0</v>
      </c>
      <c r="U1395" s="11">
        <f>IF(A1394=A1395,0,VLOOKUP(A1395,'Packing Time'!A:F,6,0))</f>
        <v>0</v>
      </c>
      <c r="V1395" s="11">
        <f t="shared" si="411"/>
        <v>0</v>
      </c>
      <c r="W1395" s="11">
        <f t="shared" si="412"/>
        <v>0</v>
      </c>
      <c r="X1395" s="11">
        <f t="shared" si="402"/>
        <v>0</v>
      </c>
      <c r="Y1395" s="11">
        <f t="shared" si="413"/>
        <v>0</v>
      </c>
      <c r="Z1395" s="37">
        <v>1</v>
      </c>
      <c r="AA1395" s="36">
        <f t="shared" si="403"/>
        <v>1</v>
      </c>
      <c r="AB1395" s="36">
        <f t="shared" si="404"/>
        <v>0.28000000000000003</v>
      </c>
      <c r="AC1395" s="11">
        <f t="shared" si="405"/>
        <v>0</v>
      </c>
      <c r="AD1395" s="36">
        <f t="shared" si="414"/>
        <v>0</v>
      </c>
      <c r="AE1395" s="36"/>
      <c r="AF1395" s="36">
        <f>IFERROR(VLOOKUP(AE1395,'Chemical Cost'!A:D,4,0),0)</f>
        <v>0</v>
      </c>
      <c r="AG1395" s="114">
        <f t="shared" si="406"/>
        <v>0</v>
      </c>
      <c r="AH1395" s="36">
        <f t="shared" si="410"/>
        <v>0</v>
      </c>
      <c r="AI1395" s="36">
        <f t="shared" si="415"/>
        <v>0.28000000000000003</v>
      </c>
      <c r="AJ1395" s="36">
        <f>IFERROR(VLOOKUP(A1395,'All Products'!A:F,6,0),0)</f>
        <v>3.7415046296296297</v>
      </c>
      <c r="AK1395" s="1"/>
      <c r="AL1395" s="23">
        <v>1</v>
      </c>
      <c r="AM1395" s="23"/>
      <c r="AN1395" s="54" t="e">
        <v>#N/A</v>
      </c>
      <c r="AO1395" s="47"/>
      <c r="AP1395" s="4">
        <v>1.4</v>
      </c>
      <c r="AQ1395" s="111">
        <f t="shared" si="407"/>
        <v>0</v>
      </c>
      <c r="AR1395">
        <f>_xlfn.XLOOKUP(F1395,'RM Cost'!A:A,'RM Cost'!S:S)</f>
        <v>0</v>
      </c>
      <c r="AS1395" t="e">
        <f>_xlfn.XLOOKUP(A1395,[3]Sheet1!$B:$B,[3]Sheet1!$B:$B)</f>
        <v>#N/A</v>
      </c>
    </row>
    <row r="1396" spans="1:45" x14ac:dyDescent="0.25">
      <c r="A1396" s="1" t="s">
        <v>1900</v>
      </c>
      <c r="B1396" s="2" t="s">
        <v>552</v>
      </c>
      <c r="C1396" s="1" t="s">
        <v>1901</v>
      </c>
      <c r="D1396" s="2" t="s">
        <v>554</v>
      </c>
      <c r="E1396" s="2">
        <v>5</v>
      </c>
      <c r="F1396" s="1" t="str">
        <f>VLOOKUP(H1396,'RM Used'!A:B,2,0)</f>
        <v>353BCS</v>
      </c>
      <c r="G1396" s="1" t="str">
        <f>IFERROR(VLOOKUP(F1396,'RM Cost'!A:B,2,0),"")</f>
        <v>CARDYMA CHIPPING POTATOES 25KG</v>
      </c>
      <c r="H1396" s="1" t="s">
        <v>1902</v>
      </c>
      <c r="I1396" s="1" t="str">
        <f>VLOOKUP(F1396,'RM Used'!B:D,3,0)</f>
        <v>RM-FOOD</v>
      </c>
      <c r="J1396" s="66">
        <v>1</v>
      </c>
      <c r="K1396" s="35">
        <f t="shared" si="416"/>
        <v>5</v>
      </c>
      <c r="L1396" s="35">
        <f t="shared" si="399"/>
        <v>5</v>
      </c>
      <c r="M1396" s="77" cm="1">
        <f t="array" ref="M1396">_xlfn.IFS(BOM!I1396="RM-PACKING","100%",B1396="Reynolds",VLOOKUP(H1396,'Yield &amp; Time'!A:V,22,0),BOM!B1396="Dnata",VLOOKUP(BOM!H1396,'Yield &amp; Time'!A:M,13,0),B1396="NK",VLOOKUP(H1396,'Yield &amp; Time'!A:X,24,0))</f>
        <v>0.50893081761006287</v>
      </c>
      <c r="N1396" s="35">
        <f t="shared" si="409"/>
        <v>9.8245180425111229</v>
      </c>
      <c r="O1396" s="1" t="str">
        <f>VLOOKUP(H1396,'RM Used'!A:E,5,0)</f>
        <v>KG</v>
      </c>
      <c r="P1396" s="11">
        <f>VLOOKUP(H1396,'RM Used'!A:F,6,0)</f>
        <v>0.55000000000000004</v>
      </c>
      <c r="Q1396" s="11">
        <f t="shared" si="408"/>
        <v>5.403484923381118</v>
      </c>
      <c r="R1396" s="11">
        <f>IFERROR(IF(B1396="Reynolds",VLOOKUP(H1396,'Yield &amp; Time'!A:U,21,0),VLOOKUP(H1396,'Yield &amp; Time'!A:L,12,0)),0)</f>
        <v>3.3730845279288189</v>
      </c>
      <c r="S1396" s="11">
        <f t="shared" si="400"/>
        <v>5.7089455635195252</v>
      </c>
      <c r="T1396" s="11">
        <f t="shared" si="401"/>
        <v>0.28109037732740155</v>
      </c>
      <c r="U1396" s="11">
        <f>IF(A1395=A1396,0,VLOOKUP(A1396,'Packing Time'!A:F,6,0))</f>
        <v>1.1850000000000001</v>
      </c>
      <c r="V1396" s="11">
        <f t="shared" si="411"/>
        <v>0.40112249999999999</v>
      </c>
      <c r="W1396" s="11">
        <f t="shared" si="412"/>
        <v>1.975E-2</v>
      </c>
      <c r="X1396" s="11">
        <f t="shared" si="402"/>
        <v>6.7210748698714777</v>
      </c>
      <c r="Y1396" s="11">
        <f t="shared" si="413"/>
        <v>6.7210748698714777</v>
      </c>
      <c r="Z1396" s="37">
        <v>1</v>
      </c>
      <c r="AA1396" s="36">
        <f t="shared" si="403"/>
        <v>9.8245180425111229</v>
      </c>
      <c r="AB1396" s="36">
        <f t="shared" si="404"/>
        <v>5.403484923381118</v>
      </c>
      <c r="AC1396" s="11">
        <f t="shared" si="405"/>
        <v>0.3309244150601417</v>
      </c>
      <c r="AD1396" s="36">
        <f t="shared" si="414"/>
        <v>6.7210748698714777</v>
      </c>
      <c r="AE1396" s="36"/>
      <c r="AF1396" s="36">
        <f>IFERROR(VLOOKUP(AE1396,'Chemical Cost'!A:D,4,0),0)</f>
        <v>0</v>
      </c>
      <c r="AG1396" s="114">
        <f t="shared" si="406"/>
        <v>0</v>
      </c>
      <c r="AH1396" s="36">
        <f t="shared" si="410"/>
        <v>0</v>
      </c>
      <c r="AI1396" s="36">
        <f t="shared" si="415"/>
        <v>12.124559793252596</v>
      </c>
      <c r="AJ1396" s="36">
        <f>IFERROR(VLOOKUP(A1396,'All Products'!A:F,6,0),0)</f>
        <v>12.179471391497776</v>
      </c>
      <c r="AK1396" s="1"/>
      <c r="AL1396" s="23">
        <v>1</v>
      </c>
      <c r="AM1396" s="23"/>
      <c r="AN1396" s="54" t="e">
        <v>#N/A</v>
      </c>
      <c r="AO1396" s="47"/>
      <c r="AP1396" s="4">
        <v>1.1000000000000001</v>
      </c>
      <c r="AQ1396" s="111">
        <f t="shared" si="407"/>
        <v>0.3309244150601417</v>
      </c>
      <c r="AR1396">
        <f>_xlfn.XLOOKUP(F1396,'RM Cost'!A:A,'RM Cost'!S:S)</f>
        <v>0</v>
      </c>
      <c r="AS1396" t="e">
        <f>_xlfn.XLOOKUP(A1396,[3]Sheet1!$B:$B,[3]Sheet1!$B:$B)</f>
        <v>#N/A</v>
      </c>
    </row>
    <row r="1397" spans="1:45" x14ac:dyDescent="0.25">
      <c r="A1397" s="1" t="s">
        <v>1900</v>
      </c>
      <c r="B1397" s="2" t="s">
        <v>552</v>
      </c>
      <c r="C1397" s="1" t="s">
        <v>1901</v>
      </c>
      <c r="D1397" s="2" t="s">
        <v>554</v>
      </c>
      <c r="E1397" s="2">
        <v>5</v>
      </c>
      <c r="F1397" s="1" t="str">
        <f>VLOOKUP(H1397,'RM Used'!A:B,2,0)</f>
        <v>P0025</v>
      </c>
      <c r="G1397" s="1" t="str">
        <f>IFERROR(VLOOKUP(F1397,'RM Cost'!A:B,2,0),"")</f>
        <v>VACK PACK 360x520</v>
      </c>
      <c r="H1397" s="1" t="s">
        <v>4804</v>
      </c>
      <c r="I1397" s="1" t="str">
        <f>VLOOKUP(F1397,'RM Used'!B:D,3,0)</f>
        <v>RM-PACKING</v>
      </c>
      <c r="J1397" s="66">
        <v>1</v>
      </c>
      <c r="K1397" s="35" t="str">
        <f t="shared" si="416"/>
        <v/>
      </c>
      <c r="L1397" s="35">
        <f t="shared" si="399"/>
        <v>0</v>
      </c>
      <c r="M1397" s="77" t="str" cm="1">
        <f t="array" ref="M1397">_xlfn.IFS(BOM!I1397="RM-PACKING","100%",B1397="Reynolds",VLOOKUP(H1397,'Yield &amp; Time'!A:V,22,0),BOM!B1397="Dnata",VLOOKUP(BOM!H1397,'Yield &amp; Time'!A:M,13,0),B1397="NK",VLOOKUP(H1397,'Yield &amp; Time'!A:X,24,0))</f>
        <v>100%</v>
      </c>
      <c r="N1397" s="35">
        <f t="shared" si="409"/>
        <v>1</v>
      </c>
      <c r="O1397" s="1" t="str">
        <f>VLOOKUP(H1397,'RM Used'!A:E,5,0)</f>
        <v>Count</v>
      </c>
      <c r="P1397" s="11">
        <f>VLOOKUP(H1397,'RM Used'!A:F,6,0)</f>
        <v>0.15</v>
      </c>
      <c r="Q1397" s="11">
        <f t="shared" si="408"/>
        <v>0.15</v>
      </c>
      <c r="R1397" s="11">
        <f>IFERROR(IF(B1397="Reynolds",VLOOKUP(H1397,'Yield &amp; Time'!A:U,21,0),VLOOKUP(H1397,'Yield &amp; Time'!A:L,12,0)),0)</f>
        <v>0</v>
      </c>
      <c r="S1397" s="11">
        <f t="shared" si="400"/>
        <v>0</v>
      </c>
      <c r="T1397" s="11">
        <f t="shared" si="401"/>
        <v>0</v>
      </c>
      <c r="U1397" s="11">
        <f>IF(A1396=A1397,0,VLOOKUP(A1397,'Packing Time'!A:F,6,0))</f>
        <v>0</v>
      </c>
      <c r="V1397" s="11">
        <f t="shared" si="411"/>
        <v>0</v>
      </c>
      <c r="W1397" s="11">
        <f t="shared" si="412"/>
        <v>0</v>
      </c>
      <c r="X1397" s="11">
        <f t="shared" si="402"/>
        <v>0</v>
      </c>
      <c r="Y1397" s="11">
        <f t="shared" si="413"/>
        <v>0</v>
      </c>
      <c r="Z1397" s="37">
        <v>1</v>
      </c>
      <c r="AA1397" s="36">
        <f t="shared" si="403"/>
        <v>1</v>
      </c>
      <c r="AB1397" s="36">
        <f t="shared" si="404"/>
        <v>0.15</v>
      </c>
      <c r="AC1397" s="11">
        <f t="shared" si="405"/>
        <v>0</v>
      </c>
      <c r="AD1397" s="36">
        <f t="shared" si="414"/>
        <v>0</v>
      </c>
      <c r="AE1397" s="36"/>
      <c r="AF1397" s="36">
        <f>IFERROR(VLOOKUP(AE1397,'Chemical Cost'!A:D,4,0),0)</f>
        <v>0</v>
      </c>
      <c r="AG1397" s="114">
        <f t="shared" si="406"/>
        <v>0</v>
      </c>
      <c r="AH1397" s="36">
        <f t="shared" si="410"/>
        <v>0</v>
      </c>
      <c r="AI1397" s="36">
        <f t="shared" si="415"/>
        <v>0.15</v>
      </c>
      <c r="AJ1397" s="36">
        <f>IFERROR(VLOOKUP(A1397,'All Products'!A:F,6,0),0)</f>
        <v>12.179471391497776</v>
      </c>
      <c r="AK1397" s="1"/>
      <c r="AL1397" s="23">
        <v>1</v>
      </c>
      <c r="AM1397" s="23"/>
      <c r="AN1397" s="54" t="e">
        <v>#N/A</v>
      </c>
      <c r="AO1397" s="47"/>
      <c r="AP1397" s="4">
        <v>1.1000000000000001</v>
      </c>
      <c r="AQ1397" s="111">
        <f t="shared" si="407"/>
        <v>0</v>
      </c>
      <c r="AR1397">
        <f>_xlfn.XLOOKUP(F1397,'RM Cost'!A:A,'RM Cost'!S:S)</f>
        <v>0</v>
      </c>
      <c r="AS1397" t="e">
        <f>_xlfn.XLOOKUP(A1397,[3]Sheet1!$B:$B,[3]Sheet1!$B:$B)</f>
        <v>#N/A</v>
      </c>
    </row>
    <row r="1398" spans="1:45" x14ac:dyDescent="0.25">
      <c r="A1398" s="1" t="s">
        <v>1900</v>
      </c>
      <c r="B1398" s="2" t="s">
        <v>552</v>
      </c>
      <c r="C1398" s="1" t="s">
        <v>1901</v>
      </c>
      <c r="D1398" s="2" t="s">
        <v>554</v>
      </c>
      <c r="E1398" s="2">
        <v>5</v>
      </c>
      <c r="F1398" s="1" t="str">
        <f>VLOOKUP(H1398,'RM Used'!A:B,2,0)</f>
        <v>P0016</v>
      </c>
      <c r="G1398" s="1" t="str">
        <f>IFERROR(VLOOKUP(F1398,'RM Cost'!A:B,2,0),"")</f>
        <v>REY 40 30 BOX</v>
      </c>
      <c r="H1398" s="1" t="s">
        <v>1332</v>
      </c>
      <c r="I1398" s="1" t="str">
        <f>VLOOKUP(F1398,'RM Used'!B:D,3,0)</f>
        <v>RM-PACKING</v>
      </c>
      <c r="J1398" s="66">
        <v>1</v>
      </c>
      <c r="K1398" s="35" t="str">
        <f>IF(I1398="RM-FOOD",J1398*E1398,"")</f>
        <v/>
      </c>
      <c r="L1398" s="35">
        <f t="shared" si="399"/>
        <v>0</v>
      </c>
      <c r="M1398" s="77" t="str" cm="1">
        <f t="array" ref="M1398">_xlfn.IFS(BOM!I1398="RM-PACKING","100%",B1398="Reynolds",VLOOKUP(H1398,'Yield &amp; Time'!A:V,22,0),BOM!B1398="Dnata",VLOOKUP(BOM!H1398,'Yield &amp; Time'!A:M,13,0),B1398="NK",VLOOKUP(H1398,'Yield &amp; Time'!A:X,24,0))</f>
        <v>100%</v>
      </c>
      <c r="N1398" s="35">
        <f>IFERROR(IF(I1398="RM-FOOD",(E1398*J1398)/M1398,1),0)</f>
        <v>1</v>
      </c>
      <c r="O1398" s="1" t="str">
        <f>VLOOKUP(H1398,'RM Used'!A:E,5,0)</f>
        <v>Count</v>
      </c>
      <c r="P1398" s="11">
        <f>VLOOKUP(H1398,'RM Used'!A:F,6,0)</f>
        <v>0.28000000000000003</v>
      </c>
      <c r="Q1398" s="11">
        <f t="shared" si="408"/>
        <v>0.28000000000000003</v>
      </c>
      <c r="R1398" s="11">
        <f>IFERROR(IF(B1398="Reynolds",VLOOKUP(H1398,'Yield &amp; Time'!A:U,21,0),VLOOKUP(H1398,'Yield &amp; Time'!A:L,12,0)),0)</f>
        <v>0</v>
      </c>
      <c r="S1398" s="11">
        <f t="shared" si="400"/>
        <v>0</v>
      </c>
      <c r="T1398" s="11">
        <f t="shared" si="401"/>
        <v>0</v>
      </c>
      <c r="U1398" s="11">
        <f>IF(A1397=A1398,0,VLOOKUP(A1398,'Packing Time'!A:F,6,0))</f>
        <v>0</v>
      </c>
      <c r="V1398" s="11">
        <f>U1398*AO$1</f>
        <v>0</v>
      </c>
      <c r="W1398" s="11">
        <f>(U1398*Z1398)/60</f>
        <v>0</v>
      </c>
      <c r="X1398" s="11">
        <f t="shared" si="402"/>
        <v>0</v>
      </c>
      <c r="Y1398" s="11">
        <f>X1398*Z1398</f>
        <v>0</v>
      </c>
      <c r="Z1398" s="37">
        <v>1</v>
      </c>
      <c r="AA1398" s="36">
        <f t="shared" si="403"/>
        <v>1</v>
      </c>
      <c r="AB1398" s="36">
        <f t="shared" si="404"/>
        <v>0.28000000000000003</v>
      </c>
      <c r="AC1398" s="11">
        <f t="shared" si="405"/>
        <v>0</v>
      </c>
      <c r="AD1398" s="36">
        <f>AC1398*60*AO$1</f>
        <v>0</v>
      </c>
      <c r="AE1398" s="36"/>
      <c r="AF1398" s="36">
        <f>IFERROR(VLOOKUP(AE1398,'Chemical Cost'!A:D,4,0),0)</f>
        <v>0</v>
      </c>
      <c r="AG1398" s="114">
        <f t="shared" si="406"/>
        <v>0</v>
      </c>
      <c r="AH1398" s="36">
        <f t="shared" si="410"/>
        <v>0</v>
      </c>
      <c r="AI1398" s="36">
        <f>IFERROR((Q1398*Z1398)+(Z1398*X1398)+AH1398,0)</f>
        <v>0.28000000000000003</v>
      </c>
      <c r="AJ1398" s="36">
        <f>IFERROR(VLOOKUP(A1398,'All Products'!A:F,6,0),0)</f>
        <v>12.179471391497776</v>
      </c>
      <c r="AK1398" s="1"/>
      <c r="AL1398" s="23">
        <v>1</v>
      </c>
      <c r="AM1398" s="23"/>
      <c r="AN1398" s="54" t="e">
        <v>#N/A</v>
      </c>
      <c r="AO1398" s="47"/>
      <c r="AP1398" s="4">
        <v>1.1000000000000001</v>
      </c>
      <c r="AQ1398" s="111">
        <f t="shared" si="407"/>
        <v>0</v>
      </c>
      <c r="AR1398">
        <f>_xlfn.XLOOKUP(F1398,'RM Cost'!A:A,'RM Cost'!S:S)</f>
        <v>0</v>
      </c>
      <c r="AS1398" t="e">
        <f>_xlfn.XLOOKUP(A1398,[3]Sheet1!$B:$B,[3]Sheet1!$B:$B)</f>
        <v>#N/A</v>
      </c>
    </row>
    <row r="1399" spans="1:45" x14ac:dyDescent="0.25">
      <c r="A1399" s="1" t="s">
        <v>4303</v>
      </c>
      <c r="B1399" s="2" t="s">
        <v>656</v>
      </c>
      <c r="C1399" s="1" t="s">
        <v>4304</v>
      </c>
      <c r="D1399" s="2" t="s">
        <v>554</v>
      </c>
      <c r="E1399" s="2">
        <v>2.5</v>
      </c>
      <c r="F1399" s="1" t="str">
        <f>VLOOKUP(H1399,'RM Used'!A:B,2,0)</f>
        <v>3566CS</v>
      </c>
      <c r="G1399" s="1" t="str">
        <f>IFERROR(VLOOKUP(F1399,'RM Cost'!A:B,2,0),"")</f>
        <v>PEPPERS RED X 5KG</v>
      </c>
      <c r="H1399" s="1" t="s">
        <v>1397</v>
      </c>
      <c r="I1399" s="1" t="str">
        <f>VLOOKUP(F1399,'RM Used'!B:D,3,0)</f>
        <v>RM-FOOD</v>
      </c>
      <c r="J1399" s="66">
        <v>0.34</v>
      </c>
      <c r="K1399" s="35">
        <f t="shared" si="416"/>
        <v>0.85000000000000009</v>
      </c>
      <c r="L1399" s="35">
        <f t="shared" si="399"/>
        <v>0.85000000000000009</v>
      </c>
      <c r="M1399" s="77" cm="1">
        <f t="array" ref="M1399">_xlfn.IFS(BOM!I1399="RM-PACKING","100%",B1399="Reynolds",VLOOKUP(H1399,'Yield &amp; Time'!A:V,22,0),BOM!B1399="Dnata",VLOOKUP(BOM!H1399,'Yield &amp; Time'!A:M,13,0),B1399="NK",VLOOKUP(H1399,'Yield &amp; Time'!A:X,24,0))</f>
        <v>0.45454545454545459</v>
      </c>
      <c r="N1399" s="35">
        <f t="shared" ref="N1399:N1423" si="417">IFERROR(IF(I1399="RM-FOOD",(E1399*J1399)/M1399,1),0)</f>
        <v>1.87</v>
      </c>
      <c r="O1399" s="1" t="str">
        <f>VLOOKUP(H1399,'RM Used'!A:E,5,0)</f>
        <v>KG</v>
      </c>
      <c r="P1399" s="11">
        <f>VLOOKUP(H1399,'RM Used'!A:F,6,0)</f>
        <v>1.72</v>
      </c>
      <c r="Q1399" s="11">
        <f t="shared" si="408"/>
        <v>3.2164000000000001</v>
      </c>
      <c r="R1399" s="11">
        <f>IFERROR(IF(B1399="Reynolds",VLOOKUP(H1399,'Yield &amp; Time'!A:U,21,0),VLOOKUP(H1399,'Yield &amp; Time'!A:L,12,0)),0)</f>
        <v>6.75</v>
      </c>
      <c r="S1399" s="11">
        <f t="shared" si="400"/>
        <v>1.9421437500000001</v>
      </c>
      <c r="T1399" s="11">
        <f t="shared" si="401"/>
        <v>9.5625000000000016E-2</v>
      </c>
      <c r="U1399" s="11">
        <f>IF(A1398=A1399,0,VLOOKUP(A1399,'Packing Time'!A:F,6,0))</f>
        <v>0.875</v>
      </c>
      <c r="V1399" s="11">
        <f t="shared" si="411"/>
        <v>0.29618749999999999</v>
      </c>
      <c r="W1399" s="11">
        <f t="shared" si="412"/>
        <v>1.4583333333333334E-2</v>
      </c>
      <c r="X1399" s="11">
        <f t="shared" si="402"/>
        <v>3.5813299999999999</v>
      </c>
      <c r="Y1399" s="11">
        <f t="shared" si="413"/>
        <v>3.5813299999999999</v>
      </c>
      <c r="Z1399" s="37">
        <v>1</v>
      </c>
      <c r="AA1399" s="36">
        <f t="shared" si="403"/>
        <v>1.87</v>
      </c>
      <c r="AB1399" s="36">
        <f t="shared" si="404"/>
        <v>3.2164000000000001</v>
      </c>
      <c r="AC1399" s="11">
        <f t="shared" si="405"/>
        <v>0.17633333333333334</v>
      </c>
      <c r="AD1399" s="36">
        <f t="shared" si="414"/>
        <v>3.5813299999999999</v>
      </c>
      <c r="AE1399" s="36"/>
      <c r="AF1399" s="36">
        <f>IFERROR(VLOOKUP(AE1399,'Chemical Cost'!A:D,4,0),0)</f>
        <v>0</v>
      </c>
      <c r="AG1399" s="114">
        <f t="shared" si="406"/>
        <v>0</v>
      </c>
      <c r="AH1399" s="36">
        <f t="shared" si="410"/>
        <v>0</v>
      </c>
      <c r="AI1399" s="36">
        <f t="shared" si="415"/>
        <v>6.7977299999999996</v>
      </c>
      <c r="AJ1399" s="36">
        <f>IFERROR(VLOOKUP(A1399,'All Products'!A:F,6,0),0)</f>
        <v>25.54</v>
      </c>
      <c r="AK1399" s="1"/>
      <c r="AL1399" s="23">
        <v>1</v>
      </c>
      <c r="AM1399" s="23"/>
      <c r="AN1399" s="54" t="e">
        <v>#N/A</v>
      </c>
      <c r="AP1399" s="4">
        <v>1.6</v>
      </c>
      <c r="AQ1399" s="111">
        <f t="shared" si="407"/>
        <v>0.17633333333333334</v>
      </c>
      <c r="AR1399">
        <f>_xlfn.XLOOKUP(F1399,'RM Cost'!A:A,'RM Cost'!S:S)</f>
        <v>0</v>
      </c>
      <c r="AS1399" t="e">
        <f>_xlfn.XLOOKUP(A1399,[3]Sheet1!$B:$B,[3]Sheet1!$B:$B)</f>
        <v>#N/A</v>
      </c>
    </row>
    <row r="1400" spans="1:45" x14ac:dyDescent="0.25">
      <c r="A1400" s="1" t="s">
        <v>4303</v>
      </c>
      <c r="B1400" s="2" t="s">
        <v>656</v>
      </c>
      <c r="C1400" s="1" t="s">
        <v>4304</v>
      </c>
      <c r="D1400" s="2" t="s">
        <v>554</v>
      </c>
      <c r="E1400" s="2">
        <v>2.5</v>
      </c>
      <c r="F1400" s="1" t="str">
        <f>VLOOKUP(H1400,'RM Used'!A:B,2,0)</f>
        <v>3565CS</v>
      </c>
      <c r="G1400" s="1" t="str">
        <f>IFERROR(VLOOKUP(F1400,'RM Cost'!A:B,2,0),"")</f>
        <v>RM - PEPPERS GREEN  X 5KG</v>
      </c>
      <c r="H1400" s="1" t="s">
        <v>1398</v>
      </c>
      <c r="I1400" s="1" t="str">
        <f>VLOOKUP(F1400,'RM Used'!B:D,3,0)</f>
        <v>RM-FOOD</v>
      </c>
      <c r="J1400" s="66">
        <v>0.33</v>
      </c>
      <c r="K1400" s="35">
        <f t="shared" si="416"/>
        <v>0.82500000000000007</v>
      </c>
      <c r="L1400" s="35">
        <f t="shared" si="399"/>
        <v>0.82500000000000007</v>
      </c>
      <c r="M1400" s="77" cm="1">
        <f t="array" ref="M1400">_xlfn.IFS(BOM!I1400="RM-PACKING","100%",B1400="Reynolds",VLOOKUP(H1400,'Yield &amp; Time'!A:V,22,0),BOM!B1400="Dnata",VLOOKUP(BOM!H1400,'Yield &amp; Time'!A:M,13,0),B1400="NK",VLOOKUP(H1400,'Yield &amp; Time'!A:X,24,0))</f>
        <v>0.45454545454545459</v>
      </c>
      <c r="N1400" s="35">
        <f t="shared" si="417"/>
        <v>1.8149999999999999</v>
      </c>
      <c r="O1400" s="1" t="str">
        <f>VLOOKUP(H1400,'RM Used'!A:E,5,0)</f>
        <v>KG</v>
      </c>
      <c r="P1400" s="11">
        <f>VLOOKUP(H1400,'RM Used'!A:F,6,0)</f>
        <v>1.76</v>
      </c>
      <c r="Q1400" s="11">
        <f t="shared" si="408"/>
        <v>3.1943999999999999</v>
      </c>
      <c r="R1400" s="11">
        <f>IFERROR(IF(B1400="Reynolds",VLOOKUP(H1400,'Yield &amp; Time'!A:U,21,0),VLOOKUP(H1400,'Yield &amp; Time'!A:L,12,0)),0)</f>
        <v>6.75</v>
      </c>
      <c r="S1400" s="11">
        <f t="shared" si="400"/>
        <v>1.8850218749999996</v>
      </c>
      <c r="T1400" s="11">
        <f t="shared" si="401"/>
        <v>9.2812499999999992E-2</v>
      </c>
      <c r="U1400" s="11">
        <f>IF(A1399=A1400,0,VLOOKUP(A1400,'Packing Time'!A:F,6,0))</f>
        <v>0</v>
      </c>
      <c r="V1400" s="11">
        <f t="shared" si="411"/>
        <v>0</v>
      </c>
      <c r="W1400" s="11">
        <f t="shared" si="412"/>
        <v>0</v>
      </c>
      <c r="X1400" s="11">
        <f t="shared" si="402"/>
        <v>3.0160349999999996</v>
      </c>
      <c r="Y1400" s="11">
        <f t="shared" si="413"/>
        <v>3.0160349999999996</v>
      </c>
      <c r="Z1400" s="37">
        <v>1</v>
      </c>
      <c r="AA1400" s="36">
        <f t="shared" si="403"/>
        <v>1.8149999999999999</v>
      </c>
      <c r="AB1400" s="36">
        <f t="shared" si="404"/>
        <v>3.1943999999999999</v>
      </c>
      <c r="AC1400" s="11">
        <f t="shared" si="405"/>
        <v>0.14849999999999999</v>
      </c>
      <c r="AD1400" s="36">
        <f t="shared" si="414"/>
        <v>3.0160349999999996</v>
      </c>
      <c r="AE1400" s="36"/>
      <c r="AF1400" s="36">
        <f>IFERROR(VLOOKUP(AE1400,'Chemical Cost'!A:D,4,0),0)</f>
        <v>0</v>
      </c>
      <c r="AG1400" s="114">
        <f t="shared" si="406"/>
        <v>0</v>
      </c>
      <c r="AH1400" s="36">
        <f t="shared" si="410"/>
        <v>0</v>
      </c>
      <c r="AI1400" s="36">
        <f t="shared" si="415"/>
        <v>6.2104349999999995</v>
      </c>
      <c r="AJ1400" s="36">
        <f>IFERROR(VLOOKUP(A1400,'All Products'!A:F,6,0),0)</f>
        <v>25.54</v>
      </c>
      <c r="AK1400" s="1"/>
      <c r="AL1400" s="23">
        <v>1</v>
      </c>
      <c r="AM1400" s="23"/>
      <c r="AN1400" s="54" t="e">
        <v>#N/A</v>
      </c>
      <c r="AP1400" s="4">
        <v>1.6</v>
      </c>
      <c r="AQ1400" s="111">
        <f t="shared" si="407"/>
        <v>0.14849999999999999</v>
      </c>
      <c r="AR1400">
        <f>_xlfn.XLOOKUP(F1400,'RM Cost'!A:A,'RM Cost'!S:S)</f>
        <v>0</v>
      </c>
      <c r="AS1400" t="e">
        <f>_xlfn.XLOOKUP(A1400,[3]Sheet1!$B:$B,[3]Sheet1!$B:$B)</f>
        <v>#N/A</v>
      </c>
    </row>
    <row r="1401" spans="1:45" x14ac:dyDescent="0.25">
      <c r="A1401" s="1" t="s">
        <v>4303</v>
      </c>
      <c r="B1401" s="2" t="s">
        <v>656</v>
      </c>
      <c r="C1401" s="1" t="s">
        <v>4304</v>
      </c>
      <c r="D1401" s="2" t="s">
        <v>554</v>
      </c>
      <c r="E1401" s="2">
        <v>2.5</v>
      </c>
      <c r="F1401" s="1" t="str">
        <f>VLOOKUP(H1401,'RM Used'!A:B,2,0)</f>
        <v>3567CS</v>
      </c>
      <c r="G1401" s="1" t="str">
        <f>IFERROR(VLOOKUP(F1401,'RM Cost'!A:B,2,0),"")</f>
        <v>RM - PEPPERS YELLOW  X 5KG</v>
      </c>
      <c r="H1401" s="1" t="s">
        <v>1399</v>
      </c>
      <c r="I1401" s="1" t="str">
        <f>VLOOKUP(F1401,'RM Used'!B:D,3,0)</f>
        <v>RM-FOOD</v>
      </c>
      <c r="J1401" s="66">
        <v>0.33</v>
      </c>
      <c r="K1401" s="35">
        <f t="shared" si="416"/>
        <v>0.82500000000000007</v>
      </c>
      <c r="L1401" s="35">
        <f t="shared" si="399"/>
        <v>0.82500000000000007</v>
      </c>
      <c r="M1401" s="77" cm="1">
        <f t="array" ref="M1401">_xlfn.IFS(BOM!I1401="RM-PACKING","100%",B1401="Reynolds",VLOOKUP(H1401,'Yield &amp; Time'!A:V,22,0),BOM!B1401="Dnata",VLOOKUP(BOM!H1401,'Yield &amp; Time'!A:M,13,0),B1401="NK",VLOOKUP(H1401,'Yield &amp; Time'!A:X,24,0))</f>
        <v>0.45454545454545459</v>
      </c>
      <c r="N1401" s="35">
        <f t="shared" si="417"/>
        <v>1.8149999999999999</v>
      </c>
      <c r="O1401" s="1" t="str">
        <f>VLOOKUP(H1401,'RM Used'!A:E,5,0)</f>
        <v>KG</v>
      </c>
      <c r="P1401" s="11">
        <f>VLOOKUP(H1401,'RM Used'!A:F,6,0)</f>
        <v>1.68</v>
      </c>
      <c r="Q1401" s="11">
        <f t="shared" si="408"/>
        <v>3.0491999999999999</v>
      </c>
      <c r="R1401" s="11">
        <f>IFERROR(IF(B1401="Reynolds",VLOOKUP(H1401,'Yield &amp; Time'!A:U,21,0),VLOOKUP(H1401,'Yield &amp; Time'!A:L,12,0)),0)</f>
        <v>6.75</v>
      </c>
      <c r="S1401" s="11">
        <f t="shared" si="400"/>
        <v>1.8850218749999996</v>
      </c>
      <c r="T1401" s="11">
        <f t="shared" si="401"/>
        <v>9.2812499999999992E-2</v>
      </c>
      <c r="U1401" s="11">
        <f>IF(A1400=A1401,0,VLOOKUP(A1401,'Packing Time'!A:F,6,0))</f>
        <v>0</v>
      </c>
      <c r="V1401" s="11">
        <f t="shared" si="411"/>
        <v>0</v>
      </c>
      <c r="W1401" s="11">
        <f t="shared" si="412"/>
        <v>0</v>
      </c>
      <c r="X1401" s="11">
        <f t="shared" si="402"/>
        <v>3.0160349999999996</v>
      </c>
      <c r="Y1401" s="11">
        <f t="shared" si="413"/>
        <v>3.0160349999999996</v>
      </c>
      <c r="Z1401" s="37">
        <v>1</v>
      </c>
      <c r="AA1401" s="36">
        <f t="shared" si="403"/>
        <v>1.8149999999999999</v>
      </c>
      <c r="AB1401" s="36">
        <f t="shared" si="404"/>
        <v>3.0491999999999999</v>
      </c>
      <c r="AC1401" s="11">
        <f t="shared" si="405"/>
        <v>0.14849999999999999</v>
      </c>
      <c r="AD1401" s="36">
        <f t="shared" si="414"/>
        <v>3.0160349999999996</v>
      </c>
      <c r="AE1401" s="36"/>
      <c r="AF1401" s="36">
        <f>IFERROR(VLOOKUP(AE1401,'Chemical Cost'!A:D,4,0),0)</f>
        <v>0</v>
      </c>
      <c r="AG1401" s="114">
        <f t="shared" si="406"/>
        <v>0</v>
      </c>
      <c r="AH1401" s="36">
        <f t="shared" si="410"/>
        <v>0</v>
      </c>
      <c r="AI1401" s="36">
        <f t="shared" si="415"/>
        <v>6.0652349999999995</v>
      </c>
      <c r="AJ1401" s="36">
        <f>IFERROR(VLOOKUP(A1401,'All Products'!A:F,6,0),0)</f>
        <v>25.54</v>
      </c>
      <c r="AK1401" s="1"/>
      <c r="AL1401" s="23">
        <v>1</v>
      </c>
      <c r="AM1401" s="23"/>
      <c r="AN1401" s="54" t="e">
        <v>#N/A</v>
      </c>
      <c r="AP1401" s="4">
        <v>1.6</v>
      </c>
      <c r="AQ1401" s="111">
        <f t="shared" si="407"/>
        <v>0.14849999999999999</v>
      </c>
      <c r="AR1401">
        <f>_xlfn.XLOOKUP(F1401,'RM Cost'!A:A,'RM Cost'!S:S)</f>
        <v>0</v>
      </c>
      <c r="AS1401" t="e">
        <f>_xlfn.XLOOKUP(A1401,[3]Sheet1!$B:$B,[3]Sheet1!$B:$B)</f>
        <v>#N/A</v>
      </c>
    </row>
    <row r="1402" spans="1:45" x14ac:dyDescent="0.25">
      <c r="A1402" s="1" t="s">
        <v>4303</v>
      </c>
      <c r="B1402" s="2" t="s">
        <v>656</v>
      </c>
      <c r="C1402" s="1" t="s">
        <v>4304</v>
      </c>
      <c r="D1402" s="2" t="s">
        <v>554</v>
      </c>
      <c r="E1402" s="2">
        <v>2.5</v>
      </c>
      <c r="F1402" s="1" t="str">
        <f>VLOOKUP(H1402,'RM Used'!A:B,2,0)</f>
        <v>P0008</v>
      </c>
      <c r="G1402" s="1" t="str">
        <f>IFERROR(VLOOKUP(F1402,'RM Cost'!A:B,2,0),"")</f>
        <v>PALE BLUE BAG 470X750MM</v>
      </c>
      <c r="H1402" s="1" t="s">
        <v>1323</v>
      </c>
      <c r="I1402" s="1" t="str">
        <f>VLOOKUP(F1402,'RM Used'!B:D,3,0)</f>
        <v>RM-PACKING</v>
      </c>
      <c r="J1402" s="66">
        <v>1</v>
      </c>
      <c r="K1402" s="35" t="str">
        <f t="shared" si="416"/>
        <v/>
      </c>
      <c r="L1402" s="35">
        <f t="shared" si="399"/>
        <v>0</v>
      </c>
      <c r="M1402" s="77" t="str" cm="1">
        <f t="array" ref="M1402">_xlfn.IFS(BOM!I1402="RM-PACKING","100%",B1402="Reynolds",VLOOKUP(H1402,'Yield &amp; Time'!A:V,22,0),BOM!B1402="Dnata",VLOOKUP(BOM!H1402,'Yield &amp; Time'!A:M,13,0),B1402="NK",VLOOKUP(H1402,'Yield &amp; Time'!A:X,24,0))</f>
        <v>100%</v>
      </c>
      <c r="N1402" s="35">
        <f t="shared" si="417"/>
        <v>1</v>
      </c>
      <c r="O1402" s="1" t="str">
        <f>VLOOKUP(H1402,'RM Used'!A:E,5,0)</f>
        <v>Count</v>
      </c>
      <c r="P1402" s="11">
        <f>VLOOKUP(H1402,'RM Used'!A:F,6,0)</f>
        <v>0.14000000000000001</v>
      </c>
      <c r="Q1402" s="11">
        <f t="shared" si="408"/>
        <v>0.14000000000000001</v>
      </c>
      <c r="R1402" s="11">
        <f>IFERROR(IF(B1402="Reynolds",VLOOKUP(H1402,'Yield &amp; Time'!A:U,21,0),VLOOKUP(H1402,'Yield &amp; Time'!A:L,12,0)),0)</f>
        <v>0</v>
      </c>
      <c r="S1402" s="11">
        <f t="shared" si="400"/>
        <v>0</v>
      </c>
      <c r="T1402" s="11">
        <f t="shared" si="401"/>
        <v>0</v>
      </c>
      <c r="U1402" s="11">
        <f>IF(A1401=A1402,0,VLOOKUP(A1402,'Packing Time'!A:F,6,0))</f>
        <v>0</v>
      </c>
      <c r="V1402" s="11">
        <f t="shared" si="411"/>
        <v>0</v>
      </c>
      <c r="W1402" s="11">
        <f t="shared" si="412"/>
        <v>0</v>
      </c>
      <c r="X1402" s="11">
        <f t="shared" si="402"/>
        <v>0</v>
      </c>
      <c r="Y1402" s="11">
        <f t="shared" si="413"/>
        <v>0</v>
      </c>
      <c r="Z1402" s="37">
        <v>1</v>
      </c>
      <c r="AA1402" s="36">
        <f t="shared" si="403"/>
        <v>1</v>
      </c>
      <c r="AB1402" s="36">
        <f t="shared" si="404"/>
        <v>0.14000000000000001</v>
      </c>
      <c r="AC1402" s="11">
        <f t="shared" si="405"/>
        <v>0</v>
      </c>
      <c r="AD1402" s="36">
        <f t="shared" si="414"/>
        <v>0</v>
      </c>
      <c r="AE1402" s="36"/>
      <c r="AF1402" s="36">
        <f>IFERROR(VLOOKUP(AE1402,'Chemical Cost'!A:D,4,0),0)</f>
        <v>0</v>
      </c>
      <c r="AG1402" s="114">
        <f t="shared" si="406"/>
        <v>0</v>
      </c>
      <c r="AH1402" s="36">
        <f t="shared" si="410"/>
        <v>0</v>
      </c>
      <c r="AI1402" s="36">
        <f t="shared" si="415"/>
        <v>0.14000000000000001</v>
      </c>
      <c r="AJ1402" s="36">
        <f>IFERROR(VLOOKUP(A1402,'All Products'!A:F,6,0),0)</f>
        <v>25.54</v>
      </c>
      <c r="AK1402" s="1"/>
      <c r="AL1402" s="23">
        <v>1</v>
      </c>
      <c r="AM1402" s="23"/>
      <c r="AN1402" s="54" t="e">
        <v>#N/A</v>
      </c>
      <c r="AP1402" s="4">
        <v>1.6</v>
      </c>
      <c r="AQ1402" s="111">
        <f t="shared" si="407"/>
        <v>0</v>
      </c>
      <c r="AR1402">
        <f>_xlfn.XLOOKUP(F1402,'RM Cost'!A:A,'RM Cost'!S:S)</f>
        <v>0</v>
      </c>
      <c r="AS1402" t="e">
        <f>_xlfn.XLOOKUP(A1402,[3]Sheet1!$B:$B,[3]Sheet1!$B:$B)</f>
        <v>#N/A</v>
      </c>
    </row>
    <row r="1403" spans="1:45" x14ac:dyDescent="0.25">
      <c r="A1403" s="1" t="s">
        <v>4305</v>
      </c>
      <c r="B1403" s="2" t="s">
        <v>656</v>
      </c>
      <c r="C1403" s="1" t="s">
        <v>4306</v>
      </c>
      <c r="D1403" s="2" t="s">
        <v>554</v>
      </c>
      <c r="E1403" s="2">
        <v>1</v>
      </c>
      <c r="F1403" s="1" t="str">
        <f>VLOOKUP(H1403,'RM Used'!A:B,2,0)</f>
        <v>3566CS</v>
      </c>
      <c r="G1403" s="1" t="str">
        <f>IFERROR(VLOOKUP(F1403,'RM Cost'!A:B,2,0),"")</f>
        <v>PEPPERS RED X 5KG</v>
      </c>
      <c r="H1403" s="1" t="s">
        <v>1397</v>
      </c>
      <c r="I1403" s="1" t="str">
        <f>VLOOKUP(F1403,'RM Used'!B:D,3,0)</f>
        <v>RM-FOOD</v>
      </c>
      <c r="J1403" s="66">
        <v>0.34</v>
      </c>
      <c r="K1403" s="35">
        <f t="shared" si="416"/>
        <v>0.34</v>
      </c>
      <c r="L1403" s="35">
        <f t="shared" si="399"/>
        <v>0.34</v>
      </c>
      <c r="M1403" s="77" cm="1">
        <f t="array" ref="M1403">_xlfn.IFS(BOM!I1403="RM-PACKING","100%",B1403="Reynolds",VLOOKUP(H1403,'Yield &amp; Time'!A:V,22,0),BOM!B1403="Dnata",VLOOKUP(BOM!H1403,'Yield &amp; Time'!A:M,13,0),B1403="NK",VLOOKUP(H1403,'Yield &amp; Time'!A:X,24,0))</f>
        <v>0.45454545454545459</v>
      </c>
      <c r="N1403" s="35">
        <f t="shared" si="417"/>
        <v>0.748</v>
      </c>
      <c r="O1403" s="1" t="str">
        <f>VLOOKUP(H1403,'RM Used'!A:E,5,0)</f>
        <v>KG</v>
      </c>
      <c r="P1403" s="11">
        <f>VLOOKUP(H1403,'RM Used'!A:F,6,0)</f>
        <v>1.72</v>
      </c>
      <c r="Q1403" s="11">
        <f t="shared" si="408"/>
        <v>1.2865599999999999</v>
      </c>
      <c r="R1403" s="11">
        <f>IFERROR(IF(B1403="Reynolds",VLOOKUP(H1403,'Yield &amp; Time'!A:U,21,0),VLOOKUP(H1403,'Yield &amp; Time'!A:L,12,0)),0)</f>
        <v>6.75</v>
      </c>
      <c r="S1403" s="11">
        <f t="shared" si="400"/>
        <v>0.77685750000000009</v>
      </c>
      <c r="T1403" s="11">
        <f t="shared" si="401"/>
        <v>3.8250000000000006E-2</v>
      </c>
      <c r="U1403" s="11">
        <f>IF(A1402=A1403,0,VLOOKUP(A1403,'Packing Time'!A:F,6,0))</f>
        <v>0.64500000000000002</v>
      </c>
      <c r="V1403" s="11">
        <f t="shared" si="411"/>
        <v>0.21833249999999998</v>
      </c>
      <c r="W1403" s="11">
        <f t="shared" si="412"/>
        <v>1.0750000000000001E-2</v>
      </c>
      <c r="X1403" s="11">
        <f t="shared" si="402"/>
        <v>1.5923040000000002</v>
      </c>
      <c r="Y1403" s="11">
        <f t="shared" si="413"/>
        <v>1.5923040000000002</v>
      </c>
      <c r="Z1403" s="37">
        <v>1</v>
      </c>
      <c r="AA1403" s="36">
        <f t="shared" si="403"/>
        <v>0.748</v>
      </c>
      <c r="AB1403" s="36">
        <f t="shared" si="404"/>
        <v>1.2865599999999999</v>
      </c>
      <c r="AC1403" s="11">
        <f t="shared" si="405"/>
        <v>7.8400000000000025E-2</v>
      </c>
      <c r="AD1403" s="36">
        <f t="shared" si="414"/>
        <v>1.5923040000000004</v>
      </c>
      <c r="AE1403" s="36"/>
      <c r="AF1403" s="36">
        <f>IFERROR(VLOOKUP(AE1403,'Chemical Cost'!A:D,4,0),0)</f>
        <v>0</v>
      </c>
      <c r="AG1403" s="114">
        <f t="shared" si="406"/>
        <v>0</v>
      </c>
      <c r="AH1403" s="36">
        <f t="shared" si="410"/>
        <v>0</v>
      </c>
      <c r="AI1403" s="36">
        <f t="shared" si="415"/>
        <v>2.8788640000000001</v>
      </c>
      <c r="AJ1403" s="36">
        <f>IFERROR(VLOOKUP(A1403,'All Products'!A:F,6,0),0)</f>
        <v>10.220000000000001</v>
      </c>
      <c r="AK1403" s="1"/>
      <c r="AL1403" s="23">
        <v>1</v>
      </c>
      <c r="AM1403" s="23"/>
      <c r="AN1403" s="54" t="e">
        <v>#N/A</v>
      </c>
      <c r="AP1403" s="4">
        <v>1.6</v>
      </c>
      <c r="AQ1403" s="111">
        <f t="shared" si="407"/>
        <v>7.8400000000000025E-2</v>
      </c>
      <c r="AR1403">
        <f>_xlfn.XLOOKUP(F1403,'RM Cost'!A:A,'RM Cost'!S:S)</f>
        <v>0</v>
      </c>
      <c r="AS1403" t="e">
        <f>_xlfn.XLOOKUP(A1403,[3]Sheet1!$B:$B,[3]Sheet1!$B:$B)</f>
        <v>#N/A</v>
      </c>
    </row>
    <row r="1404" spans="1:45" x14ac:dyDescent="0.25">
      <c r="A1404" s="1" t="s">
        <v>4305</v>
      </c>
      <c r="B1404" s="2" t="s">
        <v>656</v>
      </c>
      <c r="C1404" s="1" t="s">
        <v>4306</v>
      </c>
      <c r="D1404" s="2" t="s">
        <v>554</v>
      </c>
      <c r="E1404" s="2">
        <v>1</v>
      </c>
      <c r="F1404" s="1" t="str">
        <f>VLOOKUP(H1404,'RM Used'!A:B,2,0)</f>
        <v>3565CS</v>
      </c>
      <c r="G1404" s="1" t="str">
        <f>IFERROR(VLOOKUP(F1404,'RM Cost'!A:B,2,0),"")</f>
        <v>RM - PEPPERS GREEN  X 5KG</v>
      </c>
      <c r="H1404" s="1" t="s">
        <v>1398</v>
      </c>
      <c r="I1404" s="1" t="str">
        <f>VLOOKUP(F1404,'RM Used'!B:D,3,0)</f>
        <v>RM-FOOD</v>
      </c>
      <c r="J1404" s="66">
        <v>0.33</v>
      </c>
      <c r="K1404" s="35">
        <f t="shared" si="416"/>
        <v>0.33</v>
      </c>
      <c r="L1404" s="35">
        <f t="shared" si="399"/>
        <v>0.33</v>
      </c>
      <c r="M1404" s="77" cm="1">
        <f t="array" ref="M1404">_xlfn.IFS(BOM!I1404="RM-PACKING","100%",B1404="Reynolds",VLOOKUP(H1404,'Yield &amp; Time'!A:V,22,0),BOM!B1404="Dnata",VLOOKUP(BOM!H1404,'Yield &amp; Time'!A:M,13,0),B1404="NK",VLOOKUP(H1404,'Yield &amp; Time'!A:X,24,0))</f>
        <v>0.45454545454545459</v>
      </c>
      <c r="N1404" s="35">
        <f t="shared" si="417"/>
        <v>0.72599999999999998</v>
      </c>
      <c r="O1404" s="1" t="str">
        <f>VLOOKUP(H1404,'RM Used'!A:E,5,0)</f>
        <v>KG</v>
      </c>
      <c r="P1404" s="11">
        <f>VLOOKUP(H1404,'RM Used'!A:F,6,0)</f>
        <v>1.76</v>
      </c>
      <c r="Q1404" s="11">
        <f t="shared" si="408"/>
        <v>1.27776</v>
      </c>
      <c r="R1404" s="11">
        <f>IFERROR(IF(B1404="Reynolds",VLOOKUP(H1404,'Yield &amp; Time'!A:U,21,0),VLOOKUP(H1404,'Yield &amp; Time'!A:L,12,0)),0)</f>
        <v>6.75</v>
      </c>
      <c r="S1404" s="11">
        <f t="shared" si="400"/>
        <v>0.75400874999999989</v>
      </c>
      <c r="T1404" s="11">
        <f t="shared" si="401"/>
        <v>3.7124999999999998E-2</v>
      </c>
      <c r="U1404" s="11">
        <f>IF(A1403=A1404,0,VLOOKUP(A1404,'Packing Time'!A:F,6,0))</f>
        <v>0</v>
      </c>
      <c r="V1404" s="11">
        <f t="shared" si="411"/>
        <v>0</v>
      </c>
      <c r="W1404" s="11">
        <f t="shared" si="412"/>
        <v>0</v>
      </c>
      <c r="X1404" s="11">
        <f t="shared" si="402"/>
        <v>1.2064139999999999</v>
      </c>
      <c r="Y1404" s="11">
        <f t="shared" si="413"/>
        <v>1.2064139999999999</v>
      </c>
      <c r="Z1404" s="37">
        <v>1</v>
      </c>
      <c r="AA1404" s="36">
        <f t="shared" si="403"/>
        <v>0.72599999999999998</v>
      </c>
      <c r="AB1404" s="36">
        <f t="shared" si="404"/>
        <v>1.27776</v>
      </c>
      <c r="AC1404" s="11">
        <f t="shared" si="405"/>
        <v>5.9400000000000001E-2</v>
      </c>
      <c r="AD1404" s="36">
        <f t="shared" si="414"/>
        <v>1.2064139999999999</v>
      </c>
      <c r="AE1404" s="36"/>
      <c r="AF1404" s="36">
        <f>IFERROR(VLOOKUP(AE1404,'Chemical Cost'!A:D,4,0),0)</f>
        <v>0</v>
      </c>
      <c r="AG1404" s="114">
        <f t="shared" si="406"/>
        <v>0</v>
      </c>
      <c r="AH1404" s="36">
        <f t="shared" si="410"/>
        <v>0</v>
      </c>
      <c r="AI1404" s="36">
        <f t="shared" si="415"/>
        <v>2.4841739999999999</v>
      </c>
      <c r="AJ1404" s="36">
        <f>IFERROR(VLOOKUP(A1404,'All Products'!A:F,6,0),0)</f>
        <v>10.220000000000001</v>
      </c>
      <c r="AK1404" s="1"/>
      <c r="AL1404" s="23">
        <v>1</v>
      </c>
      <c r="AM1404" s="23"/>
      <c r="AN1404" s="54" t="e">
        <v>#N/A</v>
      </c>
      <c r="AP1404" s="4">
        <v>1.6</v>
      </c>
      <c r="AQ1404" s="111">
        <f t="shared" si="407"/>
        <v>5.9400000000000001E-2</v>
      </c>
      <c r="AR1404">
        <f>_xlfn.XLOOKUP(F1404,'RM Cost'!A:A,'RM Cost'!S:S)</f>
        <v>0</v>
      </c>
      <c r="AS1404" t="e">
        <f>_xlfn.XLOOKUP(A1404,[3]Sheet1!$B:$B,[3]Sheet1!$B:$B)</f>
        <v>#N/A</v>
      </c>
    </row>
    <row r="1405" spans="1:45" x14ac:dyDescent="0.25">
      <c r="A1405" s="1" t="s">
        <v>4305</v>
      </c>
      <c r="B1405" s="2" t="s">
        <v>656</v>
      </c>
      <c r="C1405" s="1" t="s">
        <v>4306</v>
      </c>
      <c r="D1405" s="2" t="s">
        <v>554</v>
      </c>
      <c r="E1405" s="2">
        <v>1</v>
      </c>
      <c r="F1405" s="1" t="str">
        <f>VLOOKUP(H1405,'RM Used'!A:B,2,0)</f>
        <v>3567CS</v>
      </c>
      <c r="G1405" s="1" t="str">
        <f>IFERROR(VLOOKUP(F1405,'RM Cost'!A:B,2,0),"")</f>
        <v>RM - PEPPERS YELLOW  X 5KG</v>
      </c>
      <c r="H1405" s="1" t="s">
        <v>1399</v>
      </c>
      <c r="I1405" s="1" t="str">
        <f>VLOOKUP(F1405,'RM Used'!B:D,3,0)</f>
        <v>RM-FOOD</v>
      </c>
      <c r="J1405" s="66">
        <v>0.33</v>
      </c>
      <c r="K1405" s="35">
        <f t="shared" si="416"/>
        <v>0.33</v>
      </c>
      <c r="L1405" s="35">
        <f t="shared" si="399"/>
        <v>0.33</v>
      </c>
      <c r="M1405" s="77" cm="1">
        <f t="array" ref="M1405">_xlfn.IFS(BOM!I1405="RM-PACKING","100%",B1405="Reynolds",VLOOKUP(H1405,'Yield &amp; Time'!A:V,22,0),BOM!B1405="Dnata",VLOOKUP(BOM!H1405,'Yield &amp; Time'!A:M,13,0),B1405="NK",VLOOKUP(H1405,'Yield &amp; Time'!A:X,24,0))</f>
        <v>0.45454545454545459</v>
      </c>
      <c r="N1405" s="35">
        <f t="shared" si="417"/>
        <v>0.72599999999999998</v>
      </c>
      <c r="O1405" s="1" t="str">
        <f>VLOOKUP(H1405,'RM Used'!A:E,5,0)</f>
        <v>KG</v>
      </c>
      <c r="P1405" s="11">
        <f>VLOOKUP(H1405,'RM Used'!A:F,6,0)</f>
        <v>1.68</v>
      </c>
      <c r="Q1405" s="11">
        <f t="shared" si="408"/>
        <v>1.2196799999999999</v>
      </c>
      <c r="R1405" s="11">
        <f>IFERROR(IF(B1405="Reynolds",VLOOKUP(H1405,'Yield &amp; Time'!A:U,21,0),VLOOKUP(H1405,'Yield &amp; Time'!A:L,12,0)),0)</f>
        <v>6.75</v>
      </c>
      <c r="S1405" s="11">
        <f t="shared" si="400"/>
        <v>0.75400874999999989</v>
      </c>
      <c r="T1405" s="11">
        <f t="shared" si="401"/>
        <v>3.7124999999999998E-2</v>
      </c>
      <c r="U1405" s="11">
        <f>IF(A1404=A1405,0,VLOOKUP(A1405,'Packing Time'!A:F,6,0))</f>
        <v>0</v>
      </c>
      <c r="V1405" s="11">
        <f t="shared" si="411"/>
        <v>0</v>
      </c>
      <c r="W1405" s="11">
        <f t="shared" si="412"/>
        <v>0</v>
      </c>
      <c r="X1405" s="11">
        <f t="shared" si="402"/>
        <v>1.2064139999999999</v>
      </c>
      <c r="Y1405" s="11">
        <f t="shared" si="413"/>
        <v>1.2064139999999999</v>
      </c>
      <c r="Z1405" s="37">
        <v>1</v>
      </c>
      <c r="AA1405" s="36">
        <f t="shared" si="403"/>
        <v>0.72599999999999998</v>
      </c>
      <c r="AB1405" s="36">
        <f t="shared" si="404"/>
        <v>1.2196799999999999</v>
      </c>
      <c r="AC1405" s="11">
        <f t="shared" si="405"/>
        <v>5.9400000000000001E-2</v>
      </c>
      <c r="AD1405" s="36">
        <f t="shared" si="414"/>
        <v>1.2064139999999999</v>
      </c>
      <c r="AE1405" s="36"/>
      <c r="AF1405" s="36">
        <f>IFERROR(VLOOKUP(AE1405,'Chemical Cost'!A:D,4,0),0)</f>
        <v>0</v>
      </c>
      <c r="AG1405" s="114">
        <f t="shared" si="406"/>
        <v>0</v>
      </c>
      <c r="AH1405" s="36">
        <f t="shared" si="410"/>
        <v>0</v>
      </c>
      <c r="AI1405" s="36">
        <f t="shared" si="415"/>
        <v>2.426094</v>
      </c>
      <c r="AJ1405" s="36">
        <f>IFERROR(VLOOKUP(A1405,'All Products'!A:F,6,0),0)</f>
        <v>10.220000000000001</v>
      </c>
      <c r="AK1405" s="1"/>
      <c r="AL1405" s="23">
        <v>1</v>
      </c>
      <c r="AM1405" s="23"/>
      <c r="AN1405" s="54" t="e">
        <v>#N/A</v>
      </c>
      <c r="AP1405" s="4">
        <v>1.6</v>
      </c>
      <c r="AQ1405" s="111">
        <f t="shared" si="407"/>
        <v>5.9400000000000001E-2</v>
      </c>
      <c r="AR1405">
        <f>_xlfn.XLOOKUP(F1405,'RM Cost'!A:A,'RM Cost'!S:S)</f>
        <v>0</v>
      </c>
      <c r="AS1405" t="e">
        <f>_xlfn.XLOOKUP(A1405,[3]Sheet1!$B:$B,[3]Sheet1!$B:$B)</f>
        <v>#N/A</v>
      </c>
    </row>
    <row r="1406" spans="1:45" x14ac:dyDescent="0.25">
      <c r="A1406" s="1" t="s">
        <v>4305</v>
      </c>
      <c r="B1406" s="2" t="s">
        <v>656</v>
      </c>
      <c r="C1406" s="1" t="s">
        <v>4306</v>
      </c>
      <c r="D1406" s="2" t="s">
        <v>554</v>
      </c>
      <c r="E1406" s="2">
        <v>1</v>
      </c>
      <c r="F1406" s="1" t="str">
        <f>VLOOKUP(H1406,'RM Used'!A:B,2,0)</f>
        <v>P0008</v>
      </c>
      <c r="G1406" s="1" t="str">
        <f>IFERROR(VLOOKUP(F1406,'RM Cost'!A:B,2,0),"")</f>
        <v>PALE BLUE BAG 470X750MM</v>
      </c>
      <c r="H1406" s="1" t="s">
        <v>1323</v>
      </c>
      <c r="I1406" s="1" t="str">
        <f>VLOOKUP(F1406,'RM Used'!B:D,3,0)</f>
        <v>RM-PACKING</v>
      </c>
      <c r="J1406" s="66">
        <v>1</v>
      </c>
      <c r="K1406" s="35" t="str">
        <f t="shared" si="416"/>
        <v/>
      </c>
      <c r="L1406" s="35">
        <f t="shared" si="399"/>
        <v>0</v>
      </c>
      <c r="M1406" s="77" t="str" cm="1">
        <f t="array" ref="M1406">_xlfn.IFS(BOM!I1406="RM-PACKING","100%",B1406="Reynolds",VLOOKUP(H1406,'Yield &amp; Time'!A:V,22,0),BOM!B1406="Dnata",VLOOKUP(BOM!H1406,'Yield &amp; Time'!A:M,13,0),B1406="NK",VLOOKUP(H1406,'Yield &amp; Time'!A:X,24,0))</f>
        <v>100%</v>
      </c>
      <c r="N1406" s="35">
        <f t="shared" si="417"/>
        <v>1</v>
      </c>
      <c r="O1406" s="1" t="str">
        <f>VLOOKUP(H1406,'RM Used'!A:E,5,0)</f>
        <v>Count</v>
      </c>
      <c r="P1406" s="11">
        <f>VLOOKUP(H1406,'RM Used'!A:F,6,0)</f>
        <v>0.14000000000000001</v>
      </c>
      <c r="Q1406" s="11">
        <f t="shared" si="408"/>
        <v>0.14000000000000001</v>
      </c>
      <c r="R1406" s="11">
        <f>IFERROR(IF(B1406="Reynolds",VLOOKUP(H1406,'Yield &amp; Time'!A:U,21,0),VLOOKUP(H1406,'Yield &amp; Time'!A:L,12,0)),0)</f>
        <v>0</v>
      </c>
      <c r="S1406" s="11">
        <f t="shared" si="400"/>
        <v>0</v>
      </c>
      <c r="T1406" s="11">
        <f t="shared" si="401"/>
        <v>0</v>
      </c>
      <c r="U1406" s="11">
        <f>IF(A1405=A1406,0,VLOOKUP(A1406,'Packing Time'!A:F,6,0))</f>
        <v>0</v>
      </c>
      <c r="V1406" s="11">
        <f t="shared" si="411"/>
        <v>0</v>
      </c>
      <c r="W1406" s="11">
        <f t="shared" si="412"/>
        <v>0</v>
      </c>
      <c r="X1406" s="11">
        <f t="shared" si="402"/>
        <v>0</v>
      </c>
      <c r="Y1406" s="11">
        <f t="shared" si="413"/>
        <v>0</v>
      </c>
      <c r="Z1406" s="37">
        <v>1</v>
      </c>
      <c r="AA1406" s="36">
        <f t="shared" si="403"/>
        <v>1</v>
      </c>
      <c r="AB1406" s="36">
        <f t="shared" si="404"/>
        <v>0.14000000000000001</v>
      </c>
      <c r="AC1406" s="11">
        <f t="shared" si="405"/>
        <v>0</v>
      </c>
      <c r="AD1406" s="36">
        <f t="shared" si="414"/>
        <v>0</v>
      </c>
      <c r="AE1406" s="36"/>
      <c r="AF1406" s="36">
        <f>IFERROR(VLOOKUP(AE1406,'Chemical Cost'!A:D,4,0),0)</f>
        <v>0</v>
      </c>
      <c r="AG1406" s="114">
        <f t="shared" si="406"/>
        <v>0</v>
      </c>
      <c r="AH1406" s="36">
        <f t="shared" si="410"/>
        <v>0</v>
      </c>
      <c r="AI1406" s="36">
        <f t="shared" si="415"/>
        <v>0.14000000000000001</v>
      </c>
      <c r="AJ1406" s="36">
        <f>IFERROR(VLOOKUP(A1406,'All Products'!A:F,6,0),0)</f>
        <v>10.220000000000001</v>
      </c>
      <c r="AK1406" s="1"/>
      <c r="AL1406" s="23">
        <v>1</v>
      </c>
      <c r="AM1406" s="23"/>
      <c r="AN1406" s="54" t="e">
        <v>#N/A</v>
      </c>
      <c r="AP1406" s="4">
        <v>1.6</v>
      </c>
      <c r="AQ1406" s="111">
        <f t="shared" si="407"/>
        <v>0</v>
      </c>
      <c r="AR1406">
        <f>_xlfn.XLOOKUP(F1406,'RM Cost'!A:A,'RM Cost'!S:S)</f>
        <v>0</v>
      </c>
      <c r="AS1406" t="e">
        <f>_xlfn.XLOOKUP(A1406,[3]Sheet1!$B:$B,[3]Sheet1!$B:$B)</f>
        <v>#N/A</v>
      </c>
    </row>
    <row r="1407" spans="1:45" x14ac:dyDescent="0.25">
      <c r="A1407" s="1" t="s">
        <v>4307</v>
      </c>
      <c r="B1407" s="2" t="s">
        <v>656</v>
      </c>
      <c r="C1407" s="1" t="s">
        <v>4308</v>
      </c>
      <c r="D1407" s="2" t="s">
        <v>554</v>
      </c>
      <c r="E1407" s="2">
        <v>2.5</v>
      </c>
      <c r="F1407" s="1" t="str">
        <f>VLOOKUP(H1407,'RM Used'!A:B,2,0)</f>
        <v>3026CS</v>
      </c>
      <c r="G1407" s="1" t="str">
        <f>IFERROR(VLOOKUP(F1407,'RM Cost'!A:B,2,0),"")</f>
        <v>RM - BEETROOT RAW  X10KG</v>
      </c>
      <c r="H1407" s="1" t="s">
        <v>4311</v>
      </c>
      <c r="I1407" s="1" t="str">
        <f>VLOOKUP(F1407,'RM Used'!B:D,3,0)</f>
        <v>RM-FOOD</v>
      </c>
      <c r="J1407" s="66">
        <v>1</v>
      </c>
      <c r="K1407" s="35">
        <f t="shared" si="416"/>
        <v>2.5</v>
      </c>
      <c r="L1407" s="35">
        <f t="shared" si="399"/>
        <v>2.5</v>
      </c>
      <c r="M1407" s="77" cm="1">
        <f t="array" ref="M1407">_xlfn.IFS(BOM!I1407="RM-PACKING","100%",B1407="Reynolds",VLOOKUP(H1407,'Yield &amp; Time'!A:V,22,0),BOM!B1407="Dnata",VLOOKUP(BOM!H1407,'Yield &amp; Time'!A:M,13,0),B1407="NK",VLOOKUP(H1407,'Yield &amp; Time'!A:X,24,0))</f>
        <v>0.69</v>
      </c>
      <c r="N1407" s="35">
        <f t="shared" si="417"/>
        <v>3.6231884057971016</v>
      </c>
      <c r="O1407" s="1" t="str">
        <f>VLOOKUP(H1407,'RM Used'!A:E,5,0)</f>
        <v>KG</v>
      </c>
      <c r="P1407" s="11">
        <f>VLOOKUP(H1407,'RM Used'!A:F,6,0)</f>
        <v>0.47</v>
      </c>
      <c r="Q1407" s="11">
        <f t="shared" si="408"/>
        <v>1.7028985507246377</v>
      </c>
      <c r="R1407" s="11">
        <f>IFERROR(IF(B1407="Reynolds",VLOOKUP(H1407,'Yield &amp; Time'!A:U,21,0),VLOOKUP(H1407,'Yield &amp; Time'!A:L,12,0)),0)</f>
        <v>4.1900000000000004</v>
      </c>
      <c r="S1407" s="11">
        <f t="shared" si="400"/>
        <v>3.5457875000000003</v>
      </c>
      <c r="T1407" s="11">
        <f t="shared" si="401"/>
        <v>0.17458333333333337</v>
      </c>
      <c r="U1407" s="11">
        <f>IF(A1406=A1407,0,VLOOKUP(A1407,'Packing Time'!A:F,6,0))</f>
        <v>0.875</v>
      </c>
      <c r="V1407" s="11">
        <f t="shared" si="411"/>
        <v>0.29618749999999999</v>
      </c>
      <c r="W1407" s="11">
        <f t="shared" si="412"/>
        <v>1.4583333333333334E-2</v>
      </c>
      <c r="X1407" s="11">
        <f t="shared" si="402"/>
        <v>6.1471600000000004</v>
      </c>
      <c r="Y1407" s="11">
        <f t="shared" si="413"/>
        <v>6.1471600000000004</v>
      </c>
      <c r="Z1407" s="37">
        <v>1</v>
      </c>
      <c r="AA1407" s="36">
        <f t="shared" si="403"/>
        <v>3.6231884057971016</v>
      </c>
      <c r="AB1407" s="36">
        <f t="shared" si="404"/>
        <v>1.7028985507246377</v>
      </c>
      <c r="AC1407" s="11">
        <f t="shared" si="405"/>
        <v>0.30266666666666669</v>
      </c>
      <c r="AD1407" s="36">
        <f t="shared" si="414"/>
        <v>6.1471599999999995</v>
      </c>
      <c r="AE1407" s="36"/>
      <c r="AF1407" s="36">
        <f>IFERROR(VLOOKUP(AE1407,'Chemical Cost'!A:D,4,0),0)</f>
        <v>0</v>
      </c>
      <c r="AG1407" s="114">
        <f t="shared" si="406"/>
        <v>0</v>
      </c>
      <c r="AH1407" s="36">
        <f t="shared" si="410"/>
        <v>0</v>
      </c>
      <c r="AI1407" s="36">
        <f t="shared" si="415"/>
        <v>7.8500585507246381</v>
      </c>
      <c r="AJ1407" s="36">
        <f>IFERROR(VLOOKUP(A1407,'All Products'!A:F,6,0),0)</f>
        <v>18.38</v>
      </c>
      <c r="AK1407" s="1"/>
      <c r="AL1407" s="23">
        <v>0.4</v>
      </c>
      <c r="AM1407" s="23">
        <v>0.6</v>
      </c>
      <c r="AN1407" s="54" t="e">
        <v>#N/A</v>
      </c>
      <c r="AP1407" s="4">
        <v>1.6</v>
      </c>
      <c r="AQ1407" s="111">
        <f t="shared" si="407"/>
        <v>0.30266666666666669</v>
      </c>
      <c r="AR1407">
        <f>_xlfn.XLOOKUP(F1407,'RM Cost'!A:A,'RM Cost'!S:S)</f>
        <v>0</v>
      </c>
      <c r="AS1407" t="e">
        <f>_xlfn.XLOOKUP(A1407,[3]Sheet1!$B:$B,[3]Sheet1!$B:$B)</f>
        <v>#N/A</v>
      </c>
    </row>
    <row r="1408" spans="1:45" x14ac:dyDescent="0.25">
      <c r="A1408" s="1" t="s">
        <v>4307</v>
      </c>
      <c r="B1408" s="2" t="s">
        <v>656</v>
      </c>
      <c r="C1408" s="1" t="s">
        <v>4308</v>
      </c>
      <c r="D1408" s="2" t="s">
        <v>554</v>
      </c>
      <c r="E1408" s="2">
        <v>2.5</v>
      </c>
      <c r="F1408" s="1" t="str">
        <f>VLOOKUP(H1408,'RM Used'!A:B,2,0)</f>
        <v>P0008</v>
      </c>
      <c r="G1408" s="1" t="str">
        <f>IFERROR(VLOOKUP(F1408,'RM Cost'!A:B,2,0),"")</f>
        <v>PALE BLUE BAG 470X750MM</v>
      </c>
      <c r="H1408" s="1" t="s">
        <v>1323</v>
      </c>
      <c r="I1408" s="1" t="str">
        <f>VLOOKUP(F1408,'RM Used'!B:D,3,0)</f>
        <v>RM-PACKING</v>
      </c>
      <c r="J1408" s="66">
        <v>1</v>
      </c>
      <c r="K1408" s="35" t="str">
        <f t="shared" si="416"/>
        <v/>
      </c>
      <c r="L1408" s="35">
        <f t="shared" si="399"/>
        <v>0</v>
      </c>
      <c r="M1408" s="77" t="str" cm="1">
        <f t="array" ref="M1408">_xlfn.IFS(BOM!I1408="RM-PACKING","100%",B1408="Reynolds",VLOOKUP(H1408,'Yield &amp; Time'!A:V,22,0),BOM!B1408="Dnata",VLOOKUP(BOM!H1408,'Yield &amp; Time'!A:M,13,0),B1408="NK",VLOOKUP(H1408,'Yield &amp; Time'!A:X,24,0))</f>
        <v>100%</v>
      </c>
      <c r="N1408" s="35">
        <f t="shared" si="417"/>
        <v>1</v>
      </c>
      <c r="O1408" s="1" t="str">
        <f>VLOOKUP(H1408,'RM Used'!A:E,5,0)</f>
        <v>Count</v>
      </c>
      <c r="P1408" s="11">
        <f>VLOOKUP(H1408,'RM Used'!A:F,6,0)</f>
        <v>0.14000000000000001</v>
      </c>
      <c r="Q1408" s="11">
        <f t="shared" si="408"/>
        <v>0.14000000000000001</v>
      </c>
      <c r="R1408" s="11">
        <f>IFERROR(IF(B1408="Reynolds",VLOOKUP(H1408,'Yield &amp; Time'!A:U,21,0),VLOOKUP(H1408,'Yield &amp; Time'!A:L,12,0)),0)</f>
        <v>0</v>
      </c>
      <c r="S1408" s="11">
        <f t="shared" si="400"/>
        <v>0</v>
      </c>
      <c r="T1408" s="11">
        <f t="shared" si="401"/>
        <v>0</v>
      </c>
      <c r="U1408" s="11">
        <f>IF(A1407=A1408,0,VLOOKUP(A1408,'Packing Time'!A:F,6,0))</f>
        <v>0</v>
      </c>
      <c r="V1408" s="11">
        <f t="shared" si="411"/>
        <v>0</v>
      </c>
      <c r="W1408" s="11">
        <f t="shared" si="412"/>
        <v>0</v>
      </c>
      <c r="X1408" s="11">
        <f t="shared" si="402"/>
        <v>0</v>
      </c>
      <c r="Y1408" s="11">
        <f t="shared" si="413"/>
        <v>0</v>
      </c>
      <c r="Z1408" s="37">
        <v>1</v>
      </c>
      <c r="AA1408" s="36">
        <f t="shared" si="403"/>
        <v>1</v>
      </c>
      <c r="AB1408" s="36">
        <f t="shared" si="404"/>
        <v>0.14000000000000001</v>
      </c>
      <c r="AC1408" s="11">
        <f t="shared" si="405"/>
        <v>0</v>
      </c>
      <c r="AD1408" s="36">
        <f t="shared" si="414"/>
        <v>0</v>
      </c>
      <c r="AE1408" s="36"/>
      <c r="AF1408" s="36">
        <f>IFERROR(VLOOKUP(AE1408,'Chemical Cost'!A:D,4,0),0)</f>
        <v>0</v>
      </c>
      <c r="AG1408" s="114">
        <f t="shared" si="406"/>
        <v>0</v>
      </c>
      <c r="AH1408" s="36">
        <f t="shared" si="410"/>
        <v>0</v>
      </c>
      <c r="AI1408" s="36">
        <f t="shared" si="415"/>
        <v>0.14000000000000001</v>
      </c>
      <c r="AJ1408" s="36">
        <f>IFERROR(VLOOKUP(A1408,'All Products'!A:F,6,0),0)</f>
        <v>18.38</v>
      </c>
      <c r="AK1408" s="1"/>
      <c r="AL1408" s="23">
        <v>0.4</v>
      </c>
      <c r="AM1408" s="23">
        <v>0.6</v>
      </c>
      <c r="AN1408" s="54" t="e">
        <v>#N/A</v>
      </c>
      <c r="AP1408" s="4">
        <v>1.6</v>
      </c>
      <c r="AQ1408" s="111">
        <f t="shared" si="407"/>
        <v>0</v>
      </c>
      <c r="AR1408">
        <f>_xlfn.XLOOKUP(F1408,'RM Cost'!A:A,'RM Cost'!S:S)</f>
        <v>0</v>
      </c>
      <c r="AS1408" t="e">
        <f>_xlfn.XLOOKUP(A1408,[3]Sheet1!$B:$B,[3]Sheet1!$B:$B)</f>
        <v>#N/A</v>
      </c>
    </row>
    <row r="1409" spans="1:46" x14ac:dyDescent="0.25">
      <c r="A1409" s="1" t="s">
        <v>4309</v>
      </c>
      <c r="B1409" s="2" t="s">
        <v>656</v>
      </c>
      <c r="C1409" s="1" t="s">
        <v>4310</v>
      </c>
      <c r="D1409" s="2" t="s">
        <v>554</v>
      </c>
      <c r="E1409" s="2">
        <v>1</v>
      </c>
      <c r="F1409" s="1" t="str">
        <f>VLOOKUP(H1409,'RM Used'!A:B,2,0)</f>
        <v>3026CS</v>
      </c>
      <c r="G1409" s="1" t="str">
        <f>IFERROR(VLOOKUP(F1409,'RM Cost'!A:B,2,0),"")</f>
        <v>RM - BEETROOT RAW  X10KG</v>
      </c>
      <c r="H1409" s="1" t="s">
        <v>4311</v>
      </c>
      <c r="I1409" s="1" t="str">
        <f>VLOOKUP(F1409,'RM Used'!B:D,3,0)</f>
        <v>RM-FOOD</v>
      </c>
      <c r="J1409" s="66">
        <v>1</v>
      </c>
      <c r="K1409" s="35">
        <f t="shared" si="416"/>
        <v>1</v>
      </c>
      <c r="L1409" s="35">
        <f t="shared" si="399"/>
        <v>1</v>
      </c>
      <c r="M1409" s="77" cm="1">
        <f t="array" ref="M1409">_xlfn.IFS(BOM!I1409="RM-PACKING","100%",B1409="Reynolds",VLOOKUP(H1409,'Yield &amp; Time'!A:V,22,0),BOM!B1409="Dnata",VLOOKUP(BOM!H1409,'Yield &amp; Time'!A:M,13,0),B1409="NK",VLOOKUP(H1409,'Yield &amp; Time'!A:X,24,0))</f>
        <v>0.69</v>
      </c>
      <c r="N1409" s="35">
        <f t="shared" si="417"/>
        <v>1.4492753623188408</v>
      </c>
      <c r="O1409" s="1" t="str">
        <f>VLOOKUP(H1409,'RM Used'!A:E,5,0)</f>
        <v>KG</v>
      </c>
      <c r="P1409" s="11">
        <f>VLOOKUP(H1409,'RM Used'!A:F,6,0)</f>
        <v>0.47</v>
      </c>
      <c r="Q1409" s="11">
        <f t="shared" si="408"/>
        <v>0.6811594202898551</v>
      </c>
      <c r="R1409" s="11">
        <f>IFERROR(IF(B1409="Reynolds",VLOOKUP(H1409,'Yield &amp; Time'!A:U,21,0),VLOOKUP(H1409,'Yield &amp; Time'!A:L,12,0)),0)</f>
        <v>4.1900000000000004</v>
      </c>
      <c r="S1409" s="11">
        <f t="shared" si="400"/>
        <v>1.418315</v>
      </c>
      <c r="T1409" s="11">
        <f t="shared" si="401"/>
        <v>6.9833333333333344E-2</v>
      </c>
      <c r="U1409" s="11">
        <f>IF(A1408=A1409,0,VLOOKUP(A1409,'Packing Time'!A:F,6,0))</f>
        <v>0.64500000000000002</v>
      </c>
      <c r="V1409" s="11">
        <f t="shared" si="411"/>
        <v>0.21833249999999998</v>
      </c>
      <c r="W1409" s="11">
        <f t="shared" si="412"/>
        <v>1.0750000000000001E-2</v>
      </c>
      <c r="X1409" s="11">
        <f t="shared" si="402"/>
        <v>2.6186360000000004</v>
      </c>
      <c r="Y1409" s="11">
        <f t="shared" si="413"/>
        <v>2.6186360000000004</v>
      </c>
      <c r="Z1409" s="37">
        <v>1</v>
      </c>
      <c r="AA1409" s="36">
        <f t="shared" si="403"/>
        <v>1.4492753623188408</v>
      </c>
      <c r="AB1409" s="36">
        <f t="shared" si="404"/>
        <v>0.6811594202898551</v>
      </c>
      <c r="AC1409" s="11">
        <f t="shared" si="405"/>
        <v>0.12893333333333337</v>
      </c>
      <c r="AD1409" s="36">
        <f t="shared" si="414"/>
        <v>2.6186360000000004</v>
      </c>
      <c r="AE1409" s="36"/>
      <c r="AF1409" s="36">
        <f>IFERROR(VLOOKUP(AE1409,'Chemical Cost'!A:D,4,0),0)</f>
        <v>0</v>
      </c>
      <c r="AG1409" s="114">
        <f t="shared" si="406"/>
        <v>0</v>
      </c>
      <c r="AH1409" s="36">
        <f t="shared" si="410"/>
        <v>0</v>
      </c>
      <c r="AI1409" s="36">
        <f t="shared" si="415"/>
        <v>3.2997954202898554</v>
      </c>
      <c r="AJ1409" s="36">
        <f>IFERROR(VLOOKUP(A1409,'All Products'!A:F,6,0),0)</f>
        <v>7.36</v>
      </c>
      <c r="AK1409" s="1"/>
      <c r="AL1409" s="23">
        <v>0.4</v>
      </c>
      <c r="AM1409" s="23">
        <v>0.6</v>
      </c>
      <c r="AN1409" s="54" t="e">
        <v>#N/A</v>
      </c>
      <c r="AP1409" s="4">
        <v>1.6</v>
      </c>
      <c r="AQ1409" s="111">
        <f t="shared" si="407"/>
        <v>0.12893333333333337</v>
      </c>
      <c r="AR1409">
        <f>_xlfn.XLOOKUP(F1409,'RM Cost'!A:A,'RM Cost'!S:S)</f>
        <v>0</v>
      </c>
      <c r="AS1409" t="e">
        <f>_xlfn.XLOOKUP(A1409,[3]Sheet1!$B:$B,[3]Sheet1!$B:$B)</f>
        <v>#N/A</v>
      </c>
    </row>
    <row r="1410" spans="1:46" x14ac:dyDescent="0.25">
      <c r="A1410" s="1" t="s">
        <v>4309</v>
      </c>
      <c r="B1410" s="2" t="s">
        <v>656</v>
      </c>
      <c r="C1410" s="1" t="s">
        <v>4310</v>
      </c>
      <c r="D1410" s="2" t="s">
        <v>554</v>
      </c>
      <c r="E1410" s="2">
        <v>1</v>
      </c>
      <c r="F1410" s="1" t="str">
        <f>VLOOKUP(H1410,'RM Used'!A:B,2,0)</f>
        <v>P0008</v>
      </c>
      <c r="G1410" s="1" t="str">
        <f>IFERROR(VLOOKUP(F1410,'RM Cost'!A:B,2,0),"")</f>
        <v>PALE BLUE BAG 470X750MM</v>
      </c>
      <c r="H1410" s="1" t="s">
        <v>1323</v>
      </c>
      <c r="I1410" s="1" t="str">
        <f>VLOOKUP(F1410,'RM Used'!B:D,3,0)</f>
        <v>RM-PACKING</v>
      </c>
      <c r="J1410" s="66">
        <v>1</v>
      </c>
      <c r="K1410" s="35" t="str">
        <f t="shared" si="416"/>
        <v/>
      </c>
      <c r="L1410" s="35">
        <f t="shared" ref="L1410:L1473" si="418">IFERROR(K1410*Z1410,0)</f>
        <v>0</v>
      </c>
      <c r="M1410" s="77" t="str" cm="1">
        <f t="array" ref="M1410">_xlfn.IFS(BOM!I1410="RM-PACKING","100%",B1410="Reynolds",VLOOKUP(H1410,'Yield &amp; Time'!A:V,22,0),BOM!B1410="Dnata",VLOOKUP(BOM!H1410,'Yield &amp; Time'!A:M,13,0),B1410="NK",VLOOKUP(H1410,'Yield &amp; Time'!A:X,24,0))</f>
        <v>100%</v>
      </c>
      <c r="N1410" s="35">
        <f t="shared" si="417"/>
        <v>1</v>
      </c>
      <c r="O1410" s="1" t="str">
        <f>VLOOKUP(H1410,'RM Used'!A:E,5,0)</f>
        <v>Count</v>
      </c>
      <c r="P1410" s="11">
        <f>VLOOKUP(H1410,'RM Used'!A:F,6,0)</f>
        <v>0.14000000000000001</v>
      </c>
      <c r="Q1410" s="11">
        <f t="shared" si="408"/>
        <v>0.14000000000000001</v>
      </c>
      <c r="R1410" s="11">
        <f>IFERROR(IF(B1410="Reynolds",VLOOKUP(H1410,'Yield &amp; Time'!A:U,21,0),VLOOKUP(H1410,'Yield &amp; Time'!A:L,12,0)),0)</f>
        <v>0</v>
      </c>
      <c r="S1410" s="11">
        <f t="shared" ref="S1410:S1473" si="419">R1410*J1410*E1410*AO$1</f>
        <v>0</v>
      </c>
      <c r="T1410" s="11">
        <f t="shared" ref="T1410:T1473" si="420">(R1410*Z1410*J1410*E1410)/60</f>
        <v>0</v>
      </c>
      <c r="U1410" s="11">
        <f>IF(A1409=A1410,0,VLOOKUP(A1410,'Packing Time'!A:F,6,0))</f>
        <v>0</v>
      </c>
      <c r="V1410" s="11">
        <f t="shared" si="411"/>
        <v>0</v>
      </c>
      <c r="W1410" s="11">
        <f t="shared" si="412"/>
        <v>0</v>
      </c>
      <c r="X1410" s="11">
        <f t="shared" ref="X1410:X1473" si="421">((R1410*J1410*E1410)+U1410)*AO$1*AP1410</f>
        <v>0</v>
      </c>
      <c r="Y1410" s="11">
        <f t="shared" si="413"/>
        <v>0</v>
      </c>
      <c r="Z1410" s="37">
        <v>1</v>
      </c>
      <c r="AA1410" s="36">
        <f t="shared" ref="AA1410:AA1473" si="422">Z1410*N1410</f>
        <v>1</v>
      </c>
      <c r="AB1410" s="36">
        <f t="shared" ref="AB1410:AB1473" si="423">AA1410*P1410</f>
        <v>0.14000000000000001</v>
      </c>
      <c r="AC1410" s="11">
        <f t="shared" ref="AC1410:AC1473" si="424">(((R1410*J1410*E1410)+U1410)/60)*Z1410*AP1410</f>
        <v>0</v>
      </c>
      <c r="AD1410" s="36">
        <f t="shared" si="414"/>
        <v>0</v>
      </c>
      <c r="AE1410" s="36"/>
      <c r="AF1410" s="36">
        <f>IFERROR(VLOOKUP(AE1410,'Chemical Cost'!A:D,4,0),0)</f>
        <v>0</v>
      </c>
      <c r="AG1410" s="114">
        <f t="shared" ref="AG1410:AG1473" si="425">AF1410*N1410/3</f>
        <v>0</v>
      </c>
      <c r="AH1410" s="36">
        <f t="shared" si="410"/>
        <v>0</v>
      </c>
      <c r="AI1410" s="36">
        <f t="shared" si="415"/>
        <v>0.14000000000000001</v>
      </c>
      <c r="AJ1410" s="36">
        <f>IFERROR(VLOOKUP(A1410,'All Products'!A:F,6,0),0)</f>
        <v>7.36</v>
      </c>
      <c r="AK1410" s="1"/>
      <c r="AL1410" s="23">
        <v>0.4</v>
      </c>
      <c r="AM1410" s="23">
        <v>0.6</v>
      </c>
      <c r="AN1410" s="54" t="e">
        <v>#N/A</v>
      </c>
      <c r="AP1410" s="4">
        <v>1.6</v>
      </c>
      <c r="AQ1410" s="111">
        <f t="shared" ref="AQ1410:AQ1473" si="426">(((R1410*J1410*E1410)+U1410)/60)*AP1410</f>
        <v>0</v>
      </c>
      <c r="AR1410">
        <f>_xlfn.XLOOKUP(F1410,'RM Cost'!A:A,'RM Cost'!S:S)</f>
        <v>0</v>
      </c>
      <c r="AS1410" t="e">
        <f>_xlfn.XLOOKUP(A1410,[3]Sheet1!$B:$B,[3]Sheet1!$B:$B)</f>
        <v>#N/A</v>
      </c>
    </row>
    <row r="1411" spans="1:46" x14ac:dyDescent="0.25">
      <c r="A1411" s="1" t="s">
        <v>1858</v>
      </c>
      <c r="B1411" s="2" t="s">
        <v>552</v>
      </c>
      <c r="C1411" s="1" t="s">
        <v>1761</v>
      </c>
      <c r="D1411" s="2" t="s">
        <v>554</v>
      </c>
      <c r="E1411" s="2">
        <v>2.5</v>
      </c>
      <c r="F1411" s="1" t="str">
        <f>VLOOKUP(H1411,'RM Used'!A:B,2,0)</f>
        <v>3241CS</v>
      </c>
      <c r="G1411" s="1" t="str">
        <f>IFERROR(VLOOKUP(F1411,'RM Cost'!A:B,2,0),"")</f>
        <v>RM - POTATOES RATTE     15 X 1KG</v>
      </c>
      <c r="H1411" s="1" t="s">
        <v>1551</v>
      </c>
      <c r="I1411" s="1" t="str">
        <f>VLOOKUP(F1411,'RM Used'!B:D,3,0)</f>
        <v>RM-FOOD</v>
      </c>
      <c r="J1411" s="66">
        <v>1</v>
      </c>
      <c r="K1411" s="35">
        <f t="shared" si="416"/>
        <v>2.5</v>
      </c>
      <c r="L1411" s="35">
        <f t="shared" si="418"/>
        <v>2.5</v>
      </c>
      <c r="M1411" s="77" cm="1">
        <f t="array" ref="M1411">_xlfn.IFS(BOM!I1411="RM-PACKING","100%",B1411="Reynolds",VLOOKUP(H1411,'Yield &amp; Time'!A:V,22,0),BOM!B1411="Dnata",VLOOKUP(BOM!H1411,'Yield &amp; Time'!A:M,13,0),B1411="NK",VLOOKUP(H1411,'Yield &amp; Time'!A:X,24,0))</f>
        <v>0.97</v>
      </c>
      <c r="N1411" s="35">
        <f t="shared" si="417"/>
        <v>2.5773195876288661</v>
      </c>
      <c r="O1411" s="1" t="str">
        <f>VLOOKUP(H1411,'RM Used'!A:E,5,0)</f>
        <v>KG</v>
      </c>
      <c r="P1411" s="11">
        <f>VLOOKUP(H1411,'RM Used'!A:F,6,0)</f>
        <v>2.67</v>
      </c>
      <c r="Q1411" s="11">
        <f t="shared" ref="Q1411:Q1474" si="427">P1411*N1411</f>
        <v>6.8814432989690726</v>
      </c>
      <c r="R1411" s="11">
        <f>IFERROR(IF(B1411="Reynolds",VLOOKUP(H1411,'Yield &amp; Time'!A:U,21,0),VLOOKUP(H1411,'Yield &amp; Time'!A:L,12,0)),0)</f>
        <v>2.061855670103093</v>
      </c>
      <c r="S1411" s="11">
        <f t="shared" si="419"/>
        <v>1.7448453608247423</v>
      </c>
      <c r="T1411" s="11">
        <f t="shared" si="420"/>
        <v>8.5910652920962199E-2</v>
      </c>
      <c r="U1411" s="11">
        <f>IF(A1410=A1411,0,VLOOKUP(A1411,'Packing Time'!A:F,6,0))</f>
        <v>0.875</v>
      </c>
      <c r="V1411" s="11">
        <f t="shared" si="411"/>
        <v>0.29618749999999999</v>
      </c>
      <c r="W1411" s="11">
        <f t="shared" si="412"/>
        <v>1.4583333333333334E-2</v>
      </c>
      <c r="X1411" s="11">
        <f t="shared" si="421"/>
        <v>3.2656525773195875</v>
      </c>
      <c r="Y1411" s="11">
        <f t="shared" si="413"/>
        <v>3.2656525773195875</v>
      </c>
      <c r="Z1411" s="37">
        <v>1</v>
      </c>
      <c r="AA1411" s="36">
        <f t="shared" si="422"/>
        <v>2.5773195876288661</v>
      </c>
      <c r="AB1411" s="36">
        <f t="shared" si="423"/>
        <v>6.8814432989690726</v>
      </c>
      <c r="AC1411" s="11">
        <f t="shared" si="424"/>
        <v>0.16079037800687287</v>
      </c>
      <c r="AD1411" s="36">
        <f t="shared" si="414"/>
        <v>3.2656525773195879</v>
      </c>
      <c r="AE1411" s="36"/>
      <c r="AF1411" s="36">
        <f>IFERROR(VLOOKUP(AE1411,'Chemical Cost'!A:D,4,0),0)</f>
        <v>0</v>
      </c>
      <c r="AG1411" s="114">
        <f t="shared" si="425"/>
        <v>0</v>
      </c>
      <c r="AH1411" s="36">
        <f t="shared" si="410"/>
        <v>0</v>
      </c>
      <c r="AI1411" s="36">
        <f t="shared" si="415"/>
        <v>10.14709587628866</v>
      </c>
      <c r="AJ1411" s="36">
        <f>IFERROR(VLOOKUP(A1411,'All Products'!A:F,6,0),0)</f>
        <v>14.25</v>
      </c>
      <c r="AK1411" s="1"/>
      <c r="AL1411" s="29">
        <v>1</v>
      </c>
      <c r="AM1411" s="23"/>
      <c r="AN1411" s="54" t="e">
        <v>#N/A</v>
      </c>
      <c r="AP1411" s="4">
        <v>1.6</v>
      </c>
      <c r="AQ1411" s="111">
        <f t="shared" si="426"/>
        <v>0.16079037800687287</v>
      </c>
      <c r="AR1411">
        <f>_xlfn.XLOOKUP(F1411,'RM Cost'!A:A,'RM Cost'!S:S)</f>
        <v>0</v>
      </c>
      <c r="AS1411" t="e">
        <f>_xlfn.XLOOKUP(A1411,[3]Sheet1!$B:$B,[3]Sheet1!$B:$B)</f>
        <v>#N/A</v>
      </c>
    </row>
    <row r="1412" spans="1:46" x14ac:dyDescent="0.25">
      <c r="A1412" s="1" t="s">
        <v>1858</v>
      </c>
      <c r="B1412" s="2" t="s">
        <v>552</v>
      </c>
      <c r="C1412" s="1" t="s">
        <v>1761</v>
      </c>
      <c r="D1412" s="2" t="s">
        <v>554</v>
      </c>
      <c r="E1412" s="2">
        <v>2.5</v>
      </c>
      <c r="F1412" s="1" t="str">
        <f>VLOOKUP(H1412,'RM Used'!A:B,2,0)</f>
        <v>P0008</v>
      </c>
      <c r="G1412" s="1" t="str">
        <f>IFERROR(VLOOKUP(F1412,'RM Cost'!A:B,2,0),"")</f>
        <v>PALE BLUE BAG 470X750MM</v>
      </c>
      <c r="H1412" s="1" t="s">
        <v>1323</v>
      </c>
      <c r="I1412" s="1" t="str">
        <f>VLOOKUP(F1412,'RM Used'!B:D,3,0)</f>
        <v>RM-PACKING</v>
      </c>
      <c r="J1412" s="66">
        <v>1</v>
      </c>
      <c r="K1412" s="35" t="str">
        <f t="shared" si="416"/>
        <v/>
      </c>
      <c r="L1412" s="35">
        <f t="shared" si="418"/>
        <v>0</v>
      </c>
      <c r="M1412" s="77" t="str" cm="1">
        <f t="array" ref="M1412">_xlfn.IFS(BOM!I1412="RM-PACKING","100%",B1412="Reynolds",VLOOKUP(H1412,'Yield &amp; Time'!A:V,22,0),BOM!B1412="Dnata",VLOOKUP(BOM!H1412,'Yield &amp; Time'!A:M,13,0),B1412="NK",VLOOKUP(H1412,'Yield &amp; Time'!A:X,24,0))</f>
        <v>100%</v>
      </c>
      <c r="N1412" s="35">
        <f t="shared" si="417"/>
        <v>1</v>
      </c>
      <c r="O1412" s="1" t="str">
        <f>VLOOKUP(H1412,'RM Used'!A:E,5,0)</f>
        <v>Count</v>
      </c>
      <c r="P1412" s="11">
        <f>VLOOKUP(H1412,'RM Used'!A:F,6,0)</f>
        <v>0.14000000000000001</v>
      </c>
      <c r="Q1412" s="11">
        <f t="shared" si="427"/>
        <v>0.14000000000000001</v>
      </c>
      <c r="R1412" s="11">
        <f>IFERROR(IF(B1412="Reynolds",VLOOKUP(H1412,'Yield &amp; Time'!A:U,21,0),VLOOKUP(H1412,'Yield &amp; Time'!A:L,12,0)),0)</f>
        <v>0</v>
      </c>
      <c r="S1412" s="11">
        <f t="shared" si="419"/>
        <v>0</v>
      </c>
      <c r="T1412" s="11">
        <f t="shared" si="420"/>
        <v>0</v>
      </c>
      <c r="U1412" s="11">
        <f>IF(A1411=A1412,0,VLOOKUP(A1412,'Packing Time'!A:F,6,0))</f>
        <v>0</v>
      </c>
      <c r="V1412" s="11">
        <f t="shared" si="411"/>
        <v>0</v>
      </c>
      <c r="W1412" s="11">
        <f t="shared" si="412"/>
        <v>0</v>
      </c>
      <c r="X1412" s="11">
        <f t="shared" si="421"/>
        <v>0</v>
      </c>
      <c r="Y1412" s="11">
        <f t="shared" si="413"/>
        <v>0</v>
      </c>
      <c r="Z1412" s="37">
        <v>1</v>
      </c>
      <c r="AA1412" s="36">
        <f t="shared" si="422"/>
        <v>1</v>
      </c>
      <c r="AB1412" s="36">
        <f t="shared" si="423"/>
        <v>0.14000000000000001</v>
      </c>
      <c r="AC1412" s="11">
        <f t="shared" si="424"/>
        <v>0</v>
      </c>
      <c r="AD1412" s="36">
        <f t="shared" si="414"/>
        <v>0</v>
      </c>
      <c r="AE1412" s="36"/>
      <c r="AF1412" s="36">
        <f>IFERROR(VLOOKUP(AE1412,'Chemical Cost'!A:D,4,0),0)</f>
        <v>0</v>
      </c>
      <c r="AG1412" s="114">
        <f t="shared" si="425"/>
        <v>0</v>
      </c>
      <c r="AH1412" s="36">
        <f t="shared" si="410"/>
        <v>0</v>
      </c>
      <c r="AI1412" s="36">
        <f t="shared" si="415"/>
        <v>0.14000000000000001</v>
      </c>
      <c r="AJ1412" s="36">
        <f>IFERROR(VLOOKUP(A1412,'All Products'!A:F,6,0),0)</f>
        <v>14.25</v>
      </c>
      <c r="AK1412" s="1"/>
      <c r="AL1412" s="29">
        <v>1</v>
      </c>
      <c r="AM1412" s="23"/>
      <c r="AN1412" s="54" t="e">
        <v>#N/A</v>
      </c>
      <c r="AP1412" s="4">
        <v>1.6</v>
      </c>
      <c r="AQ1412" s="111">
        <f t="shared" si="426"/>
        <v>0</v>
      </c>
      <c r="AR1412">
        <f>_xlfn.XLOOKUP(F1412,'RM Cost'!A:A,'RM Cost'!S:S)</f>
        <v>0</v>
      </c>
      <c r="AS1412" t="e">
        <f>_xlfn.XLOOKUP(A1412,[3]Sheet1!$B:$B,[3]Sheet1!$B:$B)</f>
        <v>#N/A</v>
      </c>
    </row>
    <row r="1413" spans="1:46" x14ac:dyDescent="0.25">
      <c r="A1413" s="1" t="s">
        <v>1858</v>
      </c>
      <c r="B1413" s="2" t="s">
        <v>552</v>
      </c>
      <c r="C1413" s="1" t="s">
        <v>1761</v>
      </c>
      <c r="D1413" s="2" t="s">
        <v>554</v>
      </c>
      <c r="E1413" s="2">
        <v>2.5</v>
      </c>
      <c r="F1413" s="1" t="str">
        <f>VLOOKUP(H1413,'RM Used'!A:B,2,0)</f>
        <v>P0016</v>
      </c>
      <c r="G1413" s="1" t="str">
        <f>IFERROR(VLOOKUP(F1413,'RM Cost'!A:B,2,0),"")</f>
        <v>REY 40 30 BOX</v>
      </c>
      <c r="H1413" s="1" t="s">
        <v>1332</v>
      </c>
      <c r="I1413" s="1" t="str">
        <f>VLOOKUP(F1413,'RM Used'!B:D,3,0)</f>
        <v>RM-PACKING</v>
      </c>
      <c r="J1413" s="66">
        <v>1</v>
      </c>
      <c r="K1413" s="35" t="str">
        <f>IF(I1413="RM-FOOD",J1413*E1413,"")</f>
        <v/>
      </c>
      <c r="L1413" s="35">
        <f t="shared" si="418"/>
        <v>0</v>
      </c>
      <c r="M1413" s="77" t="str" cm="1">
        <f t="array" ref="M1413">_xlfn.IFS(BOM!I1413="RM-PACKING","100%",B1413="Reynolds",VLOOKUP(H1413,'Yield &amp; Time'!A:V,22,0),BOM!B1413="Dnata",VLOOKUP(BOM!H1413,'Yield &amp; Time'!A:M,13,0),B1413="NK",VLOOKUP(H1413,'Yield &amp; Time'!A:X,24,0))</f>
        <v>100%</v>
      </c>
      <c r="N1413" s="35">
        <f>IFERROR(IF(I1413="RM-FOOD",(E1413*J1413)/M1413,1),0)</f>
        <v>1</v>
      </c>
      <c r="O1413" s="1" t="str">
        <f>VLOOKUP(H1413,'RM Used'!A:E,5,0)</f>
        <v>Count</v>
      </c>
      <c r="P1413" s="11">
        <f>VLOOKUP(H1413,'RM Used'!A:F,6,0)</f>
        <v>0.28000000000000003</v>
      </c>
      <c r="Q1413" s="11">
        <f t="shared" si="427"/>
        <v>0.28000000000000003</v>
      </c>
      <c r="R1413" s="11">
        <f>IFERROR(IF(B1413="Reynolds",VLOOKUP(H1413,'Yield &amp; Time'!A:U,21,0),VLOOKUP(H1413,'Yield &amp; Time'!A:L,12,0)),0)</f>
        <v>0</v>
      </c>
      <c r="S1413" s="11">
        <f t="shared" si="419"/>
        <v>0</v>
      </c>
      <c r="T1413" s="11">
        <f t="shared" si="420"/>
        <v>0</v>
      </c>
      <c r="U1413" s="11">
        <f>IF(A1412=A1413,0,VLOOKUP(A1413,'Packing Time'!A:F,6,0))</f>
        <v>0</v>
      </c>
      <c r="V1413" s="11">
        <f t="shared" ref="V1413:V1425" si="428">U1413*AO$1</f>
        <v>0</v>
      </c>
      <c r="W1413" s="11">
        <f t="shared" ref="W1413:W1425" si="429">(U1413*Z1413)/60</f>
        <v>0</v>
      </c>
      <c r="X1413" s="11">
        <f t="shared" si="421"/>
        <v>0</v>
      </c>
      <c r="Y1413" s="11">
        <f t="shared" ref="Y1413:Y1425" si="430">X1413*Z1413</f>
        <v>0</v>
      </c>
      <c r="Z1413" s="37">
        <v>1</v>
      </c>
      <c r="AA1413" s="36">
        <f t="shared" si="422"/>
        <v>1</v>
      </c>
      <c r="AB1413" s="36">
        <f t="shared" si="423"/>
        <v>0.28000000000000003</v>
      </c>
      <c r="AC1413" s="11">
        <f t="shared" si="424"/>
        <v>0</v>
      </c>
      <c r="AD1413" s="36">
        <f>AC1413*60*AO$1</f>
        <v>0</v>
      </c>
      <c r="AE1413" s="36"/>
      <c r="AF1413" s="36">
        <f>IFERROR(VLOOKUP(AE1413,'Chemical Cost'!A:D,4,0),0)</f>
        <v>0</v>
      </c>
      <c r="AG1413" s="114">
        <f t="shared" si="425"/>
        <v>0</v>
      </c>
      <c r="AH1413" s="36">
        <f t="shared" si="410"/>
        <v>0</v>
      </c>
      <c r="AI1413" s="36">
        <f t="shared" ref="AI1413:AI1425" si="431">IFERROR((Q1413*Z1413)+(Z1413*X1413)+AH1413,0)</f>
        <v>0.28000000000000003</v>
      </c>
      <c r="AJ1413" s="36">
        <f>IFERROR(VLOOKUP(A1413,'All Products'!A:F,6,0),0)</f>
        <v>14.25</v>
      </c>
      <c r="AK1413" s="1"/>
      <c r="AL1413" s="29">
        <v>1</v>
      </c>
      <c r="AM1413" s="23"/>
      <c r="AN1413" s="54" t="e">
        <v>#N/A</v>
      </c>
      <c r="AP1413" s="4">
        <v>1.6</v>
      </c>
      <c r="AQ1413" s="111">
        <f t="shared" si="426"/>
        <v>0</v>
      </c>
      <c r="AR1413">
        <f>_xlfn.XLOOKUP(F1413,'RM Cost'!A:A,'RM Cost'!S:S)</f>
        <v>0</v>
      </c>
      <c r="AS1413" t="e">
        <f>_xlfn.XLOOKUP(A1413,[3]Sheet1!$B:$B,[3]Sheet1!$B:$B)</f>
        <v>#N/A</v>
      </c>
    </row>
    <row r="1414" spans="1:46" x14ac:dyDescent="0.25">
      <c r="A1414" s="1" t="s">
        <v>4314</v>
      </c>
      <c r="B1414" s="2" t="s">
        <v>656</v>
      </c>
      <c r="C1414" s="1" t="s">
        <v>4315</v>
      </c>
      <c r="D1414" s="2" t="s">
        <v>554</v>
      </c>
      <c r="E1414" s="2">
        <v>1</v>
      </c>
      <c r="F1414" s="1" t="str">
        <f>VLOOKUP(H1414,'RM Used'!A:B,2,0)</f>
        <v>032ACS</v>
      </c>
      <c r="G1414" s="1" t="str">
        <f>IFERROR(VLOOKUP(F1414,'RM Cost'!A:B,2,0),"")</f>
        <v>RM - LRG PROCESSING CARROT X 1000KG</v>
      </c>
      <c r="H1414" s="1" t="s">
        <v>4316</v>
      </c>
      <c r="I1414" s="1" t="str">
        <f>VLOOKUP(F1414,'RM Used'!B:D,3,0)</f>
        <v>RM-FOOD</v>
      </c>
      <c r="J1414" s="66">
        <v>1</v>
      </c>
      <c r="K1414" s="35">
        <f t="shared" si="416"/>
        <v>1</v>
      </c>
      <c r="L1414" s="35">
        <f t="shared" si="418"/>
        <v>1</v>
      </c>
      <c r="M1414" s="77" cm="1">
        <f t="array" ref="M1414">_xlfn.IFS(BOM!I1414="RM-PACKING","100%",B1414="Reynolds",VLOOKUP(H1414,'Yield &amp; Time'!A:V,22,0),BOM!B1414="Dnata",VLOOKUP(BOM!H1414,'Yield &amp; Time'!A:M,13,0),B1414="NK",VLOOKUP(H1414,'Yield &amp; Time'!A:X,24,0))</f>
        <v>0.6598561061450775</v>
      </c>
      <c r="N1414" s="35">
        <f t="shared" si="417"/>
        <v>1.5154819220239779</v>
      </c>
      <c r="O1414" s="1" t="str">
        <f>VLOOKUP(H1414,'RM Used'!A:E,5,0)</f>
        <v>KG</v>
      </c>
      <c r="P1414" s="11">
        <f>VLOOKUP(H1414,'RM Used'!A:F,6,0)</f>
        <v>0.38</v>
      </c>
      <c r="Q1414" s="11">
        <f t="shared" si="427"/>
        <v>0.57588313036911165</v>
      </c>
      <c r="R1414" s="11">
        <f>IFERROR(IF(B1414="Reynolds",VLOOKUP(H1414,'Yield &amp; Time'!A:U,21,0),VLOOKUP(H1414,'Yield &amp; Time'!A:L,12,0)),0)</f>
        <v>4.2385826069626686</v>
      </c>
      <c r="S1414" s="11">
        <f t="shared" si="419"/>
        <v>1.4347602124568632</v>
      </c>
      <c r="T1414" s="11">
        <f t="shared" si="420"/>
        <v>7.0643043449377815E-2</v>
      </c>
      <c r="U1414" s="11">
        <f>IF(A1413=A1414,0,VLOOKUP(A1414,'Packing Time'!A:F,6,0))</f>
        <v>0.64500000000000002</v>
      </c>
      <c r="V1414" s="11">
        <f t="shared" si="428"/>
        <v>0.21833249999999998</v>
      </c>
      <c r="W1414" s="11">
        <f t="shared" si="429"/>
        <v>1.0750000000000001E-2</v>
      </c>
      <c r="X1414" s="11">
        <f t="shared" si="421"/>
        <v>2.6449483399309814</v>
      </c>
      <c r="Y1414" s="11">
        <f t="shared" si="430"/>
        <v>2.6449483399309814</v>
      </c>
      <c r="Z1414" s="37">
        <v>1</v>
      </c>
      <c r="AA1414" s="36">
        <f t="shared" si="422"/>
        <v>1.5154819220239779</v>
      </c>
      <c r="AB1414" s="36">
        <f t="shared" si="423"/>
        <v>0.57588313036911165</v>
      </c>
      <c r="AC1414" s="11">
        <f t="shared" si="424"/>
        <v>0.13022886951900453</v>
      </c>
      <c r="AD1414" s="36">
        <f t="shared" si="414"/>
        <v>2.6449483399309819</v>
      </c>
      <c r="AE1414" s="36"/>
      <c r="AF1414" s="36">
        <f>IFERROR(VLOOKUP(AE1414,'Chemical Cost'!A:D,4,0),0)</f>
        <v>0</v>
      </c>
      <c r="AG1414" s="114">
        <f t="shared" si="425"/>
        <v>0</v>
      </c>
      <c r="AH1414" s="36">
        <f t="shared" si="410"/>
        <v>0</v>
      </c>
      <c r="AI1414" s="36">
        <f t="shared" si="431"/>
        <v>3.2208314703000931</v>
      </c>
      <c r="AJ1414" s="36">
        <f>IFERROR(VLOOKUP(A1414,'All Products'!A:F,6,0),0)</f>
        <v>2.94</v>
      </c>
      <c r="AK1414" s="1"/>
      <c r="AL1414" s="29">
        <v>1</v>
      </c>
      <c r="AM1414" s="23"/>
      <c r="AN1414" s="54" t="e">
        <v>#N/A</v>
      </c>
      <c r="AP1414" s="4">
        <v>1.6</v>
      </c>
      <c r="AQ1414" s="111">
        <f t="shared" si="426"/>
        <v>0.13022886951900453</v>
      </c>
      <c r="AR1414">
        <f>_xlfn.XLOOKUP(F1414,'RM Cost'!A:A,'RM Cost'!S:S)</f>
        <v>0</v>
      </c>
      <c r="AS1414" t="e">
        <f>_xlfn.XLOOKUP(A1414,[3]Sheet1!$B:$B,[3]Sheet1!$B:$B)</f>
        <v>#N/A</v>
      </c>
    </row>
    <row r="1415" spans="1:46" x14ac:dyDescent="0.25">
      <c r="A1415" s="1" t="s">
        <v>4314</v>
      </c>
      <c r="B1415" s="2" t="s">
        <v>656</v>
      </c>
      <c r="C1415" s="1" t="s">
        <v>4315</v>
      </c>
      <c r="D1415" s="2" t="s">
        <v>554</v>
      </c>
      <c r="E1415" s="2">
        <v>1</v>
      </c>
      <c r="F1415" s="1" t="str">
        <f>VLOOKUP(H1415,'RM Used'!A:B,2,0)</f>
        <v>P0008</v>
      </c>
      <c r="G1415" s="1" t="str">
        <f>IFERROR(VLOOKUP(F1415,'RM Cost'!A:B,2,0),"")</f>
        <v>PALE BLUE BAG 470X750MM</v>
      </c>
      <c r="H1415" s="1" t="s">
        <v>1323</v>
      </c>
      <c r="I1415" s="1" t="str">
        <f>VLOOKUP(F1415,'RM Used'!B:D,3,0)</f>
        <v>RM-PACKING</v>
      </c>
      <c r="J1415" s="66">
        <v>1</v>
      </c>
      <c r="K1415" s="35" t="str">
        <f t="shared" si="416"/>
        <v/>
      </c>
      <c r="L1415" s="35">
        <f t="shared" si="418"/>
        <v>0</v>
      </c>
      <c r="M1415" s="77" t="str" cm="1">
        <f t="array" ref="M1415">_xlfn.IFS(BOM!I1415="RM-PACKING","100%",B1415="Reynolds",VLOOKUP(H1415,'Yield &amp; Time'!A:V,22,0),BOM!B1415="Dnata",VLOOKUP(BOM!H1415,'Yield &amp; Time'!A:M,13,0),B1415="NK",VLOOKUP(H1415,'Yield &amp; Time'!A:X,24,0))</f>
        <v>100%</v>
      </c>
      <c r="N1415" s="35">
        <f t="shared" si="417"/>
        <v>1</v>
      </c>
      <c r="O1415" s="1" t="str">
        <f>VLOOKUP(H1415,'RM Used'!A:E,5,0)</f>
        <v>Count</v>
      </c>
      <c r="P1415" s="11">
        <f>VLOOKUP(H1415,'RM Used'!A:F,6,0)</f>
        <v>0.14000000000000001</v>
      </c>
      <c r="Q1415" s="11">
        <f t="shared" si="427"/>
        <v>0.14000000000000001</v>
      </c>
      <c r="R1415" s="11">
        <f>IFERROR(IF(B1415="Reynolds",VLOOKUP(H1415,'Yield &amp; Time'!A:U,21,0),VLOOKUP(H1415,'Yield &amp; Time'!A:L,12,0)),0)</f>
        <v>0</v>
      </c>
      <c r="S1415" s="11">
        <f t="shared" si="419"/>
        <v>0</v>
      </c>
      <c r="T1415" s="11">
        <f t="shared" si="420"/>
        <v>0</v>
      </c>
      <c r="U1415" s="11">
        <f>IF(A1414=A1415,0,VLOOKUP(A1415,'Packing Time'!A:F,6,0))</f>
        <v>0</v>
      </c>
      <c r="V1415" s="11">
        <f t="shared" si="428"/>
        <v>0</v>
      </c>
      <c r="W1415" s="11">
        <f t="shared" si="429"/>
        <v>0</v>
      </c>
      <c r="X1415" s="11">
        <f t="shared" si="421"/>
        <v>0</v>
      </c>
      <c r="Y1415" s="11">
        <f t="shared" si="430"/>
        <v>0</v>
      </c>
      <c r="Z1415" s="37">
        <v>1</v>
      </c>
      <c r="AA1415" s="36">
        <f t="shared" si="422"/>
        <v>1</v>
      </c>
      <c r="AB1415" s="36">
        <f t="shared" si="423"/>
        <v>0.14000000000000001</v>
      </c>
      <c r="AC1415" s="11">
        <f t="shared" si="424"/>
        <v>0</v>
      </c>
      <c r="AD1415" s="36">
        <f t="shared" si="414"/>
        <v>0</v>
      </c>
      <c r="AE1415" s="36"/>
      <c r="AF1415" s="36">
        <f>IFERROR(VLOOKUP(AE1415,'Chemical Cost'!A:D,4,0),0)</f>
        <v>0</v>
      </c>
      <c r="AG1415" s="114">
        <f t="shared" si="425"/>
        <v>0</v>
      </c>
      <c r="AH1415" s="36">
        <f t="shared" si="410"/>
        <v>0</v>
      </c>
      <c r="AI1415" s="36">
        <f t="shared" si="431"/>
        <v>0.14000000000000001</v>
      </c>
      <c r="AJ1415" s="36">
        <f>IFERROR(VLOOKUP(A1415,'All Products'!A:F,6,0),0)</f>
        <v>2.94</v>
      </c>
      <c r="AK1415" s="1"/>
      <c r="AL1415" s="29">
        <v>1</v>
      </c>
      <c r="AM1415" s="23"/>
      <c r="AN1415" s="54" t="e">
        <v>#N/A</v>
      </c>
      <c r="AP1415" s="4">
        <v>1.6</v>
      </c>
      <c r="AQ1415" s="111">
        <f t="shared" si="426"/>
        <v>0</v>
      </c>
      <c r="AR1415">
        <f>_xlfn.XLOOKUP(F1415,'RM Cost'!A:A,'RM Cost'!S:S)</f>
        <v>0</v>
      </c>
      <c r="AS1415" t="e">
        <f>_xlfn.XLOOKUP(A1415,[3]Sheet1!$B:$B,[3]Sheet1!$B:$B)</f>
        <v>#N/A</v>
      </c>
    </row>
    <row r="1416" spans="1:46" x14ac:dyDescent="0.25">
      <c r="A1416" s="1" t="s">
        <v>4312</v>
      </c>
      <c r="B1416" s="2" t="s">
        <v>656</v>
      </c>
      <c r="C1416" s="1" t="s">
        <v>4313</v>
      </c>
      <c r="D1416" s="2" t="s">
        <v>554</v>
      </c>
      <c r="E1416" s="2">
        <v>1</v>
      </c>
      <c r="F1416" s="1" t="str">
        <f>VLOOKUP(H1416,'RM Used'!A:B,2,0)</f>
        <v>032ACS</v>
      </c>
      <c r="G1416" s="1" t="str">
        <f>IFERROR(VLOOKUP(F1416,'RM Cost'!A:B,2,0),"")</f>
        <v>RM - LRG PROCESSING CARROT X 1000KG</v>
      </c>
      <c r="H1416" s="1" t="s">
        <v>4317</v>
      </c>
      <c r="I1416" s="1" t="str">
        <f>VLOOKUP(F1416,'RM Used'!B:D,3,0)</f>
        <v>RM-FOOD</v>
      </c>
      <c r="J1416" s="66">
        <v>1</v>
      </c>
      <c r="K1416" s="35">
        <f t="shared" si="416"/>
        <v>1</v>
      </c>
      <c r="L1416" s="35">
        <f t="shared" si="418"/>
        <v>1</v>
      </c>
      <c r="M1416" s="77" cm="1">
        <f t="array" ref="M1416">_xlfn.IFS(BOM!I1416="RM-PACKING","100%",B1416="Reynolds",VLOOKUP(H1416,'Yield &amp; Time'!A:V,22,0),BOM!B1416="Dnata",VLOOKUP(BOM!H1416,'Yield &amp; Time'!A:M,13,0),B1416="NK",VLOOKUP(H1416,'Yield &amp; Time'!A:X,24,0))</f>
        <v>0.75330000000000008</v>
      </c>
      <c r="N1416" s="35">
        <f t="shared" si="417"/>
        <v>1.3274923669188901</v>
      </c>
      <c r="O1416" s="1" t="str">
        <f>VLOOKUP(H1416,'RM Used'!A:E,5,0)</f>
        <v>KG</v>
      </c>
      <c r="P1416" s="11">
        <f>VLOOKUP(H1416,'RM Used'!A:F,6,0)</f>
        <v>0.38</v>
      </c>
      <c r="Q1416" s="11">
        <f t="shared" si="427"/>
        <v>0.5044470994291782</v>
      </c>
      <c r="R1416" s="11">
        <f>IFERROR(IF(B1416="Reynolds",VLOOKUP(H1416,'Yield &amp; Time'!A:U,21,0),VLOOKUP(H1416,'Yield &amp; Time'!A:L,12,0)),0)</f>
        <v>2.7553191489361701</v>
      </c>
      <c r="S1416" s="11">
        <f t="shared" si="419"/>
        <v>0.9326755319148935</v>
      </c>
      <c r="T1416" s="11">
        <f t="shared" si="420"/>
        <v>4.5921985815602834E-2</v>
      </c>
      <c r="U1416" s="11">
        <f>IF(A1415=A1416,0,VLOOKUP(A1416,'Packing Time'!A:F,6,0))</f>
        <v>0.64500000000000002</v>
      </c>
      <c r="V1416" s="11">
        <f t="shared" si="428"/>
        <v>0.21833249999999998</v>
      </c>
      <c r="W1416" s="11">
        <f t="shared" si="429"/>
        <v>1.0750000000000001E-2</v>
      </c>
      <c r="X1416" s="11">
        <f t="shared" si="421"/>
        <v>1.8416128510638297</v>
      </c>
      <c r="Y1416" s="11">
        <f t="shared" si="430"/>
        <v>1.8416128510638297</v>
      </c>
      <c r="Z1416" s="37">
        <v>1</v>
      </c>
      <c r="AA1416" s="36">
        <f t="shared" si="422"/>
        <v>1.3274923669188901</v>
      </c>
      <c r="AB1416" s="36">
        <f t="shared" si="423"/>
        <v>0.5044470994291782</v>
      </c>
      <c r="AC1416" s="11">
        <f t="shared" si="424"/>
        <v>9.0675177304964549E-2</v>
      </c>
      <c r="AD1416" s="36">
        <f t="shared" si="414"/>
        <v>1.8416128510638299</v>
      </c>
      <c r="AE1416" s="36"/>
      <c r="AF1416" s="36">
        <f>IFERROR(VLOOKUP(AE1416,'Chemical Cost'!A:D,4,0),0)</f>
        <v>0</v>
      </c>
      <c r="AG1416" s="114">
        <f t="shared" si="425"/>
        <v>0</v>
      </c>
      <c r="AH1416" s="36">
        <f t="shared" si="410"/>
        <v>0</v>
      </c>
      <c r="AI1416" s="36">
        <f t="shared" si="431"/>
        <v>2.3460599504930078</v>
      </c>
      <c r="AJ1416" s="36">
        <f>IFERROR(VLOOKUP(A1416,'All Products'!A:F,6,0),0)</f>
        <v>2.61</v>
      </c>
      <c r="AK1416" s="1"/>
      <c r="AL1416" s="29">
        <v>0.6</v>
      </c>
      <c r="AM1416" s="23">
        <v>0.4</v>
      </c>
      <c r="AN1416" s="54" t="e">
        <v>#N/A</v>
      </c>
      <c r="AP1416" s="4">
        <v>1.6</v>
      </c>
      <c r="AQ1416" s="111">
        <f t="shared" si="426"/>
        <v>9.0675177304964549E-2</v>
      </c>
      <c r="AR1416">
        <f>_xlfn.XLOOKUP(F1416,'RM Cost'!A:A,'RM Cost'!S:S)</f>
        <v>0</v>
      </c>
      <c r="AS1416" t="e">
        <f>_xlfn.XLOOKUP(A1416,[3]Sheet1!$B:$B,[3]Sheet1!$B:$B)</f>
        <v>#N/A</v>
      </c>
    </row>
    <row r="1417" spans="1:46" x14ac:dyDescent="0.25">
      <c r="A1417" s="1" t="s">
        <v>4312</v>
      </c>
      <c r="B1417" s="2" t="s">
        <v>656</v>
      </c>
      <c r="C1417" s="1" t="s">
        <v>4313</v>
      </c>
      <c r="D1417" s="2" t="s">
        <v>554</v>
      </c>
      <c r="E1417" s="2">
        <v>1</v>
      </c>
      <c r="F1417" s="1" t="str">
        <f>VLOOKUP(H1417,'RM Used'!A:B,2,0)</f>
        <v>P0008</v>
      </c>
      <c r="G1417" s="1" t="str">
        <f>IFERROR(VLOOKUP(F1417,'RM Cost'!A:B,2,0),"")</f>
        <v>PALE BLUE BAG 470X750MM</v>
      </c>
      <c r="H1417" s="1" t="s">
        <v>1323</v>
      </c>
      <c r="I1417" s="1" t="str">
        <f>VLOOKUP(F1417,'RM Used'!B:D,3,0)</f>
        <v>RM-PACKING</v>
      </c>
      <c r="J1417" s="66">
        <v>1</v>
      </c>
      <c r="K1417" s="35" t="str">
        <f t="shared" si="416"/>
        <v/>
      </c>
      <c r="L1417" s="35">
        <f t="shared" si="418"/>
        <v>0</v>
      </c>
      <c r="M1417" s="77" t="str" cm="1">
        <f t="array" ref="M1417">_xlfn.IFS(BOM!I1417="RM-PACKING","100%",B1417="Reynolds",VLOOKUP(H1417,'Yield &amp; Time'!A:V,22,0),BOM!B1417="Dnata",VLOOKUP(BOM!H1417,'Yield &amp; Time'!A:M,13,0),B1417="NK",VLOOKUP(H1417,'Yield &amp; Time'!A:X,24,0))</f>
        <v>100%</v>
      </c>
      <c r="N1417" s="35">
        <f t="shared" si="417"/>
        <v>1</v>
      </c>
      <c r="O1417" s="1" t="str">
        <f>VLOOKUP(H1417,'RM Used'!A:E,5,0)</f>
        <v>Count</v>
      </c>
      <c r="P1417" s="11">
        <f>VLOOKUP(H1417,'RM Used'!A:F,6,0)</f>
        <v>0.14000000000000001</v>
      </c>
      <c r="Q1417" s="11">
        <f t="shared" si="427"/>
        <v>0.14000000000000001</v>
      </c>
      <c r="R1417" s="11">
        <f>IFERROR(IF(B1417="Reynolds",VLOOKUP(H1417,'Yield &amp; Time'!A:U,21,0),VLOOKUP(H1417,'Yield &amp; Time'!A:L,12,0)),0)</f>
        <v>0</v>
      </c>
      <c r="S1417" s="11">
        <f t="shared" si="419"/>
        <v>0</v>
      </c>
      <c r="T1417" s="11">
        <f t="shared" si="420"/>
        <v>0</v>
      </c>
      <c r="U1417" s="11">
        <f>IF(A1416=A1417,0,VLOOKUP(A1417,'Packing Time'!A:F,6,0))</f>
        <v>0</v>
      </c>
      <c r="V1417" s="11">
        <f t="shared" si="428"/>
        <v>0</v>
      </c>
      <c r="W1417" s="11">
        <f t="shared" si="429"/>
        <v>0</v>
      </c>
      <c r="X1417" s="11">
        <f t="shared" si="421"/>
        <v>0</v>
      </c>
      <c r="Y1417" s="11">
        <f t="shared" si="430"/>
        <v>0</v>
      </c>
      <c r="Z1417" s="37">
        <v>1</v>
      </c>
      <c r="AA1417" s="36">
        <f t="shared" si="422"/>
        <v>1</v>
      </c>
      <c r="AB1417" s="36">
        <f t="shared" si="423"/>
        <v>0.14000000000000001</v>
      </c>
      <c r="AC1417" s="11">
        <f t="shared" si="424"/>
        <v>0</v>
      </c>
      <c r="AD1417" s="36">
        <f t="shared" si="414"/>
        <v>0</v>
      </c>
      <c r="AE1417" s="36"/>
      <c r="AF1417" s="36">
        <f>IFERROR(VLOOKUP(AE1417,'Chemical Cost'!A:D,4,0),0)</f>
        <v>0</v>
      </c>
      <c r="AG1417" s="114">
        <f t="shared" si="425"/>
        <v>0</v>
      </c>
      <c r="AH1417" s="36">
        <f t="shared" si="410"/>
        <v>0</v>
      </c>
      <c r="AI1417" s="36">
        <f t="shared" si="431"/>
        <v>0.14000000000000001</v>
      </c>
      <c r="AJ1417" s="36">
        <f>IFERROR(VLOOKUP(A1417,'All Products'!A:F,6,0),0)</f>
        <v>2.61</v>
      </c>
      <c r="AK1417" s="1"/>
      <c r="AL1417" s="29">
        <v>0.6</v>
      </c>
      <c r="AM1417" s="23">
        <v>0.4</v>
      </c>
      <c r="AN1417" s="54" t="e">
        <v>#N/A</v>
      </c>
      <c r="AP1417" s="4">
        <v>1.6</v>
      </c>
      <c r="AQ1417" s="111">
        <f t="shared" si="426"/>
        <v>0</v>
      </c>
      <c r="AR1417">
        <f>_xlfn.XLOOKUP(F1417,'RM Cost'!A:A,'RM Cost'!S:S)</f>
        <v>0</v>
      </c>
      <c r="AS1417" t="e">
        <f>_xlfn.XLOOKUP(A1417,[3]Sheet1!$B:$B,[3]Sheet1!$B:$B)</f>
        <v>#N/A</v>
      </c>
    </row>
    <row r="1418" spans="1:46" x14ac:dyDescent="0.25">
      <c r="A1418" s="1" t="s">
        <v>4319</v>
      </c>
      <c r="B1418" s="2" t="s">
        <v>656</v>
      </c>
      <c r="C1418" s="1" t="s">
        <v>4322</v>
      </c>
      <c r="D1418" s="2" t="s">
        <v>554</v>
      </c>
      <c r="E1418" s="2">
        <v>2.5</v>
      </c>
      <c r="F1418" s="1" t="str">
        <f>VLOOKUP(H1418,'RM Used'!A:B,2,0)</f>
        <v>032ACS</v>
      </c>
      <c r="G1418" s="1" t="str">
        <f>IFERROR(VLOOKUP(F1418,'RM Cost'!A:B,2,0),"")</f>
        <v>RM - LRG PROCESSING CARROT X 1000KG</v>
      </c>
      <c r="H1418" s="1" t="s">
        <v>4317</v>
      </c>
      <c r="I1418" s="1" t="str">
        <f>VLOOKUP(F1418,'RM Used'!B:D,3,0)</f>
        <v>RM-FOOD</v>
      </c>
      <c r="J1418" s="66">
        <v>1</v>
      </c>
      <c r="K1418" s="35">
        <f t="shared" si="416"/>
        <v>2.5</v>
      </c>
      <c r="L1418" s="35">
        <f t="shared" si="418"/>
        <v>2.5</v>
      </c>
      <c r="M1418" s="77" cm="1">
        <f t="array" ref="M1418">_xlfn.IFS(BOM!I1418="RM-PACKING","100%",B1418="Reynolds",VLOOKUP(H1418,'Yield &amp; Time'!A:V,22,0),BOM!B1418="Dnata",VLOOKUP(BOM!H1418,'Yield &amp; Time'!A:M,13,0),B1418="NK",VLOOKUP(H1418,'Yield &amp; Time'!A:X,24,0))</f>
        <v>0.75330000000000008</v>
      </c>
      <c r="N1418" s="35">
        <f t="shared" si="417"/>
        <v>3.3187309172972252</v>
      </c>
      <c r="O1418" s="1" t="str">
        <f>VLOOKUP(H1418,'RM Used'!A:E,5,0)</f>
        <v>KG</v>
      </c>
      <c r="P1418" s="11">
        <f>VLOOKUP(H1418,'RM Used'!A:F,6,0)</f>
        <v>0.38</v>
      </c>
      <c r="Q1418" s="11">
        <f t="shared" si="427"/>
        <v>1.2611177485729457</v>
      </c>
      <c r="R1418" s="11">
        <f>IFERROR(IF(B1418="Reynolds",VLOOKUP(H1418,'Yield &amp; Time'!A:U,21,0),VLOOKUP(H1418,'Yield &amp; Time'!A:L,12,0)),0)</f>
        <v>2.7553191489361701</v>
      </c>
      <c r="S1418" s="11">
        <f t="shared" si="419"/>
        <v>2.3316888297872338</v>
      </c>
      <c r="T1418" s="11">
        <f t="shared" si="420"/>
        <v>0.11480496453900708</v>
      </c>
      <c r="U1418" s="11">
        <f>IF(A1417=A1418,0,VLOOKUP(A1418,'Packing Time'!A:F,6,0))</f>
        <v>0.875</v>
      </c>
      <c r="V1418" s="11">
        <f t="shared" si="428"/>
        <v>0.29618749999999999</v>
      </c>
      <c r="W1418" s="11">
        <f t="shared" si="429"/>
        <v>1.4583333333333334E-2</v>
      </c>
      <c r="X1418" s="11">
        <f t="shared" si="421"/>
        <v>4.204602127659574</v>
      </c>
      <c r="Y1418" s="11">
        <f t="shared" si="430"/>
        <v>4.204602127659574</v>
      </c>
      <c r="Z1418" s="37">
        <v>1</v>
      </c>
      <c r="AA1418" s="36">
        <f t="shared" si="422"/>
        <v>3.3187309172972252</v>
      </c>
      <c r="AB1418" s="36">
        <f t="shared" si="423"/>
        <v>1.2611177485729457</v>
      </c>
      <c r="AC1418" s="11">
        <f t="shared" si="424"/>
        <v>0.20702127659574471</v>
      </c>
      <c r="AD1418" s="36">
        <f t="shared" si="414"/>
        <v>4.2046021276595749</v>
      </c>
      <c r="AE1418" s="36"/>
      <c r="AF1418" s="36">
        <f>IFERROR(VLOOKUP(AE1418,'Chemical Cost'!A:D,4,0),0)</f>
        <v>0</v>
      </c>
      <c r="AG1418" s="114">
        <f t="shared" si="425"/>
        <v>0</v>
      </c>
      <c r="AH1418" s="36">
        <f t="shared" si="410"/>
        <v>0</v>
      </c>
      <c r="AI1418" s="36">
        <f t="shared" si="431"/>
        <v>5.4657198762325194</v>
      </c>
      <c r="AJ1418" s="36">
        <f>IFERROR(VLOOKUP(A1418,'All Products'!A:F,6,0),0)</f>
        <v>6.52</v>
      </c>
      <c r="AK1418" s="1"/>
      <c r="AL1418" s="29">
        <v>0.6</v>
      </c>
      <c r="AM1418" s="23">
        <v>0.4</v>
      </c>
      <c r="AN1418" s="54" t="e">
        <v>#N/A</v>
      </c>
      <c r="AP1418" s="4">
        <v>1.6</v>
      </c>
      <c r="AQ1418" s="111">
        <f t="shared" si="426"/>
        <v>0.20702127659574471</v>
      </c>
      <c r="AR1418">
        <f>_xlfn.XLOOKUP(F1418,'RM Cost'!A:A,'RM Cost'!S:S)</f>
        <v>0</v>
      </c>
      <c r="AS1418" t="str">
        <f>_xlfn.XLOOKUP(A1418,[3]Sheet1!$B:$B,[3]Sheet1!$B:$B)</f>
        <v>Z440CS</v>
      </c>
      <c r="AT1418">
        <f>_xlfn.XLOOKUP(H1418,'Yield &amp; Time'!A:A,'Yield &amp; Time'!F:F)</f>
        <v>0</v>
      </c>
    </row>
    <row r="1419" spans="1:46" x14ac:dyDescent="0.25">
      <c r="A1419" s="1" t="s">
        <v>4319</v>
      </c>
      <c r="B1419" s="2" t="s">
        <v>656</v>
      </c>
      <c r="C1419" s="1" t="s">
        <v>4322</v>
      </c>
      <c r="D1419" s="2" t="s">
        <v>554</v>
      </c>
      <c r="E1419" s="2">
        <v>2.5</v>
      </c>
      <c r="F1419" s="1" t="str">
        <f>VLOOKUP(H1419,'RM Used'!A:B,2,0)</f>
        <v>P0008</v>
      </c>
      <c r="G1419" s="1" t="str">
        <f>IFERROR(VLOOKUP(F1419,'RM Cost'!A:B,2,0),"")</f>
        <v>PALE BLUE BAG 470X750MM</v>
      </c>
      <c r="H1419" s="1" t="s">
        <v>1323</v>
      </c>
      <c r="I1419" s="1" t="str">
        <f>VLOOKUP(F1419,'RM Used'!B:D,3,0)</f>
        <v>RM-PACKING</v>
      </c>
      <c r="J1419" s="66">
        <v>1</v>
      </c>
      <c r="K1419" s="35" t="str">
        <f t="shared" si="416"/>
        <v/>
      </c>
      <c r="L1419" s="35">
        <f t="shared" si="418"/>
        <v>0</v>
      </c>
      <c r="M1419" s="77" t="str" cm="1">
        <f t="array" ref="M1419">_xlfn.IFS(BOM!I1419="RM-PACKING","100%",B1419="Reynolds",VLOOKUP(H1419,'Yield &amp; Time'!A:V,22,0),BOM!B1419="Dnata",VLOOKUP(BOM!H1419,'Yield &amp; Time'!A:M,13,0),B1419="NK",VLOOKUP(H1419,'Yield &amp; Time'!A:X,24,0))</f>
        <v>100%</v>
      </c>
      <c r="N1419" s="35">
        <f t="shared" si="417"/>
        <v>1</v>
      </c>
      <c r="O1419" s="1" t="str">
        <f>VLOOKUP(H1419,'RM Used'!A:E,5,0)</f>
        <v>Count</v>
      </c>
      <c r="P1419" s="11">
        <f>VLOOKUP(H1419,'RM Used'!A:F,6,0)</f>
        <v>0.14000000000000001</v>
      </c>
      <c r="Q1419" s="11">
        <f t="shared" si="427"/>
        <v>0.14000000000000001</v>
      </c>
      <c r="R1419" s="11">
        <f>IFERROR(IF(B1419="Reynolds",VLOOKUP(H1419,'Yield &amp; Time'!A:U,21,0),VLOOKUP(H1419,'Yield &amp; Time'!A:L,12,0)),0)</f>
        <v>0</v>
      </c>
      <c r="S1419" s="11">
        <f t="shared" si="419"/>
        <v>0</v>
      </c>
      <c r="T1419" s="11">
        <f t="shared" si="420"/>
        <v>0</v>
      </c>
      <c r="U1419" s="11">
        <f>IF(A1418=A1419,0,VLOOKUP(A1419,'Packing Time'!A:F,6,0))</f>
        <v>0</v>
      </c>
      <c r="V1419" s="11">
        <f t="shared" si="428"/>
        <v>0</v>
      </c>
      <c r="W1419" s="11">
        <f t="shared" si="429"/>
        <v>0</v>
      </c>
      <c r="X1419" s="11">
        <f t="shared" si="421"/>
        <v>0</v>
      </c>
      <c r="Y1419" s="11">
        <f t="shared" si="430"/>
        <v>0</v>
      </c>
      <c r="Z1419" s="37">
        <v>1</v>
      </c>
      <c r="AA1419" s="36">
        <f t="shared" si="422"/>
        <v>1</v>
      </c>
      <c r="AB1419" s="36">
        <f t="shared" si="423"/>
        <v>0.14000000000000001</v>
      </c>
      <c r="AC1419" s="11">
        <f t="shared" si="424"/>
        <v>0</v>
      </c>
      <c r="AD1419" s="36">
        <f t="shared" si="414"/>
        <v>0</v>
      </c>
      <c r="AE1419" s="36"/>
      <c r="AF1419" s="36">
        <f>IFERROR(VLOOKUP(AE1419,'Chemical Cost'!A:D,4,0),0)</f>
        <v>0</v>
      </c>
      <c r="AG1419" s="114">
        <f t="shared" si="425"/>
        <v>0</v>
      </c>
      <c r="AH1419" s="36">
        <f t="shared" si="410"/>
        <v>0</v>
      </c>
      <c r="AI1419" s="36">
        <f t="shared" si="431"/>
        <v>0.14000000000000001</v>
      </c>
      <c r="AJ1419" s="36">
        <f>IFERROR(VLOOKUP(A1419,'All Products'!A:F,6,0),0)</f>
        <v>6.52</v>
      </c>
      <c r="AK1419" s="1"/>
      <c r="AL1419" s="29">
        <v>0.6</v>
      </c>
      <c r="AM1419" s="23">
        <v>0.4</v>
      </c>
      <c r="AN1419" s="54" t="e">
        <v>#N/A</v>
      </c>
      <c r="AP1419" s="4">
        <v>1.6</v>
      </c>
      <c r="AQ1419" s="111">
        <f t="shared" si="426"/>
        <v>0</v>
      </c>
      <c r="AR1419">
        <f>_xlfn.XLOOKUP(F1419,'RM Cost'!A:A,'RM Cost'!S:S)</f>
        <v>0</v>
      </c>
      <c r="AS1419" t="str">
        <f>_xlfn.XLOOKUP(A1419,[3]Sheet1!$B:$B,[3]Sheet1!$B:$B)</f>
        <v>Z440CS</v>
      </c>
      <c r="AT1419" t="e">
        <f>_xlfn.XLOOKUP(H1419,'Yield &amp; Time'!A:A,'Yield &amp; Time'!F:F)</f>
        <v>#N/A</v>
      </c>
    </row>
    <row r="1420" spans="1:46" x14ac:dyDescent="0.25">
      <c r="A1420" s="1" t="s">
        <v>4320</v>
      </c>
      <c r="B1420" s="1" t="s">
        <v>656</v>
      </c>
      <c r="C1420" s="1" t="s">
        <v>4323</v>
      </c>
      <c r="D1420" s="2" t="s">
        <v>554</v>
      </c>
      <c r="E1420" s="2">
        <v>1</v>
      </c>
      <c r="F1420" s="1" t="str">
        <f>VLOOKUP(H1420,'RM Used'!A:B,2,0)</f>
        <v>3136CS</v>
      </c>
      <c r="G1420" s="1" t="str">
        <f>IFERROR(VLOOKUP(F1420,'RM Cost'!A:B,2,0),"")</f>
        <v>RM - PROCESSING LEEKS 5KG</v>
      </c>
      <c r="H1420" s="1" t="s">
        <v>4318</v>
      </c>
      <c r="I1420" s="1" t="str">
        <f>VLOOKUP(F1420,'RM Used'!B:D,3,0)</f>
        <v>RM-FOOD</v>
      </c>
      <c r="J1420" s="66">
        <v>1</v>
      </c>
      <c r="K1420" s="35">
        <f t="shared" si="416"/>
        <v>1</v>
      </c>
      <c r="L1420" s="35">
        <f t="shared" si="418"/>
        <v>1</v>
      </c>
      <c r="M1420" s="77" cm="1">
        <f t="array" ref="M1420">_xlfn.IFS(BOM!I1420="RM-PACKING","100%",B1420="Reynolds",VLOOKUP(H1420,'Yield &amp; Time'!A:V,22,0),BOM!B1420="Dnata",VLOOKUP(BOM!H1420,'Yield &amp; Time'!A:M,13,0),B1420="NK",VLOOKUP(H1420,'Yield &amp; Time'!A:X,24,0))</f>
        <v>0.37990196078431376</v>
      </c>
      <c r="N1420" s="35">
        <f t="shared" si="417"/>
        <v>2.6322580645161286</v>
      </c>
      <c r="O1420" s="1" t="str">
        <f>VLOOKUP(H1420,'RM Used'!A:E,5,0)</f>
        <v>KG</v>
      </c>
      <c r="P1420" s="11">
        <f>VLOOKUP(H1420,'RM Used'!A:F,6,0)</f>
        <v>1.05</v>
      </c>
      <c r="Q1420" s="11">
        <f t="shared" si="427"/>
        <v>2.7638709677419353</v>
      </c>
      <c r="R1420" s="11">
        <f>IFERROR(IF(B1420="Reynolds",VLOOKUP(H1420,'Yield &amp; Time'!A:U,21,0),VLOOKUP(H1420,'Yield &amp; Time'!A:L,12,0)),0)</f>
        <v>27.481985815602837</v>
      </c>
      <c r="S1420" s="11">
        <f t="shared" si="419"/>
        <v>9.3026521985815585</v>
      </c>
      <c r="T1420" s="11">
        <f t="shared" si="420"/>
        <v>0.45803309692671396</v>
      </c>
      <c r="U1420" s="11">
        <f>IF(A1419=A1420,0,VLOOKUP(A1420,'Packing Time'!A:F,6,0))</f>
        <v>0.64500000000000002</v>
      </c>
      <c r="V1420" s="11">
        <f t="shared" si="428"/>
        <v>0.21833249999999998</v>
      </c>
      <c r="W1420" s="11">
        <f t="shared" si="429"/>
        <v>1.0750000000000001E-2</v>
      </c>
      <c r="X1420" s="11">
        <f t="shared" si="421"/>
        <v>15.233575517730495</v>
      </c>
      <c r="Y1420" s="11">
        <f t="shared" si="430"/>
        <v>15.233575517730495</v>
      </c>
      <c r="Z1420" s="37">
        <v>1</v>
      </c>
      <c r="AA1420" s="36">
        <f t="shared" si="422"/>
        <v>2.6322580645161286</v>
      </c>
      <c r="AB1420" s="36">
        <f t="shared" si="423"/>
        <v>2.7638709677419353</v>
      </c>
      <c r="AC1420" s="11">
        <f t="shared" si="424"/>
        <v>0.75005295508274239</v>
      </c>
      <c r="AD1420" s="36">
        <f t="shared" si="414"/>
        <v>15.233575517730497</v>
      </c>
      <c r="AE1420" s="36"/>
      <c r="AF1420" s="36">
        <f>IFERROR(VLOOKUP(AE1420,'Chemical Cost'!A:D,4,0),0)</f>
        <v>0</v>
      </c>
      <c r="AG1420" s="114">
        <f t="shared" si="425"/>
        <v>0</v>
      </c>
      <c r="AH1420" s="36">
        <f t="shared" si="410"/>
        <v>0</v>
      </c>
      <c r="AI1420" s="36">
        <f t="shared" si="431"/>
        <v>17.99744648547243</v>
      </c>
      <c r="AJ1420" s="36">
        <f>IFERROR(VLOOKUP(A1420,'All Products'!A:F,6,0),0)</f>
        <v>18.309999999999999</v>
      </c>
      <c r="AK1420" s="1"/>
      <c r="AL1420" s="29">
        <v>0.6</v>
      </c>
      <c r="AM1420" s="23">
        <v>0.4</v>
      </c>
      <c r="AN1420" s="54" t="e">
        <v>#N/A</v>
      </c>
      <c r="AP1420" s="4">
        <v>1.6</v>
      </c>
      <c r="AQ1420" s="111">
        <f t="shared" si="426"/>
        <v>0.75005295508274239</v>
      </c>
      <c r="AR1420">
        <f>_xlfn.XLOOKUP(F1420,'RM Cost'!A:A,'RM Cost'!S:S)</f>
        <v>0</v>
      </c>
      <c r="AS1420" t="e">
        <f>_xlfn.XLOOKUP(A1420,[3]Sheet1!$B:$B,[3]Sheet1!$B:$B)</f>
        <v>#N/A</v>
      </c>
    </row>
    <row r="1421" spans="1:46" x14ac:dyDescent="0.25">
      <c r="A1421" s="1" t="s">
        <v>4320</v>
      </c>
      <c r="B1421" s="1" t="s">
        <v>656</v>
      </c>
      <c r="C1421" s="1" t="s">
        <v>4323</v>
      </c>
      <c r="D1421" s="2" t="s">
        <v>554</v>
      </c>
      <c r="E1421" s="2">
        <v>1</v>
      </c>
      <c r="F1421" s="1" t="str">
        <f>VLOOKUP(H1421,'RM Used'!A:B,2,0)</f>
        <v>P0008</v>
      </c>
      <c r="G1421" s="1" t="str">
        <f>IFERROR(VLOOKUP(F1421,'RM Cost'!A:B,2,0),"")</f>
        <v>PALE BLUE BAG 470X750MM</v>
      </c>
      <c r="H1421" s="1" t="s">
        <v>1323</v>
      </c>
      <c r="I1421" s="1" t="str">
        <f>VLOOKUP(F1421,'RM Used'!B:D,3,0)</f>
        <v>RM-PACKING</v>
      </c>
      <c r="J1421" s="66">
        <v>1</v>
      </c>
      <c r="K1421" s="35" t="str">
        <f t="shared" si="416"/>
        <v/>
      </c>
      <c r="L1421" s="35">
        <f t="shared" si="418"/>
        <v>0</v>
      </c>
      <c r="M1421" s="77" t="str" cm="1">
        <f t="array" ref="M1421">_xlfn.IFS(BOM!I1421="RM-PACKING","100%",B1421="Reynolds",VLOOKUP(H1421,'Yield &amp; Time'!A:V,22,0),BOM!B1421="Dnata",VLOOKUP(BOM!H1421,'Yield &amp; Time'!A:M,13,0),B1421="NK",VLOOKUP(H1421,'Yield &amp; Time'!A:X,24,0))</f>
        <v>100%</v>
      </c>
      <c r="N1421" s="35">
        <f t="shared" si="417"/>
        <v>1</v>
      </c>
      <c r="O1421" s="1" t="str">
        <f>VLOOKUP(H1421,'RM Used'!A:E,5,0)</f>
        <v>Count</v>
      </c>
      <c r="P1421" s="11">
        <f>VLOOKUP(H1421,'RM Used'!A:F,6,0)</f>
        <v>0.14000000000000001</v>
      </c>
      <c r="Q1421" s="11">
        <f t="shared" si="427"/>
        <v>0.14000000000000001</v>
      </c>
      <c r="R1421" s="11">
        <f>IFERROR(IF(B1421="Reynolds",VLOOKUP(H1421,'Yield &amp; Time'!A:U,21,0),VLOOKUP(H1421,'Yield &amp; Time'!A:L,12,0)),0)</f>
        <v>0</v>
      </c>
      <c r="S1421" s="11">
        <f t="shared" si="419"/>
        <v>0</v>
      </c>
      <c r="T1421" s="11">
        <f t="shared" si="420"/>
        <v>0</v>
      </c>
      <c r="U1421" s="11">
        <f>IF(A1420=A1421,0,VLOOKUP(A1421,'Packing Time'!A:F,6,0))</f>
        <v>0</v>
      </c>
      <c r="V1421" s="11">
        <f t="shared" si="428"/>
        <v>0</v>
      </c>
      <c r="W1421" s="11">
        <f t="shared" si="429"/>
        <v>0</v>
      </c>
      <c r="X1421" s="11">
        <f t="shared" si="421"/>
        <v>0</v>
      </c>
      <c r="Y1421" s="11">
        <f t="shared" si="430"/>
        <v>0</v>
      </c>
      <c r="Z1421" s="37">
        <v>1</v>
      </c>
      <c r="AA1421" s="36">
        <f t="shared" si="422"/>
        <v>1</v>
      </c>
      <c r="AB1421" s="36">
        <f t="shared" si="423"/>
        <v>0.14000000000000001</v>
      </c>
      <c r="AC1421" s="11">
        <f t="shared" si="424"/>
        <v>0</v>
      </c>
      <c r="AD1421" s="36">
        <f t="shared" si="414"/>
        <v>0</v>
      </c>
      <c r="AE1421" s="36"/>
      <c r="AF1421" s="36">
        <f>IFERROR(VLOOKUP(AE1421,'Chemical Cost'!A:D,4,0),0)</f>
        <v>0</v>
      </c>
      <c r="AG1421" s="114">
        <f t="shared" si="425"/>
        <v>0</v>
      </c>
      <c r="AH1421" s="36">
        <f t="shared" si="410"/>
        <v>0</v>
      </c>
      <c r="AI1421" s="36">
        <f t="shared" si="431"/>
        <v>0.14000000000000001</v>
      </c>
      <c r="AJ1421" s="36">
        <f>IFERROR(VLOOKUP(A1421,'All Products'!A:F,6,0),0)</f>
        <v>18.309999999999999</v>
      </c>
      <c r="AK1421" s="1"/>
      <c r="AL1421" s="29">
        <v>0.6</v>
      </c>
      <c r="AM1421" s="23">
        <v>0.4</v>
      </c>
      <c r="AN1421" s="54" t="e">
        <v>#N/A</v>
      </c>
      <c r="AP1421" s="4">
        <v>1.6</v>
      </c>
      <c r="AQ1421" s="111">
        <f t="shared" si="426"/>
        <v>0</v>
      </c>
      <c r="AR1421">
        <f>_xlfn.XLOOKUP(F1421,'RM Cost'!A:A,'RM Cost'!S:S)</f>
        <v>0</v>
      </c>
      <c r="AS1421" t="e">
        <f>_xlfn.XLOOKUP(A1421,[3]Sheet1!$B:$B,[3]Sheet1!$B:$B)</f>
        <v>#N/A</v>
      </c>
    </row>
    <row r="1422" spans="1:46" x14ac:dyDescent="0.25">
      <c r="A1422" s="1" t="s">
        <v>4321</v>
      </c>
      <c r="B1422" s="1" t="s">
        <v>656</v>
      </c>
      <c r="C1422" s="1" t="s">
        <v>4324</v>
      </c>
      <c r="D1422" s="2" t="s">
        <v>554</v>
      </c>
      <c r="E1422" s="2">
        <v>2.5</v>
      </c>
      <c r="F1422" s="1" t="str">
        <f>VLOOKUP(H1422,'RM Used'!A:B,2,0)</f>
        <v>3136CS</v>
      </c>
      <c r="G1422" s="1" t="str">
        <f>IFERROR(VLOOKUP(F1422,'RM Cost'!A:B,2,0),"")</f>
        <v>RM - PROCESSING LEEKS 5KG</v>
      </c>
      <c r="H1422" s="1" t="s">
        <v>4318</v>
      </c>
      <c r="I1422" s="1" t="str">
        <f>VLOOKUP(F1422,'RM Used'!B:D,3,0)</f>
        <v>RM-FOOD</v>
      </c>
      <c r="J1422" s="66">
        <v>1</v>
      </c>
      <c r="K1422" s="35">
        <f t="shared" si="416"/>
        <v>2.5</v>
      </c>
      <c r="L1422" s="35">
        <f t="shared" si="418"/>
        <v>2.5</v>
      </c>
      <c r="M1422" s="77" cm="1">
        <f t="array" ref="M1422">_xlfn.IFS(BOM!I1422="RM-PACKING","100%",B1422="Reynolds",VLOOKUP(H1422,'Yield &amp; Time'!A:V,22,0),BOM!B1422="Dnata",VLOOKUP(BOM!H1422,'Yield &amp; Time'!A:M,13,0),B1422="NK",VLOOKUP(H1422,'Yield &amp; Time'!A:X,24,0))</f>
        <v>0.37990196078431376</v>
      </c>
      <c r="N1422" s="35">
        <f t="shared" si="417"/>
        <v>6.5806451612903221</v>
      </c>
      <c r="O1422" s="1" t="str">
        <f>VLOOKUP(H1422,'RM Used'!A:E,5,0)</f>
        <v>KG</v>
      </c>
      <c r="P1422" s="11">
        <f>VLOOKUP(H1422,'RM Used'!A:F,6,0)</f>
        <v>1.05</v>
      </c>
      <c r="Q1422" s="11">
        <f t="shared" si="427"/>
        <v>6.9096774193548383</v>
      </c>
      <c r="R1422" s="11">
        <f>IFERROR(IF(B1422="Reynolds",VLOOKUP(H1422,'Yield &amp; Time'!A:U,21,0),VLOOKUP(H1422,'Yield &amp; Time'!A:L,12,0)),0)</f>
        <v>27.481985815602837</v>
      </c>
      <c r="S1422" s="11">
        <f t="shared" si="419"/>
        <v>23.256630496453898</v>
      </c>
      <c r="T1422" s="11">
        <f t="shared" si="420"/>
        <v>1.1450827423167849</v>
      </c>
      <c r="U1422" s="11">
        <f>IF(A1421=A1422,0,VLOOKUP(A1422,'Packing Time'!A:F,6,0))</f>
        <v>0.875</v>
      </c>
      <c r="V1422" s="11">
        <f t="shared" si="428"/>
        <v>0.29618749999999999</v>
      </c>
      <c r="W1422" s="11">
        <f t="shared" si="429"/>
        <v>1.4583333333333334E-2</v>
      </c>
      <c r="X1422" s="11">
        <f t="shared" si="421"/>
        <v>37.684508794326241</v>
      </c>
      <c r="Y1422" s="11">
        <f t="shared" si="430"/>
        <v>37.684508794326241</v>
      </c>
      <c r="Z1422" s="37">
        <v>1</v>
      </c>
      <c r="AA1422" s="36">
        <f t="shared" si="422"/>
        <v>6.5806451612903221</v>
      </c>
      <c r="AB1422" s="36">
        <f t="shared" si="423"/>
        <v>6.9096774193548383</v>
      </c>
      <c r="AC1422" s="11">
        <f t="shared" si="424"/>
        <v>1.8554657210401893</v>
      </c>
      <c r="AD1422" s="36">
        <f t="shared" si="414"/>
        <v>37.684508794326241</v>
      </c>
      <c r="AE1422" s="36"/>
      <c r="AF1422" s="36">
        <f>IFERROR(VLOOKUP(AE1422,'Chemical Cost'!A:D,4,0),0)</f>
        <v>0</v>
      </c>
      <c r="AG1422" s="114">
        <f t="shared" si="425"/>
        <v>0</v>
      </c>
      <c r="AH1422" s="36">
        <f t="shared" si="410"/>
        <v>0</v>
      </c>
      <c r="AI1422" s="36">
        <f t="shared" si="431"/>
        <v>44.594186213681077</v>
      </c>
      <c r="AJ1422" s="36">
        <f>IFERROR(VLOOKUP(A1422,'All Products'!A:F,6,0),0)</f>
        <v>45.77</v>
      </c>
      <c r="AK1422" s="1"/>
      <c r="AL1422" s="29">
        <v>0.6</v>
      </c>
      <c r="AM1422" s="23">
        <v>0.4</v>
      </c>
      <c r="AN1422" s="54" t="e">
        <v>#N/A</v>
      </c>
      <c r="AP1422" s="4">
        <v>1.6</v>
      </c>
      <c r="AQ1422" s="111">
        <f t="shared" si="426"/>
        <v>1.8554657210401893</v>
      </c>
      <c r="AR1422">
        <f>_xlfn.XLOOKUP(F1422,'RM Cost'!A:A,'RM Cost'!S:S)</f>
        <v>0</v>
      </c>
      <c r="AS1422" t="e">
        <f>_xlfn.XLOOKUP(A1422,[3]Sheet1!$B:$B,[3]Sheet1!$B:$B)</f>
        <v>#N/A</v>
      </c>
    </row>
    <row r="1423" spans="1:46" x14ac:dyDescent="0.25">
      <c r="A1423" s="1" t="s">
        <v>4321</v>
      </c>
      <c r="B1423" s="1" t="s">
        <v>656</v>
      </c>
      <c r="C1423" s="1" t="s">
        <v>4324</v>
      </c>
      <c r="D1423" s="2" t="s">
        <v>554</v>
      </c>
      <c r="E1423" s="2">
        <v>2.5</v>
      </c>
      <c r="F1423" s="1" t="str">
        <f>VLOOKUP(H1423,'RM Used'!A:B,2,0)</f>
        <v>P0008</v>
      </c>
      <c r="G1423" s="1" t="str">
        <f>IFERROR(VLOOKUP(F1423,'RM Cost'!A:B,2,0),"")</f>
        <v>PALE BLUE BAG 470X750MM</v>
      </c>
      <c r="H1423" s="1" t="s">
        <v>1323</v>
      </c>
      <c r="I1423" s="1" t="str">
        <f>VLOOKUP(F1423,'RM Used'!B:D,3,0)</f>
        <v>RM-PACKING</v>
      </c>
      <c r="J1423" s="66">
        <v>1</v>
      </c>
      <c r="K1423" s="35" t="str">
        <f t="shared" si="416"/>
        <v/>
      </c>
      <c r="L1423" s="35">
        <f t="shared" si="418"/>
        <v>0</v>
      </c>
      <c r="M1423" s="77" t="str" cm="1">
        <f t="array" ref="M1423">_xlfn.IFS(BOM!I1423="RM-PACKING","100%",B1423="Reynolds",VLOOKUP(H1423,'Yield &amp; Time'!A:V,22,0),BOM!B1423="Dnata",VLOOKUP(BOM!H1423,'Yield &amp; Time'!A:M,13,0),B1423="NK",VLOOKUP(H1423,'Yield &amp; Time'!A:X,24,0))</f>
        <v>100%</v>
      </c>
      <c r="N1423" s="35">
        <f t="shared" si="417"/>
        <v>1</v>
      </c>
      <c r="O1423" s="1" t="str">
        <f>VLOOKUP(H1423,'RM Used'!A:E,5,0)</f>
        <v>Count</v>
      </c>
      <c r="P1423" s="11">
        <f>VLOOKUP(H1423,'RM Used'!A:F,6,0)</f>
        <v>0.14000000000000001</v>
      </c>
      <c r="Q1423" s="11">
        <f t="shared" si="427"/>
        <v>0.14000000000000001</v>
      </c>
      <c r="R1423" s="11">
        <f>IFERROR(IF(B1423="Reynolds",VLOOKUP(H1423,'Yield &amp; Time'!A:U,21,0),VLOOKUP(H1423,'Yield &amp; Time'!A:L,12,0)),0)</f>
        <v>0</v>
      </c>
      <c r="S1423" s="11">
        <f t="shared" si="419"/>
        <v>0</v>
      </c>
      <c r="T1423" s="11">
        <f t="shared" si="420"/>
        <v>0</v>
      </c>
      <c r="U1423" s="11">
        <f>IF(A1422=A1423,0,VLOOKUP(A1423,'Packing Time'!A:F,6,0))</f>
        <v>0</v>
      </c>
      <c r="V1423" s="11">
        <f t="shared" si="428"/>
        <v>0</v>
      </c>
      <c r="W1423" s="11">
        <f t="shared" si="429"/>
        <v>0</v>
      </c>
      <c r="X1423" s="11">
        <f t="shared" si="421"/>
        <v>0</v>
      </c>
      <c r="Y1423" s="11">
        <f t="shared" si="430"/>
        <v>0</v>
      </c>
      <c r="Z1423" s="37">
        <v>1</v>
      </c>
      <c r="AA1423" s="36">
        <f t="shared" si="422"/>
        <v>1</v>
      </c>
      <c r="AB1423" s="36">
        <f t="shared" si="423"/>
        <v>0.14000000000000001</v>
      </c>
      <c r="AC1423" s="11">
        <f t="shared" si="424"/>
        <v>0</v>
      </c>
      <c r="AD1423" s="36">
        <f t="shared" si="414"/>
        <v>0</v>
      </c>
      <c r="AE1423" s="36"/>
      <c r="AF1423" s="36">
        <f>IFERROR(VLOOKUP(AE1423,'Chemical Cost'!A:D,4,0),0)</f>
        <v>0</v>
      </c>
      <c r="AG1423" s="114">
        <f t="shared" si="425"/>
        <v>0</v>
      </c>
      <c r="AH1423" s="36">
        <f t="shared" si="410"/>
        <v>0</v>
      </c>
      <c r="AI1423" s="36">
        <f t="shared" si="431"/>
        <v>0.14000000000000001</v>
      </c>
      <c r="AJ1423" s="36">
        <f>IFERROR(VLOOKUP(A1423,'All Products'!A:F,6,0),0)</f>
        <v>45.77</v>
      </c>
      <c r="AK1423" s="1"/>
      <c r="AL1423" s="29">
        <v>0.6</v>
      </c>
      <c r="AM1423" s="23">
        <v>0.4</v>
      </c>
      <c r="AN1423" s="54" t="e">
        <v>#N/A</v>
      </c>
      <c r="AP1423" s="4">
        <v>1.6</v>
      </c>
      <c r="AQ1423" s="111">
        <f t="shared" si="426"/>
        <v>0</v>
      </c>
      <c r="AR1423">
        <f>_xlfn.XLOOKUP(F1423,'RM Cost'!A:A,'RM Cost'!S:S)</f>
        <v>0</v>
      </c>
      <c r="AS1423" t="e">
        <f>_xlfn.XLOOKUP(A1423,[3]Sheet1!$B:$B,[3]Sheet1!$B:$B)</f>
        <v>#N/A</v>
      </c>
    </row>
    <row r="1424" spans="1:46" x14ac:dyDescent="0.25">
      <c r="A1424" s="1" t="s">
        <v>4345</v>
      </c>
      <c r="B1424" s="1" t="s">
        <v>552</v>
      </c>
      <c r="C1424" s="1" t="s">
        <v>4346</v>
      </c>
      <c r="D1424" s="2" t="s">
        <v>554</v>
      </c>
      <c r="E1424" s="2">
        <v>2.6</v>
      </c>
      <c r="F1424" s="1" t="str">
        <f>VLOOKUP(H1424,'RM Used'!A:B,2,0)</f>
        <v>1318CS</v>
      </c>
      <c r="G1424" s="1" t="str">
        <f>IFERROR(VLOOKUP(F1424,'RM Cost'!A:B,2,0),"")</f>
        <v>RM - PREP ONION RED WHOLE 2.5KG</v>
      </c>
      <c r="H1424" s="2" t="s">
        <v>1453</v>
      </c>
      <c r="I1424" s="1" t="str">
        <f>VLOOKUP(F1424,'RM Used'!B:D,3,0)</f>
        <v>RM-FOOD</v>
      </c>
      <c r="J1424" s="66">
        <v>0.77</v>
      </c>
      <c r="K1424" s="35">
        <f t="shared" si="416"/>
        <v>2.0020000000000002</v>
      </c>
      <c r="L1424" s="35">
        <f t="shared" si="418"/>
        <v>2.0020000000000002</v>
      </c>
      <c r="M1424" s="77" cm="1">
        <f t="array" ref="M1424">_xlfn.IFS(BOM!I1424="RM-PACKING","100%",B1424="Reynolds",VLOOKUP(H1424,'Yield &amp; Time'!A:V,22,0),BOM!B1424="Dnata",VLOOKUP(BOM!H1424,'Yield &amp; Time'!A:M,13,0),B1424="NK",VLOOKUP(H1424,'Yield &amp; Time'!A:X,24,0))</f>
        <v>0.81267690818918592</v>
      </c>
      <c r="N1424" s="35">
        <f>IFERROR(IF(I1424="RM-FOOD",(E1424*J1424)/M1424,1),0)</f>
        <v>2.4634636222910218</v>
      </c>
      <c r="O1424" s="1" t="str">
        <f>VLOOKUP(H1424,'RM Used'!A:E,5,0)</f>
        <v>KG</v>
      </c>
      <c r="P1424" s="11">
        <f>VLOOKUP(H1424,'RM Used'!A:F,6,0)</f>
        <v>1.08</v>
      </c>
      <c r="Q1424" s="11">
        <f t="shared" si="427"/>
        <v>2.6605407120743036</v>
      </c>
      <c r="R1424" s="11">
        <f>IFERROR(IF(B1424="Reynolds",VLOOKUP(H1424,'Yield &amp; Time'!A:U,21,0),VLOOKUP(H1424,'Yield &amp; Time'!A:L,12,0)),0)</f>
        <v>0.87753036437246967</v>
      </c>
      <c r="S1424" s="11">
        <f t="shared" si="419"/>
        <v>0.59468214473684211</v>
      </c>
      <c r="T1424" s="11">
        <f t="shared" si="420"/>
        <v>2.928026315789474E-2</v>
      </c>
      <c r="U1424" s="11">
        <f>IF(A1423=A1424,0,VLOOKUP(A1424,'Packing Time'!A:F,6,0))</f>
        <v>1.75</v>
      </c>
      <c r="V1424" s="11">
        <f t="shared" si="428"/>
        <v>0.59237499999999998</v>
      </c>
      <c r="W1424" s="11">
        <f t="shared" si="429"/>
        <v>2.9166666666666667E-2</v>
      </c>
      <c r="X1424" s="11">
        <f t="shared" si="421"/>
        <v>1.8992914315789475</v>
      </c>
      <c r="Y1424" s="11">
        <f t="shared" si="430"/>
        <v>1.8992914315789475</v>
      </c>
      <c r="Z1424" s="37">
        <v>1</v>
      </c>
      <c r="AA1424" s="36">
        <f t="shared" si="422"/>
        <v>2.4634636222910218</v>
      </c>
      <c r="AB1424" s="36">
        <f t="shared" si="423"/>
        <v>2.6605407120743036</v>
      </c>
      <c r="AC1424" s="11">
        <f t="shared" si="424"/>
        <v>9.3515087719298257E-2</v>
      </c>
      <c r="AD1424" s="36">
        <f t="shared" si="414"/>
        <v>1.8992914315789473</v>
      </c>
      <c r="AE1424" s="36"/>
      <c r="AF1424" s="36">
        <f>IFERROR(VLOOKUP(AE1424,'Chemical Cost'!A:D,4,0),0)</f>
        <v>0</v>
      </c>
      <c r="AG1424" s="114">
        <f t="shared" si="425"/>
        <v>0</v>
      </c>
      <c r="AH1424" s="36">
        <f t="shared" si="410"/>
        <v>0</v>
      </c>
      <c r="AI1424" s="36">
        <f t="shared" si="431"/>
        <v>4.5598321436532512</v>
      </c>
      <c r="AJ1424" s="36">
        <f>IFERROR(VLOOKUP(A1424,'All Products'!A:F,6,0),0)</f>
        <v>17.22</v>
      </c>
      <c r="AK1424" s="1"/>
      <c r="AL1424" s="1"/>
      <c r="AM1424" s="23"/>
      <c r="AN1424" s="54" t="e">
        <v>#N/A</v>
      </c>
      <c r="AP1424" s="4">
        <v>1.6</v>
      </c>
      <c r="AQ1424" s="111">
        <f t="shared" si="426"/>
        <v>9.3515087719298257E-2</v>
      </c>
      <c r="AR1424">
        <f>_xlfn.XLOOKUP(F1424,'RM Cost'!A:A,'RM Cost'!S:S)</f>
        <v>0</v>
      </c>
      <c r="AS1424" t="e">
        <f>_xlfn.XLOOKUP(A1424,[3]Sheet1!$B:$B,[3]Sheet1!$B:$B)</f>
        <v>#N/A</v>
      </c>
    </row>
    <row r="1425" spans="1:45" x14ac:dyDescent="0.25">
      <c r="A1425" s="1" t="s">
        <v>4345</v>
      </c>
      <c r="B1425" s="1" t="s">
        <v>552</v>
      </c>
      <c r="C1425" s="1" t="s">
        <v>4346</v>
      </c>
      <c r="D1425" s="2" t="s">
        <v>554</v>
      </c>
      <c r="E1425" s="2">
        <v>2.6</v>
      </c>
      <c r="F1425" s="1" t="str">
        <f>VLOOKUP(H1425,'RM Used'!A:B,2,0)</f>
        <v>HS685</v>
      </c>
      <c r="G1425" s="1" t="str">
        <f>IFERROR(VLOOKUP(F1425,'RM Cost'!A:B,2,0),"")</f>
        <v>RM - TIC AMAZU PICKLING VINEGAR 5KG</v>
      </c>
      <c r="H1425" s="2" t="s">
        <v>1645</v>
      </c>
      <c r="I1425" s="1" t="str">
        <f>VLOOKUP(F1425,'RM Used'!B:D,3,0)</f>
        <v>RM-FOOD</v>
      </c>
      <c r="J1425" s="66">
        <v>0.23</v>
      </c>
      <c r="K1425" s="35">
        <f t="shared" si="416"/>
        <v>0.59800000000000009</v>
      </c>
      <c r="L1425" s="35">
        <f t="shared" si="418"/>
        <v>0.59800000000000009</v>
      </c>
      <c r="M1425" s="77" cm="1">
        <f t="array" ref="M1425">_xlfn.IFS(BOM!I1425="RM-PACKING","100%",B1425="Reynolds",VLOOKUP(H1425,'Yield &amp; Time'!A:V,22,0),BOM!B1425="Dnata",VLOOKUP(BOM!H1425,'Yield &amp; Time'!A:M,13,0),B1425="NK",VLOOKUP(H1425,'Yield &amp; Time'!A:X,24,0))</f>
        <v>1</v>
      </c>
      <c r="N1425" s="35">
        <f>IFERROR(IF(I1425="RM-FOOD",(E1425*J1425)/M1425,1),0)</f>
        <v>0.59800000000000009</v>
      </c>
      <c r="O1425" s="1" t="str">
        <f>VLOOKUP(H1425,'RM Used'!A:E,5,0)</f>
        <v>KG</v>
      </c>
      <c r="P1425" s="11">
        <f>VLOOKUP(H1425,'RM Used'!A:F,6,0)</f>
        <v>3.6</v>
      </c>
      <c r="Q1425" s="11">
        <f t="shared" si="427"/>
        <v>2.1528000000000005</v>
      </c>
      <c r="R1425" s="11">
        <f>IFERROR(IF(B1425="Reynolds",VLOOKUP(H1425,'Yield &amp; Time'!A:U,21,0),VLOOKUP(H1425,'Yield &amp; Time'!A:L,12,0)),0)</f>
        <v>0</v>
      </c>
      <c r="S1425" s="11">
        <f t="shared" si="419"/>
        <v>0</v>
      </c>
      <c r="T1425" s="11">
        <f t="shared" si="420"/>
        <v>0</v>
      </c>
      <c r="U1425" s="11">
        <f>IF(A1424=A1425,0,VLOOKUP(A1425,'Packing Time'!A:F,6,0))</f>
        <v>0</v>
      </c>
      <c r="V1425" s="11">
        <f t="shared" si="428"/>
        <v>0</v>
      </c>
      <c r="W1425" s="11">
        <f t="shared" si="429"/>
        <v>0</v>
      </c>
      <c r="X1425" s="11">
        <f t="shared" si="421"/>
        <v>0</v>
      </c>
      <c r="Y1425" s="11">
        <f t="shared" si="430"/>
        <v>0</v>
      </c>
      <c r="Z1425" s="37">
        <v>1</v>
      </c>
      <c r="AA1425" s="36">
        <f t="shared" si="422"/>
        <v>0.59800000000000009</v>
      </c>
      <c r="AB1425" s="36">
        <f t="shared" si="423"/>
        <v>2.1528000000000005</v>
      </c>
      <c r="AC1425" s="11">
        <f t="shared" si="424"/>
        <v>0</v>
      </c>
      <c r="AD1425" s="36">
        <f t="shared" si="414"/>
        <v>0</v>
      </c>
      <c r="AE1425" s="36">
        <f>VLOOKUP(H1425,'Yield &amp; Time'!A:I,9,0)</f>
        <v>0</v>
      </c>
      <c r="AF1425" s="36">
        <f>IFERROR(VLOOKUP(AE1425,'Chemical Cost'!A:D,4,0),0)</f>
        <v>0</v>
      </c>
      <c r="AG1425" s="114">
        <f t="shared" si="425"/>
        <v>0</v>
      </c>
      <c r="AH1425" s="36">
        <f t="shared" si="410"/>
        <v>0</v>
      </c>
      <c r="AI1425" s="36">
        <f t="shared" si="431"/>
        <v>2.1528000000000005</v>
      </c>
      <c r="AJ1425" s="36">
        <f>IFERROR(VLOOKUP(A1425,'All Products'!A:F,6,0),0)</f>
        <v>17.22</v>
      </c>
      <c r="AK1425" s="1"/>
      <c r="AL1425" s="1"/>
      <c r="AM1425" s="1"/>
      <c r="AN1425" s="54" t="e">
        <v>#N/A</v>
      </c>
      <c r="AP1425" s="4">
        <v>1.6</v>
      </c>
      <c r="AQ1425" s="111">
        <f t="shared" si="426"/>
        <v>0</v>
      </c>
      <c r="AR1425">
        <f>_xlfn.XLOOKUP(F1425,'RM Cost'!A:A,'RM Cost'!S:S)</f>
        <v>0</v>
      </c>
      <c r="AS1425" t="e">
        <f>_xlfn.XLOOKUP(A1425,[3]Sheet1!$B:$B,[3]Sheet1!$B:$B)</f>
        <v>#N/A</v>
      </c>
    </row>
    <row r="1426" spans="1:45" x14ac:dyDescent="0.25">
      <c r="A1426" s="1" t="s">
        <v>4345</v>
      </c>
      <c r="B1426" s="1" t="s">
        <v>552</v>
      </c>
      <c r="C1426" s="1" t="s">
        <v>4346</v>
      </c>
      <c r="D1426" s="2" t="s">
        <v>554</v>
      </c>
      <c r="E1426" s="2">
        <v>2.6</v>
      </c>
      <c r="F1426" s="1" t="str">
        <f>VLOOKUP(H1426,'RM Used'!A:B,2,0)</f>
        <v>P0008</v>
      </c>
      <c r="G1426" s="1" t="str">
        <f>IFERROR(VLOOKUP(F1426,'RM Cost'!A:B,2,0),"")</f>
        <v>PALE BLUE BAG 470X750MM</v>
      </c>
      <c r="H1426" s="1" t="s">
        <v>1323</v>
      </c>
      <c r="I1426" s="1" t="str">
        <f>VLOOKUP(F1426,'RM Used'!B:D,3,0)</f>
        <v>RM-PACKING</v>
      </c>
      <c r="J1426" s="66">
        <v>1</v>
      </c>
      <c r="K1426" s="35" t="str">
        <f>IF(I1426="RM-FOOD",J1426*E1426,"")</f>
        <v/>
      </c>
      <c r="L1426" s="35">
        <f t="shared" si="418"/>
        <v>0</v>
      </c>
      <c r="M1426" s="77" t="str" cm="1">
        <f t="array" ref="M1426">_xlfn.IFS(BOM!I1426="RM-PACKING","100%",B1426="Reynolds",VLOOKUP(H1426,'Yield &amp; Time'!A:V,22,0),BOM!B1426="Dnata",VLOOKUP(BOM!H1426,'Yield &amp; Time'!A:M,13,0),B1426="NK",VLOOKUP(H1426,'Yield &amp; Time'!A:X,24,0))</f>
        <v>100%</v>
      </c>
      <c r="N1426" s="35">
        <f t="shared" ref="N1426:N1431" si="432">IFERROR(IF(I1426="RM-FOOD",(E1426*J1426)/M1426,1),0)</f>
        <v>1</v>
      </c>
      <c r="O1426" s="1" t="str">
        <f>VLOOKUP(H1426,'RM Used'!A:E,5,0)</f>
        <v>Count</v>
      </c>
      <c r="P1426" s="11">
        <f>VLOOKUP(H1426,'RM Used'!A:F,6,0)</f>
        <v>0.14000000000000001</v>
      </c>
      <c r="Q1426" s="11">
        <f t="shared" si="427"/>
        <v>0.14000000000000001</v>
      </c>
      <c r="R1426" s="11">
        <f>IFERROR(IF(B1426="Reynolds",VLOOKUP(H1426,'Yield &amp; Time'!A:U,21,0),VLOOKUP(H1426,'Yield &amp; Time'!A:L,12,0)),0)</f>
        <v>0</v>
      </c>
      <c r="S1426" s="11">
        <f t="shared" si="419"/>
        <v>0</v>
      </c>
      <c r="T1426" s="11">
        <f t="shared" si="420"/>
        <v>0</v>
      </c>
      <c r="U1426" s="11">
        <f>IF(A1425=A1426,0,VLOOKUP(A1426,'Packing Time'!A:F,6,0))</f>
        <v>0</v>
      </c>
      <c r="V1426" s="11">
        <f t="shared" ref="V1426:V1431" si="433">U1426*AO$1</f>
        <v>0</v>
      </c>
      <c r="W1426" s="11">
        <f t="shared" ref="W1426:W1431" si="434">(U1426*Z1426)/60</f>
        <v>0</v>
      </c>
      <c r="X1426" s="11">
        <f t="shared" si="421"/>
        <v>0</v>
      </c>
      <c r="Y1426" s="11">
        <f t="shared" ref="Y1426:Y1431" si="435">X1426*Z1426</f>
        <v>0</v>
      </c>
      <c r="Z1426" s="37">
        <v>1</v>
      </c>
      <c r="AA1426" s="36">
        <f t="shared" si="422"/>
        <v>1</v>
      </c>
      <c r="AB1426" s="36">
        <f t="shared" si="423"/>
        <v>0.14000000000000001</v>
      </c>
      <c r="AC1426" s="11">
        <f t="shared" si="424"/>
        <v>0</v>
      </c>
      <c r="AD1426" s="36">
        <f t="shared" si="414"/>
        <v>0</v>
      </c>
      <c r="AE1426" s="36"/>
      <c r="AF1426" s="36">
        <f>IFERROR(VLOOKUP(AE1426,'Chemical Cost'!A:D,4,0),0)</f>
        <v>0</v>
      </c>
      <c r="AG1426" s="114">
        <f t="shared" si="425"/>
        <v>0</v>
      </c>
      <c r="AH1426" s="36">
        <f t="shared" si="410"/>
        <v>0</v>
      </c>
      <c r="AI1426" s="36">
        <f t="shared" ref="AI1426:AI1431" si="436">IFERROR((Q1426*Z1426)+(Z1426*X1426)+AH1426,0)</f>
        <v>0.14000000000000001</v>
      </c>
      <c r="AJ1426" s="36">
        <f>IFERROR(VLOOKUP(A1426,'All Products'!A:F,6,0),0)</f>
        <v>17.22</v>
      </c>
      <c r="AK1426" s="1"/>
      <c r="AL1426" s="1"/>
      <c r="AM1426" s="1"/>
      <c r="AN1426" s="54" t="e">
        <v>#N/A</v>
      </c>
      <c r="AP1426" s="4">
        <v>1.6</v>
      </c>
      <c r="AQ1426" s="111">
        <f t="shared" si="426"/>
        <v>0</v>
      </c>
      <c r="AR1426">
        <f>_xlfn.XLOOKUP(F1426,'RM Cost'!A:A,'RM Cost'!S:S)</f>
        <v>0</v>
      </c>
      <c r="AS1426" t="e">
        <f>_xlfn.XLOOKUP(A1426,[3]Sheet1!$B:$B,[3]Sheet1!$B:$B)</f>
        <v>#N/A</v>
      </c>
    </row>
    <row r="1427" spans="1:45" x14ac:dyDescent="0.25">
      <c r="A1427" s="1" t="s">
        <v>4345</v>
      </c>
      <c r="B1427" s="1" t="s">
        <v>552</v>
      </c>
      <c r="C1427" s="1" t="s">
        <v>4346</v>
      </c>
      <c r="D1427" s="2" t="s">
        <v>554</v>
      </c>
      <c r="E1427" s="2">
        <v>2.6</v>
      </c>
      <c r="F1427" s="1" t="str">
        <f>VLOOKUP(H1427,'RM Used'!A:B,2,0)</f>
        <v>P0016</v>
      </c>
      <c r="G1427" s="1" t="str">
        <f>IFERROR(VLOOKUP(F1427,'RM Cost'!A:B,2,0),"")</f>
        <v>REY 40 30 BOX</v>
      </c>
      <c r="H1427" s="1" t="s">
        <v>1332</v>
      </c>
      <c r="I1427" s="1" t="str">
        <f>VLOOKUP(F1427,'RM Used'!B:D,3,0)</f>
        <v>RM-PACKING</v>
      </c>
      <c r="J1427" s="66">
        <v>1</v>
      </c>
      <c r="K1427" s="35" t="str">
        <f>IF(I1427="RM-FOOD",J1427*E1427,"")</f>
        <v/>
      </c>
      <c r="L1427" s="35">
        <f t="shared" si="418"/>
        <v>0</v>
      </c>
      <c r="M1427" s="77" t="str" cm="1">
        <f t="array" ref="M1427">_xlfn.IFS(BOM!I1427="RM-PACKING","100%",B1427="Reynolds",VLOOKUP(H1427,'Yield &amp; Time'!A:V,22,0),BOM!B1427="Dnata",VLOOKUP(BOM!H1427,'Yield &amp; Time'!A:M,13,0),B1427="NK",VLOOKUP(H1427,'Yield &amp; Time'!A:X,24,0))</f>
        <v>100%</v>
      </c>
      <c r="N1427" s="35">
        <f>IFERROR(IF(I1427="RM-FOOD",(E1427*J1427)/M1427,1),0)</f>
        <v>1</v>
      </c>
      <c r="O1427" s="1" t="str">
        <f>VLOOKUP(H1427,'RM Used'!A:E,5,0)</f>
        <v>Count</v>
      </c>
      <c r="P1427" s="11">
        <f>VLOOKUP(H1427,'RM Used'!A:F,6,0)</f>
        <v>0.28000000000000003</v>
      </c>
      <c r="Q1427" s="11">
        <f t="shared" si="427"/>
        <v>0.28000000000000003</v>
      </c>
      <c r="R1427" s="11">
        <f>IFERROR(IF(B1427="Reynolds",VLOOKUP(H1427,'Yield &amp; Time'!A:U,21,0),VLOOKUP(H1427,'Yield &amp; Time'!A:L,12,0)),0)</f>
        <v>0</v>
      </c>
      <c r="S1427" s="11">
        <f t="shared" si="419"/>
        <v>0</v>
      </c>
      <c r="T1427" s="11">
        <f t="shared" si="420"/>
        <v>0</v>
      </c>
      <c r="U1427" s="11">
        <f>IF(A1426=A1427,0,VLOOKUP(A1427,'Packing Time'!A:F,6,0))</f>
        <v>0</v>
      </c>
      <c r="V1427" s="11">
        <f>U1427*AO$1</f>
        <v>0</v>
      </c>
      <c r="W1427" s="11">
        <f>(U1427*Z1427)/60</f>
        <v>0</v>
      </c>
      <c r="X1427" s="11">
        <f t="shared" si="421"/>
        <v>0</v>
      </c>
      <c r="Y1427" s="11">
        <f>X1427*Z1427</f>
        <v>0</v>
      </c>
      <c r="Z1427" s="37">
        <v>1</v>
      </c>
      <c r="AA1427" s="36">
        <f t="shared" si="422"/>
        <v>1</v>
      </c>
      <c r="AB1427" s="36">
        <f t="shared" si="423"/>
        <v>0.28000000000000003</v>
      </c>
      <c r="AC1427" s="11">
        <f t="shared" si="424"/>
        <v>0</v>
      </c>
      <c r="AD1427" s="36">
        <f>AC1427*60*AO$1</f>
        <v>0</v>
      </c>
      <c r="AE1427" s="36"/>
      <c r="AF1427" s="36">
        <f>IFERROR(VLOOKUP(AE1427,'Chemical Cost'!A:D,4,0),0)</f>
        <v>0</v>
      </c>
      <c r="AG1427" s="114">
        <f t="shared" si="425"/>
        <v>0</v>
      </c>
      <c r="AH1427" s="36">
        <f t="shared" si="410"/>
        <v>0</v>
      </c>
      <c r="AI1427" s="36">
        <f>IFERROR((Q1427*Z1427)+(Z1427*X1427)+AH1427,0)</f>
        <v>0.28000000000000003</v>
      </c>
      <c r="AJ1427" s="36">
        <f>IFERROR(VLOOKUP(A1427,'All Products'!A:F,6,0),0)</f>
        <v>17.22</v>
      </c>
      <c r="AK1427" s="1"/>
      <c r="AL1427" s="1"/>
      <c r="AM1427" s="1"/>
      <c r="AN1427" s="54" t="e">
        <v>#N/A</v>
      </c>
      <c r="AP1427" s="4">
        <v>1.6</v>
      </c>
      <c r="AQ1427" s="111">
        <f t="shared" si="426"/>
        <v>0</v>
      </c>
      <c r="AR1427">
        <f>_xlfn.XLOOKUP(F1427,'RM Cost'!A:A,'RM Cost'!S:S)</f>
        <v>0</v>
      </c>
      <c r="AS1427" t="e">
        <f>_xlfn.XLOOKUP(A1427,[3]Sheet1!$B:$B,[3]Sheet1!$B:$B)</f>
        <v>#N/A</v>
      </c>
    </row>
    <row r="1428" spans="1:45" x14ac:dyDescent="0.25">
      <c r="A1428" s="1" t="s">
        <v>4347</v>
      </c>
      <c r="B1428" s="2" t="s">
        <v>656</v>
      </c>
      <c r="C1428" s="1" t="s">
        <v>4348</v>
      </c>
      <c r="D1428" s="2" t="s">
        <v>554</v>
      </c>
      <c r="E1428" s="2">
        <v>2.5</v>
      </c>
      <c r="F1428" s="1" t="str">
        <f>VLOOKUP(H1428,'RM Used'!A:B,2,0)</f>
        <v>032ACS</v>
      </c>
      <c r="G1428" s="1" t="str">
        <f>IFERROR(VLOOKUP(F1428,'RM Cost'!A:B,2,0),"")</f>
        <v>RM - LRG PROCESSING CARROT X 1000KG</v>
      </c>
      <c r="H1428" s="1" t="s">
        <v>4316</v>
      </c>
      <c r="I1428" s="1" t="str">
        <f>VLOOKUP(F1428,'RM Used'!B:D,3,0)</f>
        <v>RM-FOOD</v>
      </c>
      <c r="J1428" s="66">
        <v>1</v>
      </c>
      <c r="K1428" s="35">
        <f t="shared" si="416"/>
        <v>2.5</v>
      </c>
      <c r="L1428" s="35">
        <f t="shared" si="418"/>
        <v>2.5</v>
      </c>
      <c r="M1428" s="77" cm="1">
        <f t="array" ref="M1428">_xlfn.IFS(BOM!I1428="RM-PACKING","100%",B1428="Reynolds",VLOOKUP(H1428,'Yield &amp; Time'!A:V,22,0),BOM!B1428="Dnata",VLOOKUP(BOM!H1428,'Yield &amp; Time'!A:M,13,0),B1428="NK",VLOOKUP(H1428,'Yield &amp; Time'!A:X,24,0))</f>
        <v>0.6598561061450775</v>
      </c>
      <c r="N1428" s="35">
        <f t="shared" si="432"/>
        <v>3.7887048050599446</v>
      </c>
      <c r="O1428" s="1" t="str">
        <f>VLOOKUP(H1428,'RM Used'!A:E,5,0)</f>
        <v>KG</v>
      </c>
      <c r="P1428" s="11">
        <f>VLOOKUP(H1428,'RM Used'!A:F,6,0)</f>
        <v>0.38</v>
      </c>
      <c r="Q1428" s="11">
        <f t="shared" si="427"/>
        <v>1.4397078259227789</v>
      </c>
      <c r="R1428" s="11">
        <f>IFERROR(IF(B1428="Reynolds",VLOOKUP(H1428,'Yield &amp; Time'!A:U,21,0),VLOOKUP(H1428,'Yield &amp; Time'!A:L,12,0)),0)</f>
        <v>4.2385826069626686</v>
      </c>
      <c r="S1428" s="11">
        <f t="shared" si="419"/>
        <v>3.5869005311421582</v>
      </c>
      <c r="T1428" s="11">
        <f t="shared" si="420"/>
        <v>0.17660760862344455</v>
      </c>
      <c r="U1428" s="11">
        <f>IF(A1427=A1428,0,VLOOKUP(A1428,'Packing Time'!A:F,6,0))</f>
        <v>0.875</v>
      </c>
      <c r="V1428" s="11">
        <f t="shared" si="433"/>
        <v>0.29618749999999999</v>
      </c>
      <c r="W1428" s="11">
        <f t="shared" si="434"/>
        <v>1.4583333333333334E-2</v>
      </c>
      <c r="X1428" s="11">
        <f t="shared" si="421"/>
        <v>5.4363232435990207</v>
      </c>
      <c r="Y1428" s="11">
        <f t="shared" si="435"/>
        <v>5.4363232435990207</v>
      </c>
      <c r="Z1428" s="37">
        <v>1</v>
      </c>
      <c r="AA1428" s="36">
        <f t="shared" si="422"/>
        <v>3.7887048050599446</v>
      </c>
      <c r="AB1428" s="36">
        <f t="shared" si="423"/>
        <v>1.4397078259227789</v>
      </c>
      <c r="AC1428" s="11">
        <f t="shared" si="424"/>
        <v>0.26766731873948896</v>
      </c>
      <c r="AD1428" s="36">
        <f t="shared" si="414"/>
        <v>5.4363232435990199</v>
      </c>
      <c r="AE1428" s="36"/>
      <c r="AF1428" s="36">
        <f>IFERROR(VLOOKUP(AE1428,'Chemical Cost'!A:D,4,0),0)</f>
        <v>0</v>
      </c>
      <c r="AG1428" s="114">
        <f t="shared" si="425"/>
        <v>0</v>
      </c>
      <c r="AH1428" s="36">
        <f t="shared" si="410"/>
        <v>0</v>
      </c>
      <c r="AI1428" s="36">
        <f t="shared" si="436"/>
        <v>6.8760310695217992</v>
      </c>
      <c r="AJ1428" s="36">
        <f>IFERROR(VLOOKUP(A1428,'All Products'!A:F,6,0),0)</f>
        <v>7.16</v>
      </c>
      <c r="AK1428" s="1"/>
      <c r="AL1428" s="29">
        <v>1</v>
      </c>
      <c r="AM1428" s="23"/>
      <c r="AN1428" s="54" t="e">
        <v>#N/A</v>
      </c>
      <c r="AP1428" s="4">
        <v>1.4</v>
      </c>
      <c r="AQ1428" s="111">
        <f t="shared" si="426"/>
        <v>0.26766731873948896</v>
      </c>
      <c r="AR1428">
        <f>_xlfn.XLOOKUP(F1428,'RM Cost'!A:A,'RM Cost'!S:S)</f>
        <v>0</v>
      </c>
      <c r="AS1428" t="e">
        <f>_xlfn.XLOOKUP(A1428,[3]Sheet1!$B:$B,[3]Sheet1!$B:$B)</f>
        <v>#N/A</v>
      </c>
    </row>
    <row r="1429" spans="1:45" x14ac:dyDescent="0.25">
      <c r="A1429" s="1" t="s">
        <v>4347</v>
      </c>
      <c r="B1429" s="2" t="s">
        <v>656</v>
      </c>
      <c r="C1429" s="1" t="s">
        <v>4348</v>
      </c>
      <c r="D1429" s="2" t="s">
        <v>554</v>
      </c>
      <c r="E1429" s="2">
        <v>2.5</v>
      </c>
      <c r="F1429" s="1" t="str">
        <f>VLOOKUP(H1429,'RM Used'!A:B,2,0)</f>
        <v>P0008</v>
      </c>
      <c r="G1429" s="1" t="str">
        <f>IFERROR(VLOOKUP(F1429,'RM Cost'!A:B,2,0),"")</f>
        <v>PALE BLUE BAG 470X750MM</v>
      </c>
      <c r="H1429" s="1" t="s">
        <v>1323</v>
      </c>
      <c r="I1429" s="1" t="str">
        <f>VLOOKUP(F1429,'RM Used'!B:D,3,0)</f>
        <v>RM-PACKING</v>
      </c>
      <c r="J1429" s="66">
        <v>1</v>
      </c>
      <c r="K1429" s="35" t="str">
        <f t="shared" si="416"/>
        <v/>
      </c>
      <c r="L1429" s="35">
        <f t="shared" si="418"/>
        <v>0</v>
      </c>
      <c r="M1429" s="77" t="str" cm="1">
        <f t="array" ref="M1429">_xlfn.IFS(BOM!I1429="RM-PACKING","100%",B1429="Reynolds",VLOOKUP(H1429,'Yield &amp; Time'!A:V,22,0),BOM!B1429="Dnata",VLOOKUP(BOM!H1429,'Yield &amp; Time'!A:M,13,0),B1429="NK",VLOOKUP(H1429,'Yield &amp; Time'!A:X,24,0))</f>
        <v>100%</v>
      </c>
      <c r="N1429" s="35">
        <f t="shared" si="432"/>
        <v>1</v>
      </c>
      <c r="O1429" s="1" t="str">
        <f>VLOOKUP(H1429,'RM Used'!A:E,5,0)</f>
        <v>Count</v>
      </c>
      <c r="P1429" s="11">
        <f>VLOOKUP(H1429,'RM Used'!A:F,6,0)</f>
        <v>0.14000000000000001</v>
      </c>
      <c r="Q1429" s="11">
        <f t="shared" si="427"/>
        <v>0.14000000000000001</v>
      </c>
      <c r="R1429" s="11">
        <f>IFERROR(IF(B1429="Reynolds",VLOOKUP(H1429,'Yield &amp; Time'!A:U,21,0),VLOOKUP(H1429,'Yield &amp; Time'!A:L,12,0)),0)</f>
        <v>0</v>
      </c>
      <c r="S1429" s="11">
        <f t="shared" si="419"/>
        <v>0</v>
      </c>
      <c r="T1429" s="11">
        <f t="shared" si="420"/>
        <v>0</v>
      </c>
      <c r="U1429" s="11">
        <f>IF(A1428=A1429,0,VLOOKUP(A1429,'Packing Time'!A:F,6,0))</f>
        <v>0</v>
      </c>
      <c r="V1429" s="11">
        <f t="shared" si="433"/>
        <v>0</v>
      </c>
      <c r="W1429" s="11">
        <f t="shared" si="434"/>
        <v>0</v>
      </c>
      <c r="X1429" s="11">
        <f t="shared" si="421"/>
        <v>0</v>
      </c>
      <c r="Y1429" s="11">
        <f t="shared" si="435"/>
        <v>0</v>
      </c>
      <c r="Z1429" s="37">
        <v>1</v>
      </c>
      <c r="AA1429" s="36">
        <f t="shared" si="422"/>
        <v>1</v>
      </c>
      <c r="AB1429" s="36">
        <f t="shared" si="423"/>
        <v>0.14000000000000001</v>
      </c>
      <c r="AC1429" s="11">
        <f t="shared" si="424"/>
        <v>0</v>
      </c>
      <c r="AD1429" s="36">
        <f t="shared" si="414"/>
        <v>0</v>
      </c>
      <c r="AE1429" s="36"/>
      <c r="AF1429" s="36">
        <f>IFERROR(VLOOKUP(AE1429,'Chemical Cost'!A:D,4,0),0)</f>
        <v>0</v>
      </c>
      <c r="AG1429" s="114">
        <f t="shared" si="425"/>
        <v>0</v>
      </c>
      <c r="AH1429" s="36">
        <f t="shared" si="410"/>
        <v>0</v>
      </c>
      <c r="AI1429" s="36">
        <f t="shared" si="436"/>
        <v>0.14000000000000001</v>
      </c>
      <c r="AJ1429" s="36">
        <f>IFERROR(VLOOKUP(A1429,'All Products'!A:F,6,0),0)</f>
        <v>7.16</v>
      </c>
      <c r="AK1429" s="1"/>
      <c r="AL1429" s="29">
        <v>1</v>
      </c>
      <c r="AM1429" s="23"/>
      <c r="AN1429" s="54" t="e">
        <v>#N/A</v>
      </c>
      <c r="AP1429" s="4">
        <v>1.4</v>
      </c>
      <c r="AQ1429" s="111">
        <f t="shared" si="426"/>
        <v>0</v>
      </c>
      <c r="AR1429">
        <f>_xlfn.XLOOKUP(F1429,'RM Cost'!A:A,'RM Cost'!S:S)</f>
        <v>0</v>
      </c>
      <c r="AS1429" t="e">
        <f>_xlfn.XLOOKUP(A1429,[3]Sheet1!$B:$B,[3]Sheet1!$B:$B)</f>
        <v>#N/A</v>
      </c>
    </row>
    <row r="1430" spans="1:45" x14ac:dyDescent="0.25">
      <c r="A1430" s="1" t="s">
        <v>4349</v>
      </c>
      <c r="B1430" s="2" t="s">
        <v>656</v>
      </c>
      <c r="C1430" s="1" t="s">
        <v>4351</v>
      </c>
      <c r="D1430" s="2" t="s">
        <v>554</v>
      </c>
      <c r="E1430" s="2">
        <v>2.5</v>
      </c>
      <c r="F1430" s="1" t="str">
        <f>VLOOKUP(H1430,'RM Used'!A:B,2,0)</f>
        <v>3565CS</v>
      </c>
      <c r="G1430" s="1" t="str">
        <f>IFERROR(VLOOKUP(F1430,'RM Cost'!A:B,2,0),"")</f>
        <v>RM - PEPPERS GREEN  X 5KG</v>
      </c>
      <c r="H1430" s="2" t="s">
        <v>4353</v>
      </c>
      <c r="I1430" s="1" t="str">
        <f>VLOOKUP(F1430,'RM Used'!B:D,3,0)</f>
        <v>RM-FOOD</v>
      </c>
      <c r="J1430" s="66">
        <v>1</v>
      </c>
      <c r="K1430" s="35">
        <f t="shared" si="416"/>
        <v>2.5</v>
      </c>
      <c r="L1430" s="35">
        <f t="shared" si="418"/>
        <v>2.5</v>
      </c>
      <c r="M1430" s="77" cm="1">
        <f t="array" ref="M1430">_xlfn.IFS(BOM!I1430="RM-PACKING","100%",B1430="Reynolds",VLOOKUP(H1430,'Yield &amp; Time'!A:V,22,0),BOM!B1430="Dnata",VLOOKUP(BOM!H1430,'Yield &amp; Time'!A:M,13,0),B1430="NK",VLOOKUP(H1430,'Yield &amp; Time'!A:X,24,0))</f>
        <v>0.48507628676470577</v>
      </c>
      <c r="N1430" s="35">
        <f t="shared" si="432"/>
        <v>5.1538285177248131</v>
      </c>
      <c r="O1430" s="1" t="str">
        <f>VLOOKUP(H1430,'RM Used'!A:E,5,0)</f>
        <v>KG</v>
      </c>
      <c r="P1430" s="11">
        <f>VLOOKUP(H1430,'RM Used'!A:F,6,0)</f>
        <v>1.76</v>
      </c>
      <c r="Q1430" s="11">
        <f t="shared" si="427"/>
        <v>9.0707381911956713</v>
      </c>
      <c r="R1430" s="11">
        <f>IFERROR(IF(B1430="Reynolds",VLOOKUP(H1430,'Yield &amp; Time'!A:U,21,0),VLOOKUP(H1430,'Yield &amp; Time'!A:L,12,0)),0)</f>
        <v>4.9481315476833352</v>
      </c>
      <c r="S1430" s="11">
        <f t="shared" si="419"/>
        <v>4.1873563222270223</v>
      </c>
      <c r="T1430" s="11">
        <f t="shared" si="420"/>
        <v>0.20617214782013896</v>
      </c>
      <c r="U1430" s="11">
        <f>IF(A1429=A1430,0,VLOOKUP(A1430,'Packing Time'!A:F,6,0))</f>
        <v>0.875</v>
      </c>
      <c r="V1430" s="11">
        <f t="shared" si="433"/>
        <v>0.29618749999999999</v>
      </c>
      <c r="W1430" s="11">
        <f t="shared" si="434"/>
        <v>1.4583333333333334E-2</v>
      </c>
      <c r="X1430" s="11">
        <f t="shared" si="421"/>
        <v>7.173670115563235</v>
      </c>
      <c r="Y1430" s="11">
        <f t="shared" si="435"/>
        <v>7.173670115563235</v>
      </c>
      <c r="Z1430" s="37">
        <v>1</v>
      </c>
      <c r="AA1430" s="36">
        <f t="shared" si="422"/>
        <v>5.1538285177248131</v>
      </c>
      <c r="AB1430" s="36">
        <f t="shared" si="423"/>
        <v>9.0707381911956713</v>
      </c>
      <c r="AC1430" s="11">
        <f t="shared" si="424"/>
        <v>0.35320876984555571</v>
      </c>
      <c r="AD1430" s="36">
        <f t="shared" ref="AD1430:AD1454" si="437">AC1430*60*AO$1</f>
        <v>7.1736701155632359</v>
      </c>
      <c r="AE1430" s="36"/>
      <c r="AF1430" s="36">
        <f>IFERROR(VLOOKUP(AE1430,'Chemical Cost'!A:D,4,0),0)</f>
        <v>0</v>
      </c>
      <c r="AG1430" s="114">
        <f t="shared" si="425"/>
        <v>0</v>
      </c>
      <c r="AH1430" s="36">
        <f t="shared" si="410"/>
        <v>0</v>
      </c>
      <c r="AI1430" s="36">
        <f t="shared" si="436"/>
        <v>16.244408306758906</v>
      </c>
      <c r="AJ1430" s="36">
        <f>IFERROR(VLOOKUP(A1430,'All Products'!A:F,6,0),0)</f>
        <v>24.34</v>
      </c>
      <c r="AK1430" s="36"/>
      <c r="AL1430" s="23">
        <v>1</v>
      </c>
      <c r="AM1430" s="23"/>
      <c r="AN1430" s="54" t="e">
        <v>#N/A</v>
      </c>
      <c r="AP1430" s="4">
        <v>1.6</v>
      </c>
      <c r="AQ1430" s="111">
        <f t="shared" si="426"/>
        <v>0.35320876984555571</v>
      </c>
      <c r="AR1430">
        <f>_xlfn.XLOOKUP(F1430,'RM Cost'!A:A,'RM Cost'!S:S)</f>
        <v>0</v>
      </c>
      <c r="AS1430" t="e">
        <f>_xlfn.XLOOKUP(A1430,[3]Sheet1!$B:$B,[3]Sheet1!$B:$B)</f>
        <v>#N/A</v>
      </c>
    </row>
    <row r="1431" spans="1:45" x14ac:dyDescent="0.25">
      <c r="A1431" s="1" t="s">
        <v>4349</v>
      </c>
      <c r="B1431" s="2" t="s">
        <v>656</v>
      </c>
      <c r="C1431" s="1" t="s">
        <v>4351</v>
      </c>
      <c r="D1431" s="2" t="s">
        <v>554</v>
      </c>
      <c r="E1431" s="2">
        <v>2.5</v>
      </c>
      <c r="F1431" s="1" t="str">
        <f>VLOOKUP(H1431,'RM Used'!A:B,2,0)</f>
        <v>P0008</v>
      </c>
      <c r="G1431" s="1" t="str">
        <f>IFERROR(VLOOKUP(F1431,'RM Cost'!A:B,2,0),"")</f>
        <v>PALE BLUE BAG 470X750MM</v>
      </c>
      <c r="H1431" s="1" t="s">
        <v>1323</v>
      </c>
      <c r="I1431" s="1" t="str">
        <f>VLOOKUP(F1431,'RM Used'!B:D,3,0)</f>
        <v>RM-PACKING</v>
      </c>
      <c r="J1431" s="66">
        <v>1</v>
      </c>
      <c r="K1431" s="35" t="str">
        <f t="shared" si="416"/>
        <v/>
      </c>
      <c r="L1431" s="35">
        <f t="shared" si="418"/>
        <v>0</v>
      </c>
      <c r="M1431" s="77" t="str" cm="1">
        <f t="array" ref="M1431">_xlfn.IFS(BOM!I1431="RM-PACKING","100%",B1431="Reynolds",VLOOKUP(H1431,'Yield &amp; Time'!A:V,22,0),BOM!B1431="Dnata",VLOOKUP(BOM!H1431,'Yield &amp; Time'!A:M,13,0),B1431="NK",VLOOKUP(H1431,'Yield &amp; Time'!A:X,24,0))</f>
        <v>100%</v>
      </c>
      <c r="N1431" s="35">
        <f t="shared" si="432"/>
        <v>1</v>
      </c>
      <c r="O1431" s="1" t="str">
        <f>VLOOKUP(H1431,'RM Used'!A:E,5,0)</f>
        <v>Count</v>
      </c>
      <c r="P1431" s="11">
        <f>VLOOKUP(H1431,'RM Used'!A:F,6,0)</f>
        <v>0.14000000000000001</v>
      </c>
      <c r="Q1431" s="11">
        <f t="shared" si="427"/>
        <v>0.14000000000000001</v>
      </c>
      <c r="R1431" s="11">
        <f>IFERROR(IF(B1431="Reynolds",VLOOKUP(H1431,'Yield &amp; Time'!A:U,21,0),VLOOKUP(H1431,'Yield &amp; Time'!A:L,12,0)),0)</f>
        <v>0</v>
      </c>
      <c r="S1431" s="11">
        <f t="shared" si="419"/>
        <v>0</v>
      </c>
      <c r="T1431" s="11">
        <f t="shared" si="420"/>
        <v>0</v>
      </c>
      <c r="U1431" s="11">
        <f>IF(A1430=A1431,0,VLOOKUP(A1431,'Packing Time'!A:F,6,0))</f>
        <v>0</v>
      </c>
      <c r="V1431" s="11">
        <f t="shared" si="433"/>
        <v>0</v>
      </c>
      <c r="W1431" s="11">
        <f t="shared" si="434"/>
        <v>0</v>
      </c>
      <c r="X1431" s="11">
        <f t="shared" si="421"/>
        <v>0</v>
      </c>
      <c r="Y1431" s="11">
        <f t="shared" si="435"/>
        <v>0</v>
      </c>
      <c r="Z1431" s="37">
        <v>1</v>
      </c>
      <c r="AA1431" s="36">
        <f t="shared" si="422"/>
        <v>1</v>
      </c>
      <c r="AB1431" s="36">
        <f t="shared" si="423"/>
        <v>0.14000000000000001</v>
      </c>
      <c r="AC1431" s="11">
        <f t="shared" si="424"/>
        <v>0</v>
      </c>
      <c r="AD1431" s="36">
        <f t="shared" si="437"/>
        <v>0</v>
      </c>
      <c r="AE1431" s="36"/>
      <c r="AF1431" s="36">
        <f>IFERROR(VLOOKUP(AE1431,'Chemical Cost'!A:D,4,0),0)</f>
        <v>0</v>
      </c>
      <c r="AG1431" s="114">
        <f t="shared" si="425"/>
        <v>0</v>
      </c>
      <c r="AH1431" s="36">
        <f t="shared" ref="AH1431:AH1481" si="438">AF1431*AA1431/3</f>
        <v>0</v>
      </c>
      <c r="AI1431" s="36">
        <f t="shared" si="436"/>
        <v>0.14000000000000001</v>
      </c>
      <c r="AJ1431" s="36">
        <f>IFERROR(VLOOKUP(A1431,'All Products'!A:F,6,0),0)</f>
        <v>24.34</v>
      </c>
      <c r="AK1431" s="36"/>
      <c r="AL1431" s="23">
        <v>1</v>
      </c>
      <c r="AM1431" s="23"/>
      <c r="AN1431" s="54" t="e">
        <v>#N/A</v>
      </c>
      <c r="AP1431" s="4">
        <v>1.6</v>
      </c>
      <c r="AQ1431" s="111">
        <f t="shared" si="426"/>
        <v>0</v>
      </c>
      <c r="AR1431">
        <f>_xlfn.XLOOKUP(F1431,'RM Cost'!A:A,'RM Cost'!S:S)</f>
        <v>0</v>
      </c>
      <c r="AS1431" t="e">
        <f>_xlfn.XLOOKUP(A1431,[3]Sheet1!$B:$B,[3]Sheet1!$B:$B)</f>
        <v>#N/A</v>
      </c>
    </row>
    <row r="1432" spans="1:45" x14ac:dyDescent="0.25">
      <c r="A1432" s="1" t="s">
        <v>4350</v>
      </c>
      <c r="B1432" s="2" t="s">
        <v>656</v>
      </c>
      <c r="C1432" s="1" t="s">
        <v>4352</v>
      </c>
      <c r="D1432" s="2" t="s">
        <v>554</v>
      </c>
      <c r="E1432" s="2">
        <v>1</v>
      </c>
      <c r="F1432" s="1" t="str">
        <f>VLOOKUP(H1432,'RM Used'!A:B,2,0)</f>
        <v>3565CS</v>
      </c>
      <c r="G1432" s="1" t="str">
        <f>IFERROR(VLOOKUP(F1432,'RM Cost'!A:B,2,0),"")</f>
        <v>RM - PEPPERS GREEN  X 5KG</v>
      </c>
      <c r="H1432" s="2" t="s">
        <v>4353</v>
      </c>
      <c r="I1432" s="1" t="str">
        <f>VLOOKUP(F1432,'RM Used'!B:D,3,0)</f>
        <v>RM-FOOD</v>
      </c>
      <c r="J1432" s="66">
        <v>1</v>
      </c>
      <c r="K1432" s="35">
        <f t="shared" si="416"/>
        <v>1</v>
      </c>
      <c r="L1432" s="35">
        <f t="shared" si="418"/>
        <v>1</v>
      </c>
      <c r="M1432" s="77" cm="1">
        <f t="array" ref="M1432">_xlfn.IFS(BOM!I1432="RM-PACKING","100%",B1432="Reynolds",VLOOKUP(H1432,'Yield &amp; Time'!A:V,22,0),BOM!B1432="Dnata",VLOOKUP(BOM!H1432,'Yield &amp; Time'!A:M,13,0),B1432="NK",VLOOKUP(H1432,'Yield &amp; Time'!A:X,24,0))</f>
        <v>0.48507628676470577</v>
      </c>
      <c r="N1432" s="35">
        <f t="shared" ref="N1432:N1463" si="439">IFERROR(IF(I1432="RM-FOOD",(E1432*J1432)/M1432,1),0)</f>
        <v>2.0615314070899253</v>
      </c>
      <c r="O1432" s="1" t="str">
        <f>VLOOKUP(H1432,'RM Used'!A:E,5,0)</f>
        <v>KG</v>
      </c>
      <c r="P1432" s="11">
        <f>VLOOKUP(H1432,'RM Used'!A:F,6,0)</f>
        <v>1.76</v>
      </c>
      <c r="Q1432" s="11">
        <f t="shared" si="427"/>
        <v>3.6282952764782688</v>
      </c>
      <c r="R1432" s="11">
        <f>IFERROR(IF(B1432="Reynolds",VLOOKUP(H1432,'Yield &amp; Time'!A:U,21,0),VLOOKUP(H1432,'Yield &amp; Time'!A:L,12,0)),0)</f>
        <v>4.9481315476833352</v>
      </c>
      <c r="S1432" s="11">
        <f t="shared" si="419"/>
        <v>1.6749425288908089</v>
      </c>
      <c r="T1432" s="11">
        <f t="shared" si="420"/>
        <v>8.2468859128055585E-2</v>
      </c>
      <c r="U1432" s="11">
        <f>IF(A1431=A1432,0,VLOOKUP(A1432,'Packing Time'!A:F,6,0))</f>
        <v>0.64500000000000002</v>
      </c>
      <c r="V1432" s="11">
        <f t="shared" ref="V1432:V1454" si="440">U1432*AO$1</f>
        <v>0.21833249999999998</v>
      </c>
      <c r="W1432" s="11">
        <f t="shared" ref="W1432:W1454" si="441">(U1432*Z1432)/60</f>
        <v>1.0750000000000001E-2</v>
      </c>
      <c r="X1432" s="11">
        <f t="shared" si="421"/>
        <v>3.029240046225294</v>
      </c>
      <c r="Y1432" s="11">
        <f t="shared" ref="Y1432:Y1454" si="442">X1432*Z1432</f>
        <v>3.029240046225294</v>
      </c>
      <c r="Z1432" s="37">
        <v>1</v>
      </c>
      <c r="AA1432" s="36">
        <f t="shared" si="422"/>
        <v>2.0615314070899253</v>
      </c>
      <c r="AB1432" s="36">
        <f t="shared" si="423"/>
        <v>3.6282952764782688</v>
      </c>
      <c r="AC1432" s="11">
        <f t="shared" si="424"/>
        <v>0.14915017460488894</v>
      </c>
      <c r="AD1432" s="36">
        <f t="shared" si="437"/>
        <v>3.029240046225294</v>
      </c>
      <c r="AE1432" s="36"/>
      <c r="AF1432" s="36">
        <f>IFERROR(VLOOKUP(AE1432,'Chemical Cost'!A:D,4,0),0)</f>
        <v>0</v>
      </c>
      <c r="AG1432" s="114">
        <f t="shared" si="425"/>
        <v>0</v>
      </c>
      <c r="AH1432" s="36">
        <f t="shared" si="438"/>
        <v>0</v>
      </c>
      <c r="AI1432" s="36">
        <f t="shared" ref="AI1432:AI1463" si="443">IFERROR((Q1432*Z1432)+(Z1432*X1432)+AH1432,0)</f>
        <v>6.6575353227035627</v>
      </c>
      <c r="AJ1432" s="36">
        <f>IFERROR(VLOOKUP(A1432,'All Products'!A:F,6,0),0)</f>
        <v>9.74</v>
      </c>
      <c r="AK1432" s="36"/>
      <c r="AL1432" s="23">
        <v>1</v>
      </c>
      <c r="AM1432" s="23"/>
      <c r="AN1432" s="54" t="e">
        <v>#N/A</v>
      </c>
      <c r="AP1432" s="4">
        <v>1.6</v>
      </c>
      <c r="AQ1432" s="111">
        <f t="shared" si="426"/>
        <v>0.14915017460488894</v>
      </c>
      <c r="AR1432">
        <f>_xlfn.XLOOKUP(F1432,'RM Cost'!A:A,'RM Cost'!S:S)</f>
        <v>0</v>
      </c>
      <c r="AS1432" t="e">
        <f>_xlfn.XLOOKUP(A1432,[3]Sheet1!$B:$B,[3]Sheet1!$B:$B)</f>
        <v>#N/A</v>
      </c>
    </row>
    <row r="1433" spans="1:45" x14ac:dyDescent="0.25">
      <c r="A1433" s="1" t="s">
        <v>4350</v>
      </c>
      <c r="B1433" s="2" t="s">
        <v>656</v>
      </c>
      <c r="C1433" s="1" t="s">
        <v>4352</v>
      </c>
      <c r="D1433" s="2" t="s">
        <v>554</v>
      </c>
      <c r="E1433" s="2">
        <v>1</v>
      </c>
      <c r="F1433" s="1" t="str">
        <f>VLOOKUP(H1433,'RM Used'!A:B,2,0)</f>
        <v>P0008</v>
      </c>
      <c r="G1433" s="1" t="str">
        <f>IFERROR(VLOOKUP(F1433,'RM Cost'!A:B,2,0),"")</f>
        <v>PALE BLUE BAG 470X750MM</v>
      </c>
      <c r="H1433" s="1" t="s">
        <v>1323</v>
      </c>
      <c r="I1433" s="1" t="str">
        <f>VLOOKUP(F1433,'RM Used'!B:D,3,0)</f>
        <v>RM-PACKING</v>
      </c>
      <c r="J1433" s="66">
        <v>1</v>
      </c>
      <c r="K1433" s="35" t="str">
        <f t="shared" si="416"/>
        <v/>
      </c>
      <c r="L1433" s="35">
        <f t="shared" si="418"/>
        <v>0</v>
      </c>
      <c r="M1433" s="77" t="str" cm="1">
        <f t="array" ref="M1433">_xlfn.IFS(BOM!I1433="RM-PACKING","100%",B1433="Reynolds",VLOOKUP(H1433,'Yield &amp; Time'!A:V,22,0),BOM!B1433="Dnata",VLOOKUP(BOM!H1433,'Yield &amp; Time'!A:M,13,0),B1433="NK",VLOOKUP(H1433,'Yield &amp; Time'!A:X,24,0))</f>
        <v>100%</v>
      </c>
      <c r="N1433" s="35">
        <f t="shared" si="439"/>
        <v>1</v>
      </c>
      <c r="O1433" s="1" t="str">
        <f>VLOOKUP(H1433,'RM Used'!A:E,5,0)</f>
        <v>Count</v>
      </c>
      <c r="P1433" s="11">
        <f>VLOOKUP(H1433,'RM Used'!A:F,6,0)</f>
        <v>0.14000000000000001</v>
      </c>
      <c r="Q1433" s="11">
        <f t="shared" si="427"/>
        <v>0.14000000000000001</v>
      </c>
      <c r="R1433" s="11">
        <f>IFERROR(IF(B1433="Reynolds",VLOOKUP(H1433,'Yield &amp; Time'!A:U,21,0),VLOOKUP(H1433,'Yield &amp; Time'!A:L,12,0)),0)</f>
        <v>0</v>
      </c>
      <c r="S1433" s="11">
        <f t="shared" si="419"/>
        <v>0</v>
      </c>
      <c r="T1433" s="11">
        <f t="shared" si="420"/>
        <v>0</v>
      </c>
      <c r="U1433" s="11">
        <f>IF(A1432=A1433,0,VLOOKUP(A1433,'Packing Time'!A:F,6,0))</f>
        <v>0</v>
      </c>
      <c r="V1433" s="11">
        <f t="shared" si="440"/>
        <v>0</v>
      </c>
      <c r="W1433" s="11">
        <f t="shared" si="441"/>
        <v>0</v>
      </c>
      <c r="X1433" s="11">
        <f t="shared" si="421"/>
        <v>0</v>
      </c>
      <c r="Y1433" s="11">
        <f t="shared" si="442"/>
        <v>0</v>
      </c>
      <c r="Z1433" s="37">
        <v>1</v>
      </c>
      <c r="AA1433" s="36">
        <f t="shared" si="422"/>
        <v>1</v>
      </c>
      <c r="AB1433" s="36">
        <f t="shared" si="423"/>
        <v>0.14000000000000001</v>
      </c>
      <c r="AC1433" s="11">
        <f t="shared" si="424"/>
        <v>0</v>
      </c>
      <c r="AD1433" s="36">
        <f t="shared" si="437"/>
        <v>0</v>
      </c>
      <c r="AE1433" s="36"/>
      <c r="AF1433" s="36">
        <f>IFERROR(VLOOKUP(AE1433,'Chemical Cost'!A:D,4,0),0)</f>
        <v>0</v>
      </c>
      <c r="AG1433" s="114">
        <f t="shared" si="425"/>
        <v>0</v>
      </c>
      <c r="AH1433" s="36">
        <f t="shared" si="438"/>
        <v>0</v>
      </c>
      <c r="AI1433" s="36">
        <f t="shared" si="443"/>
        <v>0.14000000000000001</v>
      </c>
      <c r="AJ1433" s="36">
        <f>IFERROR(VLOOKUP(A1433,'All Products'!A:F,6,0),0)</f>
        <v>9.74</v>
      </c>
      <c r="AK1433" s="36"/>
      <c r="AL1433" s="23">
        <v>1</v>
      </c>
      <c r="AM1433" s="23"/>
      <c r="AN1433" s="54" t="e">
        <v>#N/A</v>
      </c>
      <c r="AP1433" s="4">
        <v>1.6</v>
      </c>
      <c r="AQ1433" s="111">
        <f t="shared" si="426"/>
        <v>0</v>
      </c>
      <c r="AR1433">
        <f>_xlfn.XLOOKUP(F1433,'RM Cost'!A:A,'RM Cost'!S:S)</f>
        <v>0</v>
      </c>
      <c r="AS1433" t="e">
        <f>_xlfn.XLOOKUP(A1433,[3]Sheet1!$B:$B,[3]Sheet1!$B:$B)</f>
        <v>#N/A</v>
      </c>
    </row>
    <row r="1434" spans="1:45" x14ac:dyDescent="0.25">
      <c r="A1434" s="1" t="s">
        <v>4358</v>
      </c>
      <c r="B1434" s="2" t="s">
        <v>656</v>
      </c>
      <c r="C1434" s="1" t="s">
        <v>4366</v>
      </c>
      <c r="D1434" s="2" t="s">
        <v>554</v>
      </c>
      <c r="E1434" s="2">
        <v>2.5</v>
      </c>
      <c r="F1434" s="1" t="str">
        <f>VLOOKUP(H1434,'RM Used'!A:B,2,0)</f>
        <v>032ACS</v>
      </c>
      <c r="G1434" s="1" t="str">
        <f>IFERROR(VLOOKUP(F1434,'RM Cost'!A:B,2,0),"")</f>
        <v>RM - LRG PROCESSING CARROT X 1000KG</v>
      </c>
      <c r="H1434" s="1" t="s">
        <v>4355</v>
      </c>
      <c r="I1434" s="1" t="str">
        <f>VLOOKUP(F1434,'RM Used'!B:D,3,0)</f>
        <v>RM-FOOD</v>
      </c>
      <c r="J1434" s="66">
        <v>1</v>
      </c>
      <c r="K1434" s="35">
        <f t="shared" si="416"/>
        <v>2.5</v>
      </c>
      <c r="L1434" s="35">
        <f t="shared" si="418"/>
        <v>2.5</v>
      </c>
      <c r="M1434" s="77" cm="1">
        <f t="array" ref="M1434">_xlfn.IFS(BOM!I1434="RM-PACKING","100%",B1434="Reynolds",VLOOKUP(H1434,'Yield &amp; Time'!A:V,22,0),BOM!B1434="Dnata",VLOOKUP(BOM!H1434,'Yield &amp; Time'!A:M,13,0),B1434="NK",VLOOKUP(H1434,'Yield &amp; Time'!A:X,24,0))</f>
        <v>0.55941591137965763</v>
      </c>
      <c r="N1434" s="35">
        <f t="shared" si="439"/>
        <v>4.468946894689469</v>
      </c>
      <c r="O1434" s="1" t="str">
        <f>VLOOKUP(H1434,'RM Used'!A:E,5,0)</f>
        <v>KG</v>
      </c>
      <c r="P1434" s="11">
        <f>VLOOKUP(H1434,'RM Used'!A:F,6,0)</f>
        <v>0.38</v>
      </c>
      <c r="Q1434" s="11">
        <f t="shared" si="427"/>
        <v>1.6981998199819983</v>
      </c>
      <c r="R1434" s="11">
        <f>IFERROR(IF(B1434="Reynolds",VLOOKUP(H1434,'Yield &amp; Time'!A:U,21,0),VLOOKUP(H1434,'Yield &amp; Time'!A:L,12,0)),0)</f>
        <v>1.9051905190519054</v>
      </c>
      <c r="S1434" s="11">
        <f t="shared" si="419"/>
        <v>1.6122674767476748</v>
      </c>
      <c r="T1434" s="11">
        <f t="shared" si="420"/>
        <v>7.9382938293829391E-2</v>
      </c>
      <c r="U1434" s="11">
        <f>IF(A1433=A1434,0,VLOOKUP(A1434,'Packing Time'!A:F,6,0))</f>
        <v>0.875</v>
      </c>
      <c r="V1434" s="11">
        <f t="shared" si="440"/>
        <v>0.29618749999999999</v>
      </c>
      <c r="W1434" s="11">
        <f t="shared" si="441"/>
        <v>1.4583333333333334E-2</v>
      </c>
      <c r="X1434" s="11">
        <f t="shared" si="421"/>
        <v>3.0535279627962799</v>
      </c>
      <c r="Y1434" s="11">
        <f t="shared" si="442"/>
        <v>3.0535279627962799</v>
      </c>
      <c r="Z1434" s="37">
        <v>1</v>
      </c>
      <c r="AA1434" s="36">
        <f t="shared" si="422"/>
        <v>4.468946894689469</v>
      </c>
      <c r="AB1434" s="36">
        <f t="shared" si="423"/>
        <v>1.6981998199819983</v>
      </c>
      <c r="AC1434" s="11">
        <f t="shared" si="424"/>
        <v>0.15034603460346038</v>
      </c>
      <c r="AD1434" s="36">
        <f t="shared" si="437"/>
        <v>3.0535279627962799</v>
      </c>
      <c r="AE1434" s="36"/>
      <c r="AF1434" s="36">
        <f>IFERROR(VLOOKUP(AE1434,'Chemical Cost'!A:D,4,0),0)</f>
        <v>0</v>
      </c>
      <c r="AG1434" s="114">
        <f t="shared" si="425"/>
        <v>0</v>
      </c>
      <c r="AH1434" s="36">
        <f t="shared" si="438"/>
        <v>0</v>
      </c>
      <c r="AI1434" s="36">
        <f t="shared" si="443"/>
        <v>4.7517277827782785</v>
      </c>
      <c r="AJ1434" s="36">
        <f>IFERROR(VLOOKUP(A1434,'All Products'!A:F,6,0),0)</f>
        <v>3.72</v>
      </c>
      <c r="AK1434" s="36"/>
      <c r="AL1434" s="23">
        <v>1</v>
      </c>
      <c r="AM1434" s="23"/>
      <c r="AN1434" s="54" t="e">
        <v>#N/A</v>
      </c>
      <c r="AP1434" s="4">
        <v>1.6</v>
      </c>
      <c r="AQ1434" s="111">
        <f t="shared" si="426"/>
        <v>0.15034603460346038</v>
      </c>
      <c r="AR1434">
        <f>_xlfn.XLOOKUP(F1434,'RM Cost'!A:A,'RM Cost'!S:S)</f>
        <v>0</v>
      </c>
      <c r="AS1434" t="e">
        <f>_xlfn.XLOOKUP(A1434,[3]Sheet1!$B:$B,[3]Sheet1!$B:$B)</f>
        <v>#N/A</v>
      </c>
    </row>
    <row r="1435" spans="1:45" x14ac:dyDescent="0.25">
      <c r="A1435" s="1" t="s">
        <v>4358</v>
      </c>
      <c r="B1435" s="2" t="s">
        <v>656</v>
      </c>
      <c r="C1435" s="1" t="s">
        <v>4366</v>
      </c>
      <c r="D1435" s="2" t="s">
        <v>554</v>
      </c>
      <c r="E1435" s="2">
        <v>2.5</v>
      </c>
      <c r="F1435" s="1" t="str">
        <f>VLOOKUP(H1435,'RM Used'!A:B,2,0)</f>
        <v>P0008</v>
      </c>
      <c r="G1435" s="1" t="str">
        <f>IFERROR(VLOOKUP(F1435,'RM Cost'!A:B,2,0),"")</f>
        <v>PALE BLUE BAG 470X750MM</v>
      </c>
      <c r="H1435" s="1" t="s">
        <v>1323</v>
      </c>
      <c r="I1435" s="1" t="str">
        <f>VLOOKUP(F1435,'RM Used'!B:D,3,0)</f>
        <v>RM-PACKING</v>
      </c>
      <c r="J1435" s="66">
        <v>1</v>
      </c>
      <c r="K1435" s="35" t="str">
        <f t="shared" si="416"/>
        <v/>
      </c>
      <c r="L1435" s="35">
        <f t="shared" si="418"/>
        <v>0</v>
      </c>
      <c r="M1435" s="77" t="str" cm="1">
        <f t="array" ref="M1435">_xlfn.IFS(BOM!I1435="RM-PACKING","100%",B1435="Reynolds",VLOOKUP(H1435,'Yield &amp; Time'!A:V,22,0),BOM!B1435="Dnata",VLOOKUP(BOM!H1435,'Yield &amp; Time'!A:M,13,0),B1435="NK",VLOOKUP(H1435,'Yield &amp; Time'!A:X,24,0))</f>
        <v>100%</v>
      </c>
      <c r="N1435" s="35">
        <f t="shared" si="439"/>
        <v>1</v>
      </c>
      <c r="O1435" s="1" t="str">
        <f>VLOOKUP(H1435,'RM Used'!A:E,5,0)</f>
        <v>Count</v>
      </c>
      <c r="P1435" s="11">
        <f>VLOOKUP(H1435,'RM Used'!A:F,6,0)</f>
        <v>0.14000000000000001</v>
      </c>
      <c r="Q1435" s="11">
        <f t="shared" si="427"/>
        <v>0.14000000000000001</v>
      </c>
      <c r="R1435" s="11">
        <f>IFERROR(IF(B1435="Reynolds",VLOOKUP(H1435,'Yield &amp; Time'!A:U,21,0),VLOOKUP(H1435,'Yield &amp; Time'!A:L,12,0)),0)</f>
        <v>0</v>
      </c>
      <c r="S1435" s="11">
        <f t="shared" si="419"/>
        <v>0</v>
      </c>
      <c r="T1435" s="11">
        <f t="shared" si="420"/>
        <v>0</v>
      </c>
      <c r="U1435" s="11">
        <f>IF(A1434=A1435,0,VLOOKUP(A1435,'Packing Time'!A:F,6,0))</f>
        <v>0</v>
      </c>
      <c r="V1435" s="11">
        <f t="shared" si="440"/>
        <v>0</v>
      </c>
      <c r="W1435" s="11">
        <f t="shared" si="441"/>
        <v>0</v>
      </c>
      <c r="X1435" s="11">
        <f t="shared" si="421"/>
        <v>0</v>
      </c>
      <c r="Y1435" s="11">
        <f t="shared" si="442"/>
        <v>0</v>
      </c>
      <c r="Z1435" s="37">
        <v>1</v>
      </c>
      <c r="AA1435" s="36">
        <f t="shared" si="422"/>
        <v>1</v>
      </c>
      <c r="AB1435" s="36">
        <f t="shared" si="423"/>
        <v>0.14000000000000001</v>
      </c>
      <c r="AC1435" s="11">
        <f t="shared" si="424"/>
        <v>0</v>
      </c>
      <c r="AD1435" s="36">
        <f t="shared" si="437"/>
        <v>0</v>
      </c>
      <c r="AE1435" s="36"/>
      <c r="AF1435" s="36">
        <f>IFERROR(VLOOKUP(AE1435,'Chemical Cost'!A:D,4,0),0)</f>
        <v>0</v>
      </c>
      <c r="AG1435" s="114">
        <f t="shared" si="425"/>
        <v>0</v>
      </c>
      <c r="AH1435" s="36">
        <f t="shared" si="438"/>
        <v>0</v>
      </c>
      <c r="AI1435" s="36">
        <f t="shared" si="443"/>
        <v>0.14000000000000001</v>
      </c>
      <c r="AJ1435" s="36">
        <f>IFERROR(VLOOKUP(A1435,'All Products'!A:F,6,0),0)</f>
        <v>3.72</v>
      </c>
      <c r="AK1435" s="36"/>
      <c r="AL1435" s="23">
        <v>1</v>
      </c>
      <c r="AM1435" s="23"/>
      <c r="AN1435" s="54" t="e">
        <v>#N/A</v>
      </c>
      <c r="AP1435" s="4">
        <v>1.6</v>
      </c>
      <c r="AQ1435" s="111">
        <f t="shared" si="426"/>
        <v>0</v>
      </c>
      <c r="AR1435">
        <f>_xlfn.XLOOKUP(F1435,'RM Cost'!A:A,'RM Cost'!S:S)</f>
        <v>0</v>
      </c>
      <c r="AS1435" t="e">
        <f>_xlfn.XLOOKUP(A1435,[3]Sheet1!$B:$B,[3]Sheet1!$B:$B)</f>
        <v>#N/A</v>
      </c>
    </row>
    <row r="1436" spans="1:45" x14ac:dyDescent="0.25">
      <c r="A1436" s="1" t="s">
        <v>4359</v>
      </c>
      <c r="B1436" s="2" t="s">
        <v>656</v>
      </c>
      <c r="C1436" s="1" t="s">
        <v>4367</v>
      </c>
      <c r="D1436" s="2" t="s">
        <v>554</v>
      </c>
      <c r="E1436" s="2">
        <v>1</v>
      </c>
      <c r="F1436" s="1" t="str">
        <f>VLOOKUP(H1436,'RM Used'!A:B,2,0)</f>
        <v>032ACS</v>
      </c>
      <c r="G1436" s="1" t="str">
        <f>IFERROR(VLOOKUP(F1436,'RM Cost'!A:B,2,0),"")</f>
        <v>RM - LRG PROCESSING CARROT X 1000KG</v>
      </c>
      <c r="H1436" s="1" t="s">
        <v>4355</v>
      </c>
      <c r="I1436" s="1" t="str">
        <f>VLOOKUP(F1436,'RM Used'!B:D,3,0)</f>
        <v>RM-FOOD</v>
      </c>
      <c r="J1436" s="66">
        <v>1</v>
      </c>
      <c r="K1436" s="35">
        <f t="shared" si="416"/>
        <v>1</v>
      </c>
      <c r="L1436" s="35">
        <f t="shared" si="418"/>
        <v>1</v>
      </c>
      <c r="M1436" s="77" cm="1">
        <f t="array" ref="M1436">_xlfn.IFS(BOM!I1436="RM-PACKING","100%",B1436="Reynolds",VLOOKUP(H1436,'Yield &amp; Time'!A:V,22,0),BOM!B1436="Dnata",VLOOKUP(BOM!H1436,'Yield &amp; Time'!A:M,13,0),B1436="NK",VLOOKUP(H1436,'Yield &amp; Time'!A:X,24,0))</f>
        <v>0.55941591137965763</v>
      </c>
      <c r="N1436" s="35">
        <f t="shared" si="439"/>
        <v>1.7875787578757876</v>
      </c>
      <c r="O1436" s="1" t="str">
        <f>VLOOKUP(H1436,'RM Used'!A:E,5,0)</f>
        <v>KG</v>
      </c>
      <c r="P1436" s="11">
        <f>VLOOKUP(H1436,'RM Used'!A:F,6,0)</f>
        <v>0.38</v>
      </c>
      <c r="Q1436" s="11">
        <f t="shared" si="427"/>
        <v>0.67927992799279924</v>
      </c>
      <c r="R1436" s="11">
        <f>IFERROR(IF(B1436="Reynolds",VLOOKUP(H1436,'Yield &amp; Time'!A:U,21,0),VLOOKUP(H1436,'Yield &amp; Time'!A:L,12,0)),0)</f>
        <v>1.9051905190519054</v>
      </c>
      <c r="S1436" s="11">
        <f t="shared" si="419"/>
        <v>0.64490699069906987</v>
      </c>
      <c r="T1436" s="11">
        <f t="shared" si="420"/>
        <v>3.1753175317531759E-2</v>
      </c>
      <c r="U1436" s="11">
        <f>IF(A1435=A1436,0,VLOOKUP(A1436,'Packing Time'!A:F,6,0))</f>
        <v>0.64500000000000002</v>
      </c>
      <c r="V1436" s="11">
        <f t="shared" si="440"/>
        <v>0.21833249999999998</v>
      </c>
      <c r="W1436" s="11">
        <f t="shared" si="441"/>
        <v>1.0750000000000001E-2</v>
      </c>
      <c r="X1436" s="11">
        <f t="shared" si="421"/>
        <v>1.3811831851185117</v>
      </c>
      <c r="Y1436" s="11">
        <f t="shared" si="442"/>
        <v>1.3811831851185117</v>
      </c>
      <c r="Z1436" s="37">
        <v>1</v>
      </c>
      <c r="AA1436" s="36">
        <f t="shared" si="422"/>
        <v>1.7875787578757876</v>
      </c>
      <c r="AB1436" s="36">
        <f t="shared" si="423"/>
        <v>0.67927992799279924</v>
      </c>
      <c r="AC1436" s="11">
        <f t="shared" si="424"/>
        <v>6.8005080508050805E-2</v>
      </c>
      <c r="AD1436" s="36">
        <f t="shared" si="437"/>
        <v>1.3811831851185117</v>
      </c>
      <c r="AE1436" s="36"/>
      <c r="AF1436" s="36">
        <f>IFERROR(VLOOKUP(AE1436,'Chemical Cost'!A:D,4,0),0)</f>
        <v>0</v>
      </c>
      <c r="AG1436" s="114">
        <f t="shared" si="425"/>
        <v>0</v>
      </c>
      <c r="AH1436" s="36">
        <f t="shared" si="438"/>
        <v>0</v>
      </c>
      <c r="AI1436" s="36">
        <f t="shared" si="443"/>
        <v>2.0604631131113109</v>
      </c>
      <c r="AJ1436" s="36">
        <f>IFERROR(VLOOKUP(A1436,'All Products'!A:F,6,0),0)</f>
        <v>1.49</v>
      </c>
      <c r="AK1436" s="36"/>
      <c r="AL1436" s="23">
        <v>1</v>
      </c>
      <c r="AM1436" s="23"/>
      <c r="AN1436" s="54" t="e">
        <v>#N/A</v>
      </c>
      <c r="AP1436" s="4">
        <v>1.6</v>
      </c>
      <c r="AQ1436" s="111">
        <f t="shared" si="426"/>
        <v>6.8005080508050805E-2</v>
      </c>
      <c r="AR1436">
        <f>_xlfn.XLOOKUP(F1436,'RM Cost'!A:A,'RM Cost'!S:S)</f>
        <v>0</v>
      </c>
      <c r="AS1436" t="e">
        <f>_xlfn.XLOOKUP(A1436,[3]Sheet1!$B:$B,[3]Sheet1!$B:$B)</f>
        <v>#N/A</v>
      </c>
    </row>
    <row r="1437" spans="1:45" x14ac:dyDescent="0.25">
      <c r="A1437" s="1" t="s">
        <v>4359</v>
      </c>
      <c r="B1437" s="2" t="s">
        <v>656</v>
      </c>
      <c r="C1437" s="1" t="s">
        <v>4367</v>
      </c>
      <c r="D1437" s="2" t="s">
        <v>554</v>
      </c>
      <c r="E1437" s="2">
        <v>1</v>
      </c>
      <c r="F1437" s="1" t="str">
        <f>VLOOKUP(H1437,'RM Used'!A:B,2,0)</f>
        <v>P0008</v>
      </c>
      <c r="G1437" s="1" t="str">
        <f>IFERROR(VLOOKUP(F1437,'RM Cost'!A:B,2,0),"")</f>
        <v>PALE BLUE BAG 470X750MM</v>
      </c>
      <c r="H1437" s="1" t="s">
        <v>1323</v>
      </c>
      <c r="I1437" s="1" t="str">
        <f>VLOOKUP(F1437,'RM Used'!B:D,3,0)</f>
        <v>RM-PACKING</v>
      </c>
      <c r="J1437" s="66">
        <v>1</v>
      </c>
      <c r="K1437" s="35" t="str">
        <f t="shared" si="416"/>
        <v/>
      </c>
      <c r="L1437" s="35">
        <f t="shared" si="418"/>
        <v>0</v>
      </c>
      <c r="M1437" s="77" t="str" cm="1">
        <f t="array" ref="M1437">_xlfn.IFS(BOM!I1437="RM-PACKING","100%",B1437="Reynolds",VLOOKUP(H1437,'Yield &amp; Time'!A:V,22,0),BOM!B1437="Dnata",VLOOKUP(BOM!H1437,'Yield &amp; Time'!A:M,13,0),B1437="NK",VLOOKUP(H1437,'Yield &amp; Time'!A:X,24,0))</f>
        <v>100%</v>
      </c>
      <c r="N1437" s="35">
        <f t="shared" si="439"/>
        <v>1</v>
      </c>
      <c r="O1437" s="1" t="str">
        <f>VLOOKUP(H1437,'RM Used'!A:E,5,0)</f>
        <v>Count</v>
      </c>
      <c r="P1437" s="11">
        <f>VLOOKUP(H1437,'RM Used'!A:F,6,0)</f>
        <v>0.14000000000000001</v>
      </c>
      <c r="Q1437" s="11">
        <f t="shared" si="427"/>
        <v>0.14000000000000001</v>
      </c>
      <c r="R1437" s="11">
        <f>IFERROR(IF(B1437="Reynolds",VLOOKUP(H1437,'Yield &amp; Time'!A:U,21,0),VLOOKUP(H1437,'Yield &amp; Time'!A:L,12,0)),0)</f>
        <v>0</v>
      </c>
      <c r="S1437" s="11">
        <f t="shared" si="419"/>
        <v>0</v>
      </c>
      <c r="T1437" s="11">
        <f t="shared" si="420"/>
        <v>0</v>
      </c>
      <c r="U1437" s="11">
        <f>IF(A1436=A1437,0,VLOOKUP(A1437,'Packing Time'!A:F,6,0))</f>
        <v>0</v>
      </c>
      <c r="V1437" s="11">
        <f t="shared" si="440"/>
        <v>0</v>
      </c>
      <c r="W1437" s="11">
        <f t="shared" si="441"/>
        <v>0</v>
      </c>
      <c r="X1437" s="11">
        <f t="shared" si="421"/>
        <v>0</v>
      </c>
      <c r="Y1437" s="11">
        <f t="shared" si="442"/>
        <v>0</v>
      </c>
      <c r="Z1437" s="37">
        <v>1</v>
      </c>
      <c r="AA1437" s="36">
        <f t="shared" si="422"/>
        <v>1</v>
      </c>
      <c r="AB1437" s="36">
        <f t="shared" si="423"/>
        <v>0.14000000000000001</v>
      </c>
      <c r="AC1437" s="11">
        <f t="shared" si="424"/>
        <v>0</v>
      </c>
      <c r="AD1437" s="36">
        <f t="shared" si="437"/>
        <v>0</v>
      </c>
      <c r="AE1437" s="36"/>
      <c r="AF1437" s="36">
        <f>IFERROR(VLOOKUP(AE1437,'Chemical Cost'!A:D,4,0),0)</f>
        <v>0</v>
      </c>
      <c r="AG1437" s="114">
        <f t="shared" si="425"/>
        <v>0</v>
      </c>
      <c r="AH1437" s="36">
        <f t="shared" si="438"/>
        <v>0</v>
      </c>
      <c r="AI1437" s="36">
        <f t="shared" si="443"/>
        <v>0.14000000000000001</v>
      </c>
      <c r="AJ1437" s="36">
        <f>IFERROR(VLOOKUP(A1437,'All Products'!A:F,6,0),0)</f>
        <v>1.49</v>
      </c>
      <c r="AK1437" s="36"/>
      <c r="AL1437" s="23">
        <v>1</v>
      </c>
      <c r="AM1437" s="23"/>
      <c r="AN1437" s="54" t="e">
        <v>#N/A</v>
      </c>
      <c r="AP1437" s="4">
        <v>1.6</v>
      </c>
      <c r="AQ1437" s="111">
        <f t="shared" si="426"/>
        <v>0</v>
      </c>
      <c r="AR1437">
        <f>_xlfn.XLOOKUP(F1437,'RM Cost'!A:A,'RM Cost'!S:S)</f>
        <v>0</v>
      </c>
      <c r="AS1437" t="e">
        <f>_xlfn.XLOOKUP(A1437,[3]Sheet1!$B:$B,[3]Sheet1!$B:$B)</f>
        <v>#N/A</v>
      </c>
    </row>
    <row r="1438" spans="1:45" x14ac:dyDescent="0.25">
      <c r="A1438" s="1" t="s">
        <v>4360</v>
      </c>
      <c r="B1438" s="2" t="s">
        <v>656</v>
      </c>
      <c r="C1438" s="1" t="s">
        <v>4368</v>
      </c>
      <c r="D1438" s="2" t="s">
        <v>554</v>
      </c>
      <c r="E1438" s="2">
        <v>2.5</v>
      </c>
      <c r="F1438" s="1" t="str">
        <f>VLOOKUP(H1438,'RM Used'!A:B,2,0)</f>
        <v>3409CS</v>
      </c>
      <c r="G1438" s="1" t="str">
        <f>IFERROR(VLOOKUP(F1438,'RM Cost'!A:B,2,0),"")</f>
        <v>RM - CELERY 1 X 12</v>
      </c>
      <c r="H1438" s="1" t="s">
        <v>4354</v>
      </c>
      <c r="I1438" s="1" t="str">
        <f>VLOOKUP(F1438,'RM Used'!B:D,3,0)</f>
        <v>RM-FOOD</v>
      </c>
      <c r="J1438" s="66">
        <v>1</v>
      </c>
      <c r="K1438" s="35">
        <f t="shared" si="416"/>
        <v>2.5</v>
      </c>
      <c r="L1438" s="35">
        <f t="shared" si="418"/>
        <v>2.5</v>
      </c>
      <c r="M1438" s="77" cm="1">
        <f t="array" ref="M1438">_xlfn.IFS(BOM!I1438="RM-PACKING","100%",B1438="Reynolds",VLOOKUP(H1438,'Yield &amp; Time'!A:V,22,0),BOM!B1438="Dnata",VLOOKUP(BOM!H1438,'Yield &amp; Time'!A:M,13,0),B1438="NK",VLOOKUP(H1438,'Yield &amp; Time'!A:X,24,0))</f>
        <v>0.80258620689655169</v>
      </c>
      <c r="N1438" s="35">
        <f t="shared" si="439"/>
        <v>3.1149301825993558</v>
      </c>
      <c r="O1438" s="1" t="str">
        <f>VLOOKUP(H1438,'RM Used'!A:E,5,0)</f>
        <v>KG</v>
      </c>
      <c r="P1438" s="11">
        <f>VLOOKUP(H1438,'RM Used'!A:F,6,0)</f>
        <v>0.91</v>
      </c>
      <c r="Q1438" s="11">
        <f t="shared" si="427"/>
        <v>2.8345864661654141</v>
      </c>
      <c r="R1438" s="11">
        <f>IFERROR(IF(B1438="Reynolds",VLOOKUP(H1438,'Yield &amp; Time'!A:U,21,0),VLOOKUP(H1438,'Yield &amp; Time'!A:L,12,0)),0)</f>
        <v>1.5216612960973865</v>
      </c>
      <c r="S1438" s="11">
        <f t="shared" si="419"/>
        <v>1.2877058718224133</v>
      </c>
      <c r="T1438" s="11">
        <f t="shared" si="420"/>
        <v>6.3402554004057768E-2</v>
      </c>
      <c r="U1438" s="11">
        <f>IF(A1437=A1438,0,VLOOKUP(A1438,'Packing Time'!A:F,6,0))</f>
        <v>0.875</v>
      </c>
      <c r="V1438" s="11">
        <f t="shared" si="440"/>
        <v>0.29618749999999999</v>
      </c>
      <c r="W1438" s="11">
        <f t="shared" si="441"/>
        <v>1.4583333333333334E-2</v>
      </c>
      <c r="X1438" s="11">
        <f t="shared" si="421"/>
        <v>2.5342293949158616</v>
      </c>
      <c r="Y1438" s="11">
        <f t="shared" si="442"/>
        <v>2.5342293949158616</v>
      </c>
      <c r="Z1438" s="37">
        <v>1</v>
      </c>
      <c r="AA1438" s="36">
        <f t="shared" si="422"/>
        <v>3.1149301825993558</v>
      </c>
      <c r="AB1438" s="36">
        <f t="shared" si="423"/>
        <v>2.8345864661654141</v>
      </c>
      <c r="AC1438" s="11">
        <f t="shared" si="424"/>
        <v>0.12477741973982577</v>
      </c>
      <c r="AD1438" s="36">
        <f t="shared" si="437"/>
        <v>2.5342293949158612</v>
      </c>
      <c r="AE1438" s="36"/>
      <c r="AF1438" s="36">
        <f>IFERROR(VLOOKUP(AE1438,'Chemical Cost'!A:D,4,0),0)</f>
        <v>0</v>
      </c>
      <c r="AG1438" s="114">
        <f t="shared" si="425"/>
        <v>0</v>
      </c>
      <c r="AH1438" s="36">
        <f t="shared" si="438"/>
        <v>0</v>
      </c>
      <c r="AI1438" s="36">
        <f t="shared" si="443"/>
        <v>5.3688158610812753</v>
      </c>
      <c r="AJ1438" s="36">
        <f>IFERROR(VLOOKUP(A1438,'All Products'!A:F,6,0),0)</f>
        <v>6.89</v>
      </c>
      <c r="AK1438" s="36"/>
      <c r="AL1438" s="23">
        <v>1</v>
      </c>
      <c r="AM1438" s="23"/>
      <c r="AN1438" s="54" t="e">
        <v>#N/A</v>
      </c>
      <c r="AP1438" s="4">
        <v>1.6</v>
      </c>
      <c r="AQ1438" s="111">
        <f t="shared" si="426"/>
        <v>0.12477741973982577</v>
      </c>
      <c r="AR1438">
        <f>_xlfn.XLOOKUP(F1438,'RM Cost'!A:A,'RM Cost'!S:S)</f>
        <v>0</v>
      </c>
      <c r="AS1438" t="e">
        <f>_xlfn.XLOOKUP(A1438,[3]Sheet1!$B:$B,[3]Sheet1!$B:$B)</f>
        <v>#N/A</v>
      </c>
    </row>
    <row r="1439" spans="1:45" x14ac:dyDescent="0.25">
      <c r="A1439" s="1" t="s">
        <v>4360</v>
      </c>
      <c r="B1439" s="2" t="s">
        <v>656</v>
      </c>
      <c r="C1439" s="1" t="s">
        <v>4368</v>
      </c>
      <c r="D1439" s="2" t="s">
        <v>554</v>
      </c>
      <c r="E1439" s="2">
        <v>2.5</v>
      </c>
      <c r="F1439" s="1" t="str">
        <f>VLOOKUP(H1439,'RM Used'!A:B,2,0)</f>
        <v>P0008</v>
      </c>
      <c r="G1439" s="1" t="str">
        <f>IFERROR(VLOOKUP(F1439,'RM Cost'!A:B,2,0),"")</f>
        <v>PALE BLUE BAG 470X750MM</v>
      </c>
      <c r="H1439" s="1" t="s">
        <v>1323</v>
      </c>
      <c r="I1439" s="1" t="str">
        <f>VLOOKUP(F1439,'RM Used'!B:D,3,0)</f>
        <v>RM-PACKING</v>
      </c>
      <c r="J1439" s="66">
        <v>1</v>
      </c>
      <c r="K1439" s="35" t="str">
        <f t="shared" si="416"/>
        <v/>
      </c>
      <c r="L1439" s="35">
        <f t="shared" si="418"/>
        <v>0</v>
      </c>
      <c r="M1439" s="77" t="str" cm="1">
        <f t="array" ref="M1439">_xlfn.IFS(BOM!I1439="RM-PACKING","100%",B1439="Reynolds",VLOOKUP(H1439,'Yield &amp; Time'!A:V,22,0),BOM!B1439="Dnata",VLOOKUP(BOM!H1439,'Yield &amp; Time'!A:M,13,0),B1439="NK",VLOOKUP(H1439,'Yield &amp; Time'!A:X,24,0))</f>
        <v>100%</v>
      </c>
      <c r="N1439" s="35">
        <f t="shared" si="439"/>
        <v>1</v>
      </c>
      <c r="O1439" s="1" t="str">
        <f>VLOOKUP(H1439,'RM Used'!A:E,5,0)</f>
        <v>Count</v>
      </c>
      <c r="P1439" s="11">
        <f>VLOOKUP(H1439,'RM Used'!A:F,6,0)</f>
        <v>0.14000000000000001</v>
      </c>
      <c r="Q1439" s="11">
        <f t="shared" si="427"/>
        <v>0.14000000000000001</v>
      </c>
      <c r="R1439" s="11">
        <f>IFERROR(IF(B1439="Reynolds",VLOOKUP(H1439,'Yield &amp; Time'!A:U,21,0),VLOOKUP(H1439,'Yield &amp; Time'!A:L,12,0)),0)</f>
        <v>0</v>
      </c>
      <c r="S1439" s="11">
        <f t="shared" si="419"/>
        <v>0</v>
      </c>
      <c r="T1439" s="11">
        <f t="shared" si="420"/>
        <v>0</v>
      </c>
      <c r="U1439" s="11">
        <f>IF(A1438=A1439,0,VLOOKUP(A1439,'Packing Time'!A:F,6,0))</f>
        <v>0</v>
      </c>
      <c r="V1439" s="11">
        <f t="shared" si="440"/>
        <v>0</v>
      </c>
      <c r="W1439" s="11">
        <f t="shared" si="441"/>
        <v>0</v>
      </c>
      <c r="X1439" s="11">
        <f t="shared" si="421"/>
        <v>0</v>
      </c>
      <c r="Y1439" s="11">
        <f t="shared" si="442"/>
        <v>0</v>
      </c>
      <c r="Z1439" s="37">
        <v>1</v>
      </c>
      <c r="AA1439" s="36">
        <f t="shared" si="422"/>
        <v>1</v>
      </c>
      <c r="AB1439" s="36">
        <f t="shared" si="423"/>
        <v>0.14000000000000001</v>
      </c>
      <c r="AC1439" s="11">
        <f t="shared" si="424"/>
        <v>0</v>
      </c>
      <c r="AD1439" s="36">
        <f t="shared" si="437"/>
        <v>0</v>
      </c>
      <c r="AE1439" s="36"/>
      <c r="AF1439" s="36">
        <f>IFERROR(VLOOKUP(AE1439,'Chemical Cost'!A:D,4,0),0)</f>
        <v>0</v>
      </c>
      <c r="AG1439" s="114">
        <f t="shared" si="425"/>
        <v>0</v>
      </c>
      <c r="AH1439" s="36">
        <f t="shared" si="438"/>
        <v>0</v>
      </c>
      <c r="AI1439" s="36">
        <f t="shared" si="443"/>
        <v>0.14000000000000001</v>
      </c>
      <c r="AJ1439" s="36">
        <f>IFERROR(VLOOKUP(A1439,'All Products'!A:F,6,0),0)</f>
        <v>6.89</v>
      </c>
      <c r="AK1439" s="36"/>
      <c r="AL1439" s="23">
        <v>1</v>
      </c>
      <c r="AM1439" s="23"/>
      <c r="AN1439" s="54" t="e">
        <v>#N/A</v>
      </c>
      <c r="AP1439" s="4">
        <v>1.6</v>
      </c>
      <c r="AQ1439" s="111">
        <f t="shared" si="426"/>
        <v>0</v>
      </c>
      <c r="AR1439">
        <f>_xlfn.XLOOKUP(F1439,'RM Cost'!A:A,'RM Cost'!S:S)</f>
        <v>0</v>
      </c>
      <c r="AS1439" t="e">
        <f>_xlfn.XLOOKUP(A1439,[3]Sheet1!$B:$B,[3]Sheet1!$B:$B)</f>
        <v>#N/A</v>
      </c>
    </row>
    <row r="1440" spans="1:45" x14ac:dyDescent="0.25">
      <c r="A1440" s="1" t="s">
        <v>4361</v>
      </c>
      <c r="B1440" s="2" t="s">
        <v>656</v>
      </c>
      <c r="C1440" s="1" t="s">
        <v>4369</v>
      </c>
      <c r="D1440" s="2" t="s">
        <v>554</v>
      </c>
      <c r="E1440" s="2">
        <v>1</v>
      </c>
      <c r="F1440" s="1" t="str">
        <f>VLOOKUP(H1440,'RM Used'!A:B,2,0)</f>
        <v>3409CS</v>
      </c>
      <c r="G1440" s="1" t="str">
        <f>IFERROR(VLOOKUP(F1440,'RM Cost'!A:B,2,0),"")</f>
        <v>RM - CELERY 1 X 12</v>
      </c>
      <c r="H1440" s="1" t="s">
        <v>4354</v>
      </c>
      <c r="I1440" s="1" t="str">
        <f>VLOOKUP(F1440,'RM Used'!B:D,3,0)</f>
        <v>RM-FOOD</v>
      </c>
      <c r="J1440" s="66">
        <v>1</v>
      </c>
      <c r="K1440" s="35">
        <f t="shared" si="416"/>
        <v>1</v>
      </c>
      <c r="L1440" s="35">
        <f t="shared" si="418"/>
        <v>1</v>
      </c>
      <c r="M1440" s="77" cm="1">
        <f t="array" ref="M1440">_xlfn.IFS(BOM!I1440="RM-PACKING","100%",B1440="Reynolds",VLOOKUP(H1440,'Yield &amp; Time'!A:V,22,0),BOM!B1440="Dnata",VLOOKUP(BOM!H1440,'Yield &amp; Time'!A:M,13,0),B1440="NK",VLOOKUP(H1440,'Yield &amp; Time'!A:X,24,0))</f>
        <v>0.80258620689655169</v>
      </c>
      <c r="N1440" s="35">
        <f t="shared" si="439"/>
        <v>1.2459720730397423</v>
      </c>
      <c r="O1440" s="1" t="str">
        <f>VLOOKUP(H1440,'RM Used'!A:E,5,0)</f>
        <v>KG</v>
      </c>
      <c r="P1440" s="11">
        <f>VLOOKUP(H1440,'RM Used'!A:F,6,0)</f>
        <v>0.91</v>
      </c>
      <c r="Q1440" s="11">
        <f t="shared" si="427"/>
        <v>1.1338345864661656</v>
      </c>
      <c r="R1440" s="11">
        <f>IFERROR(IF(B1440="Reynolds",VLOOKUP(H1440,'Yield &amp; Time'!A:U,21,0),VLOOKUP(H1440,'Yield &amp; Time'!A:L,12,0)),0)</f>
        <v>1.5216612960973865</v>
      </c>
      <c r="S1440" s="11">
        <f t="shared" si="419"/>
        <v>0.5150823487289653</v>
      </c>
      <c r="T1440" s="11">
        <f t="shared" si="420"/>
        <v>2.536102160162311E-2</v>
      </c>
      <c r="U1440" s="11">
        <f>IF(A1439=A1440,0,VLOOKUP(A1440,'Packing Time'!A:F,6,0))</f>
        <v>0.64500000000000002</v>
      </c>
      <c r="V1440" s="11">
        <f t="shared" si="440"/>
        <v>0.21833249999999998</v>
      </c>
      <c r="W1440" s="11">
        <f t="shared" si="441"/>
        <v>1.0750000000000001E-2</v>
      </c>
      <c r="X1440" s="11">
        <f t="shared" si="421"/>
        <v>1.1734637579663445</v>
      </c>
      <c r="Y1440" s="11">
        <f t="shared" si="442"/>
        <v>1.1734637579663445</v>
      </c>
      <c r="Z1440" s="37">
        <v>1</v>
      </c>
      <c r="AA1440" s="36">
        <f t="shared" si="422"/>
        <v>1.2459720730397423</v>
      </c>
      <c r="AB1440" s="36">
        <f t="shared" si="423"/>
        <v>1.1338345864661656</v>
      </c>
      <c r="AC1440" s="11">
        <f t="shared" si="424"/>
        <v>5.7777634562596984E-2</v>
      </c>
      <c r="AD1440" s="36">
        <f t="shared" si="437"/>
        <v>1.1734637579663447</v>
      </c>
      <c r="AE1440" s="36"/>
      <c r="AF1440" s="36">
        <f>IFERROR(VLOOKUP(AE1440,'Chemical Cost'!A:D,4,0),0)</f>
        <v>0</v>
      </c>
      <c r="AG1440" s="114">
        <f t="shared" si="425"/>
        <v>0</v>
      </c>
      <c r="AH1440" s="36">
        <f t="shared" si="438"/>
        <v>0</v>
      </c>
      <c r="AI1440" s="36">
        <f t="shared" si="443"/>
        <v>2.3072983444325104</v>
      </c>
      <c r="AJ1440" s="36">
        <f>IFERROR(VLOOKUP(A1440,'All Products'!A:F,6,0),0)</f>
        <v>2.77</v>
      </c>
      <c r="AK1440" s="36"/>
      <c r="AL1440" s="23">
        <v>1</v>
      </c>
      <c r="AM1440" s="23"/>
      <c r="AN1440" s="54" t="e">
        <v>#N/A</v>
      </c>
      <c r="AP1440" s="4">
        <v>1.6</v>
      </c>
      <c r="AQ1440" s="111">
        <f t="shared" si="426"/>
        <v>5.7777634562596984E-2</v>
      </c>
      <c r="AR1440">
        <f>_xlfn.XLOOKUP(F1440,'RM Cost'!A:A,'RM Cost'!S:S)</f>
        <v>0</v>
      </c>
      <c r="AS1440" t="e">
        <f>_xlfn.XLOOKUP(A1440,[3]Sheet1!$B:$B,[3]Sheet1!$B:$B)</f>
        <v>#N/A</v>
      </c>
    </row>
    <row r="1441" spans="1:45" x14ac:dyDescent="0.25">
      <c r="A1441" s="1" t="s">
        <v>4361</v>
      </c>
      <c r="B1441" s="2" t="s">
        <v>656</v>
      </c>
      <c r="C1441" s="1" t="s">
        <v>4369</v>
      </c>
      <c r="D1441" s="2" t="s">
        <v>554</v>
      </c>
      <c r="E1441" s="2">
        <v>1</v>
      </c>
      <c r="F1441" s="1" t="str">
        <f>VLOOKUP(H1441,'RM Used'!A:B,2,0)</f>
        <v>P0008</v>
      </c>
      <c r="G1441" s="1" t="str">
        <f>IFERROR(VLOOKUP(F1441,'RM Cost'!A:B,2,0),"")</f>
        <v>PALE BLUE BAG 470X750MM</v>
      </c>
      <c r="H1441" s="1" t="s">
        <v>1323</v>
      </c>
      <c r="I1441" s="1" t="str">
        <f>VLOOKUP(F1441,'RM Used'!B:D,3,0)</f>
        <v>RM-PACKING</v>
      </c>
      <c r="J1441" s="66">
        <v>1</v>
      </c>
      <c r="K1441" s="35" t="str">
        <f t="shared" si="416"/>
        <v/>
      </c>
      <c r="L1441" s="35">
        <f t="shared" si="418"/>
        <v>0</v>
      </c>
      <c r="M1441" s="77" t="str" cm="1">
        <f t="array" ref="M1441">_xlfn.IFS(BOM!I1441="RM-PACKING","100%",B1441="Reynolds",VLOOKUP(H1441,'Yield &amp; Time'!A:V,22,0),BOM!B1441="Dnata",VLOOKUP(BOM!H1441,'Yield &amp; Time'!A:M,13,0),B1441="NK",VLOOKUP(H1441,'Yield &amp; Time'!A:X,24,0))</f>
        <v>100%</v>
      </c>
      <c r="N1441" s="35">
        <f t="shared" si="439"/>
        <v>1</v>
      </c>
      <c r="O1441" s="1" t="str">
        <f>VLOOKUP(H1441,'RM Used'!A:E,5,0)</f>
        <v>Count</v>
      </c>
      <c r="P1441" s="11">
        <f>VLOOKUP(H1441,'RM Used'!A:F,6,0)</f>
        <v>0.14000000000000001</v>
      </c>
      <c r="Q1441" s="11">
        <f t="shared" si="427"/>
        <v>0.14000000000000001</v>
      </c>
      <c r="R1441" s="11">
        <f>IFERROR(IF(B1441="Reynolds",VLOOKUP(H1441,'Yield &amp; Time'!A:U,21,0),VLOOKUP(H1441,'Yield &amp; Time'!A:L,12,0)),0)</f>
        <v>0</v>
      </c>
      <c r="S1441" s="11">
        <f t="shared" si="419"/>
        <v>0</v>
      </c>
      <c r="T1441" s="11">
        <f t="shared" si="420"/>
        <v>0</v>
      </c>
      <c r="U1441" s="11">
        <f>IF(A1440=A1441,0,VLOOKUP(A1441,'Packing Time'!A:F,6,0))</f>
        <v>0</v>
      </c>
      <c r="V1441" s="11">
        <f t="shared" si="440"/>
        <v>0</v>
      </c>
      <c r="W1441" s="11">
        <f t="shared" si="441"/>
        <v>0</v>
      </c>
      <c r="X1441" s="11">
        <f t="shared" si="421"/>
        <v>0</v>
      </c>
      <c r="Y1441" s="11">
        <f t="shared" si="442"/>
        <v>0</v>
      </c>
      <c r="Z1441" s="37">
        <v>1</v>
      </c>
      <c r="AA1441" s="36">
        <f t="shared" si="422"/>
        <v>1</v>
      </c>
      <c r="AB1441" s="36">
        <f t="shared" si="423"/>
        <v>0.14000000000000001</v>
      </c>
      <c r="AC1441" s="11">
        <f t="shared" si="424"/>
        <v>0</v>
      </c>
      <c r="AD1441" s="36">
        <f t="shared" si="437"/>
        <v>0</v>
      </c>
      <c r="AE1441" s="36"/>
      <c r="AF1441" s="36">
        <f>IFERROR(VLOOKUP(AE1441,'Chemical Cost'!A:D,4,0),0)</f>
        <v>0</v>
      </c>
      <c r="AG1441" s="114">
        <f t="shared" si="425"/>
        <v>0</v>
      </c>
      <c r="AH1441" s="36">
        <f t="shared" si="438"/>
        <v>0</v>
      </c>
      <c r="AI1441" s="36">
        <f t="shared" si="443"/>
        <v>0.14000000000000001</v>
      </c>
      <c r="AJ1441" s="36">
        <f>IFERROR(VLOOKUP(A1441,'All Products'!A:F,6,0),0)</f>
        <v>2.77</v>
      </c>
      <c r="AK1441" s="36"/>
      <c r="AL1441" s="23">
        <v>1</v>
      </c>
      <c r="AM1441" s="23"/>
      <c r="AN1441" s="54" t="e">
        <v>#N/A</v>
      </c>
      <c r="AP1441" s="4">
        <v>1.6</v>
      </c>
      <c r="AQ1441" s="111">
        <f t="shared" si="426"/>
        <v>0</v>
      </c>
      <c r="AR1441">
        <f>_xlfn.XLOOKUP(F1441,'RM Cost'!A:A,'RM Cost'!S:S)</f>
        <v>0</v>
      </c>
      <c r="AS1441" t="e">
        <f>_xlfn.XLOOKUP(A1441,[3]Sheet1!$B:$B,[3]Sheet1!$B:$B)</f>
        <v>#N/A</v>
      </c>
    </row>
    <row r="1442" spans="1:45" x14ac:dyDescent="0.25">
      <c r="A1442" s="1" t="s">
        <v>4362</v>
      </c>
      <c r="B1442" s="2" t="s">
        <v>656</v>
      </c>
      <c r="C1442" s="1" t="s">
        <v>4370</v>
      </c>
      <c r="D1442" s="2" t="s">
        <v>554</v>
      </c>
      <c r="E1442" s="2">
        <v>2.5</v>
      </c>
      <c r="F1442" s="1" t="str">
        <f>VLOOKUP(H1442,'RM Used'!A:B,2,0)</f>
        <v>206ACS</v>
      </c>
      <c r="G1442" s="1" t="str">
        <f>IFERROR(VLOOKUP(F1442,'RM Cost'!A:B,2,0),"")</f>
        <v>RM - PREP ONION WHOLE 10KG</v>
      </c>
      <c r="H1442" s="1" t="s">
        <v>4357</v>
      </c>
      <c r="I1442" s="1" t="str">
        <f>VLOOKUP(F1442,'RM Used'!B:D,3,0)</f>
        <v>RM-FOOD</v>
      </c>
      <c r="J1442" s="66">
        <v>1</v>
      </c>
      <c r="K1442" s="35">
        <f t="shared" si="416"/>
        <v>2.5</v>
      </c>
      <c r="L1442" s="35">
        <f t="shared" si="418"/>
        <v>2.5</v>
      </c>
      <c r="M1442" s="77" cm="1">
        <f t="array" ref="M1442">_xlfn.IFS(BOM!I1442="RM-PACKING","100%",B1442="Reynolds",VLOOKUP(H1442,'Yield &amp; Time'!A:V,22,0),BOM!B1442="Dnata",VLOOKUP(BOM!H1442,'Yield &amp; Time'!A:M,13,0),B1442="NK",VLOOKUP(H1442,'Yield &amp; Time'!A:X,24,0))</f>
        <v>0.95283018867924529</v>
      </c>
      <c r="N1442" s="35">
        <f t="shared" si="439"/>
        <v>2.6237623762376239</v>
      </c>
      <c r="O1442" s="1" t="str">
        <f>VLOOKUP(H1442,'RM Used'!A:E,5,0)</f>
        <v>KG</v>
      </c>
      <c r="P1442" s="11">
        <f>VLOOKUP(H1442,'RM Used'!A:F,6,0)</f>
        <v>0.87</v>
      </c>
      <c r="Q1442" s="11">
        <f t="shared" si="427"/>
        <v>2.2826732673267327</v>
      </c>
      <c r="R1442" s="11">
        <f>IFERROR(IF(B1442="Reynolds",VLOOKUP(H1442,'Yield &amp; Time'!A:U,21,0),VLOOKUP(H1442,'Yield &amp; Time'!A:L,12,0)),0)</f>
        <v>0.25</v>
      </c>
      <c r="S1442" s="11">
        <f t="shared" si="419"/>
        <v>0.21156249999999999</v>
      </c>
      <c r="T1442" s="11">
        <f t="shared" si="420"/>
        <v>1.0416666666666666E-2</v>
      </c>
      <c r="U1442" s="11">
        <f>IF(A1441=A1442,0,VLOOKUP(A1442,'Packing Time'!A:F,6,0))</f>
        <v>0.875</v>
      </c>
      <c r="V1442" s="11">
        <f t="shared" si="440"/>
        <v>0.29618749999999999</v>
      </c>
      <c r="W1442" s="11">
        <f t="shared" si="441"/>
        <v>1.4583333333333334E-2</v>
      </c>
      <c r="X1442" s="11">
        <f t="shared" si="421"/>
        <v>0.8123999999999999</v>
      </c>
      <c r="Y1442" s="11">
        <f t="shared" si="442"/>
        <v>0.8123999999999999</v>
      </c>
      <c r="Z1442" s="37">
        <v>1</v>
      </c>
      <c r="AA1442" s="36">
        <f t="shared" si="422"/>
        <v>2.6237623762376239</v>
      </c>
      <c r="AB1442" s="36">
        <f t="shared" si="423"/>
        <v>2.2826732673267327</v>
      </c>
      <c r="AC1442" s="11">
        <f t="shared" si="424"/>
        <v>4.0000000000000008E-2</v>
      </c>
      <c r="AD1442" s="36">
        <f t="shared" si="437"/>
        <v>0.81240000000000001</v>
      </c>
      <c r="AE1442" s="36">
        <f>VLOOKUP(H1442,'Yield &amp; Time'!A:I,9,0)</f>
        <v>0</v>
      </c>
      <c r="AF1442" s="36">
        <f>IFERROR(VLOOKUP(AE1442,'Chemical Cost'!A:D,4,0),0)</f>
        <v>0</v>
      </c>
      <c r="AG1442" s="114">
        <f t="shared" si="425"/>
        <v>0</v>
      </c>
      <c r="AH1442" s="36">
        <f t="shared" si="438"/>
        <v>0</v>
      </c>
      <c r="AI1442" s="36">
        <f t="shared" si="443"/>
        <v>3.0950732673267325</v>
      </c>
      <c r="AJ1442" s="36">
        <f>IFERROR(VLOOKUP(A1442,'All Products'!A:F,6,0),0)</f>
        <v>5.94</v>
      </c>
      <c r="AK1442" s="36"/>
      <c r="AL1442" s="23">
        <v>1</v>
      </c>
      <c r="AM1442" s="23"/>
      <c r="AN1442" s="54" t="e">
        <v>#N/A</v>
      </c>
      <c r="AP1442" s="4">
        <v>1.6</v>
      </c>
      <c r="AQ1442" s="111">
        <f t="shared" si="426"/>
        <v>4.0000000000000008E-2</v>
      </c>
      <c r="AR1442">
        <f>_xlfn.XLOOKUP(F1442,'RM Cost'!A:A,'RM Cost'!S:S)</f>
        <v>0</v>
      </c>
      <c r="AS1442" t="e">
        <f>_xlfn.XLOOKUP(A1442,[3]Sheet1!$B:$B,[3]Sheet1!$B:$B)</f>
        <v>#N/A</v>
      </c>
    </row>
    <row r="1443" spans="1:45" x14ac:dyDescent="0.25">
      <c r="A1443" s="1" t="s">
        <v>4362</v>
      </c>
      <c r="B1443" s="2" t="s">
        <v>656</v>
      </c>
      <c r="C1443" s="1" t="s">
        <v>4370</v>
      </c>
      <c r="D1443" s="2" t="s">
        <v>554</v>
      </c>
      <c r="E1443" s="2">
        <v>2.5</v>
      </c>
      <c r="F1443" s="1" t="str">
        <f>VLOOKUP(H1443,'RM Used'!A:B,2,0)</f>
        <v>P0008</v>
      </c>
      <c r="G1443" s="1" t="str">
        <f>IFERROR(VLOOKUP(F1443,'RM Cost'!A:B,2,0),"")</f>
        <v>PALE BLUE BAG 470X750MM</v>
      </c>
      <c r="H1443" s="1" t="s">
        <v>1323</v>
      </c>
      <c r="I1443" s="1" t="str">
        <f>VLOOKUP(F1443,'RM Used'!B:D,3,0)</f>
        <v>RM-PACKING</v>
      </c>
      <c r="J1443" s="66">
        <v>1</v>
      </c>
      <c r="K1443" s="35" t="str">
        <f t="shared" si="416"/>
        <v/>
      </c>
      <c r="L1443" s="35">
        <f t="shared" si="418"/>
        <v>0</v>
      </c>
      <c r="M1443" s="77" t="str" cm="1">
        <f t="array" ref="M1443">_xlfn.IFS(BOM!I1443="RM-PACKING","100%",B1443="Reynolds",VLOOKUP(H1443,'Yield &amp; Time'!A:V,22,0),BOM!B1443="Dnata",VLOOKUP(BOM!H1443,'Yield &amp; Time'!A:M,13,0),B1443="NK",VLOOKUP(H1443,'Yield &amp; Time'!A:X,24,0))</f>
        <v>100%</v>
      </c>
      <c r="N1443" s="35">
        <f t="shared" si="439"/>
        <v>1</v>
      </c>
      <c r="O1443" s="1" t="str">
        <f>VLOOKUP(H1443,'RM Used'!A:E,5,0)</f>
        <v>Count</v>
      </c>
      <c r="P1443" s="11">
        <f>VLOOKUP(H1443,'RM Used'!A:F,6,0)</f>
        <v>0.14000000000000001</v>
      </c>
      <c r="Q1443" s="11">
        <f t="shared" si="427"/>
        <v>0.14000000000000001</v>
      </c>
      <c r="R1443" s="11">
        <f>IFERROR(IF(B1443="Reynolds",VLOOKUP(H1443,'Yield &amp; Time'!A:U,21,0),VLOOKUP(H1443,'Yield &amp; Time'!A:L,12,0)),0)</f>
        <v>0</v>
      </c>
      <c r="S1443" s="11">
        <f t="shared" si="419"/>
        <v>0</v>
      </c>
      <c r="T1443" s="11">
        <f t="shared" si="420"/>
        <v>0</v>
      </c>
      <c r="U1443" s="11">
        <f>IF(A1442=A1443,0,VLOOKUP(A1443,'Packing Time'!A:F,6,0))</f>
        <v>0</v>
      </c>
      <c r="V1443" s="11">
        <f t="shared" si="440"/>
        <v>0</v>
      </c>
      <c r="W1443" s="11">
        <f t="shared" si="441"/>
        <v>0</v>
      </c>
      <c r="X1443" s="11">
        <f t="shared" si="421"/>
        <v>0</v>
      </c>
      <c r="Y1443" s="11">
        <f t="shared" si="442"/>
        <v>0</v>
      </c>
      <c r="Z1443" s="37">
        <v>1</v>
      </c>
      <c r="AA1443" s="36">
        <f t="shared" si="422"/>
        <v>1</v>
      </c>
      <c r="AB1443" s="36">
        <f t="shared" si="423"/>
        <v>0.14000000000000001</v>
      </c>
      <c r="AC1443" s="11">
        <f t="shared" si="424"/>
        <v>0</v>
      </c>
      <c r="AD1443" s="36">
        <f t="shared" si="437"/>
        <v>0</v>
      </c>
      <c r="AE1443" s="36"/>
      <c r="AF1443" s="36">
        <f>IFERROR(VLOOKUP(AE1443,'Chemical Cost'!A:D,4,0),0)</f>
        <v>0</v>
      </c>
      <c r="AG1443" s="114">
        <f t="shared" si="425"/>
        <v>0</v>
      </c>
      <c r="AH1443" s="36">
        <f t="shared" si="438"/>
        <v>0</v>
      </c>
      <c r="AI1443" s="36">
        <f t="shared" si="443"/>
        <v>0.14000000000000001</v>
      </c>
      <c r="AJ1443" s="36">
        <f>IFERROR(VLOOKUP(A1443,'All Products'!A:F,6,0),0)</f>
        <v>5.94</v>
      </c>
      <c r="AK1443" s="36"/>
      <c r="AL1443" s="23">
        <v>1</v>
      </c>
      <c r="AM1443" s="23"/>
      <c r="AN1443" s="54" t="e">
        <v>#N/A</v>
      </c>
      <c r="AP1443" s="4">
        <v>1.6</v>
      </c>
      <c r="AQ1443" s="111">
        <f t="shared" si="426"/>
        <v>0</v>
      </c>
      <c r="AR1443">
        <f>_xlfn.XLOOKUP(F1443,'RM Cost'!A:A,'RM Cost'!S:S)</f>
        <v>0</v>
      </c>
      <c r="AS1443" t="e">
        <f>_xlfn.XLOOKUP(A1443,[3]Sheet1!$B:$B,[3]Sheet1!$B:$B)</f>
        <v>#N/A</v>
      </c>
    </row>
    <row r="1444" spans="1:45" x14ac:dyDescent="0.25">
      <c r="A1444" s="1" t="s">
        <v>4363</v>
      </c>
      <c r="B1444" s="2" t="s">
        <v>656</v>
      </c>
      <c r="C1444" s="1" t="s">
        <v>4371</v>
      </c>
      <c r="D1444" s="2" t="s">
        <v>554</v>
      </c>
      <c r="E1444" s="2">
        <v>1</v>
      </c>
      <c r="F1444" s="1" t="str">
        <f>VLOOKUP(H1444,'RM Used'!A:B,2,0)</f>
        <v>206ACS</v>
      </c>
      <c r="G1444" s="1" t="str">
        <f>IFERROR(VLOOKUP(F1444,'RM Cost'!A:B,2,0),"")</f>
        <v>RM - PREP ONION WHOLE 10KG</v>
      </c>
      <c r="H1444" s="1" t="s">
        <v>4357</v>
      </c>
      <c r="I1444" s="1" t="str">
        <f>VLOOKUP(F1444,'RM Used'!B:D,3,0)</f>
        <v>RM-FOOD</v>
      </c>
      <c r="J1444" s="66">
        <v>1</v>
      </c>
      <c r="K1444" s="35">
        <f t="shared" si="416"/>
        <v>1</v>
      </c>
      <c r="L1444" s="35">
        <f t="shared" si="418"/>
        <v>1</v>
      </c>
      <c r="M1444" s="77" cm="1">
        <f t="array" ref="M1444">_xlfn.IFS(BOM!I1444="RM-PACKING","100%",B1444="Reynolds",VLOOKUP(H1444,'Yield &amp; Time'!A:V,22,0),BOM!B1444="Dnata",VLOOKUP(BOM!H1444,'Yield &amp; Time'!A:M,13,0),B1444="NK",VLOOKUP(H1444,'Yield &amp; Time'!A:X,24,0))</f>
        <v>0.95283018867924529</v>
      </c>
      <c r="N1444" s="35">
        <f t="shared" si="439"/>
        <v>1.0495049504950495</v>
      </c>
      <c r="O1444" s="1" t="str">
        <f>VLOOKUP(H1444,'RM Used'!A:E,5,0)</f>
        <v>KG</v>
      </c>
      <c r="P1444" s="11">
        <f>VLOOKUP(H1444,'RM Used'!A:F,6,0)</f>
        <v>0.87</v>
      </c>
      <c r="Q1444" s="11">
        <f t="shared" si="427"/>
        <v>0.9130693069306931</v>
      </c>
      <c r="R1444" s="11">
        <f>IFERROR(IF(B1444="Reynolds",VLOOKUP(H1444,'Yield &amp; Time'!A:U,21,0),VLOOKUP(H1444,'Yield &amp; Time'!A:L,12,0)),0)</f>
        <v>0.25</v>
      </c>
      <c r="S1444" s="11">
        <f t="shared" si="419"/>
        <v>8.4624999999999992E-2</v>
      </c>
      <c r="T1444" s="11">
        <f t="shared" si="420"/>
        <v>4.1666666666666666E-3</v>
      </c>
      <c r="U1444" s="11">
        <f>IF(A1443=A1444,0,VLOOKUP(A1444,'Packing Time'!A:F,6,0))</f>
        <v>0.64500000000000002</v>
      </c>
      <c r="V1444" s="11">
        <f t="shared" si="440"/>
        <v>0.21833249999999998</v>
      </c>
      <c r="W1444" s="11">
        <f t="shared" si="441"/>
        <v>1.0750000000000001E-2</v>
      </c>
      <c r="X1444" s="11">
        <f t="shared" si="421"/>
        <v>0.484732</v>
      </c>
      <c r="Y1444" s="11">
        <f t="shared" si="442"/>
        <v>0.484732</v>
      </c>
      <c r="Z1444" s="37">
        <v>1</v>
      </c>
      <c r="AA1444" s="36">
        <f t="shared" si="422"/>
        <v>1.0495049504950495</v>
      </c>
      <c r="AB1444" s="36">
        <f t="shared" si="423"/>
        <v>0.9130693069306931</v>
      </c>
      <c r="AC1444" s="11">
        <f t="shared" si="424"/>
        <v>2.3866666666666668E-2</v>
      </c>
      <c r="AD1444" s="36">
        <f t="shared" si="437"/>
        <v>0.484732</v>
      </c>
      <c r="AE1444" s="36">
        <f>VLOOKUP(H1444,'Yield &amp; Time'!A:I,9,0)</f>
        <v>0</v>
      </c>
      <c r="AF1444" s="36">
        <f>IFERROR(VLOOKUP(AE1444,'Chemical Cost'!A:D,4,0),0)</f>
        <v>0</v>
      </c>
      <c r="AG1444" s="114">
        <f t="shared" si="425"/>
        <v>0</v>
      </c>
      <c r="AH1444" s="36">
        <f t="shared" si="438"/>
        <v>0</v>
      </c>
      <c r="AI1444" s="36">
        <f t="shared" si="443"/>
        <v>1.3978013069306932</v>
      </c>
      <c r="AJ1444" s="36">
        <f>IFERROR(VLOOKUP(A1444,'All Products'!A:F,6,0),0)</f>
        <v>2.38</v>
      </c>
      <c r="AK1444" s="36"/>
      <c r="AL1444" s="23">
        <v>1</v>
      </c>
      <c r="AM1444" s="23"/>
      <c r="AN1444" s="54" t="e">
        <v>#N/A</v>
      </c>
      <c r="AP1444" s="4">
        <v>1.6</v>
      </c>
      <c r="AQ1444" s="111">
        <f t="shared" si="426"/>
        <v>2.3866666666666668E-2</v>
      </c>
      <c r="AR1444">
        <f>_xlfn.XLOOKUP(F1444,'RM Cost'!A:A,'RM Cost'!S:S)</f>
        <v>0</v>
      </c>
      <c r="AS1444" t="e">
        <f>_xlfn.XLOOKUP(A1444,[3]Sheet1!$B:$B,[3]Sheet1!$B:$B)</f>
        <v>#N/A</v>
      </c>
    </row>
    <row r="1445" spans="1:45" x14ac:dyDescent="0.25">
      <c r="A1445" s="1" t="s">
        <v>4363</v>
      </c>
      <c r="B1445" s="2" t="s">
        <v>656</v>
      </c>
      <c r="C1445" s="1" t="s">
        <v>4371</v>
      </c>
      <c r="D1445" s="2" t="s">
        <v>554</v>
      </c>
      <c r="E1445" s="2">
        <v>1</v>
      </c>
      <c r="F1445" s="1" t="str">
        <f>VLOOKUP(H1445,'RM Used'!A:B,2,0)</f>
        <v>P0008</v>
      </c>
      <c r="G1445" s="1" t="str">
        <f>IFERROR(VLOOKUP(F1445,'RM Cost'!A:B,2,0),"")</f>
        <v>PALE BLUE BAG 470X750MM</v>
      </c>
      <c r="H1445" s="1" t="s">
        <v>1323</v>
      </c>
      <c r="I1445" s="1" t="str">
        <f>VLOOKUP(F1445,'RM Used'!B:D,3,0)</f>
        <v>RM-PACKING</v>
      </c>
      <c r="J1445" s="66">
        <v>1</v>
      </c>
      <c r="K1445" s="35" t="str">
        <f t="shared" ref="K1445:K1490" si="444">IF(I1445="RM-FOOD",J1445*E1445,"")</f>
        <v/>
      </c>
      <c r="L1445" s="35">
        <f t="shared" si="418"/>
        <v>0</v>
      </c>
      <c r="M1445" s="77" t="str" cm="1">
        <f t="array" ref="M1445">_xlfn.IFS(BOM!I1445="RM-PACKING","100%",B1445="Reynolds",VLOOKUP(H1445,'Yield &amp; Time'!A:V,22,0),BOM!B1445="Dnata",VLOOKUP(BOM!H1445,'Yield &amp; Time'!A:M,13,0),B1445="NK",VLOOKUP(H1445,'Yield &amp; Time'!A:X,24,0))</f>
        <v>100%</v>
      </c>
      <c r="N1445" s="35">
        <f t="shared" si="439"/>
        <v>1</v>
      </c>
      <c r="O1445" s="1" t="str">
        <f>VLOOKUP(H1445,'RM Used'!A:E,5,0)</f>
        <v>Count</v>
      </c>
      <c r="P1445" s="11">
        <f>VLOOKUP(H1445,'RM Used'!A:F,6,0)</f>
        <v>0.14000000000000001</v>
      </c>
      <c r="Q1445" s="11">
        <f t="shared" si="427"/>
        <v>0.14000000000000001</v>
      </c>
      <c r="R1445" s="11">
        <f>IFERROR(IF(B1445="Reynolds",VLOOKUP(H1445,'Yield &amp; Time'!A:U,21,0),VLOOKUP(H1445,'Yield &amp; Time'!A:L,12,0)),0)</f>
        <v>0</v>
      </c>
      <c r="S1445" s="11">
        <f t="shared" si="419"/>
        <v>0</v>
      </c>
      <c r="T1445" s="11">
        <f t="shared" si="420"/>
        <v>0</v>
      </c>
      <c r="U1445" s="11">
        <f>IF(A1444=A1445,0,VLOOKUP(A1445,'Packing Time'!A:F,6,0))</f>
        <v>0</v>
      </c>
      <c r="V1445" s="11">
        <f t="shared" si="440"/>
        <v>0</v>
      </c>
      <c r="W1445" s="11">
        <f t="shared" si="441"/>
        <v>0</v>
      </c>
      <c r="X1445" s="11">
        <f t="shared" si="421"/>
        <v>0</v>
      </c>
      <c r="Y1445" s="11">
        <f t="shared" si="442"/>
        <v>0</v>
      </c>
      <c r="Z1445" s="37">
        <v>1</v>
      </c>
      <c r="AA1445" s="36">
        <f t="shared" si="422"/>
        <v>1</v>
      </c>
      <c r="AB1445" s="36">
        <f t="shared" si="423"/>
        <v>0.14000000000000001</v>
      </c>
      <c r="AC1445" s="11">
        <f t="shared" si="424"/>
        <v>0</v>
      </c>
      <c r="AD1445" s="36">
        <f t="shared" si="437"/>
        <v>0</v>
      </c>
      <c r="AE1445" s="36"/>
      <c r="AF1445" s="36">
        <f>IFERROR(VLOOKUP(AE1445,'Chemical Cost'!A:D,4,0),0)</f>
        <v>0</v>
      </c>
      <c r="AG1445" s="114">
        <f t="shared" si="425"/>
        <v>0</v>
      </c>
      <c r="AH1445" s="36">
        <f t="shared" si="438"/>
        <v>0</v>
      </c>
      <c r="AI1445" s="36">
        <f t="shared" si="443"/>
        <v>0.14000000000000001</v>
      </c>
      <c r="AJ1445" s="36">
        <f>IFERROR(VLOOKUP(A1445,'All Products'!A:F,6,0),0)</f>
        <v>2.38</v>
      </c>
      <c r="AK1445" s="36"/>
      <c r="AL1445" s="23">
        <v>1</v>
      </c>
      <c r="AM1445" s="23"/>
      <c r="AN1445" s="54" t="e">
        <v>#N/A</v>
      </c>
      <c r="AP1445" s="4">
        <v>1.6</v>
      </c>
      <c r="AQ1445" s="111">
        <f t="shared" si="426"/>
        <v>0</v>
      </c>
      <c r="AR1445">
        <f>_xlfn.XLOOKUP(F1445,'RM Cost'!A:A,'RM Cost'!S:S)</f>
        <v>0</v>
      </c>
      <c r="AS1445" t="e">
        <f>_xlfn.XLOOKUP(A1445,[3]Sheet1!$B:$B,[3]Sheet1!$B:$B)</f>
        <v>#N/A</v>
      </c>
    </row>
    <row r="1446" spans="1:45" x14ac:dyDescent="0.25">
      <c r="A1446" s="1" t="s">
        <v>4364</v>
      </c>
      <c r="B1446" s="2" t="s">
        <v>656</v>
      </c>
      <c r="C1446" s="1" t="s">
        <v>4372</v>
      </c>
      <c r="D1446" s="2" t="s">
        <v>554</v>
      </c>
      <c r="E1446" s="2">
        <v>2.5</v>
      </c>
      <c r="F1446" s="1" t="str">
        <f>VLOOKUP(H1446,'RM Used'!A:B,2,0)</f>
        <v>3136CS</v>
      </c>
      <c r="G1446" s="1" t="str">
        <f>IFERROR(VLOOKUP(F1446,'RM Cost'!A:B,2,0),"")</f>
        <v>RM - PROCESSING LEEKS 5KG</v>
      </c>
      <c r="H1446" s="1" t="s">
        <v>4356</v>
      </c>
      <c r="I1446" s="1" t="str">
        <f>VLOOKUP(F1446,'RM Used'!B:D,3,0)</f>
        <v>RM-FOOD</v>
      </c>
      <c r="J1446" s="66">
        <v>1</v>
      </c>
      <c r="K1446" s="35">
        <f t="shared" si="444"/>
        <v>2.5</v>
      </c>
      <c r="L1446" s="35">
        <f t="shared" si="418"/>
        <v>2.5</v>
      </c>
      <c r="M1446" s="77" cm="1">
        <f t="array" ref="M1446">_xlfn.IFS(BOM!I1446="RM-PACKING","100%",B1446="Reynolds",VLOOKUP(H1446,'Yield &amp; Time'!A:V,22,0),BOM!B1446="Dnata",VLOOKUP(BOM!H1446,'Yield &amp; Time'!A:M,13,0),B1446="NK",VLOOKUP(H1446,'Yield &amp; Time'!A:X,24,0))</f>
        <v>0.54975609756097565</v>
      </c>
      <c r="N1446" s="35">
        <f t="shared" si="439"/>
        <v>4.5474711623779944</v>
      </c>
      <c r="O1446" s="1" t="str">
        <f>VLOOKUP(H1446,'RM Used'!A:E,5,0)</f>
        <v>KG</v>
      </c>
      <c r="P1446" s="11">
        <f>VLOOKUP(H1446,'RM Used'!A:F,6,0)</f>
        <v>1.05</v>
      </c>
      <c r="Q1446" s="11">
        <f t="shared" si="427"/>
        <v>4.774844720496894</v>
      </c>
      <c r="R1446" s="11">
        <f>IFERROR(IF(B1446="Reynolds",VLOOKUP(H1446,'Yield &amp; Time'!A:U,21,0),VLOOKUP(H1446,'Yield &amp; Time'!A:L,12,0)),0)</f>
        <v>0.96125406684412884</v>
      </c>
      <c r="S1446" s="11">
        <f t="shared" si="419"/>
        <v>0.813461254066844</v>
      </c>
      <c r="T1446" s="11">
        <f t="shared" si="420"/>
        <v>4.0052252785172035E-2</v>
      </c>
      <c r="U1446" s="11">
        <f>IF(A1445=A1446,0,VLOOKUP(A1446,'Packing Time'!A:F,6,0))</f>
        <v>0.875</v>
      </c>
      <c r="V1446" s="11">
        <f t="shared" si="440"/>
        <v>0.29618749999999999</v>
      </c>
      <c r="W1446" s="11">
        <f t="shared" si="441"/>
        <v>1.4583333333333334E-2</v>
      </c>
      <c r="X1446" s="11">
        <f t="shared" si="421"/>
        <v>1.7754380065069506</v>
      </c>
      <c r="Y1446" s="11">
        <f t="shared" si="442"/>
        <v>1.7754380065069506</v>
      </c>
      <c r="Z1446" s="37">
        <v>1</v>
      </c>
      <c r="AA1446" s="36">
        <f t="shared" si="422"/>
        <v>4.5474711623779944</v>
      </c>
      <c r="AB1446" s="36">
        <f t="shared" si="423"/>
        <v>4.774844720496894</v>
      </c>
      <c r="AC1446" s="11">
        <f t="shared" si="424"/>
        <v>8.7416937789608601E-2</v>
      </c>
      <c r="AD1446" s="36">
        <f t="shared" si="437"/>
        <v>1.7754380065069506</v>
      </c>
      <c r="AE1446" s="36"/>
      <c r="AF1446" s="36">
        <f>IFERROR(VLOOKUP(AE1446,'Chemical Cost'!A:D,4,0),0)</f>
        <v>0</v>
      </c>
      <c r="AG1446" s="114">
        <f t="shared" si="425"/>
        <v>0</v>
      </c>
      <c r="AH1446" s="36">
        <f t="shared" si="438"/>
        <v>0</v>
      </c>
      <c r="AI1446" s="36">
        <f t="shared" si="443"/>
        <v>6.5502827270038448</v>
      </c>
      <c r="AJ1446" s="36">
        <f>IFERROR(VLOOKUP(A1446,'All Products'!A:F,6,0),0)</f>
        <v>12.67</v>
      </c>
      <c r="AK1446" s="36"/>
      <c r="AL1446" s="23">
        <v>1</v>
      </c>
      <c r="AM1446" s="23"/>
      <c r="AN1446" s="54" t="e">
        <v>#N/A</v>
      </c>
      <c r="AP1446" s="4">
        <v>1.6</v>
      </c>
      <c r="AQ1446" s="111">
        <f t="shared" si="426"/>
        <v>8.7416937789608601E-2</v>
      </c>
      <c r="AR1446">
        <f>_xlfn.XLOOKUP(F1446,'RM Cost'!A:A,'RM Cost'!S:S)</f>
        <v>0</v>
      </c>
      <c r="AS1446" t="e">
        <f>_xlfn.XLOOKUP(A1446,[3]Sheet1!$B:$B,[3]Sheet1!$B:$B)</f>
        <v>#N/A</v>
      </c>
    </row>
    <row r="1447" spans="1:45" x14ac:dyDescent="0.25">
      <c r="A1447" s="1" t="s">
        <v>4364</v>
      </c>
      <c r="B1447" s="2" t="s">
        <v>656</v>
      </c>
      <c r="C1447" s="1" t="s">
        <v>4372</v>
      </c>
      <c r="D1447" s="2" t="s">
        <v>554</v>
      </c>
      <c r="E1447" s="2">
        <v>2.5</v>
      </c>
      <c r="F1447" s="1" t="str">
        <f>VLOOKUP(H1447,'RM Used'!A:B,2,0)</f>
        <v>P0008</v>
      </c>
      <c r="G1447" s="1" t="str">
        <f>IFERROR(VLOOKUP(F1447,'RM Cost'!A:B,2,0),"")</f>
        <v>PALE BLUE BAG 470X750MM</v>
      </c>
      <c r="H1447" s="1" t="s">
        <v>1323</v>
      </c>
      <c r="I1447" s="1" t="str">
        <f>VLOOKUP(F1447,'RM Used'!B:D,3,0)</f>
        <v>RM-PACKING</v>
      </c>
      <c r="J1447" s="66">
        <v>1</v>
      </c>
      <c r="K1447" s="35" t="str">
        <f t="shared" si="444"/>
        <v/>
      </c>
      <c r="L1447" s="35">
        <f t="shared" si="418"/>
        <v>0</v>
      </c>
      <c r="M1447" s="77" t="str" cm="1">
        <f t="array" ref="M1447">_xlfn.IFS(BOM!I1447="RM-PACKING","100%",B1447="Reynolds",VLOOKUP(H1447,'Yield &amp; Time'!A:V,22,0),BOM!B1447="Dnata",VLOOKUP(BOM!H1447,'Yield &amp; Time'!A:M,13,0),B1447="NK",VLOOKUP(H1447,'Yield &amp; Time'!A:X,24,0))</f>
        <v>100%</v>
      </c>
      <c r="N1447" s="35">
        <f t="shared" si="439"/>
        <v>1</v>
      </c>
      <c r="O1447" s="1" t="str">
        <f>VLOOKUP(H1447,'RM Used'!A:E,5,0)</f>
        <v>Count</v>
      </c>
      <c r="P1447" s="11">
        <f>VLOOKUP(H1447,'RM Used'!A:F,6,0)</f>
        <v>0.14000000000000001</v>
      </c>
      <c r="Q1447" s="11">
        <f t="shared" si="427"/>
        <v>0.14000000000000001</v>
      </c>
      <c r="R1447" s="11">
        <f>IFERROR(IF(B1447="Reynolds",VLOOKUP(H1447,'Yield &amp; Time'!A:U,21,0),VLOOKUP(H1447,'Yield &amp; Time'!A:L,12,0)),0)</f>
        <v>0</v>
      </c>
      <c r="S1447" s="11">
        <f t="shared" si="419"/>
        <v>0</v>
      </c>
      <c r="T1447" s="11">
        <f t="shared" si="420"/>
        <v>0</v>
      </c>
      <c r="U1447" s="11">
        <f>IF(A1446=A1447,0,VLOOKUP(A1447,'Packing Time'!A:F,6,0))</f>
        <v>0</v>
      </c>
      <c r="V1447" s="11">
        <f t="shared" si="440"/>
        <v>0</v>
      </c>
      <c r="W1447" s="11">
        <f t="shared" si="441"/>
        <v>0</v>
      </c>
      <c r="X1447" s="11">
        <f t="shared" si="421"/>
        <v>0</v>
      </c>
      <c r="Y1447" s="11">
        <f t="shared" si="442"/>
        <v>0</v>
      </c>
      <c r="Z1447" s="37">
        <v>1</v>
      </c>
      <c r="AA1447" s="36">
        <f t="shared" si="422"/>
        <v>1</v>
      </c>
      <c r="AB1447" s="36">
        <f t="shared" si="423"/>
        <v>0.14000000000000001</v>
      </c>
      <c r="AC1447" s="11">
        <f t="shared" si="424"/>
        <v>0</v>
      </c>
      <c r="AD1447" s="36">
        <f t="shared" si="437"/>
        <v>0</v>
      </c>
      <c r="AE1447" s="36"/>
      <c r="AF1447" s="36">
        <f>IFERROR(VLOOKUP(AE1447,'Chemical Cost'!A:D,4,0),0)</f>
        <v>0</v>
      </c>
      <c r="AG1447" s="114">
        <f t="shared" si="425"/>
        <v>0</v>
      </c>
      <c r="AH1447" s="36">
        <f t="shared" si="438"/>
        <v>0</v>
      </c>
      <c r="AI1447" s="36">
        <f t="shared" si="443"/>
        <v>0.14000000000000001</v>
      </c>
      <c r="AJ1447" s="36">
        <f>IFERROR(VLOOKUP(A1447,'All Products'!A:F,6,0),0)</f>
        <v>12.67</v>
      </c>
      <c r="AK1447" s="36"/>
      <c r="AL1447" s="23">
        <v>1</v>
      </c>
      <c r="AM1447" s="23"/>
      <c r="AN1447" s="54" t="e">
        <v>#N/A</v>
      </c>
      <c r="AP1447" s="4">
        <v>1.6</v>
      </c>
      <c r="AQ1447" s="111">
        <f t="shared" si="426"/>
        <v>0</v>
      </c>
      <c r="AR1447">
        <f>_xlfn.XLOOKUP(F1447,'RM Cost'!A:A,'RM Cost'!S:S)</f>
        <v>0</v>
      </c>
      <c r="AS1447" t="e">
        <f>_xlfn.XLOOKUP(A1447,[3]Sheet1!$B:$B,[3]Sheet1!$B:$B)</f>
        <v>#N/A</v>
      </c>
    </row>
    <row r="1448" spans="1:45" x14ac:dyDescent="0.25">
      <c r="A1448" s="1" t="s">
        <v>4365</v>
      </c>
      <c r="B1448" s="2" t="s">
        <v>656</v>
      </c>
      <c r="C1448" s="1" t="s">
        <v>4373</v>
      </c>
      <c r="D1448" s="2" t="s">
        <v>554</v>
      </c>
      <c r="E1448" s="2">
        <v>1</v>
      </c>
      <c r="F1448" s="1" t="str">
        <f>VLOOKUP(H1448,'RM Used'!A:B,2,0)</f>
        <v>3136CS</v>
      </c>
      <c r="G1448" s="1" t="str">
        <f>IFERROR(VLOOKUP(F1448,'RM Cost'!A:B,2,0),"")</f>
        <v>RM - PROCESSING LEEKS 5KG</v>
      </c>
      <c r="H1448" s="1" t="s">
        <v>4356</v>
      </c>
      <c r="I1448" s="1" t="str">
        <f>VLOOKUP(F1448,'RM Used'!B:D,3,0)</f>
        <v>RM-FOOD</v>
      </c>
      <c r="J1448" s="66">
        <v>1</v>
      </c>
      <c r="K1448" s="35">
        <f t="shared" si="444"/>
        <v>1</v>
      </c>
      <c r="L1448" s="35">
        <f t="shared" si="418"/>
        <v>1</v>
      </c>
      <c r="M1448" s="77" cm="1">
        <f t="array" ref="M1448">_xlfn.IFS(BOM!I1448="RM-PACKING","100%",B1448="Reynolds",VLOOKUP(H1448,'Yield &amp; Time'!A:V,22,0),BOM!B1448="Dnata",VLOOKUP(BOM!H1448,'Yield &amp; Time'!A:M,13,0),B1448="NK",VLOOKUP(H1448,'Yield &amp; Time'!A:X,24,0))</f>
        <v>0.54975609756097565</v>
      </c>
      <c r="N1448" s="35">
        <f t="shared" si="439"/>
        <v>1.8189884649511978</v>
      </c>
      <c r="O1448" s="1" t="str">
        <f>VLOOKUP(H1448,'RM Used'!A:E,5,0)</f>
        <v>KG</v>
      </c>
      <c r="P1448" s="11">
        <f>VLOOKUP(H1448,'RM Used'!A:F,6,0)</f>
        <v>1.05</v>
      </c>
      <c r="Q1448" s="11">
        <f t="shared" si="427"/>
        <v>1.9099378881987579</v>
      </c>
      <c r="R1448" s="11">
        <f>IFERROR(IF(B1448="Reynolds",VLOOKUP(H1448,'Yield &amp; Time'!A:U,21,0),VLOOKUP(H1448,'Yield &amp; Time'!A:L,12,0)),0)</f>
        <v>0.96125406684412884</v>
      </c>
      <c r="S1448" s="11">
        <f t="shared" si="419"/>
        <v>0.3253845016267376</v>
      </c>
      <c r="T1448" s="11">
        <f t="shared" si="420"/>
        <v>1.6020901114068814E-2</v>
      </c>
      <c r="U1448" s="11">
        <f>IF(A1447=A1448,0,VLOOKUP(A1448,'Packing Time'!A:F,6,0))</f>
        <v>0.64500000000000002</v>
      </c>
      <c r="V1448" s="11">
        <f t="shared" si="440"/>
        <v>0.21833249999999998</v>
      </c>
      <c r="W1448" s="11">
        <f t="shared" si="441"/>
        <v>1.0750000000000001E-2</v>
      </c>
      <c r="X1448" s="11">
        <f t="shared" si="421"/>
        <v>0.86994720260278013</v>
      </c>
      <c r="Y1448" s="11">
        <f t="shared" si="442"/>
        <v>0.86994720260278013</v>
      </c>
      <c r="Z1448" s="37">
        <v>1</v>
      </c>
      <c r="AA1448" s="36">
        <f t="shared" si="422"/>
        <v>1.8189884649511978</v>
      </c>
      <c r="AB1448" s="36">
        <f t="shared" si="423"/>
        <v>1.9099378881987579</v>
      </c>
      <c r="AC1448" s="11">
        <f t="shared" si="424"/>
        <v>4.2833441782510105E-2</v>
      </c>
      <c r="AD1448" s="36">
        <f t="shared" si="437"/>
        <v>0.86994720260278013</v>
      </c>
      <c r="AE1448" s="36"/>
      <c r="AF1448" s="36">
        <f>IFERROR(VLOOKUP(AE1448,'Chemical Cost'!A:D,4,0),0)</f>
        <v>0</v>
      </c>
      <c r="AG1448" s="114">
        <f t="shared" si="425"/>
        <v>0</v>
      </c>
      <c r="AH1448" s="36">
        <f t="shared" si="438"/>
        <v>0</v>
      </c>
      <c r="AI1448" s="36">
        <f t="shared" si="443"/>
        <v>2.779885090801538</v>
      </c>
      <c r="AJ1448" s="36">
        <f>IFERROR(VLOOKUP(A1448,'All Products'!A:F,6,0),0)</f>
        <v>5.0599999999999996</v>
      </c>
      <c r="AK1448" s="36"/>
      <c r="AL1448" s="23">
        <v>1</v>
      </c>
      <c r="AM1448" s="23"/>
      <c r="AN1448" s="54" t="e">
        <v>#N/A</v>
      </c>
      <c r="AP1448" s="4">
        <v>1.6</v>
      </c>
      <c r="AQ1448" s="111">
        <f t="shared" si="426"/>
        <v>4.2833441782510105E-2</v>
      </c>
      <c r="AR1448">
        <f>_xlfn.XLOOKUP(F1448,'RM Cost'!A:A,'RM Cost'!S:S)</f>
        <v>0</v>
      </c>
      <c r="AS1448" t="e">
        <f>_xlfn.XLOOKUP(A1448,[3]Sheet1!$B:$B,[3]Sheet1!$B:$B)</f>
        <v>#N/A</v>
      </c>
    </row>
    <row r="1449" spans="1:45" x14ac:dyDescent="0.25">
      <c r="A1449" s="1" t="s">
        <v>4365</v>
      </c>
      <c r="B1449" s="2" t="s">
        <v>656</v>
      </c>
      <c r="C1449" s="1" t="s">
        <v>4373</v>
      </c>
      <c r="D1449" s="2" t="s">
        <v>554</v>
      </c>
      <c r="E1449" s="2">
        <v>1</v>
      </c>
      <c r="F1449" s="1" t="str">
        <f>VLOOKUP(H1449,'RM Used'!A:B,2,0)</f>
        <v>P0008</v>
      </c>
      <c r="G1449" s="1" t="str">
        <f>IFERROR(VLOOKUP(F1449,'RM Cost'!A:B,2,0),"")</f>
        <v>PALE BLUE BAG 470X750MM</v>
      </c>
      <c r="H1449" s="1" t="s">
        <v>1323</v>
      </c>
      <c r="I1449" s="1" t="str">
        <f>VLOOKUP(F1449,'RM Used'!B:D,3,0)</f>
        <v>RM-PACKING</v>
      </c>
      <c r="J1449" s="66">
        <v>1</v>
      </c>
      <c r="K1449" s="35" t="str">
        <f t="shared" si="444"/>
        <v/>
      </c>
      <c r="L1449" s="35">
        <f t="shared" si="418"/>
        <v>0</v>
      </c>
      <c r="M1449" s="77" t="str" cm="1">
        <f t="array" ref="M1449">_xlfn.IFS(BOM!I1449="RM-PACKING","100%",B1449="Reynolds",VLOOKUP(H1449,'Yield &amp; Time'!A:V,22,0),BOM!B1449="Dnata",VLOOKUP(BOM!H1449,'Yield &amp; Time'!A:M,13,0),B1449="NK",VLOOKUP(H1449,'Yield &amp; Time'!A:X,24,0))</f>
        <v>100%</v>
      </c>
      <c r="N1449" s="35">
        <f t="shared" si="439"/>
        <v>1</v>
      </c>
      <c r="O1449" s="1" t="str">
        <f>VLOOKUP(H1449,'RM Used'!A:E,5,0)</f>
        <v>Count</v>
      </c>
      <c r="P1449" s="11">
        <f>VLOOKUP(H1449,'RM Used'!A:F,6,0)</f>
        <v>0.14000000000000001</v>
      </c>
      <c r="Q1449" s="11">
        <f t="shared" si="427"/>
        <v>0.14000000000000001</v>
      </c>
      <c r="R1449" s="11" cm="1">
        <f t="array" ref="R1449">IFERROR(_xlfn.IFS(B1449="Reynolds",VLOOKUP(H1449,'Yield &amp; Time'!A:U,21,0),B1449="Dnata",VLOOKUP(H1449,'Yield &amp; Time'!A:L,12,0),B1449="NK",VLOOKUP(H1449,'Yield &amp; Time'!A:W,23,0)),0)</f>
        <v>0</v>
      </c>
      <c r="S1449" s="11">
        <f t="shared" si="419"/>
        <v>0</v>
      </c>
      <c r="T1449" s="11">
        <f t="shared" si="420"/>
        <v>0</v>
      </c>
      <c r="U1449" s="11">
        <f>IF(A1448=A1449,0,VLOOKUP(A1449,'Packing Time'!A:F,6,0))</f>
        <v>0</v>
      </c>
      <c r="V1449" s="11">
        <f t="shared" si="440"/>
        <v>0</v>
      </c>
      <c r="W1449" s="11">
        <f t="shared" si="441"/>
        <v>0</v>
      </c>
      <c r="X1449" s="11">
        <f t="shared" si="421"/>
        <v>0</v>
      </c>
      <c r="Y1449" s="11">
        <f t="shared" si="442"/>
        <v>0</v>
      </c>
      <c r="Z1449" s="37">
        <v>1</v>
      </c>
      <c r="AA1449" s="36">
        <f t="shared" si="422"/>
        <v>1</v>
      </c>
      <c r="AB1449" s="36">
        <f t="shared" si="423"/>
        <v>0.14000000000000001</v>
      </c>
      <c r="AC1449" s="11">
        <f t="shared" si="424"/>
        <v>0</v>
      </c>
      <c r="AD1449" s="36">
        <f t="shared" si="437"/>
        <v>0</v>
      </c>
      <c r="AE1449" s="36"/>
      <c r="AF1449" s="36">
        <f>IFERROR(VLOOKUP(AE1449,'Chemical Cost'!A:D,4,0),0)</f>
        <v>0</v>
      </c>
      <c r="AG1449" s="114">
        <f t="shared" si="425"/>
        <v>0</v>
      </c>
      <c r="AH1449" s="36">
        <f t="shared" si="438"/>
        <v>0</v>
      </c>
      <c r="AI1449" s="36">
        <f t="shared" si="443"/>
        <v>0.14000000000000001</v>
      </c>
      <c r="AJ1449" s="36">
        <f>IFERROR(VLOOKUP(A1449,'All Products'!A:F,6,0),0)</f>
        <v>5.0599999999999996</v>
      </c>
      <c r="AK1449" s="36"/>
      <c r="AL1449" s="23">
        <v>1</v>
      </c>
      <c r="AM1449" s="23"/>
      <c r="AN1449" s="54" t="e">
        <v>#N/A</v>
      </c>
      <c r="AP1449" s="4">
        <v>1.6</v>
      </c>
      <c r="AQ1449" s="111">
        <f t="shared" si="426"/>
        <v>0</v>
      </c>
      <c r="AR1449">
        <f>_xlfn.XLOOKUP(F1449,'RM Cost'!A:A,'RM Cost'!S:S)</f>
        <v>0</v>
      </c>
      <c r="AS1449" t="e">
        <f>_xlfn.XLOOKUP(A1449,[3]Sheet1!$B:$B,[3]Sheet1!$B:$B)</f>
        <v>#N/A</v>
      </c>
    </row>
    <row r="1450" spans="1:45" x14ac:dyDescent="0.25">
      <c r="A1450" s="1" t="s">
        <v>4374</v>
      </c>
      <c r="B1450" s="2" t="s">
        <v>552</v>
      </c>
      <c r="C1450" s="1" t="s">
        <v>185</v>
      </c>
      <c r="D1450" s="2" t="s">
        <v>554</v>
      </c>
      <c r="E1450" s="2">
        <v>2.5</v>
      </c>
      <c r="F1450" s="1" t="str">
        <f>VLOOKUP(H1450,'RM Used'!A:B,2,0)</f>
        <v>3566CS</v>
      </c>
      <c r="G1450" s="1" t="str">
        <f>IFERROR(VLOOKUP(F1450,'RM Cost'!A:B,2,0),"")</f>
        <v>PEPPERS RED X 5KG</v>
      </c>
      <c r="H1450" s="1" t="s">
        <v>1436</v>
      </c>
      <c r="I1450" s="1" t="str">
        <f>VLOOKUP(F1450,'RM Used'!B:D,3,0)</f>
        <v>RM-FOOD</v>
      </c>
      <c r="J1450" s="66">
        <v>1</v>
      </c>
      <c r="K1450" s="35">
        <f t="shared" si="444"/>
        <v>2.5</v>
      </c>
      <c r="L1450" s="35">
        <f t="shared" si="418"/>
        <v>2.5</v>
      </c>
      <c r="M1450" s="77" cm="1">
        <f t="array" ref="M1450">_xlfn.IFS(BOM!I1450="RM-PACKING","100%",B1450="Reynolds",VLOOKUP(H1450,'Yield &amp; Time'!A:V,22,0),BOM!B1450="Dnata",VLOOKUP(BOM!H1450,'Yield &amp; Time'!A:M,13,0),B1450="NK",VLOOKUP(H1450,'Yield &amp; Time'!A:X,24,0))</f>
        <v>0.69666418466120617</v>
      </c>
      <c r="N1450" s="35">
        <f t="shared" si="439"/>
        <v>3.5885295312199403</v>
      </c>
      <c r="O1450" s="1" t="str">
        <f>VLOOKUP(H1450,'RM Used'!A:E,5,0)</f>
        <v>KG</v>
      </c>
      <c r="P1450" s="11">
        <f>VLOOKUP(H1450,'RM Used'!A:F,6,0)</f>
        <v>1.72</v>
      </c>
      <c r="Q1450" s="11">
        <f t="shared" si="427"/>
        <v>6.1722707936982975</v>
      </c>
      <c r="R1450" s="11" cm="1">
        <f t="array" ref="R1450">IFERROR(_xlfn.IFS(B1450="Reynolds",VLOOKUP(H1450,'Yield &amp; Time'!A:U,21,0),B1450="Dnata",VLOOKUP(H1450,'Yield &amp; Time'!A:L,12,0),B1450="NK",VLOOKUP(H1450,'Yield &amp; Time'!A:W,23,0)),0)</f>
        <v>1.0310410921812989</v>
      </c>
      <c r="S1450" s="11">
        <f t="shared" si="419"/>
        <v>0.87251852425842413</v>
      </c>
      <c r="T1450" s="11">
        <f t="shared" si="420"/>
        <v>4.2960045507554126E-2</v>
      </c>
      <c r="U1450" s="11">
        <f>IF(A1449=A1450,0,VLOOKUP(A1450,'Packing Time'!A:F,6,0))</f>
        <v>0.875</v>
      </c>
      <c r="V1450" s="11">
        <f t="shared" si="440"/>
        <v>0.29618749999999999</v>
      </c>
      <c r="W1450" s="11">
        <f t="shared" si="441"/>
        <v>1.4583333333333334E-2</v>
      </c>
      <c r="X1450" s="11">
        <f t="shared" si="421"/>
        <v>1.8699296388134787</v>
      </c>
      <c r="Y1450" s="11">
        <f t="shared" si="442"/>
        <v>1.8699296388134787</v>
      </c>
      <c r="Z1450" s="37">
        <v>1</v>
      </c>
      <c r="AA1450" s="36">
        <f t="shared" si="422"/>
        <v>3.5885295312199403</v>
      </c>
      <c r="AB1450" s="36">
        <f t="shared" si="423"/>
        <v>6.1722707936982975</v>
      </c>
      <c r="AC1450" s="11">
        <f t="shared" si="424"/>
        <v>9.2069406145419933E-2</v>
      </c>
      <c r="AD1450" s="36">
        <f t="shared" si="437"/>
        <v>1.8699296388134787</v>
      </c>
      <c r="AE1450" s="36"/>
      <c r="AF1450" s="36">
        <f>IFERROR(VLOOKUP(AE1450,'Chemical Cost'!A:D,4,0),0)</f>
        <v>0</v>
      </c>
      <c r="AG1450" s="114">
        <f t="shared" si="425"/>
        <v>0</v>
      </c>
      <c r="AH1450" s="36">
        <f t="shared" si="438"/>
        <v>0</v>
      </c>
      <c r="AI1450" s="36">
        <f t="shared" si="443"/>
        <v>8.0422004325117769</v>
      </c>
      <c r="AJ1450" s="36">
        <f>IFERROR(VLOOKUP(A1450,'All Products'!A:F,6,0),0)</f>
        <v>15</v>
      </c>
      <c r="AK1450" s="36"/>
      <c r="AL1450" s="23">
        <v>1</v>
      </c>
      <c r="AM1450" s="23"/>
      <c r="AN1450" s="54" t="e">
        <v>#N/A</v>
      </c>
      <c r="AP1450" s="4">
        <v>1.6</v>
      </c>
      <c r="AQ1450" s="111">
        <f t="shared" si="426"/>
        <v>9.2069406145419933E-2</v>
      </c>
      <c r="AR1450">
        <f>_xlfn.XLOOKUP(F1450,'RM Cost'!A:A,'RM Cost'!S:S)</f>
        <v>0</v>
      </c>
      <c r="AS1450" t="e">
        <f>_xlfn.XLOOKUP(A1450,[3]Sheet1!$B:$B,[3]Sheet1!$B:$B)</f>
        <v>#N/A</v>
      </c>
    </row>
    <row r="1451" spans="1:45" x14ac:dyDescent="0.25">
      <c r="A1451" s="1" t="s">
        <v>4374</v>
      </c>
      <c r="B1451" s="2" t="s">
        <v>552</v>
      </c>
      <c r="C1451" s="1" t="s">
        <v>185</v>
      </c>
      <c r="D1451" s="2" t="s">
        <v>554</v>
      </c>
      <c r="E1451" s="2">
        <v>2.5</v>
      </c>
      <c r="F1451" s="1" t="str">
        <f>VLOOKUP(H1451,'RM Used'!A:B,2,0)</f>
        <v>P0008</v>
      </c>
      <c r="G1451" s="1" t="str">
        <f>IFERROR(VLOOKUP(F1451,'RM Cost'!A:B,2,0),"")</f>
        <v>PALE BLUE BAG 470X750MM</v>
      </c>
      <c r="H1451" s="1" t="s">
        <v>1323</v>
      </c>
      <c r="I1451" s="1" t="str">
        <f>VLOOKUP(F1451,'RM Used'!B:D,3,0)</f>
        <v>RM-PACKING</v>
      </c>
      <c r="J1451" s="66">
        <v>1</v>
      </c>
      <c r="K1451" s="35" t="str">
        <f t="shared" si="444"/>
        <v/>
      </c>
      <c r="L1451" s="35">
        <f t="shared" si="418"/>
        <v>0</v>
      </c>
      <c r="M1451" s="77" t="str" cm="1">
        <f t="array" ref="M1451">_xlfn.IFS(BOM!I1451="RM-PACKING","100%",B1451="Reynolds",VLOOKUP(H1451,'Yield &amp; Time'!A:V,22,0),BOM!B1451="Dnata",VLOOKUP(BOM!H1451,'Yield &amp; Time'!A:M,13,0),B1451="NK",VLOOKUP(H1451,'Yield &amp; Time'!A:X,24,0))</f>
        <v>100%</v>
      </c>
      <c r="N1451" s="35">
        <f t="shared" si="439"/>
        <v>1</v>
      </c>
      <c r="O1451" s="1" t="str">
        <f>VLOOKUP(H1451,'RM Used'!A:E,5,0)</f>
        <v>Count</v>
      </c>
      <c r="P1451" s="11">
        <f>VLOOKUP(H1451,'RM Used'!A:F,6,0)</f>
        <v>0.14000000000000001</v>
      </c>
      <c r="Q1451" s="11">
        <f t="shared" si="427"/>
        <v>0.14000000000000001</v>
      </c>
      <c r="R1451" s="11" cm="1">
        <f t="array" ref="R1451">IFERROR(_xlfn.IFS(B1451="Reynolds",VLOOKUP(H1451,'Yield &amp; Time'!A:U,21,0),B1451="Dnata",VLOOKUP(H1451,'Yield &amp; Time'!A:L,12,0),B1451="NK",VLOOKUP(H1451,'Yield &amp; Time'!A:W,23,0)),0)</f>
        <v>0</v>
      </c>
      <c r="S1451" s="11">
        <f t="shared" si="419"/>
        <v>0</v>
      </c>
      <c r="T1451" s="11">
        <f t="shared" si="420"/>
        <v>0</v>
      </c>
      <c r="U1451" s="11">
        <f>IF(A1450=A1451,0,VLOOKUP(A1451,'Packing Time'!A:F,6,0))</f>
        <v>0</v>
      </c>
      <c r="V1451" s="11">
        <f t="shared" si="440"/>
        <v>0</v>
      </c>
      <c r="W1451" s="11">
        <f t="shared" si="441"/>
        <v>0</v>
      </c>
      <c r="X1451" s="11">
        <f t="shared" si="421"/>
        <v>0</v>
      </c>
      <c r="Y1451" s="11">
        <f t="shared" si="442"/>
        <v>0</v>
      </c>
      <c r="Z1451" s="37">
        <v>1</v>
      </c>
      <c r="AA1451" s="36">
        <f t="shared" si="422"/>
        <v>1</v>
      </c>
      <c r="AB1451" s="36">
        <f t="shared" si="423"/>
        <v>0.14000000000000001</v>
      </c>
      <c r="AC1451" s="11">
        <f t="shared" si="424"/>
        <v>0</v>
      </c>
      <c r="AD1451" s="36">
        <f t="shared" si="437"/>
        <v>0</v>
      </c>
      <c r="AE1451" s="36"/>
      <c r="AF1451" s="36">
        <f>IFERROR(VLOOKUP(AE1451,'Chemical Cost'!A:D,4,0),0)</f>
        <v>0</v>
      </c>
      <c r="AG1451" s="114">
        <f t="shared" si="425"/>
        <v>0</v>
      </c>
      <c r="AH1451" s="36">
        <f t="shared" si="438"/>
        <v>0</v>
      </c>
      <c r="AI1451" s="36">
        <f t="shared" si="443"/>
        <v>0.14000000000000001</v>
      </c>
      <c r="AJ1451" s="36">
        <f>IFERROR(VLOOKUP(A1451,'All Products'!A:F,6,0),0)</f>
        <v>15</v>
      </c>
      <c r="AK1451" s="36"/>
      <c r="AL1451" s="23">
        <v>1</v>
      </c>
      <c r="AM1451" s="23"/>
      <c r="AN1451" s="54" t="e">
        <v>#N/A</v>
      </c>
      <c r="AP1451" s="4">
        <v>1.6</v>
      </c>
      <c r="AQ1451" s="111">
        <f t="shared" si="426"/>
        <v>0</v>
      </c>
      <c r="AR1451">
        <f>_xlfn.XLOOKUP(F1451,'RM Cost'!A:A,'RM Cost'!S:S)</f>
        <v>0</v>
      </c>
      <c r="AS1451" t="e">
        <f>_xlfn.XLOOKUP(A1451,[3]Sheet1!$B:$B,[3]Sheet1!$B:$B)</f>
        <v>#N/A</v>
      </c>
    </row>
    <row r="1452" spans="1:45" x14ac:dyDescent="0.25">
      <c r="A1452" s="1" t="s">
        <v>4374</v>
      </c>
      <c r="B1452" s="2" t="s">
        <v>552</v>
      </c>
      <c r="C1452" s="1" t="s">
        <v>185</v>
      </c>
      <c r="D1452" s="2" t="s">
        <v>554</v>
      </c>
      <c r="E1452" s="2">
        <v>2.5</v>
      </c>
      <c r="F1452" s="1" t="str">
        <f>VLOOKUP(H1452,'RM Used'!A:B,2,0)</f>
        <v>P0016</v>
      </c>
      <c r="G1452" s="1" t="str">
        <f>IFERROR(VLOOKUP(F1452,'RM Cost'!A:B,2,0),"")</f>
        <v>REY 40 30 BOX</v>
      </c>
      <c r="H1452" s="1" t="s">
        <v>1332</v>
      </c>
      <c r="I1452" s="1" t="str">
        <f>VLOOKUP(F1452,'RM Used'!B:D,3,0)</f>
        <v>RM-PACKING</v>
      </c>
      <c r="J1452" s="66">
        <v>1</v>
      </c>
      <c r="K1452" s="35" t="str">
        <f t="shared" si="444"/>
        <v/>
      </c>
      <c r="L1452" s="35">
        <f t="shared" si="418"/>
        <v>0</v>
      </c>
      <c r="M1452" s="77" t="str" cm="1">
        <f t="array" ref="M1452">_xlfn.IFS(BOM!I1452="RM-PACKING","100%",B1452="Reynolds",VLOOKUP(H1452,'Yield &amp; Time'!A:V,22,0),BOM!B1452="Dnata",VLOOKUP(BOM!H1452,'Yield &amp; Time'!A:M,13,0),B1452="NK",VLOOKUP(H1452,'Yield &amp; Time'!A:X,24,0))</f>
        <v>100%</v>
      </c>
      <c r="N1452" s="35">
        <f t="shared" si="439"/>
        <v>1</v>
      </c>
      <c r="O1452" s="1" t="str">
        <f>VLOOKUP(H1452,'RM Used'!A:E,5,0)</f>
        <v>Count</v>
      </c>
      <c r="P1452" s="11">
        <f>VLOOKUP(H1452,'RM Used'!A:F,6,0)</f>
        <v>0.28000000000000003</v>
      </c>
      <c r="Q1452" s="11">
        <f t="shared" si="427"/>
        <v>0.28000000000000003</v>
      </c>
      <c r="R1452" s="11" cm="1">
        <f t="array" ref="R1452">IFERROR(_xlfn.IFS(B1452="Reynolds",VLOOKUP(H1452,'Yield &amp; Time'!A:U,21,0),B1452="Dnata",VLOOKUP(H1452,'Yield &amp; Time'!A:L,12,0),B1452="NK",VLOOKUP(H1452,'Yield &amp; Time'!A:W,23,0)),0)</f>
        <v>0</v>
      </c>
      <c r="S1452" s="11">
        <f t="shared" si="419"/>
        <v>0</v>
      </c>
      <c r="T1452" s="11">
        <f t="shared" si="420"/>
        <v>0</v>
      </c>
      <c r="U1452" s="11">
        <f>IF(A1451=A1452,0,VLOOKUP(A1452,'Packing Time'!A:F,6,0))</f>
        <v>0</v>
      </c>
      <c r="V1452" s="11">
        <f t="shared" si="440"/>
        <v>0</v>
      </c>
      <c r="W1452" s="11">
        <f t="shared" si="441"/>
        <v>0</v>
      </c>
      <c r="X1452" s="11">
        <f t="shared" si="421"/>
        <v>0</v>
      </c>
      <c r="Y1452" s="11">
        <f t="shared" si="442"/>
        <v>0</v>
      </c>
      <c r="Z1452" s="37">
        <v>1</v>
      </c>
      <c r="AA1452" s="36">
        <f t="shared" si="422"/>
        <v>1</v>
      </c>
      <c r="AB1452" s="36">
        <f t="shared" si="423"/>
        <v>0.28000000000000003</v>
      </c>
      <c r="AC1452" s="11">
        <f t="shared" si="424"/>
        <v>0</v>
      </c>
      <c r="AD1452" s="36">
        <f t="shared" si="437"/>
        <v>0</v>
      </c>
      <c r="AE1452" s="36"/>
      <c r="AF1452" s="36">
        <f>IFERROR(VLOOKUP(AE1452,'Chemical Cost'!A:D,4,0),0)</f>
        <v>0</v>
      </c>
      <c r="AG1452" s="114">
        <f t="shared" si="425"/>
        <v>0</v>
      </c>
      <c r="AH1452" s="36">
        <f t="shared" si="438"/>
        <v>0</v>
      </c>
      <c r="AI1452" s="36">
        <f t="shared" si="443"/>
        <v>0.28000000000000003</v>
      </c>
      <c r="AJ1452" s="36">
        <f>IFERROR(VLOOKUP(A1452,'All Products'!A:F,6,0),0)</f>
        <v>15</v>
      </c>
      <c r="AK1452" s="36"/>
      <c r="AL1452" s="23">
        <v>1</v>
      </c>
      <c r="AM1452" s="23"/>
      <c r="AN1452" s="54" t="e">
        <v>#N/A</v>
      </c>
      <c r="AP1452" s="4">
        <v>1.6</v>
      </c>
      <c r="AQ1452" s="111">
        <f t="shared" si="426"/>
        <v>0</v>
      </c>
      <c r="AR1452">
        <f>_xlfn.XLOOKUP(F1452,'RM Cost'!A:A,'RM Cost'!S:S)</f>
        <v>0</v>
      </c>
      <c r="AS1452" t="e">
        <f>_xlfn.XLOOKUP(A1452,[3]Sheet1!$B:$B,[3]Sheet1!$B:$B)</f>
        <v>#N/A</v>
      </c>
    </row>
    <row r="1453" spans="1:45" x14ac:dyDescent="0.25">
      <c r="A1453" s="1" t="s">
        <v>4376</v>
      </c>
      <c r="B1453" s="2" t="s">
        <v>4377</v>
      </c>
      <c r="C1453" s="1" t="s">
        <v>4378</v>
      </c>
      <c r="D1453" s="2" t="s">
        <v>554</v>
      </c>
      <c r="E1453" s="2">
        <v>1</v>
      </c>
      <c r="F1453" s="1" t="str">
        <f>VLOOKUP(H1453,'RM Used'!A:B,2,0)</f>
        <v>3566CS</v>
      </c>
      <c r="G1453" s="1" t="str">
        <f>IFERROR(VLOOKUP(F1453,'RM Cost'!A:B,2,0),"")</f>
        <v>PEPPERS RED X 5KG</v>
      </c>
      <c r="H1453" s="1" t="s">
        <v>1411</v>
      </c>
      <c r="I1453" s="1" t="str">
        <f>VLOOKUP(F1453,'RM Used'!B:D,3,0)</f>
        <v>RM-FOOD</v>
      </c>
      <c r="J1453" s="66">
        <v>1</v>
      </c>
      <c r="K1453" s="35">
        <f t="shared" si="444"/>
        <v>1</v>
      </c>
      <c r="L1453" s="35">
        <f t="shared" si="418"/>
        <v>1</v>
      </c>
      <c r="M1453" s="77" cm="1">
        <f t="array" ref="M1453">_xlfn.IFS(BOM!I1453="RM-PACKING","100%",B1453="Reynolds",VLOOKUP(H1453,'Yield &amp; Time'!A:V,22,0),BOM!B1453="Dnata",VLOOKUP(BOM!H1453,'Yield &amp; Time'!A:M,13,0),B1453="NK",VLOOKUP(H1453,'Yield &amp; Time'!A:X,24,0))</f>
        <v>0.44</v>
      </c>
      <c r="N1453" s="35">
        <f t="shared" si="439"/>
        <v>2.2727272727272729</v>
      </c>
      <c r="O1453" s="1" t="s">
        <v>554</v>
      </c>
      <c r="P1453" s="11">
        <f>VLOOKUP(H1453,'RM Used'!A:F,6,0)</f>
        <v>1.72</v>
      </c>
      <c r="Q1453" s="11">
        <f t="shared" si="427"/>
        <v>3.9090909090909092</v>
      </c>
      <c r="R1453" s="11" cm="1">
        <f t="array" ref="R1453">IFERROR(_xlfn.IFS(B1453="Reynolds",VLOOKUP(H1453,'Yield &amp; Time'!A:U,21,0),B1453="Dnata",VLOOKUP(H1453,'Yield &amp; Time'!A:L,12,0),B1453="NK",VLOOKUP(H1453,'Yield &amp; Time'!A:W,23,0)),0)</f>
        <v>6</v>
      </c>
      <c r="S1453" s="11">
        <f t="shared" si="419"/>
        <v>2.0309999999999997</v>
      </c>
      <c r="T1453" s="11">
        <f t="shared" si="420"/>
        <v>0.1</v>
      </c>
      <c r="U1453" s="11">
        <f>IF(A1452=A1453,0,VLOOKUP(A1453,'Packing Time'!A:F,6,0))</f>
        <v>0.64500000000000002</v>
      </c>
      <c r="V1453" s="11">
        <f t="shared" si="440"/>
        <v>0.21833249999999998</v>
      </c>
      <c r="W1453" s="11">
        <f t="shared" si="441"/>
        <v>1.0750000000000001E-2</v>
      </c>
      <c r="X1453" s="11">
        <f t="shared" si="421"/>
        <v>3.5989319999999996</v>
      </c>
      <c r="Y1453" s="11">
        <f t="shared" si="442"/>
        <v>3.5989319999999996</v>
      </c>
      <c r="Z1453" s="37">
        <v>1</v>
      </c>
      <c r="AA1453" s="36">
        <f t="shared" si="422"/>
        <v>2.2727272727272729</v>
      </c>
      <c r="AB1453" s="11">
        <f t="shared" si="423"/>
        <v>3.9090909090909092</v>
      </c>
      <c r="AC1453" s="11">
        <f t="shared" si="424"/>
        <v>0.1772</v>
      </c>
      <c r="AD1453" s="36">
        <f t="shared" si="437"/>
        <v>3.5989319999999996</v>
      </c>
      <c r="AE1453" s="36"/>
      <c r="AF1453" s="36">
        <f>IFERROR(VLOOKUP(AE1453,'Chemical Cost'!A:D,4,0),0)</f>
        <v>0</v>
      </c>
      <c r="AG1453" s="114">
        <f t="shared" si="425"/>
        <v>0</v>
      </c>
      <c r="AH1453" s="36">
        <f t="shared" si="438"/>
        <v>0</v>
      </c>
      <c r="AI1453" s="36">
        <f t="shared" si="443"/>
        <v>7.5080229090909087</v>
      </c>
      <c r="AJ1453" s="36">
        <f>IFERROR(VLOOKUP(A1453,'All Products'!A:F,6,0),0)</f>
        <v>8.5</v>
      </c>
      <c r="AK1453" s="36"/>
      <c r="AL1453" s="23">
        <v>1</v>
      </c>
      <c r="AM1453" s="23"/>
      <c r="AN1453" s="54" t="e">
        <v>#N/A</v>
      </c>
      <c r="AP1453" s="4">
        <v>1.6</v>
      </c>
      <c r="AQ1453" s="111">
        <f t="shared" si="426"/>
        <v>0.1772</v>
      </c>
      <c r="AR1453">
        <f>_xlfn.XLOOKUP(F1453,'RM Cost'!A:A,'RM Cost'!S:S)</f>
        <v>0</v>
      </c>
      <c r="AS1453" t="e">
        <f>_xlfn.XLOOKUP(A1453,[3]Sheet1!$B:$B,[3]Sheet1!$B:$B)</f>
        <v>#N/A</v>
      </c>
    </row>
    <row r="1454" spans="1:45" x14ac:dyDescent="0.25">
      <c r="A1454" s="1" t="s">
        <v>4376</v>
      </c>
      <c r="B1454" s="1" t="s">
        <v>4377</v>
      </c>
      <c r="C1454" s="1" t="s">
        <v>4378</v>
      </c>
      <c r="D1454" s="1" t="s">
        <v>554</v>
      </c>
      <c r="E1454" s="2">
        <v>1</v>
      </c>
      <c r="F1454" s="1" t="str">
        <f>VLOOKUP(H1454,'RM Used'!A:B,2,0)</f>
        <v>P0008</v>
      </c>
      <c r="G1454" s="1" t="str">
        <f>IFERROR(VLOOKUP(F1454,'RM Cost'!A:B,2,0),"")</f>
        <v>PALE BLUE BAG 470X750MM</v>
      </c>
      <c r="H1454" s="1" t="s">
        <v>1323</v>
      </c>
      <c r="I1454" s="1" t="str">
        <f>VLOOKUP(F1454,'RM Used'!B:D,3,0)</f>
        <v>RM-PACKING</v>
      </c>
      <c r="J1454" s="66">
        <v>1</v>
      </c>
      <c r="K1454" s="35" t="str">
        <f t="shared" si="444"/>
        <v/>
      </c>
      <c r="L1454" s="35">
        <f t="shared" si="418"/>
        <v>0</v>
      </c>
      <c r="M1454" s="77" t="str" cm="1">
        <f t="array" ref="M1454">_xlfn.IFS(BOM!I1454="RM-PACKING","100%",B1454="Reynolds",VLOOKUP(H1454,'Yield &amp; Time'!A:V,22,0),BOM!B1454="Dnata",VLOOKUP(BOM!H1454,'Yield &amp; Time'!A:M,13,0),B1454="NK",VLOOKUP(H1454,'Yield &amp; Time'!A:X,24,0))</f>
        <v>100%</v>
      </c>
      <c r="N1454" s="35">
        <f t="shared" si="439"/>
        <v>1</v>
      </c>
      <c r="O1454" s="1" t="str">
        <f>VLOOKUP(H1454,'RM Used'!A:E,5,0)</f>
        <v>Count</v>
      </c>
      <c r="P1454" s="11">
        <f>VLOOKUP(H1454,'RM Used'!A:F,6,0)</f>
        <v>0.14000000000000001</v>
      </c>
      <c r="Q1454" s="11">
        <f t="shared" si="427"/>
        <v>0.14000000000000001</v>
      </c>
      <c r="R1454" s="11" cm="1">
        <f t="array" ref="R1454">IFERROR(_xlfn.IFS(B1454="Reynolds",VLOOKUP(H1454,'Yield &amp; Time'!A:U,21,0),B1454="Dnata",VLOOKUP(H1454,'Yield &amp; Time'!A:L,12,0),B1454="NK",VLOOKUP(H1454,'Yield &amp; Time'!A:W,23,0)),0)</f>
        <v>0</v>
      </c>
      <c r="S1454" s="11">
        <f t="shared" si="419"/>
        <v>0</v>
      </c>
      <c r="T1454" s="11">
        <f t="shared" si="420"/>
        <v>0</v>
      </c>
      <c r="U1454" s="11">
        <f>IF(A1453=A1454,0,VLOOKUP(A1454,'Packing Time'!A:F,6,0))</f>
        <v>0</v>
      </c>
      <c r="V1454" s="11">
        <f t="shared" si="440"/>
        <v>0</v>
      </c>
      <c r="W1454" s="11">
        <f t="shared" si="441"/>
        <v>0</v>
      </c>
      <c r="X1454" s="11">
        <f t="shared" si="421"/>
        <v>0</v>
      </c>
      <c r="Y1454" s="11">
        <f t="shared" si="442"/>
        <v>0</v>
      </c>
      <c r="Z1454" s="37">
        <v>1</v>
      </c>
      <c r="AA1454" s="36">
        <f t="shared" si="422"/>
        <v>1</v>
      </c>
      <c r="AB1454" s="11">
        <f t="shared" si="423"/>
        <v>0.14000000000000001</v>
      </c>
      <c r="AC1454" s="11">
        <f t="shared" si="424"/>
        <v>0</v>
      </c>
      <c r="AD1454" s="36">
        <f t="shared" si="437"/>
        <v>0</v>
      </c>
      <c r="AE1454" s="36"/>
      <c r="AF1454" s="36">
        <f>IFERROR(VLOOKUP(AE1454,'Chemical Cost'!A:D,4,0),0)</f>
        <v>0</v>
      </c>
      <c r="AG1454" s="114">
        <f t="shared" si="425"/>
        <v>0</v>
      </c>
      <c r="AH1454" s="36">
        <f t="shared" si="438"/>
        <v>0</v>
      </c>
      <c r="AI1454" s="36">
        <f t="shared" si="443"/>
        <v>0.14000000000000001</v>
      </c>
      <c r="AJ1454" s="36">
        <f>IFERROR(VLOOKUP(A1454,'All Products'!A:F,6,0),0)</f>
        <v>8.5</v>
      </c>
      <c r="AK1454" s="36"/>
      <c r="AL1454" s="23">
        <v>1</v>
      </c>
      <c r="AM1454" s="23"/>
      <c r="AN1454" s="54" t="e">
        <v>#N/A</v>
      </c>
      <c r="AP1454" s="4">
        <v>1.6</v>
      </c>
      <c r="AQ1454" s="111">
        <f t="shared" si="426"/>
        <v>0</v>
      </c>
      <c r="AR1454">
        <f>_xlfn.XLOOKUP(F1454,'RM Cost'!A:A,'RM Cost'!S:S)</f>
        <v>0</v>
      </c>
      <c r="AS1454" t="e">
        <f>_xlfn.XLOOKUP(A1454,[3]Sheet1!$B:$B,[3]Sheet1!$B:$B)</f>
        <v>#N/A</v>
      </c>
    </row>
    <row r="1455" spans="1:45" x14ac:dyDescent="0.25">
      <c r="A1455" s="1" t="s">
        <v>4379</v>
      </c>
      <c r="B1455" s="2" t="s">
        <v>4377</v>
      </c>
      <c r="C1455" s="1" t="s">
        <v>4430</v>
      </c>
      <c r="D1455" s="2" t="s">
        <v>554</v>
      </c>
      <c r="E1455" s="2">
        <v>1</v>
      </c>
      <c r="F1455" s="1" t="str">
        <f>VLOOKUP(H1455,'RM Used'!A:B,2,0)</f>
        <v>3565CS</v>
      </c>
      <c r="G1455" s="1" t="str">
        <f>IFERROR(VLOOKUP(F1455,'RM Cost'!A:B,2,0),"")</f>
        <v>RM - PEPPERS GREEN  X 5KG</v>
      </c>
      <c r="H1455" s="1" t="s">
        <v>1398</v>
      </c>
      <c r="I1455" s="1" t="str">
        <f>VLOOKUP(F1455,'RM Used'!B:D,3,0)</f>
        <v>RM-FOOD</v>
      </c>
      <c r="J1455" s="66">
        <v>0.33</v>
      </c>
      <c r="K1455" s="35">
        <f t="shared" si="444"/>
        <v>0.33</v>
      </c>
      <c r="L1455" s="35">
        <f t="shared" si="418"/>
        <v>0.33</v>
      </c>
      <c r="M1455" s="77" cm="1">
        <f t="array" ref="M1455">_xlfn.IFS(BOM!I1455="RM-PACKING","100%",B1455="Reynolds",VLOOKUP(H1455,'Yield &amp; Time'!A:V,22,0),BOM!B1455="Dnata",VLOOKUP(BOM!H1455,'Yield &amp; Time'!A:M,13,0),B1455="NK",VLOOKUP(H1455,'Yield &amp; Time'!A:X,24,0))</f>
        <v>0.45454545454545459</v>
      </c>
      <c r="N1455" s="35">
        <f t="shared" si="439"/>
        <v>0.72599999999999998</v>
      </c>
      <c r="O1455" s="1" t="str">
        <f>VLOOKUP(H1455,'RM Used'!A:E,5,0)</f>
        <v>KG</v>
      </c>
      <c r="P1455" s="11">
        <f>VLOOKUP(H1455,'RM Used'!A:F,6,0)</f>
        <v>1.76</v>
      </c>
      <c r="Q1455" s="11">
        <f t="shared" si="427"/>
        <v>1.27776</v>
      </c>
      <c r="R1455" s="11" cm="1">
        <f t="array" ref="R1455">IFERROR(_xlfn.IFS(B1455="Reynolds",VLOOKUP(H1455,'Yield &amp; Time'!A:U,21,0),B1455="Dnata",VLOOKUP(H1455,'Yield &amp; Time'!A:L,12,0),B1455="NK",VLOOKUP(H1455,'Yield &amp; Time'!A:W,23,0)),0)</f>
        <v>6.75</v>
      </c>
      <c r="S1455" s="11">
        <f t="shared" si="419"/>
        <v>0.75400874999999989</v>
      </c>
      <c r="T1455" s="11">
        <f t="shared" si="420"/>
        <v>3.7124999999999998E-2</v>
      </c>
      <c r="U1455" s="11">
        <f>IF(A1454=A1455,0,VLOOKUP(A1455,'Packing Time'!A:F,6,0))</f>
        <v>0.64500000000000002</v>
      </c>
      <c r="V1455" s="11">
        <f t="shared" ref="V1455:V1518" si="445">U1455*AO$1</f>
        <v>0.21833249999999998</v>
      </c>
      <c r="W1455" s="11">
        <f t="shared" ref="W1455:W1518" si="446">(U1455*Z1455)/60</f>
        <v>1.0750000000000001E-2</v>
      </c>
      <c r="X1455" s="11">
        <f t="shared" si="421"/>
        <v>1.3612777499999997</v>
      </c>
      <c r="Y1455" s="11">
        <f t="shared" ref="Y1455:Y1518" si="447">X1455*Z1455</f>
        <v>1.3612777499999997</v>
      </c>
      <c r="Z1455" s="37">
        <v>1</v>
      </c>
      <c r="AA1455" s="36">
        <f t="shared" si="422"/>
        <v>0.72599999999999998</v>
      </c>
      <c r="AB1455" s="11">
        <f t="shared" si="423"/>
        <v>1.27776</v>
      </c>
      <c r="AC1455" s="11">
        <f t="shared" si="424"/>
        <v>6.7025000000000001E-2</v>
      </c>
      <c r="AD1455" s="36">
        <f t="shared" ref="AD1455:AD1518" si="448">AC1455*60*AO$1</f>
        <v>1.3612777499999997</v>
      </c>
      <c r="AE1455" s="36"/>
      <c r="AF1455" s="36">
        <f>IFERROR(VLOOKUP(AE1455,'Chemical Cost'!A:D,4,0),0)</f>
        <v>0</v>
      </c>
      <c r="AG1455" s="114">
        <f t="shared" si="425"/>
        <v>0</v>
      </c>
      <c r="AH1455" s="36">
        <f t="shared" si="438"/>
        <v>0</v>
      </c>
      <c r="AI1455" s="36">
        <f t="shared" si="443"/>
        <v>2.63903775</v>
      </c>
      <c r="AJ1455" s="36">
        <f>IFERROR(VLOOKUP(A1455,'All Products'!A:F,6,0),0)</f>
        <v>8.5</v>
      </c>
      <c r="AK1455" s="36"/>
      <c r="AL1455" s="23">
        <v>1</v>
      </c>
      <c r="AM1455" s="23"/>
      <c r="AN1455" s="54" t="e">
        <v>#N/A</v>
      </c>
      <c r="AP1455" s="4">
        <v>1.4</v>
      </c>
      <c r="AQ1455" s="111">
        <f t="shared" si="426"/>
        <v>6.7025000000000001E-2</v>
      </c>
      <c r="AR1455">
        <f>_xlfn.XLOOKUP(F1455,'RM Cost'!A:A,'RM Cost'!S:S)</f>
        <v>0</v>
      </c>
      <c r="AS1455" t="e">
        <f>_xlfn.XLOOKUP(A1455,[3]Sheet1!$B:$B,[3]Sheet1!$B:$B)</f>
        <v>#N/A</v>
      </c>
    </row>
    <row r="1456" spans="1:45" x14ac:dyDescent="0.25">
      <c r="A1456" s="1" t="s">
        <v>4379</v>
      </c>
      <c r="B1456" s="2" t="s">
        <v>4377</v>
      </c>
      <c r="C1456" s="1" t="s">
        <v>4430</v>
      </c>
      <c r="D1456" s="2" t="s">
        <v>554</v>
      </c>
      <c r="E1456" s="2">
        <v>1</v>
      </c>
      <c r="F1456" s="1" t="str">
        <f>VLOOKUP(H1456,'RM Used'!A:B,2,0)</f>
        <v>3566CS</v>
      </c>
      <c r="G1456" s="1" t="str">
        <f>IFERROR(VLOOKUP(F1456,'RM Cost'!A:B,2,0),"")</f>
        <v>PEPPERS RED X 5KG</v>
      </c>
      <c r="H1456" s="1" t="s">
        <v>1397</v>
      </c>
      <c r="I1456" s="1" t="str">
        <f>VLOOKUP(F1456,'RM Used'!B:D,3,0)</f>
        <v>RM-FOOD</v>
      </c>
      <c r="J1456" s="66">
        <v>0.34</v>
      </c>
      <c r="K1456" s="35">
        <f t="shared" si="444"/>
        <v>0.34</v>
      </c>
      <c r="L1456" s="35">
        <f t="shared" si="418"/>
        <v>0.34</v>
      </c>
      <c r="M1456" s="77" cm="1">
        <f t="array" ref="M1456">_xlfn.IFS(BOM!I1456="RM-PACKING","100%",B1456="Reynolds",VLOOKUP(H1456,'Yield &amp; Time'!A:V,22,0),BOM!B1456="Dnata",VLOOKUP(BOM!H1456,'Yield &amp; Time'!A:M,13,0),B1456="NK",VLOOKUP(H1456,'Yield &amp; Time'!A:X,24,0))</f>
        <v>0.45454545454545459</v>
      </c>
      <c r="N1456" s="35">
        <f t="shared" si="439"/>
        <v>0.748</v>
      </c>
      <c r="O1456" s="1" t="str">
        <f>VLOOKUP(H1456,'RM Used'!A:E,5,0)</f>
        <v>KG</v>
      </c>
      <c r="P1456" s="11">
        <f>VLOOKUP(H1456,'RM Used'!A:F,6,0)</f>
        <v>1.72</v>
      </c>
      <c r="Q1456" s="11">
        <f t="shared" si="427"/>
        <v>1.2865599999999999</v>
      </c>
      <c r="R1456" s="11" cm="1">
        <f t="array" ref="R1456">IFERROR(_xlfn.IFS(B1456="Reynolds",VLOOKUP(H1456,'Yield &amp; Time'!A:U,21,0),B1456="Dnata",VLOOKUP(H1456,'Yield &amp; Time'!A:L,12,0),B1456="NK",VLOOKUP(H1456,'Yield &amp; Time'!A:W,23,0)),0)</f>
        <v>6.75</v>
      </c>
      <c r="S1456" s="11">
        <f t="shared" si="419"/>
        <v>0.77685750000000009</v>
      </c>
      <c r="T1456" s="11">
        <f t="shared" si="420"/>
        <v>3.8250000000000006E-2</v>
      </c>
      <c r="U1456" s="11">
        <f>IF(A1455=A1456,0,VLOOKUP(A1456,'Packing Time'!A:F,6,0))</f>
        <v>0</v>
      </c>
      <c r="V1456" s="11">
        <f t="shared" si="445"/>
        <v>0</v>
      </c>
      <c r="W1456" s="11">
        <f t="shared" si="446"/>
        <v>0</v>
      </c>
      <c r="X1456" s="11">
        <f t="shared" si="421"/>
        <v>1.0876005</v>
      </c>
      <c r="Y1456" s="11">
        <f t="shared" si="447"/>
        <v>1.0876005</v>
      </c>
      <c r="Z1456" s="37">
        <v>1</v>
      </c>
      <c r="AA1456" s="36">
        <f t="shared" si="422"/>
        <v>0.748</v>
      </c>
      <c r="AB1456" s="11">
        <f t="shared" si="423"/>
        <v>1.2865599999999999</v>
      </c>
      <c r="AC1456" s="11">
        <f t="shared" si="424"/>
        <v>5.3550000000000007E-2</v>
      </c>
      <c r="AD1456" s="36">
        <f t="shared" si="448"/>
        <v>1.0876005</v>
      </c>
      <c r="AE1456" s="36"/>
      <c r="AF1456" s="36">
        <f>IFERROR(VLOOKUP(AE1456,'Chemical Cost'!A:D,4,0),0)</f>
        <v>0</v>
      </c>
      <c r="AG1456" s="114">
        <f t="shared" si="425"/>
        <v>0</v>
      </c>
      <c r="AH1456" s="36">
        <f t="shared" si="438"/>
        <v>0</v>
      </c>
      <c r="AI1456" s="36">
        <f t="shared" si="443"/>
        <v>2.3741604999999999</v>
      </c>
      <c r="AJ1456" s="36">
        <f>IFERROR(VLOOKUP(A1456,'All Products'!A:F,6,0),0)</f>
        <v>8.5</v>
      </c>
      <c r="AK1456" s="36"/>
      <c r="AL1456" s="23">
        <v>1</v>
      </c>
      <c r="AM1456" s="23"/>
      <c r="AN1456" s="54" t="e">
        <v>#N/A</v>
      </c>
      <c r="AP1456" s="4">
        <v>1.4</v>
      </c>
      <c r="AQ1456" s="111">
        <f t="shared" si="426"/>
        <v>5.3550000000000007E-2</v>
      </c>
      <c r="AR1456">
        <f>_xlfn.XLOOKUP(F1456,'RM Cost'!A:A,'RM Cost'!S:S)</f>
        <v>0</v>
      </c>
      <c r="AS1456" t="e">
        <f>_xlfn.XLOOKUP(A1456,[3]Sheet1!$B:$B,[3]Sheet1!$B:$B)</f>
        <v>#N/A</v>
      </c>
    </row>
    <row r="1457" spans="1:46" x14ac:dyDescent="0.25">
      <c r="A1457" s="1" t="s">
        <v>4379</v>
      </c>
      <c r="B1457" s="2" t="s">
        <v>4377</v>
      </c>
      <c r="C1457" s="1" t="s">
        <v>4430</v>
      </c>
      <c r="D1457" s="2" t="s">
        <v>554</v>
      </c>
      <c r="E1457" s="2">
        <v>1</v>
      </c>
      <c r="F1457" s="1" t="str">
        <f>VLOOKUP(H1457,'RM Used'!A:B,2,0)</f>
        <v>3567CS</v>
      </c>
      <c r="G1457" s="1" t="str">
        <f>IFERROR(VLOOKUP(F1457,'RM Cost'!A:B,2,0),"")</f>
        <v>RM - PEPPERS YELLOW  X 5KG</v>
      </c>
      <c r="H1457" s="1" t="s">
        <v>1399</v>
      </c>
      <c r="I1457" s="1" t="str">
        <f>VLOOKUP(F1457,'RM Used'!B:D,3,0)</f>
        <v>RM-FOOD</v>
      </c>
      <c r="J1457" s="66">
        <v>0.33</v>
      </c>
      <c r="K1457" s="35">
        <f t="shared" si="444"/>
        <v>0.33</v>
      </c>
      <c r="L1457" s="35">
        <f t="shared" si="418"/>
        <v>0.33</v>
      </c>
      <c r="M1457" s="77" cm="1">
        <f t="array" ref="M1457">_xlfn.IFS(BOM!I1457="RM-PACKING","100%",B1457="Reynolds",VLOOKUP(H1457,'Yield &amp; Time'!A:V,22,0),BOM!B1457="Dnata",VLOOKUP(BOM!H1457,'Yield &amp; Time'!A:M,13,0),B1457="NK",VLOOKUP(H1457,'Yield &amp; Time'!A:X,24,0))</f>
        <v>0.45454545454545459</v>
      </c>
      <c r="N1457" s="35">
        <f t="shared" si="439"/>
        <v>0.72599999999999998</v>
      </c>
      <c r="O1457" s="1" t="str">
        <f>VLOOKUP(H1457,'RM Used'!A:E,5,0)</f>
        <v>KG</v>
      </c>
      <c r="P1457" s="11">
        <f>VLOOKUP(H1457,'RM Used'!A:F,6,0)</f>
        <v>1.68</v>
      </c>
      <c r="Q1457" s="11">
        <f t="shared" si="427"/>
        <v>1.2196799999999999</v>
      </c>
      <c r="R1457" s="11" cm="1">
        <f t="array" ref="R1457">IFERROR(_xlfn.IFS(B1457="Reynolds",VLOOKUP(H1457,'Yield &amp; Time'!A:U,21,0),B1457="Dnata",VLOOKUP(H1457,'Yield &amp; Time'!A:L,12,0),B1457="NK",VLOOKUP(H1457,'Yield &amp; Time'!A:W,23,0)),0)</f>
        <v>6.75</v>
      </c>
      <c r="S1457" s="11">
        <f t="shared" si="419"/>
        <v>0.75400874999999989</v>
      </c>
      <c r="T1457" s="11">
        <f t="shared" si="420"/>
        <v>3.7124999999999998E-2</v>
      </c>
      <c r="U1457" s="11">
        <f>IF(A1456=A1457,0,VLOOKUP(A1457,'Packing Time'!A:F,6,0))</f>
        <v>0</v>
      </c>
      <c r="V1457" s="11">
        <f t="shared" si="445"/>
        <v>0</v>
      </c>
      <c r="W1457" s="11">
        <f t="shared" si="446"/>
        <v>0</v>
      </c>
      <c r="X1457" s="11">
        <f t="shared" si="421"/>
        <v>1.0556122499999998</v>
      </c>
      <c r="Y1457" s="11">
        <f t="shared" si="447"/>
        <v>1.0556122499999998</v>
      </c>
      <c r="Z1457" s="37">
        <v>1</v>
      </c>
      <c r="AA1457" s="36">
        <f t="shared" si="422"/>
        <v>0.72599999999999998</v>
      </c>
      <c r="AB1457" s="11">
        <f t="shared" si="423"/>
        <v>1.2196799999999999</v>
      </c>
      <c r="AC1457" s="11">
        <f t="shared" si="424"/>
        <v>5.1974999999999993E-2</v>
      </c>
      <c r="AD1457" s="36">
        <f t="shared" si="448"/>
        <v>1.0556122499999998</v>
      </c>
      <c r="AE1457" s="36"/>
      <c r="AF1457" s="36">
        <f>IFERROR(VLOOKUP(AE1457,'Chemical Cost'!A:D,4,0),0)</f>
        <v>0</v>
      </c>
      <c r="AG1457" s="114">
        <f t="shared" si="425"/>
        <v>0</v>
      </c>
      <c r="AH1457" s="36">
        <f t="shared" si="438"/>
        <v>0</v>
      </c>
      <c r="AI1457" s="36">
        <f t="shared" si="443"/>
        <v>2.2752922499999997</v>
      </c>
      <c r="AJ1457" s="36">
        <f>IFERROR(VLOOKUP(A1457,'All Products'!A:F,6,0),0)</f>
        <v>8.5</v>
      </c>
      <c r="AK1457" s="36"/>
      <c r="AL1457" s="23">
        <v>1</v>
      </c>
      <c r="AM1457" s="23"/>
      <c r="AN1457" s="54" t="e">
        <v>#N/A</v>
      </c>
      <c r="AP1457" s="4">
        <v>1.4</v>
      </c>
      <c r="AQ1457" s="111">
        <f t="shared" si="426"/>
        <v>5.1974999999999993E-2</v>
      </c>
      <c r="AR1457">
        <f>_xlfn.XLOOKUP(F1457,'RM Cost'!A:A,'RM Cost'!S:S)</f>
        <v>0</v>
      </c>
      <c r="AS1457" t="e">
        <f>_xlfn.XLOOKUP(A1457,[3]Sheet1!$B:$B,[3]Sheet1!$B:$B)</f>
        <v>#N/A</v>
      </c>
    </row>
    <row r="1458" spans="1:46" x14ac:dyDescent="0.25">
      <c r="A1458" s="1" t="s">
        <v>4379</v>
      </c>
      <c r="B1458" s="1" t="s">
        <v>4377</v>
      </c>
      <c r="C1458" s="1" t="s">
        <v>4430</v>
      </c>
      <c r="D1458" s="1" t="s">
        <v>554</v>
      </c>
      <c r="E1458" s="2">
        <v>1</v>
      </c>
      <c r="F1458" s="1" t="str">
        <f>VLOOKUP(H1458,'RM Used'!A:B,2,0)</f>
        <v>P0008</v>
      </c>
      <c r="G1458" s="1" t="str">
        <f>IFERROR(VLOOKUP(F1458,'RM Cost'!A:B,2,0),"")</f>
        <v>PALE BLUE BAG 470X750MM</v>
      </c>
      <c r="H1458" s="1" t="s">
        <v>1323</v>
      </c>
      <c r="I1458" s="1" t="str">
        <f>VLOOKUP(F1458,'RM Used'!B:D,3,0)</f>
        <v>RM-PACKING</v>
      </c>
      <c r="J1458" s="66">
        <v>1</v>
      </c>
      <c r="K1458" s="35" t="str">
        <f t="shared" si="444"/>
        <v/>
      </c>
      <c r="L1458" s="35">
        <f t="shared" si="418"/>
        <v>0</v>
      </c>
      <c r="M1458" s="77" t="str" cm="1">
        <f t="array" ref="M1458">_xlfn.IFS(BOM!I1458="RM-PACKING","100%",B1458="Reynolds",VLOOKUP(H1458,'Yield &amp; Time'!A:V,22,0),BOM!B1458="Dnata",VLOOKUP(BOM!H1458,'Yield &amp; Time'!A:M,13,0),B1458="NK",VLOOKUP(H1458,'Yield &amp; Time'!A:X,24,0))</f>
        <v>100%</v>
      </c>
      <c r="N1458" s="35">
        <f t="shared" si="439"/>
        <v>1</v>
      </c>
      <c r="O1458" s="1" t="str">
        <f>VLOOKUP(H1458,'RM Used'!A:E,5,0)</f>
        <v>Count</v>
      </c>
      <c r="P1458" s="11">
        <f>VLOOKUP(H1458,'RM Used'!A:F,6,0)</f>
        <v>0.14000000000000001</v>
      </c>
      <c r="Q1458" s="11">
        <f t="shared" si="427"/>
        <v>0.14000000000000001</v>
      </c>
      <c r="R1458" s="11" cm="1">
        <f t="array" ref="R1458">IFERROR(_xlfn.IFS(B1458="Reynolds",VLOOKUP(H1458,'Yield &amp; Time'!A:U,21,0),B1458="Dnata",VLOOKUP(H1458,'Yield &amp; Time'!A:L,12,0),B1458="NK",VLOOKUP(H1458,'Yield &amp; Time'!A:W,23,0)),0)</f>
        <v>0</v>
      </c>
      <c r="S1458" s="11">
        <f t="shared" si="419"/>
        <v>0</v>
      </c>
      <c r="T1458" s="11">
        <f t="shared" si="420"/>
        <v>0</v>
      </c>
      <c r="U1458" s="11">
        <f>IF(A1457=A1458,0,VLOOKUP(A1458,'Packing Time'!A:F,6,0))</f>
        <v>0</v>
      </c>
      <c r="V1458" s="11">
        <f t="shared" si="445"/>
        <v>0</v>
      </c>
      <c r="W1458" s="11">
        <f t="shared" si="446"/>
        <v>0</v>
      </c>
      <c r="X1458" s="11">
        <f t="shared" si="421"/>
        <v>0</v>
      </c>
      <c r="Y1458" s="11">
        <f t="shared" si="447"/>
        <v>0</v>
      </c>
      <c r="Z1458" s="37">
        <v>1</v>
      </c>
      <c r="AA1458" s="36">
        <f t="shared" si="422"/>
        <v>1</v>
      </c>
      <c r="AB1458" s="11">
        <f t="shared" si="423"/>
        <v>0.14000000000000001</v>
      </c>
      <c r="AC1458" s="11">
        <f t="shared" si="424"/>
        <v>0</v>
      </c>
      <c r="AD1458" s="36">
        <f t="shared" si="448"/>
        <v>0</v>
      </c>
      <c r="AE1458" s="36"/>
      <c r="AF1458" s="36">
        <f>IFERROR(VLOOKUP(AE1458,'Chemical Cost'!A:D,4,0),0)</f>
        <v>0</v>
      </c>
      <c r="AG1458" s="114">
        <f t="shared" si="425"/>
        <v>0</v>
      </c>
      <c r="AH1458" s="36">
        <f t="shared" si="438"/>
        <v>0</v>
      </c>
      <c r="AI1458" s="36">
        <f t="shared" si="443"/>
        <v>0.14000000000000001</v>
      </c>
      <c r="AJ1458" s="36">
        <f>IFERROR(VLOOKUP(A1458,'All Products'!A:F,6,0),0)</f>
        <v>8.5</v>
      </c>
      <c r="AK1458" s="36"/>
      <c r="AL1458" s="23">
        <v>1</v>
      </c>
      <c r="AM1458" s="23"/>
      <c r="AN1458" s="54" t="e">
        <v>#N/A</v>
      </c>
      <c r="AP1458" s="4">
        <v>1.4</v>
      </c>
      <c r="AQ1458" s="111">
        <f t="shared" si="426"/>
        <v>0</v>
      </c>
      <c r="AR1458">
        <f>_xlfn.XLOOKUP(F1458,'RM Cost'!A:A,'RM Cost'!S:S)</f>
        <v>0</v>
      </c>
      <c r="AS1458" t="e">
        <f>_xlfn.XLOOKUP(A1458,[3]Sheet1!$B:$B,[3]Sheet1!$B:$B)</f>
        <v>#N/A</v>
      </c>
    </row>
    <row r="1459" spans="1:46" x14ac:dyDescent="0.25">
      <c r="A1459" s="1" t="s">
        <v>4380</v>
      </c>
      <c r="B1459" s="2" t="s">
        <v>4377</v>
      </c>
      <c r="C1459" s="1" t="s">
        <v>4431</v>
      </c>
      <c r="D1459" s="2" t="s">
        <v>554</v>
      </c>
      <c r="E1459" s="2">
        <v>1</v>
      </c>
      <c r="F1459" s="1" t="str">
        <f>VLOOKUP(H1459,'RM Used'!A:B,2,0)</f>
        <v>3242CS</v>
      </c>
      <c r="G1459" s="1" t="str">
        <f>IFERROR(VLOOKUP(F1459,'RM Cost'!A:B,2,0),"")</f>
        <v>RM - SWEET POTATOES ORANGE FLESH 6K</v>
      </c>
      <c r="H1459" s="1" t="s">
        <v>4475</v>
      </c>
      <c r="I1459" s="1" t="str">
        <f>VLOOKUP(F1459,'RM Used'!B:D,3,0)</f>
        <v>RM-FOOD</v>
      </c>
      <c r="J1459" s="66">
        <v>1</v>
      </c>
      <c r="K1459" s="35">
        <f t="shared" si="444"/>
        <v>1</v>
      </c>
      <c r="L1459" s="35">
        <f t="shared" si="418"/>
        <v>1</v>
      </c>
      <c r="M1459" s="77" cm="1">
        <f t="array" ref="M1459">_xlfn.IFS(BOM!I1459="RM-PACKING","100%",B1459="Reynolds",VLOOKUP(H1459,'Yield &amp; Time'!A:V,22,0),BOM!B1459="Dnata",VLOOKUP(BOM!H1459,'Yield &amp; Time'!A:M,13,0),B1459="NK",VLOOKUP(H1459,'Yield &amp; Time'!A:X,24,0))</f>
        <v>0.83410565338276188</v>
      </c>
      <c r="N1459" s="35">
        <f t="shared" si="439"/>
        <v>1.1988888888888889</v>
      </c>
      <c r="O1459" s="1" t="str">
        <f>VLOOKUP(H1459,'RM Used'!A:E,5,0)</f>
        <v>KG</v>
      </c>
      <c r="P1459" s="11">
        <f>VLOOKUP(H1459,'RM Used'!A:F,6,0)</f>
        <v>0.88</v>
      </c>
      <c r="Q1459" s="11">
        <f t="shared" si="427"/>
        <v>1.0550222222222223</v>
      </c>
      <c r="R1459" s="11" cm="1">
        <f t="array" ref="R1459">IFERROR(_xlfn.IFS(B1459="Reynolds",VLOOKUP(H1459,'Yield &amp; Time'!A:U,21,0),B1459="Dnata",VLOOKUP(H1459,'Yield &amp; Time'!A:L,12,0),B1459="NK",VLOOKUP(H1459,'Yield &amp; Time'!A:W,23,0)),0)</f>
        <v>1.86</v>
      </c>
      <c r="S1459" s="11">
        <f t="shared" si="419"/>
        <v>0.62961</v>
      </c>
      <c r="T1459" s="11">
        <f t="shared" si="420"/>
        <v>3.1000000000000003E-2</v>
      </c>
      <c r="U1459" s="11">
        <f>IF(A1458=A1459,0,VLOOKUP(A1459,'Packing Time'!A:F,6,0))</f>
        <v>0.64500000000000002</v>
      </c>
      <c r="V1459" s="11">
        <f t="shared" si="445"/>
        <v>0.21833249999999998</v>
      </c>
      <c r="W1459" s="11">
        <f t="shared" si="446"/>
        <v>1.0750000000000001E-2</v>
      </c>
      <c r="X1459" s="11">
        <f t="shared" si="421"/>
        <v>1.0599281249999999</v>
      </c>
      <c r="Y1459" s="11">
        <f t="shared" si="447"/>
        <v>1.0599281249999999</v>
      </c>
      <c r="Z1459" s="37">
        <v>1</v>
      </c>
      <c r="AA1459" s="36">
        <f t="shared" si="422"/>
        <v>1.1988888888888889</v>
      </c>
      <c r="AB1459" s="11">
        <f t="shared" si="423"/>
        <v>1.0550222222222223</v>
      </c>
      <c r="AC1459" s="11">
        <f t="shared" si="424"/>
        <v>5.2187499999999998E-2</v>
      </c>
      <c r="AD1459" s="36">
        <f t="shared" si="448"/>
        <v>1.0599281249999999</v>
      </c>
      <c r="AE1459" s="36"/>
      <c r="AF1459" s="36">
        <f>IFERROR(VLOOKUP(AE1459,'Chemical Cost'!A:D,4,0),0)</f>
        <v>0</v>
      </c>
      <c r="AG1459" s="114">
        <f t="shared" si="425"/>
        <v>0</v>
      </c>
      <c r="AH1459" s="36">
        <f t="shared" si="438"/>
        <v>0</v>
      </c>
      <c r="AI1459" s="36">
        <f t="shared" si="443"/>
        <v>2.114950347222222</v>
      </c>
      <c r="AJ1459" s="36">
        <f>IFERROR(VLOOKUP(A1459,'All Products'!A:F,6,0),0)</f>
        <v>4.96</v>
      </c>
      <c r="AK1459" s="36"/>
      <c r="AL1459" s="23">
        <v>1</v>
      </c>
      <c r="AM1459" s="23"/>
      <c r="AN1459" s="54" t="e">
        <v>#N/A</v>
      </c>
      <c r="AP1459" s="4">
        <v>1.25</v>
      </c>
      <c r="AQ1459" s="111">
        <f t="shared" si="426"/>
        <v>5.2187499999999998E-2</v>
      </c>
      <c r="AR1459">
        <f>_xlfn.XLOOKUP(F1459,'RM Cost'!A:A,'RM Cost'!S:S)</f>
        <v>0</v>
      </c>
      <c r="AS1459" t="e">
        <f>_xlfn.XLOOKUP(A1459,[3]Sheet1!$B:$B,[3]Sheet1!$B:$B)</f>
        <v>#N/A</v>
      </c>
    </row>
    <row r="1460" spans="1:46" x14ac:dyDescent="0.25">
      <c r="A1460" s="1" t="s">
        <v>4380</v>
      </c>
      <c r="B1460" s="1" t="s">
        <v>4377</v>
      </c>
      <c r="C1460" s="1" t="s">
        <v>4431</v>
      </c>
      <c r="D1460" s="1" t="s">
        <v>554</v>
      </c>
      <c r="E1460" s="2">
        <v>1</v>
      </c>
      <c r="F1460" s="1" t="str">
        <f>VLOOKUP(H1460,'RM Used'!A:B,2,0)</f>
        <v>P0008</v>
      </c>
      <c r="G1460" s="1" t="str">
        <f>IFERROR(VLOOKUP(F1460,'RM Cost'!A:B,2,0),"")</f>
        <v>PALE BLUE BAG 470X750MM</v>
      </c>
      <c r="H1460" s="1" t="s">
        <v>1323</v>
      </c>
      <c r="I1460" s="1" t="str">
        <f>VLOOKUP(F1460,'RM Used'!B:D,3,0)</f>
        <v>RM-PACKING</v>
      </c>
      <c r="J1460" s="66">
        <v>1</v>
      </c>
      <c r="K1460" s="35" t="str">
        <f t="shared" si="444"/>
        <v/>
      </c>
      <c r="L1460" s="35">
        <f t="shared" si="418"/>
        <v>0</v>
      </c>
      <c r="M1460" s="77" t="str" cm="1">
        <f t="array" ref="M1460">_xlfn.IFS(BOM!I1460="RM-PACKING","100%",B1460="Reynolds",VLOOKUP(H1460,'Yield &amp; Time'!A:V,22,0),BOM!B1460="Dnata",VLOOKUP(BOM!H1460,'Yield &amp; Time'!A:M,13,0),B1460="NK",VLOOKUP(H1460,'Yield &amp; Time'!A:X,24,0))</f>
        <v>100%</v>
      </c>
      <c r="N1460" s="35">
        <f t="shared" si="439"/>
        <v>1</v>
      </c>
      <c r="O1460" s="1" t="str">
        <f>VLOOKUP(H1460,'RM Used'!A:E,5,0)</f>
        <v>Count</v>
      </c>
      <c r="P1460" s="11">
        <f>VLOOKUP(H1460,'RM Used'!A:F,6,0)</f>
        <v>0.14000000000000001</v>
      </c>
      <c r="Q1460" s="11">
        <f t="shared" si="427"/>
        <v>0.14000000000000001</v>
      </c>
      <c r="R1460" s="11" cm="1">
        <f t="array" ref="R1460">IFERROR(_xlfn.IFS(B1460="Reynolds",VLOOKUP(H1460,'Yield &amp; Time'!A:U,21,0),B1460="Dnata",VLOOKUP(H1460,'Yield &amp; Time'!A:L,12,0),B1460="NK",VLOOKUP(H1460,'Yield &amp; Time'!A:W,23,0)),0)</f>
        <v>0</v>
      </c>
      <c r="S1460" s="11">
        <f t="shared" si="419"/>
        <v>0</v>
      </c>
      <c r="T1460" s="11">
        <f t="shared" si="420"/>
        <v>0</v>
      </c>
      <c r="U1460" s="11">
        <f>IF(A1459=A1460,0,VLOOKUP(A1460,'Packing Time'!A:F,6,0))</f>
        <v>0</v>
      </c>
      <c r="V1460" s="11">
        <f t="shared" si="445"/>
        <v>0</v>
      </c>
      <c r="W1460" s="11">
        <f t="shared" si="446"/>
        <v>0</v>
      </c>
      <c r="X1460" s="11">
        <f t="shared" si="421"/>
        <v>0</v>
      </c>
      <c r="Y1460" s="11">
        <f t="shared" si="447"/>
        <v>0</v>
      </c>
      <c r="Z1460" s="37">
        <v>1</v>
      </c>
      <c r="AA1460" s="36">
        <f t="shared" si="422"/>
        <v>1</v>
      </c>
      <c r="AB1460" s="11">
        <f t="shared" si="423"/>
        <v>0.14000000000000001</v>
      </c>
      <c r="AC1460" s="11">
        <f t="shared" si="424"/>
        <v>0</v>
      </c>
      <c r="AD1460" s="36">
        <f t="shared" si="448"/>
        <v>0</v>
      </c>
      <c r="AE1460" s="36"/>
      <c r="AF1460" s="36">
        <f>IFERROR(VLOOKUP(AE1460,'Chemical Cost'!A:D,4,0),0)</f>
        <v>0</v>
      </c>
      <c r="AG1460" s="114">
        <f t="shared" si="425"/>
        <v>0</v>
      </c>
      <c r="AH1460" s="36">
        <f t="shared" si="438"/>
        <v>0</v>
      </c>
      <c r="AI1460" s="36">
        <f t="shared" si="443"/>
        <v>0.14000000000000001</v>
      </c>
      <c r="AJ1460" s="36">
        <f>IFERROR(VLOOKUP(A1460,'All Products'!A:F,6,0),0)</f>
        <v>4.96</v>
      </c>
      <c r="AK1460" s="36"/>
      <c r="AL1460" s="23">
        <v>1</v>
      </c>
      <c r="AM1460" s="23"/>
      <c r="AN1460" s="54" t="e">
        <v>#N/A</v>
      </c>
      <c r="AP1460" s="4">
        <v>1.25</v>
      </c>
      <c r="AQ1460" s="111">
        <f t="shared" si="426"/>
        <v>0</v>
      </c>
      <c r="AR1460">
        <f>_xlfn.XLOOKUP(F1460,'RM Cost'!A:A,'RM Cost'!S:S)</f>
        <v>0</v>
      </c>
      <c r="AS1460" t="e">
        <f>_xlfn.XLOOKUP(A1460,[3]Sheet1!$B:$B,[3]Sheet1!$B:$B)</f>
        <v>#N/A</v>
      </c>
    </row>
    <row r="1461" spans="1:46" x14ac:dyDescent="0.25">
      <c r="A1461" s="1" t="s">
        <v>4381</v>
      </c>
      <c r="B1461" s="2" t="s">
        <v>4377</v>
      </c>
      <c r="C1461" s="1" t="s">
        <v>4518</v>
      </c>
      <c r="D1461" s="2" t="s">
        <v>554</v>
      </c>
      <c r="E1461" s="2">
        <v>0.4</v>
      </c>
      <c r="F1461" s="1" t="str">
        <f>VLOOKUP(H1461,'RM Used'!A:B,2,0)</f>
        <v>2789CS</v>
      </c>
      <c r="G1461" s="1" t="str">
        <f>IFERROR(VLOOKUP(F1461,'RM Cost'!A:B,2,0),"")</f>
        <v>RM - PINEAPPLE X 6</v>
      </c>
      <c r="H1461" s="1" t="s">
        <v>1388</v>
      </c>
      <c r="I1461" s="1" t="str">
        <f>VLOOKUP(F1461,'RM Used'!B:D,3,0)</f>
        <v>RM-FOOD</v>
      </c>
      <c r="J1461" s="66">
        <v>1</v>
      </c>
      <c r="K1461" s="35">
        <f t="shared" si="444"/>
        <v>0.4</v>
      </c>
      <c r="L1461" s="35">
        <f t="shared" si="418"/>
        <v>0.4</v>
      </c>
      <c r="M1461" s="77" cm="1">
        <f t="array" ref="M1461">_xlfn.IFS(BOM!I1461="RM-PACKING","100%",B1461="Reynolds",VLOOKUP(H1461,'Yield &amp; Time'!A:V,22,0),BOM!B1461="Dnata",VLOOKUP(BOM!H1461,'Yield &amp; Time'!A:M,13,0),B1461="NK",VLOOKUP(H1461,'Yield &amp; Time'!A:X,24,0))</f>
        <v>0.3143631436314363</v>
      </c>
      <c r="N1461" s="35">
        <f t="shared" si="439"/>
        <v>1.2724137931034485</v>
      </c>
      <c r="O1461" s="1" t="str">
        <f>VLOOKUP(H1461,'RM Used'!A:E,5,0)</f>
        <v>KG</v>
      </c>
      <c r="P1461" s="11">
        <f>VLOOKUP(H1461,'RM Used'!A:F,6,0)</f>
        <v>0.7</v>
      </c>
      <c r="Q1461" s="11">
        <f t="shared" si="427"/>
        <v>0.89068965517241383</v>
      </c>
      <c r="R1461" s="11" cm="1">
        <f t="array" ref="R1461">IFERROR(_xlfn.IFS(B1461="Reynolds",VLOOKUP(H1461,'Yield &amp; Time'!A:U,21,0),B1461="Dnata",VLOOKUP(H1461,'Yield &amp; Time'!A:L,12,0),B1461="NK",VLOOKUP(H1461,'Yield &amp; Time'!A:W,23,0)),0)</f>
        <v>1.58</v>
      </c>
      <c r="S1461" s="11">
        <f t="shared" si="419"/>
        <v>0.21393200000000001</v>
      </c>
      <c r="T1461" s="11">
        <f t="shared" si="420"/>
        <v>1.0533333333333336E-2</v>
      </c>
      <c r="U1461" s="11">
        <f>IF(A1460=A1461,0,VLOOKUP(A1461,'Packing Time'!A:F,6,0))</f>
        <v>0.45</v>
      </c>
      <c r="V1461" s="11">
        <f t="shared" si="445"/>
        <v>0.15232499999999999</v>
      </c>
      <c r="W1461" s="11">
        <f t="shared" si="446"/>
        <v>7.5000000000000006E-3</v>
      </c>
      <c r="X1461" s="11">
        <f t="shared" si="421"/>
        <v>0.51275979999999999</v>
      </c>
      <c r="Y1461" s="11">
        <f t="shared" si="447"/>
        <v>0.51275979999999999</v>
      </c>
      <c r="Z1461" s="37">
        <v>1</v>
      </c>
      <c r="AA1461" s="36">
        <f t="shared" si="422"/>
        <v>1.2724137931034485</v>
      </c>
      <c r="AB1461" s="11">
        <f t="shared" si="423"/>
        <v>0.89068965517241383</v>
      </c>
      <c r="AC1461" s="11">
        <f t="shared" si="424"/>
        <v>2.5246666666666667E-2</v>
      </c>
      <c r="AD1461" s="36">
        <f t="shared" si="448"/>
        <v>0.51275979999999999</v>
      </c>
      <c r="AE1461" s="36"/>
      <c r="AF1461" s="36">
        <f>IFERROR(VLOOKUP(AE1461,'Chemical Cost'!A:D,4,0),0)</f>
        <v>0</v>
      </c>
      <c r="AG1461" s="114">
        <f t="shared" si="425"/>
        <v>0</v>
      </c>
      <c r="AH1461" s="36">
        <f t="shared" si="438"/>
        <v>0</v>
      </c>
      <c r="AI1461" s="36">
        <f t="shared" si="443"/>
        <v>1.4034494551724137</v>
      </c>
      <c r="AJ1461" s="36">
        <f>IFERROR(VLOOKUP(A1461,'All Products'!A:F,6,0),0)</f>
        <v>4.4000000000000004</v>
      </c>
      <c r="AK1461" s="36"/>
      <c r="AL1461" s="23"/>
      <c r="AM1461" s="23"/>
      <c r="AN1461" s="54" t="e">
        <v>#N/A</v>
      </c>
      <c r="AP1461" s="4">
        <v>1.4</v>
      </c>
      <c r="AQ1461" s="111">
        <f t="shared" si="426"/>
        <v>2.5246666666666667E-2</v>
      </c>
      <c r="AR1461">
        <f>_xlfn.XLOOKUP(F1461,'RM Cost'!A:A,'RM Cost'!S:S)</f>
        <v>0</v>
      </c>
      <c r="AS1461" t="e">
        <f>_xlfn.XLOOKUP(A1461,[3]Sheet1!$B:$B,[3]Sheet1!$B:$B)</f>
        <v>#N/A</v>
      </c>
    </row>
    <row r="1462" spans="1:46" x14ac:dyDescent="0.25">
      <c r="A1462" s="1" t="s">
        <v>4381</v>
      </c>
      <c r="B1462" s="1" t="s">
        <v>4377</v>
      </c>
      <c r="C1462" s="1" t="s">
        <v>4518</v>
      </c>
      <c r="D1462" s="1" t="s">
        <v>554</v>
      </c>
      <c r="E1462" s="2">
        <v>0.4</v>
      </c>
      <c r="F1462" s="1" t="str">
        <f>VLOOKUP(H1462,'RM Used'!A:B,2,0)</f>
        <v>P0021</v>
      </c>
      <c r="G1462" s="1" t="str">
        <f>IFERROR(VLOOKUP(F1462,'RM Cost'!A:B,2,0),"")</f>
        <v>1000ML RECT TAMPER EVID POTS &amp; LIDS</v>
      </c>
      <c r="H1462" s="1" t="s">
        <v>4505</v>
      </c>
      <c r="I1462" s="1" t="str">
        <f>VLOOKUP(F1462,'RM Used'!B:D,3,0)</f>
        <v>RM-PACKING</v>
      </c>
      <c r="J1462" s="66">
        <v>1</v>
      </c>
      <c r="K1462" s="35" t="str">
        <f t="shared" si="444"/>
        <v/>
      </c>
      <c r="L1462" s="35">
        <f t="shared" si="418"/>
        <v>0</v>
      </c>
      <c r="M1462" s="77" t="str" cm="1">
        <f t="array" ref="M1462">_xlfn.IFS(BOM!I1462="RM-PACKING","100%",B1462="Reynolds",VLOOKUP(H1462,'Yield &amp; Time'!A:V,22,0),BOM!B1462="Dnata",VLOOKUP(BOM!H1462,'Yield &amp; Time'!A:M,13,0),B1462="NK",VLOOKUP(H1462,'Yield &amp; Time'!A:X,24,0))</f>
        <v>100%</v>
      </c>
      <c r="N1462" s="35">
        <f t="shared" si="439"/>
        <v>1</v>
      </c>
      <c r="O1462" s="1" t="str">
        <f>VLOOKUP(H1462,'RM Used'!A:E,5,0)</f>
        <v>Count</v>
      </c>
      <c r="P1462" s="11">
        <f>VLOOKUP(H1462,'RM Used'!A:F,6,0)</f>
        <v>0.4</v>
      </c>
      <c r="Q1462" s="11">
        <f t="shared" si="427"/>
        <v>0.4</v>
      </c>
      <c r="R1462" s="11" cm="1">
        <f t="array" ref="R1462">IFERROR(_xlfn.IFS(B1462="Reynolds",VLOOKUP(H1462,'Yield &amp; Time'!A:U,21,0),B1462="Dnata",VLOOKUP(H1462,'Yield &amp; Time'!A:L,12,0),B1462="NK",VLOOKUP(H1462,'Yield &amp; Time'!A:W,23,0)),0)</f>
        <v>0</v>
      </c>
      <c r="S1462" s="11">
        <f t="shared" si="419"/>
        <v>0</v>
      </c>
      <c r="T1462" s="11">
        <f t="shared" si="420"/>
        <v>0</v>
      </c>
      <c r="U1462" s="11">
        <f>IF(A1461=A1462,0,VLOOKUP(A1462,'Packing Time'!A:F,6,0))</f>
        <v>0</v>
      </c>
      <c r="V1462" s="11">
        <f t="shared" si="445"/>
        <v>0</v>
      </c>
      <c r="W1462" s="11">
        <f t="shared" si="446"/>
        <v>0</v>
      </c>
      <c r="X1462" s="11">
        <f t="shared" si="421"/>
        <v>0</v>
      </c>
      <c r="Y1462" s="11">
        <f t="shared" si="447"/>
        <v>0</v>
      </c>
      <c r="Z1462" s="37">
        <v>1</v>
      </c>
      <c r="AA1462" s="36">
        <f t="shared" si="422"/>
        <v>1</v>
      </c>
      <c r="AB1462" s="11">
        <f t="shared" si="423"/>
        <v>0.4</v>
      </c>
      <c r="AC1462" s="11">
        <f t="shared" si="424"/>
        <v>0</v>
      </c>
      <c r="AD1462" s="36">
        <f t="shared" si="448"/>
        <v>0</v>
      </c>
      <c r="AE1462" s="36"/>
      <c r="AF1462" s="36">
        <f>IFERROR(VLOOKUP(AE1462,'Chemical Cost'!A:D,4,0),0)</f>
        <v>0</v>
      </c>
      <c r="AG1462" s="114">
        <f t="shared" si="425"/>
        <v>0</v>
      </c>
      <c r="AH1462" s="36">
        <f t="shared" si="438"/>
        <v>0</v>
      </c>
      <c r="AI1462" s="36">
        <f t="shared" si="443"/>
        <v>0.4</v>
      </c>
      <c r="AJ1462" s="36">
        <f>IFERROR(VLOOKUP(A1462,'All Products'!A:F,6,0),0)</f>
        <v>4.4000000000000004</v>
      </c>
      <c r="AK1462" s="36"/>
      <c r="AL1462" s="23"/>
      <c r="AM1462" s="23"/>
      <c r="AN1462" s="54" t="e">
        <v>#N/A</v>
      </c>
      <c r="AP1462" s="4">
        <v>1.4</v>
      </c>
      <c r="AQ1462" s="111">
        <f t="shared" si="426"/>
        <v>0</v>
      </c>
      <c r="AR1462">
        <f>_xlfn.XLOOKUP(F1462,'RM Cost'!A:A,'RM Cost'!S:S)</f>
        <v>0</v>
      </c>
      <c r="AS1462" t="e">
        <f>_xlfn.XLOOKUP(A1462,[3]Sheet1!$B:$B,[3]Sheet1!$B:$B)</f>
        <v>#N/A</v>
      </c>
    </row>
    <row r="1463" spans="1:46" x14ac:dyDescent="0.25">
      <c r="A1463" s="1" t="s">
        <v>4382</v>
      </c>
      <c r="B1463" s="2" t="s">
        <v>4377</v>
      </c>
      <c r="C1463" s="1" t="s">
        <v>4524</v>
      </c>
      <c r="D1463" s="2" t="s">
        <v>554</v>
      </c>
      <c r="E1463" s="2">
        <v>2.5</v>
      </c>
      <c r="F1463" s="1" t="str">
        <f>VLOOKUP(H1463,'RM Used'!A:B,2,0)</f>
        <v>3273CS</v>
      </c>
      <c r="G1463" s="1" t="str">
        <f>IFERROR(VLOOKUP(F1463,'RM Cost'!A:B,2,0),"")</f>
        <v>RM - MARIS PIPER 25KG</v>
      </c>
      <c r="H1463" s="1" t="s">
        <v>4793</v>
      </c>
      <c r="I1463" s="1" t="str">
        <f>VLOOKUP(F1463,'RM Used'!B:D,3,0)</f>
        <v>RM-FOOD</v>
      </c>
      <c r="J1463" s="66">
        <v>1</v>
      </c>
      <c r="K1463" s="35">
        <f t="shared" si="444"/>
        <v>2.5</v>
      </c>
      <c r="L1463" s="35">
        <f t="shared" si="418"/>
        <v>2.5</v>
      </c>
      <c r="M1463" s="77" cm="1">
        <f t="array" ref="M1463">_xlfn.IFS(BOM!I1463="RM-PACKING","100%",B1463="Reynolds",VLOOKUP(H1463,'Yield &amp; Time'!A:V,22,0),BOM!B1463="Dnata",VLOOKUP(BOM!H1463,'Yield &amp; Time'!A:M,13,0),B1463="NK",VLOOKUP(H1463,'Yield &amp; Time'!A:X,24,0))</f>
        <v>0.75</v>
      </c>
      <c r="N1463" s="35">
        <f t="shared" si="439"/>
        <v>3.3333333333333335</v>
      </c>
      <c r="O1463" s="1" t="str">
        <f>VLOOKUP(H1463,'RM Used'!A:E,5,0)</f>
        <v>KG</v>
      </c>
      <c r="P1463" s="11">
        <f>VLOOKUP(H1463,'RM Used'!A:F,6,0)</f>
        <v>0.43</v>
      </c>
      <c r="Q1463" s="11">
        <f t="shared" si="427"/>
        <v>1.4333333333333333</v>
      </c>
      <c r="R1463" s="11" cm="1">
        <f t="array" ref="R1463">IFERROR(_xlfn.IFS(B1463="Reynolds",VLOOKUP(H1463,'Yield &amp; Time'!A:U,21,0),B1463="Dnata",VLOOKUP(H1463,'Yield &amp; Time'!A:L,12,0),B1463="NK",VLOOKUP(H1463,'Yield &amp; Time'!A:W,23,0)),0)</f>
        <v>1.9</v>
      </c>
      <c r="S1463" s="11">
        <f t="shared" si="419"/>
        <v>1.6078749999999999</v>
      </c>
      <c r="T1463" s="11">
        <f t="shared" si="420"/>
        <v>7.9166666666666663E-2</v>
      </c>
      <c r="U1463" s="11">
        <f>IF(A1462=A1463,0,VLOOKUP(A1463,'Packing Time'!A:F,6,0))</f>
        <v>0.64500000000000002</v>
      </c>
      <c r="V1463" s="11">
        <f t="shared" si="445"/>
        <v>0.21833249999999998</v>
      </c>
      <c r="W1463" s="11">
        <f t="shared" si="446"/>
        <v>1.0750000000000001E-2</v>
      </c>
      <c r="X1463" s="11">
        <f t="shared" si="421"/>
        <v>2.0088282500000001</v>
      </c>
      <c r="Y1463" s="11">
        <f t="shared" si="447"/>
        <v>2.0088282500000001</v>
      </c>
      <c r="Z1463" s="37">
        <v>1</v>
      </c>
      <c r="AA1463" s="36">
        <f t="shared" si="422"/>
        <v>3.3333333333333335</v>
      </c>
      <c r="AB1463" s="11">
        <f t="shared" si="423"/>
        <v>1.4333333333333333</v>
      </c>
      <c r="AC1463" s="11">
        <f t="shared" si="424"/>
        <v>9.8908333333333334E-2</v>
      </c>
      <c r="AD1463" s="36">
        <f t="shared" si="448"/>
        <v>2.0088282499999996</v>
      </c>
      <c r="AE1463" s="36"/>
      <c r="AF1463" s="36">
        <f>IFERROR(VLOOKUP(AE1463,'Chemical Cost'!A:D,4,0),0)</f>
        <v>0</v>
      </c>
      <c r="AG1463" s="114">
        <f t="shared" si="425"/>
        <v>0</v>
      </c>
      <c r="AH1463" s="36">
        <f t="shared" si="438"/>
        <v>0</v>
      </c>
      <c r="AI1463" s="36">
        <f t="shared" si="443"/>
        <v>3.4421615833333332</v>
      </c>
      <c r="AJ1463" s="36">
        <f>IFERROR(VLOOKUP(A1463,'All Products'!A:F,6,0),0)</f>
        <v>4.92</v>
      </c>
      <c r="AK1463" s="36"/>
      <c r="AL1463" s="23">
        <v>1</v>
      </c>
      <c r="AM1463" s="1"/>
      <c r="AN1463" s="54" t="e">
        <v>#N/A</v>
      </c>
      <c r="AP1463" s="4">
        <v>1.1000000000000001</v>
      </c>
      <c r="AQ1463" s="111">
        <f t="shared" si="426"/>
        <v>9.8908333333333334E-2</v>
      </c>
      <c r="AR1463">
        <f>_xlfn.XLOOKUP(F1463,'RM Cost'!A:A,'RM Cost'!S:S)</f>
        <v>0</v>
      </c>
      <c r="AS1463" t="e">
        <f>_xlfn.XLOOKUP(A1463,[3]Sheet1!$B:$B,[3]Sheet1!$B:$B)</f>
        <v>#N/A</v>
      </c>
    </row>
    <row r="1464" spans="1:46" x14ac:dyDescent="0.25">
      <c r="A1464" s="1" t="s">
        <v>4382</v>
      </c>
      <c r="B1464" s="1" t="s">
        <v>4377</v>
      </c>
      <c r="C1464" s="1" t="s">
        <v>4524</v>
      </c>
      <c r="D1464" s="1" t="s">
        <v>554</v>
      </c>
      <c r="E1464" s="2">
        <v>2.5</v>
      </c>
      <c r="F1464" s="1" t="str">
        <f>VLOOKUP(H1464,'RM Used'!A:B,2,0)</f>
        <v>P0008</v>
      </c>
      <c r="G1464" s="1" t="str">
        <f>IFERROR(VLOOKUP(F1464,'RM Cost'!A:B,2,0),"")</f>
        <v>PALE BLUE BAG 470X750MM</v>
      </c>
      <c r="H1464" s="1" t="s">
        <v>1323</v>
      </c>
      <c r="I1464" s="1" t="str">
        <f>VLOOKUP(F1464,'RM Used'!B:D,3,0)</f>
        <v>RM-PACKING</v>
      </c>
      <c r="J1464" s="66">
        <v>1</v>
      </c>
      <c r="K1464" s="35" t="str">
        <f t="shared" si="444"/>
        <v/>
      </c>
      <c r="L1464" s="35">
        <f t="shared" si="418"/>
        <v>0</v>
      </c>
      <c r="M1464" s="77" t="str" cm="1">
        <f t="array" ref="M1464">_xlfn.IFS(BOM!I1464="RM-PACKING","100%",B1464="Reynolds",VLOOKUP(H1464,'Yield &amp; Time'!A:V,22,0),BOM!B1464="Dnata",VLOOKUP(BOM!H1464,'Yield &amp; Time'!A:M,13,0),B1464="NK",VLOOKUP(H1464,'Yield &amp; Time'!A:X,24,0))</f>
        <v>100%</v>
      </c>
      <c r="N1464" s="35">
        <f t="shared" ref="N1464:N1495" si="449">IFERROR(IF(I1464="RM-FOOD",(E1464*J1464)/M1464,1),0)</f>
        <v>1</v>
      </c>
      <c r="O1464" s="1" t="str">
        <f>VLOOKUP(H1464,'RM Used'!A:E,5,0)</f>
        <v>Count</v>
      </c>
      <c r="P1464" s="11">
        <f>VLOOKUP(H1464,'RM Used'!A:F,6,0)</f>
        <v>0.14000000000000001</v>
      </c>
      <c r="Q1464" s="11">
        <f t="shared" si="427"/>
        <v>0.14000000000000001</v>
      </c>
      <c r="R1464" s="11" cm="1">
        <f t="array" ref="R1464">IFERROR(_xlfn.IFS(B1464="Reynolds",VLOOKUP(H1464,'Yield &amp; Time'!A:U,21,0),B1464="Dnata",VLOOKUP(H1464,'Yield &amp; Time'!A:L,12,0),B1464="NK",VLOOKUP(H1464,'Yield &amp; Time'!A:W,23,0)),0)</f>
        <v>0</v>
      </c>
      <c r="S1464" s="11">
        <f t="shared" si="419"/>
        <v>0</v>
      </c>
      <c r="T1464" s="11">
        <f t="shared" si="420"/>
        <v>0</v>
      </c>
      <c r="U1464" s="11">
        <f>IF(A1463=A1464,0,VLOOKUP(A1464,'Packing Time'!A:F,6,0))</f>
        <v>0</v>
      </c>
      <c r="V1464" s="11">
        <f t="shared" si="445"/>
        <v>0</v>
      </c>
      <c r="W1464" s="11">
        <f t="shared" si="446"/>
        <v>0</v>
      </c>
      <c r="X1464" s="11">
        <f t="shared" si="421"/>
        <v>0</v>
      </c>
      <c r="Y1464" s="11">
        <f t="shared" si="447"/>
        <v>0</v>
      </c>
      <c r="Z1464" s="37">
        <v>1</v>
      </c>
      <c r="AA1464" s="36">
        <f t="shared" si="422"/>
        <v>1</v>
      </c>
      <c r="AB1464" s="11">
        <f t="shared" si="423"/>
        <v>0.14000000000000001</v>
      </c>
      <c r="AC1464" s="11">
        <f t="shared" si="424"/>
        <v>0</v>
      </c>
      <c r="AD1464" s="36">
        <f t="shared" si="448"/>
        <v>0</v>
      </c>
      <c r="AE1464" s="36"/>
      <c r="AF1464" s="36">
        <f>IFERROR(VLOOKUP(AE1464,'Chemical Cost'!A:D,4,0),0)</f>
        <v>0</v>
      </c>
      <c r="AG1464" s="114">
        <f t="shared" si="425"/>
        <v>0</v>
      </c>
      <c r="AH1464" s="36">
        <f t="shared" si="438"/>
        <v>0</v>
      </c>
      <c r="AI1464" s="36">
        <f t="shared" ref="AI1464:AI1495" si="450">IFERROR((Q1464*Z1464)+(Z1464*X1464)+AH1464,0)</f>
        <v>0.14000000000000001</v>
      </c>
      <c r="AJ1464" s="36">
        <f>IFERROR(VLOOKUP(A1464,'All Products'!A:F,6,0),0)</f>
        <v>4.92</v>
      </c>
      <c r="AK1464" s="36"/>
      <c r="AL1464" s="23">
        <v>1</v>
      </c>
      <c r="AM1464" s="1"/>
      <c r="AN1464" s="54" t="e">
        <v>#N/A</v>
      </c>
      <c r="AP1464" s="4">
        <v>1.1000000000000001</v>
      </c>
      <c r="AQ1464" s="111">
        <f t="shared" si="426"/>
        <v>0</v>
      </c>
      <c r="AR1464">
        <f>_xlfn.XLOOKUP(F1464,'RM Cost'!A:A,'RM Cost'!S:S)</f>
        <v>0</v>
      </c>
      <c r="AS1464" t="e">
        <f>_xlfn.XLOOKUP(A1464,[3]Sheet1!$B:$B,[3]Sheet1!$B:$B)</f>
        <v>#N/A</v>
      </c>
    </row>
    <row r="1465" spans="1:46" x14ac:dyDescent="0.25">
      <c r="A1465" s="1" t="s">
        <v>4383</v>
      </c>
      <c r="B1465" s="2" t="s">
        <v>4377</v>
      </c>
      <c r="C1465" s="1" t="s">
        <v>4519</v>
      </c>
      <c r="D1465" s="2" t="s">
        <v>554</v>
      </c>
      <c r="E1465" s="2">
        <v>0.4</v>
      </c>
      <c r="F1465" s="1" t="str">
        <f>VLOOKUP(H1465,'RM Used'!A:B,2,0)</f>
        <v>2860CS</v>
      </c>
      <c r="G1465" s="1" t="str">
        <f>IFERROR(VLOOKUP(F1465,'RM Cost'!A:B,2,0),"")</f>
        <v>RM - WATERMELON x 5EA</v>
      </c>
      <c r="H1465" s="1" t="s">
        <v>4477</v>
      </c>
      <c r="I1465" s="1" t="str">
        <f>VLOOKUP(F1465,'RM Used'!B:D,3,0)</f>
        <v>RM-FOOD</v>
      </c>
      <c r="J1465" s="66">
        <v>1</v>
      </c>
      <c r="K1465" s="35">
        <f t="shared" si="444"/>
        <v>0.4</v>
      </c>
      <c r="L1465" s="35">
        <f t="shared" si="418"/>
        <v>0.4</v>
      </c>
      <c r="M1465" s="77" cm="1">
        <f t="array" ref="M1465">_xlfn.IFS(BOM!I1465="RM-PACKING","100%",B1465="Reynolds",VLOOKUP(H1465,'Yield &amp; Time'!A:V,22,0),BOM!B1465="Dnata",VLOOKUP(BOM!H1465,'Yield &amp; Time'!A:M,13,0),B1465="NK",VLOOKUP(H1465,'Yield &amp; Time'!A:X,24,0))</f>
        <v>0.48</v>
      </c>
      <c r="N1465" s="35">
        <f t="shared" si="449"/>
        <v>0.83333333333333337</v>
      </c>
      <c r="O1465" s="1" t="str">
        <f>VLOOKUP(H1465,'RM Used'!A:E,5,0)</f>
        <v>KG</v>
      </c>
      <c r="P1465" s="11">
        <f>VLOOKUP(H1465,'RM Used'!A:F,6,0)</f>
        <v>0.85</v>
      </c>
      <c r="Q1465" s="11">
        <f t="shared" si="427"/>
        <v>0.70833333333333337</v>
      </c>
      <c r="R1465" s="11" cm="1">
        <f t="array" ref="R1465">IFERROR(_xlfn.IFS(B1465="Reynolds",VLOOKUP(H1465,'Yield &amp; Time'!A:U,21,0),B1465="Dnata",VLOOKUP(H1465,'Yield &amp; Time'!A:L,12,0),B1465="NK",VLOOKUP(H1465,'Yield &amp; Time'!A:W,23,0)),0)</f>
        <v>2.61</v>
      </c>
      <c r="S1465" s="11">
        <f t="shared" si="419"/>
        <v>0.35339399999999999</v>
      </c>
      <c r="T1465" s="11">
        <f t="shared" si="420"/>
        <v>1.7400000000000002E-2</v>
      </c>
      <c r="U1465" s="11">
        <f>IF(A1464=A1465,0,VLOOKUP(A1465,'Packing Time'!A:F,6,0))</f>
        <v>0.45</v>
      </c>
      <c r="V1465" s="11">
        <f t="shared" si="445"/>
        <v>0.15232499999999999</v>
      </c>
      <c r="W1465" s="11">
        <f t="shared" si="446"/>
        <v>7.5000000000000006E-3</v>
      </c>
      <c r="X1465" s="11">
        <f t="shared" si="421"/>
        <v>0.70800659999999982</v>
      </c>
      <c r="Y1465" s="11">
        <f t="shared" si="447"/>
        <v>0.70800659999999982</v>
      </c>
      <c r="Z1465" s="37">
        <v>1</v>
      </c>
      <c r="AA1465" s="36">
        <f t="shared" si="422"/>
        <v>0.83333333333333337</v>
      </c>
      <c r="AB1465" s="11">
        <f t="shared" si="423"/>
        <v>0.70833333333333337</v>
      </c>
      <c r="AC1465" s="11">
        <f t="shared" si="424"/>
        <v>3.4859999999999995E-2</v>
      </c>
      <c r="AD1465" s="36">
        <f t="shared" si="448"/>
        <v>0.70800659999999982</v>
      </c>
      <c r="AE1465" s="36"/>
      <c r="AF1465" s="36">
        <f>IFERROR(VLOOKUP(AE1465,'Chemical Cost'!A:D,4,0),0)</f>
        <v>0</v>
      </c>
      <c r="AG1465" s="114">
        <f t="shared" si="425"/>
        <v>0</v>
      </c>
      <c r="AH1465" s="36">
        <f t="shared" si="438"/>
        <v>0</v>
      </c>
      <c r="AI1465" s="36">
        <f t="shared" si="450"/>
        <v>1.4163399333333331</v>
      </c>
      <c r="AJ1465" s="36">
        <f>IFERROR(VLOOKUP(A1465,'All Products'!A:F,6,0),0)</f>
        <v>4.4800000000000004</v>
      </c>
      <c r="AK1465" s="1"/>
      <c r="AL1465" s="1"/>
      <c r="AM1465" s="1"/>
      <c r="AN1465" s="54" t="e">
        <v>#N/A</v>
      </c>
      <c r="AP1465" s="4">
        <v>1.4</v>
      </c>
      <c r="AQ1465" s="111">
        <f t="shared" si="426"/>
        <v>3.4859999999999995E-2</v>
      </c>
      <c r="AR1465">
        <f>_xlfn.XLOOKUP(F1465,'RM Cost'!A:A,'RM Cost'!S:S)</f>
        <v>0</v>
      </c>
      <c r="AS1465" t="e">
        <f>_xlfn.XLOOKUP(A1465,[3]Sheet1!$B:$B,[3]Sheet1!$B:$B)</f>
        <v>#N/A</v>
      </c>
    </row>
    <row r="1466" spans="1:46" x14ac:dyDescent="0.25">
      <c r="A1466" s="1" t="s">
        <v>4383</v>
      </c>
      <c r="B1466" s="1" t="s">
        <v>4377</v>
      </c>
      <c r="C1466" s="1" t="s">
        <v>4519</v>
      </c>
      <c r="D1466" s="1" t="s">
        <v>554</v>
      </c>
      <c r="E1466" s="2">
        <v>0.4</v>
      </c>
      <c r="F1466" s="1" t="str">
        <f>VLOOKUP(H1466,'RM Used'!A:B,2,0)</f>
        <v>P0021</v>
      </c>
      <c r="G1466" s="1" t="str">
        <f>IFERROR(VLOOKUP(F1466,'RM Cost'!A:B,2,0),"")</f>
        <v>1000ML RECT TAMPER EVID POTS &amp; LIDS</v>
      </c>
      <c r="H1466" s="1" t="s">
        <v>4505</v>
      </c>
      <c r="I1466" s="1" t="str">
        <f>VLOOKUP(F1466,'RM Used'!B:D,3,0)</f>
        <v>RM-PACKING</v>
      </c>
      <c r="J1466" s="66">
        <v>1</v>
      </c>
      <c r="K1466" s="35" t="str">
        <f t="shared" si="444"/>
        <v/>
      </c>
      <c r="L1466" s="35">
        <f t="shared" si="418"/>
        <v>0</v>
      </c>
      <c r="M1466" s="77" t="str" cm="1">
        <f t="array" ref="M1466">_xlfn.IFS(BOM!I1466="RM-PACKING","100%",B1466="Reynolds",VLOOKUP(H1466,'Yield &amp; Time'!A:V,22,0),BOM!B1466="Dnata",VLOOKUP(BOM!H1466,'Yield &amp; Time'!A:M,13,0),B1466="NK",VLOOKUP(H1466,'Yield &amp; Time'!A:X,24,0))</f>
        <v>100%</v>
      </c>
      <c r="N1466" s="35">
        <f t="shared" si="449"/>
        <v>1</v>
      </c>
      <c r="O1466" s="1" t="str">
        <f>VLOOKUP(H1466,'RM Used'!A:E,5,0)</f>
        <v>Count</v>
      </c>
      <c r="P1466" s="11">
        <f>VLOOKUP(H1466,'RM Used'!A:F,6,0)</f>
        <v>0.4</v>
      </c>
      <c r="Q1466" s="11">
        <f t="shared" si="427"/>
        <v>0.4</v>
      </c>
      <c r="R1466" s="11" cm="1">
        <f t="array" ref="R1466">IFERROR(_xlfn.IFS(B1466="Reynolds",VLOOKUP(H1466,'Yield &amp; Time'!A:U,21,0),B1466="Dnata",VLOOKUP(H1466,'Yield &amp; Time'!A:L,12,0),B1466="NK",VLOOKUP(H1466,'Yield &amp; Time'!A:W,23,0)),0)</f>
        <v>0</v>
      </c>
      <c r="S1466" s="11">
        <f t="shared" si="419"/>
        <v>0</v>
      </c>
      <c r="T1466" s="11">
        <f t="shared" si="420"/>
        <v>0</v>
      </c>
      <c r="U1466" s="11">
        <f>IF(A1465=A1466,0,VLOOKUP(A1466,'Packing Time'!A:F,6,0))</f>
        <v>0</v>
      </c>
      <c r="V1466" s="11">
        <f t="shared" si="445"/>
        <v>0</v>
      </c>
      <c r="W1466" s="11">
        <f t="shared" si="446"/>
        <v>0</v>
      </c>
      <c r="X1466" s="11">
        <f t="shared" si="421"/>
        <v>0</v>
      </c>
      <c r="Y1466" s="11">
        <f t="shared" si="447"/>
        <v>0</v>
      </c>
      <c r="Z1466" s="37">
        <v>1</v>
      </c>
      <c r="AA1466" s="36">
        <f t="shared" si="422"/>
        <v>1</v>
      </c>
      <c r="AB1466" s="11">
        <f t="shared" si="423"/>
        <v>0.4</v>
      </c>
      <c r="AC1466" s="11">
        <f t="shared" si="424"/>
        <v>0</v>
      </c>
      <c r="AD1466" s="36">
        <f t="shared" si="448"/>
        <v>0</v>
      </c>
      <c r="AE1466" s="36"/>
      <c r="AF1466" s="36">
        <f>IFERROR(VLOOKUP(AE1466,'Chemical Cost'!A:D,4,0),0)</f>
        <v>0</v>
      </c>
      <c r="AG1466" s="114">
        <f t="shared" si="425"/>
        <v>0</v>
      </c>
      <c r="AH1466" s="36">
        <f t="shared" si="438"/>
        <v>0</v>
      </c>
      <c r="AI1466" s="36">
        <f t="shared" si="450"/>
        <v>0.4</v>
      </c>
      <c r="AJ1466" s="36">
        <f>IFERROR(VLOOKUP(A1466,'All Products'!A:F,6,0),0)</f>
        <v>4.4800000000000004</v>
      </c>
      <c r="AK1466" s="1"/>
      <c r="AL1466" s="1"/>
      <c r="AM1466" s="1"/>
      <c r="AN1466" s="54" t="e">
        <v>#N/A</v>
      </c>
      <c r="AP1466" s="4">
        <v>1.4</v>
      </c>
      <c r="AQ1466" s="111">
        <f t="shared" si="426"/>
        <v>0</v>
      </c>
      <c r="AR1466">
        <f>_xlfn.XLOOKUP(F1466,'RM Cost'!A:A,'RM Cost'!S:S)</f>
        <v>0</v>
      </c>
      <c r="AS1466" t="e">
        <f>_xlfn.XLOOKUP(A1466,[3]Sheet1!$B:$B,[3]Sheet1!$B:$B)</f>
        <v>#N/A</v>
      </c>
    </row>
    <row r="1467" spans="1:46" x14ac:dyDescent="0.25">
      <c r="A1467" s="1" t="s">
        <v>4384</v>
      </c>
      <c r="B1467" s="2" t="s">
        <v>4377</v>
      </c>
      <c r="C1467" s="1" t="s">
        <v>4891</v>
      </c>
      <c r="D1467" s="2" t="s">
        <v>554</v>
      </c>
      <c r="E1467" s="2">
        <v>2.5</v>
      </c>
      <c r="F1467" s="1" t="str">
        <f>VLOOKUP(H1467,'RM Used'!A:B,2,0)</f>
        <v>3242CS</v>
      </c>
      <c r="G1467" s="1" t="str">
        <f>IFERROR(VLOOKUP(F1467,'RM Cost'!A:B,2,0),"")</f>
        <v>RM - SWEET POTATOES ORANGE FLESH 6K</v>
      </c>
      <c r="H1467" s="1" t="s">
        <v>4478</v>
      </c>
      <c r="I1467" s="1" t="str">
        <f>VLOOKUP(F1467,'RM Used'!B:D,3,0)</f>
        <v>RM-FOOD</v>
      </c>
      <c r="J1467" s="66">
        <v>1</v>
      </c>
      <c r="K1467" s="35">
        <f t="shared" si="444"/>
        <v>2.5</v>
      </c>
      <c r="L1467" s="35">
        <f t="shared" si="418"/>
        <v>2.5</v>
      </c>
      <c r="M1467" s="77" cm="1">
        <f t="array" ref="M1467">_xlfn.IFS(BOM!I1467="RM-PACKING","100%",B1467="Reynolds",VLOOKUP(H1467,'Yield &amp; Time'!A:V,22,0),BOM!B1467="Dnata",VLOOKUP(BOM!H1467,'Yield &amp; Time'!A:M,13,0),B1467="NK",VLOOKUP(H1467,'Yield &amp; Time'!A:X,24,0))</f>
        <v>0.73</v>
      </c>
      <c r="N1467" s="35">
        <f t="shared" si="449"/>
        <v>3.4246575342465753</v>
      </c>
      <c r="O1467" s="1" t="str">
        <f>VLOOKUP(H1467,'RM Used'!A:E,5,0)</f>
        <v>KG</v>
      </c>
      <c r="P1467" s="11">
        <f>VLOOKUP(H1467,'RM Used'!A:F,6,0)</f>
        <v>0.88</v>
      </c>
      <c r="Q1467" s="11">
        <f t="shared" si="427"/>
        <v>3.0136986301369864</v>
      </c>
      <c r="R1467" s="11" cm="1">
        <f t="array" ref="R1467">IFERROR(_xlfn.IFS(B1467="Reynolds",VLOOKUP(H1467,'Yield &amp; Time'!A:U,21,0),B1467="Dnata",VLOOKUP(H1467,'Yield &amp; Time'!A:L,12,0),B1467="NK",VLOOKUP(H1467,'Yield &amp; Time'!A:W,23,0)),0)</f>
        <v>1.82</v>
      </c>
      <c r="S1467" s="11">
        <f t="shared" si="419"/>
        <v>1.5401749999999998</v>
      </c>
      <c r="T1467" s="11">
        <f t="shared" si="420"/>
        <v>7.5833333333333336E-2</v>
      </c>
      <c r="U1467" s="11">
        <f>IF(A1466=A1467,0,VLOOKUP(A1467,'Packing Time'!A:F,6,0))</f>
        <v>0.64500000000000002</v>
      </c>
      <c r="V1467" s="11">
        <f t="shared" si="445"/>
        <v>0.21833249999999998</v>
      </c>
      <c r="W1467" s="11">
        <f t="shared" si="446"/>
        <v>1.0750000000000001E-2</v>
      </c>
      <c r="X1467" s="11">
        <f t="shared" si="421"/>
        <v>2.4619104999999997</v>
      </c>
      <c r="Y1467" s="11">
        <f t="shared" si="447"/>
        <v>2.4619104999999997</v>
      </c>
      <c r="Z1467" s="37">
        <v>1</v>
      </c>
      <c r="AA1467" s="36">
        <f t="shared" si="422"/>
        <v>3.4246575342465753</v>
      </c>
      <c r="AB1467" s="11">
        <f t="shared" si="423"/>
        <v>3.0136986301369864</v>
      </c>
      <c r="AC1467" s="11">
        <f t="shared" si="424"/>
        <v>0.12121666666666665</v>
      </c>
      <c r="AD1467" s="36">
        <f t="shared" si="448"/>
        <v>2.4619104999999992</v>
      </c>
      <c r="AE1467" s="36"/>
      <c r="AF1467" s="36">
        <f>IFERROR(VLOOKUP(AE1467,'Chemical Cost'!A:D,4,0),0)</f>
        <v>0</v>
      </c>
      <c r="AG1467" s="114">
        <f t="shared" si="425"/>
        <v>0</v>
      </c>
      <c r="AH1467" s="36">
        <f t="shared" si="438"/>
        <v>0</v>
      </c>
      <c r="AI1467" s="36">
        <f t="shared" si="450"/>
        <v>5.475609130136986</v>
      </c>
      <c r="AJ1467" s="36">
        <f>IFERROR(VLOOKUP(A1467,'All Products'!A:F,6,0),0)</f>
        <v>8.3800000000000008</v>
      </c>
      <c r="AK1467" s="1"/>
      <c r="AL1467" s="1"/>
      <c r="AM1467" s="1"/>
      <c r="AN1467" s="54" t="e">
        <v>#N/A</v>
      </c>
      <c r="AP1467" s="4">
        <v>1.4</v>
      </c>
      <c r="AQ1467" s="111">
        <f t="shared" si="426"/>
        <v>0.12121666666666665</v>
      </c>
      <c r="AR1467">
        <f>_xlfn.XLOOKUP(F1467,'RM Cost'!A:A,'RM Cost'!S:S)</f>
        <v>0</v>
      </c>
      <c r="AS1467" t="str">
        <f>_xlfn.XLOOKUP(A1467,[3]Sheet1!$B:$B,[3]Sheet1!$B:$B)</f>
        <v>N008CS</v>
      </c>
      <c r="AT1467">
        <f>_xlfn.XLOOKUP(H1467,'Yield &amp; Time'!A:A,'Yield &amp; Time'!F:F)</f>
        <v>0</v>
      </c>
    </row>
    <row r="1468" spans="1:46" x14ac:dyDescent="0.25">
      <c r="A1468" s="1" t="s">
        <v>4384</v>
      </c>
      <c r="B1468" s="1" t="s">
        <v>4377</v>
      </c>
      <c r="C1468" s="1" t="s">
        <v>4891</v>
      </c>
      <c r="D1468" s="1" t="s">
        <v>554</v>
      </c>
      <c r="E1468" s="2">
        <v>2.5</v>
      </c>
      <c r="F1468" s="1" t="str">
        <f>VLOOKUP(H1468,'RM Used'!A:B,2,0)</f>
        <v>P0008</v>
      </c>
      <c r="G1468" s="1" t="str">
        <f>IFERROR(VLOOKUP(F1468,'RM Cost'!A:B,2,0),"")</f>
        <v>PALE BLUE BAG 470X750MM</v>
      </c>
      <c r="H1468" s="1" t="s">
        <v>1323</v>
      </c>
      <c r="I1468" s="1" t="str">
        <f>VLOOKUP(F1468,'RM Used'!B:D,3,0)</f>
        <v>RM-PACKING</v>
      </c>
      <c r="J1468" s="66">
        <v>1</v>
      </c>
      <c r="K1468" s="35" t="str">
        <f t="shared" si="444"/>
        <v/>
      </c>
      <c r="L1468" s="35">
        <f t="shared" si="418"/>
        <v>0</v>
      </c>
      <c r="M1468" s="77" t="str" cm="1">
        <f t="array" ref="M1468">_xlfn.IFS(BOM!I1468="RM-PACKING","100%",B1468="Reynolds",VLOOKUP(H1468,'Yield &amp; Time'!A:V,22,0),BOM!B1468="Dnata",VLOOKUP(BOM!H1468,'Yield &amp; Time'!A:M,13,0),B1468="NK",VLOOKUP(H1468,'Yield &amp; Time'!A:X,24,0))</f>
        <v>100%</v>
      </c>
      <c r="N1468" s="35">
        <f t="shared" si="449"/>
        <v>1</v>
      </c>
      <c r="O1468" s="1" t="str">
        <f>VLOOKUP(H1468,'RM Used'!A:E,5,0)</f>
        <v>Count</v>
      </c>
      <c r="P1468" s="11">
        <f>VLOOKUP(H1468,'RM Used'!A:F,6,0)</f>
        <v>0.14000000000000001</v>
      </c>
      <c r="Q1468" s="11">
        <f t="shared" si="427"/>
        <v>0.14000000000000001</v>
      </c>
      <c r="R1468" s="11" cm="1">
        <f t="array" ref="R1468">IFERROR(_xlfn.IFS(B1468="Reynolds",VLOOKUP(H1468,'Yield &amp; Time'!A:U,21,0),B1468="Dnata",VLOOKUP(H1468,'Yield &amp; Time'!A:L,12,0),B1468="NK",VLOOKUP(H1468,'Yield &amp; Time'!A:W,23,0)),0)</f>
        <v>0</v>
      </c>
      <c r="S1468" s="11">
        <f t="shared" si="419"/>
        <v>0</v>
      </c>
      <c r="T1468" s="11">
        <f t="shared" si="420"/>
        <v>0</v>
      </c>
      <c r="U1468" s="11">
        <f>IF(A1467=A1468,0,VLOOKUP(A1468,'Packing Time'!A:F,6,0))</f>
        <v>0</v>
      </c>
      <c r="V1468" s="11">
        <f t="shared" si="445"/>
        <v>0</v>
      </c>
      <c r="W1468" s="11">
        <f t="shared" si="446"/>
        <v>0</v>
      </c>
      <c r="X1468" s="11">
        <f t="shared" si="421"/>
        <v>0</v>
      </c>
      <c r="Y1468" s="11">
        <f t="shared" si="447"/>
        <v>0</v>
      </c>
      <c r="Z1468" s="37">
        <v>1</v>
      </c>
      <c r="AA1468" s="36">
        <f t="shared" si="422"/>
        <v>1</v>
      </c>
      <c r="AB1468" s="11">
        <f t="shared" si="423"/>
        <v>0.14000000000000001</v>
      </c>
      <c r="AC1468" s="11">
        <f t="shared" si="424"/>
        <v>0</v>
      </c>
      <c r="AD1468" s="36">
        <f t="shared" si="448"/>
        <v>0</v>
      </c>
      <c r="AE1468" s="36"/>
      <c r="AF1468" s="36">
        <f>IFERROR(VLOOKUP(AE1468,'Chemical Cost'!A:D,4,0),0)</f>
        <v>0</v>
      </c>
      <c r="AG1468" s="114">
        <f t="shared" si="425"/>
        <v>0</v>
      </c>
      <c r="AH1468" s="36">
        <f t="shared" si="438"/>
        <v>0</v>
      </c>
      <c r="AI1468" s="36">
        <f t="shared" si="450"/>
        <v>0.14000000000000001</v>
      </c>
      <c r="AJ1468" s="36">
        <f>IFERROR(VLOOKUP(A1468,'All Products'!A:F,6,0),0)</f>
        <v>8.3800000000000008</v>
      </c>
      <c r="AK1468" s="1"/>
      <c r="AL1468" s="1"/>
      <c r="AM1468" s="1"/>
      <c r="AN1468" s="54" t="e">
        <v>#N/A</v>
      </c>
      <c r="AP1468" s="4">
        <v>1.4</v>
      </c>
      <c r="AQ1468" s="111">
        <f t="shared" si="426"/>
        <v>0</v>
      </c>
      <c r="AR1468">
        <f>_xlfn.XLOOKUP(F1468,'RM Cost'!A:A,'RM Cost'!S:S)</f>
        <v>0</v>
      </c>
      <c r="AS1468" t="str">
        <f>_xlfn.XLOOKUP(A1468,[3]Sheet1!$B:$B,[3]Sheet1!$B:$B)</f>
        <v>N008CS</v>
      </c>
      <c r="AT1468" t="e">
        <f>_xlfn.XLOOKUP(H1468,'Yield &amp; Time'!A:A,'Yield &amp; Time'!F:F)</f>
        <v>#N/A</v>
      </c>
    </row>
    <row r="1469" spans="1:46" x14ac:dyDescent="0.25">
      <c r="A1469" s="1" t="s">
        <v>4385</v>
      </c>
      <c r="B1469" s="2" t="s">
        <v>4377</v>
      </c>
      <c r="C1469" s="1" t="s">
        <v>4525</v>
      </c>
      <c r="D1469" s="2" t="s">
        <v>554</v>
      </c>
      <c r="E1469" s="2">
        <v>2.5</v>
      </c>
      <c r="F1469" s="1" t="str">
        <f>VLOOKUP(H1469,'RM Used'!A:B,2,0)</f>
        <v>3034CS</v>
      </c>
      <c r="G1469" s="1" t="str">
        <f>IFERROR(VLOOKUP(F1469,'RM Cost'!A:B,2,0),"")</f>
        <v>RM - BROCCOLI 6KG</v>
      </c>
      <c r="H1469" s="1" t="s">
        <v>1480</v>
      </c>
      <c r="I1469" s="1" t="str">
        <f>VLOOKUP(F1469,'RM Used'!B:D,3,0)</f>
        <v>RM-FOOD</v>
      </c>
      <c r="J1469" s="66">
        <v>1</v>
      </c>
      <c r="K1469" s="35">
        <f t="shared" si="444"/>
        <v>2.5</v>
      </c>
      <c r="L1469" s="35">
        <f t="shared" si="418"/>
        <v>2.5</v>
      </c>
      <c r="M1469" s="77" cm="1">
        <f t="array" ref="M1469">_xlfn.IFS(BOM!I1469="RM-PACKING","100%",B1469="Reynolds",VLOOKUP(H1469,'Yield &amp; Time'!A:V,22,0),BOM!B1469="Dnata",VLOOKUP(BOM!H1469,'Yield &amp; Time'!A:M,13,0),B1469="NK",VLOOKUP(H1469,'Yield &amp; Time'!A:X,24,0))</f>
        <v>0.57999999999999996</v>
      </c>
      <c r="N1469" s="35">
        <f t="shared" si="449"/>
        <v>4.3103448275862073</v>
      </c>
      <c r="O1469" s="1" t="str">
        <f>VLOOKUP(H1469,'RM Used'!A:E,5,0)</f>
        <v>KG</v>
      </c>
      <c r="P1469" s="11">
        <f>VLOOKUP(H1469,'RM Used'!A:F,6,0)</f>
        <v>1.02</v>
      </c>
      <c r="Q1469" s="11">
        <f t="shared" si="427"/>
        <v>4.3965517241379315</v>
      </c>
      <c r="R1469" s="11" cm="1">
        <f t="array" ref="R1469">IFERROR(_xlfn.IFS(B1469="Reynolds",VLOOKUP(H1469,'Yield &amp; Time'!A:U,21,0),B1469="Dnata",VLOOKUP(H1469,'Yield &amp; Time'!A:L,12,0),B1469="NK",VLOOKUP(H1469,'Yield &amp; Time'!A:W,23,0)),0)</f>
        <v>2.7</v>
      </c>
      <c r="S1469" s="11">
        <f t="shared" si="419"/>
        <v>2.284875</v>
      </c>
      <c r="T1469" s="11">
        <f t="shared" si="420"/>
        <v>0.1125</v>
      </c>
      <c r="U1469" s="11">
        <f>IF(A1468=A1469,0,VLOOKUP(A1469,'Packing Time'!A:F,6,0))</f>
        <v>0.64500000000000002</v>
      </c>
      <c r="V1469" s="11">
        <f t="shared" si="445"/>
        <v>0.21833249999999998</v>
      </c>
      <c r="W1469" s="11">
        <f t="shared" si="446"/>
        <v>1.0750000000000001E-2</v>
      </c>
      <c r="X1469" s="11">
        <f t="shared" si="421"/>
        <v>3.1290093749999999</v>
      </c>
      <c r="Y1469" s="11">
        <f t="shared" si="447"/>
        <v>3.1290093749999999</v>
      </c>
      <c r="Z1469" s="37">
        <v>1</v>
      </c>
      <c r="AA1469" s="36">
        <f t="shared" si="422"/>
        <v>4.3103448275862073</v>
      </c>
      <c r="AB1469" s="11">
        <f t="shared" si="423"/>
        <v>4.3965517241379315</v>
      </c>
      <c r="AC1469" s="11">
        <f t="shared" si="424"/>
        <v>0.15406249999999999</v>
      </c>
      <c r="AD1469" s="36">
        <f t="shared" si="448"/>
        <v>3.1290093749999994</v>
      </c>
      <c r="AE1469" s="36"/>
      <c r="AF1469" s="36">
        <f>IFERROR(VLOOKUP(AE1469,'Chemical Cost'!A:D,4,0),0)</f>
        <v>0</v>
      </c>
      <c r="AG1469" s="114">
        <f t="shared" si="425"/>
        <v>0</v>
      </c>
      <c r="AH1469" s="36">
        <f t="shared" si="438"/>
        <v>0</v>
      </c>
      <c r="AI1469" s="36">
        <f t="shared" si="450"/>
        <v>7.5255610991379314</v>
      </c>
      <c r="AJ1469" s="36">
        <f>IFERROR(VLOOKUP(A1469,'All Products'!A:F,6,0),0)</f>
        <v>15.98</v>
      </c>
      <c r="AK1469" s="1"/>
      <c r="AL1469" s="1"/>
      <c r="AM1469" s="1"/>
      <c r="AN1469" s="54" t="e">
        <v>#N/A</v>
      </c>
      <c r="AP1469" s="4">
        <v>1.25</v>
      </c>
      <c r="AQ1469" s="111">
        <f t="shared" si="426"/>
        <v>0.15406249999999999</v>
      </c>
      <c r="AR1469">
        <f>_xlfn.XLOOKUP(F1469,'RM Cost'!A:A,'RM Cost'!S:S)</f>
        <v>0</v>
      </c>
      <c r="AS1469" t="str">
        <f>_xlfn.XLOOKUP(A1469,[3]Sheet1!$B:$B,[3]Sheet1!$B:$B)</f>
        <v>N009CS</v>
      </c>
      <c r="AT1469">
        <f>_xlfn.XLOOKUP(H1469,'Yield &amp; Time'!A:A,'Yield &amp; Time'!F:F)</f>
        <v>0</v>
      </c>
    </row>
    <row r="1470" spans="1:46" x14ac:dyDescent="0.25">
      <c r="A1470" s="1" t="s">
        <v>4385</v>
      </c>
      <c r="B1470" s="1" t="s">
        <v>4377</v>
      </c>
      <c r="C1470" s="1" t="s">
        <v>4525</v>
      </c>
      <c r="D1470" s="1" t="s">
        <v>554</v>
      </c>
      <c r="E1470" s="2">
        <v>2.5</v>
      </c>
      <c r="F1470" s="1" t="str">
        <f>VLOOKUP(H1470,'RM Used'!A:B,2,0)</f>
        <v>P0008</v>
      </c>
      <c r="G1470" s="1" t="str">
        <f>IFERROR(VLOOKUP(F1470,'RM Cost'!A:B,2,0),"")</f>
        <v>PALE BLUE BAG 470X750MM</v>
      </c>
      <c r="H1470" s="1" t="s">
        <v>1323</v>
      </c>
      <c r="I1470" s="1" t="str">
        <f>VLOOKUP(F1470,'RM Used'!B:D,3,0)</f>
        <v>RM-PACKING</v>
      </c>
      <c r="J1470" s="66">
        <v>1</v>
      </c>
      <c r="K1470" s="35" t="str">
        <f t="shared" si="444"/>
        <v/>
      </c>
      <c r="L1470" s="35">
        <f t="shared" si="418"/>
        <v>0</v>
      </c>
      <c r="M1470" s="77" t="str" cm="1">
        <f t="array" ref="M1470">_xlfn.IFS(BOM!I1470="RM-PACKING","100%",B1470="Reynolds",VLOOKUP(H1470,'Yield &amp; Time'!A:V,22,0),BOM!B1470="Dnata",VLOOKUP(BOM!H1470,'Yield &amp; Time'!A:M,13,0),B1470="NK",VLOOKUP(H1470,'Yield &amp; Time'!A:X,24,0))</f>
        <v>100%</v>
      </c>
      <c r="N1470" s="35">
        <f t="shared" si="449"/>
        <v>1</v>
      </c>
      <c r="O1470" s="1" t="str">
        <f>VLOOKUP(H1470,'RM Used'!A:E,5,0)</f>
        <v>Count</v>
      </c>
      <c r="P1470" s="11">
        <f>VLOOKUP(H1470,'RM Used'!A:F,6,0)</f>
        <v>0.14000000000000001</v>
      </c>
      <c r="Q1470" s="11">
        <f t="shared" si="427"/>
        <v>0.14000000000000001</v>
      </c>
      <c r="R1470" s="11" cm="1">
        <f t="array" ref="R1470">IFERROR(_xlfn.IFS(B1470="Reynolds",VLOOKUP(H1470,'Yield &amp; Time'!A:U,21,0),B1470="Dnata",VLOOKUP(H1470,'Yield &amp; Time'!A:L,12,0),B1470="NK",VLOOKUP(H1470,'Yield &amp; Time'!A:W,23,0)),0)</f>
        <v>0</v>
      </c>
      <c r="S1470" s="11">
        <f t="shared" si="419"/>
        <v>0</v>
      </c>
      <c r="T1470" s="11">
        <f t="shared" si="420"/>
        <v>0</v>
      </c>
      <c r="U1470" s="11">
        <f>IF(A1469=A1470,0,VLOOKUP(A1470,'Packing Time'!A:F,6,0))</f>
        <v>0</v>
      </c>
      <c r="V1470" s="11">
        <f t="shared" si="445"/>
        <v>0</v>
      </c>
      <c r="W1470" s="11">
        <f t="shared" si="446"/>
        <v>0</v>
      </c>
      <c r="X1470" s="11">
        <f t="shared" si="421"/>
        <v>0</v>
      </c>
      <c r="Y1470" s="11">
        <f t="shared" si="447"/>
        <v>0</v>
      </c>
      <c r="Z1470" s="37">
        <v>1</v>
      </c>
      <c r="AA1470" s="36">
        <f t="shared" si="422"/>
        <v>1</v>
      </c>
      <c r="AB1470" s="11">
        <f t="shared" si="423"/>
        <v>0.14000000000000001</v>
      </c>
      <c r="AC1470" s="11">
        <f t="shared" si="424"/>
        <v>0</v>
      </c>
      <c r="AD1470" s="36">
        <f t="shared" si="448"/>
        <v>0</v>
      </c>
      <c r="AE1470" s="36"/>
      <c r="AF1470" s="36">
        <f>IFERROR(VLOOKUP(AE1470,'Chemical Cost'!A:D,4,0),0)</f>
        <v>0</v>
      </c>
      <c r="AG1470" s="114">
        <f t="shared" si="425"/>
        <v>0</v>
      </c>
      <c r="AH1470" s="36">
        <f t="shared" si="438"/>
        <v>0</v>
      </c>
      <c r="AI1470" s="36">
        <f t="shared" si="450"/>
        <v>0.14000000000000001</v>
      </c>
      <c r="AJ1470" s="36">
        <f>IFERROR(VLOOKUP(A1470,'All Products'!A:F,6,0),0)</f>
        <v>15.98</v>
      </c>
      <c r="AK1470" s="1"/>
      <c r="AL1470" s="1"/>
      <c r="AM1470" s="1"/>
      <c r="AN1470" s="54" t="e">
        <v>#N/A</v>
      </c>
      <c r="AP1470" s="4">
        <v>1.25</v>
      </c>
      <c r="AQ1470" s="111">
        <f t="shared" si="426"/>
        <v>0</v>
      </c>
      <c r="AR1470">
        <f>_xlfn.XLOOKUP(F1470,'RM Cost'!A:A,'RM Cost'!S:S)</f>
        <v>0</v>
      </c>
      <c r="AS1470" t="str">
        <f>_xlfn.XLOOKUP(A1470,[3]Sheet1!$B:$B,[3]Sheet1!$B:$B)</f>
        <v>N009CS</v>
      </c>
      <c r="AT1470" t="e">
        <f>_xlfn.XLOOKUP(H1470,'Yield &amp; Time'!A:A,'Yield &amp; Time'!F:F)</f>
        <v>#N/A</v>
      </c>
    </row>
    <row r="1471" spans="1:46" x14ac:dyDescent="0.25">
      <c r="A1471" s="1" t="s">
        <v>4386</v>
      </c>
      <c r="B1471" s="2" t="s">
        <v>4377</v>
      </c>
      <c r="C1471" s="1" t="s">
        <v>4437</v>
      </c>
      <c r="D1471" s="2" t="s">
        <v>554</v>
      </c>
      <c r="E1471" s="2">
        <v>1</v>
      </c>
      <c r="F1471" s="1" t="str">
        <f>VLOOKUP(H1471,'RM Used'!A:B,2,0)</f>
        <v>206ACS</v>
      </c>
      <c r="G1471" s="1" t="str">
        <f>IFERROR(VLOOKUP(F1471,'RM Cost'!A:B,2,0),"")</f>
        <v>RM - PREP ONION WHOLE 10KG</v>
      </c>
      <c r="H1471" s="1" t="s">
        <v>1367</v>
      </c>
      <c r="I1471" s="1" t="str">
        <f>VLOOKUP(F1471,'RM Used'!B:D,3,0)</f>
        <v>RM-FOOD</v>
      </c>
      <c r="J1471" s="66">
        <v>1</v>
      </c>
      <c r="K1471" s="35">
        <f t="shared" si="444"/>
        <v>1</v>
      </c>
      <c r="L1471" s="35">
        <f t="shared" si="418"/>
        <v>1</v>
      </c>
      <c r="M1471" s="77" cm="1">
        <f t="array" ref="M1471">_xlfn.IFS(BOM!I1471="RM-PACKING","100%",B1471="Reynolds",VLOOKUP(H1471,'Yield &amp; Time'!A:V,22,0),BOM!B1471="Dnata",VLOOKUP(BOM!H1471,'Yield &amp; Time'!A:M,13,0),B1471="NK",VLOOKUP(H1471,'Yield &amp; Time'!A:X,24,0))</f>
        <v>0.88753619980447496</v>
      </c>
      <c r="N1471" s="35">
        <f t="shared" si="449"/>
        <v>1.1267146063679441</v>
      </c>
      <c r="O1471" s="1" t="str">
        <f>VLOOKUP(H1471,'RM Used'!A:E,5,0)</f>
        <v>KG</v>
      </c>
      <c r="P1471" s="11">
        <f>VLOOKUP(H1471,'RM Used'!A:F,6,0)</f>
        <v>0.87</v>
      </c>
      <c r="Q1471" s="11">
        <f t="shared" si="427"/>
        <v>0.98024170754011131</v>
      </c>
      <c r="R1471" s="11" cm="1">
        <f t="array" ref="R1471">IFERROR(_xlfn.IFS(B1471="Reynolds",VLOOKUP(H1471,'Yield &amp; Time'!A:U,21,0),B1471="Dnata",VLOOKUP(H1471,'Yield &amp; Time'!A:L,12,0),B1471="NK",VLOOKUP(H1471,'Yield &amp; Time'!A:W,23,0)),0)</f>
        <v>0.65</v>
      </c>
      <c r="S1471" s="11">
        <f t="shared" si="419"/>
        <v>0.220025</v>
      </c>
      <c r="T1471" s="11">
        <f t="shared" si="420"/>
        <v>1.0833333333333334E-2</v>
      </c>
      <c r="U1471" s="11">
        <f>IF(A1470=A1471,0,VLOOKUP(A1471,'Packing Time'!A:F,6,0))</f>
        <v>0.64500000000000002</v>
      </c>
      <c r="V1471" s="11">
        <f t="shared" si="445"/>
        <v>0.21833249999999998</v>
      </c>
      <c r="W1471" s="11">
        <f t="shared" si="446"/>
        <v>1.0750000000000001E-2</v>
      </c>
      <c r="X1471" s="11">
        <f t="shared" si="421"/>
        <v>0.701372</v>
      </c>
      <c r="Y1471" s="11">
        <f t="shared" si="447"/>
        <v>0.701372</v>
      </c>
      <c r="Z1471" s="37">
        <v>1</v>
      </c>
      <c r="AA1471" s="36">
        <f t="shared" si="422"/>
        <v>1.1267146063679441</v>
      </c>
      <c r="AB1471" s="11">
        <f t="shared" si="423"/>
        <v>0.98024170754011131</v>
      </c>
      <c r="AC1471" s="11">
        <f t="shared" si="424"/>
        <v>3.4533333333333333E-2</v>
      </c>
      <c r="AD1471" s="36">
        <f t="shared" si="448"/>
        <v>0.701372</v>
      </c>
      <c r="AE1471" s="36" t="str">
        <f>VLOOKUP(H1471,'Yield &amp; Time'!A:I,9,0)</f>
        <v>CHLORINE</v>
      </c>
      <c r="AF1471" s="36">
        <f>IFERROR(VLOOKUP(AE1471,'Chemical Cost'!A:D,4,0),0)</f>
        <v>2.7756518066439469E-2</v>
      </c>
      <c r="AG1471" s="114">
        <f t="shared" si="425"/>
        <v>1.0424558109124358E-2</v>
      </c>
      <c r="AH1471" s="36">
        <f t="shared" si="438"/>
        <v>1.0424558109124358E-2</v>
      </c>
      <c r="AI1471" s="36">
        <f t="shared" si="450"/>
        <v>1.6920382656492359</v>
      </c>
      <c r="AJ1471" s="36">
        <f>IFERROR(VLOOKUP(A1471,'All Products'!A:F,6,0),0)</f>
        <v>1.87</v>
      </c>
      <c r="AK1471" s="1"/>
      <c r="AL1471" s="1"/>
      <c r="AM1471" s="1"/>
      <c r="AN1471" s="54" t="e">
        <v>#N/A</v>
      </c>
      <c r="AP1471" s="4">
        <v>1.6</v>
      </c>
      <c r="AQ1471" s="111">
        <f t="shared" si="426"/>
        <v>3.4533333333333333E-2</v>
      </c>
      <c r="AR1471">
        <f>_xlfn.XLOOKUP(F1471,'RM Cost'!A:A,'RM Cost'!S:S)</f>
        <v>0</v>
      </c>
      <c r="AS1471" t="e">
        <f>_xlfn.XLOOKUP(A1471,[3]Sheet1!$B:$B,[3]Sheet1!$B:$B)</f>
        <v>#N/A</v>
      </c>
    </row>
    <row r="1472" spans="1:46" x14ac:dyDescent="0.25">
      <c r="A1472" s="1" t="s">
        <v>4386</v>
      </c>
      <c r="B1472" s="1" t="s">
        <v>4377</v>
      </c>
      <c r="C1472" s="1" t="s">
        <v>4437</v>
      </c>
      <c r="D1472" s="1" t="s">
        <v>554</v>
      </c>
      <c r="E1472" s="2">
        <v>1</v>
      </c>
      <c r="F1472" s="1" t="str">
        <f>VLOOKUP(H1472,'RM Used'!A:B,2,0)</f>
        <v>P0008</v>
      </c>
      <c r="G1472" s="1" t="str">
        <f>IFERROR(VLOOKUP(F1472,'RM Cost'!A:B,2,0),"")</f>
        <v>PALE BLUE BAG 470X750MM</v>
      </c>
      <c r="H1472" s="1" t="s">
        <v>1323</v>
      </c>
      <c r="I1472" s="1" t="str">
        <f>VLOOKUP(F1472,'RM Used'!B:D,3,0)</f>
        <v>RM-PACKING</v>
      </c>
      <c r="J1472" s="66">
        <v>1</v>
      </c>
      <c r="K1472" s="35" t="str">
        <f t="shared" si="444"/>
        <v/>
      </c>
      <c r="L1472" s="35">
        <f t="shared" si="418"/>
        <v>0</v>
      </c>
      <c r="M1472" s="77" t="str" cm="1">
        <f t="array" ref="M1472">_xlfn.IFS(BOM!I1472="RM-PACKING","100%",B1472="Reynolds",VLOOKUP(H1472,'Yield &amp; Time'!A:V,22,0),BOM!B1472="Dnata",VLOOKUP(BOM!H1472,'Yield &amp; Time'!A:M,13,0),B1472="NK",VLOOKUP(H1472,'Yield &amp; Time'!A:X,24,0))</f>
        <v>100%</v>
      </c>
      <c r="N1472" s="35">
        <f t="shared" si="449"/>
        <v>1</v>
      </c>
      <c r="O1472" s="1" t="str">
        <f>VLOOKUP(H1472,'RM Used'!A:E,5,0)</f>
        <v>Count</v>
      </c>
      <c r="P1472" s="11">
        <f>VLOOKUP(H1472,'RM Used'!A:F,6,0)</f>
        <v>0.14000000000000001</v>
      </c>
      <c r="Q1472" s="11">
        <f t="shared" si="427"/>
        <v>0.14000000000000001</v>
      </c>
      <c r="R1472" s="11" cm="1">
        <f t="array" ref="R1472">IFERROR(_xlfn.IFS(B1472="Reynolds",VLOOKUP(H1472,'Yield &amp; Time'!A:U,21,0),B1472="Dnata",VLOOKUP(H1472,'Yield &amp; Time'!A:L,12,0),B1472="NK",VLOOKUP(H1472,'Yield &amp; Time'!A:W,23,0)),0)</f>
        <v>0</v>
      </c>
      <c r="S1472" s="11">
        <f t="shared" si="419"/>
        <v>0</v>
      </c>
      <c r="T1472" s="11">
        <f t="shared" si="420"/>
        <v>0</v>
      </c>
      <c r="U1472" s="11">
        <f>IF(A1471=A1472,0,VLOOKUP(A1472,'Packing Time'!A:F,6,0))</f>
        <v>0</v>
      </c>
      <c r="V1472" s="11">
        <f t="shared" si="445"/>
        <v>0</v>
      </c>
      <c r="W1472" s="11">
        <f t="shared" si="446"/>
        <v>0</v>
      </c>
      <c r="X1472" s="11">
        <f t="shared" si="421"/>
        <v>0</v>
      </c>
      <c r="Y1472" s="11">
        <f t="shared" si="447"/>
        <v>0</v>
      </c>
      <c r="Z1472" s="37">
        <v>1</v>
      </c>
      <c r="AA1472" s="36">
        <f t="shared" si="422"/>
        <v>1</v>
      </c>
      <c r="AB1472" s="11">
        <f t="shared" si="423"/>
        <v>0.14000000000000001</v>
      </c>
      <c r="AC1472" s="11">
        <f t="shared" si="424"/>
        <v>0</v>
      </c>
      <c r="AD1472" s="36">
        <f t="shared" si="448"/>
        <v>0</v>
      </c>
      <c r="AE1472" s="36"/>
      <c r="AF1472" s="36">
        <f>IFERROR(VLOOKUP(AE1472,'Chemical Cost'!A:D,4,0),0)</f>
        <v>0</v>
      </c>
      <c r="AG1472" s="114">
        <f t="shared" si="425"/>
        <v>0</v>
      </c>
      <c r="AH1472" s="36">
        <f t="shared" si="438"/>
        <v>0</v>
      </c>
      <c r="AI1472" s="36">
        <f t="shared" si="450"/>
        <v>0.14000000000000001</v>
      </c>
      <c r="AJ1472" s="36">
        <f>IFERROR(VLOOKUP(A1472,'All Products'!A:F,6,0),0)</f>
        <v>1.87</v>
      </c>
      <c r="AK1472" s="1"/>
      <c r="AL1472" s="1"/>
      <c r="AM1472" s="1"/>
      <c r="AN1472" s="54" t="e">
        <v>#N/A</v>
      </c>
      <c r="AP1472" s="4">
        <v>1.6</v>
      </c>
      <c r="AQ1472" s="111">
        <f t="shared" si="426"/>
        <v>0</v>
      </c>
      <c r="AR1472">
        <f>_xlfn.XLOOKUP(F1472,'RM Cost'!A:A,'RM Cost'!S:S)</f>
        <v>0</v>
      </c>
      <c r="AS1472" t="e">
        <f>_xlfn.XLOOKUP(A1472,[3]Sheet1!$B:$B,[3]Sheet1!$B:$B)</f>
        <v>#N/A</v>
      </c>
    </row>
    <row r="1473" spans="1:46" x14ac:dyDescent="0.25">
      <c r="A1473" s="1" t="s">
        <v>4387</v>
      </c>
      <c r="B1473" s="2" t="s">
        <v>4377</v>
      </c>
      <c r="C1473" s="1" t="s">
        <v>4438</v>
      </c>
      <c r="D1473" s="2" t="s">
        <v>554</v>
      </c>
      <c r="E1473" s="2">
        <v>1</v>
      </c>
      <c r="F1473" s="1" t="str">
        <f>VLOOKUP(H1473,'RM Used'!A:B,2,0)</f>
        <v>024BCS</v>
      </c>
      <c r="G1473" s="1" t="str">
        <f>IFERROR(VLOOKUP(F1473,'RM Cost'!A:B,2,0),"")</f>
        <v>RM - MUSHROOM BUTTON 30-40M 3KG</v>
      </c>
      <c r="H1473" s="1" t="s">
        <v>4479</v>
      </c>
      <c r="I1473" s="1" t="str">
        <f>VLOOKUP(F1473,'RM Used'!B:D,3,0)</f>
        <v>RM-FOOD</v>
      </c>
      <c r="J1473" s="66">
        <v>1</v>
      </c>
      <c r="K1473" s="35">
        <f t="shared" si="444"/>
        <v>1</v>
      </c>
      <c r="L1473" s="35">
        <f t="shared" si="418"/>
        <v>1</v>
      </c>
      <c r="M1473" s="77" cm="1">
        <f t="array" ref="M1473">_xlfn.IFS(BOM!I1473="RM-PACKING","100%",B1473="Reynolds",VLOOKUP(H1473,'Yield &amp; Time'!A:V,22,0),BOM!B1473="Dnata",VLOOKUP(BOM!H1473,'Yield &amp; Time'!A:M,13,0),B1473="NK",VLOOKUP(H1473,'Yield &amp; Time'!A:X,24,0))</f>
        <v>0.98</v>
      </c>
      <c r="N1473" s="35">
        <f t="shared" si="449"/>
        <v>1.0204081632653061</v>
      </c>
      <c r="O1473" s="1" t="str">
        <f>VLOOKUP(H1473,'RM Used'!A:E,5,0)</f>
        <v>KG</v>
      </c>
      <c r="P1473" s="11">
        <f>VLOOKUP(H1473,'RM Used'!A:F,6,0)</f>
        <v>1.85</v>
      </c>
      <c r="Q1473" s="11">
        <f t="shared" si="427"/>
        <v>1.8877551020408165</v>
      </c>
      <c r="R1473" s="11" cm="1">
        <f t="array" ref="R1473">IFERROR(_xlfn.IFS(B1473="Reynolds",VLOOKUP(H1473,'Yield &amp; Time'!A:U,21,0),B1473="Dnata",VLOOKUP(H1473,'Yield &amp; Time'!A:L,12,0),B1473="NK",VLOOKUP(H1473,'Yield &amp; Time'!A:W,23,0)),0)</f>
        <v>0.11</v>
      </c>
      <c r="S1473" s="11">
        <f t="shared" si="419"/>
        <v>3.7234999999999997E-2</v>
      </c>
      <c r="T1473" s="11">
        <f t="shared" si="420"/>
        <v>1.8333333333333333E-3</v>
      </c>
      <c r="U1473" s="11">
        <f>IF(A1472=A1473,0,VLOOKUP(A1473,'Packing Time'!A:F,6,0))</f>
        <v>0.64500000000000002</v>
      </c>
      <c r="V1473" s="11">
        <f t="shared" si="445"/>
        <v>0.21833249999999998</v>
      </c>
      <c r="W1473" s="11">
        <f t="shared" si="446"/>
        <v>1.0750000000000001E-2</v>
      </c>
      <c r="X1473" s="11">
        <f t="shared" si="421"/>
        <v>0.31945937499999999</v>
      </c>
      <c r="Y1473" s="11">
        <f t="shared" si="447"/>
        <v>0.31945937499999999</v>
      </c>
      <c r="Z1473" s="37">
        <v>1</v>
      </c>
      <c r="AA1473" s="36">
        <f t="shared" si="422"/>
        <v>1.0204081632653061</v>
      </c>
      <c r="AB1473" s="11">
        <f t="shared" si="423"/>
        <v>1.8877551020408165</v>
      </c>
      <c r="AC1473" s="11">
        <f t="shared" si="424"/>
        <v>1.5729166666666666E-2</v>
      </c>
      <c r="AD1473" s="36">
        <f t="shared" si="448"/>
        <v>0.31945937499999993</v>
      </c>
      <c r="AE1473" s="36"/>
      <c r="AF1473" s="36">
        <f>IFERROR(VLOOKUP(AE1473,'Chemical Cost'!A:D,4,0),0)</f>
        <v>0</v>
      </c>
      <c r="AG1473" s="114">
        <f t="shared" si="425"/>
        <v>0</v>
      </c>
      <c r="AH1473" s="36">
        <f t="shared" si="438"/>
        <v>0</v>
      </c>
      <c r="AI1473" s="36">
        <f t="shared" si="450"/>
        <v>2.2072144770408166</v>
      </c>
      <c r="AJ1473" s="36">
        <f>IFERROR(VLOOKUP(A1473,'All Products'!A:F,6,0),0)</f>
        <v>5.19</v>
      </c>
      <c r="AK1473" s="1"/>
      <c r="AL1473" s="1"/>
      <c r="AM1473" s="1"/>
      <c r="AN1473" s="54" t="e">
        <v>#N/A</v>
      </c>
      <c r="AP1473" s="4">
        <v>1.25</v>
      </c>
      <c r="AQ1473" s="111">
        <f t="shared" si="426"/>
        <v>1.5729166666666666E-2</v>
      </c>
      <c r="AR1473">
        <f>_xlfn.XLOOKUP(F1473,'RM Cost'!A:A,'RM Cost'!S:S)</f>
        <v>0</v>
      </c>
      <c r="AS1473" t="str">
        <f>_xlfn.XLOOKUP(A1473,[3]Sheet1!$B:$B,[3]Sheet1!$B:$B)</f>
        <v>N011CS</v>
      </c>
      <c r="AT1473">
        <f>_xlfn.XLOOKUP(H1473,'Yield &amp; Time'!A:A,'Yield &amp; Time'!F:F)</f>
        <v>0</v>
      </c>
    </row>
    <row r="1474" spans="1:46" x14ac:dyDescent="0.25">
      <c r="A1474" s="1" t="s">
        <v>4387</v>
      </c>
      <c r="B1474" s="1" t="s">
        <v>4377</v>
      </c>
      <c r="C1474" s="1" t="s">
        <v>4438</v>
      </c>
      <c r="D1474" s="1" t="s">
        <v>554</v>
      </c>
      <c r="E1474" s="2">
        <v>1</v>
      </c>
      <c r="F1474" s="1" t="str">
        <f>VLOOKUP(H1474,'RM Used'!A:B,2,0)</f>
        <v>P0008</v>
      </c>
      <c r="G1474" s="1" t="str">
        <f>IFERROR(VLOOKUP(F1474,'RM Cost'!A:B,2,0),"")</f>
        <v>PALE BLUE BAG 470X750MM</v>
      </c>
      <c r="H1474" s="1" t="s">
        <v>1323</v>
      </c>
      <c r="I1474" s="1" t="str">
        <f>VLOOKUP(F1474,'RM Used'!B:D,3,0)</f>
        <v>RM-PACKING</v>
      </c>
      <c r="J1474" s="66">
        <v>1</v>
      </c>
      <c r="K1474" s="35" t="str">
        <f t="shared" si="444"/>
        <v/>
      </c>
      <c r="L1474" s="35">
        <f t="shared" ref="L1474:L1537" si="451">IFERROR(K1474*Z1474,0)</f>
        <v>0</v>
      </c>
      <c r="M1474" s="77" t="str" cm="1">
        <f t="array" ref="M1474">_xlfn.IFS(BOM!I1474="RM-PACKING","100%",B1474="Reynolds",VLOOKUP(H1474,'Yield &amp; Time'!A:V,22,0),BOM!B1474="Dnata",VLOOKUP(BOM!H1474,'Yield &amp; Time'!A:M,13,0),B1474="NK",VLOOKUP(H1474,'Yield &amp; Time'!A:X,24,0))</f>
        <v>100%</v>
      </c>
      <c r="N1474" s="35">
        <f t="shared" si="449"/>
        <v>1</v>
      </c>
      <c r="O1474" s="1" t="str">
        <f>VLOOKUP(H1474,'RM Used'!A:E,5,0)</f>
        <v>Count</v>
      </c>
      <c r="P1474" s="11">
        <f>VLOOKUP(H1474,'RM Used'!A:F,6,0)</f>
        <v>0.14000000000000001</v>
      </c>
      <c r="Q1474" s="11">
        <f t="shared" si="427"/>
        <v>0.14000000000000001</v>
      </c>
      <c r="R1474" s="11" cm="1">
        <f t="array" ref="R1474">IFERROR(_xlfn.IFS(B1474="Reynolds",VLOOKUP(H1474,'Yield &amp; Time'!A:U,21,0),B1474="Dnata",VLOOKUP(H1474,'Yield &amp; Time'!A:L,12,0),B1474="NK",VLOOKUP(H1474,'Yield &amp; Time'!A:W,23,0)),0)</f>
        <v>0</v>
      </c>
      <c r="S1474" s="11">
        <f t="shared" ref="S1474:S1537" si="452">R1474*J1474*E1474*AO$1</f>
        <v>0</v>
      </c>
      <c r="T1474" s="11">
        <f t="shared" ref="T1474:T1537" si="453">(R1474*Z1474*J1474*E1474)/60</f>
        <v>0</v>
      </c>
      <c r="U1474" s="11">
        <f>IF(A1473=A1474,0,VLOOKUP(A1474,'Packing Time'!A:F,6,0))</f>
        <v>0</v>
      </c>
      <c r="V1474" s="11">
        <f t="shared" si="445"/>
        <v>0</v>
      </c>
      <c r="W1474" s="11">
        <f t="shared" si="446"/>
        <v>0</v>
      </c>
      <c r="X1474" s="11">
        <f t="shared" ref="X1474:X1537" si="454">((R1474*J1474*E1474)+U1474)*AO$1*AP1474</f>
        <v>0</v>
      </c>
      <c r="Y1474" s="11">
        <f t="shared" si="447"/>
        <v>0</v>
      </c>
      <c r="Z1474" s="37">
        <v>1</v>
      </c>
      <c r="AA1474" s="36">
        <f t="shared" ref="AA1474:AA1537" si="455">Z1474*N1474</f>
        <v>1</v>
      </c>
      <c r="AB1474" s="11">
        <f t="shared" ref="AB1474:AB1537" si="456">AA1474*P1474</f>
        <v>0.14000000000000001</v>
      </c>
      <c r="AC1474" s="11">
        <f t="shared" ref="AC1474:AC1537" si="457">(((R1474*J1474*E1474)+U1474)/60)*Z1474*AP1474</f>
        <v>0</v>
      </c>
      <c r="AD1474" s="36">
        <f t="shared" si="448"/>
        <v>0</v>
      </c>
      <c r="AE1474" s="36"/>
      <c r="AF1474" s="36">
        <f>IFERROR(VLOOKUP(AE1474,'Chemical Cost'!A:D,4,0),0)</f>
        <v>0</v>
      </c>
      <c r="AG1474" s="114">
        <f t="shared" ref="AG1474:AG1537" si="458">AF1474*N1474/3</f>
        <v>0</v>
      </c>
      <c r="AH1474" s="36">
        <f t="shared" si="438"/>
        <v>0</v>
      </c>
      <c r="AI1474" s="36">
        <f t="shared" si="450"/>
        <v>0.14000000000000001</v>
      </c>
      <c r="AJ1474" s="36">
        <f>IFERROR(VLOOKUP(A1474,'All Products'!A:F,6,0),0)</f>
        <v>5.19</v>
      </c>
      <c r="AK1474" s="1"/>
      <c r="AL1474" s="1"/>
      <c r="AM1474" s="1"/>
      <c r="AN1474" s="54" t="e">
        <v>#N/A</v>
      </c>
      <c r="AP1474" s="4">
        <v>1.25</v>
      </c>
      <c r="AQ1474" s="111">
        <f t="shared" ref="AQ1474:AQ1537" si="459">(((R1474*J1474*E1474)+U1474)/60)*AP1474</f>
        <v>0</v>
      </c>
      <c r="AR1474">
        <f>_xlfn.XLOOKUP(F1474,'RM Cost'!A:A,'RM Cost'!S:S)</f>
        <v>0</v>
      </c>
      <c r="AS1474" t="str">
        <f>_xlfn.XLOOKUP(A1474,[3]Sheet1!$B:$B,[3]Sheet1!$B:$B)</f>
        <v>N011CS</v>
      </c>
      <c r="AT1474" t="e">
        <f>_xlfn.XLOOKUP(H1474,'Yield &amp; Time'!A:A,'Yield &amp; Time'!F:F)</f>
        <v>#N/A</v>
      </c>
    </row>
    <row r="1475" spans="1:46" x14ac:dyDescent="0.25">
      <c r="A1475" s="1" t="s">
        <v>4388</v>
      </c>
      <c r="B1475" s="2" t="s">
        <v>4377</v>
      </c>
      <c r="C1475" s="1" t="s">
        <v>4520</v>
      </c>
      <c r="D1475" s="2" t="s">
        <v>554</v>
      </c>
      <c r="E1475" s="2">
        <v>0.4</v>
      </c>
      <c r="F1475" s="1" t="str">
        <f>VLOOKUP(H1475,'RM Used'!A:B,2,0)</f>
        <v>2794CS</v>
      </c>
      <c r="G1475" s="1" t="str">
        <f>IFERROR(VLOOKUP(F1475,'RM Cost'!A:B,2,0),"")</f>
        <v>RM - MELON YELLOW X 6EA</v>
      </c>
      <c r="H1475" s="1" t="s">
        <v>4480</v>
      </c>
      <c r="I1475" s="1" t="str">
        <f>VLOOKUP(F1475,'RM Used'!B:D,3,0)</f>
        <v>RM-FOOD</v>
      </c>
      <c r="J1475" s="66">
        <v>1</v>
      </c>
      <c r="K1475" s="35">
        <f t="shared" si="444"/>
        <v>0.4</v>
      </c>
      <c r="L1475" s="35">
        <f t="shared" si="451"/>
        <v>0.4</v>
      </c>
      <c r="M1475" s="77" cm="1">
        <f t="array" ref="M1475">_xlfn.IFS(BOM!I1475="RM-PACKING","100%",B1475="Reynolds",VLOOKUP(H1475,'Yield &amp; Time'!A:V,22,0),BOM!B1475="Dnata",VLOOKUP(BOM!H1475,'Yield &amp; Time'!A:M,13,0),B1475="NK",VLOOKUP(H1475,'Yield &amp; Time'!A:X,24,0))</f>
        <v>0.57538461538461538</v>
      </c>
      <c r="N1475" s="35">
        <f t="shared" si="449"/>
        <v>0.69518716577540107</v>
      </c>
      <c r="O1475" s="1" t="str">
        <f>VLOOKUP(H1475,'RM Used'!A:E,5,0)</f>
        <v>KG</v>
      </c>
      <c r="P1475" s="11">
        <f>VLOOKUP(H1475,'RM Used'!A:F,6,0)</f>
        <v>0.81</v>
      </c>
      <c r="Q1475" s="11">
        <f t="shared" ref="Q1475:Q1538" si="460">P1475*N1475</f>
        <v>0.56310160427807487</v>
      </c>
      <c r="R1475" s="11" cm="1">
        <f t="array" ref="R1475">IFERROR(_xlfn.IFS(B1475="Reynolds",VLOOKUP(H1475,'Yield &amp; Time'!A:U,21,0),B1475="Dnata",VLOOKUP(H1475,'Yield &amp; Time'!A:L,12,0),B1475="NK",VLOOKUP(H1475,'Yield &amp; Time'!A:W,23,0)),0)</f>
        <v>2.41</v>
      </c>
      <c r="S1475" s="11">
        <f t="shared" si="452"/>
        <v>0.32631399999999999</v>
      </c>
      <c r="T1475" s="11">
        <f t="shared" si="453"/>
        <v>1.6066666666666667E-2</v>
      </c>
      <c r="U1475" s="11">
        <f>IF(A1474=A1475,0,VLOOKUP(A1475,'Packing Time'!A:F,6,0))</f>
        <v>0.45</v>
      </c>
      <c r="V1475" s="11">
        <f t="shared" si="445"/>
        <v>0.15232499999999999</v>
      </c>
      <c r="W1475" s="11">
        <f t="shared" si="446"/>
        <v>7.5000000000000006E-3</v>
      </c>
      <c r="X1475" s="11">
        <f t="shared" si="454"/>
        <v>0.76582240000000001</v>
      </c>
      <c r="Y1475" s="11">
        <f t="shared" si="447"/>
        <v>0.76582240000000001</v>
      </c>
      <c r="Z1475" s="37">
        <v>1</v>
      </c>
      <c r="AA1475" s="36">
        <f t="shared" si="455"/>
        <v>0.69518716577540107</v>
      </c>
      <c r="AB1475" s="11">
        <f t="shared" si="456"/>
        <v>0.56310160427807487</v>
      </c>
      <c r="AC1475" s="11">
        <f t="shared" si="457"/>
        <v>3.7706666666666673E-2</v>
      </c>
      <c r="AD1475" s="36">
        <f t="shared" si="448"/>
        <v>0.76582240000000001</v>
      </c>
      <c r="AE1475" s="36"/>
      <c r="AF1475" s="36">
        <f>IFERROR(VLOOKUP(AE1475,'Chemical Cost'!A:D,4,0),0)</f>
        <v>0</v>
      </c>
      <c r="AG1475" s="114">
        <f t="shared" si="458"/>
        <v>0</v>
      </c>
      <c r="AH1475" s="36">
        <f t="shared" si="438"/>
        <v>0</v>
      </c>
      <c r="AI1475" s="36">
        <f t="shared" si="450"/>
        <v>1.328924004278075</v>
      </c>
      <c r="AJ1475" s="36">
        <f>IFERROR(VLOOKUP(A1475,'All Products'!A:F,6,0),0)</f>
        <v>4.1500000000000004</v>
      </c>
      <c r="AK1475" s="1"/>
      <c r="AL1475" s="1"/>
      <c r="AM1475" s="1"/>
      <c r="AN1475" s="54" t="e">
        <v>#N/A</v>
      </c>
      <c r="AP1475" s="4">
        <v>1.6</v>
      </c>
      <c r="AQ1475" s="111">
        <f t="shared" si="459"/>
        <v>3.7706666666666673E-2</v>
      </c>
      <c r="AR1475">
        <f>_xlfn.XLOOKUP(F1475,'RM Cost'!A:A,'RM Cost'!S:S)</f>
        <v>0</v>
      </c>
      <c r="AS1475" t="e">
        <f>_xlfn.XLOOKUP(A1475,[3]Sheet1!$B:$B,[3]Sheet1!$B:$B)</f>
        <v>#N/A</v>
      </c>
    </row>
    <row r="1476" spans="1:46" x14ac:dyDescent="0.25">
      <c r="A1476" s="1" t="s">
        <v>4388</v>
      </c>
      <c r="B1476" s="1" t="s">
        <v>4377</v>
      </c>
      <c r="C1476" s="1" t="s">
        <v>4520</v>
      </c>
      <c r="D1476" s="1" t="s">
        <v>554</v>
      </c>
      <c r="E1476" s="2">
        <v>0.4</v>
      </c>
      <c r="F1476" s="1" t="str">
        <f>VLOOKUP(H1476,'RM Used'!A:B,2,0)</f>
        <v>P0021</v>
      </c>
      <c r="G1476" s="1" t="str">
        <f>IFERROR(VLOOKUP(F1476,'RM Cost'!A:B,2,0),"")</f>
        <v>1000ML RECT TAMPER EVID POTS &amp; LIDS</v>
      </c>
      <c r="H1476" s="1" t="s">
        <v>4505</v>
      </c>
      <c r="I1476" s="1" t="str">
        <f>VLOOKUP(F1476,'RM Used'!B:D,3,0)</f>
        <v>RM-PACKING</v>
      </c>
      <c r="J1476" s="66">
        <v>1</v>
      </c>
      <c r="K1476" s="35" t="str">
        <f t="shared" si="444"/>
        <v/>
      </c>
      <c r="L1476" s="35">
        <f t="shared" si="451"/>
        <v>0</v>
      </c>
      <c r="M1476" s="77" t="str" cm="1">
        <f t="array" ref="M1476">_xlfn.IFS(BOM!I1476="RM-PACKING","100%",B1476="Reynolds",VLOOKUP(H1476,'Yield &amp; Time'!A:V,22,0),BOM!B1476="Dnata",VLOOKUP(BOM!H1476,'Yield &amp; Time'!A:M,13,0),B1476="NK",VLOOKUP(H1476,'Yield &amp; Time'!A:X,24,0))</f>
        <v>100%</v>
      </c>
      <c r="N1476" s="35">
        <f t="shared" si="449"/>
        <v>1</v>
      </c>
      <c r="O1476" s="1" t="str">
        <f>VLOOKUP(H1476,'RM Used'!A:E,5,0)</f>
        <v>Count</v>
      </c>
      <c r="P1476" s="11">
        <f>VLOOKUP(H1476,'RM Used'!A:F,6,0)</f>
        <v>0.4</v>
      </c>
      <c r="Q1476" s="11">
        <f t="shared" si="460"/>
        <v>0.4</v>
      </c>
      <c r="R1476" s="11" cm="1">
        <f t="array" ref="R1476">IFERROR(_xlfn.IFS(B1476="Reynolds",VLOOKUP(H1476,'Yield &amp; Time'!A:U,21,0),B1476="Dnata",VLOOKUP(H1476,'Yield &amp; Time'!A:L,12,0),B1476="NK",VLOOKUP(H1476,'Yield &amp; Time'!A:W,23,0)),0)</f>
        <v>0</v>
      </c>
      <c r="S1476" s="11">
        <f t="shared" si="452"/>
        <v>0</v>
      </c>
      <c r="T1476" s="11">
        <f t="shared" si="453"/>
        <v>0</v>
      </c>
      <c r="U1476" s="11">
        <f>IF(A1475=A1476,0,VLOOKUP(A1476,'Packing Time'!A:F,6,0))</f>
        <v>0</v>
      </c>
      <c r="V1476" s="11">
        <f t="shared" si="445"/>
        <v>0</v>
      </c>
      <c r="W1476" s="11">
        <f t="shared" si="446"/>
        <v>0</v>
      </c>
      <c r="X1476" s="11">
        <f t="shared" si="454"/>
        <v>0</v>
      </c>
      <c r="Y1476" s="11">
        <f t="shared" si="447"/>
        <v>0</v>
      </c>
      <c r="Z1476" s="37">
        <v>1</v>
      </c>
      <c r="AA1476" s="36">
        <f t="shared" si="455"/>
        <v>1</v>
      </c>
      <c r="AB1476" s="11">
        <f t="shared" si="456"/>
        <v>0.4</v>
      </c>
      <c r="AC1476" s="11">
        <f t="shared" si="457"/>
        <v>0</v>
      </c>
      <c r="AD1476" s="36">
        <f t="shared" si="448"/>
        <v>0</v>
      </c>
      <c r="AE1476" s="36"/>
      <c r="AF1476" s="36">
        <f>IFERROR(VLOOKUP(AE1476,'Chemical Cost'!A:D,4,0),0)</f>
        <v>0</v>
      </c>
      <c r="AG1476" s="114">
        <f t="shared" si="458"/>
        <v>0</v>
      </c>
      <c r="AH1476" s="36">
        <f t="shared" si="438"/>
        <v>0</v>
      </c>
      <c r="AI1476" s="36">
        <f t="shared" si="450"/>
        <v>0.4</v>
      </c>
      <c r="AJ1476" s="36">
        <f>IFERROR(VLOOKUP(A1476,'All Products'!A:F,6,0),0)</f>
        <v>4.1500000000000004</v>
      </c>
      <c r="AK1476" s="1"/>
      <c r="AL1476" s="1"/>
      <c r="AM1476" s="1"/>
      <c r="AN1476" s="54" t="e">
        <v>#N/A</v>
      </c>
      <c r="AP1476" s="4">
        <v>1.6</v>
      </c>
      <c r="AQ1476" s="111">
        <f t="shared" si="459"/>
        <v>0</v>
      </c>
      <c r="AR1476">
        <f>_xlfn.XLOOKUP(F1476,'RM Cost'!A:A,'RM Cost'!S:S)</f>
        <v>0</v>
      </c>
      <c r="AS1476" t="e">
        <f>_xlfn.XLOOKUP(A1476,[3]Sheet1!$B:$B,[3]Sheet1!$B:$B)</f>
        <v>#N/A</v>
      </c>
    </row>
    <row r="1477" spans="1:46" x14ac:dyDescent="0.25">
      <c r="A1477" s="12" t="s">
        <v>4389</v>
      </c>
      <c r="B1477" s="48" t="s">
        <v>4377</v>
      </c>
      <c r="C1477" s="12" t="s">
        <v>4440</v>
      </c>
      <c r="D1477" s="48" t="s">
        <v>554</v>
      </c>
      <c r="E1477" s="48">
        <v>1</v>
      </c>
      <c r="F1477" s="1" t="str">
        <f>VLOOKUP(H1477,'RM Used'!A:B,2,0)</f>
        <v>F218CS</v>
      </c>
      <c r="G1477" s="1" t="str">
        <f>IFERROR(VLOOKUP(F1477,'RM Cost'!A:B,2,0),"")</f>
        <v>RM - GINGER FROZEN 10KG</v>
      </c>
      <c r="H1477" s="1" t="s">
        <v>1519</v>
      </c>
      <c r="I1477" s="1" t="str">
        <f>VLOOKUP(F1477,'RM Used'!B:D,3,0)</f>
        <v>RM-FOOD</v>
      </c>
      <c r="J1477" s="66">
        <v>1</v>
      </c>
      <c r="K1477" s="35">
        <f t="shared" si="444"/>
        <v>1</v>
      </c>
      <c r="L1477" s="35">
        <f t="shared" si="451"/>
        <v>1</v>
      </c>
      <c r="M1477" s="77" cm="1">
        <f t="array" ref="M1477">_xlfn.IFS(BOM!I1477="RM-PACKING","100%",B1477="Reynolds",VLOOKUP(H1477,'Yield &amp; Time'!A:V,22,0),BOM!B1477="Dnata",VLOOKUP(BOM!H1477,'Yield &amp; Time'!A:M,13,0),B1477="NK",VLOOKUP(H1477,'Yield &amp; Time'!A:X,24,0))</f>
        <v>0.7</v>
      </c>
      <c r="N1477" s="35">
        <f t="shared" si="449"/>
        <v>1.4285714285714286</v>
      </c>
      <c r="O1477" s="1" t="str">
        <f>VLOOKUP(H1477,'RM Used'!A:E,5,0)</f>
        <v>KG</v>
      </c>
      <c r="P1477" s="11">
        <f>VLOOKUP(H1477,'RM Used'!A:F,6,0)</f>
        <v>1.64</v>
      </c>
      <c r="Q1477" s="11">
        <f t="shared" si="460"/>
        <v>2.342857142857143</v>
      </c>
      <c r="R1477" s="11" cm="1">
        <f t="array" ref="R1477">IFERROR(_xlfn.IFS(B1477="Reynolds",VLOOKUP(H1477,'Yield &amp; Time'!A:U,21,0),B1477="Dnata",VLOOKUP(H1477,'Yield &amp; Time'!A:L,12,0),B1477="NK",VLOOKUP(H1477,'Yield &amp; Time'!A:W,23,0)),0)</f>
        <v>1.55</v>
      </c>
      <c r="S1477" s="11">
        <f t="shared" si="452"/>
        <v>0.524675</v>
      </c>
      <c r="T1477" s="11">
        <f t="shared" si="453"/>
        <v>2.5833333333333333E-2</v>
      </c>
      <c r="U1477" s="11">
        <f>IF(A1476=A1477,0,VLOOKUP(A1477,'Packing Time'!A:F,6,0))</f>
        <v>0.64500000000000002</v>
      </c>
      <c r="V1477" s="11">
        <f t="shared" si="445"/>
        <v>0.21833249999999998</v>
      </c>
      <c r="W1477" s="11">
        <f t="shared" si="446"/>
        <v>1.0750000000000001E-2</v>
      </c>
      <c r="X1477" s="11">
        <f t="shared" si="454"/>
        <v>1.1888120000000002</v>
      </c>
      <c r="Y1477" s="11">
        <f t="shared" si="447"/>
        <v>1.1888120000000002</v>
      </c>
      <c r="Z1477" s="37">
        <v>1</v>
      </c>
      <c r="AA1477" s="36">
        <f t="shared" si="455"/>
        <v>1.4285714285714286</v>
      </c>
      <c r="AB1477" s="11">
        <f t="shared" si="456"/>
        <v>2.342857142857143</v>
      </c>
      <c r="AC1477" s="11">
        <f t="shared" si="457"/>
        <v>5.853333333333334E-2</v>
      </c>
      <c r="AD1477" s="36">
        <f t="shared" si="448"/>
        <v>1.188812</v>
      </c>
      <c r="AE1477" s="36"/>
      <c r="AF1477" s="36">
        <f>IFERROR(VLOOKUP(AE1477,'Chemical Cost'!A:D,4,0),0)</f>
        <v>0</v>
      </c>
      <c r="AG1477" s="114">
        <f t="shared" si="458"/>
        <v>0</v>
      </c>
      <c r="AH1477" s="36">
        <f t="shared" si="438"/>
        <v>0</v>
      </c>
      <c r="AI1477" s="36">
        <f t="shared" si="450"/>
        <v>3.531669142857143</v>
      </c>
      <c r="AJ1477" s="36">
        <f>IFERROR(VLOOKUP(A1477,'All Products'!A:F,6,0),0)</f>
        <v>47.22</v>
      </c>
      <c r="AK1477" s="1"/>
      <c r="AL1477" s="1"/>
      <c r="AM1477" s="1"/>
      <c r="AN1477" s="54" t="e">
        <v>#N/A</v>
      </c>
      <c r="AP1477" s="4">
        <v>1.6</v>
      </c>
      <c r="AQ1477" s="111">
        <f t="shared" si="459"/>
        <v>5.853333333333334E-2</v>
      </c>
      <c r="AR1477">
        <f>_xlfn.XLOOKUP(F1477,'RM Cost'!A:A,'RM Cost'!S:S)</f>
        <v>0</v>
      </c>
      <c r="AS1477" t="e">
        <f>_xlfn.XLOOKUP(A1477,[3]Sheet1!$B:$B,[3]Sheet1!$B:$B)</f>
        <v>#N/A</v>
      </c>
    </row>
    <row r="1478" spans="1:46" x14ac:dyDescent="0.25">
      <c r="A1478" s="12" t="s">
        <v>4389</v>
      </c>
      <c r="B1478" s="12" t="s">
        <v>4377</v>
      </c>
      <c r="C1478" s="12" t="s">
        <v>4440</v>
      </c>
      <c r="D1478" s="12" t="s">
        <v>554</v>
      </c>
      <c r="E1478" s="48">
        <v>1</v>
      </c>
      <c r="F1478" s="1" t="str">
        <f>VLOOKUP(H1478,'RM Used'!A:B,2,0)</f>
        <v>P0008</v>
      </c>
      <c r="G1478" s="1" t="str">
        <f>IFERROR(VLOOKUP(F1478,'RM Cost'!A:B,2,0),"")</f>
        <v>PALE BLUE BAG 470X750MM</v>
      </c>
      <c r="H1478" s="1" t="s">
        <v>1323</v>
      </c>
      <c r="I1478" s="1" t="str">
        <f>VLOOKUP(F1478,'RM Used'!B:D,3,0)</f>
        <v>RM-PACKING</v>
      </c>
      <c r="J1478" s="66">
        <v>1</v>
      </c>
      <c r="K1478" s="35" t="str">
        <f t="shared" si="444"/>
        <v/>
      </c>
      <c r="L1478" s="35">
        <f t="shared" si="451"/>
        <v>0</v>
      </c>
      <c r="M1478" s="77" t="str" cm="1">
        <f t="array" ref="M1478">_xlfn.IFS(BOM!I1478="RM-PACKING","100%",B1478="Reynolds",VLOOKUP(H1478,'Yield &amp; Time'!A:V,22,0),BOM!B1478="Dnata",VLOOKUP(BOM!H1478,'Yield &amp; Time'!A:M,13,0),B1478="NK",VLOOKUP(H1478,'Yield &amp; Time'!A:X,24,0))</f>
        <v>100%</v>
      </c>
      <c r="N1478" s="35">
        <f t="shared" si="449"/>
        <v>1</v>
      </c>
      <c r="O1478" s="1" t="str">
        <f>VLOOKUP(H1478,'RM Used'!A:E,5,0)</f>
        <v>Count</v>
      </c>
      <c r="P1478" s="11">
        <f>VLOOKUP(H1478,'RM Used'!A:F,6,0)</f>
        <v>0.14000000000000001</v>
      </c>
      <c r="Q1478" s="11">
        <f t="shared" si="460"/>
        <v>0.14000000000000001</v>
      </c>
      <c r="R1478" s="11" cm="1">
        <f t="array" ref="R1478">IFERROR(_xlfn.IFS(B1478="Reynolds",VLOOKUP(H1478,'Yield &amp; Time'!A:U,21,0),B1478="Dnata",VLOOKUP(H1478,'Yield &amp; Time'!A:L,12,0),B1478="NK",VLOOKUP(H1478,'Yield &amp; Time'!A:W,23,0)),0)</f>
        <v>0</v>
      </c>
      <c r="S1478" s="11">
        <f t="shared" si="452"/>
        <v>0</v>
      </c>
      <c r="T1478" s="11">
        <f t="shared" si="453"/>
        <v>0</v>
      </c>
      <c r="U1478" s="11">
        <f>IF(A1477=A1478,0,VLOOKUP(A1478,'Packing Time'!A:F,6,0))</f>
        <v>0</v>
      </c>
      <c r="V1478" s="11">
        <f t="shared" si="445"/>
        <v>0</v>
      </c>
      <c r="W1478" s="11">
        <f t="shared" si="446"/>
        <v>0</v>
      </c>
      <c r="X1478" s="11">
        <f t="shared" si="454"/>
        <v>0</v>
      </c>
      <c r="Y1478" s="11">
        <f t="shared" si="447"/>
        <v>0</v>
      </c>
      <c r="Z1478" s="37">
        <v>1</v>
      </c>
      <c r="AA1478" s="36">
        <f t="shared" si="455"/>
        <v>1</v>
      </c>
      <c r="AB1478" s="11">
        <f t="shared" si="456"/>
        <v>0.14000000000000001</v>
      </c>
      <c r="AC1478" s="11">
        <f t="shared" si="457"/>
        <v>0</v>
      </c>
      <c r="AD1478" s="36">
        <f t="shared" si="448"/>
        <v>0</v>
      </c>
      <c r="AE1478" s="36"/>
      <c r="AF1478" s="36">
        <f>IFERROR(VLOOKUP(AE1478,'Chemical Cost'!A:D,4,0),0)</f>
        <v>0</v>
      </c>
      <c r="AG1478" s="114">
        <f t="shared" si="458"/>
        <v>0</v>
      </c>
      <c r="AH1478" s="36">
        <f t="shared" si="438"/>
        <v>0</v>
      </c>
      <c r="AI1478" s="36">
        <f t="shared" si="450"/>
        <v>0.14000000000000001</v>
      </c>
      <c r="AJ1478" s="36">
        <f>IFERROR(VLOOKUP(A1478,'All Products'!A:F,6,0),0)</f>
        <v>47.22</v>
      </c>
      <c r="AK1478" s="1"/>
      <c r="AL1478" s="1"/>
      <c r="AM1478" s="1"/>
      <c r="AN1478" s="54" t="e">
        <v>#N/A</v>
      </c>
      <c r="AP1478" s="4">
        <v>1.6</v>
      </c>
      <c r="AQ1478" s="111">
        <f t="shared" si="459"/>
        <v>0</v>
      </c>
      <c r="AR1478">
        <f>_xlfn.XLOOKUP(F1478,'RM Cost'!A:A,'RM Cost'!S:S)</f>
        <v>0</v>
      </c>
      <c r="AS1478" t="e">
        <f>_xlfn.XLOOKUP(A1478,[3]Sheet1!$B:$B,[3]Sheet1!$B:$B)</f>
        <v>#N/A</v>
      </c>
    </row>
    <row r="1479" spans="1:46" x14ac:dyDescent="0.25">
      <c r="A1479" s="12" t="s">
        <v>4390</v>
      </c>
      <c r="B1479" s="48" t="s">
        <v>4377</v>
      </c>
      <c r="C1479" s="12" t="s">
        <v>4441</v>
      </c>
      <c r="D1479" s="48" t="s">
        <v>554</v>
      </c>
      <c r="E1479" s="48">
        <v>1</v>
      </c>
      <c r="F1479" s="1" t="str">
        <f>VLOOKUP(H1479,'RM Used'!A:B,2,0)</f>
        <v>1445CS</v>
      </c>
      <c r="G1479" s="1" t="str">
        <f>IFERROR(VLOOKUP(F1479,'RM Cost'!A:B,2,0),"")</f>
        <v>RM - GARLIC PEELED 10X1KG</v>
      </c>
      <c r="H1479" s="1" t="s">
        <v>1601</v>
      </c>
      <c r="I1479" s="1" t="str">
        <f>VLOOKUP(F1479,'RM Used'!B:D,3,0)</f>
        <v>RM-FOOD</v>
      </c>
      <c r="J1479" s="66">
        <v>1</v>
      </c>
      <c r="K1479" s="35">
        <f t="shared" si="444"/>
        <v>1</v>
      </c>
      <c r="L1479" s="35">
        <f t="shared" si="451"/>
        <v>1</v>
      </c>
      <c r="M1479" s="77" cm="1">
        <f t="array" ref="M1479">_xlfn.IFS(BOM!I1479="RM-PACKING","100%",B1479="Reynolds",VLOOKUP(H1479,'Yield &amp; Time'!A:V,22,0),BOM!B1479="Dnata",VLOOKUP(BOM!H1479,'Yield &amp; Time'!A:M,13,0),B1479="NK",VLOOKUP(H1479,'Yield &amp; Time'!A:X,24,0))</f>
        <v>0.71</v>
      </c>
      <c r="N1479" s="35">
        <f t="shared" si="449"/>
        <v>1.4084507042253522</v>
      </c>
      <c r="O1479" s="1" t="str">
        <f>VLOOKUP(H1479,'RM Used'!A:E,5,0)</f>
        <v>KG</v>
      </c>
      <c r="P1479" s="11">
        <f>VLOOKUP(H1479,'RM Used'!A:F,6,0)</f>
        <v>2.76</v>
      </c>
      <c r="Q1479" s="11">
        <f t="shared" si="460"/>
        <v>3.887323943661972</v>
      </c>
      <c r="R1479" s="11" cm="1">
        <f t="array" ref="R1479">IFERROR(_xlfn.IFS(B1479="Reynolds",VLOOKUP(H1479,'Yield &amp; Time'!A:U,21,0),B1479="Dnata",VLOOKUP(H1479,'Yield &amp; Time'!A:L,12,0),B1479="NK",VLOOKUP(H1479,'Yield &amp; Time'!A:W,23,0)),0)</f>
        <v>1.1100000000000001</v>
      </c>
      <c r="S1479" s="11">
        <f t="shared" si="452"/>
        <v>0.37573499999999999</v>
      </c>
      <c r="T1479" s="11">
        <f t="shared" si="453"/>
        <v>1.8500000000000003E-2</v>
      </c>
      <c r="U1479" s="11">
        <f>IF(A1478=A1479,0,VLOOKUP(A1479,'Packing Time'!A:F,6,0))</f>
        <v>0.64500000000000002</v>
      </c>
      <c r="V1479" s="11">
        <f t="shared" si="445"/>
        <v>0.21833249999999998</v>
      </c>
      <c r="W1479" s="11">
        <f t="shared" si="446"/>
        <v>1.0750000000000001E-2</v>
      </c>
      <c r="X1479" s="11">
        <f t="shared" si="454"/>
        <v>0.95050800000000002</v>
      </c>
      <c r="Y1479" s="11">
        <f t="shared" si="447"/>
        <v>0.95050800000000002</v>
      </c>
      <c r="Z1479" s="37">
        <v>1</v>
      </c>
      <c r="AA1479" s="36">
        <f t="shared" si="455"/>
        <v>1.4084507042253522</v>
      </c>
      <c r="AB1479" s="11">
        <f t="shared" si="456"/>
        <v>3.887323943661972</v>
      </c>
      <c r="AC1479" s="11">
        <f t="shared" si="457"/>
        <v>4.6800000000000008E-2</v>
      </c>
      <c r="AD1479" s="36">
        <f t="shared" si="448"/>
        <v>0.95050800000000013</v>
      </c>
      <c r="AE1479" s="36"/>
      <c r="AF1479" s="36">
        <f>IFERROR(VLOOKUP(AE1479,'Chemical Cost'!A:D,4,0),0)</f>
        <v>0</v>
      </c>
      <c r="AG1479" s="114">
        <f t="shared" si="458"/>
        <v>0</v>
      </c>
      <c r="AH1479" s="36">
        <f t="shared" si="438"/>
        <v>0</v>
      </c>
      <c r="AI1479" s="36">
        <f t="shared" si="450"/>
        <v>4.8378319436619721</v>
      </c>
      <c r="AJ1479" s="36">
        <f>IFERROR(VLOOKUP(A1479,'All Products'!A:F,6,0),0)</f>
        <v>7.44</v>
      </c>
      <c r="AK1479" s="1"/>
      <c r="AL1479" s="1"/>
      <c r="AM1479" s="1"/>
      <c r="AN1479" s="54" t="e">
        <v>#N/A</v>
      </c>
      <c r="AP1479" s="4">
        <v>1.6</v>
      </c>
      <c r="AQ1479" s="111">
        <f t="shared" si="459"/>
        <v>4.6800000000000008E-2</v>
      </c>
      <c r="AR1479">
        <f>_xlfn.XLOOKUP(F1479,'RM Cost'!A:A,'RM Cost'!S:S)</f>
        <v>0</v>
      </c>
      <c r="AS1479" t="e">
        <f>_xlfn.XLOOKUP(A1479,[3]Sheet1!$B:$B,[3]Sheet1!$B:$B)</f>
        <v>#N/A</v>
      </c>
    </row>
    <row r="1480" spans="1:46" x14ac:dyDescent="0.25">
      <c r="A1480" s="12" t="s">
        <v>4390</v>
      </c>
      <c r="B1480" s="12" t="s">
        <v>4377</v>
      </c>
      <c r="C1480" s="12" t="s">
        <v>4441</v>
      </c>
      <c r="D1480" s="12" t="s">
        <v>554</v>
      </c>
      <c r="E1480" s="48">
        <v>1</v>
      </c>
      <c r="F1480" s="1" t="str">
        <f>VLOOKUP(H1480,'RM Used'!A:B,2,0)</f>
        <v>P0008</v>
      </c>
      <c r="G1480" s="1" t="str">
        <f>IFERROR(VLOOKUP(F1480,'RM Cost'!A:B,2,0),"")</f>
        <v>PALE BLUE BAG 470X750MM</v>
      </c>
      <c r="H1480" s="1" t="s">
        <v>1323</v>
      </c>
      <c r="I1480" s="1" t="str">
        <f>VLOOKUP(F1480,'RM Used'!B:D,3,0)</f>
        <v>RM-PACKING</v>
      </c>
      <c r="J1480" s="66">
        <v>1</v>
      </c>
      <c r="K1480" s="35" t="str">
        <f t="shared" si="444"/>
        <v/>
      </c>
      <c r="L1480" s="35">
        <f t="shared" si="451"/>
        <v>0</v>
      </c>
      <c r="M1480" s="77" t="str" cm="1">
        <f t="array" ref="M1480">_xlfn.IFS(BOM!I1480="RM-PACKING","100%",B1480="Reynolds",VLOOKUP(H1480,'Yield &amp; Time'!A:V,22,0),BOM!B1480="Dnata",VLOOKUP(BOM!H1480,'Yield &amp; Time'!A:M,13,0),B1480="NK",VLOOKUP(H1480,'Yield &amp; Time'!A:X,24,0))</f>
        <v>100%</v>
      </c>
      <c r="N1480" s="35">
        <f t="shared" si="449"/>
        <v>1</v>
      </c>
      <c r="O1480" s="1" t="str">
        <f>VLOOKUP(H1480,'RM Used'!A:E,5,0)</f>
        <v>Count</v>
      </c>
      <c r="P1480" s="11">
        <f>VLOOKUP(H1480,'RM Used'!A:F,6,0)</f>
        <v>0.14000000000000001</v>
      </c>
      <c r="Q1480" s="11">
        <f t="shared" si="460"/>
        <v>0.14000000000000001</v>
      </c>
      <c r="R1480" s="11" cm="1">
        <f t="array" ref="R1480">IFERROR(_xlfn.IFS(B1480="Reynolds",VLOOKUP(H1480,'Yield &amp; Time'!A:U,21,0),B1480="Dnata",VLOOKUP(H1480,'Yield &amp; Time'!A:L,12,0),B1480="NK",VLOOKUP(H1480,'Yield &amp; Time'!A:W,23,0)),0)</f>
        <v>0</v>
      </c>
      <c r="S1480" s="11">
        <f t="shared" si="452"/>
        <v>0</v>
      </c>
      <c r="T1480" s="11">
        <f t="shared" si="453"/>
        <v>0</v>
      </c>
      <c r="U1480" s="11">
        <f>IF(A1479=A1480,0,VLOOKUP(A1480,'Packing Time'!A:F,6,0))</f>
        <v>0</v>
      </c>
      <c r="V1480" s="11">
        <f t="shared" si="445"/>
        <v>0</v>
      </c>
      <c r="W1480" s="11">
        <f t="shared" si="446"/>
        <v>0</v>
      </c>
      <c r="X1480" s="11">
        <f t="shared" si="454"/>
        <v>0</v>
      </c>
      <c r="Y1480" s="11">
        <f t="shared" si="447"/>
        <v>0</v>
      </c>
      <c r="Z1480" s="37">
        <v>1</v>
      </c>
      <c r="AA1480" s="36">
        <f t="shared" si="455"/>
        <v>1</v>
      </c>
      <c r="AB1480" s="11">
        <f t="shared" si="456"/>
        <v>0.14000000000000001</v>
      </c>
      <c r="AC1480" s="11">
        <f t="shared" si="457"/>
        <v>0</v>
      </c>
      <c r="AD1480" s="36">
        <f t="shared" si="448"/>
        <v>0</v>
      </c>
      <c r="AE1480" s="36"/>
      <c r="AF1480" s="36">
        <f>IFERROR(VLOOKUP(AE1480,'Chemical Cost'!A:D,4,0),0)</f>
        <v>0</v>
      </c>
      <c r="AG1480" s="114">
        <f t="shared" si="458"/>
        <v>0</v>
      </c>
      <c r="AH1480" s="36">
        <f t="shared" si="438"/>
        <v>0</v>
      </c>
      <c r="AI1480" s="36">
        <f t="shared" si="450"/>
        <v>0.14000000000000001</v>
      </c>
      <c r="AJ1480" s="36">
        <f>IFERROR(VLOOKUP(A1480,'All Products'!A:F,6,0),0)</f>
        <v>7.44</v>
      </c>
      <c r="AK1480" s="1"/>
      <c r="AL1480" s="1"/>
      <c r="AM1480" s="1"/>
      <c r="AN1480" s="54" t="e">
        <v>#N/A</v>
      </c>
      <c r="AP1480" s="4">
        <v>1.6</v>
      </c>
      <c r="AQ1480" s="111">
        <f t="shared" si="459"/>
        <v>0</v>
      </c>
      <c r="AR1480">
        <f>_xlfn.XLOOKUP(F1480,'RM Cost'!A:A,'RM Cost'!S:S)</f>
        <v>0</v>
      </c>
      <c r="AS1480" t="e">
        <f>_xlfn.XLOOKUP(A1480,[3]Sheet1!$B:$B,[3]Sheet1!$B:$B)</f>
        <v>#N/A</v>
      </c>
    </row>
    <row r="1481" spans="1:46" x14ac:dyDescent="0.25">
      <c r="A1481" s="1" t="s">
        <v>4391</v>
      </c>
      <c r="B1481" s="2" t="s">
        <v>4377</v>
      </c>
      <c r="C1481" s="1" t="s">
        <v>4521</v>
      </c>
      <c r="D1481" s="2" t="s">
        <v>554</v>
      </c>
      <c r="E1481" s="2">
        <v>0.4</v>
      </c>
      <c r="F1481" s="1" t="str">
        <f>VLOOKUP(H1481,'RM Used'!A:B,2,0)</f>
        <v>3446CS</v>
      </c>
      <c r="G1481" s="1" t="str">
        <f>IFERROR(VLOOKUP(F1481,'RM Cost'!A:B,2,0),"")</f>
        <v>RM - CUCUMBER X12 EA</v>
      </c>
      <c r="H1481" s="1" t="s">
        <v>4481</v>
      </c>
      <c r="I1481" s="1" t="str">
        <f>VLOOKUP(F1481,'RM Used'!B:D,3,0)</f>
        <v>RM-FOOD</v>
      </c>
      <c r="J1481" s="66">
        <v>1</v>
      </c>
      <c r="K1481" s="35">
        <f t="shared" si="444"/>
        <v>0.4</v>
      </c>
      <c r="L1481" s="35">
        <f t="shared" si="451"/>
        <v>0.4</v>
      </c>
      <c r="M1481" s="77" cm="1">
        <f t="array" ref="M1481">_xlfn.IFS(BOM!I1481="RM-PACKING","100%",B1481="Reynolds",VLOOKUP(H1481,'Yield &amp; Time'!A:V,22,0),BOM!B1481="Dnata",VLOOKUP(BOM!H1481,'Yield &amp; Time'!A:M,13,0),B1481="NK",VLOOKUP(H1481,'Yield &amp; Time'!A:X,24,0))</f>
        <v>0.57999999999999996</v>
      </c>
      <c r="N1481" s="35">
        <f t="shared" si="449"/>
        <v>0.68965517241379315</v>
      </c>
      <c r="O1481" s="1" t="str">
        <f>VLOOKUP(H1481,'RM Used'!A:E,5,0)</f>
        <v>KG</v>
      </c>
      <c r="P1481" s="11">
        <f>VLOOKUP(H1481,'RM Used'!A:F,6,0)</f>
        <v>1.18</v>
      </c>
      <c r="Q1481" s="11">
        <f t="shared" si="460"/>
        <v>0.81379310344827582</v>
      </c>
      <c r="R1481" s="11" cm="1">
        <f t="array" ref="R1481">IFERROR(_xlfn.IFS(B1481="Reynolds",VLOOKUP(H1481,'Yield &amp; Time'!A:U,21,0),B1481="Dnata",VLOOKUP(H1481,'Yield &amp; Time'!A:L,12,0),B1481="NK",VLOOKUP(H1481,'Yield &amp; Time'!A:W,23,0)),0)</f>
        <v>0.98</v>
      </c>
      <c r="S1481" s="11">
        <f t="shared" si="452"/>
        <v>0.132692</v>
      </c>
      <c r="T1481" s="11">
        <f t="shared" si="453"/>
        <v>6.5333333333333337E-3</v>
      </c>
      <c r="U1481" s="11">
        <f>IF(A1480=A1481,0,VLOOKUP(A1481,'Packing Time'!A:F,6,0))</f>
        <v>0.45</v>
      </c>
      <c r="V1481" s="11">
        <f t="shared" si="445"/>
        <v>0.15232499999999999</v>
      </c>
      <c r="W1481" s="11">
        <f t="shared" si="446"/>
        <v>7.5000000000000006E-3</v>
      </c>
      <c r="X1481" s="11">
        <f t="shared" si="454"/>
        <v>0.45602720000000008</v>
      </c>
      <c r="Y1481" s="11">
        <f t="shared" si="447"/>
        <v>0.45602720000000008</v>
      </c>
      <c r="Z1481" s="37">
        <v>1</v>
      </c>
      <c r="AA1481" s="36">
        <f t="shared" si="455"/>
        <v>0.68965517241379315</v>
      </c>
      <c r="AB1481" s="11">
        <f t="shared" si="456"/>
        <v>0.81379310344827582</v>
      </c>
      <c r="AC1481" s="11">
        <f t="shared" si="457"/>
        <v>2.2453333333333339E-2</v>
      </c>
      <c r="AD1481" s="36">
        <f t="shared" si="448"/>
        <v>0.45602720000000008</v>
      </c>
      <c r="AE1481" s="36"/>
      <c r="AF1481" s="36">
        <f>IFERROR(VLOOKUP(AE1481,'Chemical Cost'!A:D,4,0),0)</f>
        <v>0</v>
      </c>
      <c r="AG1481" s="114">
        <f t="shared" si="458"/>
        <v>0</v>
      </c>
      <c r="AH1481" s="36">
        <f t="shared" si="438"/>
        <v>0</v>
      </c>
      <c r="AI1481" s="36">
        <f t="shared" si="450"/>
        <v>1.269820303448276</v>
      </c>
      <c r="AJ1481" s="36">
        <f>IFERROR(VLOOKUP(A1481,'All Products'!A:F,6,0),0)</f>
        <v>4.3899999999999997</v>
      </c>
      <c r="AK1481" s="1"/>
      <c r="AL1481" s="1"/>
      <c r="AM1481" s="1"/>
      <c r="AN1481" s="54" t="e">
        <v>#N/A</v>
      </c>
      <c r="AP1481" s="4">
        <v>1.6</v>
      </c>
      <c r="AQ1481" s="111">
        <f t="shared" si="459"/>
        <v>2.2453333333333339E-2</v>
      </c>
      <c r="AR1481">
        <f>_xlfn.XLOOKUP(F1481,'RM Cost'!A:A,'RM Cost'!S:S)</f>
        <v>0</v>
      </c>
      <c r="AS1481" t="str">
        <f>_xlfn.XLOOKUP(A1481,[3]Sheet1!$B:$B,[3]Sheet1!$B:$B)</f>
        <v>N015CS</v>
      </c>
      <c r="AT1481">
        <f>_xlfn.XLOOKUP(H1481,'Yield &amp; Time'!A:A,'Yield &amp; Time'!F:F)</f>
        <v>0</v>
      </c>
    </row>
    <row r="1482" spans="1:46" x14ac:dyDescent="0.25">
      <c r="A1482" s="1" t="s">
        <v>4391</v>
      </c>
      <c r="B1482" s="1" t="s">
        <v>4377</v>
      </c>
      <c r="C1482" s="1" t="s">
        <v>4521</v>
      </c>
      <c r="D1482" s="1" t="s">
        <v>554</v>
      </c>
      <c r="E1482" s="2">
        <v>0.4</v>
      </c>
      <c r="F1482" s="1" t="str">
        <f>VLOOKUP(H1482,'RM Used'!A:B,2,0)</f>
        <v>P0021</v>
      </c>
      <c r="G1482" s="1" t="str">
        <f>IFERROR(VLOOKUP(F1482,'RM Cost'!A:B,2,0),"")</f>
        <v>1000ML RECT TAMPER EVID POTS &amp; LIDS</v>
      </c>
      <c r="H1482" s="1" t="s">
        <v>4505</v>
      </c>
      <c r="I1482" s="1" t="str">
        <f>VLOOKUP(F1482,'RM Used'!B:D,3,0)</f>
        <v>RM-PACKING</v>
      </c>
      <c r="J1482" s="66">
        <v>1</v>
      </c>
      <c r="K1482" s="35" t="str">
        <f t="shared" si="444"/>
        <v/>
      </c>
      <c r="L1482" s="35">
        <f t="shared" si="451"/>
        <v>0</v>
      </c>
      <c r="M1482" s="77" t="str" cm="1">
        <f t="array" ref="M1482">_xlfn.IFS(BOM!I1482="RM-PACKING","100%",B1482="Reynolds",VLOOKUP(H1482,'Yield &amp; Time'!A:V,22,0),BOM!B1482="Dnata",VLOOKUP(BOM!H1482,'Yield &amp; Time'!A:M,13,0),B1482="NK",VLOOKUP(H1482,'Yield &amp; Time'!A:X,24,0))</f>
        <v>100%</v>
      </c>
      <c r="N1482" s="35">
        <f t="shared" si="449"/>
        <v>1</v>
      </c>
      <c r="O1482" s="1" t="str">
        <f>VLOOKUP(H1482,'RM Used'!A:E,5,0)</f>
        <v>Count</v>
      </c>
      <c r="P1482" s="11">
        <f>VLOOKUP(H1482,'RM Used'!A:F,6,0)</f>
        <v>0.4</v>
      </c>
      <c r="Q1482" s="11">
        <f t="shared" si="460"/>
        <v>0.4</v>
      </c>
      <c r="R1482" s="11" cm="1">
        <f t="array" ref="R1482">IFERROR(_xlfn.IFS(B1482="Reynolds",VLOOKUP(H1482,'Yield &amp; Time'!A:U,21,0),B1482="Dnata",VLOOKUP(H1482,'Yield &amp; Time'!A:L,12,0),B1482="NK",VLOOKUP(H1482,'Yield &amp; Time'!A:W,23,0)),0)</f>
        <v>0</v>
      </c>
      <c r="S1482" s="11">
        <f t="shared" si="452"/>
        <v>0</v>
      </c>
      <c r="T1482" s="11">
        <f t="shared" si="453"/>
        <v>0</v>
      </c>
      <c r="U1482" s="11">
        <f>IF(A1481=A1482,0,VLOOKUP(A1482,'Packing Time'!A:F,6,0))</f>
        <v>0</v>
      </c>
      <c r="V1482" s="11">
        <f t="shared" si="445"/>
        <v>0</v>
      </c>
      <c r="W1482" s="11">
        <f t="shared" si="446"/>
        <v>0</v>
      </c>
      <c r="X1482" s="11">
        <f t="shared" si="454"/>
        <v>0</v>
      </c>
      <c r="Y1482" s="11">
        <f t="shared" si="447"/>
        <v>0</v>
      </c>
      <c r="Z1482" s="37">
        <v>1</v>
      </c>
      <c r="AA1482" s="36">
        <f t="shared" si="455"/>
        <v>1</v>
      </c>
      <c r="AB1482" s="11">
        <f t="shared" si="456"/>
        <v>0.4</v>
      </c>
      <c r="AC1482" s="11">
        <f t="shared" si="457"/>
        <v>0</v>
      </c>
      <c r="AD1482" s="36">
        <f t="shared" si="448"/>
        <v>0</v>
      </c>
      <c r="AE1482" s="36"/>
      <c r="AF1482" s="36">
        <f>IFERROR(VLOOKUP(AE1482,'Chemical Cost'!A:D,4,0),0)</f>
        <v>0</v>
      </c>
      <c r="AG1482" s="114">
        <f t="shared" si="458"/>
        <v>0</v>
      </c>
      <c r="AH1482" s="36">
        <f t="shared" ref="AH1482:AH1524" si="461">AF1482*AA1482/3</f>
        <v>0</v>
      </c>
      <c r="AI1482" s="36">
        <f t="shared" si="450"/>
        <v>0.4</v>
      </c>
      <c r="AJ1482" s="36">
        <f>IFERROR(VLOOKUP(A1482,'All Products'!A:F,6,0),0)</f>
        <v>4.3899999999999997</v>
      </c>
      <c r="AK1482" s="1"/>
      <c r="AL1482" s="1"/>
      <c r="AM1482" s="1"/>
      <c r="AN1482" s="54" t="e">
        <v>#N/A</v>
      </c>
      <c r="AP1482" s="4">
        <v>1.6</v>
      </c>
      <c r="AQ1482" s="111">
        <f t="shared" si="459"/>
        <v>0</v>
      </c>
      <c r="AR1482">
        <f>_xlfn.XLOOKUP(F1482,'RM Cost'!A:A,'RM Cost'!S:S)</f>
        <v>0</v>
      </c>
      <c r="AS1482" t="str">
        <f>_xlfn.XLOOKUP(A1482,[3]Sheet1!$B:$B,[3]Sheet1!$B:$B)</f>
        <v>N015CS</v>
      </c>
      <c r="AT1482" t="e">
        <f>_xlfn.XLOOKUP(H1482,'Yield &amp; Time'!A:A,'Yield &amp; Time'!F:F)</f>
        <v>#N/A</v>
      </c>
    </row>
    <row r="1483" spans="1:46" x14ac:dyDescent="0.25">
      <c r="A1483" s="1" t="s">
        <v>4392</v>
      </c>
      <c r="B1483" s="2" t="s">
        <v>4377</v>
      </c>
      <c r="C1483" s="1" t="s">
        <v>4443</v>
      </c>
      <c r="D1483" s="2" t="s">
        <v>554</v>
      </c>
      <c r="E1483" s="2">
        <v>1</v>
      </c>
      <c r="F1483" s="1" t="str">
        <f>VLOOKUP(H1483,'RM Used'!A:B,2,0)</f>
        <v>1318CS</v>
      </c>
      <c r="G1483" s="1" t="str">
        <f>IFERROR(VLOOKUP(F1483,'RM Cost'!A:B,2,0),"")</f>
        <v>RM - PREP ONION RED WHOLE 2.5KG</v>
      </c>
      <c r="H1483" s="1" t="s">
        <v>1453</v>
      </c>
      <c r="I1483" s="1" t="str">
        <f>VLOOKUP(F1483,'RM Used'!B:D,3,0)</f>
        <v>RM-FOOD</v>
      </c>
      <c r="J1483" s="66">
        <v>1</v>
      </c>
      <c r="K1483" s="35">
        <f t="shared" si="444"/>
        <v>1</v>
      </c>
      <c r="L1483" s="35">
        <f t="shared" si="451"/>
        <v>1</v>
      </c>
      <c r="M1483" s="77" cm="1">
        <f t="array" ref="M1483">_xlfn.IFS(BOM!I1483="RM-PACKING","100%",B1483="Reynolds",VLOOKUP(H1483,'Yield &amp; Time'!A:V,22,0),BOM!B1483="Dnata",VLOOKUP(BOM!H1483,'Yield &amp; Time'!A:M,13,0),B1483="NK",VLOOKUP(H1483,'Yield &amp; Time'!A:X,24,0))</f>
        <v>0.81</v>
      </c>
      <c r="N1483" s="35">
        <f t="shared" si="449"/>
        <v>1.2345679012345678</v>
      </c>
      <c r="O1483" s="1" t="str">
        <f>VLOOKUP(H1483,'RM Used'!A:E,5,0)</f>
        <v>KG</v>
      </c>
      <c r="P1483" s="11">
        <f>VLOOKUP(H1483,'RM Used'!A:F,6,0)</f>
        <v>1.08</v>
      </c>
      <c r="Q1483" s="11">
        <f t="shared" si="460"/>
        <v>1.3333333333333333</v>
      </c>
      <c r="R1483" s="11" cm="1">
        <f t="array" ref="R1483">IFERROR(_xlfn.IFS(B1483="Reynolds",VLOOKUP(H1483,'Yield &amp; Time'!A:U,21,0),B1483="Dnata",VLOOKUP(H1483,'Yield &amp; Time'!A:L,12,0),B1483="NK",VLOOKUP(H1483,'Yield &amp; Time'!A:W,23,0)),0)</f>
        <v>0.74</v>
      </c>
      <c r="S1483" s="11">
        <f t="shared" si="452"/>
        <v>0.25048999999999999</v>
      </c>
      <c r="T1483" s="11">
        <f t="shared" si="453"/>
        <v>1.2333333333333333E-2</v>
      </c>
      <c r="U1483" s="11">
        <f>IF(A1482=A1483,0,VLOOKUP(A1483,'Packing Time'!A:F,6,0))</f>
        <v>0.64500000000000002</v>
      </c>
      <c r="V1483" s="11">
        <f t="shared" si="445"/>
        <v>0.21833249999999998</v>
      </c>
      <c r="W1483" s="11">
        <f t="shared" si="446"/>
        <v>1.0750000000000001E-2</v>
      </c>
      <c r="X1483" s="11">
        <f t="shared" si="454"/>
        <v>0.750116</v>
      </c>
      <c r="Y1483" s="11">
        <f t="shared" si="447"/>
        <v>0.750116</v>
      </c>
      <c r="Z1483" s="37">
        <v>1</v>
      </c>
      <c r="AA1483" s="36">
        <f t="shared" si="455"/>
        <v>1.2345679012345678</v>
      </c>
      <c r="AB1483" s="11">
        <f t="shared" si="456"/>
        <v>1.3333333333333333</v>
      </c>
      <c r="AC1483" s="11">
        <f t="shared" si="457"/>
        <v>3.6933333333333339E-2</v>
      </c>
      <c r="AD1483" s="36">
        <f t="shared" si="448"/>
        <v>0.750116</v>
      </c>
      <c r="AE1483" s="36" t="str">
        <f>VLOOKUP(H1483,'Yield &amp; Time'!A:I,9,0)</f>
        <v>CHLORINE</v>
      </c>
      <c r="AF1483" s="36">
        <f>IFERROR(VLOOKUP(AE1483,'Chemical Cost'!A:D,4,0),0)</f>
        <v>2.7756518066439469E-2</v>
      </c>
      <c r="AG1483" s="114">
        <f t="shared" si="458"/>
        <v>1.1422435418287845E-2</v>
      </c>
      <c r="AH1483" s="36">
        <f t="shared" si="461"/>
        <v>1.1422435418287845E-2</v>
      </c>
      <c r="AI1483" s="36">
        <f t="shared" si="450"/>
        <v>2.094871768751621</v>
      </c>
      <c r="AJ1483" s="36">
        <f>IFERROR(VLOOKUP(A1483,'All Products'!A:F,6,0),0)</f>
        <v>3.11</v>
      </c>
      <c r="AK1483" s="1"/>
      <c r="AL1483" s="1"/>
      <c r="AM1483" s="1"/>
      <c r="AN1483" s="54" t="e">
        <v>#N/A</v>
      </c>
      <c r="AP1483" s="4">
        <v>1.6</v>
      </c>
      <c r="AQ1483" s="111">
        <f t="shared" si="459"/>
        <v>3.6933333333333339E-2</v>
      </c>
      <c r="AR1483">
        <f>_xlfn.XLOOKUP(F1483,'RM Cost'!A:A,'RM Cost'!S:S)</f>
        <v>0</v>
      </c>
      <c r="AS1483" t="e">
        <f>_xlfn.XLOOKUP(A1483,[3]Sheet1!$B:$B,[3]Sheet1!$B:$B)</f>
        <v>#N/A</v>
      </c>
    </row>
    <row r="1484" spans="1:46" x14ac:dyDescent="0.25">
      <c r="A1484" s="1" t="s">
        <v>4392</v>
      </c>
      <c r="B1484" s="1" t="s">
        <v>4377</v>
      </c>
      <c r="C1484" s="1" t="s">
        <v>4443</v>
      </c>
      <c r="D1484" s="1" t="s">
        <v>554</v>
      </c>
      <c r="E1484" s="2">
        <v>1</v>
      </c>
      <c r="F1484" s="1" t="str">
        <f>VLOOKUP(H1484,'RM Used'!A:B,2,0)</f>
        <v>P0008</v>
      </c>
      <c r="G1484" s="1" t="str">
        <f>IFERROR(VLOOKUP(F1484,'RM Cost'!A:B,2,0),"")</f>
        <v>PALE BLUE BAG 470X750MM</v>
      </c>
      <c r="H1484" s="1" t="s">
        <v>1323</v>
      </c>
      <c r="I1484" s="1" t="str">
        <f>VLOOKUP(F1484,'RM Used'!B:D,3,0)</f>
        <v>RM-PACKING</v>
      </c>
      <c r="J1484" s="66">
        <v>1</v>
      </c>
      <c r="K1484" s="35" t="str">
        <f t="shared" si="444"/>
        <v/>
      </c>
      <c r="L1484" s="35">
        <f t="shared" si="451"/>
        <v>0</v>
      </c>
      <c r="M1484" s="77" t="str" cm="1">
        <f t="array" ref="M1484">_xlfn.IFS(BOM!I1484="RM-PACKING","100%",B1484="Reynolds",VLOOKUP(H1484,'Yield &amp; Time'!A:V,22,0),BOM!B1484="Dnata",VLOOKUP(BOM!H1484,'Yield &amp; Time'!A:M,13,0),B1484="NK",VLOOKUP(H1484,'Yield &amp; Time'!A:X,24,0))</f>
        <v>100%</v>
      </c>
      <c r="N1484" s="35">
        <f t="shared" si="449"/>
        <v>1</v>
      </c>
      <c r="O1484" s="1" t="str">
        <f>VLOOKUP(H1484,'RM Used'!A:E,5,0)</f>
        <v>Count</v>
      </c>
      <c r="P1484" s="11">
        <f>VLOOKUP(H1484,'RM Used'!A:F,6,0)</f>
        <v>0.14000000000000001</v>
      </c>
      <c r="Q1484" s="11">
        <f t="shared" si="460"/>
        <v>0.14000000000000001</v>
      </c>
      <c r="R1484" s="11" cm="1">
        <f t="array" ref="R1484">IFERROR(_xlfn.IFS(B1484="Reynolds",VLOOKUP(H1484,'Yield &amp; Time'!A:U,21,0),B1484="Dnata",VLOOKUP(H1484,'Yield &amp; Time'!A:L,12,0),B1484="NK",VLOOKUP(H1484,'Yield &amp; Time'!A:W,23,0)),0)</f>
        <v>0</v>
      </c>
      <c r="S1484" s="11">
        <f t="shared" si="452"/>
        <v>0</v>
      </c>
      <c r="T1484" s="11">
        <f t="shared" si="453"/>
        <v>0</v>
      </c>
      <c r="U1484" s="11">
        <f>IF(A1483=A1484,0,VLOOKUP(A1484,'Packing Time'!A:F,6,0))</f>
        <v>0</v>
      </c>
      <c r="V1484" s="11">
        <f t="shared" si="445"/>
        <v>0</v>
      </c>
      <c r="W1484" s="11">
        <f t="shared" si="446"/>
        <v>0</v>
      </c>
      <c r="X1484" s="11">
        <f t="shared" si="454"/>
        <v>0</v>
      </c>
      <c r="Y1484" s="11">
        <f t="shared" si="447"/>
        <v>0</v>
      </c>
      <c r="Z1484" s="37">
        <v>1</v>
      </c>
      <c r="AA1484" s="36">
        <f t="shared" si="455"/>
        <v>1</v>
      </c>
      <c r="AB1484" s="11">
        <f t="shared" si="456"/>
        <v>0.14000000000000001</v>
      </c>
      <c r="AC1484" s="11">
        <f t="shared" si="457"/>
        <v>0</v>
      </c>
      <c r="AD1484" s="36">
        <f t="shared" si="448"/>
        <v>0</v>
      </c>
      <c r="AE1484" s="36"/>
      <c r="AF1484" s="36">
        <f>IFERROR(VLOOKUP(AE1484,'Chemical Cost'!A:D,4,0),0)</f>
        <v>0</v>
      </c>
      <c r="AG1484" s="114">
        <f t="shared" si="458"/>
        <v>0</v>
      </c>
      <c r="AH1484" s="36">
        <f t="shared" si="461"/>
        <v>0</v>
      </c>
      <c r="AI1484" s="36">
        <f t="shared" si="450"/>
        <v>0.14000000000000001</v>
      </c>
      <c r="AJ1484" s="36">
        <f>IFERROR(VLOOKUP(A1484,'All Products'!A:F,6,0),0)</f>
        <v>3.11</v>
      </c>
      <c r="AK1484" s="1"/>
      <c r="AL1484" s="1"/>
      <c r="AM1484" s="1"/>
      <c r="AN1484" s="54" t="e">
        <v>#N/A</v>
      </c>
      <c r="AP1484" s="4">
        <v>1.6</v>
      </c>
      <c r="AQ1484" s="111">
        <f t="shared" si="459"/>
        <v>0</v>
      </c>
      <c r="AR1484">
        <f>_xlfn.XLOOKUP(F1484,'RM Cost'!A:A,'RM Cost'!S:S)</f>
        <v>0</v>
      </c>
      <c r="AS1484" t="e">
        <f>_xlfn.XLOOKUP(A1484,[3]Sheet1!$B:$B,[3]Sheet1!$B:$B)</f>
        <v>#N/A</v>
      </c>
    </row>
    <row r="1485" spans="1:46" x14ac:dyDescent="0.25">
      <c r="A1485" s="1" t="s">
        <v>4393</v>
      </c>
      <c r="B1485" s="2" t="s">
        <v>4377</v>
      </c>
      <c r="C1485" s="1" t="s">
        <v>732</v>
      </c>
      <c r="D1485" s="2" t="s">
        <v>554</v>
      </c>
      <c r="E1485" s="2">
        <v>2.5</v>
      </c>
      <c r="F1485" s="1" t="str">
        <f>VLOOKUP(H1485,'RM Used'!A:B,2,0)</f>
        <v>032ACS</v>
      </c>
      <c r="G1485" s="1" t="str">
        <f>IFERROR(VLOOKUP(F1485,'RM Cost'!A:B,2,0),"")</f>
        <v>RM - LRG PROCESSING CARROT X 1000KG</v>
      </c>
      <c r="H1485" s="1" t="s">
        <v>1366</v>
      </c>
      <c r="I1485" s="1" t="str">
        <f>VLOOKUP(F1485,'RM Used'!B:D,3,0)</f>
        <v>RM-FOOD</v>
      </c>
      <c r="J1485" s="66">
        <v>1</v>
      </c>
      <c r="K1485" s="35">
        <f t="shared" si="444"/>
        <v>2.5</v>
      </c>
      <c r="L1485" s="35">
        <f t="shared" si="451"/>
        <v>2.5</v>
      </c>
      <c r="M1485" s="77" cm="1">
        <f t="array" ref="M1485">_xlfn.IFS(BOM!I1485="RM-PACKING","100%",B1485="Reynolds",VLOOKUP(H1485,'Yield &amp; Time'!A:V,22,0),BOM!B1485="Dnata",VLOOKUP(BOM!H1485,'Yield &amp; Time'!A:M,13,0),B1485="NK",VLOOKUP(H1485,'Yield &amp; Time'!A:X,24,0))</f>
        <v>0.71</v>
      </c>
      <c r="N1485" s="35">
        <f t="shared" si="449"/>
        <v>3.5211267605633805</v>
      </c>
      <c r="O1485" s="1" t="str">
        <f>VLOOKUP(H1485,'RM Used'!A:E,5,0)</f>
        <v>KG</v>
      </c>
      <c r="P1485" s="11">
        <f>VLOOKUP(H1485,'RM Used'!A:F,6,0)</f>
        <v>0.38</v>
      </c>
      <c r="Q1485" s="11">
        <f t="shared" si="460"/>
        <v>1.3380281690140845</v>
      </c>
      <c r="R1485" s="11" cm="1">
        <f t="array" ref="R1485">IFERROR(_xlfn.IFS(B1485="Reynolds",VLOOKUP(H1485,'Yield &amp; Time'!A:U,21,0),B1485="Dnata",VLOOKUP(H1485,'Yield &amp; Time'!A:L,12,0),B1485="NK",VLOOKUP(H1485,'Yield &amp; Time'!A:W,23,0)),0)</f>
        <v>1.25</v>
      </c>
      <c r="S1485" s="11">
        <f t="shared" si="452"/>
        <v>1.0578124999999998</v>
      </c>
      <c r="T1485" s="11">
        <f t="shared" si="453"/>
        <v>5.2083333333333336E-2</v>
      </c>
      <c r="U1485" s="11">
        <f>IF(A1484=A1485,0,VLOOKUP(A1485,'Packing Time'!A:F,6,0))</f>
        <v>0.64500000000000002</v>
      </c>
      <c r="V1485" s="11">
        <f t="shared" si="445"/>
        <v>0.21833249999999998</v>
      </c>
      <c r="W1485" s="11">
        <f t="shared" si="446"/>
        <v>1.0750000000000001E-2</v>
      </c>
      <c r="X1485" s="11">
        <f t="shared" si="454"/>
        <v>1.7866029999999997</v>
      </c>
      <c r="Y1485" s="11">
        <f t="shared" si="447"/>
        <v>1.7866029999999997</v>
      </c>
      <c r="Z1485" s="37">
        <v>1</v>
      </c>
      <c r="AA1485" s="36">
        <f t="shared" si="455"/>
        <v>3.5211267605633805</v>
      </c>
      <c r="AB1485" s="11">
        <f t="shared" si="456"/>
        <v>1.3380281690140845</v>
      </c>
      <c r="AC1485" s="11">
        <f t="shared" si="457"/>
        <v>8.7966666666666665E-2</v>
      </c>
      <c r="AD1485" s="36">
        <f t="shared" si="448"/>
        <v>1.7866029999999997</v>
      </c>
      <c r="AE1485" s="36"/>
      <c r="AF1485" s="36">
        <f>IFERROR(VLOOKUP(AE1485,'Chemical Cost'!A:D,4,0),0)</f>
        <v>0</v>
      </c>
      <c r="AG1485" s="114">
        <f t="shared" si="458"/>
        <v>0</v>
      </c>
      <c r="AH1485" s="36">
        <f t="shared" si="461"/>
        <v>0</v>
      </c>
      <c r="AI1485" s="36">
        <f t="shared" si="450"/>
        <v>3.1246311690140844</v>
      </c>
      <c r="AJ1485" s="36">
        <f>IFERROR(VLOOKUP(A1485,'All Products'!A:F,6,0),0)</f>
        <v>3.82</v>
      </c>
      <c r="AK1485" s="1"/>
      <c r="AL1485" s="1"/>
      <c r="AM1485" s="1"/>
      <c r="AN1485" s="54" t="e">
        <v>#N/A</v>
      </c>
      <c r="AP1485" s="4">
        <v>1.4</v>
      </c>
      <c r="AQ1485" s="111">
        <f t="shared" si="459"/>
        <v>8.7966666666666665E-2</v>
      </c>
      <c r="AR1485">
        <f>_xlfn.XLOOKUP(F1485,'RM Cost'!A:A,'RM Cost'!S:S)</f>
        <v>0</v>
      </c>
      <c r="AS1485" t="str">
        <f>_xlfn.XLOOKUP(A1485,[3]Sheet1!$B:$B,[3]Sheet1!$B:$B)</f>
        <v>N018CS</v>
      </c>
      <c r="AT1485">
        <f>_xlfn.XLOOKUP(H1485,'Yield &amp; Time'!A:A,'Yield &amp; Time'!F:F)</f>
        <v>0</v>
      </c>
    </row>
    <row r="1486" spans="1:46" x14ac:dyDescent="0.25">
      <c r="A1486" s="1" t="s">
        <v>4393</v>
      </c>
      <c r="B1486" s="1" t="s">
        <v>4377</v>
      </c>
      <c r="C1486" s="1" t="s">
        <v>732</v>
      </c>
      <c r="D1486" s="1" t="s">
        <v>554</v>
      </c>
      <c r="E1486" s="2">
        <v>2.5</v>
      </c>
      <c r="F1486" s="1" t="str">
        <f>VLOOKUP(H1486,'RM Used'!A:B,2,0)</f>
        <v>P0008</v>
      </c>
      <c r="G1486" s="1" t="str">
        <f>IFERROR(VLOOKUP(F1486,'RM Cost'!A:B,2,0),"")</f>
        <v>PALE BLUE BAG 470X750MM</v>
      </c>
      <c r="H1486" s="1" t="s">
        <v>1323</v>
      </c>
      <c r="I1486" s="1" t="str">
        <f>VLOOKUP(F1486,'RM Used'!B:D,3,0)</f>
        <v>RM-PACKING</v>
      </c>
      <c r="J1486" s="66">
        <v>1</v>
      </c>
      <c r="K1486" s="35" t="str">
        <f t="shared" si="444"/>
        <v/>
      </c>
      <c r="L1486" s="35">
        <f t="shared" si="451"/>
        <v>0</v>
      </c>
      <c r="M1486" s="77" t="str" cm="1">
        <f t="array" ref="M1486">_xlfn.IFS(BOM!I1486="RM-PACKING","100%",B1486="Reynolds",VLOOKUP(H1486,'Yield &amp; Time'!A:V,22,0),BOM!B1486="Dnata",VLOOKUP(BOM!H1486,'Yield &amp; Time'!A:M,13,0),B1486="NK",VLOOKUP(H1486,'Yield &amp; Time'!A:X,24,0))</f>
        <v>100%</v>
      </c>
      <c r="N1486" s="35">
        <f t="shared" si="449"/>
        <v>1</v>
      </c>
      <c r="O1486" s="1" t="str">
        <f>VLOOKUP(H1486,'RM Used'!A:E,5,0)</f>
        <v>Count</v>
      </c>
      <c r="P1486" s="11">
        <f>VLOOKUP(H1486,'RM Used'!A:F,6,0)</f>
        <v>0.14000000000000001</v>
      </c>
      <c r="Q1486" s="11">
        <f t="shared" si="460"/>
        <v>0.14000000000000001</v>
      </c>
      <c r="R1486" s="11" cm="1">
        <f t="array" ref="R1486">IFERROR(_xlfn.IFS(B1486="Reynolds",VLOOKUP(H1486,'Yield &amp; Time'!A:U,21,0),B1486="Dnata",VLOOKUP(H1486,'Yield &amp; Time'!A:L,12,0),B1486="NK",VLOOKUP(H1486,'Yield &amp; Time'!A:W,23,0)),0)</f>
        <v>0</v>
      </c>
      <c r="S1486" s="11">
        <f t="shared" si="452"/>
        <v>0</v>
      </c>
      <c r="T1486" s="11">
        <f t="shared" si="453"/>
        <v>0</v>
      </c>
      <c r="U1486" s="11">
        <f>IF(A1485=A1486,0,VLOOKUP(A1486,'Packing Time'!A:F,6,0))</f>
        <v>0</v>
      </c>
      <c r="V1486" s="11">
        <f t="shared" si="445"/>
        <v>0</v>
      </c>
      <c r="W1486" s="11">
        <f t="shared" si="446"/>
        <v>0</v>
      </c>
      <c r="X1486" s="11">
        <f t="shared" si="454"/>
        <v>0</v>
      </c>
      <c r="Y1486" s="11">
        <f t="shared" si="447"/>
        <v>0</v>
      </c>
      <c r="Z1486" s="37">
        <v>1</v>
      </c>
      <c r="AA1486" s="36">
        <f t="shared" si="455"/>
        <v>1</v>
      </c>
      <c r="AB1486" s="11">
        <f t="shared" si="456"/>
        <v>0.14000000000000001</v>
      </c>
      <c r="AC1486" s="11">
        <f t="shared" si="457"/>
        <v>0</v>
      </c>
      <c r="AD1486" s="36">
        <f t="shared" si="448"/>
        <v>0</v>
      </c>
      <c r="AE1486" s="36"/>
      <c r="AF1486" s="36">
        <f>IFERROR(VLOOKUP(AE1486,'Chemical Cost'!A:D,4,0),0)</f>
        <v>0</v>
      </c>
      <c r="AG1486" s="114">
        <f t="shared" si="458"/>
        <v>0</v>
      </c>
      <c r="AH1486" s="36">
        <f t="shared" si="461"/>
        <v>0</v>
      </c>
      <c r="AI1486" s="36">
        <f t="shared" si="450"/>
        <v>0.14000000000000001</v>
      </c>
      <c r="AJ1486" s="36">
        <f>IFERROR(VLOOKUP(A1486,'All Products'!A:F,6,0),0)</f>
        <v>3.82</v>
      </c>
      <c r="AK1486" s="1"/>
      <c r="AL1486" s="1"/>
      <c r="AM1486" s="1"/>
      <c r="AN1486" s="54" t="e">
        <v>#N/A</v>
      </c>
      <c r="AP1486" s="4">
        <v>1.4</v>
      </c>
      <c r="AQ1486" s="111">
        <f t="shared" si="459"/>
        <v>0</v>
      </c>
      <c r="AR1486">
        <f>_xlfn.XLOOKUP(F1486,'RM Cost'!A:A,'RM Cost'!S:S)</f>
        <v>0</v>
      </c>
      <c r="AS1486" t="str">
        <f>_xlfn.XLOOKUP(A1486,[3]Sheet1!$B:$B,[3]Sheet1!$B:$B)</f>
        <v>N018CS</v>
      </c>
      <c r="AT1486" t="e">
        <f>_xlfn.XLOOKUP(H1486,'Yield &amp; Time'!A:A,'Yield &amp; Time'!F:F)</f>
        <v>#N/A</v>
      </c>
    </row>
    <row r="1487" spans="1:46" x14ac:dyDescent="0.25">
      <c r="A1487" s="1" t="s">
        <v>4394</v>
      </c>
      <c r="B1487" s="2" t="s">
        <v>4377</v>
      </c>
      <c r="C1487" s="1" t="s">
        <v>4526</v>
      </c>
      <c r="D1487" s="2" t="s">
        <v>554</v>
      </c>
      <c r="E1487" s="2">
        <v>2.5</v>
      </c>
      <c r="F1487" s="1" t="str">
        <f>VLOOKUP(H1487,'RM Used'!A:B,2,0)</f>
        <v>5267CS</v>
      </c>
      <c r="G1487" s="1" t="str">
        <f>IFERROR(VLOOKUP(F1487,'RM Cost'!A:B,2,0),"")</f>
        <v>RM - CAULIFLOWER X 9KG</v>
      </c>
      <c r="H1487" s="1" t="s">
        <v>1498</v>
      </c>
      <c r="I1487" s="1" t="str">
        <f>VLOOKUP(F1487,'RM Used'!B:D,3,0)</f>
        <v>RM-FOOD</v>
      </c>
      <c r="J1487" s="66">
        <v>1</v>
      </c>
      <c r="K1487" s="35">
        <f t="shared" si="444"/>
        <v>2.5</v>
      </c>
      <c r="L1487" s="35">
        <f t="shared" si="451"/>
        <v>2.5</v>
      </c>
      <c r="M1487" s="77" cm="1">
        <f t="array" ref="M1487">_xlfn.IFS(BOM!I1487="RM-PACKING","100%",B1487="Reynolds",VLOOKUP(H1487,'Yield &amp; Time'!A:V,22,0),BOM!B1487="Dnata",VLOOKUP(BOM!H1487,'Yield &amp; Time'!A:M,13,0),B1487="NK",VLOOKUP(H1487,'Yield &amp; Time'!A:X,24,0))</f>
        <v>0.35</v>
      </c>
      <c r="N1487" s="35">
        <f t="shared" si="449"/>
        <v>7.1428571428571432</v>
      </c>
      <c r="O1487" s="1" t="str">
        <f>VLOOKUP(H1487,'RM Used'!A:E,5,0)</f>
        <v>KG</v>
      </c>
      <c r="P1487" s="11">
        <f>VLOOKUP(H1487,'RM Used'!A:F,6,0)</f>
        <v>0.6</v>
      </c>
      <c r="Q1487" s="11">
        <f t="shared" si="460"/>
        <v>4.2857142857142856</v>
      </c>
      <c r="R1487" s="11" cm="1">
        <f t="array" ref="R1487">IFERROR(_xlfn.IFS(B1487="Reynolds",VLOOKUP(H1487,'Yield &amp; Time'!A:U,21,0),B1487="Dnata",VLOOKUP(H1487,'Yield &amp; Time'!A:L,12,0),B1487="NK",VLOOKUP(H1487,'Yield &amp; Time'!A:W,23,0)),0)</f>
        <v>4.84</v>
      </c>
      <c r="S1487" s="11">
        <f t="shared" si="452"/>
        <v>4.0958499999999995</v>
      </c>
      <c r="T1487" s="11">
        <f t="shared" si="453"/>
        <v>0.20166666666666666</v>
      </c>
      <c r="U1487" s="11">
        <f>IF(A1486=A1487,0,VLOOKUP(A1487,'Packing Time'!A:F,6,0))</f>
        <v>0.64500000000000002</v>
      </c>
      <c r="V1487" s="11">
        <f t="shared" si="445"/>
        <v>0.21833249999999998</v>
      </c>
      <c r="W1487" s="11">
        <f t="shared" si="446"/>
        <v>1.0750000000000001E-2</v>
      </c>
      <c r="X1487" s="11">
        <f t="shared" si="454"/>
        <v>6.9026919999999992</v>
      </c>
      <c r="Y1487" s="11">
        <f t="shared" si="447"/>
        <v>6.9026919999999992</v>
      </c>
      <c r="Z1487" s="37">
        <v>1</v>
      </c>
      <c r="AA1487" s="36">
        <f t="shared" si="455"/>
        <v>7.1428571428571432</v>
      </c>
      <c r="AB1487" s="11">
        <f t="shared" si="456"/>
        <v>4.2857142857142856</v>
      </c>
      <c r="AC1487" s="11">
        <f t="shared" si="457"/>
        <v>0.33986666666666665</v>
      </c>
      <c r="AD1487" s="36">
        <f t="shared" si="448"/>
        <v>6.9026919999999992</v>
      </c>
      <c r="AE1487" s="36"/>
      <c r="AF1487" s="36">
        <f>IFERROR(VLOOKUP(AE1487,'Chemical Cost'!A:D,4,0),0)</f>
        <v>0</v>
      </c>
      <c r="AG1487" s="114">
        <f t="shared" si="458"/>
        <v>0</v>
      </c>
      <c r="AH1487" s="36">
        <f t="shared" si="461"/>
        <v>0</v>
      </c>
      <c r="AI1487" s="36">
        <f t="shared" si="450"/>
        <v>11.188406285714285</v>
      </c>
      <c r="AJ1487" s="36">
        <f>IFERROR(VLOOKUP(A1487,'All Products'!A:F,6,0),0)</f>
        <v>31.78</v>
      </c>
      <c r="AK1487" s="1"/>
      <c r="AL1487" s="1"/>
      <c r="AM1487" s="1"/>
      <c r="AN1487" s="54" t="e">
        <v>#N/A</v>
      </c>
      <c r="AP1487" s="4">
        <v>1.6</v>
      </c>
      <c r="AQ1487" s="111">
        <f t="shared" si="459"/>
        <v>0.33986666666666665</v>
      </c>
      <c r="AR1487">
        <f>_xlfn.XLOOKUP(F1487,'RM Cost'!A:A,'RM Cost'!S:S)</f>
        <v>0</v>
      </c>
      <c r="AS1487" t="e">
        <f>_xlfn.XLOOKUP(A1487,[3]Sheet1!$B:$B,[3]Sheet1!$B:$B)</f>
        <v>#N/A</v>
      </c>
    </row>
    <row r="1488" spans="1:46" x14ac:dyDescent="0.25">
      <c r="A1488" s="1" t="s">
        <v>4394</v>
      </c>
      <c r="B1488" s="1" t="s">
        <v>4377</v>
      </c>
      <c r="C1488" s="1" t="s">
        <v>4526</v>
      </c>
      <c r="D1488" s="1" t="s">
        <v>554</v>
      </c>
      <c r="E1488" s="2">
        <v>2.5</v>
      </c>
      <c r="F1488" s="1" t="str">
        <f>VLOOKUP(H1488,'RM Used'!A:B,2,0)</f>
        <v>P0008</v>
      </c>
      <c r="G1488" s="1" t="str">
        <f>IFERROR(VLOOKUP(F1488,'RM Cost'!A:B,2,0),"")</f>
        <v>PALE BLUE BAG 470X750MM</v>
      </c>
      <c r="H1488" s="1" t="s">
        <v>1323</v>
      </c>
      <c r="I1488" s="1" t="str">
        <f>VLOOKUP(F1488,'RM Used'!B:D,3,0)</f>
        <v>RM-PACKING</v>
      </c>
      <c r="J1488" s="66">
        <v>1</v>
      </c>
      <c r="K1488" s="35" t="str">
        <f t="shared" si="444"/>
        <v/>
      </c>
      <c r="L1488" s="35">
        <f t="shared" si="451"/>
        <v>0</v>
      </c>
      <c r="M1488" s="77" t="str" cm="1">
        <f t="array" ref="M1488">_xlfn.IFS(BOM!I1488="RM-PACKING","100%",B1488="Reynolds",VLOOKUP(H1488,'Yield &amp; Time'!A:V,22,0),BOM!B1488="Dnata",VLOOKUP(BOM!H1488,'Yield &amp; Time'!A:M,13,0),B1488="NK",VLOOKUP(H1488,'Yield &amp; Time'!A:X,24,0))</f>
        <v>100%</v>
      </c>
      <c r="N1488" s="35">
        <f t="shared" si="449"/>
        <v>1</v>
      </c>
      <c r="O1488" s="1" t="str">
        <f>VLOOKUP(H1488,'RM Used'!A:E,5,0)</f>
        <v>Count</v>
      </c>
      <c r="P1488" s="11">
        <f>VLOOKUP(H1488,'RM Used'!A:F,6,0)</f>
        <v>0.14000000000000001</v>
      </c>
      <c r="Q1488" s="11">
        <f t="shared" si="460"/>
        <v>0.14000000000000001</v>
      </c>
      <c r="R1488" s="11" cm="1">
        <f t="array" ref="R1488">IFERROR(_xlfn.IFS(B1488="Reynolds",VLOOKUP(H1488,'Yield &amp; Time'!A:U,21,0),B1488="Dnata",VLOOKUP(H1488,'Yield &amp; Time'!A:L,12,0),B1488="NK",VLOOKUP(H1488,'Yield &amp; Time'!A:W,23,0)),0)</f>
        <v>0</v>
      </c>
      <c r="S1488" s="11">
        <f t="shared" si="452"/>
        <v>0</v>
      </c>
      <c r="T1488" s="11">
        <f t="shared" si="453"/>
        <v>0</v>
      </c>
      <c r="U1488" s="11">
        <f>IF(A1487=A1488,0,VLOOKUP(A1488,'Packing Time'!A:F,6,0))</f>
        <v>0</v>
      </c>
      <c r="V1488" s="11">
        <f t="shared" si="445"/>
        <v>0</v>
      </c>
      <c r="W1488" s="11">
        <f t="shared" si="446"/>
        <v>0</v>
      </c>
      <c r="X1488" s="11">
        <f t="shared" si="454"/>
        <v>0</v>
      </c>
      <c r="Y1488" s="11">
        <f t="shared" si="447"/>
        <v>0</v>
      </c>
      <c r="Z1488" s="37">
        <v>1</v>
      </c>
      <c r="AA1488" s="36">
        <f t="shared" si="455"/>
        <v>1</v>
      </c>
      <c r="AB1488" s="11">
        <f t="shared" si="456"/>
        <v>0.14000000000000001</v>
      </c>
      <c r="AC1488" s="11">
        <f t="shared" si="457"/>
        <v>0</v>
      </c>
      <c r="AD1488" s="36">
        <f t="shared" si="448"/>
        <v>0</v>
      </c>
      <c r="AE1488" s="36"/>
      <c r="AF1488" s="36">
        <f>IFERROR(VLOOKUP(AE1488,'Chemical Cost'!A:D,4,0),0)</f>
        <v>0</v>
      </c>
      <c r="AG1488" s="114">
        <f t="shared" si="458"/>
        <v>0</v>
      </c>
      <c r="AH1488" s="36">
        <f t="shared" si="461"/>
        <v>0</v>
      </c>
      <c r="AI1488" s="36">
        <f t="shared" si="450"/>
        <v>0.14000000000000001</v>
      </c>
      <c r="AJ1488" s="36">
        <f>IFERROR(VLOOKUP(A1488,'All Products'!A:F,6,0),0)</f>
        <v>31.78</v>
      </c>
      <c r="AK1488" s="1"/>
      <c r="AL1488" s="1"/>
      <c r="AM1488" s="1"/>
      <c r="AN1488" s="54" t="e">
        <v>#N/A</v>
      </c>
      <c r="AP1488" s="4">
        <v>1.6</v>
      </c>
      <c r="AQ1488" s="111">
        <f t="shared" si="459"/>
        <v>0</v>
      </c>
      <c r="AR1488">
        <f>_xlfn.XLOOKUP(F1488,'RM Cost'!A:A,'RM Cost'!S:S)</f>
        <v>0</v>
      </c>
      <c r="AS1488" t="e">
        <f>_xlfn.XLOOKUP(A1488,[3]Sheet1!$B:$B,[3]Sheet1!$B:$B)</f>
        <v>#N/A</v>
      </c>
    </row>
    <row r="1489" spans="1:46" x14ac:dyDescent="0.25">
      <c r="A1489" s="1" t="s">
        <v>4395</v>
      </c>
      <c r="B1489" s="2" t="s">
        <v>4377</v>
      </c>
      <c r="C1489" s="1" t="s">
        <v>4527</v>
      </c>
      <c r="D1489" s="2" t="s">
        <v>554</v>
      </c>
      <c r="E1489" s="2">
        <v>2.5</v>
      </c>
      <c r="F1489" s="1" t="str">
        <f>VLOOKUP(H1489,'RM Used'!A:B,2,0)</f>
        <v>283ACS</v>
      </c>
      <c r="G1489" s="1" t="str">
        <f>IFERROR(VLOOKUP(F1489,'RM Cost'!A:B,2,0),"")</f>
        <v>RM - BUTTERNUT SQUASH BIN X 625KG</v>
      </c>
      <c r="H1489" s="1" t="s">
        <v>1447</v>
      </c>
      <c r="I1489" s="1" t="str">
        <f>VLOOKUP(F1489,'RM Used'!B:D,3,0)</f>
        <v>RM-FOOD</v>
      </c>
      <c r="J1489" s="66">
        <v>1</v>
      </c>
      <c r="K1489" s="35">
        <f t="shared" si="444"/>
        <v>2.5</v>
      </c>
      <c r="L1489" s="35">
        <f t="shared" si="451"/>
        <v>2.5</v>
      </c>
      <c r="M1489" s="77" cm="1">
        <f t="array" ref="M1489">_xlfn.IFS(BOM!I1489="RM-PACKING","100%",B1489="Reynolds",VLOOKUP(H1489,'Yield &amp; Time'!A:V,22,0),BOM!B1489="Dnata",VLOOKUP(BOM!H1489,'Yield &amp; Time'!A:M,13,0),B1489="NK",VLOOKUP(H1489,'Yield &amp; Time'!A:X,24,0))</f>
        <v>0.73</v>
      </c>
      <c r="N1489" s="35">
        <f t="shared" si="449"/>
        <v>3.4246575342465753</v>
      </c>
      <c r="O1489" s="1" t="str">
        <f>VLOOKUP(H1489,'RM Used'!A:E,5,0)</f>
        <v>KG</v>
      </c>
      <c r="P1489" s="11">
        <f>VLOOKUP(H1489,'RM Used'!A:F,6,0)</f>
        <v>0.65</v>
      </c>
      <c r="Q1489" s="11">
        <f t="shared" si="460"/>
        <v>2.2260273972602742</v>
      </c>
      <c r="R1489" s="11" cm="1">
        <f t="array" ref="R1489">IFERROR(_xlfn.IFS(B1489="Reynolds",VLOOKUP(H1489,'Yield &amp; Time'!A:U,21,0),B1489="Dnata",VLOOKUP(H1489,'Yield &amp; Time'!A:L,12,0),B1489="NK",VLOOKUP(H1489,'Yield &amp; Time'!A:W,23,0)),0)</f>
        <v>1.7</v>
      </c>
      <c r="S1489" s="11">
        <f t="shared" si="452"/>
        <v>1.4386249999999998</v>
      </c>
      <c r="T1489" s="11">
        <f t="shared" si="453"/>
        <v>7.0833333333333331E-2</v>
      </c>
      <c r="U1489" s="11">
        <f>IF(A1488=A1489,0,VLOOKUP(A1489,'Packing Time'!A:F,6,0))</f>
        <v>0.64500000000000002</v>
      </c>
      <c r="V1489" s="11">
        <f t="shared" si="445"/>
        <v>0.21833249999999998</v>
      </c>
      <c r="W1489" s="11">
        <f t="shared" si="446"/>
        <v>1.0750000000000001E-2</v>
      </c>
      <c r="X1489" s="11">
        <f t="shared" si="454"/>
        <v>2.6511319999999996</v>
      </c>
      <c r="Y1489" s="11">
        <f t="shared" si="447"/>
        <v>2.6511319999999996</v>
      </c>
      <c r="Z1489" s="37">
        <v>1</v>
      </c>
      <c r="AA1489" s="36">
        <f t="shared" si="455"/>
        <v>3.4246575342465753</v>
      </c>
      <c r="AB1489" s="11">
        <f t="shared" si="456"/>
        <v>2.2260273972602742</v>
      </c>
      <c r="AC1489" s="11">
        <f t="shared" si="457"/>
        <v>0.13053333333333333</v>
      </c>
      <c r="AD1489" s="36">
        <f t="shared" si="448"/>
        <v>2.6511319999999996</v>
      </c>
      <c r="AE1489" s="36"/>
      <c r="AF1489" s="36">
        <f>IFERROR(VLOOKUP(AE1489,'Chemical Cost'!A:D,4,0),0)</f>
        <v>0</v>
      </c>
      <c r="AG1489" s="114">
        <f t="shared" si="458"/>
        <v>0</v>
      </c>
      <c r="AH1489" s="36">
        <f t="shared" si="461"/>
        <v>0</v>
      </c>
      <c r="AI1489" s="36">
        <f t="shared" si="450"/>
        <v>4.8771593972602734</v>
      </c>
      <c r="AJ1489" s="36">
        <f>IFERROR(VLOOKUP(A1489,'All Products'!A:F,6,0),0)</f>
        <v>7.78</v>
      </c>
      <c r="AK1489" s="1"/>
      <c r="AL1489" s="1"/>
      <c r="AM1489" s="1"/>
      <c r="AN1489" s="54" t="e">
        <v>#N/A</v>
      </c>
      <c r="AP1489" s="4">
        <v>1.6</v>
      </c>
      <c r="AQ1489" s="111">
        <f t="shared" si="459"/>
        <v>0.13053333333333333</v>
      </c>
      <c r="AR1489">
        <f>_xlfn.XLOOKUP(F1489,'RM Cost'!A:A,'RM Cost'!S:S)</f>
        <v>0</v>
      </c>
      <c r="AS1489" t="e">
        <f>_xlfn.XLOOKUP(A1489,[3]Sheet1!$B:$B,[3]Sheet1!$B:$B)</f>
        <v>#N/A</v>
      </c>
    </row>
    <row r="1490" spans="1:46" x14ac:dyDescent="0.25">
      <c r="A1490" s="1" t="s">
        <v>4395</v>
      </c>
      <c r="B1490" s="1" t="s">
        <v>4377</v>
      </c>
      <c r="C1490" s="1" t="s">
        <v>4527</v>
      </c>
      <c r="D1490" s="1" t="s">
        <v>554</v>
      </c>
      <c r="E1490" s="2">
        <v>2.5</v>
      </c>
      <c r="F1490" s="1" t="str">
        <f>VLOOKUP(H1490,'RM Used'!A:B,2,0)</f>
        <v>P0008</v>
      </c>
      <c r="G1490" s="1" t="str">
        <f>IFERROR(VLOOKUP(F1490,'RM Cost'!A:B,2,0),"")</f>
        <v>PALE BLUE BAG 470X750MM</v>
      </c>
      <c r="H1490" s="1" t="s">
        <v>1323</v>
      </c>
      <c r="I1490" s="1" t="str">
        <f>VLOOKUP(F1490,'RM Used'!B:D,3,0)</f>
        <v>RM-PACKING</v>
      </c>
      <c r="J1490" s="66">
        <v>1</v>
      </c>
      <c r="K1490" s="35" t="str">
        <f t="shared" si="444"/>
        <v/>
      </c>
      <c r="L1490" s="35">
        <f t="shared" si="451"/>
        <v>0</v>
      </c>
      <c r="M1490" s="77" t="str" cm="1">
        <f t="array" ref="M1490">_xlfn.IFS(BOM!I1490="RM-PACKING","100%",B1490="Reynolds",VLOOKUP(H1490,'Yield &amp; Time'!A:V,22,0),BOM!B1490="Dnata",VLOOKUP(BOM!H1490,'Yield &amp; Time'!A:M,13,0),B1490="NK",VLOOKUP(H1490,'Yield &amp; Time'!A:X,24,0))</f>
        <v>100%</v>
      </c>
      <c r="N1490" s="35">
        <f t="shared" si="449"/>
        <v>1</v>
      </c>
      <c r="O1490" s="1" t="str">
        <f>VLOOKUP(H1490,'RM Used'!A:E,5,0)</f>
        <v>Count</v>
      </c>
      <c r="P1490" s="11">
        <f>VLOOKUP(H1490,'RM Used'!A:F,6,0)</f>
        <v>0.14000000000000001</v>
      </c>
      <c r="Q1490" s="11">
        <f t="shared" si="460"/>
        <v>0.14000000000000001</v>
      </c>
      <c r="R1490" s="11" cm="1">
        <f t="array" ref="R1490">IFERROR(_xlfn.IFS(B1490="Reynolds",VLOOKUP(H1490,'Yield &amp; Time'!A:U,21,0),B1490="Dnata",VLOOKUP(H1490,'Yield &amp; Time'!A:L,12,0),B1490="NK",VLOOKUP(H1490,'Yield &amp; Time'!A:W,23,0)),0)</f>
        <v>0</v>
      </c>
      <c r="S1490" s="11">
        <f t="shared" si="452"/>
        <v>0</v>
      </c>
      <c r="T1490" s="11">
        <f t="shared" si="453"/>
        <v>0</v>
      </c>
      <c r="U1490" s="11">
        <f>IF(A1489=A1490,0,VLOOKUP(A1490,'Packing Time'!A:F,6,0))</f>
        <v>0</v>
      </c>
      <c r="V1490" s="11">
        <f t="shared" si="445"/>
        <v>0</v>
      </c>
      <c r="W1490" s="11">
        <f t="shared" si="446"/>
        <v>0</v>
      </c>
      <c r="X1490" s="11">
        <f t="shared" si="454"/>
        <v>0</v>
      </c>
      <c r="Y1490" s="11">
        <f t="shared" si="447"/>
        <v>0</v>
      </c>
      <c r="Z1490" s="37">
        <v>1</v>
      </c>
      <c r="AA1490" s="36">
        <f t="shared" si="455"/>
        <v>1</v>
      </c>
      <c r="AB1490" s="11">
        <f t="shared" si="456"/>
        <v>0.14000000000000001</v>
      </c>
      <c r="AC1490" s="11">
        <f t="shared" si="457"/>
        <v>0</v>
      </c>
      <c r="AD1490" s="36">
        <f t="shared" si="448"/>
        <v>0</v>
      </c>
      <c r="AE1490" s="36"/>
      <c r="AF1490" s="36">
        <f>IFERROR(VLOOKUP(AE1490,'Chemical Cost'!A:D,4,0),0)</f>
        <v>0</v>
      </c>
      <c r="AG1490" s="114">
        <f t="shared" si="458"/>
        <v>0</v>
      </c>
      <c r="AH1490" s="36">
        <f t="shared" si="461"/>
        <v>0</v>
      </c>
      <c r="AI1490" s="36">
        <f t="shared" si="450"/>
        <v>0.14000000000000001</v>
      </c>
      <c r="AJ1490" s="36">
        <f>IFERROR(VLOOKUP(A1490,'All Products'!A:F,6,0),0)</f>
        <v>7.78</v>
      </c>
      <c r="AK1490" s="1"/>
      <c r="AL1490" s="1"/>
      <c r="AM1490" s="1"/>
      <c r="AN1490" s="54" t="e">
        <v>#N/A</v>
      </c>
      <c r="AP1490" s="4">
        <v>1.6</v>
      </c>
      <c r="AQ1490" s="111">
        <f t="shared" si="459"/>
        <v>0</v>
      </c>
      <c r="AR1490">
        <f>_xlfn.XLOOKUP(F1490,'RM Cost'!A:A,'RM Cost'!S:S)</f>
        <v>0</v>
      </c>
      <c r="AS1490" t="e">
        <f>_xlfn.XLOOKUP(A1490,[3]Sheet1!$B:$B,[3]Sheet1!$B:$B)</f>
        <v>#N/A</v>
      </c>
    </row>
    <row r="1491" spans="1:46" x14ac:dyDescent="0.25">
      <c r="A1491" s="1" t="s">
        <v>4396</v>
      </c>
      <c r="B1491" s="2" t="s">
        <v>4377</v>
      </c>
      <c r="C1491" s="1" t="s">
        <v>4445</v>
      </c>
      <c r="D1491" s="2" t="s">
        <v>554</v>
      </c>
      <c r="E1491" s="2">
        <v>1</v>
      </c>
      <c r="F1491" s="1" t="str">
        <f>VLOOKUP(H1491,'RM Used'!A:B,2,0)</f>
        <v>3020CS</v>
      </c>
      <c r="G1491" s="1" t="str">
        <f>IFERROR(VLOOKUP(F1491,'RM Cost'!A:B,2,0),"")</f>
        <v>RM - CELERIAC 10KG</v>
      </c>
      <c r="H1491" s="1" t="s">
        <v>1622</v>
      </c>
      <c r="I1491" s="1" t="str">
        <f>VLOOKUP(F1491,'RM Used'!B:D,3,0)</f>
        <v>RM-FOOD</v>
      </c>
      <c r="J1491" s="66">
        <v>0.33</v>
      </c>
      <c r="K1491" s="35">
        <f t="shared" ref="K1491:K1534" si="462">IF(I1491="RM-FOOD",J1491*E1491,"")</f>
        <v>0.33</v>
      </c>
      <c r="L1491" s="35">
        <f t="shared" si="451"/>
        <v>0.33</v>
      </c>
      <c r="M1491" s="77" cm="1">
        <f t="array" ref="M1491">_xlfn.IFS(BOM!I1491="RM-PACKING","100%",B1491="Reynolds",VLOOKUP(H1491,'Yield &amp; Time'!A:V,22,0),BOM!B1491="Dnata",VLOOKUP(BOM!H1491,'Yield &amp; Time'!A:M,13,0),B1491="NK",VLOOKUP(H1491,'Yield &amp; Time'!A:X,24,0))</f>
        <v>0.78</v>
      </c>
      <c r="N1491" s="35">
        <f t="shared" si="449"/>
        <v>0.42307692307692307</v>
      </c>
      <c r="O1491" s="1" t="str">
        <f>VLOOKUP(H1491,'RM Used'!A:E,5,0)</f>
        <v>KG</v>
      </c>
      <c r="P1491" s="11">
        <f>VLOOKUP(H1491,'RM Used'!A:F,6,0)</f>
        <v>0.55000000000000004</v>
      </c>
      <c r="Q1491" s="11">
        <f t="shared" si="460"/>
        <v>0.2326923076923077</v>
      </c>
      <c r="R1491" s="11" cm="1">
        <f t="array" ref="R1491">IFERROR(_xlfn.IFS(B1491="Reynolds",VLOOKUP(H1491,'Yield &amp; Time'!A:U,21,0),B1491="Dnata",VLOOKUP(H1491,'Yield &amp; Time'!A:L,12,0),B1491="NK",VLOOKUP(H1491,'Yield &amp; Time'!A:W,23,0)),0)</f>
        <v>1</v>
      </c>
      <c r="S1491" s="11">
        <f t="shared" si="452"/>
        <v>0.111705</v>
      </c>
      <c r="T1491" s="11">
        <f t="shared" si="453"/>
        <v>5.5000000000000005E-3</v>
      </c>
      <c r="U1491" s="11">
        <f>IF(A1490=A1491,0,VLOOKUP(A1491,'Packing Time'!A:F,6,0))</f>
        <v>0.64500000000000002</v>
      </c>
      <c r="V1491" s="11">
        <f t="shared" si="445"/>
        <v>0.21833249999999998</v>
      </c>
      <c r="W1491" s="11">
        <f t="shared" si="446"/>
        <v>1.0750000000000001E-2</v>
      </c>
      <c r="X1491" s="11">
        <f t="shared" si="454"/>
        <v>0.46205249999999992</v>
      </c>
      <c r="Y1491" s="11">
        <f t="shared" si="447"/>
        <v>0.46205249999999992</v>
      </c>
      <c r="Z1491" s="37">
        <v>1</v>
      </c>
      <c r="AA1491" s="36">
        <f t="shared" si="455"/>
        <v>0.42307692307692307</v>
      </c>
      <c r="AB1491" s="11">
        <f t="shared" si="456"/>
        <v>0.2326923076923077</v>
      </c>
      <c r="AC1491" s="11">
        <f t="shared" si="457"/>
        <v>2.2749999999999999E-2</v>
      </c>
      <c r="AD1491" s="36">
        <f t="shared" si="448"/>
        <v>0.46205249999999998</v>
      </c>
      <c r="AE1491" s="36"/>
      <c r="AF1491" s="36">
        <f>IFERROR(VLOOKUP(AE1491,'Chemical Cost'!A:D,4,0),0)</f>
        <v>0</v>
      </c>
      <c r="AG1491" s="114">
        <f t="shared" si="458"/>
        <v>0</v>
      </c>
      <c r="AH1491" s="36">
        <f t="shared" si="461"/>
        <v>0</v>
      </c>
      <c r="AI1491" s="36">
        <f t="shared" si="450"/>
        <v>0.69474480769230762</v>
      </c>
      <c r="AJ1491" s="36">
        <f>IFERROR(VLOOKUP(A1491,'All Products'!A:F,6,0),0)</f>
        <v>4.0599999999999996</v>
      </c>
      <c r="AK1491" s="1"/>
      <c r="AL1491" s="1"/>
      <c r="AM1491" s="1"/>
      <c r="AN1491" s="54" t="e">
        <v>#N/A</v>
      </c>
      <c r="AP1491" s="4">
        <v>1.4</v>
      </c>
      <c r="AQ1491" s="111">
        <f t="shared" si="459"/>
        <v>2.2749999999999999E-2</v>
      </c>
      <c r="AR1491">
        <f>_xlfn.XLOOKUP(F1491,'RM Cost'!A:A,'RM Cost'!S:S)</f>
        <v>0</v>
      </c>
      <c r="AS1491" t="e">
        <f>_xlfn.XLOOKUP(A1491,[3]Sheet1!$B:$B,[3]Sheet1!$B:$B)</f>
        <v>#N/A</v>
      </c>
    </row>
    <row r="1492" spans="1:46" x14ac:dyDescent="0.25">
      <c r="A1492" s="1" t="s">
        <v>4396</v>
      </c>
      <c r="B1492" s="2" t="s">
        <v>4377</v>
      </c>
      <c r="C1492" s="1" t="s">
        <v>4445</v>
      </c>
      <c r="D1492" s="2" t="s">
        <v>554</v>
      </c>
      <c r="E1492" s="2">
        <v>1</v>
      </c>
      <c r="F1492" s="1" t="str">
        <f>VLOOKUP(H1492,'RM Used'!A:B,2,0)</f>
        <v>3277CS</v>
      </c>
      <c r="G1492" s="1" t="str">
        <f>IFERROR(VLOOKUP(F1492,'RM Cost'!A:B,2,0),"")</f>
        <v>RM - SWEDE 12.5KG</v>
      </c>
      <c r="H1492" s="1" t="s">
        <v>1374</v>
      </c>
      <c r="I1492" s="1" t="str">
        <f>VLOOKUP(F1492,'RM Used'!B:D,3,0)</f>
        <v>RM-FOOD</v>
      </c>
      <c r="J1492" s="66">
        <v>0.33</v>
      </c>
      <c r="K1492" s="35">
        <f t="shared" si="462"/>
        <v>0.33</v>
      </c>
      <c r="L1492" s="35">
        <f t="shared" si="451"/>
        <v>0.33</v>
      </c>
      <c r="M1492" s="77" cm="1">
        <f t="array" ref="M1492">_xlfn.IFS(BOM!I1492="RM-PACKING","100%",B1492="Reynolds",VLOOKUP(H1492,'Yield &amp; Time'!A:V,22,0),BOM!B1492="Dnata",VLOOKUP(BOM!H1492,'Yield &amp; Time'!A:M,13,0),B1492="NK",VLOOKUP(H1492,'Yield &amp; Time'!A:X,24,0))</f>
        <v>0.83</v>
      </c>
      <c r="N1492" s="35">
        <f t="shared" si="449"/>
        <v>0.39759036144578319</v>
      </c>
      <c r="O1492" s="1" t="str">
        <f>VLOOKUP(H1492,'RM Used'!A:E,5,0)</f>
        <v>KG</v>
      </c>
      <c r="P1492" s="11">
        <f>VLOOKUP(H1492,'RM Used'!A:F,6,0)</f>
        <v>0.52</v>
      </c>
      <c r="Q1492" s="11">
        <f t="shared" si="460"/>
        <v>0.20674698795180727</v>
      </c>
      <c r="R1492" s="11" cm="1">
        <f t="array" ref="R1492">IFERROR(_xlfn.IFS(B1492="Reynolds",VLOOKUP(H1492,'Yield &amp; Time'!A:U,21,0),B1492="Dnata",VLOOKUP(H1492,'Yield &amp; Time'!A:L,12,0),B1492="NK",VLOOKUP(H1492,'Yield &amp; Time'!A:W,23,0)),0)</f>
        <v>1.95</v>
      </c>
      <c r="S1492" s="11">
        <f t="shared" si="452"/>
        <v>0.21782474999999996</v>
      </c>
      <c r="T1492" s="11">
        <f t="shared" si="453"/>
        <v>1.0725E-2</v>
      </c>
      <c r="U1492" s="11">
        <f>IF(A1491=A1492,0,VLOOKUP(A1492,'Packing Time'!A:F,6,0))</f>
        <v>0</v>
      </c>
      <c r="V1492" s="11">
        <f t="shared" si="445"/>
        <v>0</v>
      </c>
      <c r="W1492" s="11">
        <f t="shared" si="446"/>
        <v>0</v>
      </c>
      <c r="X1492" s="11">
        <f t="shared" si="454"/>
        <v>0.30495464999999994</v>
      </c>
      <c r="Y1492" s="11">
        <f t="shared" si="447"/>
        <v>0.30495464999999994</v>
      </c>
      <c r="Z1492" s="37">
        <v>1</v>
      </c>
      <c r="AA1492" s="36">
        <f t="shared" si="455"/>
        <v>0.39759036144578319</v>
      </c>
      <c r="AB1492" s="11">
        <f t="shared" si="456"/>
        <v>0.20674698795180727</v>
      </c>
      <c r="AC1492" s="11">
        <f t="shared" si="457"/>
        <v>1.5014999999999999E-2</v>
      </c>
      <c r="AD1492" s="36">
        <f t="shared" si="448"/>
        <v>0.30495464999999994</v>
      </c>
      <c r="AE1492" s="36"/>
      <c r="AF1492" s="36">
        <f>IFERROR(VLOOKUP(AE1492,'Chemical Cost'!A:D,4,0),0)</f>
        <v>0</v>
      </c>
      <c r="AG1492" s="114">
        <f t="shared" si="458"/>
        <v>0</v>
      </c>
      <c r="AH1492" s="36">
        <f t="shared" si="461"/>
        <v>0</v>
      </c>
      <c r="AI1492" s="36">
        <f t="shared" si="450"/>
        <v>0.51170163795180723</v>
      </c>
      <c r="AJ1492" s="36">
        <f>IFERROR(VLOOKUP(A1492,'All Products'!A:F,6,0),0)</f>
        <v>4.0599999999999996</v>
      </c>
      <c r="AK1492" s="1"/>
      <c r="AL1492" s="1"/>
      <c r="AM1492" s="1"/>
      <c r="AN1492" s="54" t="e">
        <v>#N/A</v>
      </c>
      <c r="AP1492" s="4">
        <v>1.4</v>
      </c>
      <c r="AQ1492" s="111">
        <f t="shared" si="459"/>
        <v>1.5014999999999999E-2</v>
      </c>
      <c r="AR1492">
        <f>_xlfn.XLOOKUP(F1492,'RM Cost'!A:A,'RM Cost'!S:S)</f>
        <v>0</v>
      </c>
      <c r="AS1492" t="e">
        <f>_xlfn.XLOOKUP(A1492,[3]Sheet1!$B:$B,[3]Sheet1!$B:$B)</f>
        <v>#N/A</v>
      </c>
    </row>
    <row r="1493" spans="1:46" x14ac:dyDescent="0.25">
      <c r="A1493" s="1" t="s">
        <v>4396</v>
      </c>
      <c r="B1493" s="2" t="s">
        <v>4377</v>
      </c>
      <c r="C1493" s="1" t="s">
        <v>4445</v>
      </c>
      <c r="D1493" s="2" t="s">
        <v>554</v>
      </c>
      <c r="E1493" s="2">
        <v>1</v>
      </c>
      <c r="F1493" s="1" t="str">
        <f>VLOOKUP(H1493,'RM Used'!A:B,2,0)</f>
        <v>283ACS</v>
      </c>
      <c r="G1493" s="1" t="str">
        <f>IFERROR(VLOOKUP(F1493,'RM Cost'!A:B,2,0),"")</f>
        <v>RM - BUTTERNUT SQUASH BIN X 625KG</v>
      </c>
      <c r="H1493" s="2" t="s">
        <v>4482</v>
      </c>
      <c r="I1493" s="1" t="str">
        <f>VLOOKUP(F1493,'RM Used'!B:D,3,0)</f>
        <v>RM-FOOD</v>
      </c>
      <c r="J1493" s="66">
        <v>0.34</v>
      </c>
      <c r="K1493" s="35">
        <f t="shared" si="462"/>
        <v>0.34</v>
      </c>
      <c r="L1493" s="35">
        <f t="shared" si="451"/>
        <v>0.34</v>
      </c>
      <c r="M1493" s="77" cm="1">
        <f t="array" ref="M1493">_xlfn.IFS(BOM!I1493="RM-PACKING","100%",B1493="Reynolds",VLOOKUP(H1493,'Yield &amp; Time'!A:V,22,0),BOM!B1493="Dnata",VLOOKUP(BOM!H1493,'Yield &amp; Time'!A:M,13,0),B1493="NK",VLOOKUP(H1493,'Yield &amp; Time'!A:X,24,0))</f>
        <v>0.63291139240506333</v>
      </c>
      <c r="N1493" s="35">
        <f t="shared" si="449"/>
        <v>0.53720000000000001</v>
      </c>
      <c r="O1493" s="1" t="str">
        <f>VLOOKUP(H1493,'RM Used'!A:E,5,0)</f>
        <v>KG</v>
      </c>
      <c r="P1493" s="11">
        <f>VLOOKUP(H1493,'RM Used'!A:F,6,0)</f>
        <v>0.65</v>
      </c>
      <c r="Q1493" s="11">
        <f t="shared" si="460"/>
        <v>0.34918000000000005</v>
      </c>
      <c r="R1493" s="11" cm="1">
        <f t="array" ref="R1493">IFERROR(_xlfn.IFS(B1493="Reynolds",VLOOKUP(H1493,'Yield &amp; Time'!A:U,21,0),B1493="Dnata",VLOOKUP(H1493,'Yield &amp; Time'!A:L,12,0),B1493="NK",VLOOKUP(H1493,'Yield &amp; Time'!A:W,23,0)),0)</f>
        <v>6.64</v>
      </c>
      <c r="S1493" s="11">
        <f t="shared" si="452"/>
        <v>0.76419759999999992</v>
      </c>
      <c r="T1493" s="11">
        <f t="shared" si="453"/>
        <v>3.7626666666666669E-2</v>
      </c>
      <c r="U1493" s="11">
        <f>IF(A1492=A1493,0,VLOOKUP(A1493,'Packing Time'!A:F,6,0))</f>
        <v>0</v>
      </c>
      <c r="V1493" s="11">
        <f t="shared" si="445"/>
        <v>0</v>
      </c>
      <c r="W1493" s="11">
        <f t="shared" si="446"/>
        <v>0</v>
      </c>
      <c r="X1493" s="11">
        <f t="shared" si="454"/>
        <v>1.0698766399999997</v>
      </c>
      <c r="Y1493" s="11">
        <f t="shared" si="447"/>
        <v>1.0698766399999997</v>
      </c>
      <c r="Z1493" s="37">
        <v>1</v>
      </c>
      <c r="AA1493" s="36">
        <f t="shared" si="455"/>
        <v>0.53720000000000001</v>
      </c>
      <c r="AB1493" s="11">
        <f t="shared" si="456"/>
        <v>0.34918000000000005</v>
      </c>
      <c r="AC1493" s="11">
        <f t="shared" si="457"/>
        <v>5.2677333333333333E-2</v>
      </c>
      <c r="AD1493" s="36">
        <f t="shared" si="448"/>
        <v>1.0698766399999999</v>
      </c>
      <c r="AE1493" s="36"/>
      <c r="AF1493" s="36">
        <f>IFERROR(VLOOKUP(AE1493,'Chemical Cost'!A:D,4,0),0)</f>
        <v>0</v>
      </c>
      <c r="AG1493" s="114">
        <f t="shared" si="458"/>
        <v>0</v>
      </c>
      <c r="AH1493" s="36">
        <f t="shared" si="461"/>
        <v>0</v>
      </c>
      <c r="AI1493" s="36">
        <f t="shared" si="450"/>
        <v>1.4190566399999998</v>
      </c>
      <c r="AJ1493" s="36">
        <f>IFERROR(VLOOKUP(A1493,'All Products'!A:F,6,0),0)</f>
        <v>4.0599999999999996</v>
      </c>
      <c r="AK1493" s="1"/>
      <c r="AL1493" s="1"/>
      <c r="AM1493" s="1"/>
      <c r="AN1493" s="54" t="e">
        <v>#N/A</v>
      </c>
      <c r="AP1493" s="4">
        <v>1.4</v>
      </c>
      <c r="AQ1493" s="111">
        <f t="shared" si="459"/>
        <v>5.2677333333333333E-2</v>
      </c>
      <c r="AR1493">
        <f>_xlfn.XLOOKUP(F1493,'RM Cost'!A:A,'RM Cost'!S:S)</f>
        <v>0</v>
      </c>
      <c r="AS1493" t="e">
        <f>_xlfn.XLOOKUP(A1493,[3]Sheet1!$B:$B,[3]Sheet1!$B:$B)</f>
        <v>#N/A</v>
      </c>
    </row>
    <row r="1494" spans="1:46" x14ac:dyDescent="0.25">
      <c r="A1494" s="1" t="s">
        <v>4396</v>
      </c>
      <c r="B1494" s="1" t="s">
        <v>4377</v>
      </c>
      <c r="C1494" s="1" t="s">
        <v>4445</v>
      </c>
      <c r="D1494" s="1" t="s">
        <v>554</v>
      </c>
      <c r="E1494" s="2">
        <v>1</v>
      </c>
      <c r="F1494" s="1" t="str">
        <f>VLOOKUP(H1494,'RM Used'!A:B,2,0)</f>
        <v>P0008</v>
      </c>
      <c r="G1494" s="1" t="str">
        <f>IFERROR(VLOOKUP(F1494,'RM Cost'!A:B,2,0),"")</f>
        <v>PALE BLUE BAG 470X750MM</v>
      </c>
      <c r="H1494" s="1" t="s">
        <v>1323</v>
      </c>
      <c r="I1494" s="1" t="str">
        <f>VLOOKUP(F1494,'RM Used'!B:D,3,0)</f>
        <v>RM-PACKING</v>
      </c>
      <c r="J1494" s="66">
        <v>1</v>
      </c>
      <c r="K1494" s="35" t="str">
        <f t="shared" si="462"/>
        <v/>
      </c>
      <c r="L1494" s="35">
        <f t="shared" si="451"/>
        <v>0</v>
      </c>
      <c r="M1494" s="77" t="str" cm="1">
        <f t="array" ref="M1494">_xlfn.IFS(BOM!I1494="RM-PACKING","100%",B1494="Reynolds",VLOOKUP(H1494,'Yield &amp; Time'!A:V,22,0),BOM!B1494="Dnata",VLOOKUP(BOM!H1494,'Yield &amp; Time'!A:M,13,0),B1494="NK",VLOOKUP(H1494,'Yield &amp; Time'!A:X,24,0))</f>
        <v>100%</v>
      </c>
      <c r="N1494" s="35">
        <f t="shared" si="449"/>
        <v>1</v>
      </c>
      <c r="O1494" s="1" t="str">
        <f>VLOOKUP(H1494,'RM Used'!A:E,5,0)</f>
        <v>Count</v>
      </c>
      <c r="P1494" s="11">
        <f>VLOOKUP(H1494,'RM Used'!A:F,6,0)</f>
        <v>0.14000000000000001</v>
      </c>
      <c r="Q1494" s="11">
        <f t="shared" si="460"/>
        <v>0.14000000000000001</v>
      </c>
      <c r="R1494" s="11" cm="1">
        <f t="array" ref="R1494">IFERROR(_xlfn.IFS(B1494="Reynolds",VLOOKUP(H1494,'Yield &amp; Time'!A:U,21,0),B1494="Dnata",VLOOKUP(H1494,'Yield &amp; Time'!A:L,12,0),B1494="NK",VLOOKUP(H1494,'Yield &amp; Time'!A:W,23,0)),0)</f>
        <v>0</v>
      </c>
      <c r="S1494" s="11">
        <f t="shared" si="452"/>
        <v>0</v>
      </c>
      <c r="T1494" s="11">
        <f t="shared" si="453"/>
        <v>0</v>
      </c>
      <c r="U1494" s="11">
        <f>IF(A1493=A1494,0,VLOOKUP(A1494,'Packing Time'!A:F,6,0))</f>
        <v>0</v>
      </c>
      <c r="V1494" s="11">
        <f t="shared" si="445"/>
        <v>0</v>
      </c>
      <c r="W1494" s="11">
        <f t="shared" si="446"/>
        <v>0</v>
      </c>
      <c r="X1494" s="11">
        <f t="shared" si="454"/>
        <v>0</v>
      </c>
      <c r="Y1494" s="11">
        <f t="shared" si="447"/>
        <v>0</v>
      </c>
      <c r="Z1494" s="37">
        <v>1</v>
      </c>
      <c r="AA1494" s="36">
        <f t="shared" si="455"/>
        <v>1</v>
      </c>
      <c r="AB1494" s="11">
        <f t="shared" si="456"/>
        <v>0.14000000000000001</v>
      </c>
      <c r="AC1494" s="11">
        <f t="shared" si="457"/>
        <v>0</v>
      </c>
      <c r="AD1494" s="36">
        <f t="shared" si="448"/>
        <v>0</v>
      </c>
      <c r="AE1494" s="36"/>
      <c r="AF1494" s="36">
        <f>IFERROR(VLOOKUP(AE1494,'Chemical Cost'!A:D,4,0),0)</f>
        <v>0</v>
      </c>
      <c r="AG1494" s="114">
        <f t="shared" si="458"/>
        <v>0</v>
      </c>
      <c r="AH1494" s="36">
        <f t="shared" si="461"/>
        <v>0</v>
      </c>
      <c r="AI1494" s="36">
        <f t="shared" si="450"/>
        <v>0.14000000000000001</v>
      </c>
      <c r="AJ1494" s="36">
        <f>IFERROR(VLOOKUP(A1494,'All Products'!A:F,6,0),0)</f>
        <v>4.0599999999999996</v>
      </c>
      <c r="AK1494" s="1"/>
      <c r="AL1494" s="1"/>
      <c r="AM1494" s="1"/>
      <c r="AN1494" s="54" t="e">
        <v>#N/A</v>
      </c>
      <c r="AP1494" s="4">
        <v>1.4</v>
      </c>
      <c r="AQ1494" s="111">
        <f t="shared" si="459"/>
        <v>0</v>
      </c>
      <c r="AR1494">
        <f>_xlfn.XLOOKUP(F1494,'RM Cost'!A:A,'RM Cost'!S:S)</f>
        <v>0</v>
      </c>
      <c r="AS1494" t="e">
        <f>_xlfn.XLOOKUP(A1494,[3]Sheet1!$B:$B,[3]Sheet1!$B:$B)</f>
        <v>#N/A</v>
      </c>
    </row>
    <row r="1495" spans="1:46" x14ac:dyDescent="0.25">
      <c r="A1495" s="1" t="s">
        <v>4397</v>
      </c>
      <c r="B1495" s="2" t="s">
        <v>4377</v>
      </c>
      <c r="C1495" s="1" t="s">
        <v>4446</v>
      </c>
      <c r="D1495" s="2" t="s">
        <v>554</v>
      </c>
      <c r="E1495" s="2">
        <v>1</v>
      </c>
      <c r="F1495" s="1" t="str">
        <f>VLOOKUP(H1495,'RM Used'!A:B,2,0)</f>
        <v>0930CS</v>
      </c>
      <c r="G1495" s="1" t="str">
        <f>IFERROR(VLOOKUP(F1495,'RM Cost'!A:B,2,0),"")</f>
        <v>RM - COURGETTE STANDARD</v>
      </c>
      <c r="H1495" s="1" t="s">
        <v>4483</v>
      </c>
      <c r="I1495" s="1" t="str">
        <f>VLOOKUP(F1495,'RM Used'!B:D,3,0)</f>
        <v>RM-FOOD</v>
      </c>
      <c r="J1495" s="66">
        <v>1</v>
      </c>
      <c r="K1495" s="35">
        <f t="shared" si="462"/>
        <v>1</v>
      </c>
      <c r="L1495" s="35">
        <f t="shared" si="451"/>
        <v>1</v>
      </c>
      <c r="M1495" s="77" cm="1">
        <f t="array" ref="M1495">_xlfn.IFS(BOM!I1495="RM-PACKING","100%",B1495="Reynolds",VLOOKUP(H1495,'Yield &amp; Time'!A:V,22,0),BOM!B1495="Dnata",VLOOKUP(BOM!H1495,'Yield &amp; Time'!A:M,13,0),B1495="NK",VLOOKUP(H1495,'Yield &amp; Time'!A:X,24,0))</f>
        <v>0.94</v>
      </c>
      <c r="N1495" s="35">
        <f t="shared" si="449"/>
        <v>1.0638297872340425</v>
      </c>
      <c r="O1495" s="1" t="str">
        <f>VLOOKUP(H1495,'RM Used'!A:E,5,0)</f>
        <v>KG</v>
      </c>
      <c r="P1495" s="11">
        <f>VLOOKUP(H1495,'RM Used'!A:F,6,0)</f>
        <v>1.1000000000000001</v>
      </c>
      <c r="Q1495" s="11">
        <f t="shared" si="460"/>
        <v>1.1702127659574468</v>
      </c>
      <c r="R1495" s="11" cm="1">
        <f t="array" ref="R1495">IFERROR(_xlfn.IFS(B1495="Reynolds",VLOOKUP(H1495,'Yield &amp; Time'!A:U,21,0),B1495="Dnata",VLOOKUP(H1495,'Yield &amp; Time'!A:L,12,0),B1495="NK",VLOOKUP(H1495,'Yield &amp; Time'!A:W,23,0)),0)</f>
        <v>1.1399999999999999</v>
      </c>
      <c r="S1495" s="11">
        <f t="shared" si="452"/>
        <v>0.38588999999999996</v>
      </c>
      <c r="T1495" s="11">
        <f t="shared" si="453"/>
        <v>1.9E-2</v>
      </c>
      <c r="U1495" s="11">
        <f>IF(A1494=A1495,0,VLOOKUP(A1495,'Packing Time'!A:F,6,0))</f>
        <v>0.64500000000000002</v>
      </c>
      <c r="V1495" s="11">
        <f t="shared" si="445"/>
        <v>0.21833249999999998</v>
      </c>
      <c r="W1495" s="11">
        <f t="shared" si="446"/>
        <v>1.0750000000000001E-2</v>
      </c>
      <c r="X1495" s="11">
        <f t="shared" si="454"/>
        <v>0.84591149999999982</v>
      </c>
      <c r="Y1495" s="11">
        <f t="shared" si="447"/>
        <v>0.84591149999999982</v>
      </c>
      <c r="Z1495" s="37">
        <v>1</v>
      </c>
      <c r="AA1495" s="36">
        <f t="shared" si="455"/>
        <v>1.0638297872340425</v>
      </c>
      <c r="AB1495" s="11">
        <f t="shared" si="456"/>
        <v>1.1702127659574468</v>
      </c>
      <c r="AC1495" s="11">
        <f t="shared" si="457"/>
        <v>4.1649999999999993E-2</v>
      </c>
      <c r="AD1495" s="36">
        <f t="shared" si="448"/>
        <v>0.84591149999999982</v>
      </c>
      <c r="AE1495" s="36"/>
      <c r="AF1495" s="36">
        <f>IFERROR(VLOOKUP(AE1495,'Chemical Cost'!A:D,4,0),0)</f>
        <v>0</v>
      </c>
      <c r="AG1495" s="114">
        <f t="shared" si="458"/>
        <v>0</v>
      </c>
      <c r="AH1495" s="36">
        <f t="shared" si="461"/>
        <v>0</v>
      </c>
      <c r="AI1495" s="36">
        <f t="shared" si="450"/>
        <v>2.0161242659574468</v>
      </c>
      <c r="AJ1495" s="36">
        <f>IFERROR(VLOOKUP(A1495,'All Products'!A:F,6,0),0)</f>
        <v>4.78</v>
      </c>
      <c r="AK1495" s="1"/>
      <c r="AL1495" s="1"/>
      <c r="AM1495" s="1"/>
      <c r="AN1495" s="54" t="e">
        <v>#N/A</v>
      </c>
      <c r="AP1495" s="4">
        <v>1.4</v>
      </c>
      <c r="AQ1495" s="111">
        <f t="shared" si="459"/>
        <v>4.1649999999999993E-2</v>
      </c>
      <c r="AR1495">
        <f>_xlfn.XLOOKUP(F1495,'RM Cost'!A:A,'RM Cost'!S:S)</f>
        <v>1.1644775886170367</v>
      </c>
      <c r="AS1495" t="str">
        <f>_xlfn.XLOOKUP(A1495,[3]Sheet1!$B:$B,[3]Sheet1!$B:$B)</f>
        <v>N023CS</v>
      </c>
      <c r="AT1495">
        <f>_xlfn.XLOOKUP(H1495,'Yield &amp; Time'!A:A,'Yield &amp; Time'!F:F)</f>
        <v>0</v>
      </c>
    </row>
    <row r="1496" spans="1:46" x14ac:dyDescent="0.25">
      <c r="A1496" s="1" t="s">
        <v>4397</v>
      </c>
      <c r="B1496" s="1" t="s">
        <v>4377</v>
      </c>
      <c r="C1496" s="1" t="s">
        <v>4446</v>
      </c>
      <c r="D1496" s="1" t="s">
        <v>554</v>
      </c>
      <c r="E1496" s="2">
        <v>1</v>
      </c>
      <c r="F1496" s="1" t="str">
        <f>VLOOKUP(H1496,'RM Used'!A:B,2,0)</f>
        <v>P0008</v>
      </c>
      <c r="G1496" s="1" t="str">
        <f>IFERROR(VLOOKUP(F1496,'RM Cost'!A:B,2,0),"")</f>
        <v>PALE BLUE BAG 470X750MM</v>
      </c>
      <c r="H1496" s="1" t="s">
        <v>1323</v>
      </c>
      <c r="I1496" s="1" t="str">
        <f>VLOOKUP(F1496,'RM Used'!B:D,3,0)</f>
        <v>RM-PACKING</v>
      </c>
      <c r="J1496" s="66">
        <v>1</v>
      </c>
      <c r="K1496" s="35" t="str">
        <f t="shared" si="462"/>
        <v/>
      </c>
      <c r="L1496" s="35">
        <f t="shared" si="451"/>
        <v>0</v>
      </c>
      <c r="M1496" s="77" t="str" cm="1">
        <f t="array" ref="M1496">_xlfn.IFS(BOM!I1496="RM-PACKING","100%",B1496="Reynolds",VLOOKUP(H1496,'Yield &amp; Time'!A:V,22,0),BOM!B1496="Dnata",VLOOKUP(BOM!H1496,'Yield &amp; Time'!A:M,13,0),B1496="NK",VLOOKUP(H1496,'Yield &amp; Time'!A:X,24,0))</f>
        <v>100%</v>
      </c>
      <c r="N1496" s="35">
        <f t="shared" ref="N1496:N1527" si="463">IFERROR(IF(I1496="RM-FOOD",(E1496*J1496)/M1496,1),0)</f>
        <v>1</v>
      </c>
      <c r="O1496" s="1" t="str">
        <f>VLOOKUP(H1496,'RM Used'!A:E,5,0)</f>
        <v>Count</v>
      </c>
      <c r="P1496" s="11">
        <f>VLOOKUP(H1496,'RM Used'!A:F,6,0)</f>
        <v>0.14000000000000001</v>
      </c>
      <c r="Q1496" s="11">
        <f t="shared" si="460"/>
        <v>0.14000000000000001</v>
      </c>
      <c r="R1496" s="11" cm="1">
        <f t="array" ref="R1496">IFERROR(_xlfn.IFS(B1496="Reynolds",VLOOKUP(H1496,'Yield &amp; Time'!A:U,21,0),B1496="Dnata",VLOOKUP(H1496,'Yield &amp; Time'!A:L,12,0),B1496="NK",VLOOKUP(H1496,'Yield &amp; Time'!A:W,23,0)),0)</f>
        <v>0</v>
      </c>
      <c r="S1496" s="11">
        <f t="shared" si="452"/>
        <v>0</v>
      </c>
      <c r="T1496" s="11">
        <f t="shared" si="453"/>
        <v>0</v>
      </c>
      <c r="U1496" s="11">
        <f>IF(A1495=A1496,0,VLOOKUP(A1496,'Packing Time'!A:F,6,0))</f>
        <v>0</v>
      </c>
      <c r="V1496" s="11">
        <f t="shared" si="445"/>
        <v>0</v>
      </c>
      <c r="W1496" s="11">
        <f t="shared" si="446"/>
        <v>0</v>
      </c>
      <c r="X1496" s="11">
        <f t="shared" si="454"/>
        <v>0</v>
      </c>
      <c r="Y1496" s="11">
        <f t="shared" si="447"/>
        <v>0</v>
      </c>
      <c r="Z1496" s="37">
        <v>1</v>
      </c>
      <c r="AA1496" s="36">
        <f t="shared" si="455"/>
        <v>1</v>
      </c>
      <c r="AB1496" s="11">
        <f t="shared" si="456"/>
        <v>0.14000000000000001</v>
      </c>
      <c r="AC1496" s="11">
        <f t="shared" si="457"/>
        <v>0</v>
      </c>
      <c r="AD1496" s="36">
        <f t="shared" si="448"/>
        <v>0</v>
      </c>
      <c r="AE1496" s="36"/>
      <c r="AF1496" s="36">
        <f>IFERROR(VLOOKUP(AE1496,'Chemical Cost'!A:D,4,0),0)</f>
        <v>0</v>
      </c>
      <c r="AG1496" s="114">
        <f t="shared" si="458"/>
        <v>0</v>
      </c>
      <c r="AH1496" s="36">
        <f t="shared" si="461"/>
        <v>0</v>
      </c>
      <c r="AI1496" s="36">
        <f t="shared" ref="AI1496:AI1527" si="464">IFERROR((Q1496*Z1496)+(Z1496*X1496)+AH1496,0)</f>
        <v>0.14000000000000001</v>
      </c>
      <c r="AJ1496" s="36">
        <f>IFERROR(VLOOKUP(A1496,'All Products'!A:F,6,0),0)</f>
        <v>4.78</v>
      </c>
      <c r="AK1496" s="1"/>
      <c r="AL1496" s="1"/>
      <c r="AM1496" s="1"/>
      <c r="AN1496" s="54" t="e">
        <v>#N/A</v>
      </c>
      <c r="AP1496" s="4">
        <v>1.4</v>
      </c>
      <c r="AQ1496" s="111">
        <f t="shared" si="459"/>
        <v>0</v>
      </c>
      <c r="AR1496">
        <f>_xlfn.XLOOKUP(F1496,'RM Cost'!A:A,'RM Cost'!S:S)</f>
        <v>0</v>
      </c>
      <c r="AS1496" t="str">
        <f>_xlfn.XLOOKUP(A1496,[3]Sheet1!$B:$B,[3]Sheet1!$B:$B)</f>
        <v>N023CS</v>
      </c>
      <c r="AT1496" t="e">
        <f>_xlfn.XLOOKUP(H1496,'Yield &amp; Time'!A:A,'Yield &amp; Time'!F:F)</f>
        <v>#N/A</v>
      </c>
    </row>
    <row r="1497" spans="1:46" x14ac:dyDescent="0.25">
      <c r="A1497" s="1" t="s">
        <v>4398</v>
      </c>
      <c r="B1497" s="2" t="s">
        <v>4377</v>
      </c>
      <c r="C1497" s="1" t="s">
        <v>4528</v>
      </c>
      <c r="D1497" s="2" t="s">
        <v>554</v>
      </c>
      <c r="E1497" s="2">
        <v>2.5</v>
      </c>
      <c r="F1497" s="1" t="str">
        <f>VLOOKUP(H1497,'RM Used'!A:B,2,0)</f>
        <v>3270CS</v>
      </c>
      <c r="G1497" s="1" t="str">
        <f>IFERROR(VLOOKUP(F1497,'RM Cost'!A:B,2,0),"")</f>
        <v>RM - SUGAR SNAP 2KG</v>
      </c>
      <c r="H1497" s="1" t="s">
        <v>1590</v>
      </c>
      <c r="I1497" s="1" t="str">
        <f>VLOOKUP(F1497,'RM Used'!B:D,3,0)</f>
        <v>RM-FOOD</v>
      </c>
      <c r="J1497" s="66">
        <v>1</v>
      </c>
      <c r="K1497" s="35">
        <f t="shared" si="462"/>
        <v>2.5</v>
      </c>
      <c r="L1497" s="35">
        <f t="shared" si="451"/>
        <v>2.5</v>
      </c>
      <c r="M1497" s="77" cm="1">
        <f t="array" ref="M1497">_xlfn.IFS(BOM!I1497="RM-PACKING","100%",B1497="Reynolds",VLOOKUP(H1497,'Yield &amp; Time'!A:V,22,0),BOM!B1497="Dnata",VLOOKUP(BOM!H1497,'Yield &amp; Time'!A:M,13,0),B1497="NK",VLOOKUP(H1497,'Yield &amp; Time'!A:X,24,0))</f>
        <v>0.85</v>
      </c>
      <c r="N1497" s="35">
        <f t="shared" si="463"/>
        <v>2.9411764705882355</v>
      </c>
      <c r="O1497" s="1" t="str">
        <f>VLOOKUP(H1497,'RM Used'!A:E,5,0)</f>
        <v>KG</v>
      </c>
      <c r="P1497" s="11">
        <f>VLOOKUP(H1497,'RM Used'!A:F,6,0)</f>
        <v>3.37</v>
      </c>
      <c r="Q1497" s="11">
        <f t="shared" si="460"/>
        <v>9.9117647058823533</v>
      </c>
      <c r="R1497" s="11" cm="1">
        <f t="array" ref="R1497">IFERROR(_xlfn.IFS(B1497="Reynolds",VLOOKUP(H1497,'Yield &amp; Time'!A:U,21,0),B1497="Dnata",VLOOKUP(H1497,'Yield &amp; Time'!A:L,12,0),B1497="NK",VLOOKUP(H1497,'Yield &amp; Time'!A:W,23,0)),0)</f>
        <v>13.5</v>
      </c>
      <c r="S1497" s="11">
        <f t="shared" si="452"/>
        <v>11.424375</v>
      </c>
      <c r="T1497" s="11">
        <f t="shared" si="453"/>
        <v>0.5625</v>
      </c>
      <c r="U1497" s="11">
        <f>IF(A1496=A1497,0,VLOOKUP(A1497,'Packing Time'!A:F,6,0))</f>
        <v>0.64500000000000002</v>
      </c>
      <c r="V1497" s="11">
        <f t="shared" si="445"/>
        <v>0.21833249999999998</v>
      </c>
      <c r="W1497" s="11">
        <f t="shared" si="446"/>
        <v>1.0750000000000001E-2</v>
      </c>
      <c r="X1497" s="11">
        <f t="shared" si="454"/>
        <v>18.628332</v>
      </c>
      <c r="Y1497" s="11">
        <f t="shared" si="447"/>
        <v>18.628332</v>
      </c>
      <c r="Z1497" s="37">
        <v>1</v>
      </c>
      <c r="AA1497" s="36">
        <f t="shared" si="455"/>
        <v>2.9411764705882355</v>
      </c>
      <c r="AB1497" s="11">
        <f t="shared" si="456"/>
        <v>9.9117647058823533</v>
      </c>
      <c r="AC1497" s="11">
        <f t="shared" si="457"/>
        <v>0.91720000000000013</v>
      </c>
      <c r="AD1497" s="36">
        <f t="shared" si="448"/>
        <v>18.628332</v>
      </c>
      <c r="AE1497" s="36"/>
      <c r="AF1497" s="36">
        <f>IFERROR(VLOOKUP(AE1497,'Chemical Cost'!A:D,4,0),0)</f>
        <v>0</v>
      </c>
      <c r="AG1497" s="114">
        <f t="shared" si="458"/>
        <v>0</v>
      </c>
      <c r="AH1497" s="36">
        <f t="shared" si="461"/>
        <v>0</v>
      </c>
      <c r="AI1497" s="36">
        <f t="shared" si="464"/>
        <v>28.540096705882355</v>
      </c>
      <c r="AJ1497" s="36">
        <f>IFERROR(VLOOKUP(A1497,'All Products'!A:F,6,0),0)</f>
        <v>45.67</v>
      </c>
      <c r="AK1497" s="1"/>
      <c r="AL1497" s="1"/>
      <c r="AM1497" s="1"/>
      <c r="AN1497" s="54" t="e">
        <v>#N/A</v>
      </c>
      <c r="AP1497" s="4">
        <v>1.6</v>
      </c>
      <c r="AQ1497" s="111">
        <f t="shared" si="459"/>
        <v>0.91720000000000013</v>
      </c>
      <c r="AR1497">
        <f>_xlfn.XLOOKUP(F1497,'RM Cost'!A:A,'RM Cost'!S:S)</f>
        <v>0</v>
      </c>
      <c r="AS1497" t="e">
        <f>_xlfn.XLOOKUP(A1497,[3]Sheet1!$B:$B,[3]Sheet1!$B:$B)</f>
        <v>#N/A</v>
      </c>
    </row>
    <row r="1498" spans="1:46" x14ac:dyDescent="0.25">
      <c r="A1498" s="1" t="s">
        <v>4398</v>
      </c>
      <c r="B1498" s="1" t="s">
        <v>4377</v>
      </c>
      <c r="C1498" s="1" t="s">
        <v>4528</v>
      </c>
      <c r="D1498" s="1" t="s">
        <v>554</v>
      </c>
      <c r="E1498" s="2">
        <v>2.5</v>
      </c>
      <c r="F1498" s="1" t="str">
        <f>VLOOKUP(H1498,'RM Used'!A:B,2,0)</f>
        <v>P0008</v>
      </c>
      <c r="G1498" s="1" t="str">
        <f>IFERROR(VLOOKUP(F1498,'RM Cost'!A:B,2,0),"")</f>
        <v>PALE BLUE BAG 470X750MM</v>
      </c>
      <c r="H1498" s="1" t="s">
        <v>1323</v>
      </c>
      <c r="I1498" s="1" t="str">
        <f>VLOOKUP(F1498,'RM Used'!B:D,3,0)</f>
        <v>RM-PACKING</v>
      </c>
      <c r="J1498" s="66">
        <v>1</v>
      </c>
      <c r="K1498" s="35" t="str">
        <f t="shared" si="462"/>
        <v/>
      </c>
      <c r="L1498" s="35">
        <f t="shared" si="451"/>
        <v>0</v>
      </c>
      <c r="M1498" s="77" t="str" cm="1">
        <f t="array" ref="M1498">_xlfn.IFS(BOM!I1498="RM-PACKING","100%",B1498="Reynolds",VLOOKUP(H1498,'Yield &amp; Time'!A:V,22,0),BOM!B1498="Dnata",VLOOKUP(BOM!H1498,'Yield &amp; Time'!A:M,13,0),B1498="NK",VLOOKUP(H1498,'Yield &amp; Time'!A:X,24,0))</f>
        <v>100%</v>
      </c>
      <c r="N1498" s="35">
        <f t="shared" si="463"/>
        <v>1</v>
      </c>
      <c r="O1498" s="1" t="str">
        <f>VLOOKUP(H1498,'RM Used'!A:E,5,0)</f>
        <v>Count</v>
      </c>
      <c r="P1498" s="11">
        <f>VLOOKUP(H1498,'RM Used'!A:F,6,0)</f>
        <v>0.14000000000000001</v>
      </c>
      <c r="Q1498" s="11">
        <f t="shared" si="460"/>
        <v>0.14000000000000001</v>
      </c>
      <c r="R1498" s="11" cm="1">
        <f t="array" ref="R1498">IFERROR(_xlfn.IFS(B1498="Reynolds",VLOOKUP(H1498,'Yield &amp; Time'!A:U,21,0),B1498="Dnata",VLOOKUP(H1498,'Yield &amp; Time'!A:L,12,0),B1498="NK",VLOOKUP(H1498,'Yield &amp; Time'!A:W,23,0)),0)</f>
        <v>0</v>
      </c>
      <c r="S1498" s="11">
        <f t="shared" si="452"/>
        <v>0</v>
      </c>
      <c r="T1498" s="11">
        <f t="shared" si="453"/>
        <v>0</v>
      </c>
      <c r="U1498" s="11">
        <f>IF(A1497=A1498,0,VLOOKUP(A1498,'Packing Time'!A:F,6,0))</f>
        <v>0</v>
      </c>
      <c r="V1498" s="11">
        <f t="shared" si="445"/>
        <v>0</v>
      </c>
      <c r="W1498" s="11">
        <f t="shared" si="446"/>
        <v>0</v>
      </c>
      <c r="X1498" s="11">
        <f t="shared" si="454"/>
        <v>0</v>
      </c>
      <c r="Y1498" s="11">
        <f t="shared" si="447"/>
        <v>0</v>
      </c>
      <c r="Z1498" s="37">
        <v>1</v>
      </c>
      <c r="AA1498" s="36">
        <f t="shared" si="455"/>
        <v>1</v>
      </c>
      <c r="AB1498" s="11">
        <f t="shared" si="456"/>
        <v>0.14000000000000001</v>
      </c>
      <c r="AC1498" s="11">
        <f t="shared" si="457"/>
        <v>0</v>
      </c>
      <c r="AD1498" s="36">
        <f t="shared" si="448"/>
        <v>0</v>
      </c>
      <c r="AE1498" s="36"/>
      <c r="AF1498" s="36">
        <f>IFERROR(VLOOKUP(AE1498,'Chemical Cost'!A:D,4,0),0)</f>
        <v>0</v>
      </c>
      <c r="AG1498" s="114">
        <f t="shared" si="458"/>
        <v>0</v>
      </c>
      <c r="AH1498" s="36">
        <f t="shared" si="461"/>
        <v>0</v>
      </c>
      <c r="AI1498" s="36">
        <f t="shared" si="464"/>
        <v>0.14000000000000001</v>
      </c>
      <c r="AJ1498" s="36">
        <f>IFERROR(VLOOKUP(A1498,'All Products'!A:F,6,0),0)</f>
        <v>45.67</v>
      </c>
      <c r="AK1498" s="1"/>
      <c r="AL1498" s="1"/>
      <c r="AM1498" s="1"/>
      <c r="AN1498" s="54" t="e">
        <v>#N/A</v>
      </c>
      <c r="AP1498" s="4">
        <v>1.6</v>
      </c>
      <c r="AQ1498" s="111">
        <f t="shared" si="459"/>
        <v>0</v>
      </c>
      <c r="AR1498">
        <f>_xlfn.XLOOKUP(F1498,'RM Cost'!A:A,'RM Cost'!S:S)</f>
        <v>0</v>
      </c>
      <c r="AS1498" t="e">
        <f>_xlfn.XLOOKUP(A1498,[3]Sheet1!$B:$B,[3]Sheet1!$B:$B)</f>
        <v>#N/A</v>
      </c>
    </row>
    <row r="1499" spans="1:46" x14ac:dyDescent="0.25">
      <c r="A1499" s="1" t="s">
        <v>4399</v>
      </c>
      <c r="B1499" s="2" t="s">
        <v>4377</v>
      </c>
      <c r="C1499" s="1" t="s">
        <v>4529</v>
      </c>
      <c r="D1499" s="2" t="s">
        <v>554</v>
      </c>
      <c r="E1499" s="2">
        <v>2.5</v>
      </c>
      <c r="F1499" s="1" t="str">
        <f>VLOOKUP(H1499,'RM Used'!A:B,2,0)</f>
        <v>3191CS</v>
      </c>
      <c r="G1499" s="1" t="str">
        <f>IFERROR(VLOOKUP(F1499,'RM Cost'!A:B,2,0),"")</f>
        <v>RM - PARSNIPS 10KG</v>
      </c>
      <c r="H1499" s="1" t="s">
        <v>1376</v>
      </c>
      <c r="I1499" s="1" t="str">
        <f>VLOOKUP(F1499,'RM Used'!B:D,3,0)</f>
        <v>RM-FOOD</v>
      </c>
      <c r="J1499" s="66">
        <v>1</v>
      </c>
      <c r="K1499" s="35">
        <f t="shared" si="462"/>
        <v>2.5</v>
      </c>
      <c r="L1499" s="35">
        <f t="shared" si="451"/>
        <v>2.5</v>
      </c>
      <c r="M1499" s="77" cm="1">
        <f t="array" ref="M1499">_xlfn.IFS(BOM!I1499="RM-PACKING","100%",B1499="Reynolds",VLOOKUP(H1499,'Yield &amp; Time'!A:V,22,0),BOM!B1499="Dnata",VLOOKUP(BOM!H1499,'Yield &amp; Time'!A:M,13,0),B1499="NK",VLOOKUP(H1499,'Yield &amp; Time'!A:X,24,0))</f>
        <v>0.56000000000000005</v>
      </c>
      <c r="N1499" s="35">
        <f t="shared" si="463"/>
        <v>4.4642857142857135</v>
      </c>
      <c r="O1499" s="1" t="str">
        <f>VLOOKUP(H1499,'RM Used'!A:E,5,0)</f>
        <v>KG</v>
      </c>
      <c r="P1499" s="11">
        <f>VLOOKUP(H1499,'RM Used'!A:F,6,0)</f>
        <v>0.76</v>
      </c>
      <c r="Q1499" s="11">
        <f t="shared" si="460"/>
        <v>3.3928571428571423</v>
      </c>
      <c r="R1499" s="11" cm="1">
        <f t="array" ref="R1499">IFERROR(_xlfn.IFS(B1499="Reynolds",VLOOKUP(H1499,'Yield &amp; Time'!A:U,21,0),B1499="Dnata",VLOOKUP(H1499,'Yield &amp; Time'!A:L,12,0),B1499="NK",VLOOKUP(H1499,'Yield &amp; Time'!A:W,23,0)),0)</f>
        <v>7.63</v>
      </c>
      <c r="S1499" s="11">
        <f t="shared" si="452"/>
        <v>6.4568874999999988</v>
      </c>
      <c r="T1499" s="11">
        <f t="shared" si="453"/>
        <v>0.31791666666666668</v>
      </c>
      <c r="U1499" s="11">
        <f>IF(A1498=A1499,0,VLOOKUP(A1499,'Packing Time'!A:F,6,0))</f>
        <v>0.64500000000000002</v>
      </c>
      <c r="V1499" s="11">
        <f t="shared" si="445"/>
        <v>0.21833249999999998</v>
      </c>
      <c r="W1499" s="11">
        <f t="shared" si="446"/>
        <v>1.0750000000000001E-2</v>
      </c>
      <c r="X1499" s="11">
        <f t="shared" si="454"/>
        <v>9.3453079999999975</v>
      </c>
      <c r="Y1499" s="11">
        <f t="shared" si="447"/>
        <v>9.3453079999999975</v>
      </c>
      <c r="Z1499" s="37">
        <v>1</v>
      </c>
      <c r="AA1499" s="36">
        <f t="shared" si="455"/>
        <v>4.4642857142857135</v>
      </c>
      <c r="AB1499" s="11">
        <f t="shared" si="456"/>
        <v>3.3928571428571423</v>
      </c>
      <c r="AC1499" s="11">
        <f t="shared" si="457"/>
        <v>0.46013333333333328</v>
      </c>
      <c r="AD1499" s="36">
        <f t="shared" si="448"/>
        <v>9.3453079999999975</v>
      </c>
      <c r="AE1499" s="36"/>
      <c r="AF1499" s="36">
        <f>IFERROR(VLOOKUP(AE1499,'Chemical Cost'!A:D,4,0),0)</f>
        <v>0</v>
      </c>
      <c r="AG1499" s="114">
        <f t="shared" si="458"/>
        <v>0</v>
      </c>
      <c r="AH1499" s="36">
        <f t="shared" si="461"/>
        <v>0</v>
      </c>
      <c r="AI1499" s="36">
        <f t="shared" si="464"/>
        <v>12.73816514285714</v>
      </c>
      <c r="AJ1499" s="36">
        <f>IFERROR(VLOOKUP(A1499,'All Products'!A:F,6,0),0)</f>
        <v>13.59</v>
      </c>
      <c r="AK1499" s="1"/>
      <c r="AL1499" s="1"/>
      <c r="AM1499" s="1"/>
      <c r="AN1499" s="54" t="e">
        <v>#N/A</v>
      </c>
      <c r="AP1499" s="4">
        <v>1.4</v>
      </c>
      <c r="AQ1499" s="111">
        <f t="shared" si="459"/>
        <v>0.46013333333333328</v>
      </c>
      <c r="AR1499">
        <f>_xlfn.XLOOKUP(F1499,'RM Cost'!A:A,'RM Cost'!S:S)</f>
        <v>0</v>
      </c>
      <c r="AS1499" t="e">
        <f>_xlfn.XLOOKUP(A1499,[3]Sheet1!$B:$B,[3]Sheet1!$B:$B)</f>
        <v>#N/A</v>
      </c>
    </row>
    <row r="1500" spans="1:46" x14ac:dyDescent="0.25">
      <c r="A1500" s="1" t="s">
        <v>4399</v>
      </c>
      <c r="B1500" s="1" t="s">
        <v>4377</v>
      </c>
      <c r="C1500" s="1" t="s">
        <v>4529</v>
      </c>
      <c r="D1500" s="1" t="s">
        <v>554</v>
      </c>
      <c r="E1500" s="2">
        <v>2.5</v>
      </c>
      <c r="F1500" s="1" t="str">
        <f>VLOOKUP(H1500,'RM Used'!A:B,2,0)</f>
        <v>P0008</v>
      </c>
      <c r="G1500" s="1" t="str">
        <f>IFERROR(VLOOKUP(F1500,'RM Cost'!A:B,2,0),"")</f>
        <v>PALE BLUE BAG 470X750MM</v>
      </c>
      <c r="H1500" s="1" t="s">
        <v>1323</v>
      </c>
      <c r="I1500" s="1" t="str">
        <f>VLOOKUP(F1500,'RM Used'!B:D,3,0)</f>
        <v>RM-PACKING</v>
      </c>
      <c r="J1500" s="66">
        <v>1</v>
      </c>
      <c r="K1500" s="35" t="str">
        <f t="shared" si="462"/>
        <v/>
      </c>
      <c r="L1500" s="35">
        <f t="shared" si="451"/>
        <v>0</v>
      </c>
      <c r="M1500" s="77" t="str" cm="1">
        <f t="array" ref="M1500">_xlfn.IFS(BOM!I1500="RM-PACKING","100%",B1500="Reynolds",VLOOKUP(H1500,'Yield &amp; Time'!A:V,22,0),BOM!B1500="Dnata",VLOOKUP(BOM!H1500,'Yield &amp; Time'!A:M,13,0),B1500="NK",VLOOKUP(H1500,'Yield &amp; Time'!A:X,24,0))</f>
        <v>100%</v>
      </c>
      <c r="N1500" s="35">
        <f t="shared" si="463"/>
        <v>1</v>
      </c>
      <c r="O1500" s="1" t="str">
        <f>VLOOKUP(H1500,'RM Used'!A:E,5,0)</f>
        <v>Count</v>
      </c>
      <c r="P1500" s="11">
        <f>VLOOKUP(H1500,'RM Used'!A:F,6,0)</f>
        <v>0.14000000000000001</v>
      </c>
      <c r="Q1500" s="11">
        <f t="shared" si="460"/>
        <v>0.14000000000000001</v>
      </c>
      <c r="R1500" s="11" cm="1">
        <f t="array" ref="R1500">IFERROR(_xlfn.IFS(B1500="Reynolds",VLOOKUP(H1500,'Yield &amp; Time'!A:U,21,0),B1500="Dnata",VLOOKUP(H1500,'Yield &amp; Time'!A:L,12,0),B1500="NK",VLOOKUP(H1500,'Yield &amp; Time'!A:W,23,0)),0)</f>
        <v>0</v>
      </c>
      <c r="S1500" s="11">
        <f t="shared" si="452"/>
        <v>0</v>
      </c>
      <c r="T1500" s="11">
        <f t="shared" si="453"/>
        <v>0</v>
      </c>
      <c r="U1500" s="11">
        <f>IF(A1499=A1500,0,VLOOKUP(A1500,'Packing Time'!A:F,6,0))</f>
        <v>0</v>
      </c>
      <c r="V1500" s="11">
        <f t="shared" si="445"/>
        <v>0</v>
      </c>
      <c r="W1500" s="11">
        <f t="shared" si="446"/>
        <v>0</v>
      </c>
      <c r="X1500" s="11">
        <f t="shared" si="454"/>
        <v>0</v>
      </c>
      <c r="Y1500" s="11">
        <f t="shared" si="447"/>
        <v>0</v>
      </c>
      <c r="Z1500" s="37">
        <v>1</v>
      </c>
      <c r="AA1500" s="36">
        <f t="shared" si="455"/>
        <v>1</v>
      </c>
      <c r="AB1500" s="11">
        <f t="shared" si="456"/>
        <v>0.14000000000000001</v>
      </c>
      <c r="AC1500" s="11">
        <f t="shared" si="457"/>
        <v>0</v>
      </c>
      <c r="AD1500" s="36">
        <f t="shared" si="448"/>
        <v>0</v>
      </c>
      <c r="AE1500" s="36"/>
      <c r="AF1500" s="36">
        <f>IFERROR(VLOOKUP(AE1500,'Chemical Cost'!A:D,4,0),0)</f>
        <v>0</v>
      </c>
      <c r="AG1500" s="114">
        <f t="shared" si="458"/>
        <v>0</v>
      </c>
      <c r="AH1500" s="36">
        <f t="shared" si="461"/>
        <v>0</v>
      </c>
      <c r="AI1500" s="36">
        <f t="shared" si="464"/>
        <v>0.14000000000000001</v>
      </c>
      <c r="AJ1500" s="36">
        <f>IFERROR(VLOOKUP(A1500,'All Products'!A:F,6,0),0)</f>
        <v>13.59</v>
      </c>
      <c r="AK1500" s="1"/>
      <c r="AL1500" s="1"/>
      <c r="AM1500" s="1"/>
      <c r="AN1500" s="54" t="e">
        <v>#N/A</v>
      </c>
      <c r="AP1500" s="4">
        <v>1.4</v>
      </c>
      <c r="AQ1500" s="111">
        <f t="shared" si="459"/>
        <v>0</v>
      </c>
      <c r="AR1500">
        <f>_xlfn.XLOOKUP(F1500,'RM Cost'!A:A,'RM Cost'!S:S)</f>
        <v>0</v>
      </c>
      <c r="AS1500" t="e">
        <f>_xlfn.XLOOKUP(A1500,[3]Sheet1!$B:$B,[3]Sheet1!$B:$B)</f>
        <v>#N/A</v>
      </c>
    </row>
    <row r="1501" spans="1:46" x14ac:dyDescent="0.25">
      <c r="A1501" s="1" t="s">
        <v>4400</v>
      </c>
      <c r="B1501" s="2" t="s">
        <v>4377</v>
      </c>
      <c r="C1501" s="1" t="s">
        <v>4522</v>
      </c>
      <c r="D1501" s="2" t="s">
        <v>554</v>
      </c>
      <c r="E1501" s="2">
        <v>0.4</v>
      </c>
      <c r="F1501" s="1" t="str">
        <f>VLOOKUP(H1501,'RM Used'!A:B,2,0)</f>
        <v>2730CS</v>
      </c>
      <c r="G1501" s="1" t="str">
        <f>IFERROR(VLOOKUP(F1501,'RM Cost'!A:B,2,0),"")</f>
        <v>RM - ORANGE LARGE X 15KG</v>
      </c>
      <c r="H1501" s="1" t="s">
        <v>1381</v>
      </c>
      <c r="I1501" s="1" t="str">
        <f>VLOOKUP(F1501,'RM Used'!B:D,3,0)</f>
        <v>RM-FOOD</v>
      </c>
      <c r="J1501" s="66">
        <v>1</v>
      </c>
      <c r="K1501" s="35">
        <f t="shared" si="462"/>
        <v>0.4</v>
      </c>
      <c r="L1501" s="35">
        <f t="shared" si="451"/>
        <v>0.4</v>
      </c>
      <c r="M1501" s="77" cm="1">
        <f t="array" ref="M1501">_xlfn.IFS(BOM!I1501="RM-PACKING","100%",B1501="Reynolds",VLOOKUP(H1501,'Yield &amp; Time'!A:V,22,0),BOM!B1501="Dnata",VLOOKUP(BOM!H1501,'Yield &amp; Time'!A:M,13,0),B1501="NK",VLOOKUP(H1501,'Yield &amp; Time'!A:X,24,0))</f>
        <v>0.47</v>
      </c>
      <c r="N1501" s="35">
        <f t="shared" si="463"/>
        <v>0.85106382978723416</v>
      </c>
      <c r="O1501" s="1" t="str">
        <f>VLOOKUP(H1501,'RM Used'!A:E,5,0)</f>
        <v>KG</v>
      </c>
      <c r="P1501" s="11">
        <f>VLOOKUP(H1501,'RM Used'!A:F,6,0)</f>
        <v>0.8</v>
      </c>
      <c r="Q1501" s="11">
        <f t="shared" si="460"/>
        <v>0.68085106382978733</v>
      </c>
      <c r="R1501" s="11" cm="1">
        <f t="array" ref="R1501">IFERROR(_xlfn.IFS(B1501="Reynolds",VLOOKUP(H1501,'Yield &amp; Time'!A:U,21,0),B1501="Dnata",VLOOKUP(H1501,'Yield &amp; Time'!A:L,12,0),B1501="NK",VLOOKUP(H1501,'Yield &amp; Time'!A:W,23,0)),0)</f>
        <v>4.92</v>
      </c>
      <c r="S1501" s="11">
        <f t="shared" si="452"/>
        <v>0.66616799999999987</v>
      </c>
      <c r="T1501" s="11">
        <f t="shared" si="453"/>
        <v>3.2800000000000003E-2</v>
      </c>
      <c r="U1501" s="11">
        <f>IF(A1500=A1501,0,VLOOKUP(A1501,'Packing Time'!A:F,6,0))</f>
        <v>0.45</v>
      </c>
      <c r="V1501" s="11">
        <f t="shared" si="445"/>
        <v>0.15232499999999999</v>
      </c>
      <c r="W1501" s="11">
        <f t="shared" si="446"/>
        <v>7.5000000000000006E-3</v>
      </c>
      <c r="X1501" s="11">
        <f t="shared" si="454"/>
        <v>1.3095888000000002</v>
      </c>
      <c r="Y1501" s="11">
        <f t="shared" si="447"/>
        <v>1.3095888000000002</v>
      </c>
      <c r="Z1501" s="37">
        <v>1</v>
      </c>
      <c r="AA1501" s="36">
        <f t="shared" si="455"/>
        <v>0.85106382978723416</v>
      </c>
      <c r="AB1501" s="11">
        <f t="shared" si="456"/>
        <v>0.68085106382978733</v>
      </c>
      <c r="AC1501" s="11">
        <f t="shared" si="457"/>
        <v>6.448000000000001E-2</v>
      </c>
      <c r="AD1501" s="36">
        <f t="shared" si="448"/>
        <v>1.3095888</v>
      </c>
      <c r="AE1501" s="36"/>
      <c r="AF1501" s="36">
        <f>IFERROR(VLOOKUP(AE1501,'Chemical Cost'!A:D,4,0),0)</f>
        <v>0</v>
      </c>
      <c r="AG1501" s="114">
        <f t="shared" si="458"/>
        <v>0</v>
      </c>
      <c r="AH1501" s="36">
        <f t="shared" si="461"/>
        <v>0</v>
      </c>
      <c r="AI1501" s="36">
        <f t="shared" si="464"/>
        <v>1.9904398638297875</v>
      </c>
      <c r="AJ1501" s="36">
        <f>IFERROR(VLOOKUP(A1501,'All Products'!A:F,6,0),0)</f>
        <v>3.5</v>
      </c>
      <c r="AK1501" s="1"/>
      <c r="AL1501" s="1"/>
      <c r="AM1501" s="1"/>
      <c r="AN1501" s="54" t="e">
        <v>#N/A</v>
      </c>
      <c r="AP1501" s="4">
        <v>1.6</v>
      </c>
      <c r="AQ1501" s="111">
        <f t="shared" si="459"/>
        <v>6.448000000000001E-2</v>
      </c>
      <c r="AR1501">
        <f>_xlfn.XLOOKUP(F1501,'RM Cost'!A:A,'RM Cost'!S:S)</f>
        <v>0</v>
      </c>
      <c r="AS1501" t="e">
        <f>_xlfn.XLOOKUP(A1501,[3]Sheet1!$B:$B,[3]Sheet1!$B:$B)</f>
        <v>#N/A</v>
      </c>
    </row>
    <row r="1502" spans="1:46" x14ac:dyDescent="0.25">
      <c r="A1502" s="1" t="s">
        <v>4400</v>
      </c>
      <c r="B1502" s="1" t="s">
        <v>4377</v>
      </c>
      <c r="C1502" s="1" t="s">
        <v>4522</v>
      </c>
      <c r="D1502" s="1" t="s">
        <v>554</v>
      </c>
      <c r="E1502" s="2">
        <v>0.4</v>
      </c>
      <c r="F1502" s="1" t="str">
        <f>VLOOKUP(H1502,'RM Used'!A:B,2,0)</f>
        <v>P0021</v>
      </c>
      <c r="G1502" s="1" t="str">
        <f>IFERROR(VLOOKUP(F1502,'RM Cost'!A:B,2,0),"")</f>
        <v>1000ML RECT TAMPER EVID POTS &amp; LIDS</v>
      </c>
      <c r="H1502" s="1" t="s">
        <v>4505</v>
      </c>
      <c r="I1502" s="1" t="str">
        <f>VLOOKUP(F1502,'RM Used'!B:D,3,0)</f>
        <v>RM-PACKING</v>
      </c>
      <c r="J1502" s="66">
        <v>1</v>
      </c>
      <c r="K1502" s="35" t="str">
        <f t="shared" si="462"/>
        <v/>
      </c>
      <c r="L1502" s="35">
        <f t="shared" si="451"/>
        <v>0</v>
      </c>
      <c r="M1502" s="77" t="str" cm="1">
        <f t="array" ref="M1502">_xlfn.IFS(BOM!I1502="RM-PACKING","100%",B1502="Reynolds",VLOOKUP(H1502,'Yield &amp; Time'!A:V,22,0),BOM!B1502="Dnata",VLOOKUP(BOM!H1502,'Yield &amp; Time'!A:M,13,0),B1502="NK",VLOOKUP(H1502,'Yield &amp; Time'!A:X,24,0))</f>
        <v>100%</v>
      </c>
      <c r="N1502" s="35">
        <f t="shared" si="463"/>
        <v>1</v>
      </c>
      <c r="O1502" s="1" t="str">
        <f>VLOOKUP(H1502,'RM Used'!A:E,5,0)</f>
        <v>Count</v>
      </c>
      <c r="P1502" s="11">
        <f>VLOOKUP(H1502,'RM Used'!A:F,6,0)</f>
        <v>0.4</v>
      </c>
      <c r="Q1502" s="11">
        <f t="shared" si="460"/>
        <v>0.4</v>
      </c>
      <c r="R1502" s="11" cm="1">
        <f t="array" ref="R1502">IFERROR(_xlfn.IFS(B1502="Reynolds",VLOOKUP(H1502,'Yield &amp; Time'!A:U,21,0),B1502="Dnata",VLOOKUP(H1502,'Yield &amp; Time'!A:L,12,0),B1502="NK",VLOOKUP(H1502,'Yield &amp; Time'!A:W,23,0)),0)</f>
        <v>0</v>
      </c>
      <c r="S1502" s="11">
        <f t="shared" si="452"/>
        <v>0</v>
      </c>
      <c r="T1502" s="11">
        <f t="shared" si="453"/>
        <v>0</v>
      </c>
      <c r="U1502" s="11">
        <f>IF(A1501=A1502,0,VLOOKUP(A1502,'Packing Time'!A:F,6,0))</f>
        <v>0</v>
      </c>
      <c r="V1502" s="11">
        <f t="shared" si="445"/>
        <v>0</v>
      </c>
      <c r="W1502" s="11">
        <f t="shared" si="446"/>
        <v>0</v>
      </c>
      <c r="X1502" s="11">
        <f t="shared" si="454"/>
        <v>0</v>
      </c>
      <c r="Y1502" s="11">
        <f t="shared" si="447"/>
        <v>0</v>
      </c>
      <c r="Z1502" s="37">
        <v>1</v>
      </c>
      <c r="AA1502" s="36">
        <f t="shared" si="455"/>
        <v>1</v>
      </c>
      <c r="AB1502" s="11">
        <f t="shared" si="456"/>
        <v>0.4</v>
      </c>
      <c r="AC1502" s="11">
        <f t="shared" si="457"/>
        <v>0</v>
      </c>
      <c r="AD1502" s="36">
        <f t="shared" si="448"/>
        <v>0</v>
      </c>
      <c r="AE1502" s="36"/>
      <c r="AF1502" s="36">
        <f>IFERROR(VLOOKUP(AE1502,'Chemical Cost'!A:D,4,0),0)</f>
        <v>0</v>
      </c>
      <c r="AG1502" s="114">
        <f t="shared" si="458"/>
        <v>0</v>
      </c>
      <c r="AH1502" s="36">
        <f t="shared" si="461"/>
        <v>0</v>
      </c>
      <c r="AI1502" s="36">
        <f t="shared" si="464"/>
        <v>0.4</v>
      </c>
      <c r="AJ1502" s="36">
        <f>IFERROR(VLOOKUP(A1502,'All Products'!A:F,6,0),0)</f>
        <v>3.5</v>
      </c>
      <c r="AK1502" s="1"/>
      <c r="AL1502" s="1"/>
      <c r="AM1502" s="1"/>
      <c r="AN1502" s="54" t="e">
        <v>#N/A</v>
      </c>
      <c r="AP1502" s="4">
        <v>1.6</v>
      </c>
      <c r="AQ1502" s="111">
        <f t="shared" si="459"/>
        <v>0</v>
      </c>
      <c r="AR1502">
        <f>_xlfn.XLOOKUP(F1502,'RM Cost'!A:A,'RM Cost'!S:S)</f>
        <v>0</v>
      </c>
      <c r="AS1502" t="e">
        <f>_xlfn.XLOOKUP(A1502,[3]Sheet1!$B:$B,[3]Sheet1!$B:$B)</f>
        <v>#N/A</v>
      </c>
    </row>
    <row r="1503" spans="1:46" x14ac:dyDescent="0.25">
      <c r="A1503" s="1" t="s">
        <v>4401</v>
      </c>
      <c r="B1503" s="2" t="s">
        <v>4377</v>
      </c>
      <c r="C1503" s="1" t="s">
        <v>4530</v>
      </c>
      <c r="D1503" s="2" t="s">
        <v>554</v>
      </c>
      <c r="E1503" s="2">
        <v>2.5</v>
      </c>
      <c r="F1503" s="1" t="str">
        <f>VLOOKUP(H1503,'RM Used'!A:B,2,0)</f>
        <v>026BCS</v>
      </c>
      <c r="G1503" s="1" t="str">
        <f>IFERROR(VLOOKUP(F1503,'RM Cost'!A:B,2,0),"")</f>
        <v>RM - POTATO - MIDS 35-45MM X 10KG</v>
      </c>
      <c r="H1503" s="1" t="s">
        <v>1560</v>
      </c>
      <c r="I1503" s="1" t="str">
        <f>VLOOKUP(F1503,'RM Used'!B:D,3,0)</f>
        <v>RM-FOOD</v>
      </c>
      <c r="J1503" s="66">
        <v>1</v>
      </c>
      <c r="K1503" s="35">
        <f t="shared" si="462"/>
        <v>2.5</v>
      </c>
      <c r="L1503" s="35">
        <f t="shared" si="451"/>
        <v>2.5</v>
      </c>
      <c r="M1503" s="77" cm="1">
        <f t="array" ref="M1503">_xlfn.IFS(BOM!I1503="RM-PACKING","100%",B1503="Reynolds",VLOOKUP(H1503,'Yield &amp; Time'!A:V,22,0),BOM!B1503="Dnata",VLOOKUP(BOM!H1503,'Yield &amp; Time'!A:M,13,0),B1503="NK",VLOOKUP(H1503,'Yield &amp; Time'!A:X,24,0))</f>
        <v>0.98</v>
      </c>
      <c r="N1503" s="35">
        <f t="shared" si="463"/>
        <v>2.5510204081632653</v>
      </c>
      <c r="O1503" s="1" t="str">
        <f>VLOOKUP(H1503,'RM Used'!A:E,5,0)</f>
        <v>KG</v>
      </c>
      <c r="P1503" s="11">
        <f>VLOOKUP(H1503,'RM Used'!A:F,6,0)</f>
        <v>0.94</v>
      </c>
      <c r="Q1503" s="11">
        <f t="shared" si="460"/>
        <v>2.3979591836734691</v>
      </c>
      <c r="R1503" s="11" cm="1">
        <f t="array" ref="R1503">IFERROR(_xlfn.IFS(B1503="Reynolds",VLOOKUP(H1503,'Yield &amp; Time'!A:U,21,0),B1503="Dnata",VLOOKUP(H1503,'Yield &amp; Time'!A:L,12,0),B1503="NK",VLOOKUP(H1503,'Yield &amp; Time'!A:W,23,0)),0)</f>
        <v>1.5</v>
      </c>
      <c r="S1503" s="11">
        <f>R1503*J1503*E1503*AO$1</f>
        <v>1.2693749999999999</v>
      </c>
      <c r="T1503" s="11">
        <f t="shared" si="453"/>
        <v>6.25E-2</v>
      </c>
      <c r="U1503" s="11">
        <f>IF(A1502=A1503,0,VLOOKUP(A1503,'Packing Time'!A:F,6,0))</f>
        <v>0.64500000000000002</v>
      </c>
      <c r="V1503" s="11">
        <f t="shared" si="445"/>
        <v>0.21833249999999998</v>
      </c>
      <c r="W1503" s="11">
        <f t="shared" si="446"/>
        <v>1.0750000000000001E-2</v>
      </c>
      <c r="X1503" s="11">
        <f t="shared" si="454"/>
        <v>1.8596343749999997</v>
      </c>
      <c r="Y1503" s="11">
        <f t="shared" si="447"/>
        <v>1.8596343749999997</v>
      </c>
      <c r="Z1503" s="37">
        <v>1</v>
      </c>
      <c r="AA1503" s="36">
        <f t="shared" si="455"/>
        <v>2.5510204081632653</v>
      </c>
      <c r="AB1503" s="11">
        <f t="shared" si="456"/>
        <v>2.3979591836734691</v>
      </c>
      <c r="AC1503" s="11">
        <f t="shared" si="457"/>
        <v>9.1562499999999991E-2</v>
      </c>
      <c r="AD1503" s="36">
        <f t="shared" si="448"/>
        <v>1.8596343749999997</v>
      </c>
      <c r="AE1503" s="36"/>
      <c r="AF1503" s="36">
        <f>IFERROR(VLOOKUP(AE1503,'Chemical Cost'!A:D,4,0),0)</f>
        <v>0</v>
      </c>
      <c r="AG1503" s="114">
        <f t="shared" si="458"/>
        <v>0</v>
      </c>
      <c r="AH1503" s="36">
        <f t="shared" si="461"/>
        <v>0</v>
      </c>
      <c r="AI1503" s="36">
        <f t="shared" si="464"/>
        <v>4.2575935586734683</v>
      </c>
      <c r="AJ1503" s="36">
        <f>IFERROR(VLOOKUP(A1503,'All Products'!A:F,6,0),0)</f>
        <v>4.6399999999999997</v>
      </c>
      <c r="AK1503" s="1"/>
      <c r="AL1503" s="1"/>
      <c r="AM1503" s="1"/>
      <c r="AN1503" s="54" t="e">
        <v>#N/A</v>
      </c>
      <c r="AP1503" s="4">
        <v>1.25</v>
      </c>
      <c r="AQ1503" s="111">
        <f t="shared" si="459"/>
        <v>9.1562499999999991E-2</v>
      </c>
      <c r="AR1503">
        <f>_xlfn.XLOOKUP(F1503,'RM Cost'!A:A,'RM Cost'!S:S)</f>
        <v>0</v>
      </c>
      <c r="AS1503" t="e">
        <f>_xlfn.XLOOKUP(A1503,[3]Sheet1!$B:$B,[3]Sheet1!$B:$B)</f>
        <v>#N/A</v>
      </c>
    </row>
    <row r="1504" spans="1:46" x14ac:dyDescent="0.25">
      <c r="A1504" s="1" t="s">
        <v>4401</v>
      </c>
      <c r="B1504" s="1" t="s">
        <v>4377</v>
      </c>
      <c r="C1504" s="1" t="s">
        <v>4530</v>
      </c>
      <c r="D1504" s="1" t="s">
        <v>554</v>
      </c>
      <c r="E1504" s="2">
        <v>2.5</v>
      </c>
      <c r="F1504" s="1" t="str">
        <f>VLOOKUP(H1504,'RM Used'!A:B,2,0)</f>
        <v>P0008</v>
      </c>
      <c r="G1504" s="1" t="str">
        <f>IFERROR(VLOOKUP(F1504,'RM Cost'!A:B,2,0),"")</f>
        <v>PALE BLUE BAG 470X750MM</v>
      </c>
      <c r="H1504" s="1" t="s">
        <v>1323</v>
      </c>
      <c r="I1504" s="1" t="str">
        <f>VLOOKUP(F1504,'RM Used'!B:D,3,0)</f>
        <v>RM-PACKING</v>
      </c>
      <c r="J1504" s="66">
        <v>1</v>
      </c>
      <c r="K1504" s="35" t="str">
        <f t="shared" si="462"/>
        <v/>
      </c>
      <c r="L1504" s="35">
        <f t="shared" si="451"/>
        <v>0</v>
      </c>
      <c r="M1504" s="77" t="str" cm="1">
        <f t="array" ref="M1504">_xlfn.IFS(BOM!I1504="RM-PACKING","100%",B1504="Reynolds",VLOOKUP(H1504,'Yield &amp; Time'!A:V,22,0),BOM!B1504="Dnata",VLOOKUP(BOM!H1504,'Yield &amp; Time'!A:M,13,0),B1504="NK",VLOOKUP(H1504,'Yield &amp; Time'!A:X,24,0))</f>
        <v>100%</v>
      </c>
      <c r="N1504" s="35">
        <f t="shared" si="463"/>
        <v>1</v>
      </c>
      <c r="O1504" s="1" t="str">
        <f>VLOOKUP(H1504,'RM Used'!A:E,5,0)</f>
        <v>Count</v>
      </c>
      <c r="P1504" s="11">
        <f>VLOOKUP(H1504,'RM Used'!A:F,6,0)</f>
        <v>0.14000000000000001</v>
      </c>
      <c r="Q1504" s="11">
        <f t="shared" si="460"/>
        <v>0.14000000000000001</v>
      </c>
      <c r="R1504" s="11" cm="1">
        <f t="array" ref="R1504">IFERROR(_xlfn.IFS(B1504="Reynolds",VLOOKUP(H1504,'Yield &amp; Time'!A:U,21,0),B1504="Dnata",VLOOKUP(H1504,'Yield &amp; Time'!A:L,12,0),B1504="NK",VLOOKUP(H1504,'Yield &amp; Time'!A:W,23,0)),0)</f>
        <v>0</v>
      </c>
      <c r="S1504" s="11">
        <f t="shared" si="452"/>
        <v>0</v>
      </c>
      <c r="T1504" s="11">
        <f t="shared" si="453"/>
        <v>0</v>
      </c>
      <c r="U1504" s="11">
        <f>IF(A1503=A1504,0,VLOOKUP(A1504,'Packing Time'!A:F,6,0))</f>
        <v>0</v>
      </c>
      <c r="V1504" s="11">
        <f t="shared" si="445"/>
        <v>0</v>
      </c>
      <c r="W1504" s="11">
        <f t="shared" si="446"/>
        <v>0</v>
      </c>
      <c r="X1504" s="11">
        <f t="shared" si="454"/>
        <v>0</v>
      </c>
      <c r="Y1504" s="11">
        <f t="shared" si="447"/>
        <v>0</v>
      </c>
      <c r="Z1504" s="37">
        <v>1</v>
      </c>
      <c r="AA1504" s="36">
        <f t="shared" si="455"/>
        <v>1</v>
      </c>
      <c r="AB1504" s="11">
        <f t="shared" si="456"/>
        <v>0.14000000000000001</v>
      </c>
      <c r="AC1504" s="11">
        <f t="shared" si="457"/>
        <v>0</v>
      </c>
      <c r="AD1504" s="36">
        <f t="shared" si="448"/>
        <v>0</v>
      </c>
      <c r="AE1504" s="36"/>
      <c r="AF1504" s="36">
        <f>IFERROR(VLOOKUP(AE1504,'Chemical Cost'!A:D,4,0),0)</f>
        <v>0</v>
      </c>
      <c r="AG1504" s="114">
        <f t="shared" si="458"/>
        <v>0</v>
      </c>
      <c r="AH1504" s="36">
        <f t="shared" si="461"/>
        <v>0</v>
      </c>
      <c r="AI1504" s="36">
        <f t="shared" si="464"/>
        <v>0.14000000000000001</v>
      </c>
      <c r="AJ1504" s="36">
        <f>IFERROR(VLOOKUP(A1504,'All Products'!A:F,6,0),0)</f>
        <v>4.6399999999999997</v>
      </c>
      <c r="AK1504" s="1"/>
      <c r="AL1504" s="1"/>
      <c r="AM1504" s="1"/>
      <c r="AN1504" s="54" t="e">
        <v>#N/A</v>
      </c>
      <c r="AP1504" s="4">
        <v>1.25</v>
      </c>
      <c r="AQ1504" s="111">
        <f t="shared" si="459"/>
        <v>0</v>
      </c>
      <c r="AR1504">
        <f>_xlfn.XLOOKUP(F1504,'RM Cost'!A:A,'RM Cost'!S:S)</f>
        <v>0</v>
      </c>
      <c r="AS1504" t="e">
        <f>_xlfn.XLOOKUP(A1504,[3]Sheet1!$B:$B,[3]Sheet1!$B:$B)</f>
        <v>#N/A</v>
      </c>
    </row>
    <row r="1505" spans="1:46" x14ac:dyDescent="0.25">
      <c r="A1505" s="1" t="s">
        <v>4402</v>
      </c>
      <c r="B1505" s="2" t="s">
        <v>4377</v>
      </c>
      <c r="C1505" s="1" t="s">
        <v>4451</v>
      </c>
      <c r="D1505" s="2" t="s">
        <v>554</v>
      </c>
      <c r="E1505" s="2">
        <v>1</v>
      </c>
      <c r="F1505" s="1" t="str">
        <f>VLOOKUP(H1505,'RM Used'!A:B,2,0)</f>
        <v>0930CS</v>
      </c>
      <c r="G1505" s="1" t="str">
        <f>IFERROR(VLOOKUP(F1505,'RM Cost'!A:B,2,0),"")</f>
        <v>RM - COURGETTE STANDARD</v>
      </c>
      <c r="H1505" s="1" t="s">
        <v>1356</v>
      </c>
      <c r="I1505" s="1" t="str">
        <f>VLOOKUP(F1505,'RM Used'!B:D,3,0)</f>
        <v>RM-FOOD</v>
      </c>
      <c r="J1505" s="66">
        <v>1</v>
      </c>
      <c r="K1505" s="35">
        <f t="shared" si="462"/>
        <v>1</v>
      </c>
      <c r="L1505" s="35">
        <f t="shared" si="451"/>
        <v>1</v>
      </c>
      <c r="M1505" s="77" cm="1">
        <f t="array" ref="M1505">_xlfn.IFS(BOM!I1505="RM-PACKING","100%",B1505="Reynolds",VLOOKUP(H1505,'Yield &amp; Time'!A:V,22,0),BOM!B1505="Dnata",VLOOKUP(BOM!H1505,'Yield &amp; Time'!A:M,13,0),B1505="NK",VLOOKUP(H1505,'Yield &amp; Time'!A:X,24,0))</f>
        <v>0.75</v>
      </c>
      <c r="N1505" s="35">
        <f t="shared" si="463"/>
        <v>1.3333333333333333</v>
      </c>
      <c r="O1505" s="1" t="str">
        <f>VLOOKUP(H1505,'RM Used'!A:E,5,0)</f>
        <v>KG</v>
      </c>
      <c r="P1505" s="11">
        <f>VLOOKUP(H1505,'RM Used'!A:F,6,0)</f>
        <v>1.1000000000000001</v>
      </c>
      <c r="Q1505" s="11">
        <f t="shared" si="460"/>
        <v>1.4666666666666668</v>
      </c>
      <c r="R1505" s="11" cm="1">
        <f t="array" ref="R1505">IFERROR(_xlfn.IFS(B1505="Reynolds",VLOOKUP(H1505,'Yield &amp; Time'!A:U,21,0),B1505="Dnata",VLOOKUP(H1505,'Yield &amp; Time'!A:L,12,0),B1505="NK",VLOOKUP(H1505,'Yield &amp; Time'!A:W,23,0)),0)</f>
        <v>1.2000000000000002</v>
      </c>
      <c r="S1505" s="11">
        <f t="shared" si="452"/>
        <v>0.40620000000000001</v>
      </c>
      <c r="T1505" s="11">
        <f t="shared" si="453"/>
        <v>2.0000000000000004E-2</v>
      </c>
      <c r="U1505" s="11">
        <f>IF(A1504=A1505,0,VLOOKUP(A1505,'Packing Time'!A:F,6,0))</f>
        <v>0.64500000000000002</v>
      </c>
      <c r="V1505" s="11">
        <f t="shared" si="445"/>
        <v>0.21833249999999998</v>
      </c>
      <c r="W1505" s="11">
        <f t="shared" si="446"/>
        <v>1.0750000000000001E-2</v>
      </c>
      <c r="X1505" s="11">
        <f t="shared" si="454"/>
        <v>0.8743455</v>
      </c>
      <c r="Y1505" s="11">
        <f t="shared" si="447"/>
        <v>0.8743455</v>
      </c>
      <c r="Z1505" s="37">
        <v>1</v>
      </c>
      <c r="AA1505" s="36">
        <f t="shared" si="455"/>
        <v>1.3333333333333333</v>
      </c>
      <c r="AB1505" s="11">
        <f t="shared" si="456"/>
        <v>1.4666666666666668</v>
      </c>
      <c r="AC1505" s="11">
        <f t="shared" si="457"/>
        <v>4.3050000000000005E-2</v>
      </c>
      <c r="AD1505" s="36">
        <f t="shared" si="448"/>
        <v>0.8743455</v>
      </c>
      <c r="AE1505" s="36"/>
      <c r="AF1505" s="36">
        <f>IFERROR(VLOOKUP(AE1505,'Chemical Cost'!A:D,4,0),0)</f>
        <v>0</v>
      </c>
      <c r="AG1505" s="114">
        <f t="shared" si="458"/>
        <v>0</v>
      </c>
      <c r="AH1505" s="36">
        <f t="shared" si="461"/>
        <v>0</v>
      </c>
      <c r="AI1505" s="36">
        <f t="shared" si="464"/>
        <v>2.3410121666666668</v>
      </c>
      <c r="AJ1505" s="36">
        <f>IFERROR(VLOOKUP(A1505,'All Products'!A:F,6,0),0)</f>
        <v>4.17</v>
      </c>
      <c r="AK1505" s="1"/>
      <c r="AL1505" s="1"/>
      <c r="AM1505" s="1"/>
      <c r="AN1505" s="54" t="e">
        <v>#N/A</v>
      </c>
      <c r="AP1505" s="4">
        <v>1.4</v>
      </c>
      <c r="AQ1505" s="111">
        <f t="shared" si="459"/>
        <v>4.3050000000000005E-2</v>
      </c>
      <c r="AR1505">
        <f>_xlfn.XLOOKUP(F1505,'RM Cost'!A:A,'RM Cost'!S:S)</f>
        <v>1.1644775886170367</v>
      </c>
      <c r="AS1505" t="e">
        <f>_xlfn.XLOOKUP(A1505,[3]Sheet1!$B:$B,[3]Sheet1!$B:$B)</f>
        <v>#N/A</v>
      </c>
    </row>
    <row r="1506" spans="1:46" x14ac:dyDescent="0.25">
      <c r="A1506" s="1" t="s">
        <v>4402</v>
      </c>
      <c r="B1506" s="1" t="s">
        <v>4377</v>
      </c>
      <c r="C1506" s="1" t="s">
        <v>4451</v>
      </c>
      <c r="D1506" s="1" t="s">
        <v>554</v>
      </c>
      <c r="E1506" s="2">
        <v>1</v>
      </c>
      <c r="F1506" s="1" t="str">
        <f>VLOOKUP(H1506,'RM Used'!A:B,2,0)</f>
        <v>P0008</v>
      </c>
      <c r="G1506" s="1" t="str">
        <f>IFERROR(VLOOKUP(F1506,'RM Cost'!A:B,2,0),"")</f>
        <v>PALE BLUE BAG 470X750MM</v>
      </c>
      <c r="H1506" s="1" t="s">
        <v>1323</v>
      </c>
      <c r="I1506" s="1" t="str">
        <f>VLOOKUP(F1506,'RM Used'!B:D,3,0)</f>
        <v>RM-PACKING</v>
      </c>
      <c r="J1506" s="66">
        <v>1</v>
      </c>
      <c r="K1506" s="35" t="str">
        <f t="shared" si="462"/>
        <v/>
      </c>
      <c r="L1506" s="35">
        <f t="shared" si="451"/>
        <v>0</v>
      </c>
      <c r="M1506" s="77" t="str" cm="1">
        <f t="array" ref="M1506">_xlfn.IFS(BOM!I1506="RM-PACKING","100%",B1506="Reynolds",VLOOKUP(H1506,'Yield &amp; Time'!A:V,22,0),BOM!B1506="Dnata",VLOOKUP(BOM!H1506,'Yield &amp; Time'!A:M,13,0),B1506="NK",VLOOKUP(H1506,'Yield &amp; Time'!A:X,24,0))</f>
        <v>100%</v>
      </c>
      <c r="N1506" s="35">
        <f t="shared" si="463"/>
        <v>1</v>
      </c>
      <c r="O1506" s="1" t="str">
        <f>VLOOKUP(H1506,'RM Used'!A:E,5,0)</f>
        <v>Count</v>
      </c>
      <c r="P1506" s="11">
        <f>VLOOKUP(H1506,'RM Used'!A:F,6,0)</f>
        <v>0.14000000000000001</v>
      </c>
      <c r="Q1506" s="11">
        <f t="shared" si="460"/>
        <v>0.14000000000000001</v>
      </c>
      <c r="R1506" s="11" cm="1">
        <f t="array" ref="R1506">IFERROR(_xlfn.IFS(B1506="Reynolds",VLOOKUP(H1506,'Yield &amp; Time'!A:U,21,0),B1506="Dnata",VLOOKUP(H1506,'Yield &amp; Time'!A:L,12,0),B1506="NK",VLOOKUP(H1506,'Yield &amp; Time'!A:W,23,0)),0)</f>
        <v>0</v>
      </c>
      <c r="S1506" s="11">
        <f t="shared" si="452"/>
        <v>0</v>
      </c>
      <c r="T1506" s="11">
        <f t="shared" si="453"/>
        <v>0</v>
      </c>
      <c r="U1506" s="11">
        <f>IF(A1505=A1506,0,VLOOKUP(A1506,'Packing Time'!A:F,6,0))</f>
        <v>0</v>
      </c>
      <c r="V1506" s="11">
        <f t="shared" si="445"/>
        <v>0</v>
      </c>
      <c r="W1506" s="11">
        <f t="shared" si="446"/>
        <v>0</v>
      </c>
      <c r="X1506" s="11">
        <f t="shared" si="454"/>
        <v>0</v>
      </c>
      <c r="Y1506" s="11">
        <f t="shared" si="447"/>
        <v>0</v>
      </c>
      <c r="Z1506" s="37">
        <v>1</v>
      </c>
      <c r="AA1506" s="36">
        <f t="shared" si="455"/>
        <v>1</v>
      </c>
      <c r="AB1506" s="11">
        <f t="shared" si="456"/>
        <v>0.14000000000000001</v>
      </c>
      <c r="AC1506" s="11">
        <f t="shared" si="457"/>
        <v>0</v>
      </c>
      <c r="AD1506" s="36">
        <f t="shared" si="448"/>
        <v>0</v>
      </c>
      <c r="AE1506" s="36"/>
      <c r="AF1506" s="36">
        <f>IFERROR(VLOOKUP(AE1506,'Chemical Cost'!A:D,4,0),0)</f>
        <v>0</v>
      </c>
      <c r="AG1506" s="114">
        <f t="shared" si="458"/>
        <v>0</v>
      </c>
      <c r="AH1506" s="36">
        <f t="shared" si="461"/>
        <v>0</v>
      </c>
      <c r="AI1506" s="36">
        <f t="shared" si="464"/>
        <v>0.14000000000000001</v>
      </c>
      <c r="AJ1506" s="36">
        <f>IFERROR(VLOOKUP(A1506,'All Products'!A:F,6,0),0)</f>
        <v>4.17</v>
      </c>
      <c r="AK1506" s="1"/>
      <c r="AL1506" s="1"/>
      <c r="AM1506" s="1"/>
      <c r="AN1506" s="54" t="e">
        <v>#N/A</v>
      </c>
      <c r="AP1506" s="4">
        <v>1.4</v>
      </c>
      <c r="AQ1506" s="111">
        <f t="shared" si="459"/>
        <v>0</v>
      </c>
      <c r="AR1506">
        <f>_xlfn.XLOOKUP(F1506,'RM Cost'!A:A,'RM Cost'!S:S)</f>
        <v>0</v>
      </c>
      <c r="AS1506" t="e">
        <f>_xlfn.XLOOKUP(A1506,[3]Sheet1!$B:$B,[3]Sheet1!$B:$B)</f>
        <v>#N/A</v>
      </c>
    </row>
    <row r="1507" spans="1:46" x14ac:dyDescent="0.25">
      <c r="A1507" s="1" t="s">
        <v>4403</v>
      </c>
      <c r="B1507" s="2" t="s">
        <v>4377</v>
      </c>
      <c r="C1507" s="1" t="s">
        <v>4452</v>
      </c>
      <c r="D1507" s="2" t="s">
        <v>554</v>
      </c>
      <c r="E1507" s="2">
        <v>1</v>
      </c>
      <c r="F1507" s="1" t="str">
        <f>VLOOKUP(H1507,'RM Used'!A:B,2,0)</f>
        <v>3566CS</v>
      </c>
      <c r="G1507" s="1" t="str">
        <f>IFERROR(VLOOKUP(F1507,'RM Cost'!A:B,2,0),"")</f>
        <v>PEPPERS RED X 5KG</v>
      </c>
      <c r="H1507" s="1" t="s">
        <v>1436</v>
      </c>
      <c r="I1507" s="1" t="str">
        <f>VLOOKUP(F1507,'RM Used'!B:D,3,0)</f>
        <v>RM-FOOD</v>
      </c>
      <c r="J1507" s="66">
        <v>1</v>
      </c>
      <c r="K1507" s="35">
        <f t="shared" si="462"/>
        <v>1</v>
      </c>
      <c r="L1507" s="35">
        <f t="shared" si="451"/>
        <v>1</v>
      </c>
      <c r="M1507" s="77" cm="1">
        <f t="array" ref="M1507">_xlfn.IFS(BOM!I1507="RM-PACKING","100%",B1507="Reynolds",VLOOKUP(H1507,'Yield &amp; Time'!A:V,22,0),BOM!B1507="Dnata",VLOOKUP(BOM!H1507,'Yield &amp; Time'!A:M,13,0),B1507="NK",VLOOKUP(H1507,'Yield &amp; Time'!A:X,24,0))</f>
        <v>0.7</v>
      </c>
      <c r="N1507" s="35">
        <f t="shared" si="463"/>
        <v>1.4285714285714286</v>
      </c>
      <c r="O1507" s="1" t="str">
        <f>VLOOKUP(H1507,'RM Used'!A:E,5,0)</f>
        <v>KG</v>
      </c>
      <c r="P1507" s="11">
        <f>VLOOKUP(H1507,'RM Used'!A:F,6,0)</f>
        <v>1.72</v>
      </c>
      <c r="Q1507" s="11">
        <f t="shared" si="460"/>
        <v>2.4571428571428573</v>
      </c>
      <c r="R1507" s="11" cm="1">
        <f t="array" ref="R1507">IFERROR(_xlfn.IFS(B1507="Reynolds",VLOOKUP(H1507,'Yield &amp; Time'!A:U,21,0),B1507="Dnata",VLOOKUP(H1507,'Yield &amp; Time'!A:L,12,0),B1507="NK",VLOOKUP(H1507,'Yield &amp; Time'!A:W,23,0)),0)</f>
        <v>1.03</v>
      </c>
      <c r="S1507" s="11">
        <f t="shared" si="452"/>
        <v>0.34865499999999999</v>
      </c>
      <c r="T1507" s="11">
        <f t="shared" si="453"/>
        <v>1.7166666666666667E-2</v>
      </c>
      <c r="U1507" s="11">
        <f>IF(A1506=A1507,0,VLOOKUP(A1507,'Packing Time'!A:F,6,0))</f>
        <v>0.64500000000000002</v>
      </c>
      <c r="V1507" s="11">
        <f t="shared" si="445"/>
        <v>0.21833249999999998</v>
      </c>
      <c r="W1507" s="11">
        <f t="shared" si="446"/>
        <v>1.0750000000000001E-2</v>
      </c>
      <c r="X1507" s="11">
        <f t="shared" si="454"/>
        <v>0.90717999999999999</v>
      </c>
      <c r="Y1507" s="11">
        <f t="shared" si="447"/>
        <v>0.90717999999999999</v>
      </c>
      <c r="Z1507" s="37">
        <v>1</v>
      </c>
      <c r="AA1507" s="36">
        <f t="shared" si="455"/>
        <v>1.4285714285714286</v>
      </c>
      <c r="AB1507" s="11">
        <f t="shared" si="456"/>
        <v>2.4571428571428573</v>
      </c>
      <c r="AC1507" s="11">
        <f t="shared" si="457"/>
        <v>4.4666666666666667E-2</v>
      </c>
      <c r="AD1507" s="36">
        <f t="shared" si="448"/>
        <v>0.90717999999999999</v>
      </c>
      <c r="AE1507" s="36"/>
      <c r="AF1507" s="36">
        <f>IFERROR(VLOOKUP(AE1507,'Chemical Cost'!A:D,4,0),0)</f>
        <v>0</v>
      </c>
      <c r="AG1507" s="114">
        <f t="shared" si="458"/>
        <v>0</v>
      </c>
      <c r="AH1507" s="36">
        <f t="shared" si="461"/>
        <v>0</v>
      </c>
      <c r="AI1507" s="36">
        <f t="shared" si="464"/>
        <v>3.3643228571428572</v>
      </c>
      <c r="AJ1507" s="36">
        <f>IFERROR(VLOOKUP(A1507,'All Products'!A:F,6,0),0)</f>
        <v>7.18</v>
      </c>
      <c r="AK1507" s="1"/>
      <c r="AL1507" s="1"/>
      <c r="AM1507" s="1"/>
      <c r="AN1507" s="54" t="e">
        <v>#N/A</v>
      </c>
      <c r="AP1507" s="4">
        <v>1.6</v>
      </c>
      <c r="AQ1507" s="111">
        <f t="shared" si="459"/>
        <v>4.4666666666666667E-2</v>
      </c>
      <c r="AR1507">
        <f>_xlfn.XLOOKUP(F1507,'RM Cost'!A:A,'RM Cost'!S:S)</f>
        <v>0</v>
      </c>
      <c r="AS1507" t="str">
        <f>_xlfn.XLOOKUP(A1507,[3]Sheet1!$B:$B,[3]Sheet1!$B:$B)</f>
        <v>N029CS</v>
      </c>
      <c r="AT1507" t="str">
        <f>_xlfn.XLOOKUP(H1507,'Yield &amp; Time'!A:A,'Yield &amp; Time'!O:O)</f>
        <v>Yes</v>
      </c>
    </row>
    <row r="1508" spans="1:46" x14ac:dyDescent="0.25">
      <c r="A1508" s="1" t="s">
        <v>4403</v>
      </c>
      <c r="B1508" s="1" t="s">
        <v>4377</v>
      </c>
      <c r="C1508" s="1" t="s">
        <v>4452</v>
      </c>
      <c r="D1508" s="1" t="s">
        <v>554</v>
      </c>
      <c r="E1508" s="2">
        <v>1</v>
      </c>
      <c r="F1508" s="1" t="str">
        <f>VLOOKUP(H1508,'RM Used'!A:B,2,0)</f>
        <v>P0008</v>
      </c>
      <c r="G1508" s="1" t="str">
        <f>IFERROR(VLOOKUP(F1508,'RM Cost'!A:B,2,0),"")</f>
        <v>PALE BLUE BAG 470X750MM</v>
      </c>
      <c r="H1508" s="1" t="s">
        <v>1323</v>
      </c>
      <c r="I1508" s="1" t="str">
        <f>VLOOKUP(F1508,'RM Used'!B:D,3,0)</f>
        <v>RM-PACKING</v>
      </c>
      <c r="J1508" s="66">
        <v>1</v>
      </c>
      <c r="K1508" s="35" t="str">
        <f t="shared" si="462"/>
        <v/>
      </c>
      <c r="L1508" s="35">
        <f t="shared" si="451"/>
        <v>0</v>
      </c>
      <c r="M1508" s="77" t="str" cm="1">
        <f t="array" ref="M1508">_xlfn.IFS(BOM!I1508="RM-PACKING","100%",B1508="Reynolds",VLOOKUP(H1508,'Yield &amp; Time'!A:V,22,0),BOM!B1508="Dnata",VLOOKUP(BOM!H1508,'Yield &amp; Time'!A:M,13,0),B1508="NK",VLOOKUP(H1508,'Yield &amp; Time'!A:X,24,0))</f>
        <v>100%</v>
      </c>
      <c r="N1508" s="35">
        <f t="shared" si="463"/>
        <v>1</v>
      </c>
      <c r="O1508" s="1" t="str">
        <f>VLOOKUP(H1508,'RM Used'!A:E,5,0)</f>
        <v>Count</v>
      </c>
      <c r="P1508" s="11">
        <f>VLOOKUP(H1508,'RM Used'!A:F,6,0)</f>
        <v>0.14000000000000001</v>
      </c>
      <c r="Q1508" s="11">
        <f t="shared" si="460"/>
        <v>0.14000000000000001</v>
      </c>
      <c r="R1508" s="11" cm="1">
        <f t="array" ref="R1508">IFERROR(_xlfn.IFS(B1508="Reynolds",VLOOKUP(H1508,'Yield &amp; Time'!A:U,21,0),B1508="Dnata",VLOOKUP(H1508,'Yield &amp; Time'!A:L,12,0),B1508="NK",VLOOKUP(H1508,'Yield &amp; Time'!A:W,23,0)),0)</f>
        <v>0</v>
      </c>
      <c r="S1508" s="11">
        <f t="shared" si="452"/>
        <v>0</v>
      </c>
      <c r="T1508" s="11">
        <f t="shared" si="453"/>
        <v>0</v>
      </c>
      <c r="U1508" s="11">
        <f>IF(A1507=A1508,0,VLOOKUP(A1508,'Packing Time'!A:F,6,0))</f>
        <v>0</v>
      </c>
      <c r="V1508" s="11">
        <f t="shared" si="445"/>
        <v>0</v>
      </c>
      <c r="W1508" s="11">
        <f t="shared" si="446"/>
        <v>0</v>
      </c>
      <c r="X1508" s="11">
        <f t="shared" si="454"/>
        <v>0</v>
      </c>
      <c r="Y1508" s="11">
        <f t="shared" si="447"/>
        <v>0</v>
      </c>
      <c r="Z1508" s="37">
        <v>1</v>
      </c>
      <c r="AA1508" s="36">
        <f t="shared" si="455"/>
        <v>1</v>
      </c>
      <c r="AB1508" s="11">
        <f t="shared" si="456"/>
        <v>0.14000000000000001</v>
      </c>
      <c r="AC1508" s="11">
        <f t="shared" si="457"/>
        <v>0</v>
      </c>
      <c r="AD1508" s="36">
        <f t="shared" si="448"/>
        <v>0</v>
      </c>
      <c r="AE1508" s="36"/>
      <c r="AF1508" s="36">
        <f>IFERROR(VLOOKUP(AE1508,'Chemical Cost'!A:D,4,0),0)</f>
        <v>0</v>
      </c>
      <c r="AG1508" s="114">
        <f t="shared" si="458"/>
        <v>0</v>
      </c>
      <c r="AH1508" s="36">
        <f t="shared" si="461"/>
        <v>0</v>
      </c>
      <c r="AI1508" s="36">
        <f t="shared" si="464"/>
        <v>0.14000000000000001</v>
      </c>
      <c r="AJ1508" s="36">
        <f>IFERROR(VLOOKUP(A1508,'All Products'!A:F,6,0),0)</f>
        <v>7.18</v>
      </c>
      <c r="AK1508" s="1"/>
      <c r="AL1508" s="1"/>
      <c r="AM1508" s="1"/>
      <c r="AN1508" s="54" t="e">
        <v>#N/A</v>
      </c>
      <c r="AP1508" s="4">
        <v>1.6</v>
      </c>
      <c r="AQ1508" s="111">
        <f t="shared" si="459"/>
        <v>0</v>
      </c>
      <c r="AR1508">
        <f>_xlfn.XLOOKUP(F1508,'RM Cost'!A:A,'RM Cost'!S:S)</f>
        <v>0</v>
      </c>
      <c r="AS1508" t="str">
        <f>_xlfn.XLOOKUP(A1508,[3]Sheet1!$B:$B,[3]Sheet1!$B:$B)</f>
        <v>N029CS</v>
      </c>
      <c r="AT1508" t="e">
        <f>_xlfn.XLOOKUP(H1508,'Yield &amp; Time'!A:A,'Yield &amp; Time'!F:F)</f>
        <v>#N/A</v>
      </c>
    </row>
    <row r="1509" spans="1:46" x14ac:dyDescent="0.25">
      <c r="A1509" s="1" t="s">
        <v>4404</v>
      </c>
      <c r="B1509" s="2" t="s">
        <v>4377</v>
      </c>
      <c r="C1509" s="1" t="s">
        <v>4453</v>
      </c>
      <c r="D1509" s="2" t="s">
        <v>554</v>
      </c>
      <c r="E1509" s="2">
        <v>2.5</v>
      </c>
      <c r="F1509" s="1" t="str">
        <f>VLOOKUP(H1509,'RM Used'!A:B,2,0)</f>
        <v>3210CS</v>
      </c>
      <c r="G1509" s="1" t="str">
        <f>IFERROR(VLOOKUP(F1509,'RM Cost'!A:B,2,0),"")</f>
        <v>RM - POTATOES WARE 25KG</v>
      </c>
      <c r="H1509" s="1" t="s">
        <v>1646</v>
      </c>
      <c r="I1509" s="1" t="str">
        <f>VLOOKUP(F1509,'RM Used'!B:D,3,0)</f>
        <v>RM-FOOD</v>
      </c>
      <c r="J1509" s="66">
        <v>1</v>
      </c>
      <c r="K1509" s="35">
        <f t="shared" si="462"/>
        <v>2.5</v>
      </c>
      <c r="L1509" s="35">
        <f t="shared" si="451"/>
        <v>2.5</v>
      </c>
      <c r="M1509" s="77" cm="1">
        <f t="array" ref="M1509">_xlfn.IFS(BOM!I1509="RM-PACKING","100%",B1509="Reynolds",VLOOKUP(H1509,'Yield &amp; Time'!A:V,22,0),BOM!B1509="Dnata",VLOOKUP(BOM!H1509,'Yield &amp; Time'!A:M,13,0),B1509="NK",VLOOKUP(H1509,'Yield &amp; Time'!A:X,24,0))</f>
        <v>0.56999999999999995</v>
      </c>
      <c r="N1509" s="35">
        <f t="shared" si="463"/>
        <v>4.3859649122807021</v>
      </c>
      <c r="O1509" s="1" t="str">
        <f>VLOOKUP(H1509,'RM Used'!A:E,5,0)</f>
        <v>KG</v>
      </c>
      <c r="P1509" s="11">
        <f>VLOOKUP(H1509,'RM Used'!A:F,6,0)</f>
        <v>0.27</v>
      </c>
      <c r="Q1509" s="11">
        <f t="shared" si="460"/>
        <v>1.1842105263157896</v>
      </c>
      <c r="R1509" s="11" cm="1">
        <f t="array" ref="R1509">IFERROR(_xlfn.IFS(B1509="Reynolds",VLOOKUP(H1509,'Yield &amp; Time'!A:U,21,0),B1509="Dnata",VLOOKUP(H1509,'Yield &amp; Time'!A:L,12,0),B1509="NK",VLOOKUP(H1509,'Yield &amp; Time'!A:W,23,0)),0)</f>
        <v>3.43</v>
      </c>
      <c r="S1509" s="11">
        <f t="shared" si="452"/>
        <v>2.9026375</v>
      </c>
      <c r="T1509" s="11">
        <f t="shared" si="453"/>
        <v>0.14291666666666669</v>
      </c>
      <c r="U1509" s="11">
        <f>IF(A1508=A1509,0,VLOOKUP(A1509,'Packing Time'!A:F,6,0))</f>
        <v>0.875</v>
      </c>
      <c r="V1509" s="11">
        <f t="shared" si="445"/>
        <v>0.29618749999999999</v>
      </c>
      <c r="W1509" s="11">
        <f t="shared" si="446"/>
        <v>1.4583333333333334E-2</v>
      </c>
      <c r="X1509" s="11">
        <f t="shared" si="454"/>
        <v>3.9985312500000001</v>
      </c>
      <c r="Y1509" s="11">
        <f t="shared" si="447"/>
        <v>3.9985312500000001</v>
      </c>
      <c r="Z1509" s="37">
        <v>1</v>
      </c>
      <c r="AA1509" s="36">
        <f t="shared" si="455"/>
        <v>4.3859649122807021</v>
      </c>
      <c r="AB1509" s="11">
        <f t="shared" si="456"/>
        <v>1.1842105263157896</v>
      </c>
      <c r="AC1509" s="11">
        <f t="shared" si="457"/>
        <v>0.19687500000000002</v>
      </c>
      <c r="AD1509" s="36">
        <f t="shared" si="448"/>
        <v>3.9985312500000001</v>
      </c>
      <c r="AE1509" s="36"/>
      <c r="AF1509" s="36">
        <f>IFERROR(VLOOKUP(AE1509,'Chemical Cost'!A:D,4,0),0)</f>
        <v>0</v>
      </c>
      <c r="AG1509" s="114">
        <f t="shared" si="458"/>
        <v>0</v>
      </c>
      <c r="AH1509" s="36">
        <f t="shared" si="461"/>
        <v>0</v>
      </c>
      <c r="AI1509" s="36">
        <f t="shared" si="464"/>
        <v>5.1827417763157895</v>
      </c>
      <c r="AJ1509" s="36">
        <f>IFERROR(VLOOKUP(A1509,'All Products'!A:F,6,0),0)</f>
        <v>6.62</v>
      </c>
      <c r="AK1509" s="1"/>
      <c r="AL1509" s="1"/>
      <c r="AM1509" s="1"/>
      <c r="AN1509" s="54" t="e">
        <v>#N/A</v>
      </c>
      <c r="AP1509" s="4">
        <v>1.25</v>
      </c>
      <c r="AQ1509" s="111">
        <f t="shared" si="459"/>
        <v>0.19687500000000002</v>
      </c>
      <c r="AR1509">
        <f>_xlfn.XLOOKUP(F1509,'RM Cost'!A:A,'RM Cost'!S:S)</f>
        <v>0</v>
      </c>
      <c r="AS1509" t="str">
        <f>_xlfn.XLOOKUP(A1509,[3]Sheet1!$B:$B,[3]Sheet1!$B:$B)</f>
        <v>N030CS</v>
      </c>
      <c r="AT1509">
        <f>_xlfn.XLOOKUP(H1509,'Yield &amp; Time'!A:A,'Yield &amp; Time'!F:F)</f>
        <v>0</v>
      </c>
    </row>
    <row r="1510" spans="1:46" x14ac:dyDescent="0.25">
      <c r="A1510" s="1" t="s">
        <v>4404</v>
      </c>
      <c r="B1510" s="1" t="s">
        <v>4377</v>
      </c>
      <c r="C1510" s="1" t="s">
        <v>4453</v>
      </c>
      <c r="D1510" s="1" t="s">
        <v>554</v>
      </c>
      <c r="E1510" s="2">
        <v>2.5</v>
      </c>
      <c r="F1510" s="1" t="str">
        <f>VLOOKUP(H1510,'RM Used'!A:B,2,0)</f>
        <v>P0008</v>
      </c>
      <c r="G1510" s="1" t="str">
        <f>IFERROR(VLOOKUP(F1510,'RM Cost'!A:B,2,0),"")</f>
        <v>PALE BLUE BAG 470X750MM</v>
      </c>
      <c r="H1510" s="1" t="s">
        <v>1323</v>
      </c>
      <c r="I1510" s="1" t="str">
        <f>VLOOKUP(F1510,'RM Used'!B:D,3,0)</f>
        <v>RM-PACKING</v>
      </c>
      <c r="J1510" s="66">
        <v>1</v>
      </c>
      <c r="K1510" s="35" t="str">
        <f t="shared" si="462"/>
        <v/>
      </c>
      <c r="L1510" s="35">
        <f t="shared" si="451"/>
        <v>0</v>
      </c>
      <c r="M1510" s="77" t="str" cm="1">
        <f t="array" ref="M1510">_xlfn.IFS(BOM!I1510="RM-PACKING","100%",B1510="Reynolds",VLOOKUP(H1510,'Yield &amp; Time'!A:V,22,0),BOM!B1510="Dnata",VLOOKUP(BOM!H1510,'Yield &amp; Time'!A:M,13,0),B1510="NK",VLOOKUP(H1510,'Yield &amp; Time'!A:X,24,0))</f>
        <v>100%</v>
      </c>
      <c r="N1510" s="35">
        <f t="shared" si="463"/>
        <v>1</v>
      </c>
      <c r="O1510" s="1" t="str">
        <f>VLOOKUP(H1510,'RM Used'!A:E,5,0)</f>
        <v>Count</v>
      </c>
      <c r="P1510" s="11">
        <f>VLOOKUP(H1510,'RM Used'!A:F,6,0)</f>
        <v>0.14000000000000001</v>
      </c>
      <c r="Q1510" s="11">
        <f t="shared" si="460"/>
        <v>0.14000000000000001</v>
      </c>
      <c r="R1510" s="11" cm="1">
        <f t="array" ref="R1510">IFERROR(_xlfn.IFS(B1510="Reynolds",VLOOKUP(H1510,'Yield &amp; Time'!A:U,21,0),B1510="Dnata",VLOOKUP(H1510,'Yield &amp; Time'!A:L,12,0),B1510="NK",VLOOKUP(H1510,'Yield &amp; Time'!A:W,23,0)),0)</f>
        <v>0</v>
      </c>
      <c r="S1510" s="11">
        <f t="shared" si="452"/>
        <v>0</v>
      </c>
      <c r="T1510" s="11">
        <f t="shared" si="453"/>
        <v>0</v>
      </c>
      <c r="U1510" s="11">
        <f>IF(A1509=A1510,0,VLOOKUP(A1510,'Packing Time'!A:F,6,0))</f>
        <v>0</v>
      </c>
      <c r="V1510" s="11">
        <f t="shared" si="445"/>
        <v>0</v>
      </c>
      <c r="W1510" s="11">
        <f t="shared" si="446"/>
        <v>0</v>
      </c>
      <c r="X1510" s="11">
        <f t="shared" si="454"/>
        <v>0</v>
      </c>
      <c r="Y1510" s="11">
        <f t="shared" si="447"/>
        <v>0</v>
      </c>
      <c r="Z1510" s="37">
        <v>1</v>
      </c>
      <c r="AA1510" s="36">
        <f t="shared" si="455"/>
        <v>1</v>
      </c>
      <c r="AB1510" s="11">
        <f t="shared" si="456"/>
        <v>0.14000000000000001</v>
      </c>
      <c r="AC1510" s="11">
        <f t="shared" si="457"/>
        <v>0</v>
      </c>
      <c r="AD1510" s="36">
        <f t="shared" si="448"/>
        <v>0</v>
      </c>
      <c r="AE1510" s="36"/>
      <c r="AF1510" s="36">
        <f>IFERROR(VLOOKUP(AE1510,'Chemical Cost'!A:D,4,0),0)</f>
        <v>0</v>
      </c>
      <c r="AG1510" s="114">
        <f t="shared" si="458"/>
        <v>0</v>
      </c>
      <c r="AH1510" s="36">
        <f t="shared" si="461"/>
        <v>0</v>
      </c>
      <c r="AI1510" s="36">
        <f t="shared" si="464"/>
        <v>0.14000000000000001</v>
      </c>
      <c r="AJ1510" s="36">
        <f>IFERROR(VLOOKUP(A1510,'All Products'!A:F,6,0),0)</f>
        <v>6.62</v>
      </c>
      <c r="AK1510" s="1"/>
      <c r="AL1510" s="1"/>
      <c r="AM1510" s="1"/>
      <c r="AN1510" s="54" t="e">
        <v>#N/A</v>
      </c>
      <c r="AP1510" s="4">
        <v>1.25</v>
      </c>
      <c r="AQ1510" s="111">
        <f t="shared" si="459"/>
        <v>0</v>
      </c>
      <c r="AR1510">
        <f>_xlfn.XLOOKUP(F1510,'RM Cost'!A:A,'RM Cost'!S:S)</f>
        <v>0</v>
      </c>
      <c r="AS1510" t="str">
        <f>_xlfn.XLOOKUP(A1510,[3]Sheet1!$B:$B,[3]Sheet1!$B:$B)</f>
        <v>N030CS</v>
      </c>
      <c r="AT1510" t="e">
        <f>_xlfn.XLOOKUP(H1510,'Yield &amp; Time'!A:A,'Yield &amp; Time'!F:F)</f>
        <v>#N/A</v>
      </c>
    </row>
    <row r="1511" spans="1:46" x14ac:dyDescent="0.25">
      <c r="A1511" s="1" t="s">
        <v>4405</v>
      </c>
      <c r="B1511" s="2" t="s">
        <v>4377</v>
      </c>
      <c r="C1511" s="1" t="s">
        <v>581</v>
      </c>
      <c r="D1511" s="2" t="s">
        <v>554</v>
      </c>
      <c r="E1511" s="2">
        <v>2.5</v>
      </c>
      <c r="F1511" s="1" t="str">
        <f>VLOOKUP(H1511,'RM Used'!A:B,2,0)</f>
        <v>3242CS</v>
      </c>
      <c r="G1511" s="1" t="str">
        <f>IFERROR(VLOOKUP(F1511,'RM Cost'!A:B,2,0),"")</f>
        <v>RM - SWEET POTATOES ORANGE FLESH 6K</v>
      </c>
      <c r="H1511" s="1" t="s">
        <v>1448</v>
      </c>
      <c r="I1511" s="1" t="str">
        <f>VLOOKUP(F1511,'RM Used'!B:D,3,0)</f>
        <v>RM-FOOD</v>
      </c>
      <c r="J1511" s="66">
        <v>1</v>
      </c>
      <c r="K1511" s="35">
        <f t="shared" si="462"/>
        <v>2.5</v>
      </c>
      <c r="L1511" s="35">
        <f t="shared" si="451"/>
        <v>2.5</v>
      </c>
      <c r="M1511" s="77" cm="1">
        <f t="array" ref="M1511">_xlfn.IFS(BOM!I1511="RM-PACKING","100%",B1511="Reynolds",VLOOKUP(H1511,'Yield &amp; Time'!A:V,22,0),BOM!B1511="Dnata",VLOOKUP(BOM!H1511,'Yield &amp; Time'!A:M,13,0),B1511="NK",VLOOKUP(H1511,'Yield &amp; Time'!A:X,24,0))</f>
        <v>0.82</v>
      </c>
      <c r="N1511" s="35">
        <f t="shared" si="463"/>
        <v>3.0487804878048781</v>
      </c>
      <c r="O1511" s="1" t="str">
        <f>VLOOKUP(H1511,'RM Used'!A:E,5,0)</f>
        <v>KG</v>
      </c>
      <c r="P1511" s="11">
        <f>VLOOKUP(H1511,'RM Used'!A:F,6,0)</f>
        <v>0.88</v>
      </c>
      <c r="Q1511" s="11">
        <f t="shared" si="460"/>
        <v>2.6829268292682928</v>
      </c>
      <c r="R1511" s="11" cm="1">
        <f t="array" ref="R1511">IFERROR(_xlfn.IFS(B1511="Reynolds",VLOOKUP(H1511,'Yield &amp; Time'!A:U,21,0),B1511="Dnata",VLOOKUP(H1511,'Yield &amp; Time'!A:L,12,0),B1511="NK",VLOOKUP(H1511,'Yield &amp; Time'!A:W,23,0)),0)</f>
        <v>3.68</v>
      </c>
      <c r="S1511" s="11">
        <f t="shared" si="452"/>
        <v>3.1141999999999999</v>
      </c>
      <c r="T1511" s="11">
        <f t="shared" si="453"/>
        <v>0.15333333333333335</v>
      </c>
      <c r="U1511" s="11">
        <f>IF(A1510=A1511,0,VLOOKUP(A1511,'Packing Time'!A:F,6,0))</f>
        <v>0.875</v>
      </c>
      <c r="V1511" s="11">
        <f t="shared" si="445"/>
        <v>0.29618749999999999</v>
      </c>
      <c r="W1511" s="11">
        <f t="shared" si="446"/>
        <v>1.4583333333333334E-2</v>
      </c>
      <c r="X1511" s="11">
        <f t="shared" si="454"/>
        <v>5.4566200000000009</v>
      </c>
      <c r="Y1511" s="11">
        <f t="shared" si="447"/>
        <v>5.4566200000000009</v>
      </c>
      <c r="Z1511" s="37">
        <v>1</v>
      </c>
      <c r="AA1511" s="36">
        <f t="shared" si="455"/>
        <v>3.0487804878048781</v>
      </c>
      <c r="AB1511" s="11">
        <f t="shared" si="456"/>
        <v>2.6829268292682928</v>
      </c>
      <c r="AC1511" s="11">
        <f t="shared" si="457"/>
        <v>0.26866666666666672</v>
      </c>
      <c r="AD1511" s="36">
        <f t="shared" si="448"/>
        <v>5.4566200000000009</v>
      </c>
      <c r="AE1511" s="36"/>
      <c r="AF1511" s="36">
        <f>IFERROR(VLOOKUP(AE1511,'Chemical Cost'!A:D,4,0),0)</f>
        <v>0</v>
      </c>
      <c r="AG1511" s="114">
        <f t="shared" si="458"/>
        <v>0</v>
      </c>
      <c r="AH1511" s="36">
        <f t="shared" si="461"/>
        <v>0</v>
      </c>
      <c r="AI1511" s="36">
        <f t="shared" si="464"/>
        <v>8.1395468292682942</v>
      </c>
      <c r="AJ1511" s="36">
        <f>IFERROR(VLOOKUP(A1511,'All Products'!A:F,6,0),0)</f>
        <v>7.5</v>
      </c>
      <c r="AK1511" s="1"/>
      <c r="AL1511" s="1"/>
      <c r="AM1511" s="1"/>
      <c r="AN1511" s="54" t="e">
        <v>#N/A</v>
      </c>
      <c r="AP1511" s="4">
        <v>1.6</v>
      </c>
      <c r="AQ1511" s="111">
        <f t="shared" si="459"/>
        <v>0.26866666666666672</v>
      </c>
      <c r="AR1511">
        <f>_xlfn.XLOOKUP(F1511,'RM Cost'!A:A,'RM Cost'!S:S)</f>
        <v>0</v>
      </c>
      <c r="AS1511" t="e">
        <f>_xlfn.XLOOKUP(A1511,[3]Sheet1!$B:$B,[3]Sheet1!$B:$B)</f>
        <v>#N/A</v>
      </c>
    </row>
    <row r="1512" spans="1:46" x14ac:dyDescent="0.25">
      <c r="A1512" s="1" t="s">
        <v>4405</v>
      </c>
      <c r="B1512" s="1" t="s">
        <v>4377</v>
      </c>
      <c r="C1512" s="1" t="s">
        <v>581</v>
      </c>
      <c r="D1512" s="1" t="s">
        <v>554</v>
      </c>
      <c r="E1512" s="2">
        <v>2.5</v>
      </c>
      <c r="F1512" s="1" t="str">
        <f>VLOOKUP(H1512,'RM Used'!A:B,2,0)</f>
        <v>P0008</v>
      </c>
      <c r="G1512" s="1" t="str">
        <f>IFERROR(VLOOKUP(F1512,'RM Cost'!A:B,2,0),"")</f>
        <v>PALE BLUE BAG 470X750MM</v>
      </c>
      <c r="H1512" s="1" t="s">
        <v>1323</v>
      </c>
      <c r="I1512" s="1" t="str">
        <f>VLOOKUP(F1512,'RM Used'!B:D,3,0)</f>
        <v>RM-PACKING</v>
      </c>
      <c r="J1512" s="66">
        <v>1</v>
      </c>
      <c r="K1512" s="35" t="str">
        <f t="shared" si="462"/>
        <v/>
      </c>
      <c r="L1512" s="35">
        <f t="shared" si="451"/>
        <v>0</v>
      </c>
      <c r="M1512" s="77" t="str" cm="1">
        <f t="array" ref="M1512">_xlfn.IFS(BOM!I1512="RM-PACKING","100%",B1512="Reynolds",VLOOKUP(H1512,'Yield &amp; Time'!A:V,22,0),BOM!B1512="Dnata",VLOOKUP(BOM!H1512,'Yield &amp; Time'!A:M,13,0),B1512="NK",VLOOKUP(H1512,'Yield &amp; Time'!A:X,24,0))</f>
        <v>100%</v>
      </c>
      <c r="N1512" s="35">
        <f t="shared" si="463"/>
        <v>1</v>
      </c>
      <c r="O1512" s="1" t="str">
        <f>VLOOKUP(H1512,'RM Used'!A:E,5,0)</f>
        <v>Count</v>
      </c>
      <c r="P1512" s="11">
        <f>VLOOKUP(H1512,'RM Used'!A:F,6,0)</f>
        <v>0.14000000000000001</v>
      </c>
      <c r="Q1512" s="11">
        <f t="shared" si="460"/>
        <v>0.14000000000000001</v>
      </c>
      <c r="R1512" s="11" cm="1">
        <f t="array" ref="R1512">IFERROR(_xlfn.IFS(B1512="Reynolds",VLOOKUP(H1512,'Yield &amp; Time'!A:U,21,0),B1512="Dnata",VLOOKUP(H1512,'Yield &amp; Time'!A:L,12,0),B1512="NK",VLOOKUP(H1512,'Yield &amp; Time'!A:W,23,0)),0)</f>
        <v>0</v>
      </c>
      <c r="S1512" s="11">
        <f t="shared" si="452"/>
        <v>0</v>
      </c>
      <c r="T1512" s="11">
        <f t="shared" si="453"/>
        <v>0</v>
      </c>
      <c r="U1512" s="11">
        <f>IF(A1511=A1512,0,VLOOKUP(A1512,'Packing Time'!A:F,6,0))</f>
        <v>0</v>
      </c>
      <c r="V1512" s="11">
        <f t="shared" si="445"/>
        <v>0</v>
      </c>
      <c r="W1512" s="11">
        <f t="shared" si="446"/>
        <v>0</v>
      </c>
      <c r="X1512" s="11">
        <f t="shared" si="454"/>
        <v>0</v>
      </c>
      <c r="Y1512" s="11">
        <f t="shared" si="447"/>
        <v>0</v>
      </c>
      <c r="Z1512" s="37">
        <v>1</v>
      </c>
      <c r="AA1512" s="36">
        <f t="shared" si="455"/>
        <v>1</v>
      </c>
      <c r="AB1512" s="11">
        <f t="shared" si="456"/>
        <v>0.14000000000000001</v>
      </c>
      <c r="AC1512" s="11">
        <f t="shared" si="457"/>
        <v>0</v>
      </c>
      <c r="AD1512" s="36">
        <f t="shared" si="448"/>
        <v>0</v>
      </c>
      <c r="AE1512" s="36"/>
      <c r="AF1512" s="36">
        <f>IFERROR(VLOOKUP(AE1512,'Chemical Cost'!A:D,4,0),0)</f>
        <v>0</v>
      </c>
      <c r="AG1512" s="114">
        <f t="shared" si="458"/>
        <v>0</v>
      </c>
      <c r="AH1512" s="36">
        <f t="shared" si="461"/>
        <v>0</v>
      </c>
      <c r="AI1512" s="36">
        <f t="shared" si="464"/>
        <v>0.14000000000000001</v>
      </c>
      <c r="AJ1512" s="36">
        <f>IFERROR(VLOOKUP(A1512,'All Products'!A:F,6,0),0)</f>
        <v>7.5</v>
      </c>
      <c r="AK1512" s="1"/>
      <c r="AL1512" s="1"/>
      <c r="AM1512" s="1"/>
      <c r="AN1512" s="54" t="e">
        <v>#N/A</v>
      </c>
      <c r="AP1512" s="4">
        <v>1.6</v>
      </c>
      <c r="AQ1512" s="111">
        <f t="shared" si="459"/>
        <v>0</v>
      </c>
      <c r="AR1512">
        <f>_xlfn.XLOOKUP(F1512,'RM Cost'!A:A,'RM Cost'!S:S)</f>
        <v>0</v>
      </c>
      <c r="AS1512" t="e">
        <f>_xlfn.XLOOKUP(A1512,[3]Sheet1!$B:$B,[3]Sheet1!$B:$B)</f>
        <v>#N/A</v>
      </c>
    </row>
    <row r="1513" spans="1:46" x14ac:dyDescent="0.25">
      <c r="A1513" s="1" t="s">
        <v>4406</v>
      </c>
      <c r="B1513" s="2" t="s">
        <v>4377</v>
      </c>
      <c r="C1513" s="1" t="s">
        <v>4454</v>
      </c>
      <c r="D1513" s="2" t="s">
        <v>554</v>
      </c>
      <c r="E1513" s="2">
        <v>1</v>
      </c>
      <c r="F1513" s="1" t="str">
        <f>VLOOKUP(H1513,'RM Used'!A:B,2,0)</f>
        <v>3242CS</v>
      </c>
      <c r="G1513" s="1" t="str">
        <f>IFERROR(VLOOKUP(F1513,'RM Cost'!A:B,2,0),"")</f>
        <v>RM - SWEET POTATOES ORANGE FLESH 6K</v>
      </c>
      <c r="H1513" s="1" t="s">
        <v>4484</v>
      </c>
      <c r="I1513" s="1" t="str">
        <f>VLOOKUP(F1513,'RM Used'!B:D,3,0)</f>
        <v>RM-FOOD</v>
      </c>
      <c r="J1513" s="66">
        <v>1</v>
      </c>
      <c r="K1513" s="35">
        <f t="shared" si="462"/>
        <v>1</v>
      </c>
      <c r="L1513" s="35">
        <f t="shared" si="451"/>
        <v>1</v>
      </c>
      <c r="M1513" s="77" cm="1">
        <f t="array" ref="M1513">_xlfn.IFS(BOM!I1513="RM-PACKING","100%",B1513="Reynolds",VLOOKUP(H1513,'Yield &amp; Time'!A:V,22,0),BOM!B1513="Dnata",VLOOKUP(BOM!H1513,'Yield &amp; Time'!A:M,13,0),B1513="NK",VLOOKUP(H1513,'Yield &amp; Time'!A:X,24,0))</f>
        <v>0.82</v>
      </c>
      <c r="N1513" s="35">
        <f t="shared" si="463"/>
        <v>1.2195121951219512</v>
      </c>
      <c r="O1513" s="1" t="str">
        <f>VLOOKUP(H1513,'RM Used'!A:E,5,0)</f>
        <v>KG</v>
      </c>
      <c r="P1513" s="11">
        <f>VLOOKUP(H1513,'RM Used'!A:F,6,0)</f>
        <v>0.88</v>
      </c>
      <c r="Q1513" s="11">
        <f t="shared" si="460"/>
        <v>1.0731707317073171</v>
      </c>
      <c r="R1513" s="11" cm="1">
        <f t="array" ref="R1513">IFERROR(_xlfn.IFS(B1513="Reynolds",VLOOKUP(H1513,'Yield &amp; Time'!A:U,21,0),B1513="Dnata",VLOOKUP(H1513,'Yield &amp; Time'!A:L,12,0),B1513="NK",VLOOKUP(H1513,'Yield &amp; Time'!A:W,23,0)),0)</f>
        <v>0.2</v>
      </c>
      <c r="S1513" s="11">
        <f t="shared" si="452"/>
        <v>6.7699999999999996E-2</v>
      </c>
      <c r="T1513" s="11">
        <f t="shared" si="453"/>
        <v>3.3333333333333335E-3</v>
      </c>
      <c r="U1513" s="11">
        <f>IF(A1512=A1513,0,VLOOKUP(A1513,'Packing Time'!A:F,6,0))</f>
        <v>0.64500000000000002</v>
      </c>
      <c r="V1513" s="11">
        <f t="shared" si="445"/>
        <v>0.21833249999999998</v>
      </c>
      <c r="W1513" s="11">
        <f t="shared" si="446"/>
        <v>1.0750000000000001E-2</v>
      </c>
      <c r="X1513" s="11">
        <f t="shared" si="454"/>
        <v>0.40044549999999995</v>
      </c>
      <c r="Y1513" s="11">
        <f t="shared" si="447"/>
        <v>0.40044549999999995</v>
      </c>
      <c r="Z1513" s="37">
        <v>1</v>
      </c>
      <c r="AA1513" s="36">
        <f t="shared" si="455"/>
        <v>1.2195121951219512</v>
      </c>
      <c r="AB1513" s="11">
        <f t="shared" si="456"/>
        <v>1.0731707317073171</v>
      </c>
      <c r="AC1513" s="11">
        <f t="shared" si="457"/>
        <v>1.9716666666666664E-2</v>
      </c>
      <c r="AD1513" s="36">
        <f t="shared" si="448"/>
        <v>0.4004454999999999</v>
      </c>
      <c r="AE1513" s="36"/>
      <c r="AF1513" s="36">
        <f>IFERROR(VLOOKUP(AE1513,'Chemical Cost'!A:D,4,0),0)</f>
        <v>0</v>
      </c>
      <c r="AG1513" s="114">
        <f t="shared" si="458"/>
        <v>0</v>
      </c>
      <c r="AH1513" s="36">
        <f t="shared" si="461"/>
        <v>0</v>
      </c>
      <c r="AI1513" s="36">
        <f t="shared" si="464"/>
        <v>1.4736162317073171</v>
      </c>
      <c r="AJ1513" s="36">
        <f>IFERROR(VLOOKUP(A1513,'All Products'!A:F,6,0),0)</f>
        <v>4.3499999999999996</v>
      </c>
      <c r="AK1513" s="1"/>
      <c r="AL1513" s="1"/>
      <c r="AM1513" s="1"/>
      <c r="AN1513" s="54" t="e">
        <v>#N/A</v>
      </c>
      <c r="AP1513" s="4">
        <v>1.4</v>
      </c>
      <c r="AQ1513" s="111">
        <f t="shared" si="459"/>
        <v>1.9716666666666664E-2</v>
      </c>
      <c r="AR1513">
        <f>_xlfn.XLOOKUP(F1513,'RM Cost'!A:A,'RM Cost'!S:S)</f>
        <v>0</v>
      </c>
      <c r="AS1513" t="str">
        <f>_xlfn.XLOOKUP(A1513,[3]Sheet1!$B:$B,[3]Sheet1!$B:$B)</f>
        <v>N032CS</v>
      </c>
      <c r="AT1513">
        <f>_xlfn.XLOOKUP(H1513,'Yield &amp; Time'!A:A,'Yield &amp; Time'!F:F)</f>
        <v>0</v>
      </c>
    </row>
    <row r="1514" spans="1:46" x14ac:dyDescent="0.25">
      <c r="A1514" s="1" t="s">
        <v>4406</v>
      </c>
      <c r="B1514" s="1" t="s">
        <v>4377</v>
      </c>
      <c r="C1514" s="1" t="s">
        <v>4454</v>
      </c>
      <c r="D1514" s="1" t="s">
        <v>554</v>
      </c>
      <c r="E1514" s="2">
        <v>1</v>
      </c>
      <c r="F1514" s="1" t="str">
        <f>VLOOKUP(H1514,'RM Used'!A:B,2,0)</f>
        <v>P0008</v>
      </c>
      <c r="G1514" s="1" t="str">
        <f>IFERROR(VLOOKUP(F1514,'RM Cost'!A:B,2,0),"")</f>
        <v>PALE BLUE BAG 470X750MM</v>
      </c>
      <c r="H1514" s="1" t="s">
        <v>1323</v>
      </c>
      <c r="I1514" s="1" t="str">
        <f>VLOOKUP(F1514,'RM Used'!B:D,3,0)</f>
        <v>RM-PACKING</v>
      </c>
      <c r="J1514" s="66">
        <v>1</v>
      </c>
      <c r="K1514" s="35" t="str">
        <f t="shared" si="462"/>
        <v/>
      </c>
      <c r="L1514" s="35">
        <f t="shared" si="451"/>
        <v>0</v>
      </c>
      <c r="M1514" s="77" t="str" cm="1">
        <f t="array" ref="M1514">_xlfn.IFS(BOM!I1514="RM-PACKING","100%",B1514="Reynolds",VLOOKUP(H1514,'Yield &amp; Time'!A:V,22,0),BOM!B1514="Dnata",VLOOKUP(BOM!H1514,'Yield &amp; Time'!A:M,13,0),B1514="NK",VLOOKUP(H1514,'Yield &amp; Time'!A:X,24,0))</f>
        <v>100%</v>
      </c>
      <c r="N1514" s="35">
        <f t="shared" si="463"/>
        <v>1</v>
      </c>
      <c r="O1514" s="1" t="str">
        <f>VLOOKUP(H1514,'RM Used'!A:E,5,0)</f>
        <v>Count</v>
      </c>
      <c r="P1514" s="11">
        <f>VLOOKUP(H1514,'RM Used'!A:F,6,0)</f>
        <v>0.14000000000000001</v>
      </c>
      <c r="Q1514" s="11">
        <f t="shared" si="460"/>
        <v>0.14000000000000001</v>
      </c>
      <c r="R1514" s="11" cm="1">
        <f t="array" ref="R1514">IFERROR(_xlfn.IFS(B1514="Reynolds",VLOOKUP(H1514,'Yield &amp; Time'!A:U,21,0),B1514="Dnata",VLOOKUP(H1514,'Yield &amp; Time'!A:L,12,0),B1514="NK",VLOOKUP(H1514,'Yield &amp; Time'!A:W,23,0)),0)</f>
        <v>0</v>
      </c>
      <c r="S1514" s="11">
        <f t="shared" si="452"/>
        <v>0</v>
      </c>
      <c r="T1514" s="11">
        <f t="shared" si="453"/>
        <v>0</v>
      </c>
      <c r="U1514" s="11">
        <f>IF(A1513=A1514,0,VLOOKUP(A1514,'Packing Time'!A:F,6,0))</f>
        <v>0</v>
      </c>
      <c r="V1514" s="11">
        <f t="shared" si="445"/>
        <v>0</v>
      </c>
      <c r="W1514" s="11">
        <f t="shared" si="446"/>
        <v>0</v>
      </c>
      <c r="X1514" s="11">
        <f t="shared" si="454"/>
        <v>0</v>
      </c>
      <c r="Y1514" s="11">
        <f t="shared" si="447"/>
        <v>0</v>
      </c>
      <c r="Z1514" s="37">
        <v>1</v>
      </c>
      <c r="AA1514" s="36">
        <f t="shared" si="455"/>
        <v>1</v>
      </c>
      <c r="AB1514" s="11">
        <f t="shared" si="456"/>
        <v>0.14000000000000001</v>
      </c>
      <c r="AC1514" s="11">
        <f t="shared" si="457"/>
        <v>0</v>
      </c>
      <c r="AD1514" s="36">
        <f t="shared" si="448"/>
        <v>0</v>
      </c>
      <c r="AE1514" s="36"/>
      <c r="AF1514" s="36">
        <f>IFERROR(VLOOKUP(AE1514,'Chemical Cost'!A:D,4,0),0)</f>
        <v>0</v>
      </c>
      <c r="AG1514" s="114">
        <f t="shared" si="458"/>
        <v>0</v>
      </c>
      <c r="AH1514" s="36">
        <f t="shared" si="461"/>
        <v>0</v>
      </c>
      <c r="AI1514" s="36">
        <f t="shared" si="464"/>
        <v>0.14000000000000001</v>
      </c>
      <c r="AJ1514" s="36">
        <f>IFERROR(VLOOKUP(A1514,'All Products'!A:F,6,0),0)</f>
        <v>4.3499999999999996</v>
      </c>
      <c r="AK1514" s="1"/>
      <c r="AL1514" s="1"/>
      <c r="AM1514" s="1"/>
      <c r="AN1514" s="54" t="e">
        <v>#N/A</v>
      </c>
      <c r="AP1514" s="4">
        <v>1.4</v>
      </c>
      <c r="AQ1514" s="111">
        <f t="shared" si="459"/>
        <v>0</v>
      </c>
      <c r="AR1514">
        <f>_xlfn.XLOOKUP(F1514,'RM Cost'!A:A,'RM Cost'!S:S)</f>
        <v>0</v>
      </c>
      <c r="AS1514" t="str">
        <f>_xlfn.XLOOKUP(A1514,[3]Sheet1!$B:$B,[3]Sheet1!$B:$B)</f>
        <v>N032CS</v>
      </c>
      <c r="AT1514" t="e">
        <f>_xlfn.XLOOKUP(H1514,'Yield &amp; Time'!A:A,'Yield &amp; Time'!F:F)</f>
        <v>#N/A</v>
      </c>
    </row>
    <row r="1515" spans="1:46" x14ac:dyDescent="0.25">
      <c r="A1515" s="1" t="s">
        <v>4407</v>
      </c>
      <c r="B1515" s="2" t="s">
        <v>4377</v>
      </c>
      <c r="C1515" s="1" t="s">
        <v>574</v>
      </c>
      <c r="D1515" s="2" t="s">
        <v>554</v>
      </c>
      <c r="E1515" s="2">
        <v>2.5</v>
      </c>
      <c r="F1515" s="1" t="str">
        <f>VLOOKUP(H1515,'RM Used'!A:B,2,0)</f>
        <v>206ACS</v>
      </c>
      <c r="G1515" s="1" t="str">
        <f>IFERROR(VLOOKUP(F1515,'RM Cost'!A:B,2,0),"")</f>
        <v>RM - PREP ONION WHOLE 10KG</v>
      </c>
      <c r="H1515" s="1" t="s">
        <v>1403</v>
      </c>
      <c r="I1515" s="1" t="str">
        <f>VLOOKUP(F1515,'RM Used'!B:D,3,0)</f>
        <v>RM-FOOD</v>
      </c>
      <c r="J1515" s="66">
        <v>1</v>
      </c>
      <c r="K1515" s="35">
        <f t="shared" si="462"/>
        <v>2.5</v>
      </c>
      <c r="L1515" s="35">
        <f t="shared" si="451"/>
        <v>2.5</v>
      </c>
      <c r="M1515" s="77" cm="1">
        <f t="array" ref="M1515">_xlfn.IFS(BOM!I1515="RM-PACKING","100%",B1515="Reynolds",VLOOKUP(H1515,'Yield &amp; Time'!A:V,22,0),BOM!B1515="Dnata",VLOOKUP(BOM!H1515,'Yield &amp; Time'!A:M,13,0),B1515="NK",VLOOKUP(H1515,'Yield &amp; Time'!A:X,24,0))</f>
        <v>0.89371428571428579</v>
      </c>
      <c r="N1515" s="35">
        <f t="shared" si="463"/>
        <v>2.797314578005115</v>
      </c>
      <c r="O1515" s="1" t="str">
        <f>VLOOKUP(H1515,'RM Used'!A:E,5,0)</f>
        <v>KG</v>
      </c>
      <c r="P1515" s="11">
        <f>VLOOKUP(H1515,'RM Used'!A:F,6,0)</f>
        <v>0.87</v>
      </c>
      <c r="Q1515" s="11">
        <f t="shared" si="460"/>
        <v>2.43366368286445</v>
      </c>
      <c r="R1515" s="11" cm="1">
        <f t="array" ref="R1515">IFERROR(_xlfn.IFS(B1515="Reynolds",VLOOKUP(H1515,'Yield &amp; Time'!A:U,21,0),B1515="Dnata",VLOOKUP(H1515,'Yield &amp; Time'!A:L,12,0),B1515="NK",VLOOKUP(H1515,'Yield &amp; Time'!A:W,23,0)),0)</f>
        <v>0.39</v>
      </c>
      <c r="S1515" s="11">
        <f t="shared" si="452"/>
        <v>0.33003749999999998</v>
      </c>
      <c r="T1515" s="11">
        <f t="shared" si="453"/>
        <v>1.6250000000000001E-2</v>
      </c>
      <c r="U1515" s="11">
        <f>IF(A1514=A1515,0,VLOOKUP(A1515,'Packing Time'!A:F,6,0))</f>
        <v>0.875</v>
      </c>
      <c r="V1515" s="11">
        <f t="shared" si="445"/>
        <v>0.29618749999999999</v>
      </c>
      <c r="W1515" s="11">
        <f t="shared" si="446"/>
        <v>1.4583333333333334E-2</v>
      </c>
      <c r="X1515" s="11">
        <f t="shared" si="454"/>
        <v>1.00196</v>
      </c>
      <c r="Y1515" s="11">
        <f t="shared" si="447"/>
        <v>1.00196</v>
      </c>
      <c r="Z1515" s="37">
        <v>1</v>
      </c>
      <c r="AA1515" s="36">
        <f t="shared" si="455"/>
        <v>2.797314578005115</v>
      </c>
      <c r="AB1515" s="11">
        <f t="shared" si="456"/>
        <v>2.43366368286445</v>
      </c>
      <c r="AC1515" s="11">
        <f t="shared" si="457"/>
        <v>4.933333333333334E-2</v>
      </c>
      <c r="AD1515" s="36">
        <f t="shared" si="448"/>
        <v>1.00196</v>
      </c>
      <c r="AE1515" s="36">
        <f>VLOOKUP(H1515,'Yield &amp; Time'!A:I,9,0)</f>
        <v>0</v>
      </c>
      <c r="AF1515" s="36">
        <f>IFERROR(VLOOKUP(AE1515,'Chemical Cost'!A:D,4,0),0)</f>
        <v>0</v>
      </c>
      <c r="AG1515" s="114">
        <f t="shared" si="458"/>
        <v>0</v>
      </c>
      <c r="AH1515" s="36">
        <f t="shared" si="461"/>
        <v>0</v>
      </c>
      <c r="AI1515" s="36">
        <f t="shared" si="464"/>
        <v>3.43562368286445</v>
      </c>
      <c r="AJ1515" s="36">
        <f>IFERROR(VLOOKUP(A1515,'All Products'!A:F,6,0),0)</f>
        <v>4.68</v>
      </c>
      <c r="AK1515" s="1"/>
      <c r="AL1515" s="1"/>
      <c r="AM1515" s="1"/>
      <c r="AN1515" s="54" t="e">
        <v>#N/A</v>
      </c>
      <c r="AP1515" s="4">
        <v>1.6</v>
      </c>
      <c r="AQ1515" s="111">
        <f t="shared" si="459"/>
        <v>4.933333333333334E-2</v>
      </c>
      <c r="AR1515">
        <f>_xlfn.XLOOKUP(F1515,'RM Cost'!A:A,'RM Cost'!S:S)</f>
        <v>0</v>
      </c>
      <c r="AS1515" t="str">
        <f>_xlfn.XLOOKUP(A1515,[3]Sheet1!$B:$B,[3]Sheet1!$B:$B)</f>
        <v>N033CS</v>
      </c>
      <c r="AT1515">
        <f>_xlfn.XLOOKUP(H1515,'Yield &amp; Time'!A:A,'Yield &amp; Time'!F:F)</f>
        <v>0</v>
      </c>
    </row>
    <row r="1516" spans="1:46" x14ac:dyDescent="0.25">
      <c r="A1516" s="1" t="s">
        <v>4407</v>
      </c>
      <c r="B1516" s="1" t="s">
        <v>4377</v>
      </c>
      <c r="C1516" s="1" t="s">
        <v>574</v>
      </c>
      <c r="D1516" s="1" t="s">
        <v>554</v>
      </c>
      <c r="E1516" s="2">
        <v>2.5</v>
      </c>
      <c r="F1516" s="1" t="str">
        <f>VLOOKUP(H1516,'RM Used'!A:B,2,0)</f>
        <v>P0008</v>
      </c>
      <c r="G1516" s="1" t="str">
        <f>IFERROR(VLOOKUP(F1516,'RM Cost'!A:B,2,0),"")</f>
        <v>PALE BLUE BAG 470X750MM</v>
      </c>
      <c r="H1516" s="1" t="s">
        <v>1323</v>
      </c>
      <c r="I1516" s="1" t="str">
        <f>VLOOKUP(F1516,'RM Used'!B:D,3,0)</f>
        <v>RM-PACKING</v>
      </c>
      <c r="J1516" s="66">
        <v>1</v>
      </c>
      <c r="K1516" s="35" t="str">
        <f t="shared" si="462"/>
        <v/>
      </c>
      <c r="L1516" s="35">
        <f t="shared" si="451"/>
        <v>0</v>
      </c>
      <c r="M1516" s="77" t="str" cm="1">
        <f t="array" ref="M1516">_xlfn.IFS(BOM!I1516="RM-PACKING","100%",B1516="Reynolds",VLOOKUP(H1516,'Yield &amp; Time'!A:V,22,0),BOM!B1516="Dnata",VLOOKUP(BOM!H1516,'Yield &amp; Time'!A:M,13,0),B1516="NK",VLOOKUP(H1516,'Yield &amp; Time'!A:X,24,0))</f>
        <v>100%</v>
      </c>
      <c r="N1516" s="35">
        <f t="shared" si="463"/>
        <v>1</v>
      </c>
      <c r="O1516" s="1" t="str">
        <f>VLOOKUP(H1516,'RM Used'!A:E,5,0)</f>
        <v>Count</v>
      </c>
      <c r="P1516" s="11">
        <f>VLOOKUP(H1516,'RM Used'!A:F,6,0)</f>
        <v>0.14000000000000001</v>
      </c>
      <c r="Q1516" s="11">
        <f t="shared" si="460"/>
        <v>0.14000000000000001</v>
      </c>
      <c r="R1516" s="11" cm="1">
        <f t="array" ref="R1516">IFERROR(_xlfn.IFS(B1516="Reynolds",VLOOKUP(H1516,'Yield &amp; Time'!A:U,21,0),B1516="Dnata",VLOOKUP(H1516,'Yield &amp; Time'!A:L,12,0),B1516="NK",VLOOKUP(H1516,'Yield &amp; Time'!A:W,23,0)),0)</f>
        <v>0</v>
      </c>
      <c r="S1516" s="11">
        <f t="shared" si="452"/>
        <v>0</v>
      </c>
      <c r="T1516" s="11">
        <f t="shared" si="453"/>
        <v>0</v>
      </c>
      <c r="U1516" s="11">
        <f>IF(A1515=A1516,0,VLOOKUP(A1516,'Packing Time'!A:F,6,0))</f>
        <v>0</v>
      </c>
      <c r="V1516" s="11">
        <f t="shared" si="445"/>
        <v>0</v>
      </c>
      <c r="W1516" s="11">
        <f t="shared" si="446"/>
        <v>0</v>
      </c>
      <c r="X1516" s="11">
        <f t="shared" si="454"/>
        <v>0</v>
      </c>
      <c r="Y1516" s="11">
        <f t="shared" si="447"/>
        <v>0</v>
      </c>
      <c r="Z1516" s="37">
        <v>1</v>
      </c>
      <c r="AA1516" s="36">
        <f t="shared" si="455"/>
        <v>1</v>
      </c>
      <c r="AB1516" s="11">
        <f t="shared" si="456"/>
        <v>0.14000000000000001</v>
      </c>
      <c r="AC1516" s="11">
        <f t="shared" si="457"/>
        <v>0</v>
      </c>
      <c r="AD1516" s="36">
        <f t="shared" si="448"/>
        <v>0</v>
      </c>
      <c r="AE1516" s="36"/>
      <c r="AF1516" s="36">
        <f>IFERROR(VLOOKUP(AE1516,'Chemical Cost'!A:D,4,0),0)</f>
        <v>0</v>
      </c>
      <c r="AG1516" s="114">
        <f t="shared" si="458"/>
        <v>0</v>
      </c>
      <c r="AH1516" s="36">
        <f t="shared" si="461"/>
        <v>0</v>
      </c>
      <c r="AI1516" s="36">
        <f t="shared" si="464"/>
        <v>0.14000000000000001</v>
      </c>
      <c r="AJ1516" s="36">
        <f>IFERROR(VLOOKUP(A1516,'All Products'!A:F,6,0),0)</f>
        <v>4.68</v>
      </c>
      <c r="AK1516" s="1"/>
      <c r="AL1516" s="1"/>
      <c r="AM1516" s="1"/>
      <c r="AN1516" s="54" t="e">
        <v>#N/A</v>
      </c>
      <c r="AP1516" s="4">
        <v>1.6</v>
      </c>
      <c r="AQ1516" s="111">
        <f t="shared" si="459"/>
        <v>0</v>
      </c>
      <c r="AR1516">
        <f>_xlfn.XLOOKUP(F1516,'RM Cost'!A:A,'RM Cost'!S:S)</f>
        <v>0</v>
      </c>
      <c r="AS1516" t="str">
        <f>_xlfn.XLOOKUP(A1516,[3]Sheet1!$B:$B,[3]Sheet1!$B:$B)</f>
        <v>N033CS</v>
      </c>
      <c r="AT1516" t="e">
        <f>_xlfn.XLOOKUP(H1516,'Yield &amp; Time'!A:A,'Yield &amp; Time'!F:F)</f>
        <v>#N/A</v>
      </c>
    </row>
    <row r="1517" spans="1:46" x14ac:dyDescent="0.25">
      <c r="A1517" s="1" t="s">
        <v>4408</v>
      </c>
      <c r="B1517" s="2" t="s">
        <v>4377</v>
      </c>
      <c r="C1517" s="1" t="s">
        <v>4455</v>
      </c>
      <c r="D1517" s="2" t="s">
        <v>554</v>
      </c>
      <c r="E1517" s="2">
        <v>1</v>
      </c>
      <c r="F1517" s="1" t="str">
        <f>VLOOKUP(H1517,'RM Used'!A:B,2,0)</f>
        <v>3001CS</v>
      </c>
      <c r="G1517" s="1" t="str">
        <f>IFERROR(VLOOKUP(F1517,'RM Cost'!A:B,2,0),"")</f>
        <v>RM - AUBERGINE 5KG</v>
      </c>
      <c r="H1517" s="1" t="s">
        <v>1478</v>
      </c>
      <c r="I1517" s="1" t="str">
        <f>VLOOKUP(F1517,'RM Used'!B:D,3,0)</f>
        <v>RM-FOOD</v>
      </c>
      <c r="J1517" s="66">
        <v>1</v>
      </c>
      <c r="K1517" s="35">
        <f t="shared" si="462"/>
        <v>1</v>
      </c>
      <c r="L1517" s="35">
        <f t="shared" si="451"/>
        <v>1</v>
      </c>
      <c r="M1517" s="77" cm="1">
        <f t="array" ref="M1517">_xlfn.IFS(BOM!I1517="RM-PACKING","100%",B1517="Reynolds",VLOOKUP(H1517,'Yield &amp; Time'!A:V,22,0),BOM!B1517="Dnata",VLOOKUP(BOM!H1517,'Yield &amp; Time'!A:M,13,0),B1517="NK",VLOOKUP(H1517,'Yield &amp; Time'!A:X,24,0))</f>
        <v>0.75</v>
      </c>
      <c r="N1517" s="35">
        <f t="shared" si="463"/>
        <v>1.3333333333333333</v>
      </c>
      <c r="O1517" s="1" t="str">
        <f>VLOOKUP(H1517,'RM Used'!A:E,5,0)</f>
        <v>KG</v>
      </c>
      <c r="P1517" s="11">
        <f>VLOOKUP(H1517,'RM Used'!A:F,6,0)</f>
        <v>1.34</v>
      </c>
      <c r="Q1517" s="11">
        <f t="shared" si="460"/>
        <v>1.7866666666666666</v>
      </c>
      <c r="R1517" s="11" cm="1">
        <f t="array" ref="R1517">IFERROR(_xlfn.IFS(B1517="Reynolds",VLOOKUP(H1517,'Yield &amp; Time'!A:U,21,0),B1517="Dnata",VLOOKUP(H1517,'Yield &amp; Time'!A:L,12,0),B1517="NK",VLOOKUP(H1517,'Yield &amp; Time'!A:W,23,0)),0)</f>
        <v>1.77</v>
      </c>
      <c r="S1517" s="11">
        <f t="shared" si="452"/>
        <v>0.59914499999999993</v>
      </c>
      <c r="T1517" s="11">
        <f t="shared" si="453"/>
        <v>2.9500000000000002E-2</v>
      </c>
      <c r="U1517" s="11">
        <f>IF(A1516=A1517,0,VLOOKUP(A1517,'Packing Time'!A:F,6,0))</f>
        <v>0.64500000000000002</v>
      </c>
      <c r="V1517" s="11">
        <f t="shared" si="445"/>
        <v>0.21833249999999998</v>
      </c>
      <c r="W1517" s="11">
        <f t="shared" si="446"/>
        <v>1.0750000000000001E-2</v>
      </c>
      <c r="X1517" s="11">
        <f t="shared" si="454"/>
        <v>1.1444684999999999</v>
      </c>
      <c r="Y1517" s="11">
        <f t="shared" si="447"/>
        <v>1.1444684999999999</v>
      </c>
      <c r="Z1517" s="37">
        <v>1</v>
      </c>
      <c r="AA1517" s="36">
        <f t="shared" si="455"/>
        <v>1.3333333333333333</v>
      </c>
      <c r="AB1517" s="11">
        <f t="shared" si="456"/>
        <v>1.7866666666666666</v>
      </c>
      <c r="AC1517" s="11">
        <f t="shared" si="457"/>
        <v>5.6349999999999997E-2</v>
      </c>
      <c r="AD1517" s="36">
        <f t="shared" si="448"/>
        <v>1.1444684999999999</v>
      </c>
      <c r="AE1517" s="36"/>
      <c r="AF1517" s="36">
        <f>IFERROR(VLOOKUP(AE1517,'Chemical Cost'!A:D,4,0),0)</f>
        <v>0</v>
      </c>
      <c r="AG1517" s="114">
        <f t="shared" si="458"/>
        <v>0</v>
      </c>
      <c r="AH1517" s="36">
        <f t="shared" si="461"/>
        <v>0</v>
      </c>
      <c r="AI1517" s="36">
        <f t="shared" si="464"/>
        <v>2.9311351666666665</v>
      </c>
      <c r="AJ1517" s="36">
        <f>IFERROR(VLOOKUP(A1517,'All Products'!A:F,6,0),0)</f>
        <v>6.5</v>
      </c>
      <c r="AK1517" s="1"/>
      <c r="AL1517" s="1"/>
      <c r="AM1517" s="1"/>
      <c r="AN1517" s="54" t="e">
        <v>#N/A</v>
      </c>
      <c r="AP1517" s="4">
        <v>1.4</v>
      </c>
      <c r="AQ1517" s="111">
        <f t="shared" si="459"/>
        <v>5.6349999999999997E-2</v>
      </c>
      <c r="AR1517">
        <f>_xlfn.XLOOKUP(F1517,'RM Cost'!A:A,'RM Cost'!S:S)</f>
        <v>0</v>
      </c>
      <c r="AS1517" t="str">
        <f>_xlfn.XLOOKUP(A1517,[3]Sheet1!$B:$B,[3]Sheet1!$B:$B)</f>
        <v>N034CS</v>
      </c>
      <c r="AT1517">
        <f>_xlfn.XLOOKUP(H1517,'Yield &amp; Time'!A:A,'Yield &amp; Time'!F:F)</f>
        <v>0</v>
      </c>
    </row>
    <row r="1518" spans="1:46" x14ac:dyDescent="0.25">
      <c r="A1518" s="1" t="s">
        <v>4408</v>
      </c>
      <c r="B1518" s="1" t="s">
        <v>4377</v>
      </c>
      <c r="C1518" s="1" t="s">
        <v>4455</v>
      </c>
      <c r="D1518" s="1" t="s">
        <v>554</v>
      </c>
      <c r="E1518" s="2">
        <v>1</v>
      </c>
      <c r="F1518" s="1" t="str">
        <f>VLOOKUP(H1518,'RM Used'!A:B,2,0)</f>
        <v>P0008</v>
      </c>
      <c r="G1518" s="1" t="str">
        <f>IFERROR(VLOOKUP(F1518,'RM Cost'!A:B,2,0),"")</f>
        <v>PALE BLUE BAG 470X750MM</v>
      </c>
      <c r="H1518" s="1" t="s">
        <v>1323</v>
      </c>
      <c r="I1518" s="1" t="str">
        <f>VLOOKUP(F1518,'RM Used'!B:D,3,0)</f>
        <v>RM-PACKING</v>
      </c>
      <c r="J1518" s="66">
        <v>1</v>
      </c>
      <c r="K1518" s="35" t="str">
        <f t="shared" si="462"/>
        <v/>
      </c>
      <c r="L1518" s="35">
        <f t="shared" si="451"/>
        <v>0</v>
      </c>
      <c r="M1518" s="77" t="str" cm="1">
        <f t="array" ref="M1518">_xlfn.IFS(BOM!I1518="RM-PACKING","100%",B1518="Reynolds",VLOOKUP(H1518,'Yield &amp; Time'!A:V,22,0),BOM!B1518="Dnata",VLOOKUP(BOM!H1518,'Yield &amp; Time'!A:M,13,0),B1518="NK",VLOOKUP(H1518,'Yield &amp; Time'!A:X,24,0))</f>
        <v>100%</v>
      </c>
      <c r="N1518" s="35">
        <f t="shared" si="463"/>
        <v>1</v>
      </c>
      <c r="O1518" s="1" t="str">
        <f>VLOOKUP(H1518,'RM Used'!A:E,5,0)</f>
        <v>Count</v>
      </c>
      <c r="P1518" s="11">
        <f>VLOOKUP(H1518,'RM Used'!A:F,6,0)</f>
        <v>0.14000000000000001</v>
      </c>
      <c r="Q1518" s="11">
        <f t="shared" si="460"/>
        <v>0.14000000000000001</v>
      </c>
      <c r="R1518" s="11" cm="1">
        <f t="array" ref="R1518">IFERROR(_xlfn.IFS(B1518="Reynolds",VLOOKUP(H1518,'Yield &amp; Time'!A:U,21,0),B1518="Dnata",VLOOKUP(H1518,'Yield &amp; Time'!A:L,12,0),B1518="NK",VLOOKUP(H1518,'Yield &amp; Time'!A:W,23,0)),0)</f>
        <v>0</v>
      </c>
      <c r="S1518" s="11">
        <f t="shared" si="452"/>
        <v>0</v>
      </c>
      <c r="T1518" s="11">
        <f t="shared" si="453"/>
        <v>0</v>
      </c>
      <c r="U1518" s="11">
        <f>IF(A1517=A1518,0,VLOOKUP(A1518,'Packing Time'!A:F,6,0))</f>
        <v>0</v>
      </c>
      <c r="V1518" s="11">
        <f t="shared" si="445"/>
        <v>0</v>
      </c>
      <c r="W1518" s="11">
        <f t="shared" si="446"/>
        <v>0</v>
      </c>
      <c r="X1518" s="11">
        <f t="shared" si="454"/>
        <v>0</v>
      </c>
      <c r="Y1518" s="11">
        <f t="shared" si="447"/>
        <v>0</v>
      </c>
      <c r="Z1518" s="37">
        <v>1</v>
      </c>
      <c r="AA1518" s="36">
        <f t="shared" si="455"/>
        <v>1</v>
      </c>
      <c r="AB1518" s="11">
        <f t="shared" si="456"/>
        <v>0.14000000000000001</v>
      </c>
      <c r="AC1518" s="11">
        <f t="shared" si="457"/>
        <v>0</v>
      </c>
      <c r="AD1518" s="36">
        <f t="shared" si="448"/>
        <v>0</v>
      </c>
      <c r="AE1518" s="36"/>
      <c r="AF1518" s="36">
        <f>IFERROR(VLOOKUP(AE1518,'Chemical Cost'!A:D,4,0),0)</f>
        <v>0</v>
      </c>
      <c r="AG1518" s="114">
        <f t="shared" si="458"/>
        <v>0</v>
      </c>
      <c r="AH1518" s="36">
        <f t="shared" si="461"/>
        <v>0</v>
      </c>
      <c r="AI1518" s="36">
        <f t="shared" si="464"/>
        <v>0.14000000000000001</v>
      </c>
      <c r="AJ1518" s="36">
        <f>IFERROR(VLOOKUP(A1518,'All Products'!A:F,6,0),0)</f>
        <v>6.5</v>
      </c>
      <c r="AK1518" s="1"/>
      <c r="AL1518" s="1"/>
      <c r="AM1518" s="1"/>
      <c r="AN1518" s="54" t="e">
        <v>#N/A</v>
      </c>
      <c r="AP1518" s="4">
        <v>1.4</v>
      </c>
      <c r="AQ1518" s="111">
        <f t="shared" si="459"/>
        <v>0</v>
      </c>
      <c r="AR1518">
        <f>_xlfn.XLOOKUP(F1518,'RM Cost'!A:A,'RM Cost'!S:S)</f>
        <v>0</v>
      </c>
      <c r="AS1518" t="str">
        <f>_xlfn.XLOOKUP(A1518,[3]Sheet1!$B:$B,[3]Sheet1!$B:$B)</f>
        <v>N034CS</v>
      </c>
      <c r="AT1518" t="e">
        <f>_xlfn.XLOOKUP(H1518,'Yield &amp; Time'!A:A,'Yield &amp; Time'!F:F)</f>
        <v>#N/A</v>
      </c>
    </row>
    <row r="1519" spans="1:46" x14ac:dyDescent="0.25">
      <c r="A1519" s="1" t="s">
        <v>4409</v>
      </c>
      <c r="B1519" s="2" t="s">
        <v>4377</v>
      </c>
      <c r="C1519" s="1" t="s">
        <v>4456</v>
      </c>
      <c r="D1519" s="2" t="s">
        <v>554</v>
      </c>
      <c r="E1519" s="2">
        <v>1</v>
      </c>
      <c r="F1519" s="1" t="str">
        <f>VLOOKUP(H1519,'RM Used'!A:B,2,0)</f>
        <v>1318CS</v>
      </c>
      <c r="G1519" s="1" t="str">
        <f>IFERROR(VLOOKUP(F1519,'RM Cost'!A:B,2,0),"")</f>
        <v>RM - PREP ONION RED WHOLE 2.5KG</v>
      </c>
      <c r="H1519" s="1" t="s">
        <v>1423</v>
      </c>
      <c r="I1519" s="1" t="str">
        <f>VLOOKUP(F1519,'RM Used'!B:D,3,0)</f>
        <v>RM-FOOD</v>
      </c>
      <c r="J1519" s="66">
        <v>1</v>
      </c>
      <c r="K1519" s="35">
        <f t="shared" si="462"/>
        <v>1</v>
      </c>
      <c r="L1519" s="35">
        <f t="shared" si="451"/>
        <v>1</v>
      </c>
      <c r="M1519" s="77" cm="1">
        <f t="array" ref="M1519">_xlfn.IFS(BOM!I1519="RM-PACKING","100%",B1519="Reynolds",VLOOKUP(H1519,'Yield &amp; Time'!A:V,22,0),BOM!B1519="Dnata",VLOOKUP(BOM!H1519,'Yield &amp; Time'!A:M,13,0),B1519="NK",VLOOKUP(H1519,'Yield &amp; Time'!A:X,24,0))</f>
        <v>0.79</v>
      </c>
      <c r="N1519" s="35">
        <f t="shared" si="463"/>
        <v>1.2658227848101264</v>
      </c>
      <c r="O1519" s="1" t="str">
        <f>VLOOKUP(H1519,'RM Used'!A:E,5,0)</f>
        <v>KG</v>
      </c>
      <c r="P1519" s="11">
        <f>VLOOKUP(H1519,'RM Used'!A:F,6,0)</f>
        <v>1.08</v>
      </c>
      <c r="Q1519" s="11">
        <f t="shared" si="460"/>
        <v>1.3670886075949367</v>
      </c>
      <c r="R1519" s="11" cm="1">
        <f t="array" ref="R1519">IFERROR(_xlfn.IFS(B1519="Reynolds",VLOOKUP(H1519,'Yield &amp; Time'!A:U,21,0),B1519="Dnata",VLOOKUP(H1519,'Yield &amp; Time'!A:L,12,0),B1519="NK",VLOOKUP(H1519,'Yield &amp; Time'!A:W,23,0)),0)</f>
        <v>5</v>
      </c>
      <c r="S1519" s="11">
        <f t="shared" si="452"/>
        <v>1.6924999999999999</v>
      </c>
      <c r="T1519" s="11">
        <f t="shared" si="453"/>
        <v>8.3333333333333329E-2</v>
      </c>
      <c r="U1519" s="11">
        <f>IF(A1518=A1519,0,VLOOKUP(A1519,'Packing Time'!A:F,6,0))</f>
        <v>0.64500000000000002</v>
      </c>
      <c r="V1519" s="11">
        <f t="shared" ref="V1519:V1582" si="465">U1519*AO$1</f>
        <v>0.21833249999999998</v>
      </c>
      <c r="W1519" s="11">
        <f t="shared" ref="W1519:W1582" si="466">(U1519*Z1519)/60</f>
        <v>1.0750000000000001E-2</v>
      </c>
      <c r="X1519" s="11">
        <f t="shared" si="454"/>
        <v>3.0573319999999997</v>
      </c>
      <c r="Y1519" s="11">
        <f t="shared" ref="Y1519:Y1582" si="467">X1519*Z1519</f>
        <v>3.0573319999999997</v>
      </c>
      <c r="Z1519" s="37">
        <v>1</v>
      </c>
      <c r="AA1519" s="36">
        <f t="shared" si="455"/>
        <v>1.2658227848101264</v>
      </c>
      <c r="AB1519" s="11">
        <f t="shared" si="456"/>
        <v>1.3670886075949367</v>
      </c>
      <c r="AC1519" s="11">
        <f t="shared" si="457"/>
        <v>0.15053333333333332</v>
      </c>
      <c r="AD1519" s="36">
        <f t="shared" ref="AD1519:AD1582" si="468">AC1519*60*AO$1</f>
        <v>3.0573319999999997</v>
      </c>
      <c r="AE1519" s="36">
        <f>VLOOKUP(H1519,'Yield &amp; Time'!A:I,9,0)</f>
        <v>0</v>
      </c>
      <c r="AF1519" s="36">
        <f>IFERROR(VLOOKUP(AE1519,'Chemical Cost'!A:D,4,0),0)</f>
        <v>0</v>
      </c>
      <c r="AG1519" s="114">
        <f t="shared" si="458"/>
        <v>0</v>
      </c>
      <c r="AH1519" s="36">
        <f t="shared" si="461"/>
        <v>0</v>
      </c>
      <c r="AI1519" s="36">
        <f t="shared" si="464"/>
        <v>4.4244206075949366</v>
      </c>
      <c r="AJ1519" s="36">
        <f>IFERROR(VLOOKUP(A1519,'All Products'!A:F,6,0),0)</f>
        <v>3.5</v>
      </c>
      <c r="AK1519" s="1"/>
      <c r="AL1519" s="1"/>
      <c r="AM1519" s="1"/>
      <c r="AN1519" s="54" t="e">
        <v>#N/A</v>
      </c>
      <c r="AP1519" s="4">
        <v>1.6</v>
      </c>
      <c r="AQ1519" s="111">
        <f t="shared" si="459"/>
        <v>0.15053333333333332</v>
      </c>
      <c r="AR1519">
        <f>_xlfn.XLOOKUP(F1519,'RM Cost'!A:A,'RM Cost'!S:S)</f>
        <v>0</v>
      </c>
      <c r="AS1519" t="e">
        <f>_xlfn.XLOOKUP(A1519,[3]Sheet1!$B:$B,[3]Sheet1!$B:$B)</f>
        <v>#N/A</v>
      </c>
    </row>
    <row r="1520" spans="1:46" x14ac:dyDescent="0.25">
      <c r="A1520" s="1" t="s">
        <v>4409</v>
      </c>
      <c r="B1520" s="1" t="s">
        <v>4377</v>
      </c>
      <c r="C1520" s="1" t="s">
        <v>4456</v>
      </c>
      <c r="D1520" s="1" t="s">
        <v>554</v>
      </c>
      <c r="E1520" s="2">
        <v>1</v>
      </c>
      <c r="F1520" s="1" t="str">
        <f>VLOOKUP(H1520,'RM Used'!A:B,2,0)</f>
        <v>P0008</v>
      </c>
      <c r="G1520" s="1" t="str">
        <f>IFERROR(VLOOKUP(F1520,'RM Cost'!A:B,2,0),"")</f>
        <v>PALE BLUE BAG 470X750MM</v>
      </c>
      <c r="H1520" s="1" t="s">
        <v>1323</v>
      </c>
      <c r="I1520" s="1" t="str">
        <f>VLOOKUP(F1520,'RM Used'!B:D,3,0)</f>
        <v>RM-PACKING</v>
      </c>
      <c r="J1520" s="66">
        <v>1</v>
      </c>
      <c r="K1520" s="35" t="str">
        <f t="shared" si="462"/>
        <v/>
      </c>
      <c r="L1520" s="35">
        <f t="shared" si="451"/>
        <v>0</v>
      </c>
      <c r="M1520" s="77" t="str" cm="1">
        <f t="array" ref="M1520">_xlfn.IFS(BOM!I1520="RM-PACKING","100%",B1520="Reynolds",VLOOKUP(H1520,'Yield &amp; Time'!A:V,22,0),BOM!B1520="Dnata",VLOOKUP(BOM!H1520,'Yield &amp; Time'!A:M,13,0),B1520="NK",VLOOKUP(H1520,'Yield &amp; Time'!A:X,24,0))</f>
        <v>100%</v>
      </c>
      <c r="N1520" s="35">
        <f t="shared" si="463"/>
        <v>1</v>
      </c>
      <c r="O1520" s="1" t="str">
        <f>VLOOKUP(H1520,'RM Used'!A:E,5,0)</f>
        <v>Count</v>
      </c>
      <c r="P1520" s="11">
        <f>VLOOKUP(H1520,'RM Used'!A:F,6,0)</f>
        <v>0.14000000000000001</v>
      </c>
      <c r="Q1520" s="11">
        <f t="shared" si="460"/>
        <v>0.14000000000000001</v>
      </c>
      <c r="R1520" s="11" cm="1">
        <f t="array" ref="R1520">IFERROR(_xlfn.IFS(B1520="Reynolds",VLOOKUP(H1520,'Yield &amp; Time'!A:U,21,0),B1520="Dnata",VLOOKUP(H1520,'Yield &amp; Time'!A:L,12,0),B1520="NK",VLOOKUP(H1520,'Yield &amp; Time'!A:W,23,0)),0)</f>
        <v>0</v>
      </c>
      <c r="S1520" s="11">
        <f t="shared" si="452"/>
        <v>0</v>
      </c>
      <c r="T1520" s="11">
        <f t="shared" si="453"/>
        <v>0</v>
      </c>
      <c r="U1520" s="11">
        <f>IF(A1519=A1520,0,VLOOKUP(A1520,'Packing Time'!A:F,6,0))</f>
        <v>0</v>
      </c>
      <c r="V1520" s="11">
        <f t="shared" si="465"/>
        <v>0</v>
      </c>
      <c r="W1520" s="11">
        <f t="shared" si="466"/>
        <v>0</v>
      </c>
      <c r="X1520" s="11">
        <f t="shared" si="454"/>
        <v>0</v>
      </c>
      <c r="Y1520" s="11">
        <f t="shared" si="467"/>
        <v>0</v>
      </c>
      <c r="Z1520" s="37">
        <v>1</v>
      </c>
      <c r="AA1520" s="36">
        <f t="shared" si="455"/>
        <v>1</v>
      </c>
      <c r="AB1520" s="11">
        <f t="shared" si="456"/>
        <v>0.14000000000000001</v>
      </c>
      <c r="AC1520" s="11">
        <f t="shared" si="457"/>
        <v>0</v>
      </c>
      <c r="AD1520" s="36">
        <f t="shared" si="468"/>
        <v>0</v>
      </c>
      <c r="AE1520" s="36"/>
      <c r="AF1520" s="36">
        <f>IFERROR(VLOOKUP(AE1520,'Chemical Cost'!A:D,4,0),0)</f>
        <v>0</v>
      </c>
      <c r="AG1520" s="114">
        <f t="shared" si="458"/>
        <v>0</v>
      </c>
      <c r="AH1520" s="36">
        <f t="shared" si="461"/>
        <v>0</v>
      </c>
      <c r="AI1520" s="36">
        <f t="shared" si="464"/>
        <v>0.14000000000000001</v>
      </c>
      <c r="AJ1520" s="36">
        <f>IFERROR(VLOOKUP(A1520,'All Products'!A:F,6,0),0)</f>
        <v>3.5</v>
      </c>
      <c r="AK1520" s="1"/>
      <c r="AL1520" s="1"/>
      <c r="AM1520" s="1"/>
      <c r="AN1520" s="54" t="e">
        <v>#N/A</v>
      </c>
      <c r="AP1520" s="4">
        <v>1.6</v>
      </c>
      <c r="AQ1520" s="111">
        <f t="shared" si="459"/>
        <v>0</v>
      </c>
      <c r="AR1520">
        <f>_xlfn.XLOOKUP(F1520,'RM Cost'!A:A,'RM Cost'!S:S)</f>
        <v>0</v>
      </c>
      <c r="AS1520" t="e">
        <f>_xlfn.XLOOKUP(A1520,[3]Sheet1!$B:$B,[3]Sheet1!$B:$B)</f>
        <v>#N/A</v>
      </c>
    </row>
    <row r="1521" spans="1:46" x14ac:dyDescent="0.25">
      <c r="A1521" s="1" t="s">
        <v>4410</v>
      </c>
      <c r="B1521" s="2" t="s">
        <v>4377</v>
      </c>
      <c r="C1521" s="1" t="s">
        <v>4523</v>
      </c>
      <c r="D1521" s="2" t="s">
        <v>554</v>
      </c>
      <c r="E1521" s="2">
        <v>0.4</v>
      </c>
      <c r="F1521" s="1" t="str">
        <f>VLOOKUP(H1521,'RM Used'!A:B,2,0)</f>
        <v>032ACS</v>
      </c>
      <c r="G1521" s="1" t="str">
        <f>IFERROR(VLOOKUP(F1521,'RM Cost'!A:B,2,0),"")</f>
        <v>RM - LRG PROCESSING CARROT X 1000KG</v>
      </c>
      <c r="H1521" s="1" t="s">
        <v>1431</v>
      </c>
      <c r="I1521" s="1" t="str">
        <f>VLOOKUP(F1521,'RM Used'!B:D,3,0)</f>
        <v>RM-FOOD</v>
      </c>
      <c r="J1521" s="66">
        <v>1</v>
      </c>
      <c r="K1521" s="35">
        <f t="shared" si="462"/>
        <v>0.4</v>
      </c>
      <c r="L1521" s="35">
        <f t="shared" si="451"/>
        <v>0.4</v>
      </c>
      <c r="M1521" s="77" cm="1">
        <f t="array" ref="M1521">_xlfn.IFS(BOM!I1521="RM-PACKING","100%",B1521="Reynolds",VLOOKUP(H1521,'Yield &amp; Time'!A:V,22,0),BOM!B1521="Dnata",VLOOKUP(BOM!H1521,'Yield &amp; Time'!A:M,13,0),B1521="NK",VLOOKUP(H1521,'Yield &amp; Time'!A:X,24,0))</f>
        <v>0.55000000000000004</v>
      </c>
      <c r="N1521" s="35">
        <f t="shared" si="463"/>
        <v>0.72727272727272729</v>
      </c>
      <c r="O1521" s="1" t="str">
        <f>VLOOKUP(H1521,'RM Used'!A:E,5,0)</f>
        <v>KG</v>
      </c>
      <c r="P1521" s="11">
        <f>VLOOKUP(H1521,'RM Used'!A:F,6,0)</f>
        <v>0.38</v>
      </c>
      <c r="Q1521" s="11">
        <f t="shared" si="460"/>
        <v>0.27636363636363637</v>
      </c>
      <c r="R1521" s="11" cm="1">
        <f t="array" ref="R1521">IFERROR(_xlfn.IFS(B1521="Reynolds",VLOOKUP(H1521,'Yield &amp; Time'!A:U,21,0),B1521="Dnata",VLOOKUP(H1521,'Yield &amp; Time'!A:L,12,0),B1521="NK",VLOOKUP(H1521,'Yield &amp; Time'!A:W,23,0)),0)</f>
        <v>2.0299999999999998</v>
      </c>
      <c r="S1521" s="11">
        <f t="shared" si="452"/>
        <v>0.27486199999999994</v>
      </c>
      <c r="T1521" s="11">
        <f t="shared" si="453"/>
        <v>1.3533333333333333E-2</v>
      </c>
      <c r="U1521" s="11">
        <f>IF(A1520=A1521,0,VLOOKUP(A1521,'Packing Time'!A:F,6,0))</f>
        <v>0.45</v>
      </c>
      <c r="V1521" s="11">
        <f t="shared" si="465"/>
        <v>0.15232499999999999</v>
      </c>
      <c r="W1521" s="11">
        <f t="shared" si="466"/>
        <v>7.5000000000000006E-3</v>
      </c>
      <c r="X1521" s="11">
        <f t="shared" si="454"/>
        <v>0.68349919999999997</v>
      </c>
      <c r="Y1521" s="11">
        <f t="shared" si="467"/>
        <v>0.68349919999999997</v>
      </c>
      <c r="Z1521" s="37">
        <v>1</v>
      </c>
      <c r="AA1521" s="36">
        <f t="shared" si="455"/>
        <v>0.72727272727272729</v>
      </c>
      <c r="AB1521" s="11">
        <f t="shared" si="456"/>
        <v>0.27636363636363637</v>
      </c>
      <c r="AC1521" s="11">
        <f t="shared" si="457"/>
        <v>3.3653333333333334E-2</v>
      </c>
      <c r="AD1521" s="36">
        <f t="shared" si="468"/>
        <v>0.68349919999999997</v>
      </c>
      <c r="AE1521" s="36"/>
      <c r="AF1521" s="36">
        <f>IFERROR(VLOOKUP(AE1521,'Chemical Cost'!A:D,4,0),0)</f>
        <v>0</v>
      </c>
      <c r="AG1521" s="114">
        <f t="shared" si="458"/>
        <v>0</v>
      </c>
      <c r="AH1521" s="36">
        <f t="shared" si="461"/>
        <v>0</v>
      </c>
      <c r="AI1521" s="36">
        <f t="shared" si="464"/>
        <v>0.95986283636363634</v>
      </c>
      <c r="AJ1521" s="36">
        <f>IFERROR(VLOOKUP(A1521,'All Products'!A:F,6,0),0)</f>
        <v>2.0299999999999998</v>
      </c>
      <c r="AK1521" s="1"/>
      <c r="AL1521" s="1"/>
      <c r="AM1521" s="1"/>
      <c r="AN1521" s="54" t="e">
        <v>#N/A</v>
      </c>
      <c r="AP1521" s="4">
        <v>1.6</v>
      </c>
      <c r="AQ1521" s="111">
        <f t="shared" si="459"/>
        <v>3.3653333333333334E-2</v>
      </c>
      <c r="AR1521">
        <f>_xlfn.XLOOKUP(F1521,'RM Cost'!A:A,'RM Cost'!S:S)</f>
        <v>0</v>
      </c>
      <c r="AS1521" t="str">
        <f>_xlfn.XLOOKUP(A1521,[3]Sheet1!$B:$B,[3]Sheet1!$B:$B)</f>
        <v>N036CS</v>
      </c>
      <c r="AT1521">
        <f>_xlfn.XLOOKUP(H1521,'Yield &amp; Time'!A:A,'Yield &amp; Time'!F:F)</f>
        <v>0</v>
      </c>
    </row>
    <row r="1522" spans="1:46" x14ac:dyDescent="0.25">
      <c r="A1522" s="1" t="s">
        <v>4410</v>
      </c>
      <c r="B1522" s="1" t="s">
        <v>4377</v>
      </c>
      <c r="C1522" s="1" t="s">
        <v>4523</v>
      </c>
      <c r="D1522" s="1" t="s">
        <v>554</v>
      </c>
      <c r="E1522" s="2">
        <v>0.4</v>
      </c>
      <c r="F1522" s="1" t="str">
        <f>VLOOKUP(H1522,'RM Used'!A:B,2,0)</f>
        <v>P0021</v>
      </c>
      <c r="G1522" s="1" t="str">
        <f>IFERROR(VLOOKUP(F1522,'RM Cost'!A:B,2,0),"")</f>
        <v>1000ML RECT TAMPER EVID POTS &amp; LIDS</v>
      </c>
      <c r="H1522" s="1" t="s">
        <v>4505</v>
      </c>
      <c r="I1522" s="1" t="str">
        <f>VLOOKUP(F1522,'RM Used'!B:D,3,0)</f>
        <v>RM-PACKING</v>
      </c>
      <c r="J1522" s="66">
        <v>1</v>
      </c>
      <c r="K1522" s="35" t="str">
        <f t="shared" si="462"/>
        <v/>
      </c>
      <c r="L1522" s="35">
        <f t="shared" si="451"/>
        <v>0</v>
      </c>
      <c r="M1522" s="77" t="str" cm="1">
        <f t="array" ref="M1522">_xlfn.IFS(BOM!I1522="RM-PACKING","100%",B1522="Reynolds",VLOOKUP(H1522,'Yield &amp; Time'!A:V,22,0),BOM!B1522="Dnata",VLOOKUP(BOM!H1522,'Yield &amp; Time'!A:M,13,0),B1522="NK",VLOOKUP(H1522,'Yield &amp; Time'!A:X,24,0))</f>
        <v>100%</v>
      </c>
      <c r="N1522" s="35">
        <f t="shared" si="463"/>
        <v>1</v>
      </c>
      <c r="O1522" s="1" t="str">
        <f>VLOOKUP(H1522,'RM Used'!A:E,5,0)</f>
        <v>Count</v>
      </c>
      <c r="P1522" s="11">
        <f>VLOOKUP(H1522,'RM Used'!A:F,6,0)</f>
        <v>0.4</v>
      </c>
      <c r="Q1522" s="11">
        <f t="shared" si="460"/>
        <v>0.4</v>
      </c>
      <c r="R1522" s="11" cm="1">
        <f t="array" ref="R1522">IFERROR(_xlfn.IFS(B1522="Reynolds",VLOOKUP(H1522,'Yield &amp; Time'!A:U,21,0),B1522="Dnata",VLOOKUP(H1522,'Yield &amp; Time'!A:L,12,0),B1522="NK",VLOOKUP(H1522,'Yield &amp; Time'!A:W,23,0)),0)</f>
        <v>0</v>
      </c>
      <c r="S1522" s="11">
        <f t="shared" si="452"/>
        <v>0</v>
      </c>
      <c r="T1522" s="11">
        <f t="shared" si="453"/>
        <v>0</v>
      </c>
      <c r="U1522" s="11">
        <f>IF(A1521=A1522,0,VLOOKUP(A1522,'Packing Time'!A:F,6,0))</f>
        <v>0</v>
      </c>
      <c r="V1522" s="11">
        <f t="shared" si="465"/>
        <v>0</v>
      </c>
      <c r="W1522" s="11">
        <f t="shared" si="466"/>
        <v>0</v>
      </c>
      <c r="X1522" s="11">
        <f t="shared" si="454"/>
        <v>0</v>
      </c>
      <c r="Y1522" s="11">
        <f t="shared" si="467"/>
        <v>0</v>
      </c>
      <c r="Z1522" s="37">
        <v>1</v>
      </c>
      <c r="AA1522" s="36">
        <f t="shared" si="455"/>
        <v>1</v>
      </c>
      <c r="AB1522" s="11">
        <f t="shared" si="456"/>
        <v>0.4</v>
      </c>
      <c r="AC1522" s="11">
        <f t="shared" si="457"/>
        <v>0</v>
      </c>
      <c r="AD1522" s="36">
        <f t="shared" si="468"/>
        <v>0</v>
      </c>
      <c r="AE1522" s="36"/>
      <c r="AF1522" s="36">
        <f>IFERROR(VLOOKUP(AE1522,'Chemical Cost'!A:D,4,0),0)</f>
        <v>0</v>
      </c>
      <c r="AG1522" s="114">
        <f t="shared" si="458"/>
        <v>0</v>
      </c>
      <c r="AH1522" s="36">
        <f t="shared" si="461"/>
        <v>0</v>
      </c>
      <c r="AI1522" s="36">
        <f t="shared" si="464"/>
        <v>0.4</v>
      </c>
      <c r="AJ1522" s="36">
        <f>IFERROR(VLOOKUP(A1522,'All Products'!A:F,6,0),0)</f>
        <v>2.0299999999999998</v>
      </c>
      <c r="AK1522" s="1"/>
      <c r="AL1522" s="1"/>
      <c r="AM1522" s="1"/>
      <c r="AN1522" s="54" t="e">
        <v>#N/A</v>
      </c>
      <c r="AP1522" s="4">
        <v>1.6</v>
      </c>
      <c r="AQ1522" s="111">
        <f t="shared" si="459"/>
        <v>0</v>
      </c>
      <c r="AR1522">
        <f>_xlfn.XLOOKUP(F1522,'RM Cost'!A:A,'RM Cost'!S:S)</f>
        <v>0</v>
      </c>
      <c r="AS1522" t="str">
        <f>_xlfn.XLOOKUP(A1522,[3]Sheet1!$B:$B,[3]Sheet1!$B:$B)</f>
        <v>N036CS</v>
      </c>
      <c r="AT1522" t="e">
        <f>_xlfn.XLOOKUP(H1522,'Yield &amp; Time'!A:A,'Yield &amp; Time'!F:F)</f>
        <v>#N/A</v>
      </c>
    </row>
    <row r="1523" spans="1:46" x14ac:dyDescent="0.25">
      <c r="A1523" s="1" t="s">
        <v>4411</v>
      </c>
      <c r="B1523" s="2" t="s">
        <v>4377</v>
      </c>
      <c r="C1523" s="1" t="s">
        <v>4531</v>
      </c>
      <c r="D1523" s="2" t="s">
        <v>554</v>
      </c>
      <c r="E1523" s="2">
        <v>2.5</v>
      </c>
      <c r="F1523" s="1" t="str">
        <f>VLOOKUP(H1523,'RM Used'!A:B,2,0)</f>
        <v>5267CS</v>
      </c>
      <c r="G1523" s="1" t="str">
        <f>IFERROR(VLOOKUP(F1523,'RM Cost'!A:B,2,0),"")</f>
        <v>RM - CAULIFLOWER X 9KG</v>
      </c>
      <c r="H1523" s="1" t="s">
        <v>1497</v>
      </c>
      <c r="I1523" s="1" t="str">
        <f>VLOOKUP(F1523,'RM Used'!B:D,3,0)</f>
        <v>RM-FOOD</v>
      </c>
      <c r="J1523" s="66">
        <v>1</v>
      </c>
      <c r="K1523" s="35">
        <f t="shared" si="462"/>
        <v>2.5</v>
      </c>
      <c r="L1523" s="35">
        <f t="shared" si="451"/>
        <v>2.5</v>
      </c>
      <c r="M1523" s="77" cm="1">
        <f t="array" ref="M1523">_xlfn.IFS(BOM!I1523="RM-PACKING","100%",B1523="Reynolds",VLOOKUP(H1523,'Yield &amp; Time'!A:V,22,0),BOM!B1523="Dnata",VLOOKUP(BOM!H1523,'Yield &amp; Time'!A:M,13,0),B1523="NK",VLOOKUP(H1523,'Yield &amp; Time'!A:X,24,0))</f>
        <v>0.5</v>
      </c>
      <c r="N1523" s="35">
        <f t="shared" si="463"/>
        <v>5</v>
      </c>
      <c r="O1523" s="1" t="str">
        <f>VLOOKUP(H1523,'RM Used'!A:E,5,0)</f>
        <v>KG</v>
      </c>
      <c r="P1523" s="11">
        <f>VLOOKUP(H1523,'RM Used'!A:F,6,0)</f>
        <v>0.6</v>
      </c>
      <c r="Q1523" s="11">
        <f t="shared" si="460"/>
        <v>3</v>
      </c>
      <c r="R1523" s="11" cm="1">
        <f t="array" ref="R1523">IFERROR(_xlfn.IFS(B1523="Reynolds",VLOOKUP(H1523,'Yield &amp; Time'!A:U,21,0),B1523="Dnata",VLOOKUP(H1523,'Yield &amp; Time'!A:L,12,0),B1523="NK",VLOOKUP(H1523,'Yield &amp; Time'!A:W,23,0)),0)</f>
        <v>2.93</v>
      </c>
      <c r="S1523" s="11">
        <f t="shared" si="452"/>
        <v>2.4795124999999998</v>
      </c>
      <c r="T1523" s="11">
        <f t="shared" si="453"/>
        <v>0.12208333333333334</v>
      </c>
      <c r="U1523" s="11">
        <f>IF(A1522=A1523,0,VLOOKUP(A1523,'Packing Time'!A:F,6,0))</f>
        <v>0.64500000000000002</v>
      </c>
      <c r="V1523" s="11">
        <f t="shared" si="465"/>
        <v>0.21833249999999998</v>
      </c>
      <c r="W1523" s="11">
        <f t="shared" si="466"/>
        <v>1.0750000000000001E-2</v>
      </c>
      <c r="X1523" s="11">
        <f t="shared" si="454"/>
        <v>4.3165520000000006</v>
      </c>
      <c r="Y1523" s="11">
        <f t="shared" si="467"/>
        <v>4.3165520000000006</v>
      </c>
      <c r="Z1523" s="37">
        <v>1</v>
      </c>
      <c r="AA1523" s="36">
        <f t="shared" si="455"/>
        <v>5</v>
      </c>
      <c r="AB1523" s="11">
        <f t="shared" si="456"/>
        <v>3</v>
      </c>
      <c r="AC1523" s="11">
        <f t="shared" si="457"/>
        <v>0.21253333333333335</v>
      </c>
      <c r="AD1523" s="36">
        <f t="shared" si="468"/>
        <v>4.3165519999999997</v>
      </c>
      <c r="AE1523" s="36"/>
      <c r="AF1523" s="36">
        <f>IFERROR(VLOOKUP(AE1523,'Chemical Cost'!A:D,4,0),0)</f>
        <v>0</v>
      </c>
      <c r="AG1523" s="114">
        <f t="shared" si="458"/>
        <v>0</v>
      </c>
      <c r="AH1523" s="36">
        <f t="shared" si="461"/>
        <v>0</v>
      </c>
      <c r="AI1523" s="36">
        <f t="shared" si="464"/>
        <v>7.3165520000000006</v>
      </c>
      <c r="AJ1523" s="36">
        <f>IFERROR(VLOOKUP(A1523,'All Products'!A:F,6,0),0)</f>
        <v>11.66</v>
      </c>
      <c r="AK1523" s="1"/>
      <c r="AL1523" s="1"/>
      <c r="AM1523" s="1"/>
      <c r="AN1523" s="54" t="e">
        <v>#N/A</v>
      </c>
      <c r="AP1523" s="4">
        <v>1.6</v>
      </c>
      <c r="AQ1523" s="111">
        <f t="shared" si="459"/>
        <v>0.21253333333333335</v>
      </c>
      <c r="AR1523">
        <f>_xlfn.XLOOKUP(F1523,'RM Cost'!A:A,'RM Cost'!S:S)</f>
        <v>0</v>
      </c>
      <c r="AS1523" t="e">
        <f>_xlfn.XLOOKUP(A1523,[3]Sheet1!$B:$B,[3]Sheet1!$B:$B)</f>
        <v>#N/A</v>
      </c>
    </row>
    <row r="1524" spans="1:46" x14ac:dyDescent="0.25">
      <c r="A1524" s="1" t="s">
        <v>4411</v>
      </c>
      <c r="B1524" s="1" t="s">
        <v>4377</v>
      </c>
      <c r="C1524" s="1" t="s">
        <v>4531</v>
      </c>
      <c r="D1524" s="1" t="s">
        <v>554</v>
      </c>
      <c r="E1524" s="2">
        <v>2.5</v>
      </c>
      <c r="F1524" s="1" t="str">
        <f>VLOOKUP(H1524,'RM Used'!A:B,2,0)</f>
        <v>P0008</v>
      </c>
      <c r="G1524" s="1" t="str">
        <f>IFERROR(VLOOKUP(F1524,'RM Cost'!A:B,2,0),"")</f>
        <v>PALE BLUE BAG 470X750MM</v>
      </c>
      <c r="H1524" s="1" t="s">
        <v>1323</v>
      </c>
      <c r="I1524" s="1" t="str">
        <f>VLOOKUP(F1524,'RM Used'!B:D,3,0)</f>
        <v>RM-PACKING</v>
      </c>
      <c r="J1524" s="66">
        <v>1</v>
      </c>
      <c r="K1524" s="35" t="str">
        <f t="shared" si="462"/>
        <v/>
      </c>
      <c r="L1524" s="35">
        <f t="shared" si="451"/>
        <v>0</v>
      </c>
      <c r="M1524" s="77" t="str" cm="1">
        <f t="array" ref="M1524">_xlfn.IFS(BOM!I1524="RM-PACKING","100%",B1524="Reynolds",VLOOKUP(H1524,'Yield &amp; Time'!A:V,22,0),BOM!B1524="Dnata",VLOOKUP(BOM!H1524,'Yield &amp; Time'!A:M,13,0),B1524="NK",VLOOKUP(H1524,'Yield &amp; Time'!A:X,24,0))</f>
        <v>100%</v>
      </c>
      <c r="N1524" s="35">
        <f t="shared" si="463"/>
        <v>1</v>
      </c>
      <c r="O1524" s="1" t="str">
        <f>VLOOKUP(H1524,'RM Used'!A:E,5,0)</f>
        <v>Count</v>
      </c>
      <c r="P1524" s="11">
        <f>VLOOKUP(H1524,'RM Used'!A:F,6,0)</f>
        <v>0.14000000000000001</v>
      </c>
      <c r="Q1524" s="11">
        <f t="shared" si="460"/>
        <v>0.14000000000000001</v>
      </c>
      <c r="R1524" s="11" cm="1">
        <f t="array" ref="R1524">IFERROR(_xlfn.IFS(B1524="Reynolds",VLOOKUP(H1524,'Yield &amp; Time'!A:U,21,0),B1524="Dnata",VLOOKUP(H1524,'Yield &amp; Time'!A:L,12,0),B1524="NK",VLOOKUP(H1524,'Yield &amp; Time'!A:W,23,0)),0)</f>
        <v>0</v>
      </c>
      <c r="S1524" s="11">
        <f t="shared" si="452"/>
        <v>0</v>
      </c>
      <c r="T1524" s="11">
        <f t="shared" si="453"/>
        <v>0</v>
      </c>
      <c r="U1524" s="11">
        <f>IF(A1523=A1524,0,VLOOKUP(A1524,'Packing Time'!A:F,6,0))</f>
        <v>0</v>
      </c>
      <c r="V1524" s="11">
        <f t="shared" si="465"/>
        <v>0</v>
      </c>
      <c r="W1524" s="11">
        <f t="shared" si="466"/>
        <v>0</v>
      </c>
      <c r="X1524" s="11">
        <f t="shared" si="454"/>
        <v>0</v>
      </c>
      <c r="Y1524" s="11">
        <f t="shared" si="467"/>
        <v>0</v>
      </c>
      <c r="Z1524" s="37">
        <v>1</v>
      </c>
      <c r="AA1524" s="36">
        <f t="shared" si="455"/>
        <v>1</v>
      </c>
      <c r="AB1524" s="11">
        <f t="shared" si="456"/>
        <v>0.14000000000000001</v>
      </c>
      <c r="AC1524" s="11">
        <f t="shared" si="457"/>
        <v>0</v>
      </c>
      <c r="AD1524" s="36">
        <f t="shared" si="468"/>
        <v>0</v>
      </c>
      <c r="AE1524" s="36"/>
      <c r="AF1524" s="36">
        <f>IFERROR(VLOOKUP(AE1524,'Chemical Cost'!A:D,4,0),0)</f>
        <v>0</v>
      </c>
      <c r="AG1524" s="114">
        <f t="shared" si="458"/>
        <v>0</v>
      </c>
      <c r="AH1524" s="36">
        <f t="shared" si="461"/>
        <v>0</v>
      </c>
      <c r="AI1524" s="36">
        <f t="shared" si="464"/>
        <v>0.14000000000000001</v>
      </c>
      <c r="AJ1524" s="36">
        <f>IFERROR(VLOOKUP(A1524,'All Products'!A:F,6,0),0)</f>
        <v>11.66</v>
      </c>
      <c r="AK1524" s="1"/>
      <c r="AL1524" s="1"/>
      <c r="AM1524" s="1"/>
      <c r="AN1524" s="54" t="e">
        <v>#N/A</v>
      </c>
      <c r="AP1524" s="4">
        <v>1.6</v>
      </c>
      <c r="AQ1524" s="111">
        <f t="shared" si="459"/>
        <v>0</v>
      </c>
      <c r="AR1524">
        <f>_xlfn.XLOOKUP(F1524,'RM Cost'!A:A,'RM Cost'!S:S)</f>
        <v>0</v>
      </c>
      <c r="AS1524" t="e">
        <f>_xlfn.XLOOKUP(A1524,[3]Sheet1!$B:$B,[3]Sheet1!$B:$B)</f>
        <v>#N/A</v>
      </c>
    </row>
    <row r="1525" spans="1:46" x14ac:dyDescent="0.25">
      <c r="A1525" s="1" t="s">
        <v>4412</v>
      </c>
      <c r="B1525" s="2" t="s">
        <v>4377</v>
      </c>
      <c r="C1525" s="1" t="s">
        <v>4532</v>
      </c>
      <c r="D1525" s="2" t="s">
        <v>554</v>
      </c>
      <c r="E1525" s="2">
        <v>2.5</v>
      </c>
      <c r="F1525" s="1" t="str">
        <f>VLOOKUP(H1525,'RM Used'!A:B,2,0)</f>
        <v>032ACS</v>
      </c>
      <c r="G1525" s="1" t="str">
        <f>IFERROR(VLOOKUP(F1525,'RM Cost'!A:B,2,0),"")</f>
        <v>RM - LRG PROCESSING CARROT X 1000KG</v>
      </c>
      <c r="H1525" s="1" t="s">
        <v>1486</v>
      </c>
      <c r="I1525" s="1" t="str">
        <f>VLOOKUP(F1525,'RM Used'!B:D,3,0)</f>
        <v>RM-FOOD</v>
      </c>
      <c r="J1525" s="66">
        <v>1</v>
      </c>
      <c r="K1525" s="35">
        <f t="shared" si="462"/>
        <v>2.5</v>
      </c>
      <c r="L1525" s="35">
        <f t="shared" si="451"/>
        <v>2.5</v>
      </c>
      <c r="M1525" s="77" cm="1">
        <f t="array" ref="M1525">_xlfn.IFS(BOM!I1525="RM-PACKING","100%",B1525="Reynolds",VLOOKUP(H1525,'Yield &amp; Time'!A:V,22,0),BOM!B1525="Dnata",VLOOKUP(BOM!H1525,'Yield &amp; Time'!A:M,13,0),B1525="NK",VLOOKUP(H1525,'Yield &amp; Time'!A:X,24,0))</f>
        <v>0.52</v>
      </c>
      <c r="N1525" s="35">
        <f t="shared" si="463"/>
        <v>4.8076923076923075</v>
      </c>
      <c r="O1525" s="1" t="str">
        <f>VLOOKUP(H1525,'RM Used'!A:E,5,0)</f>
        <v>KG</v>
      </c>
      <c r="P1525" s="11">
        <f>VLOOKUP(H1525,'RM Used'!A:F,6,0)</f>
        <v>0.38</v>
      </c>
      <c r="Q1525" s="11">
        <f t="shared" si="460"/>
        <v>1.8269230769230769</v>
      </c>
      <c r="R1525" s="11" cm="1">
        <f t="array" ref="R1525">IFERROR(_xlfn.IFS(B1525="Reynolds",VLOOKUP(H1525,'Yield &amp; Time'!A:U,21,0),B1525="Dnata",VLOOKUP(H1525,'Yield &amp; Time'!A:L,12,0),B1525="NK",VLOOKUP(H1525,'Yield &amp; Time'!A:W,23,0)),0)</f>
        <v>5.35</v>
      </c>
      <c r="S1525" s="11">
        <f t="shared" si="452"/>
        <v>4.5274374999999996</v>
      </c>
      <c r="T1525" s="11">
        <f t="shared" si="453"/>
        <v>0.22291666666666668</v>
      </c>
      <c r="U1525" s="11">
        <f>IF(A1524=A1525,0,VLOOKUP(A1525,'Packing Time'!A:F,6,0))</f>
        <v>0.64500000000000002</v>
      </c>
      <c r="V1525" s="11">
        <f t="shared" si="465"/>
        <v>0.21833249999999998</v>
      </c>
      <c r="W1525" s="11">
        <f t="shared" si="466"/>
        <v>1.0750000000000001E-2</v>
      </c>
      <c r="X1525" s="11">
        <f t="shared" si="454"/>
        <v>7.5932319999999995</v>
      </c>
      <c r="Y1525" s="11">
        <f t="shared" si="467"/>
        <v>7.5932319999999995</v>
      </c>
      <c r="Z1525" s="37">
        <v>1</v>
      </c>
      <c r="AA1525" s="36">
        <f t="shared" si="455"/>
        <v>4.8076923076923075</v>
      </c>
      <c r="AB1525" s="11">
        <f t="shared" si="456"/>
        <v>1.8269230769230769</v>
      </c>
      <c r="AC1525" s="11">
        <f t="shared" si="457"/>
        <v>0.37386666666666668</v>
      </c>
      <c r="AD1525" s="36">
        <f t="shared" si="468"/>
        <v>7.5932320000000004</v>
      </c>
      <c r="AE1525" s="36"/>
      <c r="AF1525" s="36">
        <f>IFERROR(VLOOKUP(AE1525,'Chemical Cost'!A:D,4,0),0)</f>
        <v>0</v>
      </c>
      <c r="AG1525" s="114">
        <f t="shared" si="458"/>
        <v>0</v>
      </c>
      <c r="AH1525" s="36">
        <f t="shared" ref="AH1525:AH1571" si="469">AF1525*AA1525/3</f>
        <v>0</v>
      </c>
      <c r="AI1525" s="36">
        <f t="shared" si="464"/>
        <v>9.4201550769230771</v>
      </c>
      <c r="AJ1525" s="36">
        <f>IFERROR(VLOOKUP(A1525,'All Products'!A:F,6,0),0)</f>
        <v>8.2100000000000009</v>
      </c>
      <c r="AK1525" s="1"/>
      <c r="AL1525" s="1"/>
      <c r="AM1525" s="1"/>
      <c r="AN1525" s="54" t="e">
        <v>#N/A</v>
      </c>
      <c r="AP1525" s="4">
        <v>1.6</v>
      </c>
      <c r="AQ1525" s="111">
        <f t="shared" si="459"/>
        <v>0.37386666666666668</v>
      </c>
      <c r="AR1525">
        <f>_xlfn.XLOOKUP(F1525,'RM Cost'!A:A,'RM Cost'!S:S)</f>
        <v>0</v>
      </c>
      <c r="AS1525" t="e">
        <f>_xlfn.XLOOKUP(A1525,[3]Sheet1!$B:$B,[3]Sheet1!$B:$B)</f>
        <v>#N/A</v>
      </c>
    </row>
    <row r="1526" spans="1:46" x14ac:dyDescent="0.25">
      <c r="A1526" s="1" t="s">
        <v>4412</v>
      </c>
      <c r="B1526" s="1" t="s">
        <v>4377</v>
      </c>
      <c r="C1526" s="1" t="s">
        <v>4532</v>
      </c>
      <c r="D1526" s="1" t="s">
        <v>554</v>
      </c>
      <c r="E1526" s="2">
        <v>2.5</v>
      </c>
      <c r="F1526" s="1" t="str">
        <f>VLOOKUP(H1526,'RM Used'!A:B,2,0)</f>
        <v>P0008</v>
      </c>
      <c r="G1526" s="1" t="str">
        <f>IFERROR(VLOOKUP(F1526,'RM Cost'!A:B,2,0),"")</f>
        <v>PALE BLUE BAG 470X750MM</v>
      </c>
      <c r="H1526" s="1" t="s">
        <v>1323</v>
      </c>
      <c r="I1526" s="1" t="str">
        <f>VLOOKUP(F1526,'RM Used'!B:D,3,0)</f>
        <v>RM-PACKING</v>
      </c>
      <c r="J1526" s="66">
        <v>1</v>
      </c>
      <c r="K1526" s="35" t="str">
        <f t="shared" si="462"/>
        <v/>
      </c>
      <c r="L1526" s="35">
        <f t="shared" si="451"/>
        <v>0</v>
      </c>
      <c r="M1526" s="77" t="str" cm="1">
        <f t="array" ref="M1526">_xlfn.IFS(BOM!I1526="RM-PACKING","100%",B1526="Reynolds",VLOOKUP(H1526,'Yield &amp; Time'!A:V,22,0),BOM!B1526="Dnata",VLOOKUP(BOM!H1526,'Yield &amp; Time'!A:M,13,0),B1526="NK",VLOOKUP(H1526,'Yield &amp; Time'!A:X,24,0))</f>
        <v>100%</v>
      </c>
      <c r="N1526" s="35">
        <f t="shared" si="463"/>
        <v>1</v>
      </c>
      <c r="O1526" s="1" t="str">
        <f>VLOOKUP(H1526,'RM Used'!A:E,5,0)</f>
        <v>Count</v>
      </c>
      <c r="P1526" s="11">
        <f>VLOOKUP(H1526,'RM Used'!A:F,6,0)</f>
        <v>0.14000000000000001</v>
      </c>
      <c r="Q1526" s="11">
        <f t="shared" si="460"/>
        <v>0.14000000000000001</v>
      </c>
      <c r="R1526" s="11" cm="1">
        <f t="array" ref="R1526">IFERROR(_xlfn.IFS(B1526="Reynolds",VLOOKUP(H1526,'Yield &amp; Time'!A:U,21,0),B1526="Dnata",VLOOKUP(H1526,'Yield &amp; Time'!A:L,12,0),B1526="NK",VLOOKUP(H1526,'Yield &amp; Time'!A:W,23,0)),0)</f>
        <v>0</v>
      </c>
      <c r="S1526" s="11">
        <f t="shared" si="452"/>
        <v>0</v>
      </c>
      <c r="T1526" s="11">
        <f t="shared" si="453"/>
        <v>0</v>
      </c>
      <c r="U1526" s="11">
        <f>IF(A1525=A1526,0,VLOOKUP(A1526,'Packing Time'!A:F,6,0))</f>
        <v>0</v>
      </c>
      <c r="V1526" s="11">
        <f t="shared" si="465"/>
        <v>0</v>
      </c>
      <c r="W1526" s="11">
        <f t="shared" si="466"/>
        <v>0</v>
      </c>
      <c r="X1526" s="11">
        <f t="shared" si="454"/>
        <v>0</v>
      </c>
      <c r="Y1526" s="11">
        <f t="shared" si="467"/>
        <v>0</v>
      </c>
      <c r="Z1526" s="37">
        <v>1</v>
      </c>
      <c r="AA1526" s="36">
        <f t="shared" si="455"/>
        <v>1</v>
      </c>
      <c r="AB1526" s="11">
        <f t="shared" si="456"/>
        <v>0.14000000000000001</v>
      </c>
      <c r="AC1526" s="11">
        <f t="shared" si="457"/>
        <v>0</v>
      </c>
      <c r="AD1526" s="36">
        <f t="shared" si="468"/>
        <v>0</v>
      </c>
      <c r="AE1526" s="36"/>
      <c r="AF1526" s="36">
        <f>IFERROR(VLOOKUP(AE1526,'Chemical Cost'!A:D,4,0),0)</f>
        <v>0</v>
      </c>
      <c r="AG1526" s="114">
        <f t="shared" si="458"/>
        <v>0</v>
      </c>
      <c r="AH1526" s="36">
        <f t="shared" si="469"/>
        <v>0</v>
      </c>
      <c r="AI1526" s="36">
        <f t="shared" si="464"/>
        <v>0.14000000000000001</v>
      </c>
      <c r="AJ1526" s="36">
        <f>IFERROR(VLOOKUP(A1526,'All Products'!A:F,6,0),0)</f>
        <v>8.2100000000000009</v>
      </c>
      <c r="AK1526" s="1"/>
      <c r="AL1526" s="1"/>
      <c r="AM1526" s="1"/>
      <c r="AN1526" s="54" t="e">
        <v>#N/A</v>
      </c>
      <c r="AP1526" s="4">
        <v>1.6</v>
      </c>
      <c r="AQ1526" s="111">
        <f t="shared" si="459"/>
        <v>0</v>
      </c>
      <c r="AR1526">
        <f>_xlfn.XLOOKUP(F1526,'RM Cost'!A:A,'RM Cost'!S:S)</f>
        <v>0</v>
      </c>
      <c r="AS1526" t="e">
        <f>_xlfn.XLOOKUP(A1526,[3]Sheet1!$B:$B,[3]Sheet1!$B:$B)</f>
        <v>#N/A</v>
      </c>
    </row>
    <row r="1527" spans="1:46" x14ac:dyDescent="0.25">
      <c r="A1527" s="1" t="s">
        <v>4413</v>
      </c>
      <c r="B1527" s="2" t="s">
        <v>4377</v>
      </c>
      <c r="C1527" s="1" t="s">
        <v>4460</v>
      </c>
      <c r="D1527" s="2" t="s">
        <v>554</v>
      </c>
      <c r="E1527" s="2">
        <v>1</v>
      </c>
      <c r="F1527" s="1" t="str">
        <f>VLOOKUP(H1527,'RM Used'!A:B,2,0)</f>
        <v>283ACS</v>
      </c>
      <c r="G1527" s="1" t="str">
        <f>IFERROR(VLOOKUP(F1527,'RM Cost'!A:B,2,0),"")</f>
        <v>RM - BUTTERNUT SQUASH BIN X 625KG</v>
      </c>
      <c r="H1527" s="1" t="s">
        <v>4485</v>
      </c>
      <c r="I1527" s="1" t="str">
        <f>VLOOKUP(F1527,'RM Used'!B:D,3,0)</f>
        <v>RM-FOOD</v>
      </c>
      <c r="J1527" s="66">
        <v>1</v>
      </c>
      <c r="K1527" s="35">
        <f t="shared" si="462"/>
        <v>1</v>
      </c>
      <c r="L1527" s="35">
        <f t="shared" si="451"/>
        <v>1</v>
      </c>
      <c r="M1527" s="77" cm="1">
        <f t="array" ref="M1527">_xlfn.IFS(BOM!I1527="RM-PACKING","100%",B1527="Reynolds",VLOOKUP(H1527,'Yield &amp; Time'!A:V,22,0),BOM!B1527="Dnata",VLOOKUP(BOM!H1527,'Yield &amp; Time'!A:M,13,0),B1527="NK",VLOOKUP(H1527,'Yield &amp; Time'!A:X,24,0))</f>
        <v>0.4</v>
      </c>
      <c r="N1527" s="35">
        <f t="shared" si="463"/>
        <v>2.5</v>
      </c>
      <c r="O1527" s="1" t="str">
        <f>VLOOKUP(H1527,'RM Used'!A:E,5,0)</f>
        <v>KG</v>
      </c>
      <c r="P1527" s="11">
        <f>VLOOKUP(H1527,'RM Used'!A:F,6,0)</f>
        <v>0.65</v>
      </c>
      <c r="Q1527" s="11">
        <f t="shared" si="460"/>
        <v>1.625</v>
      </c>
      <c r="R1527" s="11" cm="1">
        <f t="array" ref="R1527">IFERROR(_xlfn.IFS(B1527="Reynolds",VLOOKUP(H1527,'Yield &amp; Time'!A:U,21,0),B1527="Dnata",VLOOKUP(H1527,'Yield &amp; Time'!A:L,12,0),B1527="NK",VLOOKUP(H1527,'Yield &amp; Time'!A:W,23,0)),0)</f>
        <v>1.53</v>
      </c>
      <c r="S1527" s="11">
        <f t="shared" si="452"/>
        <v>0.51790499999999995</v>
      </c>
      <c r="T1527" s="11">
        <f t="shared" si="453"/>
        <v>2.5500000000000002E-2</v>
      </c>
      <c r="U1527" s="11">
        <f>IF(A1526=A1527,0,VLOOKUP(A1527,'Packing Time'!A:F,6,0))</f>
        <v>0.64500000000000002</v>
      </c>
      <c r="V1527" s="11">
        <f t="shared" si="465"/>
        <v>0.21833249999999998</v>
      </c>
      <c r="W1527" s="11">
        <f t="shared" si="466"/>
        <v>1.0750000000000001E-2</v>
      </c>
      <c r="X1527" s="11">
        <f t="shared" si="454"/>
        <v>1.1779799999999998</v>
      </c>
      <c r="Y1527" s="11">
        <f t="shared" si="467"/>
        <v>1.1779799999999998</v>
      </c>
      <c r="Z1527" s="37">
        <v>1</v>
      </c>
      <c r="AA1527" s="36">
        <f t="shared" si="455"/>
        <v>2.5</v>
      </c>
      <c r="AB1527" s="11">
        <f t="shared" si="456"/>
        <v>1.625</v>
      </c>
      <c r="AC1527" s="11">
        <f t="shared" si="457"/>
        <v>5.7999999999999996E-2</v>
      </c>
      <c r="AD1527" s="36">
        <f t="shared" si="468"/>
        <v>1.1779799999999998</v>
      </c>
      <c r="AE1527" s="36"/>
      <c r="AF1527" s="36">
        <f>IFERROR(VLOOKUP(AE1527,'Chemical Cost'!A:D,4,0),0)</f>
        <v>0</v>
      </c>
      <c r="AG1527" s="114">
        <f t="shared" si="458"/>
        <v>0</v>
      </c>
      <c r="AH1527" s="36">
        <f t="shared" si="469"/>
        <v>0</v>
      </c>
      <c r="AI1527" s="36">
        <f t="shared" si="464"/>
        <v>2.8029799999999998</v>
      </c>
      <c r="AJ1527" s="36">
        <f>IFERROR(VLOOKUP(A1527,'All Products'!A:F,6,0),0)</f>
        <v>3.35</v>
      </c>
      <c r="AK1527" s="1"/>
      <c r="AL1527" s="1"/>
      <c r="AM1527" s="1"/>
      <c r="AN1527" s="54" t="e">
        <v>#N/A</v>
      </c>
      <c r="AP1527" s="4">
        <v>1.6</v>
      </c>
      <c r="AQ1527" s="111">
        <f t="shared" si="459"/>
        <v>5.7999999999999996E-2</v>
      </c>
      <c r="AR1527">
        <f>_xlfn.XLOOKUP(F1527,'RM Cost'!A:A,'RM Cost'!S:S)</f>
        <v>0</v>
      </c>
      <c r="AS1527" t="e">
        <f>_xlfn.XLOOKUP(A1527,[3]Sheet1!$B:$B,[3]Sheet1!$B:$B)</f>
        <v>#N/A</v>
      </c>
    </row>
    <row r="1528" spans="1:46" x14ac:dyDescent="0.25">
      <c r="A1528" s="1" t="s">
        <v>4413</v>
      </c>
      <c r="B1528" s="1" t="s">
        <v>4377</v>
      </c>
      <c r="C1528" s="1" t="s">
        <v>4460</v>
      </c>
      <c r="D1528" s="1" t="s">
        <v>554</v>
      </c>
      <c r="E1528" s="2">
        <v>1</v>
      </c>
      <c r="F1528" s="1" t="str">
        <f>VLOOKUP(H1528,'RM Used'!A:B,2,0)</f>
        <v>P0008</v>
      </c>
      <c r="G1528" s="1" t="str">
        <f>IFERROR(VLOOKUP(F1528,'RM Cost'!A:B,2,0),"")</f>
        <v>PALE BLUE BAG 470X750MM</v>
      </c>
      <c r="H1528" s="1" t="s">
        <v>1323</v>
      </c>
      <c r="I1528" s="1" t="str">
        <f>VLOOKUP(F1528,'RM Used'!B:D,3,0)</f>
        <v>RM-PACKING</v>
      </c>
      <c r="J1528" s="66">
        <v>1</v>
      </c>
      <c r="K1528" s="35" t="str">
        <f t="shared" si="462"/>
        <v/>
      </c>
      <c r="L1528" s="35">
        <f t="shared" si="451"/>
        <v>0</v>
      </c>
      <c r="M1528" s="77" t="str" cm="1">
        <f t="array" ref="M1528">_xlfn.IFS(BOM!I1528="RM-PACKING","100%",B1528="Reynolds",VLOOKUP(H1528,'Yield &amp; Time'!A:V,22,0),BOM!B1528="Dnata",VLOOKUP(BOM!H1528,'Yield &amp; Time'!A:M,13,0),B1528="NK",VLOOKUP(H1528,'Yield &amp; Time'!A:X,24,0))</f>
        <v>100%</v>
      </c>
      <c r="N1528" s="35">
        <f t="shared" ref="N1528:N1559" si="470">IFERROR(IF(I1528="RM-FOOD",(E1528*J1528)/M1528,1),0)</f>
        <v>1</v>
      </c>
      <c r="O1528" s="1" t="str">
        <f>VLOOKUP(H1528,'RM Used'!A:E,5,0)</f>
        <v>Count</v>
      </c>
      <c r="P1528" s="11">
        <f>VLOOKUP(H1528,'RM Used'!A:F,6,0)</f>
        <v>0.14000000000000001</v>
      </c>
      <c r="Q1528" s="11">
        <f t="shared" si="460"/>
        <v>0.14000000000000001</v>
      </c>
      <c r="R1528" s="11" cm="1">
        <f t="array" ref="R1528">IFERROR(_xlfn.IFS(B1528="Reynolds",VLOOKUP(H1528,'Yield &amp; Time'!A:U,21,0),B1528="Dnata",VLOOKUP(H1528,'Yield &amp; Time'!A:L,12,0),B1528="NK",VLOOKUP(H1528,'Yield &amp; Time'!A:W,23,0)),0)</f>
        <v>0</v>
      </c>
      <c r="S1528" s="11">
        <f t="shared" si="452"/>
        <v>0</v>
      </c>
      <c r="T1528" s="11">
        <f t="shared" si="453"/>
        <v>0</v>
      </c>
      <c r="U1528" s="11">
        <f>IF(A1527=A1528,0,VLOOKUP(A1528,'Packing Time'!A:F,6,0))</f>
        <v>0</v>
      </c>
      <c r="V1528" s="11">
        <f t="shared" si="465"/>
        <v>0</v>
      </c>
      <c r="W1528" s="11">
        <f t="shared" si="466"/>
        <v>0</v>
      </c>
      <c r="X1528" s="11">
        <f t="shared" si="454"/>
        <v>0</v>
      </c>
      <c r="Y1528" s="11">
        <f t="shared" si="467"/>
        <v>0</v>
      </c>
      <c r="Z1528" s="37">
        <v>1</v>
      </c>
      <c r="AA1528" s="36">
        <f t="shared" si="455"/>
        <v>1</v>
      </c>
      <c r="AB1528" s="11">
        <f t="shared" si="456"/>
        <v>0.14000000000000001</v>
      </c>
      <c r="AC1528" s="11">
        <f t="shared" si="457"/>
        <v>0</v>
      </c>
      <c r="AD1528" s="36">
        <f t="shared" si="468"/>
        <v>0</v>
      </c>
      <c r="AE1528" s="36"/>
      <c r="AF1528" s="36">
        <f>IFERROR(VLOOKUP(AE1528,'Chemical Cost'!A:D,4,0),0)</f>
        <v>0</v>
      </c>
      <c r="AG1528" s="114">
        <f t="shared" si="458"/>
        <v>0</v>
      </c>
      <c r="AH1528" s="36">
        <f t="shared" si="469"/>
        <v>0</v>
      </c>
      <c r="AI1528" s="36">
        <f t="shared" ref="AI1528:AI1559" si="471">IFERROR((Q1528*Z1528)+(Z1528*X1528)+AH1528,0)</f>
        <v>0.14000000000000001</v>
      </c>
      <c r="AJ1528" s="36">
        <f>IFERROR(VLOOKUP(A1528,'All Products'!A:F,6,0),0)</f>
        <v>3.35</v>
      </c>
      <c r="AK1528" s="1"/>
      <c r="AL1528" s="1"/>
      <c r="AM1528" s="1"/>
      <c r="AN1528" s="54" t="e">
        <v>#N/A</v>
      </c>
      <c r="AP1528" s="4">
        <v>1.6</v>
      </c>
      <c r="AQ1528" s="111">
        <f t="shared" si="459"/>
        <v>0</v>
      </c>
      <c r="AR1528">
        <f>_xlfn.XLOOKUP(F1528,'RM Cost'!A:A,'RM Cost'!S:S)</f>
        <v>0</v>
      </c>
      <c r="AS1528" t="e">
        <f>_xlfn.XLOOKUP(A1528,[3]Sheet1!$B:$B,[3]Sheet1!$B:$B)</f>
        <v>#N/A</v>
      </c>
    </row>
    <row r="1529" spans="1:46" x14ac:dyDescent="0.25">
      <c r="A1529" s="1" t="s">
        <v>4414</v>
      </c>
      <c r="B1529" s="2" t="s">
        <v>4377</v>
      </c>
      <c r="C1529" s="1" t="s">
        <v>4461</v>
      </c>
      <c r="D1529" s="2" t="s">
        <v>554</v>
      </c>
      <c r="E1529" s="2">
        <v>2.5</v>
      </c>
      <c r="F1529" s="1" t="str">
        <f>VLOOKUP(H1529,'RM Used'!A:B,2,0)</f>
        <v>120ACS</v>
      </c>
      <c r="G1529" s="1" t="str">
        <f>IFERROR(VLOOKUP(F1529,'RM Cost'!A:B,2,0),"")</f>
        <v>RM - BEANS EXTRA FINE PREMIUM 1.5KG</v>
      </c>
      <c r="H1529" s="1" t="s">
        <v>1473</v>
      </c>
      <c r="I1529" s="1" t="str">
        <f>VLOOKUP(F1529,'RM Used'!B:D,3,0)</f>
        <v>RM-FOOD</v>
      </c>
      <c r="J1529" s="66">
        <v>1</v>
      </c>
      <c r="K1529" s="35">
        <f t="shared" si="462"/>
        <v>2.5</v>
      </c>
      <c r="L1529" s="35">
        <f t="shared" si="451"/>
        <v>2.5</v>
      </c>
      <c r="M1529" s="77" cm="1">
        <f t="array" ref="M1529">_xlfn.IFS(BOM!I1529="RM-PACKING","100%",B1529="Reynolds",VLOOKUP(H1529,'Yield &amp; Time'!A:V,22,0),BOM!B1529="Dnata",VLOOKUP(BOM!H1529,'Yield &amp; Time'!A:M,13,0),B1529="NK",VLOOKUP(H1529,'Yield &amp; Time'!A:X,24,0))</f>
        <v>0.7</v>
      </c>
      <c r="N1529" s="35">
        <f t="shared" si="470"/>
        <v>3.5714285714285716</v>
      </c>
      <c r="O1529" s="1" t="str">
        <f>VLOOKUP(H1529,'RM Used'!A:E,5,0)</f>
        <v>KG</v>
      </c>
      <c r="P1529" s="11" t="e">
        <f>VLOOKUP(H1529,'RM Used'!A:F,6,0)</f>
        <v>#N/A</v>
      </c>
      <c r="Q1529" s="11" t="e">
        <f t="shared" si="460"/>
        <v>#N/A</v>
      </c>
      <c r="R1529" s="11" cm="1">
        <f t="array" ref="R1529">IFERROR(_xlfn.IFS(B1529="Reynolds",VLOOKUP(H1529,'Yield &amp; Time'!A:U,21,0),B1529="Dnata",VLOOKUP(H1529,'Yield &amp; Time'!A:L,12,0),B1529="NK",VLOOKUP(H1529,'Yield &amp; Time'!A:W,23,0)),0)</f>
        <v>18.43</v>
      </c>
      <c r="S1529" s="11">
        <f t="shared" si="452"/>
        <v>15.596387499999999</v>
      </c>
      <c r="T1529" s="11">
        <f t="shared" si="453"/>
        <v>0.76791666666666669</v>
      </c>
      <c r="U1529" s="11">
        <f>IF(A1528=A1529,0,VLOOKUP(A1529,'Packing Time'!A:F,6,0))</f>
        <v>0.875</v>
      </c>
      <c r="V1529" s="11">
        <f t="shared" si="465"/>
        <v>0.29618749999999999</v>
      </c>
      <c r="W1529" s="11">
        <f t="shared" si="466"/>
        <v>1.4583333333333334E-2</v>
      </c>
      <c r="X1529" s="11">
        <f t="shared" si="454"/>
        <v>25.42812</v>
      </c>
      <c r="Y1529" s="11">
        <f t="shared" si="467"/>
        <v>25.42812</v>
      </c>
      <c r="Z1529" s="37">
        <v>1</v>
      </c>
      <c r="AA1529" s="36">
        <f t="shared" si="455"/>
        <v>3.5714285714285716</v>
      </c>
      <c r="AB1529" s="11" t="e">
        <f t="shared" si="456"/>
        <v>#N/A</v>
      </c>
      <c r="AC1529" s="11">
        <f t="shared" si="457"/>
        <v>1.2520000000000002</v>
      </c>
      <c r="AD1529" s="36">
        <f t="shared" si="468"/>
        <v>25.428120000000003</v>
      </c>
      <c r="AE1529" s="36"/>
      <c r="AF1529" s="36">
        <f>IFERROR(VLOOKUP(AE1529,'Chemical Cost'!A:D,4,0),0)</f>
        <v>0</v>
      </c>
      <c r="AG1529" s="114">
        <f t="shared" si="458"/>
        <v>0</v>
      </c>
      <c r="AH1529" s="36">
        <f t="shared" si="469"/>
        <v>0</v>
      </c>
      <c r="AI1529" s="36">
        <f t="shared" si="471"/>
        <v>0</v>
      </c>
      <c r="AJ1529" s="36">
        <f>IFERROR(VLOOKUP(A1529,'All Products'!A:F,6,0),0)</f>
        <v>48.86</v>
      </c>
      <c r="AK1529" s="1"/>
      <c r="AL1529" s="1"/>
      <c r="AM1529" s="1"/>
      <c r="AN1529" s="54" t="e">
        <v>#N/A</v>
      </c>
      <c r="AP1529" s="4">
        <v>1.6</v>
      </c>
      <c r="AQ1529" s="111">
        <f t="shared" si="459"/>
        <v>1.2520000000000002</v>
      </c>
      <c r="AR1529">
        <f>_xlfn.XLOOKUP(F1529,'RM Cost'!A:A,'RM Cost'!S:S)</f>
        <v>0</v>
      </c>
      <c r="AS1529" t="e">
        <f>_xlfn.XLOOKUP(A1529,[3]Sheet1!$B:$B,[3]Sheet1!$B:$B)</f>
        <v>#N/A</v>
      </c>
    </row>
    <row r="1530" spans="1:46" x14ac:dyDescent="0.25">
      <c r="A1530" s="1" t="s">
        <v>4414</v>
      </c>
      <c r="B1530" s="1" t="s">
        <v>4377</v>
      </c>
      <c r="C1530" s="1" t="s">
        <v>4461</v>
      </c>
      <c r="D1530" s="1" t="s">
        <v>554</v>
      </c>
      <c r="E1530" s="2">
        <v>2.5</v>
      </c>
      <c r="F1530" s="1" t="str">
        <f>VLOOKUP(H1530,'RM Used'!A:B,2,0)</f>
        <v>P0008</v>
      </c>
      <c r="G1530" s="1" t="str">
        <f>IFERROR(VLOOKUP(F1530,'RM Cost'!A:B,2,0),"")</f>
        <v>PALE BLUE BAG 470X750MM</v>
      </c>
      <c r="H1530" s="1" t="s">
        <v>1323</v>
      </c>
      <c r="I1530" s="1" t="str">
        <f>VLOOKUP(F1530,'RM Used'!B:D,3,0)</f>
        <v>RM-PACKING</v>
      </c>
      <c r="J1530" s="66">
        <v>1</v>
      </c>
      <c r="K1530" s="35" t="str">
        <f t="shared" si="462"/>
        <v/>
      </c>
      <c r="L1530" s="35">
        <f t="shared" si="451"/>
        <v>0</v>
      </c>
      <c r="M1530" s="77" t="str" cm="1">
        <f t="array" ref="M1530">_xlfn.IFS(BOM!I1530="RM-PACKING","100%",B1530="Reynolds",VLOOKUP(H1530,'Yield &amp; Time'!A:V,22,0),BOM!B1530="Dnata",VLOOKUP(BOM!H1530,'Yield &amp; Time'!A:M,13,0),B1530="NK",VLOOKUP(H1530,'Yield &amp; Time'!A:X,24,0))</f>
        <v>100%</v>
      </c>
      <c r="N1530" s="35">
        <f t="shared" si="470"/>
        <v>1</v>
      </c>
      <c r="O1530" s="1" t="str">
        <f>VLOOKUP(H1530,'RM Used'!A:E,5,0)</f>
        <v>Count</v>
      </c>
      <c r="P1530" s="11">
        <f>VLOOKUP(H1530,'RM Used'!A:F,6,0)</f>
        <v>0.14000000000000001</v>
      </c>
      <c r="Q1530" s="11">
        <f t="shared" si="460"/>
        <v>0.14000000000000001</v>
      </c>
      <c r="R1530" s="11" cm="1">
        <f t="array" ref="R1530">IFERROR(_xlfn.IFS(B1530="Reynolds",VLOOKUP(H1530,'Yield &amp; Time'!A:U,21,0),B1530="Dnata",VLOOKUP(H1530,'Yield &amp; Time'!A:L,12,0),B1530="NK",VLOOKUP(H1530,'Yield &amp; Time'!A:W,23,0)),0)</f>
        <v>0</v>
      </c>
      <c r="S1530" s="11">
        <f t="shared" si="452"/>
        <v>0</v>
      </c>
      <c r="T1530" s="11">
        <f t="shared" si="453"/>
        <v>0</v>
      </c>
      <c r="U1530" s="11">
        <f>IF(A1529=A1530,0,VLOOKUP(A1530,'Packing Time'!A:F,6,0))</f>
        <v>0</v>
      </c>
      <c r="V1530" s="11">
        <f t="shared" si="465"/>
        <v>0</v>
      </c>
      <c r="W1530" s="11">
        <f t="shared" si="466"/>
        <v>0</v>
      </c>
      <c r="X1530" s="11">
        <f t="shared" si="454"/>
        <v>0</v>
      </c>
      <c r="Y1530" s="11">
        <f t="shared" si="467"/>
        <v>0</v>
      </c>
      <c r="Z1530" s="37">
        <v>1</v>
      </c>
      <c r="AA1530" s="36">
        <f t="shared" si="455"/>
        <v>1</v>
      </c>
      <c r="AB1530" s="11">
        <f t="shared" si="456"/>
        <v>0.14000000000000001</v>
      </c>
      <c r="AC1530" s="11">
        <f t="shared" si="457"/>
        <v>0</v>
      </c>
      <c r="AD1530" s="36">
        <f t="shared" si="468"/>
        <v>0</v>
      </c>
      <c r="AE1530" s="36"/>
      <c r="AF1530" s="36">
        <f>IFERROR(VLOOKUP(AE1530,'Chemical Cost'!A:D,4,0),0)</f>
        <v>0</v>
      </c>
      <c r="AG1530" s="114">
        <f t="shared" si="458"/>
        <v>0</v>
      </c>
      <c r="AH1530" s="36">
        <f t="shared" si="469"/>
        <v>0</v>
      </c>
      <c r="AI1530" s="36">
        <f t="shared" si="471"/>
        <v>0.14000000000000001</v>
      </c>
      <c r="AJ1530" s="36">
        <f>IFERROR(VLOOKUP(A1530,'All Products'!A:F,6,0),0)</f>
        <v>48.86</v>
      </c>
      <c r="AK1530" s="1"/>
      <c r="AL1530" s="1"/>
      <c r="AM1530" s="1"/>
      <c r="AN1530" s="54" t="e">
        <v>#N/A</v>
      </c>
      <c r="AP1530" s="4">
        <v>1.6</v>
      </c>
      <c r="AQ1530" s="111">
        <f t="shared" si="459"/>
        <v>0</v>
      </c>
      <c r="AR1530">
        <f>_xlfn.XLOOKUP(F1530,'RM Cost'!A:A,'RM Cost'!S:S)</f>
        <v>0</v>
      </c>
      <c r="AS1530" t="e">
        <f>_xlfn.XLOOKUP(A1530,[3]Sheet1!$B:$B,[3]Sheet1!$B:$B)</f>
        <v>#N/A</v>
      </c>
    </row>
    <row r="1531" spans="1:46" x14ac:dyDescent="0.25">
      <c r="A1531" s="1" t="s">
        <v>4415</v>
      </c>
      <c r="B1531" s="2" t="s">
        <v>4377</v>
      </c>
      <c r="C1531" s="1" t="s">
        <v>96</v>
      </c>
      <c r="D1531" s="2" t="s">
        <v>554</v>
      </c>
      <c r="E1531" s="2">
        <v>2</v>
      </c>
      <c r="F1531" s="1" t="str">
        <f>VLOOKUP(H1531,'RM Used'!A:B,2,0)</f>
        <v>2789CS</v>
      </c>
      <c r="G1531" s="1" t="str">
        <f>IFERROR(VLOOKUP(F1531,'RM Cost'!A:B,2,0),"")</f>
        <v>RM - PINEAPPLE X 6</v>
      </c>
      <c r="H1531" s="1" t="s">
        <v>4794</v>
      </c>
      <c r="I1531" s="1" t="str">
        <f>VLOOKUP(F1531,'RM Used'!B:D,3,0)</f>
        <v>RM-FOOD</v>
      </c>
      <c r="J1531" s="66">
        <v>1</v>
      </c>
      <c r="K1531" s="35">
        <f t="shared" si="462"/>
        <v>2</v>
      </c>
      <c r="L1531" s="35">
        <f t="shared" si="451"/>
        <v>2</v>
      </c>
      <c r="M1531" s="77" cm="1">
        <f t="array" ref="M1531">_xlfn.IFS(BOM!I1531="RM-PACKING","100%",B1531="Reynolds",VLOOKUP(H1531,'Yield &amp; Time'!A:V,22,0),BOM!B1531="Dnata",VLOOKUP(BOM!H1531,'Yield &amp; Time'!A:M,13,0),B1531="NK",VLOOKUP(H1531,'Yield &amp; Time'!A:X,24,0))</f>
        <v>0.3</v>
      </c>
      <c r="N1531" s="35">
        <f t="shared" si="470"/>
        <v>6.666666666666667</v>
      </c>
      <c r="O1531" s="1" t="str">
        <f>VLOOKUP(H1531,'RM Used'!A:E,5,0)</f>
        <v>KG</v>
      </c>
      <c r="P1531" s="11">
        <f>VLOOKUP(H1531,'RM Used'!A:F,6,0)</f>
        <v>0.7</v>
      </c>
      <c r="Q1531" s="11">
        <f t="shared" si="460"/>
        <v>4.666666666666667</v>
      </c>
      <c r="R1531" s="11" cm="1">
        <f t="array" ref="R1531">IFERROR(_xlfn.IFS(B1531="Reynolds",VLOOKUP(H1531,'Yield &amp; Time'!A:U,21,0),B1531="Dnata",VLOOKUP(H1531,'Yield &amp; Time'!A:L,12,0),B1531="NK",VLOOKUP(H1531,'Yield &amp; Time'!A:W,23,0)),0)</f>
        <v>3.88</v>
      </c>
      <c r="S1531" s="11">
        <f t="shared" si="452"/>
        <v>2.6267599999999995</v>
      </c>
      <c r="T1531" s="11">
        <f t="shared" si="453"/>
        <v>0.12933333333333333</v>
      </c>
      <c r="U1531" s="11">
        <f>IF(A1530=A1531,0,VLOOKUP(A1531,'Packing Time'!A:F,6,0))</f>
        <v>0.55000000000000004</v>
      </c>
      <c r="V1531" s="11">
        <f t="shared" si="465"/>
        <v>0.18617500000000001</v>
      </c>
      <c r="W1531" s="11">
        <f t="shared" si="466"/>
        <v>9.1666666666666667E-3</v>
      </c>
      <c r="X1531" s="11">
        <f t="shared" si="454"/>
        <v>4.5006960000000005</v>
      </c>
      <c r="Y1531" s="11">
        <f t="shared" si="467"/>
        <v>4.5006960000000005</v>
      </c>
      <c r="Z1531" s="37">
        <v>1</v>
      </c>
      <c r="AA1531" s="36">
        <f t="shared" si="455"/>
        <v>6.666666666666667</v>
      </c>
      <c r="AB1531" s="11">
        <f t="shared" si="456"/>
        <v>4.666666666666667</v>
      </c>
      <c r="AC1531" s="11">
        <f t="shared" si="457"/>
        <v>0.22160000000000002</v>
      </c>
      <c r="AD1531" s="36">
        <f t="shared" si="468"/>
        <v>4.5006959999999996</v>
      </c>
      <c r="AE1531" s="36"/>
      <c r="AF1531" s="36">
        <f>IFERROR(VLOOKUP(AE1531,'Chemical Cost'!A:D,4,0),0)</f>
        <v>0</v>
      </c>
      <c r="AG1531" s="114">
        <f t="shared" si="458"/>
        <v>0</v>
      </c>
      <c r="AH1531" s="36">
        <f t="shared" si="469"/>
        <v>0</v>
      </c>
      <c r="AI1531" s="36">
        <f t="shared" si="471"/>
        <v>9.1673626666666674</v>
      </c>
      <c r="AJ1531" s="36">
        <f>IFERROR(VLOOKUP(A1531,'All Products'!A:F,6,0),0)</f>
        <v>14</v>
      </c>
      <c r="AK1531" s="1"/>
      <c r="AL1531" s="1"/>
      <c r="AM1531" s="1"/>
      <c r="AN1531" s="54" t="e">
        <v>#N/A</v>
      </c>
      <c r="AP1531" s="4">
        <v>1.6</v>
      </c>
      <c r="AQ1531" s="111">
        <f t="shared" si="459"/>
        <v>0.22160000000000002</v>
      </c>
      <c r="AR1531">
        <f>_xlfn.XLOOKUP(F1531,'RM Cost'!A:A,'RM Cost'!S:S)</f>
        <v>0</v>
      </c>
      <c r="AS1531" t="e">
        <f>_xlfn.XLOOKUP(A1531,[3]Sheet1!$B:$B,[3]Sheet1!$B:$B)</f>
        <v>#N/A</v>
      </c>
    </row>
    <row r="1532" spans="1:46" x14ac:dyDescent="0.25">
      <c r="A1532" s="1" t="s">
        <v>4415</v>
      </c>
      <c r="B1532" s="1" t="s">
        <v>4377</v>
      </c>
      <c r="C1532" s="1" t="s">
        <v>96</v>
      </c>
      <c r="D1532" s="1" t="s">
        <v>554</v>
      </c>
      <c r="E1532" s="2">
        <v>2</v>
      </c>
      <c r="F1532" s="1" t="str">
        <f>VLOOKUP(H1532,'RM Used'!A:B,2,0)</f>
        <v>P0008</v>
      </c>
      <c r="G1532" s="1" t="str">
        <f>IFERROR(VLOOKUP(F1532,'RM Cost'!A:B,2,0),"")</f>
        <v>PALE BLUE BAG 470X750MM</v>
      </c>
      <c r="H1532" s="1" t="s">
        <v>1323</v>
      </c>
      <c r="I1532" s="1" t="str">
        <f>VLOOKUP(F1532,'RM Used'!B:D,3,0)</f>
        <v>RM-PACKING</v>
      </c>
      <c r="J1532" s="66">
        <v>1</v>
      </c>
      <c r="K1532" s="35" t="str">
        <f t="shared" si="462"/>
        <v/>
      </c>
      <c r="L1532" s="35">
        <f t="shared" si="451"/>
        <v>0</v>
      </c>
      <c r="M1532" s="77" t="str" cm="1">
        <f t="array" ref="M1532">_xlfn.IFS(BOM!I1532="RM-PACKING","100%",B1532="Reynolds",VLOOKUP(H1532,'Yield &amp; Time'!A:V,22,0),BOM!B1532="Dnata",VLOOKUP(BOM!H1532,'Yield &amp; Time'!A:M,13,0),B1532="NK",VLOOKUP(H1532,'Yield &amp; Time'!A:X,24,0))</f>
        <v>100%</v>
      </c>
      <c r="N1532" s="35">
        <f t="shared" si="470"/>
        <v>1</v>
      </c>
      <c r="O1532" s="1" t="str">
        <f>VLOOKUP(H1532,'RM Used'!A:E,5,0)</f>
        <v>Count</v>
      </c>
      <c r="P1532" s="11">
        <f>VLOOKUP(H1532,'RM Used'!A:F,6,0)</f>
        <v>0.14000000000000001</v>
      </c>
      <c r="Q1532" s="11">
        <f t="shared" si="460"/>
        <v>0.14000000000000001</v>
      </c>
      <c r="R1532" s="11" cm="1">
        <f t="array" ref="R1532">IFERROR(_xlfn.IFS(B1532="Reynolds",VLOOKUP(H1532,'Yield &amp; Time'!A:U,21,0),B1532="Dnata",VLOOKUP(H1532,'Yield &amp; Time'!A:L,12,0),B1532="NK",VLOOKUP(H1532,'Yield &amp; Time'!A:W,23,0)),0)</f>
        <v>0</v>
      </c>
      <c r="S1532" s="11">
        <f t="shared" si="452"/>
        <v>0</v>
      </c>
      <c r="T1532" s="11">
        <f t="shared" si="453"/>
        <v>0</v>
      </c>
      <c r="U1532" s="11">
        <f>IF(A1531=A1532,0,VLOOKUP(A1532,'Packing Time'!A:F,6,0))</f>
        <v>0</v>
      </c>
      <c r="V1532" s="11">
        <f t="shared" si="465"/>
        <v>0</v>
      </c>
      <c r="W1532" s="11">
        <f t="shared" si="466"/>
        <v>0</v>
      </c>
      <c r="X1532" s="11">
        <f t="shared" si="454"/>
        <v>0</v>
      </c>
      <c r="Y1532" s="11">
        <f t="shared" si="467"/>
        <v>0</v>
      </c>
      <c r="Z1532" s="37">
        <v>1</v>
      </c>
      <c r="AA1532" s="36">
        <f t="shared" si="455"/>
        <v>1</v>
      </c>
      <c r="AB1532" s="11">
        <f t="shared" si="456"/>
        <v>0.14000000000000001</v>
      </c>
      <c r="AC1532" s="11">
        <f t="shared" si="457"/>
        <v>0</v>
      </c>
      <c r="AD1532" s="36">
        <f t="shared" si="468"/>
        <v>0</v>
      </c>
      <c r="AE1532" s="36"/>
      <c r="AF1532" s="36">
        <f>IFERROR(VLOOKUP(AE1532,'Chemical Cost'!A:D,4,0),0)</f>
        <v>0</v>
      </c>
      <c r="AG1532" s="114">
        <f t="shared" si="458"/>
        <v>0</v>
      </c>
      <c r="AH1532" s="36">
        <f t="shared" si="469"/>
        <v>0</v>
      </c>
      <c r="AI1532" s="36">
        <f t="shared" si="471"/>
        <v>0.14000000000000001</v>
      </c>
      <c r="AJ1532" s="36">
        <f>IFERROR(VLOOKUP(A1532,'All Products'!A:F,6,0),0)</f>
        <v>14</v>
      </c>
      <c r="AK1532" s="1"/>
      <c r="AL1532" s="1"/>
      <c r="AM1532" s="1"/>
      <c r="AN1532" s="54" t="e">
        <v>#N/A</v>
      </c>
      <c r="AP1532" s="4">
        <v>1.6</v>
      </c>
      <c r="AQ1532" s="111">
        <f t="shared" si="459"/>
        <v>0</v>
      </c>
      <c r="AR1532">
        <f>_xlfn.XLOOKUP(F1532,'RM Cost'!A:A,'RM Cost'!S:S)</f>
        <v>0</v>
      </c>
      <c r="AS1532" t="e">
        <f>_xlfn.XLOOKUP(A1532,[3]Sheet1!$B:$B,[3]Sheet1!$B:$B)</f>
        <v>#N/A</v>
      </c>
    </row>
    <row r="1533" spans="1:46" x14ac:dyDescent="0.25">
      <c r="A1533" s="1" t="s">
        <v>4416</v>
      </c>
      <c r="B1533" s="2" t="s">
        <v>4377</v>
      </c>
      <c r="C1533" s="1" t="s">
        <v>4533</v>
      </c>
      <c r="D1533" s="2" t="s">
        <v>554</v>
      </c>
      <c r="E1533" s="2">
        <v>2.5</v>
      </c>
      <c r="F1533" s="1" t="str">
        <f>VLOOKUP(H1533,'RM Used'!A:B,2,0)</f>
        <v>3644CS</v>
      </c>
      <c r="G1533" s="1" t="str">
        <f>IFERROR(VLOOKUP(F1533,'RM Cost'!A:B,2,0),"")</f>
        <v>RM - SPRING ONION x 2KG</v>
      </c>
      <c r="H1533" s="1" t="s">
        <v>1581</v>
      </c>
      <c r="I1533" s="1" t="str">
        <f>VLOOKUP(F1533,'RM Used'!B:D,3,0)</f>
        <v>RM-FOOD</v>
      </c>
      <c r="J1533" s="66">
        <v>1</v>
      </c>
      <c r="K1533" s="35">
        <f t="shared" si="462"/>
        <v>2.5</v>
      </c>
      <c r="L1533" s="35">
        <f t="shared" si="451"/>
        <v>2.5</v>
      </c>
      <c r="M1533" s="77" cm="1">
        <f t="array" ref="M1533">_xlfn.IFS(BOM!I1533="RM-PACKING","100%",B1533="Reynolds",VLOOKUP(H1533,'Yield &amp; Time'!A:V,22,0),BOM!B1533="Dnata",VLOOKUP(BOM!H1533,'Yield &amp; Time'!A:M,13,0),B1533="NK",VLOOKUP(H1533,'Yield &amp; Time'!A:X,24,0))</f>
        <v>0.66</v>
      </c>
      <c r="N1533" s="35">
        <f t="shared" si="470"/>
        <v>3.7878787878787876</v>
      </c>
      <c r="O1533" s="1" t="str">
        <f>VLOOKUP(H1533,'RM Used'!A:E,5,0)</f>
        <v>KG</v>
      </c>
      <c r="P1533" s="11">
        <f>VLOOKUP(H1533,'RM Used'!A:F,6,0)</f>
        <v>3.08</v>
      </c>
      <c r="Q1533" s="11">
        <f t="shared" si="460"/>
        <v>11.666666666666666</v>
      </c>
      <c r="R1533" s="11" cm="1">
        <f t="array" ref="R1533">IFERROR(_xlfn.IFS(B1533="Reynolds",VLOOKUP(H1533,'Yield &amp; Time'!A:U,21,0),B1533="Dnata",VLOOKUP(H1533,'Yield &amp; Time'!A:L,12,0),B1533="NK",VLOOKUP(H1533,'Yield &amp; Time'!A:W,23,0)),0)</f>
        <v>10.84</v>
      </c>
      <c r="S1533" s="11">
        <f t="shared" si="452"/>
        <v>9.1733499999999992</v>
      </c>
      <c r="T1533" s="11">
        <f t="shared" si="453"/>
        <v>0.45166666666666672</v>
      </c>
      <c r="U1533" s="11">
        <f>IF(A1532=A1533,0,VLOOKUP(A1533,'Packing Time'!A:F,6,0))</f>
        <v>0.64500000000000002</v>
      </c>
      <c r="V1533" s="11">
        <f t="shared" si="465"/>
        <v>0.21833249999999998</v>
      </c>
      <c r="W1533" s="11">
        <f t="shared" si="466"/>
        <v>1.0750000000000001E-2</v>
      </c>
      <c r="X1533" s="11">
        <f t="shared" si="454"/>
        <v>15.026692000000001</v>
      </c>
      <c r="Y1533" s="11">
        <f t="shared" si="467"/>
        <v>15.026692000000001</v>
      </c>
      <c r="Z1533" s="37">
        <v>1</v>
      </c>
      <c r="AA1533" s="36">
        <f t="shared" si="455"/>
        <v>3.7878787878787876</v>
      </c>
      <c r="AB1533" s="11">
        <f t="shared" si="456"/>
        <v>11.666666666666666</v>
      </c>
      <c r="AC1533" s="11">
        <f t="shared" si="457"/>
        <v>0.73986666666666678</v>
      </c>
      <c r="AD1533" s="36">
        <f t="shared" si="468"/>
        <v>15.026692000000002</v>
      </c>
      <c r="AE1533" s="36" t="str">
        <f>VLOOKUP(H1533,'Yield &amp; Time'!A:I,9,0)</f>
        <v>CHLORINE</v>
      </c>
      <c r="AF1533" s="36">
        <f>IFERROR(VLOOKUP(AE1533,'Chemical Cost'!A:D,4,0),0)</f>
        <v>2.7756518066439469E-2</v>
      </c>
      <c r="AG1533" s="114">
        <f t="shared" si="458"/>
        <v>3.5046108669746799E-2</v>
      </c>
      <c r="AH1533" s="36">
        <f t="shared" si="469"/>
        <v>3.5046108669746799E-2</v>
      </c>
      <c r="AI1533" s="36">
        <f t="shared" si="471"/>
        <v>26.728404775336415</v>
      </c>
      <c r="AJ1533" s="36">
        <f>IFERROR(VLOOKUP(A1533,'All Products'!A:F,6,0),0)</f>
        <v>25.92</v>
      </c>
      <c r="AK1533" s="1"/>
      <c r="AL1533" s="1"/>
      <c r="AM1533" s="1"/>
      <c r="AN1533" s="54" t="e">
        <v>#N/A</v>
      </c>
      <c r="AP1533" s="4">
        <v>1.6</v>
      </c>
      <c r="AQ1533" s="111">
        <f t="shared" si="459"/>
        <v>0.73986666666666678</v>
      </c>
      <c r="AR1533">
        <f>_xlfn.XLOOKUP(F1533,'RM Cost'!A:A,'RM Cost'!S:S)</f>
        <v>0</v>
      </c>
      <c r="AS1533" t="str">
        <f>_xlfn.XLOOKUP(A1533,[3]Sheet1!$B:$B,[3]Sheet1!$B:$B)</f>
        <v>N043CS</v>
      </c>
      <c r="AT1533">
        <f>_xlfn.XLOOKUP(H1533,'Yield &amp; Time'!A:A,'Yield &amp; Time'!F:F)</f>
        <v>0</v>
      </c>
    </row>
    <row r="1534" spans="1:46" x14ac:dyDescent="0.25">
      <c r="A1534" s="1" t="s">
        <v>4416</v>
      </c>
      <c r="B1534" s="1" t="s">
        <v>4377</v>
      </c>
      <c r="C1534" s="1" t="s">
        <v>4533</v>
      </c>
      <c r="D1534" s="1" t="s">
        <v>554</v>
      </c>
      <c r="E1534" s="2">
        <v>2.5</v>
      </c>
      <c r="F1534" s="1" t="str">
        <f>VLOOKUP(H1534,'RM Used'!A:B,2,0)</f>
        <v>P0008</v>
      </c>
      <c r="G1534" s="1" t="str">
        <f>IFERROR(VLOOKUP(F1534,'RM Cost'!A:B,2,0),"")</f>
        <v>PALE BLUE BAG 470X750MM</v>
      </c>
      <c r="H1534" s="1" t="s">
        <v>1323</v>
      </c>
      <c r="I1534" s="1" t="str">
        <f>VLOOKUP(F1534,'RM Used'!B:D,3,0)</f>
        <v>RM-PACKING</v>
      </c>
      <c r="J1534" s="66">
        <v>1</v>
      </c>
      <c r="K1534" s="35" t="str">
        <f t="shared" si="462"/>
        <v/>
      </c>
      <c r="L1534" s="35">
        <f t="shared" si="451"/>
        <v>0</v>
      </c>
      <c r="M1534" s="77" t="str" cm="1">
        <f t="array" ref="M1534">_xlfn.IFS(BOM!I1534="RM-PACKING","100%",B1534="Reynolds",VLOOKUP(H1534,'Yield &amp; Time'!A:V,22,0),BOM!B1534="Dnata",VLOOKUP(BOM!H1534,'Yield &amp; Time'!A:M,13,0),B1534="NK",VLOOKUP(H1534,'Yield &amp; Time'!A:X,24,0))</f>
        <v>100%</v>
      </c>
      <c r="N1534" s="35">
        <f t="shared" si="470"/>
        <v>1</v>
      </c>
      <c r="O1534" s="1" t="str">
        <f>VLOOKUP(H1534,'RM Used'!A:E,5,0)</f>
        <v>Count</v>
      </c>
      <c r="P1534" s="11">
        <f>VLOOKUP(H1534,'RM Used'!A:F,6,0)</f>
        <v>0.14000000000000001</v>
      </c>
      <c r="Q1534" s="11">
        <f t="shared" si="460"/>
        <v>0.14000000000000001</v>
      </c>
      <c r="R1534" s="11" cm="1">
        <f t="array" ref="R1534">IFERROR(_xlfn.IFS(B1534="Reynolds",VLOOKUP(H1534,'Yield &amp; Time'!A:U,21,0),B1534="Dnata",VLOOKUP(H1534,'Yield &amp; Time'!A:L,12,0),B1534="NK",VLOOKUP(H1534,'Yield &amp; Time'!A:W,23,0)),0)</f>
        <v>0</v>
      </c>
      <c r="S1534" s="11">
        <f t="shared" si="452"/>
        <v>0</v>
      </c>
      <c r="T1534" s="11">
        <f t="shared" si="453"/>
        <v>0</v>
      </c>
      <c r="U1534" s="11">
        <f>IF(A1533=A1534,0,VLOOKUP(A1534,'Packing Time'!A:F,6,0))</f>
        <v>0</v>
      </c>
      <c r="V1534" s="11">
        <f t="shared" si="465"/>
        <v>0</v>
      </c>
      <c r="W1534" s="11">
        <f t="shared" si="466"/>
        <v>0</v>
      </c>
      <c r="X1534" s="11">
        <f t="shared" si="454"/>
        <v>0</v>
      </c>
      <c r="Y1534" s="11">
        <f t="shared" si="467"/>
        <v>0</v>
      </c>
      <c r="Z1534" s="37">
        <v>1</v>
      </c>
      <c r="AA1534" s="36">
        <f t="shared" si="455"/>
        <v>1</v>
      </c>
      <c r="AB1534" s="11">
        <f t="shared" si="456"/>
        <v>0.14000000000000001</v>
      </c>
      <c r="AC1534" s="11">
        <f t="shared" si="457"/>
        <v>0</v>
      </c>
      <c r="AD1534" s="36">
        <f t="shared" si="468"/>
        <v>0</v>
      </c>
      <c r="AE1534" s="36"/>
      <c r="AF1534" s="36">
        <f>IFERROR(VLOOKUP(AE1534,'Chemical Cost'!A:D,4,0),0)</f>
        <v>0</v>
      </c>
      <c r="AG1534" s="114">
        <f t="shared" si="458"/>
        <v>0</v>
      </c>
      <c r="AH1534" s="36">
        <f t="shared" si="469"/>
        <v>0</v>
      </c>
      <c r="AI1534" s="36">
        <f t="shared" si="471"/>
        <v>0.14000000000000001</v>
      </c>
      <c r="AJ1534" s="36">
        <f>IFERROR(VLOOKUP(A1534,'All Products'!A:F,6,0),0)</f>
        <v>25.92</v>
      </c>
      <c r="AK1534" s="1"/>
      <c r="AL1534" s="1"/>
      <c r="AM1534" s="1"/>
      <c r="AN1534" s="54" t="e">
        <v>#N/A</v>
      </c>
      <c r="AP1534" s="4">
        <v>1.6</v>
      </c>
      <c r="AQ1534" s="111">
        <f t="shared" si="459"/>
        <v>0</v>
      </c>
      <c r="AR1534">
        <f>_xlfn.XLOOKUP(F1534,'RM Cost'!A:A,'RM Cost'!S:S)</f>
        <v>0</v>
      </c>
      <c r="AS1534" t="str">
        <f>_xlfn.XLOOKUP(A1534,[3]Sheet1!$B:$B,[3]Sheet1!$B:$B)</f>
        <v>N043CS</v>
      </c>
      <c r="AT1534" t="e">
        <f>_xlfn.XLOOKUP(H1534,'Yield &amp; Time'!A:A,'Yield &amp; Time'!F:F)</f>
        <v>#N/A</v>
      </c>
    </row>
    <row r="1535" spans="1:46" x14ac:dyDescent="0.25">
      <c r="A1535" s="1" t="s">
        <v>4417</v>
      </c>
      <c r="B1535" s="2" t="s">
        <v>4377</v>
      </c>
      <c r="C1535" s="1" t="s">
        <v>4462</v>
      </c>
      <c r="D1535" s="2" t="s">
        <v>554</v>
      </c>
      <c r="E1535" s="2">
        <v>1</v>
      </c>
      <c r="F1535" s="1" t="str">
        <f>VLOOKUP(H1535,'RM Used'!A:B,2,0)</f>
        <v>3221CS</v>
      </c>
      <c r="G1535" s="1" t="str">
        <f>IFERROR(VLOOKUP(F1535,'RM Cost'!A:B,2,0),"")</f>
        <v>BAKING POTATO X50 EA</v>
      </c>
      <c r="H1535" s="1" t="s">
        <v>1550</v>
      </c>
      <c r="I1535" s="1" t="str">
        <f>VLOOKUP(F1535,'RM Used'!B:D,3,0)</f>
        <v>RM-FOOD</v>
      </c>
      <c r="J1535" s="66">
        <v>1</v>
      </c>
      <c r="K1535" s="35">
        <f t="shared" ref="K1535:K1584" si="472">IF(I1535="RM-FOOD",J1535*E1535,"")</f>
        <v>1</v>
      </c>
      <c r="L1535" s="35">
        <f t="shared" si="451"/>
        <v>1</v>
      </c>
      <c r="M1535" s="77" cm="1">
        <f t="array" ref="M1535">_xlfn.IFS(BOM!I1535="RM-PACKING","100%",B1535="Reynolds",VLOOKUP(H1535,'Yield &amp; Time'!A:V,22,0),BOM!B1535="Dnata",VLOOKUP(BOM!H1535,'Yield &amp; Time'!A:M,13,0),B1535="NK",VLOOKUP(H1535,'Yield &amp; Time'!A:X,24,0))</f>
        <v>0.63</v>
      </c>
      <c r="N1535" s="35">
        <f t="shared" si="470"/>
        <v>1.5873015873015872</v>
      </c>
      <c r="O1535" s="1" t="str">
        <f>VLOOKUP(H1535,'RM Used'!A:E,5,0)</f>
        <v>KG</v>
      </c>
      <c r="P1535" s="11">
        <f>VLOOKUP(H1535,'RM Used'!A:F,6,0)</f>
        <v>0.57000000000000006</v>
      </c>
      <c r="Q1535" s="11">
        <f t="shared" si="460"/>
        <v>0.90476190476190477</v>
      </c>
      <c r="R1535" s="11" cm="1">
        <f t="array" ref="R1535">IFERROR(_xlfn.IFS(B1535="Reynolds",VLOOKUP(H1535,'Yield &amp; Time'!A:U,21,0),B1535="Dnata",VLOOKUP(H1535,'Yield &amp; Time'!A:L,12,0),B1535="NK",VLOOKUP(H1535,'Yield &amp; Time'!A:W,23,0)),0)</f>
        <v>1.85</v>
      </c>
      <c r="S1535" s="11">
        <f t="shared" si="452"/>
        <v>0.62622499999999992</v>
      </c>
      <c r="T1535" s="11">
        <f t="shared" si="453"/>
        <v>3.0833333333333334E-2</v>
      </c>
      <c r="U1535" s="11">
        <f>IF(A1534=A1535,0,VLOOKUP(A1535,'Packing Time'!A:F,6,0))</f>
        <v>0.64500000000000002</v>
      </c>
      <c r="V1535" s="11">
        <f t="shared" si="465"/>
        <v>0.21833249999999998</v>
      </c>
      <c r="W1535" s="11">
        <f t="shared" si="466"/>
        <v>1.0750000000000001E-2</v>
      </c>
      <c r="X1535" s="11">
        <f t="shared" si="454"/>
        <v>1.3512919999999999</v>
      </c>
      <c r="Y1535" s="11">
        <f t="shared" si="467"/>
        <v>1.3512919999999999</v>
      </c>
      <c r="Z1535" s="37">
        <v>1</v>
      </c>
      <c r="AA1535" s="36">
        <f t="shared" si="455"/>
        <v>1.5873015873015872</v>
      </c>
      <c r="AB1535" s="11">
        <f t="shared" si="456"/>
        <v>0.90476190476190477</v>
      </c>
      <c r="AC1535" s="11">
        <f t="shared" si="457"/>
        <v>6.6533333333333333E-2</v>
      </c>
      <c r="AD1535" s="36">
        <f t="shared" si="468"/>
        <v>1.3512919999999999</v>
      </c>
      <c r="AE1535" s="36"/>
      <c r="AF1535" s="36">
        <f>IFERROR(VLOOKUP(AE1535,'Chemical Cost'!A:D,4,0),0)</f>
        <v>0</v>
      </c>
      <c r="AG1535" s="114">
        <f t="shared" si="458"/>
        <v>0</v>
      </c>
      <c r="AH1535" s="36">
        <f t="shared" si="469"/>
        <v>0</v>
      </c>
      <c r="AI1535" s="36">
        <f t="shared" si="471"/>
        <v>2.2560539047619046</v>
      </c>
      <c r="AJ1535" s="36">
        <f>IFERROR(VLOOKUP(A1535,'All Products'!A:F,6,0),0)</f>
        <v>2.6</v>
      </c>
      <c r="AK1535" s="1"/>
      <c r="AL1535" s="1"/>
      <c r="AM1535" s="1"/>
      <c r="AN1535" s="54" t="e">
        <v>#N/A</v>
      </c>
      <c r="AP1535" s="4">
        <v>1.6</v>
      </c>
      <c r="AQ1535" s="111">
        <f t="shared" si="459"/>
        <v>6.6533333333333333E-2</v>
      </c>
      <c r="AR1535">
        <f>_xlfn.XLOOKUP(F1535,'RM Cost'!A:A,'RM Cost'!S:S)</f>
        <v>0</v>
      </c>
      <c r="AS1535" t="e">
        <f>_xlfn.XLOOKUP(A1535,[3]Sheet1!$B:$B,[3]Sheet1!$B:$B)</f>
        <v>#N/A</v>
      </c>
    </row>
    <row r="1536" spans="1:46" x14ac:dyDescent="0.25">
      <c r="A1536" s="1" t="s">
        <v>4417</v>
      </c>
      <c r="B1536" s="1" t="s">
        <v>4377</v>
      </c>
      <c r="C1536" s="1" t="s">
        <v>4462</v>
      </c>
      <c r="D1536" s="1" t="s">
        <v>554</v>
      </c>
      <c r="E1536" s="2">
        <v>1</v>
      </c>
      <c r="F1536" s="1" t="str">
        <f>VLOOKUP(H1536,'RM Used'!A:B,2,0)</f>
        <v>P0008</v>
      </c>
      <c r="G1536" s="1" t="str">
        <f>IFERROR(VLOOKUP(F1536,'RM Cost'!A:B,2,0),"")</f>
        <v>PALE BLUE BAG 470X750MM</v>
      </c>
      <c r="H1536" s="1" t="s">
        <v>1323</v>
      </c>
      <c r="I1536" s="1" t="str">
        <f>VLOOKUP(F1536,'RM Used'!B:D,3,0)</f>
        <v>RM-PACKING</v>
      </c>
      <c r="J1536" s="66">
        <v>1</v>
      </c>
      <c r="K1536" s="35" t="str">
        <f t="shared" si="472"/>
        <v/>
      </c>
      <c r="L1536" s="35">
        <f t="shared" si="451"/>
        <v>0</v>
      </c>
      <c r="M1536" s="77" t="str" cm="1">
        <f t="array" ref="M1536">_xlfn.IFS(BOM!I1536="RM-PACKING","100%",B1536="Reynolds",VLOOKUP(H1536,'Yield &amp; Time'!A:V,22,0),BOM!B1536="Dnata",VLOOKUP(BOM!H1536,'Yield &amp; Time'!A:M,13,0),B1536="NK",VLOOKUP(H1536,'Yield &amp; Time'!A:X,24,0))</f>
        <v>100%</v>
      </c>
      <c r="N1536" s="35">
        <f t="shared" si="470"/>
        <v>1</v>
      </c>
      <c r="O1536" s="1" t="str">
        <f>VLOOKUP(H1536,'RM Used'!A:E,5,0)</f>
        <v>Count</v>
      </c>
      <c r="P1536" s="11">
        <f>VLOOKUP(H1536,'RM Used'!A:F,6,0)</f>
        <v>0.14000000000000001</v>
      </c>
      <c r="Q1536" s="11">
        <f t="shared" si="460"/>
        <v>0.14000000000000001</v>
      </c>
      <c r="R1536" s="11" cm="1">
        <f t="array" ref="R1536">IFERROR(_xlfn.IFS(B1536="Reynolds",VLOOKUP(H1536,'Yield &amp; Time'!A:U,21,0),B1536="Dnata",VLOOKUP(H1536,'Yield &amp; Time'!A:L,12,0),B1536="NK",VLOOKUP(H1536,'Yield &amp; Time'!A:W,23,0)),0)</f>
        <v>0</v>
      </c>
      <c r="S1536" s="11">
        <f t="shared" si="452"/>
        <v>0</v>
      </c>
      <c r="T1536" s="11">
        <f t="shared" si="453"/>
        <v>0</v>
      </c>
      <c r="U1536" s="11">
        <f>IF(A1535=A1536,0,VLOOKUP(A1536,'Packing Time'!A:F,6,0))</f>
        <v>0</v>
      </c>
      <c r="V1536" s="11">
        <f t="shared" si="465"/>
        <v>0</v>
      </c>
      <c r="W1536" s="11">
        <f t="shared" si="466"/>
        <v>0</v>
      </c>
      <c r="X1536" s="11">
        <f t="shared" si="454"/>
        <v>0</v>
      </c>
      <c r="Y1536" s="11">
        <f t="shared" si="467"/>
        <v>0</v>
      </c>
      <c r="Z1536" s="37">
        <v>1</v>
      </c>
      <c r="AA1536" s="36">
        <f t="shared" si="455"/>
        <v>1</v>
      </c>
      <c r="AB1536" s="11">
        <f t="shared" si="456"/>
        <v>0.14000000000000001</v>
      </c>
      <c r="AC1536" s="11">
        <f t="shared" si="457"/>
        <v>0</v>
      </c>
      <c r="AD1536" s="36">
        <f t="shared" si="468"/>
        <v>0</v>
      </c>
      <c r="AE1536" s="36"/>
      <c r="AF1536" s="36">
        <f>IFERROR(VLOOKUP(AE1536,'Chemical Cost'!A:D,4,0),0)</f>
        <v>0</v>
      </c>
      <c r="AG1536" s="114">
        <f t="shared" si="458"/>
        <v>0</v>
      </c>
      <c r="AH1536" s="36">
        <f t="shared" si="469"/>
        <v>0</v>
      </c>
      <c r="AI1536" s="36">
        <f t="shared" si="471"/>
        <v>0.14000000000000001</v>
      </c>
      <c r="AJ1536" s="36">
        <f>IFERROR(VLOOKUP(A1536,'All Products'!A:F,6,0),0)</f>
        <v>2.6</v>
      </c>
      <c r="AK1536" s="1"/>
      <c r="AL1536" s="1"/>
      <c r="AM1536" s="1"/>
      <c r="AN1536" s="54" t="e">
        <v>#N/A</v>
      </c>
      <c r="AP1536" s="4">
        <v>1.6</v>
      </c>
      <c r="AQ1536" s="111">
        <f t="shared" si="459"/>
        <v>0</v>
      </c>
      <c r="AR1536">
        <f>_xlfn.XLOOKUP(F1536,'RM Cost'!A:A,'RM Cost'!S:S)</f>
        <v>0</v>
      </c>
      <c r="AS1536" t="e">
        <f>_xlfn.XLOOKUP(A1536,[3]Sheet1!$B:$B,[3]Sheet1!$B:$B)</f>
        <v>#N/A</v>
      </c>
    </row>
    <row r="1537" spans="1:46" x14ac:dyDescent="0.25">
      <c r="A1537" s="1" t="s">
        <v>4418</v>
      </c>
      <c r="B1537" s="2" t="s">
        <v>4377</v>
      </c>
      <c r="C1537" s="1" t="s">
        <v>4463</v>
      </c>
      <c r="D1537" s="2" t="s">
        <v>554</v>
      </c>
      <c r="E1537" s="2">
        <v>1</v>
      </c>
      <c r="F1537" s="1" t="str">
        <f>VLOOKUP(H1537,'RM Used'!A:B,2,0)</f>
        <v>3001CS</v>
      </c>
      <c r="G1537" s="1" t="str">
        <f>IFERROR(VLOOKUP(F1537,'RM Cost'!A:B,2,0),"")</f>
        <v>RM - AUBERGINE 5KG</v>
      </c>
      <c r="H1537" s="1" t="s">
        <v>1425</v>
      </c>
      <c r="I1537" s="1" t="str">
        <f>VLOOKUP(F1537,'RM Used'!B:D,3,0)</f>
        <v>RM-FOOD</v>
      </c>
      <c r="J1537" s="66">
        <v>1</v>
      </c>
      <c r="K1537" s="35">
        <f t="shared" si="472"/>
        <v>1</v>
      </c>
      <c r="L1537" s="35">
        <f t="shared" si="451"/>
        <v>1</v>
      </c>
      <c r="M1537" s="77" cm="1">
        <f t="array" ref="M1537">_xlfn.IFS(BOM!I1537="RM-PACKING","100%",B1537="Reynolds",VLOOKUP(H1537,'Yield &amp; Time'!A:V,22,0),BOM!B1537="Dnata",VLOOKUP(BOM!H1537,'Yield &amp; Time'!A:M,13,0),B1537="NK",VLOOKUP(H1537,'Yield &amp; Time'!A:X,24,0))</f>
        <v>0.75</v>
      </c>
      <c r="N1537" s="35">
        <f t="shared" si="470"/>
        <v>1.3333333333333333</v>
      </c>
      <c r="O1537" s="1" t="str">
        <f>VLOOKUP(H1537,'RM Used'!A:E,5,0)</f>
        <v>KG</v>
      </c>
      <c r="P1537" s="11">
        <f>VLOOKUP(H1537,'RM Used'!A:F,6,0)</f>
        <v>1.34</v>
      </c>
      <c r="Q1537" s="11">
        <f t="shared" si="460"/>
        <v>1.7866666666666666</v>
      </c>
      <c r="R1537" s="11" cm="1">
        <f t="array" ref="R1537">IFERROR(_xlfn.IFS(B1537="Reynolds",VLOOKUP(H1537,'Yield &amp; Time'!A:U,21,0),B1537="Dnata",VLOOKUP(H1537,'Yield &amp; Time'!A:L,12,0),B1537="NK",VLOOKUP(H1537,'Yield &amp; Time'!A:W,23,0)),0)</f>
        <v>2.3199999999999998</v>
      </c>
      <c r="S1537" s="11">
        <f t="shared" si="452"/>
        <v>0.78531999999999991</v>
      </c>
      <c r="T1537" s="11">
        <f t="shared" si="453"/>
        <v>3.8666666666666662E-2</v>
      </c>
      <c r="U1537" s="11">
        <f>IF(A1536=A1537,0,VLOOKUP(A1537,'Packing Time'!A:F,6,0))</f>
        <v>0.64500000000000002</v>
      </c>
      <c r="V1537" s="11">
        <f t="shared" si="465"/>
        <v>0.21833249999999998</v>
      </c>
      <c r="W1537" s="11">
        <f t="shared" si="466"/>
        <v>1.0750000000000001E-2</v>
      </c>
      <c r="X1537" s="11">
        <f t="shared" si="454"/>
        <v>1.6058439999999998</v>
      </c>
      <c r="Y1537" s="11">
        <f t="shared" si="467"/>
        <v>1.6058439999999998</v>
      </c>
      <c r="Z1537" s="37">
        <v>1</v>
      </c>
      <c r="AA1537" s="36">
        <f t="shared" si="455"/>
        <v>1.3333333333333333</v>
      </c>
      <c r="AB1537" s="11">
        <f t="shared" si="456"/>
        <v>1.7866666666666666</v>
      </c>
      <c r="AC1537" s="11">
        <f t="shared" si="457"/>
        <v>7.9066666666666674E-2</v>
      </c>
      <c r="AD1537" s="36">
        <f t="shared" si="468"/>
        <v>1.605844</v>
      </c>
      <c r="AE1537" s="36"/>
      <c r="AF1537" s="36">
        <f>IFERROR(VLOOKUP(AE1537,'Chemical Cost'!A:D,4,0),0)</f>
        <v>0</v>
      </c>
      <c r="AG1537" s="114">
        <f t="shared" si="458"/>
        <v>0</v>
      </c>
      <c r="AH1537" s="36">
        <f t="shared" si="469"/>
        <v>0</v>
      </c>
      <c r="AI1537" s="36">
        <f t="shared" si="471"/>
        <v>3.3925106666666665</v>
      </c>
      <c r="AJ1537" s="36">
        <f>IFERROR(VLOOKUP(A1537,'All Products'!A:F,6,0),0)</f>
        <v>3.76</v>
      </c>
      <c r="AK1537" s="1"/>
      <c r="AL1537" s="1"/>
      <c r="AM1537" s="1"/>
      <c r="AN1537" s="54" t="e">
        <v>#N/A</v>
      </c>
      <c r="AP1537" s="4">
        <v>1.6</v>
      </c>
      <c r="AQ1537" s="111">
        <f t="shared" si="459"/>
        <v>7.9066666666666674E-2</v>
      </c>
      <c r="AR1537">
        <f>_xlfn.XLOOKUP(F1537,'RM Cost'!A:A,'RM Cost'!S:S)</f>
        <v>0</v>
      </c>
      <c r="AS1537" t="e">
        <f>_xlfn.XLOOKUP(A1537,[3]Sheet1!$B:$B,[3]Sheet1!$B:$B)</f>
        <v>#N/A</v>
      </c>
    </row>
    <row r="1538" spans="1:46" x14ac:dyDescent="0.25">
      <c r="A1538" s="1" t="s">
        <v>4418</v>
      </c>
      <c r="B1538" s="1" t="s">
        <v>4377</v>
      </c>
      <c r="C1538" s="1" t="s">
        <v>4463</v>
      </c>
      <c r="D1538" s="1" t="s">
        <v>554</v>
      </c>
      <c r="E1538" s="2">
        <v>1</v>
      </c>
      <c r="F1538" s="1" t="str">
        <f>VLOOKUP(H1538,'RM Used'!A:B,2,0)</f>
        <v>P0008</v>
      </c>
      <c r="G1538" s="1" t="str">
        <f>IFERROR(VLOOKUP(F1538,'RM Cost'!A:B,2,0),"")</f>
        <v>PALE BLUE BAG 470X750MM</v>
      </c>
      <c r="H1538" s="1" t="s">
        <v>1323</v>
      </c>
      <c r="I1538" s="1" t="str">
        <f>VLOOKUP(F1538,'RM Used'!B:D,3,0)</f>
        <v>RM-PACKING</v>
      </c>
      <c r="J1538" s="66">
        <v>1</v>
      </c>
      <c r="K1538" s="35" t="str">
        <f t="shared" si="472"/>
        <v/>
      </c>
      <c r="L1538" s="35">
        <f t="shared" ref="L1538:L1601" si="473">IFERROR(K1538*Z1538,0)</f>
        <v>0</v>
      </c>
      <c r="M1538" s="77" t="str" cm="1">
        <f t="array" ref="M1538">_xlfn.IFS(BOM!I1538="RM-PACKING","100%",B1538="Reynolds",VLOOKUP(H1538,'Yield &amp; Time'!A:V,22,0),BOM!B1538="Dnata",VLOOKUP(BOM!H1538,'Yield &amp; Time'!A:M,13,0),B1538="NK",VLOOKUP(H1538,'Yield &amp; Time'!A:X,24,0))</f>
        <v>100%</v>
      </c>
      <c r="N1538" s="35">
        <f t="shared" si="470"/>
        <v>1</v>
      </c>
      <c r="O1538" s="1" t="str">
        <f>VLOOKUP(H1538,'RM Used'!A:E,5,0)</f>
        <v>Count</v>
      </c>
      <c r="P1538" s="11">
        <f>VLOOKUP(H1538,'RM Used'!A:F,6,0)</f>
        <v>0.14000000000000001</v>
      </c>
      <c r="Q1538" s="11">
        <f t="shared" si="460"/>
        <v>0.14000000000000001</v>
      </c>
      <c r="R1538" s="11" cm="1">
        <f t="array" ref="R1538">IFERROR(_xlfn.IFS(B1538="Reynolds",VLOOKUP(H1538,'Yield &amp; Time'!A:U,21,0),B1538="Dnata",VLOOKUP(H1538,'Yield &amp; Time'!A:L,12,0),B1538="NK",VLOOKUP(H1538,'Yield &amp; Time'!A:W,23,0)),0)</f>
        <v>0</v>
      </c>
      <c r="S1538" s="11">
        <f t="shared" ref="S1538:S1601" si="474">R1538*J1538*E1538*AO$1</f>
        <v>0</v>
      </c>
      <c r="T1538" s="11">
        <f t="shared" ref="T1538:T1601" si="475">(R1538*Z1538*J1538*E1538)/60</f>
        <v>0</v>
      </c>
      <c r="U1538" s="11">
        <f>IF(A1537=A1538,0,VLOOKUP(A1538,'Packing Time'!A:F,6,0))</f>
        <v>0</v>
      </c>
      <c r="V1538" s="11">
        <f t="shared" si="465"/>
        <v>0</v>
      </c>
      <c r="W1538" s="11">
        <f t="shared" si="466"/>
        <v>0</v>
      </c>
      <c r="X1538" s="11">
        <f t="shared" ref="X1538:X1601" si="476">((R1538*J1538*E1538)+U1538)*AO$1*AP1538</f>
        <v>0</v>
      </c>
      <c r="Y1538" s="11">
        <f t="shared" si="467"/>
        <v>0</v>
      </c>
      <c r="Z1538" s="37">
        <v>1</v>
      </c>
      <c r="AA1538" s="36">
        <f t="shared" ref="AA1538:AA1601" si="477">Z1538*N1538</f>
        <v>1</v>
      </c>
      <c r="AB1538" s="11">
        <f t="shared" ref="AB1538:AB1601" si="478">AA1538*P1538</f>
        <v>0.14000000000000001</v>
      </c>
      <c r="AC1538" s="11">
        <f t="shared" ref="AC1538:AC1601" si="479">(((R1538*J1538*E1538)+U1538)/60)*Z1538*AP1538</f>
        <v>0</v>
      </c>
      <c r="AD1538" s="36">
        <f t="shared" si="468"/>
        <v>0</v>
      </c>
      <c r="AE1538" s="36"/>
      <c r="AF1538" s="36">
        <f>IFERROR(VLOOKUP(AE1538,'Chemical Cost'!A:D,4,0),0)</f>
        <v>0</v>
      </c>
      <c r="AG1538" s="114">
        <f t="shared" ref="AG1538:AG1601" si="480">AF1538*N1538/3</f>
        <v>0</v>
      </c>
      <c r="AH1538" s="36">
        <f t="shared" si="469"/>
        <v>0</v>
      </c>
      <c r="AI1538" s="36">
        <f t="shared" si="471"/>
        <v>0.14000000000000001</v>
      </c>
      <c r="AJ1538" s="36">
        <f>IFERROR(VLOOKUP(A1538,'All Products'!A:F,6,0),0)</f>
        <v>3.76</v>
      </c>
      <c r="AK1538" s="1"/>
      <c r="AL1538" s="1"/>
      <c r="AM1538" s="1"/>
      <c r="AN1538" s="54" t="e">
        <v>#N/A</v>
      </c>
      <c r="AP1538" s="4">
        <v>1.6</v>
      </c>
      <c r="AQ1538" s="111">
        <f t="shared" ref="AQ1538:AQ1601" si="481">(((R1538*J1538*E1538)+U1538)/60)*AP1538</f>
        <v>0</v>
      </c>
      <c r="AR1538">
        <f>_xlfn.XLOOKUP(F1538,'RM Cost'!A:A,'RM Cost'!S:S)</f>
        <v>0</v>
      </c>
      <c r="AS1538" t="e">
        <f>_xlfn.XLOOKUP(A1538,[3]Sheet1!$B:$B,[3]Sheet1!$B:$B)</f>
        <v>#N/A</v>
      </c>
    </row>
    <row r="1539" spans="1:46" x14ac:dyDescent="0.25">
      <c r="A1539" s="1" t="s">
        <v>4419</v>
      </c>
      <c r="B1539" s="2" t="s">
        <v>4377</v>
      </c>
      <c r="C1539" s="1" t="s">
        <v>4464</v>
      </c>
      <c r="D1539" s="2" t="s">
        <v>554</v>
      </c>
      <c r="E1539" s="2">
        <v>1</v>
      </c>
      <c r="F1539" s="1" t="str">
        <f>VLOOKUP(H1539,'RM Used'!A:B,2,0)</f>
        <v>3112CS</v>
      </c>
      <c r="G1539" s="1" t="str">
        <f>IFERROR(VLOOKUP(F1539,'RM Cost'!A:B,2,0),"")</f>
        <v>WHOLE LEAF CURLY KALE 5X1KG</v>
      </c>
      <c r="H1539" s="1" t="s">
        <v>4486</v>
      </c>
      <c r="I1539" s="1" t="str">
        <f>VLOOKUP(F1539,'RM Used'!B:D,3,0)</f>
        <v>RM-FOOD</v>
      </c>
      <c r="J1539" s="66">
        <v>1</v>
      </c>
      <c r="K1539" s="35">
        <f t="shared" si="472"/>
        <v>1</v>
      </c>
      <c r="L1539" s="35">
        <f t="shared" si="473"/>
        <v>1</v>
      </c>
      <c r="M1539" s="77" cm="1">
        <f t="array" ref="M1539">_xlfn.IFS(BOM!I1539="RM-PACKING","100%",B1539="Reynolds",VLOOKUP(H1539,'Yield &amp; Time'!A:V,22,0),BOM!B1539="Dnata",VLOOKUP(BOM!H1539,'Yield &amp; Time'!A:M,13,0),B1539="NK",VLOOKUP(H1539,'Yield &amp; Time'!A:X,24,0))</f>
        <v>0.7</v>
      </c>
      <c r="N1539" s="35">
        <f t="shared" si="470"/>
        <v>1.4285714285714286</v>
      </c>
      <c r="O1539" s="1" t="str">
        <f>VLOOKUP(H1539,'RM Used'!A:E,5,0)</f>
        <v>KG</v>
      </c>
      <c r="P1539" s="11">
        <f>VLOOKUP(H1539,'RM Used'!A:F,6,0)</f>
        <v>1.45</v>
      </c>
      <c r="Q1539" s="11">
        <f t="shared" ref="Q1539:Q1602" si="482">P1539*N1539</f>
        <v>2.0714285714285716</v>
      </c>
      <c r="R1539" s="11" cm="1">
        <f t="array" ref="R1539">IFERROR(_xlfn.IFS(B1539="Reynolds",VLOOKUP(H1539,'Yield &amp; Time'!A:U,21,0),B1539="Dnata",VLOOKUP(H1539,'Yield &amp; Time'!A:L,12,0),B1539="NK",VLOOKUP(H1539,'Yield &amp; Time'!A:W,23,0)),0)</f>
        <v>4.17</v>
      </c>
      <c r="S1539" s="11">
        <f t="shared" si="474"/>
        <v>1.4115449999999998</v>
      </c>
      <c r="T1539" s="11">
        <f t="shared" si="475"/>
        <v>6.9499999999999992E-2</v>
      </c>
      <c r="U1539" s="11">
        <f>IF(A1538=A1539,0,VLOOKUP(A1539,'Packing Time'!A:F,6,0))</f>
        <v>0.64500000000000002</v>
      </c>
      <c r="V1539" s="11">
        <f t="shared" si="465"/>
        <v>0.21833249999999998</v>
      </c>
      <c r="W1539" s="11">
        <f t="shared" si="466"/>
        <v>1.0750000000000001E-2</v>
      </c>
      <c r="X1539" s="11">
        <f t="shared" si="476"/>
        <v>2.6078039999999998</v>
      </c>
      <c r="Y1539" s="11">
        <f t="shared" si="467"/>
        <v>2.6078039999999998</v>
      </c>
      <c r="Z1539" s="37">
        <v>1</v>
      </c>
      <c r="AA1539" s="36">
        <f t="shared" si="477"/>
        <v>1.4285714285714286</v>
      </c>
      <c r="AB1539" s="11">
        <f t="shared" si="478"/>
        <v>2.0714285714285716</v>
      </c>
      <c r="AC1539" s="11">
        <f t="shared" si="479"/>
        <v>0.12839999999999999</v>
      </c>
      <c r="AD1539" s="36">
        <f t="shared" si="468"/>
        <v>2.6078039999999993</v>
      </c>
      <c r="AE1539" s="36"/>
      <c r="AF1539" s="36">
        <f>IFERROR(VLOOKUP(AE1539,'Chemical Cost'!A:D,4,0),0)</f>
        <v>0</v>
      </c>
      <c r="AG1539" s="114">
        <f t="shared" si="480"/>
        <v>0</v>
      </c>
      <c r="AH1539" s="36">
        <f t="shared" si="469"/>
        <v>0</v>
      </c>
      <c r="AI1539" s="36">
        <f t="shared" si="471"/>
        <v>4.679232571428571</v>
      </c>
      <c r="AJ1539" s="36">
        <f>IFERROR(VLOOKUP(A1539,'All Products'!A:F,6,0),0)</f>
        <v>4.2</v>
      </c>
      <c r="AK1539" s="1"/>
      <c r="AL1539" s="1"/>
      <c r="AM1539" s="1"/>
      <c r="AN1539" s="54" t="e">
        <v>#N/A</v>
      </c>
      <c r="AP1539" s="4">
        <v>1.6</v>
      </c>
      <c r="AQ1539" s="111">
        <f t="shared" si="481"/>
        <v>0.12839999999999999</v>
      </c>
      <c r="AR1539">
        <f>_xlfn.XLOOKUP(F1539,'RM Cost'!A:A,'RM Cost'!S:S)</f>
        <v>0</v>
      </c>
      <c r="AS1539" t="e">
        <f>_xlfn.XLOOKUP(A1539,[3]Sheet1!$B:$B,[3]Sheet1!$B:$B)</f>
        <v>#N/A</v>
      </c>
    </row>
    <row r="1540" spans="1:46" x14ac:dyDescent="0.25">
      <c r="A1540" s="1" t="s">
        <v>4419</v>
      </c>
      <c r="B1540" s="1" t="s">
        <v>4377</v>
      </c>
      <c r="C1540" s="1" t="s">
        <v>4464</v>
      </c>
      <c r="D1540" s="1" t="s">
        <v>554</v>
      </c>
      <c r="E1540" s="2">
        <v>1</v>
      </c>
      <c r="F1540" s="1" t="str">
        <f>VLOOKUP(H1540,'RM Used'!A:B,2,0)</f>
        <v>P0008</v>
      </c>
      <c r="G1540" s="1" t="str">
        <f>IFERROR(VLOOKUP(F1540,'RM Cost'!A:B,2,0),"")</f>
        <v>PALE BLUE BAG 470X750MM</v>
      </c>
      <c r="H1540" s="1" t="s">
        <v>1323</v>
      </c>
      <c r="I1540" s="1" t="str">
        <f>VLOOKUP(F1540,'RM Used'!B:D,3,0)</f>
        <v>RM-PACKING</v>
      </c>
      <c r="J1540" s="66">
        <v>1</v>
      </c>
      <c r="K1540" s="35" t="str">
        <f t="shared" si="472"/>
        <v/>
      </c>
      <c r="L1540" s="35">
        <f t="shared" si="473"/>
        <v>0</v>
      </c>
      <c r="M1540" s="77" t="str" cm="1">
        <f t="array" ref="M1540">_xlfn.IFS(BOM!I1540="RM-PACKING","100%",B1540="Reynolds",VLOOKUP(H1540,'Yield &amp; Time'!A:V,22,0),BOM!B1540="Dnata",VLOOKUP(BOM!H1540,'Yield &amp; Time'!A:M,13,0),B1540="NK",VLOOKUP(H1540,'Yield &amp; Time'!A:X,24,0))</f>
        <v>100%</v>
      </c>
      <c r="N1540" s="35">
        <f t="shared" si="470"/>
        <v>1</v>
      </c>
      <c r="O1540" s="1" t="str">
        <f>VLOOKUP(H1540,'RM Used'!A:E,5,0)</f>
        <v>Count</v>
      </c>
      <c r="P1540" s="11">
        <f>VLOOKUP(H1540,'RM Used'!A:F,6,0)</f>
        <v>0.14000000000000001</v>
      </c>
      <c r="Q1540" s="11">
        <f t="shared" si="482"/>
        <v>0.14000000000000001</v>
      </c>
      <c r="R1540" s="11" cm="1">
        <f t="array" ref="R1540">IFERROR(_xlfn.IFS(B1540="Reynolds",VLOOKUP(H1540,'Yield &amp; Time'!A:U,21,0),B1540="Dnata",VLOOKUP(H1540,'Yield &amp; Time'!A:L,12,0),B1540="NK",VLOOKUP(H1540,'Yield &amp; Time'!A:W,23,0)),0)</f>
        <v>0</v>
      </c>
      <c r="S1540" s="11">
        <f t="shared" si="474"/>
        <v>0</v>
      </c>
      <c r="T1540" s="11">
        <f t="shared" si="475"/>
        <v>0</v>
      </c>
      <c r="U1540" s="11">
        <f>IF(A1539=A1540,0,VLOOKUP(A1540,'Packing Time'!A:F,6,0))</f>
        <v>0</v>
      </c>
      <c r="V1540" s="11">
        <f t="shared" si="465"/>
        <v>0</v>
      </c>
      <c r="W1540" s="11">
        <f t="shared" si="466"/>
        <v>0</v>
      </c>
      <c r="X1540" s="11">
        <f t="shared" si="476"/>
        <v>0</v>
      </c>
      <c r="Y1540" s="11">
        <f t="shared" si="467"/>
        <v>0</v>
      </c>
      <c r="Z1540" s="37">
        <v>1</v>
      </c>
      <c r="AA1540" s="36">
        <f t="shared" si="477"/>
        <v>1</v>
      </c>
      <c r="AB1540" s="11">
        <f t="shared" si="478"/>
        <v>0.14000000000000001</v>
      </c>
      <c r="AC1540" s="11">
        <f t="shared" si="479"/>
        <v>0</v>
      </c>
      <c r="AD1540" s="36">
        <f t="shared" si="468"/>
        <v>0</v>
      </c>
      <c r="AE1540" s="36"/>
      <c r="AF1540" s="36">
        <f>IFERROR(VLOOKUP(AE1540,'Chemical Cost'!A:D,4,0),0)</f>
        <v>0</v>
      </c>
      <c r="AG1540" s="114">
        <f t="shared" si="480"/>
        <v>0</v>
      </c>
      <c r="AH1540" s="36">
        <f t="shared" si="469"/>
        <v>0</v>
      </c>
      <c r="AI1540" s="36">
        <f t="shared" si="471"/>
        <v>0.14000000000000001</v>
      </c>
      <c r="AJ1540" s="36">
        <f>IFERROR(VLOOKUP(A1540,'All Products'!A:F,6,0),0)</f>
        <v>4.2</v>
      </c>
      <c r="AK1540" s="1"/>
      <c r="AL1540" s="1"/>
      <c r="AM1540" s="1"/>
      <c r="AN1540" s="54" t="e">
        <v>#N/A</v>
      </c>
      <c r="AP1540" s="4">
        <v>1.6</v>
      </c>
      <c r="AQ1540" s="111">
        <f t="shared" si="481"/>
        <v>0</v>
      </c>
      <c r="AR1540">
        <f>_xlfn.XLOOKUP(F1540,'RM Cost'!A:A,'RM Cost'!S:S)</f>
        <v>0</v>
      </c>
      <c r="AS1540" t="e">
        <f>_xlfn.XLOOKUP(A1540,[3]Sheet1!$B:$B,[3]Sheet1!$B:$B)</f>
        <v>#N/A</v>
      </c>
    </row>
    <row r="1541" spans="1:46" x14ac:dyDescent="0.25">
      <c r="A1541" s="1" t="s">
        <v>4420</v>
      </c>
      <c r="B1541" s="2" t="s">
        <v>4377</v>
      </c>
      <c r="C1541" s="1" t="s">
        <v>4534</v>
      </c>
      <c r="D1541" s="2" t="s">
        <v>554</v>
      </c>
      <c r="E1541" s="2">
        <v>2.5</v>
      </c>
      <c r="F1541" s="1" t="str">
        <f>VLOOKUP(H1541,'RM Used'!A:B,2,0)</f>
        <v>032ACS</v>
      </c>
      <c r="G1541" s="1" t="str">
        <f>IFERROR(VLOOKUP(F1541,'RM Cost'!A:B,2,0),"")</f>
        <v>RM - LRG PROCESSING CARROT X 1000KG</v>
      </c>
      <c r="H1541" s="1" t="s">
        <v>1373</v>
      </c>
      <c r="I1541" s="1" t="str">
        <f>VLOOKUP(F1541,'RM Used'!B:D,3,0)</f>
        <v>RM-FOOD</v>
      </c>
      <c r="J1541" s="66">
        <v>1</v>
      </c>
      <c r="K1541" s="35">
        <f t="shared" si="472"/>
        <v>2.5</v>
      </c>
      <c r="L1541" s="35">
        <f t="shared" si="473"/>
        <v>2.5</v>
      </c>
      <c r="M1541" s="77" cm="1">
        <f t="array" ref="M1541">_xlfn.IFS(BOM!I1541="RM-PACKING","100%",B1541="Reynolds",VLOOKUP(H1541,'Yield &amp; Time'!A:V,22,0),BOM!B1541="Dnata",VLOOKUP(BOM!H1541,'Yield &amp; Time'!A:M,13,0),B1541="NK",VLOOKUP(H1541,'Yield &amp; Time'!A:X,24,0))</f>
        <v>0.72</v>
      </c>
      <c r="N1541" s="35">
        <f t="shared" si="470"/>
        <v>3.4722222222222223</v>
      </c>
      <c r="O1541" s="1" t="str">
        <f>VLOOKUP(H1541,'RM Used'!A:E,5,0)</f>
        <v>KG</v>
      </c>
      <c r="P1541" s="11">
        <f>VLOOKUP(H1541,'RM Used'!A:F,6,0)</f>
        <v>0.38</v>
      </c>
      <c r="Q1541" s="11">
        <f t="shared" si="482"/>
        <v>1.3194444444444444</v>
      </c>
      <c r="R1541" s="11" cm="1">
        <f t="array" ref="R1541">IFERROR(_xlfn.IFS(B1541="Reynolds",VLOOKUP(H1541,'Yield &amp; Time'!A:U,21,0),B1541="Dnata",VLOOKUP(H1541,'Yield &amp; Time'!A:L,12,0),B1541="NK",VLOOKUP(H1541,'Yield &amp; Time'!A:W,23,0)),0)</f>
        <v>1.25</v>
      </c>
      <c r="S1541" s="11">
        <f t="shared" si="474"/>
        <v>1.0578124999999998</v>
      </c>
      <c r="T1541" s="11">
        <f t="shared" si="475"/>
        <v>5.2083333333333336E-2</v>
      </c>
      <c r="U1541" s="11">
        <f>IF(A1540=A1541,0,VLOOKUP(A1541,'Packing Time'!A:F,6,0))</f>
        <v>0.64500000000000002</v>
      </c>
      <c r="V1541" s="11">
        <f t="shared" si="465"/>
        <v>0.21833249999999998</v>
      </c>
      <c r="W1541" s="11">
        <f t="shared" si="466"/>
        <v>1.0750000000000001E-2</v>
      </c>
      <c r="X1541" s="11">
        <f t="shared" si="476"/>
        <v>1.7866029999999997</v>
      </c>
      <c r="Y1541" s="11">
        <f t="shared" si="467"/>
        <v>1.7866029999999997</v>
      </c>
      <c r="Z1541" s="37">
        <v>1</v>
      </c>
      <c r="AA1541" s="36">
        <f t="shared" si="477"/>
        <v>3.4722222222222223</v>
      </c>
      <c r="AB1541" s="11">
        <f t="shared" si="478"/>
        <v>1.3194444444444444</v>
      </c>
      <c r="AC1541" s="11">
        <f t="shared" si="479"/>
        <v>8.7966666666666665E-2</v>
      </c>
      <c r="AD1541" s="36">
        <f t="shared" si="468"/>
        <v>1.7866029999999997</v>
      </c>
      <c r="AE1541" s="36"/>
      <c r="AF1541" s="36">
        <f>IFERROR(VLOOKUP(AE1541,'Chemical Cost'!A:D,4,0),0)</f>
        <v>0</v>
      </c>
      <c r="AG1541" s="114">
        <f t="shared" si="480"/>
        <v>0</v>
      </c>
      <c r="AH1541" s="36">
        <f t="shared" si="469"/>
        <v>0</v>
      </c>
      <c r="AI1541" s="36">
        <f t="shared" si="471"/>
        <v>3.1060474444444441</v>
      </c>
      <c r="AJ1541" s="36">
        <f>IFERROR(VLOOKUP(A1541,'All Products'!A:F,6,0),0)</f>
        <v>6.17</v>
      </c>
      <c r="AK1541" s="1"/>
      <c r="AL1541" s="1"/>
      <c r="AM1541" s="1"/>
      <c r="AN1541" s="54" t="e">
        <v>#N/A</v>
      </c>
      <c r="AP1541" s="4">
        <v>1.4</v>
      </c>
      <c r="AQ1541" s="111">
        <f t="shared" si="481"/>
        <v>8.7966666666666665E-2</v>
      </c>
      <c r="AR1541">
        <f>_xlfn.XLOOKUP(F1541,'RM Cost'!A:A,'RM Cost'!S:S)</f>
        <v>0</v>
      </c>
      <c r="AS1541" t="e">
        <f>_xlfn.XLOOKUP(A1541,[3]Sheet1!$B:$B,[3]Sheet1!$B:$B)</f>
        <v>#N/A</v>
      </c>
    </row>
    <row r="1542" spans="1:46" x14ac:dyDescent="0.25">
      <c r="A1542" s="1" t="s">
        <v>4420</v>
      </c>
      <c r="B1542" s="1" t="s">
        <v>4377</v>
      </c>
      <c r="C1542" s="1" t="s">
        <v>4534</v>
      </c>
      <c r="D1542" s="1" t="s">
        <v>554</v>
      </c>
      <c r="E1542" s="2">
        <v>2.5</v>
      </c>
      <c r="F1542" s="1" t="str">
        <f>VLOOKUP(H1542,'RM Used'!A:B,2,0)</f>
        <v>P0008</v>
      </c>
      <c r="G1542" s="1" t="str">
        <f>IFERROR(VLOOKUP(F1542,'RM Cost'!A:B,2,0),"")</f>
        <v>PALE BLUE BAG 470X750MM</v>
      </c>
      <c r="H1542" s="1" t="s">
        <v>1323</v>
      </c>
      <c r="I1542" s="1" t="str">
        <f>VLOOKUP(F1542,'RM Used'!B:D,3,0)</f>
        <v>RM-PACKING</v>
      </c>
      <c r="J1542" s="66">
        <v>1</v>
      </c>
      <c r="K1542" s="35" t="str">
        <f t="shared" si="472"/>
        <v/>
      </c>
      <c r="L1542" s="35">
        <f t="shared" si="473"/>
        <v>0</v>
      </c>
      <c r="M1542" s="77" t="str" cm="1">
        <f t="array" ref="M1542">_xlfn.IFS(BOM!I1542="RM-PACKING","100%",B1542="Reynolds",VLOOKUP(H1542,'Yield &amp; Time'!A:V,22,0),BOM!B1542="Dnata",VLOOKUP(BOM!H1542,'Yield &amp; Time'!A:M,13,0),B1542="NK",VLOOKUP(H1542,'Yield &amp; Time'!A:X,24,0))</f>
        <v>100%</v>
      </c>
      <c r="N1542" s="35">
        <f t="shared" si="470"/>
        <v>1</v>
      </c>
      <c r="O1542" s="1" t="str">
        <f>VLOOKUP(H1542,'RM Used'!A:E,5,0)</f>
        <v>Count</v>
      </c>
      <c r="P1542" s="11">
        <f>VLOOKUP(H1542,'RM Used'!A:F,6,0)</f>
        <v>0.14000000000000001</v>
      </c>
      <c r="Q1542" s="11">
        <f t="shared" si="482"/>
        <v>0.14000000000000001</v>
      </c>
      <c r="R1542" s="11" cm="1">
        <f t="array" ref="R1542">IFERROR(_xlfn.IFS(B1542="Reynolds",VLOOKUP(H1542,'Yield &amp; Time'!A:U,21,0),B1542="Dnata",VLOOKUP(H1542,'Yield &amp; Time'!A:L,12,0),B1542="NK",VLOOKUP(H1542,'Yield &amp; Time'!A:W,23,0)),0)</f>
        <v>0</v>
      </c>
      <c r="S1542" s="11">
        <f t="shared" si="474"/>
        <v>0</v>
      </c>
      <c r="T1542" s="11">
        <f t="shared" si="475"/>
        <v>0</v>
      </c>
      <c r="U1542" s="11">
        <f>IF(A1541=A1542,0,VLOOKUP(A1542,'Packing Time'!A:F,6,0))</f>
        <v>0</v>
      </c>
      <c r="V1542" s="11">
        <f t="shared" si="465"/>
        <v>0</v>
      </c>
      <c r="W1542" s="11">
        <f t="shared" si="466"/>
        <v>0</v>
      </c>
      <c r="X1542" s="11">
        <f t="shared" si="476"/>
        <v>0</v>
      </c>
      <c r="Y1542" s="11">
        <f t="shared" si="467"/>
        <v>0</v>
      </c>
      <c r="Z1542" s="37">
        <v>1</v>
      </c>
      <c r="AA1542" s="36">
        <f t="shared" si="477"/>
        <v>1</v>
      </c>
      <c r="AB1542" s="11">
        <f t="shared" si="478"/>
        <v>0.14000000000000001</v>
      </c>
      <c r="AC1542" s="11">
        <f t="shared" si="479"/>
        <v>0</v>
      </c>
      <c r="AD1542" s="36">
        <f t="shared" si="468"/>
        <v>0</v>
      </c>
      <c r="AE1542" s="36"/>
      <c r="AF1542" s="36">
        <f>IFERROR(VLOOKUP(AE1542,'Chemical Cost'!A:D,4,0),0)</f>
        <v>0</v>
      </c>
      <c r="AG1542" s="114">
        <f t="shared" si="480"/>
        <v>0</v>
      </c>
      <c r="AH1542" s="36">
        <f t="shared" si="469"/>
        <v>0</v>
      </c>
      <c r="AI1542" s="36">
        <f t="shared" si="471"/>
        <v>0.14000000000000001</v>
      </c>
      <c r="AJ1542" s="36">
        <f>IFERROR(VLOOKUP(A1542,'All Products'!A:F,6,0),0)</f>
        <v>6.17</v>
      </c>
      <c r="AK1542" s="1"/>
      <c r="AL1542" s="1"/>
      <c r="AM1542" s="1"/>
      <c r="AN1542" s="54" t="e">
        <v>#N/A</v>
      </c>
      <c r="AP1542" s="4">
        <v>1.4</v>
      </c>
      <c r="AQ1542" s="111">
        <f t="shared" si="481"/>
        <v>0</v>
      </c>
      <c r="AR1542">
        <f>_xlfn.XLOOKUP(F1542,'RM Cost'!A:A,'RM Cost'!S:S)</f>
        <v>0</v>
      </c>
      <c r="AS1542" t="e">
        <f>_xlfn.XLOOKUP(A1542,[3]Sheet1!$B:$B,[3]Sheet1!$B:$B)</f>
        <v>#N/A</v>
      </c>
    </row>
    <row r="1543" spans="1:46" x14ac:dyDescent="0.25">
      <c r="A1543" s="1" t="s">
        <v>4421</v>
      </c>
      <c r="B1543" s="2" t="s">
        <v>4377</v>
      </c>
      <c r="C1543" s="1" t="s">
        <v>4466</v>
      </c>
      <c r="D1543" s="2" t="s">
        <v>554</v>
      </c>
      <c r="E1543" s="2">
        <v>1</v>
      </c>
      <c r="F1543" s="1" t="str">
        <f>VLOOKUP(H1543,'RM Used'!A:B,2,0)</f>
        <v>3106CS</v>
      </c>
      <c r="G1543" s="1" t="str">
        <f>IFERROR(VLOOKUP(F1543,'RM Cost'!A:B,2,0),"")</f>
        <v>RM - FENNEL X5KG</v>
      </c>
      <c r="H1543" s="1" t="s">
        <v>4487</v>
      </c>
      <c r="I1543" s="1" t="str">
        <f>VLOOKUP(F1543,'RM Used'!B:D,3,0)</f>
        <v>RM-FOOD</v>
      </c>
      <c r="J1543" s="66">
        <v>1</v>
      </c>
      <c r="K1543" s="35">
        <f t="shared" si="472"/>
        <v>1</v>
      </c>
      <c r="L1543" s="35">
        <f t="shared" si="473"/>
        <v>1</v>
      </c>
      <c r="M1543" s="77" cm="1">
        <f t="array" ref="M1543">_xlfn.IFS(BOM!I1543="RM-PACKING","100%",B1543="Reynolds",VLOOKUP(H1543,'Yield &amp; Time'!A:V,22,0),BOM!B1543="Dnata",VLOOKUP(BOM!H1543,'Yield &amp; Time'!A:M,13,0),B1543="NK",VLOOKUP(H1543,'Yield &amp; Time'!A:X,24,0))</f>
        <v>0.63</v>
      </c>
      <c r="N1543" s="35">
        <f t="shared" si="470"/>
        <v>1.5873015873015872</v>
      </c>
      <c r="O1543" s="1" t="str">
        <f>VLOOKUP(H1543,'RM Used'!A:E,5,0)</f>
        <v>KG</v>
      </c>
      <c r="P1543" s="11">
        <f>VLOOKUP(H1543,'RM Used'!A:F,6,0)</f>
        <v>1.41</v>
      </c>
      <c r="Q1543" s="11">
        <f t="shared" si="482"/>
        <v>2.2380952380952377</v>
      </c>
      <c r="R1543" s="11" cm="1">
        <f t="array" ref="R1543">IFERROR(_xlfn.IFS(B1543="Reynolds",VLOOKUP(H1543,'Yield &amp; Time'!A:U,21,0),B1543="Dnata",VLOOKUP(H1543,'Yield &amp; Time'!A:L,12,0),B1543="NK",VLOOKUP(H1543,'Yield &amp; Time'!A:W,23,0)),0)</f>
        <v>2.46</v>
      </c>
      <c r="S1543" s="11">
        <f t="shared" si="474"/>
        <v>0.83270999999999995</v>
      </c>
      <c r="T1543" s="11">
        <f t="shared" si="475"/>
        <v>4.1000000000000002E-2</v>
      </c>
      <c r="U1543" s="11">
        <f>IF(A1542=A1543,0,VLOOKUP(A1543,'Packing Time'!A:F,6,0))</f>
        <v>0.64500000000000002</v>
      </c>
      <c r="V1543" s="11">
        <f t="shared" si="465"/>
        <v>0.21833249999999998</v>
      </c>
      <c r="W1543" s="11">
        <f t="shared" si="466"/>
        <v>1.0750000000000001E-2</v>
      </c>
      <c r="X1543" s="11">
        <f t="shared" si="476"/>
        <v>1.6816679999999999</v>
      </c>
      <c r="Y1543" s="11">
        <f t="shared" si="467"/>
        <v>1.6816679999999999</v>
      </c>
      <c r="Z1543" s="37">
        <v>1</v>
      </c>
      <c r="AA1543" s="36">
        <f t="shared" si="477"/>
        <v>1.5873015873015872</v>
      </c>
      <c r="AB1543" s="11">
        <f t="shared" si="478"/>
        <v>2.2380952380952377</v>
      </c>
      <c r="AC1543" s="11">
        <f t="shared" si="479"/>
        <v>8.2799999999999999E-2</v>
      </c>
      <c r="AD1543" s="36">
        <f t="shared" si="468"/>
        <v>1.6816679999999997</v>
      </c>
      <c r="AE1543" s="36"/>
      <c r="AF1543" s="36">
        <f>IFERROR(VLOOKUP(AE1543,'Chemical Cost'!A:D,4,0),0)</f>
        <v>0</v>
      </c>
      <c r="AG1543" s="114">
        <f t="shared" si="480"/>
        <v>0</v>
      </c>
      <c r="AH1543" s="36">
        <f t="shared" si="469"/>
        <v>0</v>
      </c>
      <c r="AI1543" s="36">
        <f t="shared" si="471"/>
        <v>3.9197632380952374</v>
      </c>
      <c r="AJ1543" s="36">
        <f>IFERROR(VLOOKUP(A1543,'All Products'!A:F,6,0),0)</f>
        <v>5.32</v>
      </c>
      <c r="AK1543" s="1"/>
      <c r="AL1543" s="1"/>
      <c r="AM1543" s="1"/>
      <c r="AN1543" s="54" t="e">
        <v>#N/A</v>
      </c>
      <c r="AP1543" s="4">
        <v>1.6</v>
      </c>
      <c r="AQ1543" s="111">
        <f t="shared" si="481"/>
        <v>8.2799999999999999E-2</v>
      </c>
      <c r="AR1543">
        <f>_xlfn.XLOOKUP(F1543,'RM Cost'!A:A,'RM Cost'!S:S)</f>
        <v>0</v>
      </c>
      <c r="AS1543" t="e">
        <f>_xlfn.XLOOKUP(A1543,[3]Sheet1!$B:$B,[3]Sheet1!$B:$B)</f>
        <v>#N/A</v>
      </c>
    </row>
    <row r="1544" spans="1:46" x14ac:dyDescent="0.25">
      <c r="A1544" s="1" t="s">
        <v>4421</v>
      </c>
      <c r="B1544" s="1" t="s">
        <v>4377</v>
      </c>
      <c r="C1544" s="1" t="s">
        <v>4466</v>
      </c>
      <c r="D1544" s="1" t="s">
        <v>554</v>
      </c>
      <c r="E1544" s="2">
        <v>1</v>
      </c>
      <c r="F1544" s="1" t="str">
        <f>VLOOKUP(H1544,'RM Used'!A:B,2,0)</f>
        <v>P0008</v>
      </c>
      <c r="G1544" s="1" t="str">
        <f>IFERROR(VLOOKUP(F1544,'RM Cost'!A:B,2,0),"")</f>
        <v>PALE BLUE BAG 470X750MM</v>
      </c>
      <c r="H1544" s="1" t="s">
        <v>1323</v>
      </c>
      <c r="I1544" s="1" t="str">
        <f>VLOOKUP(F1544,'RM Used'!B:D,3,0)</f>
        <v>RM-PACKING</v>
      </c>
      <c r="J1544" s="66">
        <v>1</v>
      </c>
      <c r="K1544" s="35" t="str">
        <f t="shared" si="472"/>
        <v/>
      </c>
      <c r="L1544" s="35">
        <f t="shared" si="473"/>
        <v>0</v>
      </c>
      <c r="M1544" s="77" t="str" cm="1">
        <f t="array" ref="M1544">_xlfn.IFS(BOM!I1544="RM-PACKING","100%",B1544="Reynolds",VLOOKUP(H1544,'Yield &amp; Time'!A:V,22,0),BOM!B1544="Dnata",VLOOKUP(BOM!H1544,'Yield &amp; Time'!A:M,13,0),B1544="NK",VLOOKUP(H1544,'Yield &amp; Time'!A:X,24,0))</f>
        <v>100%</v>
      </c>
      <c r="N1544" s="35">
        <f t="shared" si="470"/>
        <v>1</v>
      </c>
      <c r="O1544" s="1" t="str">
        <f>VLOOKUP(H1544,'RM Used'!A:E,5,0)</f>
        <v>Count</v>
      </c>
      <c r="P1544" s="11">
        <f>VLOOKUP(H1544,'RM Used'!A:F,6,0)</f>
        <v>0.14000000000000001</v>
      </c>
      <c r="Q1544" s="11">
        <f t="shared" si="482"/>
        <v>0.14000000000000001</v>
      </c>
      <c r="R1544" s="11" cm="1">
        <f t="array" ref="R1544">IFERROR(_xlfn.IFS(B1544="Reynolds",VLOOKUP(H1544,'Yield &amp; Time'!A:U,21,0),B1544="Dnata",VLOOKUP(H1544,'Yield &amp; Time'!A:L,12,0),B1544="NK",VLOOKUP(H1544,'Yield &amp; Time'!A:W,23,0)),0)</f>
        <v>0</v>
      </c>
      <c r="S1544" s="11">
        <f t="shared" si="474"/>
        <v>0</v>
      </c>
      <c r="T1544" s="11">
        <f t="shared" si="475"/>
        <v>0</v>
      </c>
      <c r="U1544" s="11">
        <f>IF(A1543=A1544,0,VLOOKUP(A1544,'Packing Time'!A:F,6,0))</f>
        <v>0</v>
      </c>
      <c r="V1544" s="11">
        <f t="shared" si="465"/>
        <v>0</v>
      </c>
      <c r="W1544" s="11">
        <f t="shared" si="466"/>
        <v>0</v>
      </c>
      <c r="X1544" s="11">
        <f t="shared" si="476"/>
        <v>0</v>
      </c>
      <c r="Y1544" s="11">
        <f t="shared" si="467"/>
        <v>0</v>
      </c>
      <c r="Z1544" s="37">
        <v>1</v>
      </c>
      <c r="AA1544" s="36">
        <f t="shared" si="477"/>
        <v>1</v>
      </c>
      <c r="AB1544" s="11">
        <f t="shared" si="478"/>
        <v>0.14000000000000001</v>
      </c>
      <c r="AC1544" s="11">
        <f t="shared" si="479"/>
        <v>0</v>
      </c>
      <c r="AD1544" s="36">
        <f t="shared" si="468"/>
        <v>0</v>
      </c>
      <c r="AE1544" s="36"/>
      <c r="AF1544" s="36">
        <f>IFERROR(VLOOKUP(AE1544,'Chemical Cost'!A:D,4,0),0)</f>
        <v>0</v>
      </c>
      <c r="AG1544" s="114">
        <f t="shared" si="480"/>
        <v>0</v>
      </c>
      <c r="AH1544" s="36">
        <f t="shared" si="469"/>
        <v>0</v>
      </c>
      <c r="AI1544" s="36">
        <f t="shared" si="471"/>
        <v>0.14000000000000001</v>
      </c>
      <c r="AJ1544" s="36">
        <f>IFERROR(VLOOKUP(A1544,'All Products'!A:F,6,0),0)</f>
        <v>5.32</v>
      </c>
      <c r="AK1544" s="1"/>
      <c r="AL1544" s="1"/>
      <c r="AM1544" s="1"/>
      <c r="AN1544" s="54" t="e">
        <v>#N/A</v>
      </c>
      <c r="AP1544" s="4">
        <v>1.6</v>
      </c>
      <c r="AQ1544" s="111">
        <f t="shared" si="481"/>
        <v>0</v>
      </c>
      <c r="AR1544">
        <f>_xlfn.XLOOKUP(F1544,'RM Cost'!A:A,'RM Cost'!S:S)</f>
        <v>0</v>
      </c>
      <c r="AS1544" t="e">
        <f>_xlfn.XLOOKUP(A1544,[3]Sheet1!$B:$B,[3]Sheet1!$B:$B)</f>
        <v>#N/A</v>
      </c>
    </row>
    <row r="1545" spans="1:46" x14ac:dyDescent="0.25">
      <c r="A1545" s="1" t="s">
        <v>4422</v>
      </c>
      <c r="B1545" s="2" t="s">
        <v>4377</v>
      </c>
      <c r="C1545" s="1" t="s">
        <v>3055</v>
      </c>
      <c r="D1545" s="2" t="s">
        <v>554</v>
      </c>
      <c r="E1545" s="2">
        <v>1</v>
      </c>
      <c r="F1545" s="1" t="str">
        <f>VLOOKUP(H1545,'RM Used'!A:B,2,0)</f>
        <v>032ACS</v>
      </c>
      <c r="G1545" s="1" t="str">
        <f>IFERROR(VLOOKUP(F1545,'RM Cost'!A:B,2,0),"")</f>
        <v>RM - LRG PROCESSING CARROT X 1000KG</v>
      </c>
      <c r="H1545" s="1" t="s">
        <v>1351</v>
      </c>
      <c r="I1545" s="1" t="str">
        <f>VLOOKUP(F1545,'RM Used'!B:D,3,0)</f>
        <v>RM-FOOD</v>
      </c>
      <c r="J1545" s="66">
        <v>1</v>
      </c>
      <c r="K1545" s="35">
        <f t="shared" si="472"/>
        <v>1</v>
      </c>
      <c r="L1545" s="35">
        <f t="shared" si="473"/>
        <v>1</v>
      </c>
      <c r="M1545" s="77" cm="1">
        <f t="array" ref="M1545">_xlfn.IFS(BOM!I1545="RM-PACKING","100%",B1545="Reynolds",VLOOKUP(H1545,'Yield &amp; Time'!A:V,22,0),BOM!B1545="Dnata",VLOOKUP(BOM!H1545,'Yield &amp; Time'!A:M,13,0),B1545="NK",VLOOKUP(H1545,'Yield &amp; Time'!A:X,24,0))</f>
        <v>0.75</v>
      </c>
      <c r="N1545" s="35">
        <f t="shared" si="470"/>
        <v>1.3333333333333333</v>
      </c>
      <c r="O1545" s="1" t="str">
        <f>VLOOKUP(H1545,'RM Used'!A:E,5,0)</f>
        <v>KG</v>
      </c>
      <c r="P1545" s="11">
        <f>VLOOKUP(H1545,'RM Used'!A:F,6,0)</f>
        <v>0.38</v>
      </c>
      <c r="Q1545" s="11">
        <f t="shared" si="482"/>
        <v>0.5066666666666666</v>
      </c>
      <c r="R1545" s="11" cm="1">
        <f t="array" ref="R1545">IFERROR(_xlfn.IFS(B1545="Reynolds",VLOOKUP(H1545,'Yield &amp; Time'!A:U,21,0),B1545="Dnata",VLOOKUP(H1545,'Yield &amp; Time'!A:L,12,0),B1545="NK",VLOOKUP(H1545,'Yield &amp; Time'!A:W,23,0)),0)</f>
        <v>0.91</v>
      </c>
      <c r="S1545" s="11">
        <f t="shared" si="474"/>
        <v>0.308035</v>
      </c>
      <c r="T1545" s="11">
        <f t="shared" si="475"/>
        <v>1.5166666666666667E-2</v>
      </c>
      <c r="U1545" s="11">
        <f>IF(A1544=A1545,0,VLOOKUP(A1545,'Packing Time'!A:F,6,0))</f>
        <v>0.64500000000000002</v>
      </c>
      <c r="V1545" s="11">
        <f t="shared" si="465"/>
        <v>0.21833249999999998</v>
      </c>
      <c r="W1545" s="11">
        <f t="shared" si="466"/>
        <v>1.0750000000000001E-2</v>
      </c>
      <c r="X1545" s="11">
        <f t="shared" si="476"/>
        <v>0.84218800000000005</v>
      </c>
      <c r="Y1545" s="11">
        <f t="shared" si="467"/>
        <v>0.84218800000000005</v>
      </c>
      <c r="Z1545" s="37">
        <v>1</v>
      </c>
      <c r="AA1545" s="36">
        <f t="shared" si="477"/>
        <v>1.3333333333333333</v>
      </c>
      <c r="AB1545" s="11">
        <f t="shared" si="478"/>
        <v>0.5066666666666666</v>
      </c>
      <c r="AC1545" s="11">
        <f t="shared" si="479"/>
        <v>4.1466666666666673E-2</v>
      </c>
      <c r="AD1545" s="36">
        <f t="shared" si="468"/>
        <v>0.84218800000000005</v>
      </c>
      <c r="AE1545" s="36"/>
      <c r="AF1545" s="36">
        <f>IFERROR(VLOOKUP(AE1545,'Chemical Cost'!A:D,4,0),0)</f>
        <v>0</v>
      </c>
      <c r="AG1545" s="114">
        <f t="shared" si="480"/>
        <v>0</v>
      </c>
      <c r="AH1545" s="36">
        <f t="shared" si="469"/>
        <v>0</v>
      </c>
      <c r="AI1545" s="36">
        <f t="shared" si="471"/>
        <v>1.3488546666666665</v>
      </c>
      <c r="AJ1545" s="36">
        <f>IFERROR(VLOOKUP(A1545,'All Products'!A:F,6,0),0)</f>
        <v>2.8</v>
      </c>
      <c r="AK1545" s="1"/>
      <c r="AL1545" s="1"/>
      <c r="AM1545" s="1"/>
      <c r="AN1545" s="54" t="e">
        <v>#N/A</v>
      </c>
      <c r="AP1545" s="4">
        <v>1.6</v>
      </c>
      <c r="AQ1545" s="111">
        <f t="shared" si="481"/>
        <v>4.1466666666666673E-2</v>
      </c>
      <c r="AR1545">
        <f>_xlfn.XLOOKUP(F1545,'RM Cost'!A:A,'RM Cost'!S:S)</f>
        <v>0</v>
      </c>
      <c r="AS1545" t="e">
        <f>_xlfn.XLOOKUP(A1545,[3]Sheet1!$B:$B,[3]Sheet1!$B:$B)</f>
        <v>#N/A</v>
      </c>
    </row>
    <row r="1546" spans="1:46" x14ac:dyDescent="0.25">
      <c r="A1546" s="1" t="s">
        <v>4422</v>
      </c>
      <c r="B1546" s="1" t="s">
        <v>4377</v>
      </c>
      <c r="C1546" s="1" t="s">
        <v>3055</v>
      </c>
      <c r="D1546" s="1" t="s">
        <v>554</v>
      </c>
      <c r="E1546" s="2">
        <v>1</v>
      </c>
      <c r="F1546" s="1" t="str">
        <f>VLOOKUP(H1546,'RM Used'!A:B,2,0)</f>
        <v>P0008</v>
      </c>
      <c r="G1546" s="1" t="str">
        <f>IFERROR(VLOOKUP(F1546,'RM Cost'!A:B,2,0),"")</f>
        <v>PALE BLUE BAG 470X750MM</v>
      </c>
      <c r="H1546" s="1" t="s">
        <v>1323</v>
      </c>
      <c r="I1546" s="1" t="str">
        <f>VLOOKUP(F1546,'RM Used'!B:D,3,0)</f>
        <v>RM-PACKING</v>
      </c>
      <c r="J1546" s="66">
        <v>1</v>
      </c>
      <c r="K1546" s="35" t="str">
        <f t="shared" si="472"/>
        <v/>
      </c>
      <c r="L1546" s="35">
        <f t="shared" si="473"/>
        <v>0</v>
      </c>
      <c r="M1546" s="77" t="str" cm="1">
        <f t="array" ref="M1546">_xlfn.IFS(BOM!I1546="RM-PACKING","100%",B1546="Reynolds",VLOOKUP(H1546,'Yield &amp; Time'!A:V,22,0),BOM!B1546="Dnata",VLOOKUP(BOM!H1546,'Yield &amp; Time'!A:M,13,0),B1546="NK",VLOOKUP(H1546,'Yield &amp; Time'!A:X,24,0))</f>
        <v>100%</v>
      </c>
      <c r="N1546" s="35">
        <f t="shared" si="470"/>
        <v>1</v>
      </c>
      <c r="O1546" s="1" t="str">
        <f>VLOOKUP(H1546,'RM Used'!A:E,5,0)</f>
        <v>Count</v>
      </c>
      <c r="P1546" s="11">
        <f>VLOOKUP(H1546,'RM Used'!A:F,6,0)</f>
        <v>0.14000000000000001</v>
      </c>
      <c r="Q1546" s="11">
        <f t="shared" si="482"/>
        <v>0.14000000000000001</v>
      </c>
      <c r="R1546" s="11" cm="1">
        <f t="array" ref="R1546">IFERROR(_xlfn.IFS(B1546="Reynolds",VLOOKUP(H1546,'Yield &amp; Time'!A:U,21,0),B1546="Dnata",VLOOKUP(H1546,'Yield &amp; Time'!A:L,12,0),B1546="NK",VLOOKUP(H1546,'Yield &amp; Time'!A:W,23,0)),0)</f>
        <v>0</v>
      </c>
      <c r="S1546" s="11">
        <f t="shared" si="474"/>
        <v>0</v>
      </c>
      <c r="T1546" s="11">
        <f t="shared" si="475"/>
        <v>0</v>
      </c>
      <c r="U1546" s="11">
        <f>IF(A1545=A1546,0,VLOOKUP(A1546,'Packing Time'!A:F,6,0))</f>
        <v>0</v>
      </c>
      <c r="V1546" s="11">
        <f t="shared" si="465"/>
        <v>0</v>
      </c>
      <c r="W1546" s="11">
        <f t="shared" si="466"/>
        <v>0</v>
      </c>
      <c r="X1546" s="11">
        <f t="shared" si="476"/>
        <v>0</v>
      </c>
      <c r="Y1546" s="11">
        <f t="shared" si="467"/>
        <v>0</v>
      </c>
      <c r="Z1546" s="37">
        <v>1</v>
      </c>
      <c r="AA1546" s="36">
        <f t="shared" si="477"/>
        <v>1</v>
      </c>
      <c r="AB1546" s="11">
        <f t="shared" si="478"/>
        <v>0.14000000000000001</v>
      </c>
      <c r="AC1546" s="11">
        <f t="shared" si="479"/>
        <v>0</v>
      </c>
      <c r="AD1546" s="36">
        <f t="shared" si="468"/>
        <v>0</v>
      </c>
      <c r="AE1546" s="36"/>
      <c r="AF1546" s="36">
        <f>IFERROR(VLOOKUP(AE1546,'Chemical Cost'!A:D,4,0),0)</f>
        <v>0</v>
      </c>
      <c r="AG1546" s="114">
        <f t="shared" si="480"/>
        <v>0</v>
      </c>
      <c r="AH1546" s="36">
        <f t="shared" si="469"/>
        <v>0</v>
      </c>
      <c r="AI1546" s="36">
        <f t="shared" si="471"/>
        <v>0.14000000000000001</v>
      </c>
      <c r="AJ1546" s="36">
        <f>IFERROR(VLOOKUP(A1546,'All Products'!A:F,6,0),0)</f>
        <v>2.8</v>
      </c>
      <c r="AK1546" s="1"/>
      <c r="AL1546" s="1"/>
      <c r="AM1546" s="1"/>
      <c r="AN1546" s="54" t="e">
        <v>#N/A</v>
      </c>
      <c r="AP1546" s="4">
        <v>1.6</v>
      </c>
      <c r="AQ1546" s="111">
        <f t="shared" si="481"/>
        <v>0</v>
      </c>
      <c r="AR1546">
        <f>_xlfn.XLOOKUP(F1546,'RM Cost'!A:A,'RM Cost'!S:S)</f>
        <v>0</v>
      </c>
      <c r="AS1546" t="e">
        <f>_xlfn.XLOOKUP(A1546,[3]Sheet1!$B:$B,[3]Sheet1!$B:$B)</f>
        <v>#N/A</v>
      </c>
    </row>
    <row r="1547" spans="1:46" x14ac:dyDescent="0.25">
      <c r="A1547" s="1" t="s">
        <v>4423</v>
      </c>
      <c r="B1547" s="2" t="s">
        <v>4377</v>
      </c>
      <c r="C1547" s="1" t="s">
        <v>4467</v>
      </c>
      <c r="D1547" s="2" t="s">
        <v>554</v>
      </c>
      <c r="E1547" s="2">
        <v>1</v>
      </c>
      <c r="F1547" s="1" t="str">
        <f>VLOOKUP(H1547,'RM Used'!A:B,2,0)</f>
        <v>3106CS</v>
      </c>
      <c r="G1547" s="1" t="str">
        <f>IFERROR(VLOOKUP(F1547,'RM Cost'!A:B,2,0),"")</f>
        <v>RM - FENNEL X5KG</v>
      </c>
      <c r="H1547" s="1" t="s">
        <v>4488</v>
      </c>
      <c r="I1547" s="1" t="str">
        <f>VLOOKUP(F1547,'RM Used'!B:D,3,0)</f>
        <v>RM-FOOD</v>
      </c>
      <c r="J1547" s="66">
        <v>1</v>
      </c>
      <c r="K1547" s="35">
        <f t="shared" si="472"/>
        <v>1</v>
      </c>
      <c r="L1547" s="35">
        <f t="shared" si="473"/>
        <v>1</v>
      </c>
      <c r="M1547" s="77" cm="1">
        <f t="array" ref="M1547">_xlfn.IFS(BOM!I1547="RM-PACKING","100%",B1547="Reynolds",VLOOKUP(H1547,'Yield &amp; Time'!A:V,22,0),BOM!B1547="Dnata",VLOOKUP(BOM!H1547,'Yield &amp; Time'!A:M,13,0),B1547="NK",VLOOKUP(H1547,'Yield &amp; Time'!A:X,24,0))</f>
        <v>0.54</v>
      </c>
      <c r="N1547" s="35">
        <f t="shared" si="470"/>
        <v>1.8518518518518516</v>
      </c>
      <c r="O1547" s="1" t="str">
        <f>VLOOKUP(H1547,'RM Used'!A:E,5,0)</f>
        <v>KG</v>
      </c>
      <c r="P1547" s="11">
        <f>VLOOKUP(H1547,'RM Used'!A:F,6,0)</f>
        <v>1.41</v>
      </c>
      <c r="Q1547" s="11">
        <f t="shared" si="482"/>
        <v>2.6111111111111107</v>
      </c>
      <c r="R1547" s="11" cm="1">
        <f t="array" ref="R1547">IFERROR(_xlfn.IFS(B1547="Reynolds",VLOOKUP(H1547,'Yield &amp; Time'!A:U,21,0),B1547="Dnata",VLOOKUP(H1547,'Yield &amp; Time'!A:L,12,0),B1547="NK",VLOOKUP(H1547,'Yield &amp; Time'!A:W,23,0)),0)</f>
        <v>8.9</v>
      </c>
      <c r="S1547" s="11">
        <f t="shared" si="474"/>
        <v>3.0126499999999998</v>
      </c>
      <c r="T1547" s="11">
        <f t="shared" si="475"/>
        <v>0.14833333333333334</v>
      </c>
      <c r="U1547" s="11">
        <f>IF(A1546=A1547,0,VLOOKUP(A1547,'Packing Time'!A:F,6,0))</f>
        <v>0.64500000000000002</v>
      </c>
      <c r="V1547" s="11">
        <f t="shared" si="465"/>
        <v>0.21833249999999998</v>
      </c>
      <c r="W1547" s="11">
        <f t="shared" si="466"/>
        <v>1.0750000000000001E-2</v>
      </c>
      <c r="X1547" s="11">
        <f t="shared" si="476"/>
        <v>5.1695719999999996</v>
      </c>
      <c r="Y1547" s="11">
        <f t="shared" si="467"/>
        <v>5.1695719999999996</v>
      </c>
      <c r="Z1547" s="37">
        <v>1</v>
      </c>
      <c r="AA1547" s="36">
        <f t="shared" si="477"/>
        <v>1.8518518518518516</v>
      </c>
      <c r="AB1547" s="11">
        <f t="shared" si="478"/>
        <v>2.6111111111111107</v>
      </c>
      <c r="AC1547" s="11">
        <f t="shared" si="479"/>
        <v>0.25453333333333333</v>
      </c>
      <c r="AD1547" s="36">
        <f t="shared" si="468"/>
        <v>5.1695719999999996</v>
      </c>
      <c r="AE1547" s="36"/>
      <c r="AF1547" s="36">
        <f>IFERROR(VLOOKUP(AE1547,'Chemical Cost'!A:D,4,0),0)</f>
        <v>0</v>
      </c>
      <c r="AG1547" s="114">
        <f t="shared" si="480"/>
        <v>0</v>
      </c>
      <c r="AH1547" s="36">
        <f t="shared" si="469"/>
        <v>0</v>
      </c>
      <c r="AI1547" s="36">
        <f t="shared" si="471"/>
        <v>7.7806831111111103</v>
      </c>
      <c r="AJ1547" s="36">
        <f>IFERROR(VLOOKUP(A1547,'All Products'!A:F,6,0),0)</f>
        <v>6</v>
      </c>
      <c r="AK1547" s="1"/>
      <c r="AL1547" s="1"/>
      <c r="AM1547" s="1"/>
      <c r="AN1547" s="54" t="e">
        <v>#N/A</v>
      </c>
      <c r="AP1547" s="4">
        <v>1.6</v>
      </c>
      <c r="AQ1547" s="111">
        <f t="shared" si="481"/>
        <v>0.25453333333333333</v>
      </c>
      <c r="AR1547">
        <f>_xlfn.XLOOKUP(F1547,'RM Cost'!A:A,'RM Cost'!S:S)</f>
        <v>0</v>
      </c>
      <c r="AS1547" t="str">
        <f>_xlfn.XLOOKUP(A1547,[3]Sheet1!$B:$B,[3]Sheet1!$B:$B)</f>
        <v>N050CS</v>
      </c>
      <c r="AT1547">
        <f>_xlfn.XLOOKUP(H1547,'Yield &amp; Time'!A:A,'Yield &amp; Time'!F:F)</f>
        <v>0</v>
      </c>
    </row>
    <row r="1548" spans="1:46" x14ac:dyDescent="0.25">
      <c r="A1548" s="1" t="s">
        <v>4423</v>
      </c>
      <c r="B1548" s="1" t="s">
        <v>4377</v>
      </c>
      <c r="C1548" s="1" t="s">
        <v>4467</v>
      </c>
      <c r="D1548" s="1" t="s">
        <v>554</v>
      </c>
      <c r="E1548" s="2">
        <v>1</v>
      </c>
      <c r="F1548" s="1" t="str">
        <f>VLOOKUP(H1548,'RM Used'!A:B,2,0)</f>
        <v>P0008</v>
      </c>
      <c r="G1548" s="1" t="str">
        <f>IFERROR(VLOOKUP(F1548,'RM Cost'!A:B,2,0),"")</f>
        <v>PALE BLUE BAG 470X750MM</v>
      </c>
      <c r="H1548" s="1" t="s">
        <v>1323</v>
      </c>
      <c r="I1548" s="1" t="str">
        <f>VLOOKUP(F1548,'RM Used'!B:D,3,0)</f>
        <v>RM-PACKING</v>
      </c>
      <c r="J1548" s="66">
        <v>1</v>
      </c>
      <c r="K1548" s="35" t="str">
        <f t="shared" si="472"/>
        <v/>
      </c>
      <c r="L1548" s="35">
        <f t="shared" si="473"/>
        <v>0</v>
      </c>
      <c r="M1548" s="77" t="str" cm="1">
        <f t="array" ref="M1548">_xlfn.IFS(BOM!I1548="RM-PACKING","100%",B1548="Reynolds",VLOOKUP(H1548,'Yield &amp; Time'!A:V,22,0),BOM!B1548="Dnata",VLOOKUP(BOM!H1548,'Yield &amp; Time'!A:M,13,0),B1548="NK",VLOOKUP(H1548,'Yield &amp; Time'!A:X,24,0))</f>
        <v>100%</v>
      </c>
      <c r="N1548" s="35">
        <f t="shared" si="470"/>
        <v>1</v>
      </c>
      <c r="O1548" s="1" t="str">
        <f>VLOOKUP(H1548,'RM Used'!A:E,5,0)</f>
        <v>Count</v>
      </c>
      <c r="P1548" s="11">
        <f>VLOOKUP(H1548,'RM Used'!A:F,6,0)</f>
        <v>0.14000000000000001</v>
      </c>
      <c r="Q1548" s="11">
        <f t="shared" si="482"/>
        <v>0.14000000000000001</v>
      </c>
      <c r="R1548" s="11" cm="1">
        <f t="array" ref="R1548">IFERROR(_xlfn.IFS(B1548="Reynolds",VLOOKUP(H1548,'Yield &amp; Time'!A:U,21,0),B1548="Dnata",VLOOKUP(H1548,'Yield &amp; Time'!A:L,12,0),B1548="NK",VLOOKUP(H1548,'Yield &amp; Time'!A:W,23,0)),0)</f>
        <v>0</v>
      </c>
      <c r="S1548" s="11">
        <f t="shared" si="474"/>
        <v>0</v>
      </c>
      <c r="T1548" s="11">
        <f t="shared" si="475"/>
        <v>0</v>
      </c>
      <c r="U1548" s="11">
        <f>IF(A1547=A1548,0,VLOOKUP(A1548,'Packing Time'!A:F,6,0))</f>
        <v>0</v>
      </c>
      <c r="V1548" s="11">
        <f t="shared" si="465"/>
        <v>0</v>
      </c>
      <c r="W1548" s="11">
        <f t="shared" si="466"/>
        <v>0</v>
      </c>
      <c r="X1548" s="11">
        <f t="shared" si="476"/>
        <v>0</v>
      </c>
      <c r="Y1548" s="11">
        <f t="shared" si="467"/>
        <v>0</v>
      </c>
      <c r="Z1548" s="37">
        <v>1</v>
      </c>
      <c r="AA1548" s="36">
        <f t="shared" si="477"/>
        <v>1</v>
      </c>
      <c r="AB1548" s="11">
        <f t="shared" si="478"/>
        <v>0.14000000000000001</v>
      </c>
      <c r="AC1548" s="11">
        <f t="shared" si="479"/>
        <v>0</v>
      </c>
      <c r="AD1548" s="36">
        <f t="shared" si="468"/>
        <v>0</v>
      </c>
      <c r="AE1548" s="36"/>
      <c r="AF1548" s="36">
        <f>IFERROR(VLOOKUP(AE1548,'Chemical Cost'!A:D,4,0),0)</f>
        <v>0</v>
      </c>
      <c r="AG1548" s="114">
        <f t="shared" si="480"/>
        <v>0</v>
      </c>
      <c r="AH1548" s="36">
        <f t="shared" si="469"/>
        <v>0</v>
      </c>
      <c r="AI1548" s="36">
        <f t="shared" si="471"/>
        <v>0.14000000000000001</v>
      </c>
      <c r="AJ1548" s="36">
        <f>IFERROR(VLOOKUP(A1548,'All Products'!A:F,6,0),0)</f>
        <v>6</v>
      </c>
      <c r="AK1548" s="1"/>
      <c r="AL1548" s="1"/>
      <c r="AM1548" s="1"/>
      <c r="AN1548" s="54" t="e">
        <v>#N/A</v>
      </c>
      <c r="AP1548" s="4">
        <v>1.6</v>
      </c>
      <c r="AQ1548" s="111">
        <f t="shared" si="481"/>
        <v>0</v>
      </c>
      <c r="AR1548">
        <f>_xlfn.XLOOKUP(F1548,'RM Cost'!A:A,'RM Cost'!S:S)</f>
        <v>0</v>
      </c>
      <c r="AS1548" t="str">
        <f>_xlfn.XLOOKUP(A1548,[3]Sheet1!$B:$B,[3]Sheet1!$B:$B)</f>
        <v>N050CS</v>
      </c>
      <c r="AT1548" t="e">
        <f>_xlfn.XLOOKUP(H1548,'Yield &amp; Time'!A:A,'Yield &amp; Time'!F:F)</f>
        <v>#N/A</v>
      </c>
    </row>
    <row r="1549" spans="1:46" x14ac:dyDescent="0.25">
      <c r="A1549" s="1" t="s">
        <v>4424</v>
      </c>
      <c r="B1549" s="2" t="s">
        <v>4377</v>
      </c>
      <c r="C1549" s="1" t="s">
        <v>4468</v>
      </c>
      <c r="D1549" s="2" t="s">
        <v>554</v>
      </c>
      <c r="E1549" s="2">
        <v>1</v>
      </c>
      <c r="F1549" s="1" t="str">
        <f>VLOOKUP(H1549,'RM Used'!A:B,2,0)</f>
        <v>3020CS</v>
      </c>
      <c r="G1549" s="1" t="str">
        <f>IFERROR(VLOOKUP(F1549,'RM Cost'!A:B,2,0),"")</f>
        <v>RM - CELERIAC 10KG</v>
      </c>
      <c r="H1549" s="1" t="s">
        <v>1500</v>
      </c>
      <c r="I1549" s="1" t="str">
        <f>VLOOKUP(F1549,'RM Used'!B:D,3,0)</f>
        <v>RM-FOOD</v>
      </c>
      <c r="J1549" s="66">
        <v>1</v>
      </c>
      <c r="K1549" s="35">
        <f t="shared" si="472"/>
        <v>1</v>
      </c>
      <c r="L1549" s="35">
        <f t="shared" si="473"/>
        <v>1</v>
      </c>
      <c r="M1549" s="77" cm="1">
        <f t="array" ref="M1549">_xlfn.IFS(BOM!I1549="RM-PACKING","100%",B1549="Reynolds",VLOOKUP(H1549,'Yield &amp; Time'!A:V,22,0),BOM!B1549="Dnata",VLOOKUP(BOM!H1549,'Yield &amp; Time'!A:M,13,0),B1549="NK",VLOOKUP(H1549,'Yield &amp; Time'!A:X,24,0))</f>
        <v>0.6</v>
      </c>
      <c r="N1549" s="35">
        <f t="shared" si="470"/>
        <v>1.6666666666666667</v>
      </c>
      <c r="O1549" s="1" t="str">
        <f>VLOOKUP(H1549,'RM Used'!A:E,5,0)</f>
        <v>KG</v>
      </c>
      <c r="P1549" s="11">
        <f>VLOOKUP(H1549,'RM Used'!A:F,6,0)</f>
        <v>0.55000000000000004</v>
      </c>
      <c r="Q1549" s="11">
        <f t="shared" si="482"/>
        <v>0.91666666666666674</v>
      </c>
      <c r="R1549" s="11" cm="1">
        <f t="array" ref="R1549">IFERROR(_xlfn.IFS(B1549="Reynolds",VLOOKUP(H1549,'Yield &amp; Time'!A:U,21,0),B1549="Dnata",VLOOKUP(H1549,'Yield &amp; Time'!A:L,12,0),B1549="NK",VLOOKUP(H1549,'Yield &amp; Time'!A:W,23,0)),0)</f>
        <v>2</v>
      </c>
      <c r="S1549" s="11">
        <f t="shared" si="474"/>
        <v>0.67699999999999994</v>
      </c>
      <c r="T1549" s="11">
        <f t="shared" si="475"/>
        <v>3.3333333333333333E-2</v>
      </c>
      <c r="U1549" s="11">
        <f>IF(A1548=A1549,0,VLOOKUP(A1549,'Packing Time'!A:F,6,0))</f>
        <v>0.64500000000000002</v>
      </c>
      <c r="V1549" s="11">
        <f t="shared" si="465"/>
        <v>0.21833249999999998</v>
      </c>
      <c r="W1549" s="11">
        <f t="shared" si="466"/>
        <v>1.0750000000000001E-2</v>
      </c>
      <c r="X1549" s="11">
        <f t="shared" si="476"/>
        <v>1.4325320000000001</v>
      </c>
      <c r="Y1549" s="11">
        <f t="shared" si="467"/>
        <v>1.4325320000000001</v>
      </c>
      <c r="Z1549" s="37">
        <v>1</v>
      </c>
      <c r="AA1549" s="36">
        <f t="shared" si="477"/>
        <v>1.6666666666666667</v>
      </c>
      <c r="AB1549" s="11">
        <f t="shared" si="478"/>
        <v>0.91666666666666674</v>
      </c>
      <c r="AC1549" s="11">
        <f t="shared" si="479"/>
        <v>7.0533333333333337E-2</v>
      </c>
      <c r="AD1549" s="36">
        <f t="shared" si="468"/>
        <v>1.4325319999999999</v>
      </c>
      <c r="AE1549" s="36"/>
      <c r="AF1549" s="36">
        <f>IFERROR(VLOOKUP(AE1549,'Chemical Cost'!A:D,4,0),0)</f>
        <v>0</v>
      </c>
      <c r="AG1549" s="114">
        <f t="shared" si="480"/>
        <v>0</v>
      </c>
      <c r="AH1549" s="36">
        <f t="shared" si="469"/>
        <v>0</v>
      </c>
      <c r="AI1549" s="36">
        <f t="shared" si="471"/>
        <v>2.3491986666666671</v>
      </c>
      <c r="AJ1549" s="36">
        <f>IFERROR(VLOOKUP(A1549,'All Products'!A:F,6,0),0)</f>
        <v>3.61</v>
      </c>
      <c r="AK1549" s="1"/>
      <c r="AL1549" s="1"/>
      <c r="AM1549" s="1"/>
      <c r="AN1549" s="54" t="e">
        <v>#N/A</v>
      </c>
      <c r="AP1549" s="4">
        <v>1.6</v>
      </c>
      <c r="AQ1549" s="111">
        <f t="shared" si="481"/>
        <v>7.0533333333333337E-2</v>
      </c>
      <c r="AR1549">
        <f>_xlfn.XLOOKUP(F1549,'RM Cost'!A:A,'RM Cost'!S:S)</f>
        <v>0</v>
      </c>
      <c r="AS1549" t="e">
        <f>_xlfn.XLOOKUP(A1549,[3]Sheet1!$B:$B,[3]Sheet1!$B:$B)</f>
        <v>#N/A</v>
      </c>
    </row>
    <row r="1550" spans="1:46" x14ac:dyDescent="0.25">
      <c r="A1550" s="1" t="s">
        <v>4424</v>
      </c>
      <c r="B1550" s="1" t="s">
        <v>4377</v>
      </c>
      <c r="C1550" s="1" t="s">
        <v>4468</v>
      </c>
      <c r="D1550" s="1" t="s">
        <v>554</v>
      </c>
      <c r="E1550" s="2">
        <v>1</v>
      </c>
      <c r="F1550" s="1" t="str">
        <f>VLOOKUP(H1550,'RM Used'!A:B,2,0)</f>
        <v>P0008</v>
      </c>
      <c r="G1550" s="1" t="str">
        <f>IFERROR(VLOOKUP(F1550,'RM Cost'!A:B,2,0),"")</f>
        <v>PALE BLUE BAG 470X750MM</v>
      </c>
      <c r="H1550" s="1" t="s">
        <v>1323</v>
      </c>
      <c r="I1550" s="1" t="str">
        <f>VLOOKUP(F1550,'RM Used'!B:D,3,0)</f>
        <v>RM-PACKING</v>
      </c>
      <c r="J1550" s="66">
        <v>1</v>
      </c>
      <c r="K1550" s="35" t="str">
        <f t="shared" si="472"/>
        <v/>
      </c>
      <c r="L1550" s="35">
        <f t="shared" si="473"/>
        <v>0</v>
      </c>
      <c r="M1550" s="77" t="str" cm="1">
        <f t="array" ref="M1550">_xlfn.IFS(BOM!I1550="RM-PACKING","100%",B1550="Reynolds",VLOOKUP(H1550,'Yield &amp; Time'!A:V,22,0),BOM!B1550="Dnata",VLOOKUP(BOM!H1550,'Yield &amp; Time'!A:M,13,0),B1550="NK",VLOOKUP(H1550,'Yield &amp; Time'!A:X,24,0))</f>
        <v>100%</v>
      </c>
      <c r="N1550" s="35">
        <f t="shared" si="470"/>
        <v>1</v>
      </c>
      <c r="O1550" s="1" t="str">
        <f>VLOOKUP(H1550,'RM Used'!A:E,5,0)</f>
        <v>Count</v>
      </c>
      <c r="P1550" s="11">
        <f>VLOOKUP(H1550,'RM Used'!A:F,6,0)</f>
        <v>0.14000000000000001</v>
      </c>
      <c r="Q1550" s="11">
        <f t="shared" si="482"/>
        <v>0.14000000000000001</v>
      </c>
      <c r="R1550" s="11" cm="1">
        <f t="array" ref="R1550">IFERROR(_xlfn.IFS(B1550="Reynolds",VLOOKUP(H1550,'Yield &amp; Time'!A:U,21,0),B1550="Dnata",VLOOKUP(H1550,'Yield &amp; Time'!A:L,12,0),B1550="NK",VLOOKUP(H1550,'Yield &amp; Time'!A:W,23,0)),0)</f>
        <v>0</v>
      </c>
      <c r="S1550" s="11">
        <f t="shared" si="474"/>
        <v>0</v>
      </c>
      <c r="T1550" s="11">
        <f t="shared" si="475"/>
        <v>0</v>
      </c>
      <c r="U1550" s="11">
        <f>IF(A1549=A1550,0,VLOOKUP(A1550,'Packing Time'!A:F,6,0))</f>
        <v>0</v>
      </c>
      <c r="V1550" s="11">
        <f t="shared" si="465"/>
        <v>0</v>
      </c>
      <c r="W1550" s="11">
        <f t="shared" si="466"/>
        <v>0</v>
      </c>
      <c r="X1550" s="11">
        <f t="shared" si="476"/>
        <v>0</v>
      </c>
      <c r="Y1550" s="11">
        <f t="shared" si="467"/>
        <v>0</v>
      </c>
      <c r="Z1550" s="37">
        <v>1</v>
      </c>
      <c r="AA1550" s="36">
        <f t="shared" si="477"/>
        <v>1</v>
      </c>
      <c r="AB1550" s="11">
        <f t="shared" si="478"/>
        <v>0.14000000000000001</v>
      </c>
      <c r="AC1550" s="11">
        <f t="shared" si="479"/>
        <v>0</v>
      </c>
      <c r="AD1550" s="36">
        <f t="shared" si="468"/>
        <v>0</v>
      </c>
      <c r="AE1550" s="36"/>
      <c r="AF1550" s="36">
        <f>IFERROR(VLOOKUP(AE1550,'Chemical Cost'!A:D,4,0),0)</f>
        <v>0</v>
      </c>
      <c r="AG1550" s="114">
        <f t="shared" si="480"/>
        <v>0</v>
      </c>
      <c r="AH1550" s="36">
        <f t="shared" si="469"/>
        <v>0</v>
      </c>
      <c r="AI1550" s="36">
        <f t="shared" si="471"/>
        <v>0.14000000000000001</v>
      </c>
      <c r="AJ1550" s="36">
        <f>IFERROR(VLOOKUP(A1550,'All Products'!A:F,6,0),0)</f>
        <v>3.61</v>
      </c>
      <c r="AK1550" s="1"/>
      <c r="AL1550" s="1"/>
      <c r="AM1550" s="1"/>
      <c r="AN1550" s="54" t="e">
        <v>#N/A</v>
      </c>
      <c r="AP1550" s="4">
        <v>1.6</v>
      </c>
      <c r="AQ1550" s="111">
        <f t="shared" si="481"/>
        <v>0</v>
      </c>
      <c r="AR1550">
        <f>_xlfn.XLOOKUP(F1550,'RM Cost'!A:A,'RM Cost'!S:S)</f>
        <v>0</v>
      </c>
      <c r="AS1550" t="e">
        <f>_xlfn.XLOOKUP(A1550,[3]Sheet1!$B:$B,[3]Sheet1!$B:$B)</f>
        <v>#N/A</v>
      </c>
    </row>
    <row r="1551" spans="1:46" x14ac:dyDescent="0.25">
      <c r="A1551" s="1" t="s">
        <v>4425</v>
      </c>
      <c r="B1551" s="2" t="s">
        <v>4377</v>
      </c>
      <c r="C1551" s="1" t="s">
        <v>4469</v>
      </c>
      <c r="D1551" s="2" t="s">
        <v>554</v>
      </c>
      <c r="E1551" s="2">
        <v>1</v>
      </c>
      <c r="F1551" s="1" t="str">
        <f>VLOOKUP(H1551,'RM Used'!A:B,2,0)</f>
        <v>3566CS</v>
      </c>
      <c r="G1551" s="1" t="str">
        <f>IFERROR(VLOOKUP(F1551,'RM Cost'!A:B,2,0),"")</f>
        <v>PEPPERS RED X 5KG</v>
      </c>
      <c r="H1551" s="1" t="s">
        <v>1397</v>
      </c>
      <c r="I1551" s="1" t="str">
        <f>VLOOKUP(F1551,'RM Used'!B:D,3,0)</f>
        <v>RM-FOOD</v>
      </c>
      <c r="J1551" s="66">
        <v>1</v>
      </c>
      <c r="K1551" s="35">
        <f t="shared" si="472"/>
        <v>1</v>
      </c>
      <c r="L1551" s="35">
        <f t="shared" si="473"/>
        <v>1</v>
      </c>
      <c r="M1551" s="77" cm="1">
        <f t="array" ref="M1551">_xlfn.IFS(BOM!I1551="RM-PACKING","100%",B1551="Reynolds",VLOOKUP(H1551,'Yield &amp; Time'!A:V,22,0),BOM!B1551="Dnata",VLOOKUP(BOM!H1551,'Yield &amp; Time'!A:M,13,0),B1551="NK",VLOOKUP(H1551,'Yield &amp; Time'!A:X,24,0))</f>
        <v>0.45454545454545459</v>
      </c>
      <c r="N1551" s="35">
        <f t="shared" si="470"/>
        <v>2.1999999999999997</v>
      </c>
      <c r="O1551" s="1" t="str">
        <f>VLOOKUP(H1551,'RM Used'!A:E,5,0)</f>
        <v>KG</v>
      </c>
      <c r="P1551" s="11">
        <f>VLOOKUP(H1551,'RM Used'!A:F,6,0)</f>
        <v>1.72</v>
      </c>
      <c r="Q1551" s="11">
        <f t="shared" si="482"/>
        <v>3.7839999999999994</v>
      </c>
      <c r="R1551" s="11" cm="1">
        <f t="array" ref="R1551">IFERROR(_xlfn.IFS(B1551="Reynolds",VLOOKUP(H1551,'Yield &amp; Time'!A:U,21,0),B1551="Dnata",VLOOKUP(H1551,'Yield &amp; Time'!A:L,12,0),B1551="NK",VLOOKUP(H1551,'Yield &amp; Time'!A:W,23,0)),0)</f>
        <v>6.75</v>
      </c>
      <c r="S1551" s="11">
        <f t="shared" si="474"/>
        <v>2.284875</v>
      </c>
      <c r="T1551" s="11">
        <f t="shared" si="475"/>
        <v>0.1125</v>
      </c>
      <c r="U1551" s="11">
        <f>IF(A1550=A1551,0,VLOOKUP(A1551,'Packing Time'!A:F,6,0))</f>
        <v>0.64500000000000002</v>
      </c>
      <c r="V1551" s="11">
        <f t="shared" si="465"/>
        <v>0.21833249999999998</v>
      </c>
      <c r="W1551" s="11">
        <f t="shared" si="466"/>
        <v>1.0750000000000001E-2</v>
      </c>
      <c r="X1551" s="11">
        <f t="shared" si="476"/>
        <v>3.1290093749999999</v>
      </c>
      <c r="Y1551" s="11">
        <f t="shared" si="467"/>
        <v>3.1290093749999999</v>
      </c>
      <c r="Z1551" s="37">
        <v>1</v>
      </c>
      <c r="AA1551" s="36">
        <f t="shared" si="477"/>
        <v>2.1999999999999997</v>
      </c>
      <c r="AB1551" s="11">
        <f t="shared" si="478"/>
        <v>3.7839999999999994</v>
      </c>
      <c r="AC1551" s="11">
        <f t="shared" si="479"/>
        <v>0.15406249999999999</v>
      </c>
      <c r="AD1551" s="36">
        <f t="shared" si="468"/>
        <v>3.1290093749999994</v>
      </c>
      <c r="AE1551" s="36"/>
      <c r="AF1551" s="36">
        <f>IFERROR(VLOOKUP(AE1551,'Chemical Cost'!A:D,4,0),0)</f>
        <v>0</v>
      </c>
      <c r="AG1551" s="114">
        <f t="shared" si="480"/>
        <v>0</v>
      </c>
      <c r="AH1551" s="36">
        <f t="shared" si="469"/>
        <v>0</v>
      </c>
      <c r="AI1551" s="36">
        <f t="shared" si="471"/>
        <v>6.9130093749999997</v>
      </c>
      <c r="AJ1551" s="36">
        <f>IFERROR(VLOOKUP(A1551,'All Products'!A:F,6,0),0)</f>
        <v>9</v>
      </c>
      <c r="AK1551" s="1"/>
      <c r="AL1551" s="1"/>
      <c r="AM1551" s="1"/>
      <c r="AN1551" s="54" t="e">
        <v>#N/A</v>
      </c>
      <c r="AP1551" s="4">
        <v>1.25</v>
      </c>
      <c r="AQ1551" s="111">
        <f t="shared" si="481"/>
        <v>0.15406249999999999</v>
      </c>
      <c r="AR1551">
        <f>_xlfn.XLOOKUP(F1551,'RM Cost'!A:A,'RM Cost'!S:S)</f>
        <v>0</v>
      </c>
      <c r="AS1551" t="e">
        <f>_xlfn.XLOOKUP(A1551,[3]Sheet1!$B:$B,[3]Sheet1!$B:$B)</f>
        <v>#N/A</v>
      </c>
    </row>
    <row r="1552" spans="1:46" x14ac:dyDescent="0.25">
      <c r="A1552" s="1" t="s">
        <v>4425</v>
      </c>
      <c r="B1552" s="1" t="s">
        <v>4377</v>
      </c>
      <c r="C1552" s="1" t="s">
        <v>4469</v>
      </c>
      <c r="D1552" s="1" t="s">
        <v>554</v>
      </c>
      <c r="E1552" s="2">
        <v>1</v>
      </c>
      <c r="F1552" s="1" t="str">
        <f>VLOOKUP(H1552,'RM Used'!A:B,2,0)</f>
        <v>P0008</v>
      </c>
      <c r="G1552" s="1" t="str">
        <f>IFERROR(VLOOKUP(F1552,'RM Cost'!A:B,2,0),"")</f>
        <v>PALE BLUE BAG 470X750MM</v>
      </c>
      <c r="H1552" s="1" t="s">
        <v>1323</v>
      </c>
      <c r="I1552" s="1" t="str">
        <f>VLOOKUP(F1552,'RM Used'!B:D,3,0)</f>
        <v>RM-PACKING</v>
      </c>
      <c r="J1552" s="66">
        <v>1</v>
      </c>
      <c r="K1552" s="35" t="str">
        <f t="shared" si="472"/>
        <v/>
      </c>
      <c r="L1552" s="35">
        <f t="shared" si="473"/>
        <v>0</v>
      </c>
      <c r="M1552" s="77" t="str" cm="1">
        <f t="array" ref="M1552">_xlfn.IFS(BOM!I1552="RM-PACKING","100%",B1552="Reynolds",VLOOKUP(H1552,'Yield &amp; Time'!A:V,22,0),BOM!B1552="Dnata",VLOOKUP(BOM!H1552,'Yield &amp; Time'!A:M,13,0),B1552="NK",VLOOKUP(H1552,'Yield &amp; Time'!A:X,24,0))</f>
        <v>100%</v>
      </c>
      <c r="N1552" s="35">
        <f t="shared" si="470"/>
        <v>1</v>
      </c>
      <c r="O1552" s="1" t="str">
        <f>VLOOKUP(H1552,'RM Used'!A:E,5,0)</f>
        <v>Count</v>
      </c>
      <c r="P1552" s="11">
        <f>VLOOKUP(H1552,'RM Used'!A:F,6,0)</f>
        <v>0.14000000000000001</v>
      </c>
      <c r="Q1552" s="11">
        <f t="shared" si="482"/>
        <v>0.14000000000000001</v>
      </c>
      <c r="R1552" s="11" cm="1">
        <f t="array" ref="R1552">IFERROR(_xlfn.IFS(B1552="Reynolds",VLOOKUP(H1552,'Yield &amp; Time'!A:U,21,0),B1552="Dnata",VLOOKUP(H1552,'Yield &amp; Time'!A:L,12,0),B1552="NK",VLOOKUP(H1552,'Yield &amp; Time'!A:W,23,0)),0)</f>
        <v>0</v>
      </c>
      <c r="S1552" s="11">
        <f t="shared" si="474"/>
        <v>0</v>
      </c>
      <c r="T1552" s="11">
        <f t="shared" si="475"/>
        <v>0</v>
      </c>
      <c r="U1552" s="11">
        <f>IF(A1551=A1552,0,VLOOKUP(A1552,'Packing Time'!A:F,6,0))</f>
        <v>0</v>
      </c>
      <c r="V1552" s="11">
        <f t="shared" si="465"/>
        <v>0</v>
      </c>
      <c r="W1552" s="11">
        <f t="shared" si="466"/>
        <v>0</v>
      </c>
      <c r="X1552" s="11">
        <f t="shared" si="476"/>
        <v>0</v>
      </c>
      <c r="Y1552" s="11">
        <f t="shared" si="467"/>
        <v>0</v>
      </c>
      <c r="Z1552" s="37">
        <v>1</v>
      </c>
      <c r="AA1552" s="36">
        <f t="shared" si="477"/>
        <v>1</v>
      </c>
      <c r="AB1552" s="11">
        <f t="shared" si="478"/>
        <v>0.14000000000000001</v>
      </c>
      <c r="AC1552" s="11">
        <f t="shared" si="479"/>
        <v>0</v>
      </c>
      <c r="AD1552" s="36">
        <f t="shared" si="468"/>
        <v>0</v>
      </c>
      <c r="AE1552" s="36"/>
      <c r="AF1552" s="36">
        <f>IFERROR(VLOOKUP(AE1552,'Chemical Cost'!A:D,4,0),0)</f>
        <v>0</v>
      </c>
      <c r="AG1552" s="114">
        <f t="shared" si="480"/>
        <v>0</v>
      </c>
      <c r="AH1552" s="36">
        <f t="shared" si="469"/>
        <v>0</v>
      </c>
      <c r="AI1552" s="36">
        <f t="shared" si="471"/>
        <v>0.14000000000000001</v>
      </c>
      <c r="AJ1552" s="36">
        <f>IFERROR(VLOOKUP(A1552,'All Products'!A:F,6,0),0)</f>
        <v>9</v>
      </c>
      <c r="AK1552" s="1"/>
      <c r="AL1552" s="1"/>
      <c r="AM1552" s="1"/>
      <c r="AN1552" s="54" t="e">
        <v>#N/A</v>
      </c>
      <c r="AP1552" s="4">
        <v>1.25</v>
      </c>
      <c r="AQ1552" s="111">
        <f t="shared" si="481"/>
        <v>0</v>
      </c>
      <c r="AR1552">
        <f>_xlfn.XLOOKUP(F1552,'RM Cost'!A:A,'RM Cost'!S:S)</f>
        <v>0</v>
      </c>
      <c r="AS1552" t="e">
        <f>_xlfn.XLOOKUP(A1552,[3]Sheet1!$B:$B,[3]Sheet1!$B:$B)</f>
        <v>#N/A</v>
      </c>
    </row>
    <row r="1553" spans="1:46" x14ac:dyDescent="0.25">
      <c r="A1553" s="1" t="s">
        <v>4426</v>
      </c>
      <c r="B1553" s="2" t="s">
        <v>4377</v>
      </c>
      <c r="C1553" s="1" t="s">
        <v>4470</v>
      </c>
      <c r="D1553" s="2" t="s">
        <v>554</v>
      </c>
      <c r="E1553" s="2">
        <v>1</v>
      </c>
      <c r="F1553" s="1" t="str">
        <f>VLOOKUP(H1553,'RM Used'!A:B,2,0)</f>
        <v>3277CS</v>
      </c>
      <c r="G1553" s="1" t="str">
        <f>IFERROR(VLOOKUP(F1553,'RM Cost'!A:B,2,0),"")</f>
        <v>RM - SWEDE 12.5KG</v>
      </c>
      <c r="H1553" s="1" t="s">
        <v>1657</v>
      </c>
      <c r="I1553" s="1" t="str">
        <f>VLOOKUP(F1553,'RM Used'!B:D,3,0)</f>
        <v>RM-FOOD</v>
      </c>
      <c r="J1553" s="66">
        <v>1</v>
      </c>
      <c r="K1553" s="35">
        <f t="shared" si="472"/>
        <v>1</v>
      </c>
      <c r="L1553" s="35">
        <f t="shared" si="473"/>
        <v>1</v>
      </c>
      <c r="M1553" s="77" cm="1">
        <f t="array" ref="M1553">_xlfn.IFS(BOM!I1553="RM-PACKING","100%",B1553="Reynolds",VLOOKUP(H1553,'Yield &amp; Time'!A:V,22,0),BOM!B1553="Dnata",VLOOKUP(BOM!H1553,'Yield &amp; Time'!A:M,13,0),B1553="NK",VLOOKUP(H1553,'Yield &amp; Time'!A:X,24,0))</f>
        <v>0.83</v>
      </c>
      <c r="N1553" s="35">
        <f t="shared" si="470"/>
        <v>1.2048192771084338</v>
      </c>
      <c r="O1553" s="1" t="str">
        <f>VLOOKUP(H1553,'RM Used'!A:E,5,0)</f>
        <v>KG</v>
      </c>
      <c r="P1553" s="11">
        <f>VLOOKUP(H1553,'RM Used'!A:F,6,0)</f>
        <v>0.52</v>
      </c>
      <c r="Q1553" s="11">
        <f t="shared" si="482"/>
        <v>0.62650602409638567</v>
      </c>
      <c r="R1553" s="11" cm="1">
        <f t="array" ref="R1553">IFERROR(_xlfn.IFS(B1553="Reynolds",VLOOKUP(H1553,'Yield &amp; Time'!A:U,21,0),B1553="Dnata",VLOOKUP(H1553,'Yield &amp; Time'!A:L,12,0),B1553="NK",VLOOKUP(H1553,'Yield &amp; Time'!A:W,23,0)),0)</f>
        <v>1.9</v>
      </c>
      <c r="S1553" s="11">
        <f t="shared" si="474"/>
        <v>0.64314999999999989</v>
      </c>
      <c r="T1553" s="11">
        <f t="shared" si="475"/>
        <v>3.1666666666666662E-2</v>
      </c>
      <c r="U1553" s="11">
        <f>IF(A1552=A1553,0,VLOOKUP(A1553,'Packing Time'!A:F,6,0))</f>
        <v>0.64500000000000002</v>
      </c>
      <c r="V1553" s="11">
        <f t="shared" si="465"/>
        <v>0.21833249999999998</v>
      </c>
      <c r="W1553" s="11">
        <f t="shared" si="466"/>
        <v>1.0750000000000001E-2</v>
      </c>
      <c r="X1553" s="11">
        <f t="shared" si="476"/>
        <v>1.3783719999999999</v>
      </c>
      <c r="Y1553" s="11">
        <f t="shared" si="467"/>
        <v>1.3783719999999999</v>
      </c>
      <c r="Z1553" s="37">
        <v>1</v>
      </c>
      <c r="AA1553" s="36">
        <f t="shared" si="477"/>
        <v>1.2048192771084338</v>
      </c>
      <c r="AB1553" s="11">
        <f t="shared" si="478"/>
        <v>0.62650602409638567</v>
      </c>
      <c r="AC1553" s="11">
        <f t="shared" si="479"/>
        <v>6.7866666666666672E-2</v>
      </c>
      <c r="AD1553" s="36">
        <f t="shared" si="468"/>
        <v>1.3783719999999999</v>
      </c>
      <c r="AE1553" s="36"/>
      <c r="AF1553" s="36">
        <f>IFERROR(VLOOKUP(AE1553,'Chemical Cost'!A:D,4,0),0)</f>
        <v>0</v>
      </c>
      <c r="AG1553" s="114">
        <f t="shared" si="480"/>
        <v>0</v>
      </c>
      <c r="AH1553" s="36">
        <f t="shared" si="469"/>
        <v>0</v>
      </c>
      <c r="AI1553" s="36">
        <f t="shared" si="471"/>
        <v>2.0048780240963855</v>
      </c>
      <c r="AJ1553" s="36">
        <f>IFERROR(VLOOKUP(A1553,'All Products'!A:F,6,0),0)</f>
        <v>2.89</v>
      </c>
      <c r="AK1553" s="1"/>
      <c r="AL1553" s="1"/>
      <c r="AM1553" s="1"/>
      <c r="AN1553" s="54" t="e">
        <v>#N/A</v>
      </c>
      <c r="AP1553" s="4">
        <v>1.6</v>
      </c>
      <c r="AQ1553" s="111">
        <f t="shared" si="481"/>
        <v>6.7866666666666672E-2</v>
      </c>
      <c r="AR1553">
        <f>_xlfn.XLOOKUP(F1553,'RM Cost'!A:A,'RM Cost'!S:S)</f>
        <v>0</v>
      </c>
      <c r="AS1553" t="e">
        <f>_xlfn.XLOOKUP(A1553,[3]Sheet1!$B:$B,[3]Sheet1!$B:$B)</f>
        <v>#N/A</v>
      </c>
    </row>
    <row r="1554" spans="1:46" x14ac:dyDescent="0.25">
      <c r="A1554" s="1" t="s">
        <v>4426</v>
      </c>
      <c r="B1554" s="1" t="s">
        <v>4377</v>
      </c>
      <c r="C1554" s="1" t="s">
        <v>4470</v>
      </c>
      <c r="D1554" s="1" t="s">
        <v>554</v>
      </c>
      <c r="E1554" s="2">
        <v>1</v>
      </c>
      <c r="F1554" s="1" t="str">
        <f>VLOOKUP(H1554,'RM Used'!A:B,2,0)</f>
        <v>P0008</v>
      </c>
      <c r="G1554" s="1" t="str">
        <f>IFERROR(VLOOKUP(F1554,'RM Cost'!A:B,2,0),"")</f>
        <v>PALE BLUE BAG 470X750MM</v>
      </c>
      <c r="H1554" s="1" t="s">
        <v>1323</v>
      </c>
      <c r="I1554" s="1" t="str">
        <f>VLOOKUP(F1554,'RM Used'!B:D,3,0)</f>
        <v>RM-PACKING</v>
      </c>
      <c r="J1554" s="66">
        <v>1</v>
      </c>
      <c r="K1554" s="35" t="str">
        <f t="shared" si="472"/>
        <v/>
      </c>
      <c r="L1554" s="35">
        <f t="shared" si="473"/>
        <v>0</v>
      </c>
      <c r="M1554" s="77" t="str" cm="1">
        <f t="array" ref="M1554">_xlfn.IFS(BOM!I1554="RM-PACKING","100%",B1554="Reynolds",VLOOKUP(H1554,'Yield &amp; Time'!A:V,22,0),BOM!B1554="Dnata",VLOOKUP(BOM!H1554,'Yield &amp; Time'!A:M,13,0),B1554="NK",VLOOKUP(H1554,'Yield &amp; Time'!A:X,24,0))</f>
        <v>100%</v>
      </c>
      <c r="N1554" s="35">
        <f t="shared" si="470"/>
        <v>1</v>
      </c>
      <c r="O1554" s="1" t="str">
        <f>VLOOKUP(H1554,'RM Used'!A:E,5,0)</f>
        <v>Count</v>
      </c>
      <c r="P1554" s="11">
        <f>VLOOKUP(H1554,'RM Used'!A:F,6,0)</f>
        <v>0.14000000000000001</v>
      </c>
      <c r="Q1554" s="11">
        <f t="shared" si="482"/>
        <v>0.14000000000000001</v>
      </c>
      <c r="R1554" s="11" cm="1">
        <f t="array" ref="R1554">IFERROR(_xlfn.IFS(B1554="Reynolds",VLOOKUP(H1554,'Yield &amp; Time'!A:U,21,0),B1554="Dnata",VLOOKUP(H1554,'Yield &amp; Time'!A:L,12,0),B1554="NK",VLOOKUP(H1554,'Yield &amp; Time'!A:W,23,0)),0)</f>
        <v>0</v>
      </c>
      <c r="S1554" s="11">
        <f t="shared" si="474"/>
        <v>0</v>
      </c>
      <c r="T1554" s="11">
        <f t="shared" si="475"/>
        <v>0</v>
      </c>
      <c r="U1554" s="11">
        <f>IF(A1553=A1554,0,VLOOKUP(A1554,'Packing Time'!A:F,6,0))</f>
        <v>0</v>
      </c>
      <c r="V1554" s="11">
        <f t="shared" si="465"/>
        <v>0</v>
      </c>
      <c r="W1554" s="11">
        <f t="shared" si="466"/>
        <v>0</v>
      </c>
      <c r="X1554" s="11">
        <f t="shared" si="476"/>
        <v>0</v>
      </c>
      <c r="Y1554" s="11">
        <f t="shared" si="467"/>
        <v>0</v>
      </c>
      <c r="Z1554" s="37">
        <v>1</v>
      </c>
      <c r="AA1554" s="36">
        <f t="shared" si="477"/>
        <v>1</v>
      </c>
      <c r="AB1554" s="11">
        <f t="shared" si="478"/>
        <v>0.14000000000000001</v>
      </c>
      <c r="AC1554" s="11">
        <f t="shared" si="479"/>
        <v>0</v>
      </c>
      <c r="AD1554" s="36">
        <f t="shared" si="468"/>
        <v>0</v>
      </c>
      <c r="AE1554" s="36"/>
      <c r="AF1554" s="36">
        <f>IFERROR(VLOOKUP(AE1554,'Chemical Cost'!A:D,4,0),0)</f>
        <v>0</v>
      </c>
      <c r="AG1554" s="114">
        <f t="shared" si="480"/>
        <v>0</v>
      </c>
      <c r="AH1554" s="36">
        <f t="shared" si="469"/>
        <v>0</v>
      </c>
      <c r="AI1554" s="36">
        <f t="shared" si="471"/>
        <v>0.14000000000000001</v>
      </c>
      <c r="AJ1554" s="36">
        <f>IFERROR(VLOOKUP(A1554,'All Products'!A:F,6,0),0)</f>
        <v>2.89</v>
      </c>
      <c r="AK1554" s="1"/>
      <c r="AL1554" s="1"/>
      <c r="AM1554" s="1"/>
      <c r="AN1554" s="54" t="e">
        <v>#N/A</v>
      </c>
      <c r="AP1554" s="4">
        <v>1.6</v>
      </c>
      <c r="AQ1554" s="111">
        <f t="shared" si="481"/>
        <v>0</v>
      </c>
      <c r="AR1554">
        <f>_xlfn.XLOOKUP(F1554,'RM Cost'!A:A,'RM Cost'!S:S)</f>
        <v>0</v>
      </c>
      <c r="AS1554" t="e">
        <f>_xlfn.XLOOKUP(A1554,[3]Sheet1!$B:$B,[3]Sheet1!$B:$B)</f>
        <v>#N/A</v>
      </c>
    </row>
    <row r="1555" spans="1:46" x14ac:dyDescent="0.25">
      <c r="A1555" s="1" t="s">
        <v>4427</v>
      </c>
      <c r="B1555" s="2" t="s">
        <v>4377</v>
      </c>
      <c r="C1555" s="1" t="s">
        <v>4527</v>
      </c>
      <c r="D1555" s="2" t="s">
        <v>554</v>
      </c>
      <c r="E1555" s="2">
        <v>2.5</v>
      </c>
      <c r="F1555" s="1" t="str">
        <f>VLOOKUP(H1555,'RM Used'!A:B,2,0)</f>
        <v>283ACS</v>
      </c>
      <c r="G1555" s="1" t="str">
        <f>IFERROR(VLOOKUP(F1555,'RM Cost'!A:B,2,0),"")</f>
        <v>RM - BUTTERNUT SQUASH BIN X 625KG</v>
      </c>
      <c r="H1555" s="1" t="s">
        <v>1447</v>
      </c>
      <c r="I1555" s="1" t="str">
        <f>VLOOKUP(F1555,'RM Used'!B:D,3,0)</f>
        <v>RM-FOOD</v>
      </c>
      <c r="J1555" s="66">
        <v>1</v>
      </c>
      <c r="K1555" s="35">
        <f t="shared" si="472"/>
        <v>2.5</v>
      </c>
      <c r="L1555" s="35">
        <f t="shared" si="473"/>
        <v>2.5</v>
      </c>
      <c r="M1555" s="77" cm="1">
        <f t="array" ref="M1555">_xlfn.IFS(BOM!I1555="RM-PACKING","100%",B1555="Reynolds",VLOOKUP(H1555,'Yield &amp; Time'!A:V,22,0),BOM!B1555="Dnata",VLOOKUP(BOM!H1555,'Yield &amp; Time'!A:M,13,0),B1555="NK",VLOOKUP(H1555,'Yield &amp; Time'!A:X,24,0))</f>
        <v>0.73</v>
      </c>
      <c r="N1555" s="35">
        <f t="shared" si="470"/>
        <v>3.4246575342465753</v>
      </c>
      <c r="O1555" s="1" t="str">
        <f>VLOOKUP(H1555,'RM Used'!A:E,5,0)</f>
        <v>KG</v>
      </c>
      <c r="P1555" s="11">
        <f>VLOOKUP(H1555,'RM Used'!A:F,6,0)</f>
        <v>0.65</v>
      </c>
      <c r="Q1555" s="11">
        <f t="shared" si="482"/>
        <v>2.2260273972602742</v>
      </c>
      <c r="R1555" s="11" cm="1">
        <f t="array" ref="R1555">IFERROR(_xlfn.IFS(B1555="Reynolds",VLOOKUP(H1555,'Yield &amp; Time'!A:U,21,0),B1555="Dnata",VLOOKUP(H1555,'Yield &amp; Time'!A:L,12,0),B1555="NK",VLOOKUP(H1555,'Yield &amp; Time'!A:W,23,0)),0)</f>
        <v>1.7</v>
      </c>
      <c r="S1555" s="11">
        <f t="shared" si="474"/>
        <v>1.4386249999999998</v>
      </c>
      <c r="T1555" s="11">
        <f t="shared" si="475"/>
        <v>7.0833333333333331E-2</v>
      </c>
      <c r="U1555" s="11">
        <f>IF(A1554=A1555,0,VLOOKUP(A1555,'Packing Time'!A:F,6,0))</f>
        <v>0.64500000000000002</v>
      </c>
      <c r="V1555" s="11">
        <f t="shared" si="465"/>
        <v>0.21833249999999998</v>
      </c>
      <c r="W1555" s="11">
        <f t="shared" si="466"/>
        <v>1.0750000000000001E-2</v>
      </c>
      <c r="X1555" s="11">
        <f t="shared" si="476"/>
        <v>1.8226532499999997</v>
      </c>
      <c r="Y1555" s="11">
        <f t="shared" si="467"/>
        <v>1.8226532499999997</v>
      </c>
      <c r="Z1555" s="37">
        <v>1</v>
      </c>
      <c r="AA1555" s="36">
        <f t="shared" si="477"/>
        <v>3.4246575342465753</v>
      </c>
      <c r="AB1555" s="11">
        <f t="shared" si="478"/>
        <v>2.2260273972602742</v>
      </c>
      <c r="AC1555" s="11">
        <f t="shared" si="479"/>
        <v>8.9741666666666664E-2</v>
      </c>
      <c r="AD1555" s="36">
        <f t="shared" si="468"/>
        <v>1.8226532499999999</v>
      </c>
      <c r="AE1555" s="36"/>
      <c r="AF1555" s="36">
        <f>IFERROR(VLOOKUP(AE1555,'Chemical Cost'!A:D,4,0),0)</f>
        <v>0</v>
      </c>
      <c r="AG1555" s="114">
        <f t="shared" si="480"/>
        <v>0</v>
      </c>
      <c r="AH1555" s="36">
        <f t="shared" si="469"/>
        <v>0</v>
      </c>
      <c r="AI1555" s="36">
        <f t="shared" si="471"/>
        <v>4.0486806472602739</v>
      </c>
      <c r="AJ1555" s="36">
        <f>IFERROR(VLOOKUP(A1555,'All Products'!A:F,6,0),0)</f>
        <v>7.5</v>
      </c>
      <c r="AK1555" s="1"/>
      <c r="AL1555" s="1"/>
      <c r="AM1555" s="1"/>
      <c r="AN1555" s="54" t="e">
        <v>#N/A</v>
      </c>
      <c r="AP1555" s="4">
        <v>1.1000000000000001</v>
      </c>
      <c r="AQ1555" s="111">
        <f t="shared" si="481"/>
        <v>8.9741666666666664E-2</v>
      </c>
      <c r="AR1555">
        <f>_xlfn.XLOOKUP(F1555,'RM Cost'!A:A,'RM Cost'!S:S)</f>
        <v>0</v>
      </c>
      <c r="AS1555" t="str">
        <f>_xlfn.XLOOKUP(A1555,[3]Sheet1!$B:$B,[3]Sheet1!$B:$B)</f>
        <v>N054CS</v>
      </c>
      <c r="AT1555">
        <f>_xlfn.XLOOKUP(H1555,'Yield &amp; Time'!A:A,'Yield &amp; Time'!F:F)</f>
        <v>0</v>
      </c>
    </row>
    <row r="1556" spans="1:46" x14ac:dyDescent="0.25">
      <c r="A1556" s="1" t="s">
        <v>4427</v>
      </c>
      <c r="B1556" s="1" t="s">
        <v>4377</v>
      </c>
      <c r="C1556" s="1" t="s">
        <v>4527</v>
      </c>
      <c r="D1556" s="1" t="s">
        <v>554</v>
      </c>
      <c r="E1556" s="2">
        <v>2.5</v>
      </c>
      <c r="F1556" s="1" t="str">
        <f>VLOOKUP(H1556,'RM Used'!A:B,2,0)</f>
        <v>P0008</v>
      </c>
      <c r="G1556" s="1" t="str">
        <f>IFERROR(VLOOKUP(F1556,'RM Cost'!A:B,2,0),"")</f>
        <v>PALE BLUE BAG 470X750MM</v>
      </c>
      <c r="H1556" s="1" t="s">
        <v>1323</v>
      </c>
      <c r="I1556" s="1" t="str">
        <f>VLOOKUP(F1556,'RM Used'!B:D,3,0)</f>
        <v>RM-PACKING</v>
      </c>
      <c r="J1556" s="66">
        <v>1</v>
      </c>
      <c r="K1556" s="35" t="str">
        <f t="shared" si="472"/>
        <v/>
      </c>
      <c r="L1556" s="35">
        <f t="shared" si="473"/>
        <v>0</v>
      </c>
      <c r="M1556" s="77" t="str" cm="1">
        <f t="array" ref="M1556">_xlfn.IFS(BOM!I1556="RM-PACKING","100%",B1556="Reynolds",VLOOKUP(H1556,'Yield &amp; Time'!A:V,22,0),BOM!B1556="Dnata",VLOOKUP(BOM!H1556,'Yield &amp; Time'!A:M,13,0),B1556="NK",VLOOKUP(H1556,'Yield &amp; Time'!A:X,24,0))</f>
        <v>100%</v>
      </c>
      <c r="N1556" s="35">
        <f t="shared" si="470"/>
        <v>1</v>
      </c>
      <c r="O1556" s="1" t="str">
        <f>VLOOKUP(H1556,'RM Used'!A:E,5,0)</f>
        <v>Count</v>
      </c>
      <c r="P1556" s="11">
        <f>VLOOKUP(H1556,'RM Used'!A:F,6,0)</f>
        <v>0.14000000000000001</v>
      </c>
      <c r="Q1556" s="11">
        <f t="shared" si="482"/>
        <v>0.14000000000000001</v>
      </c>
      <c r="R1556" s="11" cm="1">
        <f t="array" ref="R1556">IFERROR(_xlfn.IFS(B1556="Reynolds",VLOOKUP(H1556,'Yield &amp; Time'!A:U,21,0),B1556="Dnata",VLOOKUP(H1556,'Yield &amp; Time'!A:L,12,0),B1556="NK",VLOOKUP(H1556,'Yield &amp; Time'!A:W,23,0)),0)</f>
        <v>0</v>
      </c>
      <c r="S1556" s="11">
        <f t="shared" si="474"/>
        <v>0</v>
      </c>
      <c r="T1556" s="11">
        <f t="shared" si="475"/>
        <v>0</v>
      </c>
      <c r="U1556" s="11">
        <f>IF(A1555=A1556,0,VLOOKUP(A1556,'Packing Time'!A:F,6,0))</f>
        <v>0</v>
      </c>
      <c r="V1556" s="11">
        <f t="shared" si="465"/>
        <v>0</v>
      </c>
      <c r="W1556" s="11">
        <f t="shared" si="466"/>
        <v>0</v>
      </c>
      <c r="X1556" s="11">
        <f t="shared" si="476"/>
        <v>0</v>
      </c>
      <c r="Y1556" s="11">
        <f t="shared" si="467"/>
        <v>0</v>
      </c>
      <c r="Z1556" s="37">
        <v>1</v>
      </c>
      <c r="AA1556" s="36">
        <f t="shared" si="477"/>
        <v>1</v>
      </c>
      <c r="AB1556" s="11">
        <f t="shared" si="478"/>
        <v>0.14000000000000001</v>
      </c>
      <c r="AC1556" s="11">
        <f t="shared" si="479"/>
        <v>0</v>
      </c>
      <c r="AD1556" s="36">
        <f t="shared" si="468"/>
        <v>0</v>
      </c>
      <c r="AE1556" s="36"/>
      <c r="AF1556" s="36">
        <f>IFERROR(VLOOKUP(AE1556,'Chemical Cost'!A:D,4,0),0)</f>
        <v>0</v>
      </c>
      <c r="AG1556" s="114">
        <f t="shared" si="480"/>
        <v>0</v>
      </c>
      <c r="AH1556" s="36">
        <f t="shared" si="469"/>
        <v>0</v>
      </c>
      <c r="AI1556" s="36">
        <f t="shared" si="471"/>
        <v>0.14000000000000001</v>
      </c>
      <c r="AJ1556" s="36">
        <f>IFERROR(VLOOKUP(A1556,'All Products'!A:F,6,0),0)</f>
        <v>7.5</v>
      </c>
      <c r="AK1556" s="1"/>
      <c r="AL1556" s="1"/>
      <c r="AM1556" s="1"/>
      <c r="AN1556" s="54" t="e">
        <v>#N/A</v>
      </c>
      <c r="AP1556" s="4">
        <v>1.1000000000000001</v>
      </c>
      <c r="AQ1556" s="111">
        <f t="shared" si="481"/>
        <v>0</v>
      </c>
      <c r="AR1556">
        <f>_xlfn.XLOOKUP(F1556,'RM Cost'!A:A,'RM Cost'!S:S)</f>
        <v>0</v>
      </c>
      <c r="AS1556" t="str">
        <f>_xlfn.XLOOKUP(A1556,[3]Sheet1!$B:$B,[3]Sheet1!$B:$B)</f>
        <v>N054CS</v>
      </c>
      <c r="AT1556" t="e">
        <f>_xlfn.XLOOKUP(H1556,'Yield &amp; Time'!A:A,'Yield &amp; Time'!F:F)</f>
        <v>#N/A</v>
      </c>
    </row>
    <row r="1557" spans="1:46" x14ac:dyDescent="0.25">
      <c r="A1557" s="1" t="s">
        <v>4428</v>
      </c>
      <c r="B1557" s="2" t="s">
        <v>4377</v>
      </c>
      <c r="C1557" s="1" t="s">
        <v>4471</v>
      </c>
      <c r="D1557" s="2" t="s">
        <v>554</v>
      </c>
      <c r="E1557" s="2">
        <v>1</v>
      </c>
      <c r="F1557" s="1" t="str">
        <f>VLOOKUP(H1557,'RM Used'!A:B,2,0)</f>
        <v>1318CS</v>
      </c>
      <c r="G1557" s="1" t="str">
        <f>IFERROR(VLOOKUP(F1557,'RM Cost'!A:B,2,0),"")</f>
        <v>RM - PREP ONION RED WHOLE 2.5KG</v>
      </c>
      <c r="H1557" s="1" t="s">
        <v>4489</v>
      </c>
      <c r="I1557" s="1" t="str">
        <f>VLOOKUP(F1557,'RM Used'!B:D,3,0)</f>
        <v>RM-FOOD</v>
      </c>
      <c r="J1557" s="66">
        <v>1</v>
      </c>
      <c r="K1557" s="35">
        <f t="shared" si="472"/>
        <v>1</v>
      </c>
      <c r="L1557" s="35">
        <f t="shared" si="473"/>
        <v>1</v>
      </c>
      <c r="M1557" s="77" cm="1">
        <f t="array" ref="M1557">_xlfn.IFS(BOM!I1557="RM-PACKING","100%",B1557="Reynolds",VLOOKUP(H1557,'Yield &amp; Time'!A:V,22,0),BOM!B1557="Dnata",VLOOKUP(BOM!H1557,'Yield &amp; Time'!A:M,13,0),B1557="NK",VLOOKUP(H1557,'Yield &amp; Time'!A:X,24,0))</f>
        <v>0.88</v>
      </c>
      <c r="N1557" s="35">
        <f t="shared" si="470"/>
        <v>1.1363636363636365</v>
      </c>
      <c r="O1557" s="1" t="str">
        <f>VLOOKUP(H1557,'RM Used'!A:E,5,0)</f>
        <v>KG</v>
      </c>
      <c r="P1557" s="11">
        <f>VLOOKUP(H1557,'RM Used'!A:F,6,0)</f>
        <v>1.08</v>
      </c>
      <c r="Q1557" s="11">
        <f t="shared" si="482"/>
        <v>1.2272727272727275</v>
      </c>
      <c r="R1557" s="11" cm="1">
        <f t="array" ref="R1557">IFERROR(_xlfn.IFS(B1557="Reynolds",VLOOKUP(H1557,'Yield &amp; Time'!A:U,21,0),B1557="Dnata",VLOOKUP(H1557,'Yield &amp; Time'!A:L,12,0),B1557="NK",VLOOKUP(H1557,'Yield &amp; Time'!A:W,23,0)),0)</f>
        <v>0.5</v>
      </c>
      <c r="S1557" s="11">
        <f t="shared" si="474"/>
        <v>0.16924999999999998</v>
      </c>
      <c r="T1557" s="11">
        <f t="shared" si="475"/>
        <v>8.3333333333333332E-3</v>
      </c>
      <c r="U1557" s="11">
        <f>IF(A1556=A1557,0,VLOOKUP(A1557,'Packing Time'!A:F,6,0))</f>
        <v>0.64500000000000002</v>
      </c>
      <c r="V1557" s="11">
        <f t="shared" si="465"/>
        <v>0.21833249999999998</v>
      </c>
      <c r="W1557" s="11">
        <f t="shared" si="466"/>
        <v>1.0750000000000001E-2</v>
      </c>
      <c r="X1557" s="11">
        <f t="shared" si="476"/>
        <v>0.42634075000000005</v>
      </c>
      <c r="Y1557" s="11">
        <f t="shared" si="467"/>
        <v>0.42634075000000005</v>
      </c>
      <c r="Z1557" s="37">
        <v>1</v>
      </c>
      <c r="AA1557" s="36">
        <f t="shared" si="477"/>
        <v>1.1363636363636365</v>
      </c>
      <c r="AB1557" s="11">
        <f t="shared" si="478"/>
        <v>1.2272727272727275</v>
      </c>
      <c r="AC1557" s="11">
        <f t="shared" si="479"/>
        <v>2.0991666666666669E-2</v>
      </c>
      <c r="AD1557" s="36">
        <f t="shared" si="468"/>
        <v>0.42634074999999999</v>
      </c>
      <c r="AE1557" s="36">
        <f>VLOOKUP(H1557,'Yield &amp; Time'!A:I,9,0)</f>
        <v>0</v>
      </c>
      <c r="AF1557" s="36">
        <f>IFERROR(VLOOKUP(AE1557,'Chemical Cost'!A:D,4,0),0)</f>
        <v>0</v>
      </c>
      <c r="AG1557" s="114">
        <f t="shared" si="480"/>
        <v>0</v>
      </c>
      <c r="AH1557" s="36">
        <f t="shared" si="469"/>
        <v>0</v>
      </c>
      <c r="AI1557" s="36">
        <f t="shared" si="471"/>
        <v>1.6536134772727276</v>
      </c>
      <c r="AJ1557" s="36">
        <f>IFERROR(VLOOKUP(A1557,'All Products'!A:F,6,0),0)</f>
        <v>3.11</v>
      </c>
      <c r="AK1557" s="1"/>
      <c r="AL1557" s="1"/>
      <c r="AM1557" s="1"/>
      <c r="AN1557" s="54" t="s">
        <v>4428</v>
      </c>
      <c r="AP1557" s="4">
        <v>1.1000000000000001</v>
      </c>
      <c r="AQ1557" s="111">
        <f t="shared" si="481"/>
        <v>2.0991666666666669E-2</v>
      </c>
      <c r="AR1557">
        <f>_xlfn.XLOOKUP(F1557,'RM Cost'!A:A,'RM Cost'!S:S)</f>
        <v>0</v>
      </c>
      <c r="AS1557" t="str">
        <f>_xlfn.XLOOKUP(A1557,[3]Sheet1!$B:$B,[3]Sheet1!$B:$B)</f>
        <v>N056CS</v>
      </c>
      <c r="AT1557">
        <f>_xlfn.XLOOKUP(H1557,'Yield &amp; Time'!A:A,'Yield &amp; Time'!F:F)</f>
        <v>0</v>
      </c>
    </row>
    <row r="1558" spans="1:46" x14ac:dyDescent="0.25">
      <c r="A1558" s="1" t="s">
        <v>4428</v>
      </c>
      <c r="B1558" s="1" t="s">
        <v>4377</v>
      </c>
      <c r="C1558" s="1" t="s">
        <v>4471</v>
      </c>
      <c r="D1558" s="1" t="s">
        <v>554</v>
      </c>
      <c r="E1558" s="2">
        <v>1</v>
      </c>
      <c r="F1558" s="1" t="str">
        <f>VLOOKUP(H1558,'RM Used'!A:B,2,0)</f>
        <v>P0008</v>
      </c>
      <c r="G1558" s="1" t="str">
        <f>IFERROR(VLOOKUP(F1558,'RM Cost'!A:B,2,0),"")</f>
        <v>PALE BLUE BAG 470X750MM</v>
      </c>
      <c r="H1558" s="1" t="s">
        <v>1323</v>
      </c>
      <c r="I1558" s="1" t="str">
        <f>VLOOKUP(F1558,'RM Used'!B:D,3,0)</f>
        <v>RM-PACKING</v>
      </c>
      <c r="J1558" s="66">
        <v>1</v>
      </c>
      <c r="K1558" s="35" t="str">
        <f t="shared" si="472"/>
        <v/>
      </c>
      <c r="L1558" s="35">
        <f t="shared" si="473"/>
        <v>0</v>
      </c>
      <c r="M1558" s="77" t="str" cm="1">
        <f t="array" ref="M1558">_xlfn.IFS(BOM!I1558="RM-PACKING","100%",B1558="Reynolds",VLOOKUP(H1558,'Yield &amp; Time'!A:V,22,0),BOM!B1558="Dnata",VLOOKUP(BOM!H1558,'Yield &amp; Time'!A:M,13,0),B1558="NK",VLOOKUP(H1558,'Yield &amp; Time'!A:X,24,0))</f>
        <v>100%</v>
      </c>
      <c r="N1558" s="35">
        <f t="shared" si="470"/>
        <v>1</v>
      </c>
      <c r="O1558" s="1" t="str">
        <f>VLOOKUP(H1558,'RM Used'!A:E,5,0)</f>
        <v>Count</v>
      </c>
      <c r="P1558" s="11">
        <f>VLOOKUP(H1558,'RM Used'!A:F,6,0)</f>
        <v>0.14000000000000001</v>
      </c>
      <c r="Q1558" s="11">
        <f t="shared" si="482"/>
        <v>0.14000000000000001</v>
      </c>
      <c r="R1558" s="11" cm="1">
        <f t="array" ref="R1558">IFERROR(_xlfn.IFS(B1558="Reynolds",VLOOKUP(H1558,'Yield &amp; Time'!A:U,21,0),B1558="Dnata",VLOOKUP(H1558,'Yield &amp; Time'!A:L,12,0),B1558="NK",VLOOKUP(H1558,'Yield &amp; Time'!A:W,23,0)),0)</f>
        <v>0</v>
      </c>
      <c r="S1558" s="11">
        <f t="shared" si="474"/>
        <v>0</v>
      </c>
      <c r="T1558" s="11">
        <f t="shared" si="475"/>
        <v>0</v>
      </c>
      <c r="U1558" s="11">
        <f>IF(A1557=A1558,0,VLOOKUP(A1558,'Packing Time'!A:F,6,0))</f>
        <v>0</v>
      </c>
      <c r="V1558" s="11">
        <f t="shared" si="465"/>
        <v>0</v>
      </c>
      <c r="W1558" s="11">
        <f t="shared" si="466"/>
        <v>0</v>
      </c>
      <c r="X1558" s="11">
        <f t="shared" si="476"/>
        <v>0</v>
      </c>
      <c r="Y1558" s="11">
        <f t="shared" si="467"/>
        <v>0</v>
      </c>
      <c r="Z1558" s="37">
        <v>1</v>
      </c>
      <c r="AA1558" s="36">
        <f t="shared" si="477"/>
        <v>1</v>
      </c>
      <c r="AB1558" s="11">
        <f t="shared" si="478"/>
        <v>0.14000000000000001</v>
      </c>
      <c r="AC1558" s="11">
        <f t="shared" si="479"/>
        <v>0</v>
      </c>
      <c r="AD1558" s="36">
        <f t="shared" si="468"/>
        <v>0</v>
      </c>
      <c r="AE1558" s="36"/>
      <c r="AF1558" s="36">
        <f>IFERROR(VLOOKUP(AE1558,'Chemical Cost'!A:D,4,0),0)</f>
        <v>0</v>
      </c>
      <c r="AG1558" s="114">
        <f t="shared" si="480"/>
        <v>0</v>
      </c>
      <c r="AH1558" s="36">
        <f t="shared" si="469"/>
        <v>0</v>
      </c>
      <c r="AI1558" s="36">
        <f t="shared" si="471"/>
        <v>0.14000000000000001</v>
      </c>
      <c r="AJ1558" s="36">
        <f>IFERROR(VLOOKUP(A1558,'All Products'!A:F,6,0),0)</f>
        <v>3.11</v>
      </c>
      <c r="AK1558" s="1"/>
      <c r="AL1558" s="1"/>
      <c r="AM1558" s="1"/>
      <c r="AN1558" s="54" t="s">
        <v>4428</v>
      </c>
      <c r="AP1558" s="4">
        <v>1.1000000000000001</v>
      </c>
      <c r="AQ1558" s="111">
        <f t="shared" si="481"/>
        <v>0</v>
      </c>
      <c r="AR1558">
        <f>_xlfn.XLOOKUP(F1558,'RM Cost'!A:A,'RM Cost'!S:S)</f>
        <v>0</v>
      </c>
      <c r="AS1558" t="str">
        <f>_xlfn.XLOOKUP(A1558,[3]Sheet1!$B:$B,[3]Sheet1!$B:$B)</f>
        <v>N056CS</v>
      </c>
      <c r="AT1558" t="e">
        <f>_xlfn.XLOOKUP(H1558,'Yield &amp; Time'!A:A,'Yield &amp; Time'!F:F)</f>
        <v>#N/A</v>
      </c>
    </row>
    <row r="1559" spans="1:46" x14ac:dyDescent="0.25">
      <c r="A1559" s="1" t="s">
        <v>4429</v>
      </c>
      <c r="B1559" s="2" t="s">
        <v>4377</v>
      </c>
      <c r="C1559" s="1" t="s">
        <v>4472</v>
      </c>
      <c r="D1559" s="2" t="s">
        <v>554</v>
      </c>
      <c r="E1559" s="2">
        <v>1</v>
      </c>
      <c r="F1559" s="1" t="str">
        <f>VLOOKUP(H1559,'RM Used'!A:B,2,0)</f>
        <v>206ACS</v>
      </c>
      <c r="G1559" s="1" t="str">
        <f>IFERROR(VLOOKUP(F1559,'RM Cost'!A:B,2,0),"")</f>
        <v>RM - PREP ONION WHOLE 10KG</v>
      </c>
      <c r="H1559" s="1" t="s">
        <v>1403</v>
      </c>
      <c r="I1559" s="1" t="str">
        <f>VLOOKUP(F1559,'RM Used'!B:D,3,0)</f>
        <v>RM-FOOD</v>
      </c>
      <c r="J1559" s="66">
        <v>1</v>
      </c>
      <c r="K1559" s="35">
        <f t="shared" si="472"/>
        <v>1</v>
      </c>
      <c r="L1559" s="35">
        <f t="shared" si="473"/>
        <v>1</v>
      </c>
      <c r="M1559" s="77" cm="1">
        <f t="array" ref="M1559">_xlfn.IFS(BOM!I1559="RM-PACKING","100%",B1559="Reynolds",VLOOKUP(H1559,'Yield &amp; Time'!A:V,22,0),BOM!B1559="Dnata",VLOOKUP(BOM!H1559,'Yield &amp; Time'!A:M,13,0),B1559="NK",VLOOKUP(H1559,'Yield &amp; Time'!A:X,24,0))</f>
        <v>0.89371428571428579</v>
      </c>
      <c r="N1559" s="35">
        <f t="shared" si="470"/>
        <v>1.118925831202046</v>
      </c>
      <c r="O1559" s="1" t="str">
        <f>VLOOKUP(H1559,'RM Used'!A:E,5,0)</f>
        <v>KG</v>
      </c>
      <c r="P1559" s="11">
        <f>VLOOKUP(H1559,'RM Used'!A:F,6,0)</f>
        <v>0.87</v>
      </c>
      <c r="Q1559" s="11">
        <f t="shared" si="482"/>
        <v>0.97346547314578002</v>
      </c>
      <c r="R1559" s="11" cm="1">
        <f t="array" ref="R1559">IFERROR(_xlfn.IFS(B1559="Reynolds",VLOOKUP(H1559,'Yield &amp; Time'!A:U,21,0),B1559="Dnata",VLOOKUP(H1559,'Yield &amp; Time'!A:L,12,0),B1559="NK",VLOOKUP(H1559,'Yield &amp; Time'!A:W,23,0)),0)</f>
        <v>0.39</v>
      </c>
      <c r="S1559" s="11">
        <f t="shared" si="474"/>
        <v>0.13201499999999999</v>
      </c>
      <c r="T1559" s="11">
        <f t="shared" si="475"/>
        <v>6.5000000000000006E-3</v>
      </c>
      <c r="U1559" s="11">
        <f>IF(A1558=A1559,0,VLOOKUP(A1559,'Packing Time'!A:F,6,0))</f>
        <v>0.64500000000000002</v>
      </c>
      <c r="V1559" s="11">
        <f t="shared" si="465"/>
        <v>0.21833249999999998</v>
      </c>
      <c r="W1559" s="11">
        <f t="shared" si="466"/>
        <v>1.0750000000000001E-2</v>
      </c>
      <c r="X1559" s="11">
        <f t="shared" si="476"/>
        <v>0.38538225000000009</v>
      </c>
      <c r="Y1559" s="11">
        <f t="shared" si="467"/>
        <v>0.38538225000000009</v>
      </c>
      <c r="Z1559" s="37">
        <v>1</v>
      </c>
      <c r="AA1559" s="36">
        <f t="shared" si="477"/>
        <v>1.118925831202046</v>
      </c>
      <c r="AB1559" s="11">
        <f t="shared" si="478"/>
        <v>0.97346547314578002</v>
      </c>
      <c r="AC1559" s="11">
        <f t="shared" si="479"/>
        <v>1.8975000000000002E-2</v>
      </c>
      <c r="AD1559" s="36">
        <f t="shared" si="468"/>
        <v>0.38538224999999998</v>
      </c>
      <c r="AE1559" s="36">
        <f>VLOOKUP(H1559,'Yield &amp; Time'!A:I,9,0)</f>
        <v>0</v>
      </c>
      <c r="AF1559" s="36">
        <f>IFERROR(VLOOKUP(AE1559,'Chemical Cost'!A:D,4,0),0)</f>
        <v>0</v>
      </c>
      <c r="AG1559" s="114">
        <f t="shared" si="480"/>
        <v>0</v>
      </c>
      <c r="AH1559" s="36">
        <f t="shared" si="469"/>
        <v>0</v>
      </c>
      <c r="AI1559" s="36">
        <f t="shared" si="471"/>
        <v>1.3588477231457801</v>
      </c>
      <c r="AJ1559" s="36">
        <f>IFERROR(VLOOKUP(A1559,'All Products'!A:F,6,0),0)</f>
        <v>1.87</v>
      </c>
      <c r="AK1559" s="1"/>
      <c r="AL1559" s="1"/>
      <c r="AM1559" s="1"/>
      <c r="AN1559" s="54" t="e">
        <v>#N/A</v>
      </c>
      <c r="AP1559" s="4">
        <v>1.1000000000000001</v>
      </c>
      <c r="AQ1559" s="111">
        <f t="shared" si="481"/>
        <v>1.8975000000000002E-2</v>
      </c>
      <c r="AR1559">
        <f>_xlfn.XLOOKUP(F1559,'RM Cost'!A:A,'RM Cost'!S:S)</f>
        <v>0</v>
      </c>
      <c r="AS1559" t="str">
        <f>_xlfn.XLOOKUP(A1559,[3]Sheet1!$B:$B,[3]Sheet1!$B:$B)</f>
        <v>N057CS</v>
      </c>
      <c r="AT1559">
        <f>_xlfn.XLOOKUP(H1559,'Yield &amp; Time'!A:A,'Yield &amp; Time'!F:F)</f>
        <v>0</v>
      </c>
    </row>
    <row r="1560" spans="1:46" x14ac:dyDescent="0.25">
      <c r="A1560" s="1" t="s">
        <v>4429</v>
      </c>
      <c r="B1560" s="2" t="s">
        <v>4377</v>
      </c>
      <c r="C1560" s="1" t="s">
        <v>4472</v>
      </c>
      <c r="D1560" s="2" t="s">
        <v>554</v>
      </c>
      <c r="E1560" s="2">
        <v>1</v>
      </c>
      <c r="F1560" s="1" t="str">
        <f>VLOOKUP(H1560,'RM Used'!A:B,2,0)</f>
        <v>P0008</v>
      </c>
      <c r="G1560" s="1" t="str">
        <f>IFERROR(VLOOKUP(F1560,'RM Cost'!A:B,2,0),"")</f>
        <v>PALE BLUE BAG 470X750MM</v>
      </c>
      <c r="H1560" s="1" t="s">
        <v>1323</v>
      </c>
      <c r="I1560" s="1" t="str">
        <f>VLOOKUP(F1560,'RM Used'!B:D,3,0)</f>
        <v>RM-PACKING</v>
      </c>
      <c r="J1560" s="66">
        <v>1</v>
      </c>
      <c r="K1560" s="35" t="str">
        <f t="shared" si="472"/>
        <v/>
      </c>
      <c r="L1560" s="35">
        <f t="shared" si="473"/>
        <v>0</v>
      </c>
      <c r="M1560" s="77" t="str" cm="1">
        <f t="array" ref="M1560">_xlfn.IFS(BOM!I1560="RM-PACKING","100%",B1560="Reynolds",VLOOKUP(H1560,'Yield &amp; Time'!A:V,22,0),BOM!B1560="Dnata",VLOOKUP(BOM!H1560,'Yield &amp; Time'!A:M,13,0),B1560="NK",VLOOKUP(H1560,'Yield &amp; Time'!A:X,24,0))</f>
        <v>100%</v>
      </c>
      <c r="N1560" s="35">
        <f t="shared" ref="N1560:N1591" si="483">IFERROR(IF(I1560="RM-FOOD",(E1560*J1560)/M1560,1),0)</f>
        <v>1</v>
      </c>
      <c r="O1560" s="1" t="str">
        <f>VLOOKUP(H1560,'RM Used'!A:E,5,0)</f>
        <v>Count</v>
      </c>
      <c r="P1560" s="11">
        <f>VLOOKUP(H1560,'RM Used'!A:F,6,0)</f>
        <v>0.14000000000000001</v>
      </c>
      <c r="Q1560" s="11">
        <f t="shared" si="482"/>
        <v>0.14000000000000001</v>
      </c>
      <c r="R1560" s="11" cm="1">
        <f t="array" ref="R1560">IFERROR(_xlfn.IFS(B1560="Reynolds",VLOOKUP(H1560,'Yield &amp; Time'!A:U,21,0),B1560="Dnata",VLOOKUP(H1560,'Yield &amp; Time'!A:L,12,0),B1560="NK",VLOOKUP(H1560,'Yield &amp; Time'!A:W,23,0)),0)</f>
        <v>0</v>
      </c>
      <c r="S1560" s="11">
        <f t="shared" si="474"/>
        <v>0</v>
      </c>
      <c r="T1560" s="11">
        <f t="shared" si="475"/>
        <v>0</v>
      </c>
      <c r="U1560" s="11">
        <f>IF(A1559=A1560,0,VLOOKUP(A1560,'Packing Time'!A:F,6,0))</f>
        <v>0</v>
      </c>
      <c r="V1560" s="11">
        <f t="shared" si="465"/>
        <v>0</v>
      </c>
      <c r="W1560" s="11">
        <f t="shared" si="466"/>
        <v>0</v>
      </c>
      <c r="X1560" s="11">
        <f t="shared" si="476"/>
        <v>0</v>
      </c>
      <c r="Y1560" s="11">
        <f t="shared" si="467"/>
        <v>0</v>
      </c>
      <c r="Z1560" s="37">
        <v>1</v>
      </c>
      <c r="AA1560" s="36">
        <f t="shared" si="477"/>
        <v>1</v>
      </c>
      <c r="AB1560" s="11">
        <f t="shared" si="478"/>
        <v>0.14000000000000001</v>
      </c>
      <c r="AC1560" s="11">
        <f t="shared" si="479"/>
        <v>0</v>
      </c>
      <c r="AD1560" s="36">
        <f t="shared" si="468"/>
        <v>0</v>
      </c>
      <c r="AE1560" s="36"/>
      <c r="AF1560" s="36">
        <f>IFERROR(VLOOKUP(AE1560,'Chemical Cost'!A:D,4,0),0)</f>
        <v>0</v>
      </c>
      <c r="AG1560" s="114">
        <f t="shared" si="480"/>
        <v>0</v>
      </c>
      <c r="AH1560" s="36">
        <f t="shared" si="469"/>
        <v>0</v>
      </c>
      <c r="AI1560" s="36">
        <f t="shared" ref="AI1560:AI1591" si="484">IFERROR((Q1560*Z1560)+(Z1560*X1560)+AH1560,0)</f>
        <v>0.14000000000000001</v>
      </c>
      <c r="AJ1560" s="36">
        <f>IFERROR(VLOOKUP(A1560,'All Products'!A:F,6,0),0)</f>
        <v>1.87</v>
      </c>
      <c r="AK1560" s="1"/>
      <c r="AL1560" s="1"/>
      <c r="AM1560" s="1"/>
      <c r="AN1560" s="54" t="e">
        <v>#N/A</v>
      </c>
      <c r="AP1560" s="4">
        <v>1.1000000000000001</v>
      </c>
      <c r="AQ1560" s="111">
        <f t="shared" si="481"/>
        <v>0</v>
      </c>
      <c r="AR1560">
        <f>_xlfn.XLOOKUP(F1560,'RM Cost'!A:A,'RM Cost'!S:S)</f>
        <v>0</v>
      </c>
      <c r="AS1560" t="str">
        <f>_xlfn.XLOOKUP(A1560,[3]Sheet1!$B:$B,[3]Sheet1!$B:$B)</f>
        <v>N057CS</v>
      </c>
      <c r="AT1560" t="e">
        <f>_xlfn.XLOOKUP(H1560,'Yield &amp; Time'!A:A,'Yield &amp; Time'!F:F)</f>
        <v>#N/A</v>
      </c>
    </row>
    <row r="1561" spans="1:46" x14ac:dyDescent="0.25">
      <c r="A1561" s="1" t="s">
        <v>4490</v>
      </c>
      <c r="B1561" s="2" t="s">
        <v>552</v>
      </c>
      <c r="C1561" s="1" t="s">
        <v>4491</v>
      </c>
      <c r="D1561" s="2" t="s">
        <v>554</v>
      </c>
      <c r="E1561" s="2">
        <v>5</v>
      </c>
      <c r="F1561" s="1" t="str">
        <f>VLOOKUP(H1561,'RM Used'!A:B,2,0)</f>
        <v>S3998CS</v>
      </c>
      <c r="G1561" s="1" t="str">
        <f>IFERROR(VLOOKUP(F1561,'RM Cost'!A:B,2,0),"")</f>
        <v>RM - DECORED RED CABBAGE 1/3 1200KG</v>
      </c>
      <c r="H1561" s="1" t="s">
        <v>1349</v>
      </c>
      <c r="I1561" s="1" t="str">
        <f>VLOOKUP(F1561,'RM Used'!B:D,3,0)</f>
        <v>RM-FOOD</v>
      </c>
      <c r="J1561" s="66">
        <v>0.3</v>
      </c>
      <c r="K1561" s="35">
        <f t="shared" si="472"/>
        <v>1.5</v>
      </c>
      <c r="L1561" s="35">
        <f t="shared" si="473"/>
        <v>1.5</v>
      </c>
      <c r="M1561" s="77" cm="1">
        <f t="array" ref="M1561">_xlfn.IFS(BOM!I1561="RM-PACKING","100%",B1561="Reynolds",VLOOKUP(H1561,'Yield &amp; Time'!A:V,22,0),BOM!B1561="Dnata",VLOOKUP(BOM!H1561,'Yield &amp; Time'!A:M,13,0),B1561="NK",VLOOKUP(H1561,'Yield &amp; Time'!A:X,24,0))</f>
        <v>0.75138040345821322</v>
      </c>
      <c r="N1561" s="35">
        <f t="shared" si="483"/>
        <v>1.9963256868242505</v>
      </c>
      <c r="O1561" s="1" t="str">
        <f>VLOOKUP(H1561,'RM Used'!A:E,5,0)</f>
        <v>KG</v>
      </c>
      <c r="P1561" s="11">
        <f>VLOOKUP(H1561,'RM Used'!A:F,6,0)</f>
        <v>0.38</v>
      </c>
      <c r="Q1561" s="11">
        <f t="shared" si="482"/>
        <v>0.75860376099321525</v>
      </c>
      <c r="R1561" s="11" cm="1">
        <f t="array" ref="R1561">IFERROR(_xlfn.IFS(B1561="Reynolds",VLOOKUP(H1561,'Yield &amp; Time'!A:U,21,0),B1561="Dnata",VLOOKUP(H1561,'Yield &amp; Time'!A:L,12,0),B1561="NK",VLOOKUP(H1561,'Yield &amp; Time'!A:W,23,0)),0)</f>
        <v>0.76261570798735501</v>
      </c>
      <c r="S1561" s="11">
        <f t="shared" si="474"/>
        <v>0.38721812573057945</v>
      </c>
      <c r="T1561" s="11">
        <f t="shared" si="475"/>
        <v>1.9065392699683874E-2</v>
      </c>
      <c r="U1561" s="11">
        <f>IF(A1560=A1561,0,VLOOKUP(A1561,'Packing Time'!A:F,6,0))</f>
        <v>1.1850000000000001</v>
      </c>
      <c r="V1561" s="11">
        <f t="shared" si="465"/>
        <v>0.40112249999999999</v>
      </c>
      <c r="W1561" s="11">
        <f t="shared" si="466"/>
        <v>1.975E-2</v>
      </c>
      <c r="X1561" s="11">
        <f t="shared" si="476"/>
        <v>0.86717468830363742</v>
      </c>
      <c r="Y1561" s="11">
        <f t="shared" si="467"/>
        <v>0.86717468830363742</v>
      </c>
      <c r="Z1561" s="37">
        <v>1</v>
      </c>
      <c r="AA1561" s="36">
        <f t="shared" si="477"/>
        <v>1.9963256868242505</v>
      </c>
      <c r="AB1561" s="11">
        <f t="shared" si="478"/>
        <v>0.75860376099321525</v>
      </c>
      <c r="AC1561" s="11">
        <f t="shared" si="479"/>
        <v>4.2696931969652269E-2</v>
      </c>
      <c r="AD1561" s="36">
        <f t="shared" si="468"/>
        <v>0.86717468830363742</v>
      </c>
      <c r="AE1561" s="36"/>
      <c r="AF1561" s="36">
        <f>IFERROR(VLOOKUP(AE1561,'Chemical Cost'!A:D,4,0),0)</f>
        <v>0</v>
      </c>
      <c r="AG1561" s="114">
        <f t="shared" si="480"/>
        <v>0</v>
      </c>
      <c r="AH1561" s="36">
        <f t="shared" si="469"/>
        <v>0</v>
      </c>
      <c r="AI1561" s="36">
        <f t="shared" si="484"/>
        <v>1.6257784492968526</v>
      </c>
      <c r="AJ1561" s="36">
        <f>IFERROR(VLOOKUP(A1561,'All Products'!A:F,6,0),0)</f>
        <v>16.059999999999999</v>
      </c>
      <c r="AK1561" s="1"/>
      <c r="AL1561" s="1"/>
      <c r="AM1561" s="1"/>
      <c r="AN1561" s="54" t="e">
        <v>#N/A</v>
      </c>
      <c r="AP1561" s="4">
        <v>1.1000000000000001</v>
      </c>
      <c r="AQ1561" s="111">
        <f t="shared" si="481"/>
        <v>4.2696931969652269E-2</v>
      </c>
      <c r="AR1561">
        <f>_xlfn.XLOOKUP(F1561,'RM Cost'!A:A,'RM Cost'!S:S)</f>
        <v>0.29914853989077506</v>
      </c>
      <c r="AS1561" t="str">
        <f>_xlfn.XLOOKUP(A1561,[3]Sheet1!$B:$B,[3]Sheet1!$B:$B)</f>
        <v>349BCS</v>
      </c>
      <c r="AT1561" t="str">
        <f>_xlfn.XLOOKUP(H1561,'Yield &amp; Time'!A:A,'Yield &amp; Time'!O:O)</f>
        <v>Yes</v>
      </c>
    </row>
    <row r="1562" spans="1:46" x14ac:dyDescent="0.25">
      <c r="A1562" s="1" t="s">
        <v>4490</v>
      </c>
      <c r="B1562" s="2" t="s">
        <v>552</v>
      </c>
      <c r="C1562" s="1" t="s">
        <v>4491</v>
      </c>
      <c r="D1562" s="2" t="s">
        <v>554</v>
      </c>
      <c r="E1562" s="2">
        <v>5</v>
      </c>
      <c r="F1562" s="1" t="str">
        <f>VLOOKUP(H1562,'RM Used'!A:B,2,0)</f>
        <v>S3997CS</v>
      </c>
      <c r="G1562" s="1" t="str">
        <f>IFERROR(VLOOKUP(F1562,'RM Cost'!A:B,2,0),"")</f>
        <v>RM - DECORE WHITE CABBAGE 1/3 1200KG</v>
      </c>
      <c r="H1562" s="1" t="s">
        <v>1352</v>
      </c>
      <c r="I1562" s="1" t="str">
        <f>VLOOKUP(F1562,'RM Used'!B:D,3,0)</f>
        <v>RM-FOOD</v>
      </c>
      <c r="J1562" s="66">
        <v>0.56000000000000005</v>
      </c>
      <c r="K1562" s="35">
        <f t="shared" si="472"/>
        <v>2.8000000000000003</v>
      </c>
      <c r="L1562" s="35">
        <f t="shared" si="473"/>
        <v>2.8000000000000003</v>
      </c>
      <c r="M1562" s="77" cm="1">
        <f t="array" ref="M1562">_xlfn.IFS(BOM!I1562="RM-PACKING","100%",B1562="Reynolds",VLOOKUP(H1562,'Yield &amp; Time'!A:V,22,0),BOM!B1562="Dnata",VLOOKUP(BOM!H1562,'Yield &amp; Time'!A:M,13,0),B1562="NK",VLOOKUP(H1562,'Yield &amp; Time'!A:X,24,0))</f>
        <v>0.74345249999999996</v>
      </c>
      <c r="N1562" s="35">
        <f t="shared" si="483"/>
        <v>3.7662123672998615</v>
      </c>
      <c r="O1562" s="1" t="str">
        <f>VLOOKUP(H1562,'RM Used'!A:E,5,0)</f>
        <v>KG</v>
      </c>
      <c r="P1562" s="11">
        <f>VLOOKUP(H1562,'RM Used'!A:F,6,0)</f>
        <v>0.34</v>
      </c>
      <c r="Q1562" s="11">
        <f t="shared" si="482"/>
        <v>1.2805122048819531</v>
      </c>
      <c r="R1562" s="11" cm="1">
        <f t="array" ref="R1562">IFERROR(_xlfn.IFS(B1562="Reynolds",VLOOKUP(H1562,'Yield &amp; Time'!A:U,21,0),B1562="Dnata",VLOOKUP(H1562,'Yield &amp; Time'!A:L,12,0),B1562="NK",VLOOKUP(H1562,'Yield &amp; Time'!A:W,23,0)),0)</f>
        <v>0.79828721807060099</v>
      </c>
      <c r="S1562" s="11">
        <f t="shared" si="474"/>
        <v>0.75661662528731555</v>
      </c>
      <c r="T1562" s="11">
        <f t="shared" si="475"/>
        <v>3.7253403509961383E-2</v>
      </c>
      <c r="U1562" s="11">
        <f>IF(A1561=A1562,0,VLOOKUP(A1562,'Packing Time'!A:F,6,0))</f>
        <v>0</v>
      </c>
      <c r="V1562" s="11">
        <f t="shared" si="465"/>
        <v>0</v>
      </c>
      <c r="W1562" s="11">
        <f t="shared" si="466"/>
        <v>0</v>
      </c>
      <c r="X1562" s="11">
        <f t="shared" si="476"/>
        <v>0.83227828781604718</v>
      </c>
      <c r="Y1562" s="11">
        <f t="shared" si="467"/>
        <v>0.83227828781604718</v>
      </c>
      <c r="Z1562" s="37">
        <v>1</v>
      </c>
      <c r="AA1562" s="36">
        <f t="shared" si="477"/>
        <v>3.7662123672998615</v>
      </c>
      <c r="AB1562" s="11">
        <f t="shared" si="478"/>
        <v>1.2805122048819531</v>
      </c>
      <c r="AC1562" s="11">
        <f t="shared" si="479"/>
        <v>4.0978743860957526E-2</v>
      </c>
      <c r="AD1562" s="36">
        <f t="shared" si="468"/>
        <v>0.83227828781604718</v>
      </c>
      <c r="AE1562" s="36"/>
      <c r="AF1562" s="36">
        <f>IFERROR(VLOOKUP(AE1562,'Chemical Cost'!A:D,4,0),0)</f>
        <v>0</v>
      </c>
      <c r="AG1562" s="114">
        <f t="shared" si="480"/>
        <v>0</v>
      </c>
      <c r="AH1562" s="36">
        <f t="shared" si="469"/>
        <v>0</v>
      </c>
      <c r="AI1562" s="36">
        <f t="shared" si="484"/>
        <v>2.1127904926980001</v>
      </c>
      <c r="AJ1562" s="36">
        <f>IFERROR(VLOOKUP(A1562,'All Products'!A:F,6,0),0)</f>
        <v>16.059999999999999</v>
      </c>
      <c r="AK1562" s="1"/>
      <c r="AL1562" s="1"/>
      <c r="AM1562" s="1"/>
      <c r="AN1562" s="54" t="e">
        <v>#N/A</v>
      </c>
      <c r="AP1562" s="4">
        <v>1.1000000000000001</v>
      </c>
      <c r="AQ1562" s="111">
        <f t="shared" si="481"/>
        <v>4.0978743860957526E-2</v>
      </c>
      <c r="AR1562">
        <f>_xlfn.XLOOKUP(F1562,'RM Cost'!A:A,'RM Cost'!S:S)</f>
        <v>0.29914853989077506</v>
      </c>
      <c r="AS1562" t="str">
        <f>_xlfn.XLOOKUP(A1562,[3]Sheet1!$B:$B,[3]Sheet1!$B:$B)</f>
        <v>349BCS</v>
      </c>
      <c r="AT1562" t="str">
        <f>_xlfn.XLOOKUP(H1562,'Yield &amp; Time'!A:A,'Yield &amp; Time'!O:O)</f>
        <v>Yes</v>
      </c>
    </row>
    <row r="1563" spans="1:46" x14ac:dyDescent="0.25">
      <c r="A1563" s="1" t="s">
        <v>4490</v>
      </c>
      <c r="B1563" s="2" t="s">
        <v>552</v>
      </c>
      <c r="C1563" s="1" t="s">
        <v>4491</v>
      </c>
      <c r="D1563" s="2" t="s">
        <v>554</v>
      </c>
      <c r="E1563" s="2">
        <v>5</v>
      </c>
      <c r="F1563" s="1" t="str">
        <f>VLOOKUP(H1563,'RM Used'!A:B,2,0)</f>
        <v>3112CS</v>
      </c>
      <c r="G1563" s="1" t="str">
        <f>IFERROR(VLOOKUP(F1563,'RM Cost'!A:B,2,0),"")</f>
        <v>WHOLE LEAF CURLY KALE 5X1KG</v>
      </c>
      <c r="H1563" s="1" t="s">
        <v>1354</v>
      </c>
      <c r="I1563" s="1" t="str">
        <f>VLOOKUP(F1563,'RM Used'!B:D,3,0)</f>
        <v>RM-FOOD</v>
      </c>
      <c r="J1563" s="66">
        <v>0.14000000000000001</v>
      </c>
      <c r="K1563" s="35">
        <f t="shared" si="472"/>
        <v>0.70000000000000007</v>
      </c>
      <c r="L1563" s="35">
        <f t="shared" si="473"/>
        <v>0.70000000000000007</v>
      </c>
      <c r="M1563" s="77" cm="1">
        <f t="array" ref="M1563">_xlfn.IFS(BOM!I1563="RM-PACKING","100%",B1563="Reynolds",VLOOKUP(H1563,'Yield &amp; Time'!A:V,22,0),BOM!B1563="Dnata",VLOOKUP(BOM!H1563,'Yield &amp; Time'!A:M,13,0),B1563="NK",VLOOKUP(H1563,'Yield &amp; Time'!A:X,24,0))</f>
        <v>0.73052362707535112</v>
      </c>
      <c r="N1563" s="35">
        <f t="shared" si="483"/>
        <v>0.95821678321678339</v>
      </c>
      <c r="O1563" s="1" t="str">
        <f>VLOOKUP(H1563,'RM Used'!A:E,5,0)</f>
        <v>KG</v>
      </c>
      <c r="P1563" s="11">
        <f>VLOOKUP(H1563,'RM Used'!A:F,6,0)</f>
        <v>1.45</v>
      </c>
      <c r="Q1563" s="11">
        <f t="shared" si="482"/>
        <v>1.3894143356643358</v>
      </c>
      <c r="R1563" s="11" cm="1">
        <f t="array" ref="R1563">IFERROR(_xlfn.IFS(B1563="Reynolds",VLOOKUP(H1563,'Yield &amp; Time'!A:U,21,0),B1563="Dnata",VLOOKUP(H1563,'Yield &amp; Time'!A:L,12,0),B1563="NK",VLOOKUP(H1563,'Yield &amp; Time'!A:W,23,0)),0)</f>
        <v>3.3216783216783217</v>
      </c>
      <c r="S1563" s="11">
        <f t="shared" si="474"/>
        <v>0.78707167832167835</v>
      </c>
      <c r="T1563" s="11">
        <f t="shared" si="475"/>
        <v>3.8752913752913759E-2</v>
      </c>
      <c r="U1563" s="11">
        <f>IF(A1562=A1563,0,VLOOKUP(A1563,'Packing Time'!A:F,6,0))</f>
        <v>0</v>
      </c>
      <c r="V1563" s="11">
        <f t="shared" si="465"/>
        <v>0</v>
      </c>
      <c r="W1563" s="11">
        <f t="shared" si="466"/>
        <v>0</v>
      </c>
      <c r="X1563" s="11">
        <f t="shared" si="476"/>
        <v>0.86577884615384626</v>
      </c>
      <c r="Y1563" s="11">
        <f t="shared" si="467"/>
        <v>0.86577884615384626</v>
      </c>
      <c r="Z1563" s="37">
        <v>1</v>
      </c>
      <c r="AA1563" s="36">
        <f t="shared" si="477"/>
        <v>0.95821678321678339</v>
      </c>
      <c r="AB1563" s="11">
        <f t="shared" si="478"/>
        <v>1.3894143356643358</v>
      </c>
      <c r="AC1563" s="11">
        <f t="shared" si="479"/>
        <v>4.2628205128205136E-2</v>
      </c>
      <c r="AD1563" s="36">
        <f t="shared" si="468"/>
        <v>0.86577884615384626</v>
      </c>
      <c r="AE1563" s="36"/>
      <c r="AF1563" s="36">
        <f>IFERROR(VLOOKUP(AE1563,'Chemical Cost'!A:D,4,0),0)</f>
        <v>0</v>
      </c>
      <c r="AG1563" s="114">
        <f t="shared" si="480"/>
        <v>0</v>
      </c>
      <c r="AH1563" s="36">
        <f t="shared" si="469"/>
        <v>0</v>
      </c>
      <c r="AI1563" s="36">
        <f t="shared" si="484"/>
        <v>2.2551931818181821</v>
      </c>
      <c r="AJ1563" s="36">
        <f>IFERROR(VLOOKUP(A1563,'All Products'!A:F,6,0),0)</f>
        <v>16.059999999999999</v>
      </c>
      <c r="AK1563" s="1"/>
      <c r="AL1563" s="1"/>
      <c r="AM1563" s="1"/>
      <c r="AN1563" s="54" t="e">
        <v>#N/A</v>
      </c>
      <c r="AP1563" s="4">
        <v>1.1000000000000001</v>
      </c>
      <c r="AQ1563" s="111">
        <f t="shared" si="481"/>
        <v>4.2628205128205136E-2</v>
      </c>
      <c r="AR1563">
        <f>_xlfn.XLOOKUP(F1563,'RM Cost'!A:A,'RM Cost'!S:S)</f>
        <v>0</v>
      </c>
      <c r="AS1563" t="str">
        <f>_xlfn.XLOOKUP(A1563,[3]Sheet1!$B:$B,[3]Sheet1!$B:$B)</f>
        <v>349BCS</v>
      </c>
      <c r="AT1563" t="str">
        <f>_xlfn.XLOOKUP(H1563,'Yield &amp; Time'!A:A,'Yield &amp; Time'!O:O)</f>
        <v>Yes</v>
      </c>
    </row>
    <row r="1564" spans="1:46" x14ac:dyDescent="0.25">
      <c r="A1564" s="1" t="s">
        <v>4490</v>
      </c>
      <c r="B1564" s="2" t="s">
        <v>552</v>
      </c>
      <c r="C1564" s="1" t="s">
        <v>4491</v>
      </c>
      <c r="D1564" s="2" t="s">
        <v>554</v>
      </c>
      <c r="E1564" s="2">
        <v>5</v>
      </c>
      <c r="F1564" s="1" t="str">
        <f>VLOOKUP(H1564,'RM Used'!A:B,2,0)</f>
        <v>P0008</v>
      </c>
      <c r="G1564" s="1" t="str">
        <f>IFERROR(VLOOKUP(F1564,'RM Cost'!A:B,2,0),"")</f>
        <v>PALE BLUE BAG 470X750MM</v>
      </c>
      <c r="H1564" s="1" t="s">
        <v>1323</v>
      </c>
      <c r="I1564" s="1" t="str">
        <f>VLOOKUP(F1564,'RM Used'!B:D,3,0)</f>
        <v>RM-PACKING</v>
      </c>
      <c r="J1564" s="66">
        <v>1</v>
      </c>
      <c r="K1564" s="35" t="str">
        <f t="shared" si="472"/>
        <v/>
      </c>
      <c r="L1564" s="35">
        <f t="shared" si="473"/>
        <v>0</v>
      </c>
      <c r="M1564" s="77" t="str" cm="1">
        <f t="array" ref="M1564">_xlfn.IFS(BOM!I1564="RM-PACKING","100%",B1564="Reynolds",VLOOKUP(H1564,'Yield &amp; Time'!A:V,22,0),BOM!B1564="Dnata",VLOOKUP(BOM!H1564,'Yield &amp; Time'!A:M,13,0),B1564="NK",VLOOKUP(H1564,'Yield &amp; Time'!A:X,24,0))</f>
        <v>100%</v>
      </c>
      <c r="N1564" s="35">
        <f t="shared" si="483"/>
        <v>1</v>
      </c>
      <c r="O1564" s="1" t="str">
        <f>VLOOKUP(H1564,'RM Used'!A:E,5,0)</f>
        <v>Count</v>
      </c>
      <c r="P1564" s="11">
        <f>VLOOKUP(H1564,'RM Used'!A:F,6,0)</f>
        <v>0.14000000000000001</v>
      </c>
      <c r="Q1564" s="11">
        <f t="shared" si="482"/>
        <v>0.14000000000000001</v>
      </c>
      <c r="R1564" s="11" cm="1">
        <f t="array" ref="R1564">IFERROR(_xlfn.IFS(B1564="Reynolds",VLOOKUP(H1564,'Yield &amp; Time'!A:U,21,0),B1564="Dnata",VLOOKUP(H1564,'Yield &amp; Time'!A:L,12,0),B1564="NK",VLOOKUP(H1564,'Yield &amp; Time'!A:W,23,0)),0)</f>
        <v>0</v>
      </c>
      <c r="S1564" s="11">
        <f t="shared" si="474"/>
        <v>0</v>
      </c>
      <c r="T1564" s="11">
        <f t="shared" si="475"/>
        <v>0</v>
      </c>
      <c r="U1564" s="11">
        <f>IF(A1563=A1564,0,VLOOKUP(A1564,'Packing Time'!A:F,6,0))</f>
        <v>0</v>
      </c>
      <c r="V1564" s="11">
        <f t="shared" si="465"/>
        <v>0</v>
      </c>
      <c r="W1564" s="11">
        <f t="shared" si="466"/>
        <v>0</v>
      </c>
      <c r="X1564" s="11">
        <f t="shared" si="476"/>
        <v>0</v>
      </c>
      <c r="Y1564" s="11">
        <f t="shared" si="467"/>
        <v>0</v>
      </c>
      <c r="Z1564" s="37">
        <v>1</v>
      </c>
      <c r="AA1564" s="36">
        <f t="shared" si="477"/>
        <v>1</v>
      </c>
      <c r="AB1564" s="11">
        <f t="shared" si="478"/>
        <v>0.14000000000000001</v>
      </c>
      <c r="AC1564" s="11">
        <f t="shared" si="479"/>
        <v>0</v>
      </c>
      <c r="AD1564" s="36">
        <f t="shared" si="468"/>
        <v>0</v>
      </c>
      <c r="AE1564" s="36"/>
      <c r="AF1564" s="36">
        <f>IFERROR(VLOOKUP(AE1564,'Chemical Cost'!A:D,4,0),0)</f>
        <v>0</v>
      </c>
      <c r="AG1564" s="114">
        <f t="shared" si="480"/>
        <v>0</v>
      </c>
      <c r="AH1564" s="36">
        <f t="shared" si="469"/>
        <v>0</v>
      </c>
      <c r="AI1564" s="36">
        <f t="shared" si="484"/>
        <v>0.14000000000000001</v>
      </c>
      <c r="AJ1564" s="36">
        <f>IFERROR(VLOOKUP(A1564,'All Products'!A:F,6,0),0)</f>
        <v>16.059999999999999</v>
      </c>
      <c r="AK1564" s="1"/>
      <c r="AL1564" s="1"/>
      <c r="AM1564" s="1"/>
      <c r="AN1564" s="54" t="e">
        <v>#N/A</v>
      </c>
      <c r="AP1564" s="4">
        <v>1.1000000000000001</v>
      </c>
      <c r="AQ1564" s="111">
        <f t="shared" si="481"/>
        <v>0</v>
      </c>
      <c r="AR1564">
        <f>_xlfn.XLOOKUP(F1564,'RM Cost'!A:A,'RM Cost'!S:S)</f>
        <v>0</v>
      </c>
      <c r="AS1564" t="str">
        <f>_xlfn.XLOOKUP(A1564,[3]Sheet1!$B:$B,[3]Sheet1!$B:$B)</f>
        <v>349BCS</v>
      </c>
      <c r="AT1564" t="e">
        <f>_xlfn.XLOOKUP(H1564,'Yield &amp; Time'!A:A,'Yield &amp; Time'!F:F)</f>
        <v>#N/A</v>
      </c>
    </row>
    <row r="1565" spans="1:46" x14ac:dyDescent="0.25">
      <c r="A1565" s="1" t="s">
        <v>4490</v>
      </c>
      <c r="B1565" s="2" t="s">
        <v>552</v>
      </c>
      <c r="C1565" s="1" t="s">
        <v>4491</v>
      </c>
      <c r="D1565" s="2" t="s">
        <v>554</v>
      </c>
      <c r="E1565" s="2">
        <v>5</v>
      </c>
      <c r="F1565" s="1" t="str">
        <f>VLOOKUP(H1565,'RM Used'!A:B,2,0)</f>
        <v>P0016</v>
      </c>
      <c r="G1565" s="1" t="str">
        <f>IFERROR(VLOOKUP(F1565,'RM Cost'!A:B,2,0),"")</f>
        <v>REY 40 30 BOX</v>
      </c>
      <c r="H1565" s="2" t="s">
        <v>1332</v>
      </c>
      <c r="I1565" s="1" t="str">
        <f>VLOOKUP(F1565,'RM Used'!B:D,3,0)</f>
        <v>RM-PACKING</v>
      </c>
      <c r="J1565" s="66">
        <v>1</v>
      </c>
      <c r="K1565" s="35" t="str">
        <f t="shared" si="472"/>
        <v/>
      </c>
      <c r="L1565" s="35">
        <f t="shared" si="473"/>
        <v>0</v>
      </c>
      <c r="M1565" s="77" t="str" cm="1">
        <f t="array" ref="M1565">_xlfn.IFS(BOM!I1565="RM-PACKING","100%",B1565="Reynolds",VLOOKUP(H1565,'Yield &amp; Time'!A:V,22,0),BOM!B1565="Dnata",VLOOKUP(BOM!H1565,'Yield &amp; Time'!A:M,13,0),B1565="NK",VLOOKUP(H1565,'Yield &amp; Time'!A:X,24,0))</f>
        <v>100%</v>
      </c>
      <c r="N1565" s="35">
        <f t="shared" si="483"/>
        <v>1</v>
      </c>
      <c r="O1565" s="1" t="str">
        <f>VLOOKUP(H1565,'RM Used'!A:E,5,0)</f>
        <v>Count</v>
      </c>
      <c r="P1565" s="11">
        <f>VLOOKUP(H1565,'RM Used'!A:F,6,0)</f>
        <v>0.28000000000000003</v>
      </c>
      <c r="Q1565" s="11">
        <f t="shared" si="482"/>
        <v>0.28000000000000003</v>
      </c>
      <c r="R1565" s="11" cm="1">
        <f t="array" ref="R1565">IFERROR(_xlfn.IFS(B1565="Reynolds",VLOOKUP(H1565,'Yield &amp; Time'!A:U,21,0),B1565="Dnata",VLOOKUP(H1565,'Yield &amp; Time'!A:L,12,0),B1565="NK",VLOOKUP(H1565,'Yield &amp; Time'!A:W,23,0)),0)</f>
        <v>0</v>
      </c>
      <c r="S1565" s="11">
        <f t="shared" si="474"/>
        <v>0</v>
      </c>
      <c r="T1565" s="11">
        <f t="shared" si="475"/>
        <v>0</v>
      </c>
      <c r="U1565" s="11">
        <f>IF(A1564=A1565,0,VLOOKUP(A1565,'Packing Time'!A:F,6,0))</f>
        <v>0</v>
      </c>
      <c r="V1565" s="11">
        <f t="shared" si="465"/>
        <v>0</v>
      </c>
      <c r="W1565" s="11">
        <f t="shared" si="466"/>
        <v>0</v>
      </c>
      <c r="X1565" s="11">
        <f t="shared" si="476"/>
        <v>0</v>
      </c>
      <c r="Y1565" s="11">
        <f t="shared" si="467"/>
        <v>0</v>
      </c>
      <c r="Z1565" s="37">
        <v>1</v>
      </c>
      <c r="AA1565" s="36">
        <f t="shared" si="477"/>
        <v>1</v>
      </c>
      <c r="AB1565" s="11">
        <f t="shared" si="478"/>
        <v>0.28000000000000003</v>
      </c>
      <c r="AC1565" s="11">
        <f t="shared" si="479"/>
        <v>0</v>
      </c>
      <c r="AD1565" s="36">
        <f t="shared" si="468"/>
        <v>0</v>
      </c>
      <c r="AE1565" s="36"/>
      <c r="AF1565" s="36">
        <f>IFERROR(VLOOKUP(AE1565,'Chemical Cost'!A:D,4,0),0)</f>
        <v>0</v>
      </c>
      <c r="AG1565" s="114">
        <f t="shared" si="480"/>
        <v>0</v>
      </c>
      <c r="AH1565" s="36">
        <f t="shared" si="469"/>
        <v>0</v>
      </c>
      <c r="AI1565" s="36">
        <f t="shared" si="484"/>
        <v>0.28000000000000003</v>
      </c>
      <c r="AJ1565" s="36">
        <f>IFERROR(VLOOKUP(A1565,'All Products'!A:F,6,0),0)</f>
        <v>16.059999999999999</v>
      </c>
      <c r="AK1565" s="1"/>
      <c r="AL1565" s="1"/>
      <c r="AM1565" s="1"/>
      <c r="AN1565" s="54" t="e">
        <v>#N/A</v>
      </c>
      <c r="AP1565" s="4">
        <v>1.1000000000000001</v>
      </c>
      <c r="AQ1565" s="111">
        <f t="shared" si="481"/>
        <v>0</v>
      </c>
      <c r="AR1565">
        <f>_xlfn.XLOOKUP(F1565,'RM Cost'!A:A,'RM Cost'!S:S)</f>
        <v>0</v>
      </c>
      <c r="AS1565" t="str">
        <f>_xlfn.XLOOKUP(A1565,[3]Sheet1!$B:$B,[3]Sheet1!$B:$B)</f>
        <v>349BCS</v>
      </c>
      <c r="AT1565" t="e">
        <f>_xlfn.XLOOKUP(H1565,'Yield &amp; Time'!A:A,'Yield &amp; Time'!F:F)</f>
        <v>#N/A</v>
      </c>
    </row>
    <row r="1566" spans="1:46" x14ac:dyDescent="0.25">
      <c r="A1566" s="1" t="s">
        <v>4492</v>
      </c>
      <c r="B1566" s="2" t="s">
        <v>656</v>
      </c>
      <c r="C1566" s="1" t="s">
        <v>4493</v>
      </c>
      <c r="D1566" s="2" t="s">
        <v>554</v>
      </c>
      <c r="E1566" s="2">
        <v>2.5</v>
      </c>
      <c r="F1566" s="1" t="str">
        <f>VLOOKUP(H1566,'RM Used'!A:B,2,0)</f>
        <v>3181CS</v>
      </c>
      <c r="G1566" s="1" t="str">
        <f>IFERROR(VLOOKUP(F1566,'RM Cost'!A:B,2,0),"")</f>
        <v>RM - OKRA 2KG</v>
      </c>
      <c r="H1566" s="1" t="s">
        <v>4495</v>
      </c>
      <c r="I1566" s="1" t="str">
        <f>VLOOKUP(F1566,'RM Used'!B:D,3,0)</f>
        <v>RM-FOOD</v>
      </c>
      <c r="J1566" s="66">
        <v>1</v>
      </c>
      <c r="K1566" s="35">
        <f t="shared" si="472"/>
        <v>2.5</v>
      </c>
      <c r="L1566" s="35">
        <f t="shared" si="473"/>
        <v>2.5</v>
      </c>
      <c r="M1566" s="77" cm="1">
        <f t="array" ref="M1566">_xlfn.IFS(BOM!I1566="RM-PACKING","100%",B1566="Reynolds",VLOOKUP(H1566,'Yield &amp; Time'!A:V,22,0),BOM!B1566="Dnata",VLOOKUP(BOM!H1566,'Yield &amp; Time'!A:M,13,0),B1566="NK",VLOOKUP(H1566,'Yield &amp; Time'!A:X,24,0))</f>
        <v>0.70000000000000007</v>
      </c>
      <c r="N1566" s="35">
        <f t="shared" si="483"/>
        <v>3.5714285714285712</v>
      </c>
      <c r="O1566" s="1" t="str">
        <f>VLOOKUP(H1566,'RM Used'!A:E,5,0)</f>
        <v>KG</v>
      </c>
      <c r="P1566" s="11">
        <f>VLOOKUP(H1566,'RM Used'!A:F,6,0)</f>
        <v>4.2300000000000004</v>
      </c>
      <c r="Q1566" s="11">
        <f t="shared" si="482"/>
        <v>15.107142857142858</v>
      </c>
      <c r="R1566" s="11" cm="1">
        <f t="array" ref="R1566">IFERROR(_xlfn.IFS(B1566="Reynolds",VLOOKUP(H1566,'Yield &amp; Time'!A:U,21,0),B1566="Dnata",VLOOKUP(H1566,'Yield &amp; Time'!A:L,12,0),B1566="NK",VLOOKUP(H1566,'Yield &amp; Time'!A:W,23,0)),0)</f>
        <v>12.030075187969924</v>
      </c>
      <c r="S1566" s="11">
        <f t="shared" si="474"/>
        <v>10.180451127819548</v>
      </c>
      <c r="T1566" s="11">
        <f t="shared" si="475"/>
        <v>0.50125313283208017</v>
      </c>
      <c r="U1566" s="11">
        <f>IF(A1565=A1566,0,VLOOKUP(A1566,'Packing Time'!A:F,6,0))</f>
        <v>0.875</v>
      </c>
      <c r="V1566" s="11">
        <f t="shared" si="465"/>
        <v>0.29618749999999999</v>
      </c>
      <c r="W1566" s="11">
        <f t="shared" si="466"/>
        <v>1.4583333333333334E-2</v>
      </c>
      <c r="X1566" s="11">
        <f t="shared" si="476"/>
        <v>16.76262180451128</v>
      </c>
      <c r="Y1566" s="11">
        <f t="shared" si="467"/>
        <v>16.76262180451128</v>
      </c>
      <c r="Z1566" s="37">
        <v>1</v>
      </c>
      <c r="AA1566" s="36">
        <f t="shared" si="477"/>
        <v>3.5714285714285712</v>
      </c>
      <c r="AB1566" s="11">
        <f t="shared" si="478"/>
        <v>15.107142857142858</v>
      </c>
      <c r="AC1566" s="11">
        <f t="shared" si="479"/>
        <v>0.8253383458646617</v>
      </c>
      <c r="AD1566" s="36">
        <f t="shared" si="468"/>
        <v>16.762621804511276</v>
      </c>
      <c r="AE1566" s="36"/>
      <c r="AF1566" s="36">
        <f>IFERROR(VLOOKUP(AE1566,'Chemical Cost'!A:D,4,0),0)</f>
        <v>0</v>
      </c>
      <c r="AG1566" s="114">
        <f t="shared" si="480"/>
        <v>0</v>
      </c>
      <c r="AH1566" s="36">
        <f t="shared" si="469"/>
        <v>0</v>
      </c>
      <c r="AI1566" s="36">
        <f t="shared" si="484"/>
        <v>31.869764661654138</v>
      </c>
      <c r="AJ1566" s="36">
        <f>IFERROR(VLOOKUP(A1566,'All Products'!A:F,6,0),0)</f>
        <v>47.13</v>
      </c>
      <c r="AK1566" s="1"/>
      <c r="AL1566" s="1"/>
      <c r="AM1566" s="1"/>
      <c r="AN1566" s="54" t="e">
        <v>#N/A</v>
      </c>
      <c r="AP1566" s="4">
        <v>1.6</v>
      </c>
      <c r="AQ1566" s="111">
        <f t="shared" si="481"/>
        <v>0.8253383458646617</v>
      </c>
      <c r="AR1566">
        <f>_xlfn.XLOOKUP(F1566,'RM Cost'!A:A,'RM Cost'!S:S)</f>
        <v>0</v>
      </c>
      <c r="AS1566" t="e">
        <f>_xlfn.XLOOKUP(A1566,[3]Sheet1!$B:$B,[3]Sheet1!$B:$B)</f>
        <v>#N/A</v>
      </c>
    </row>
    <row r="1567" spans="1:46" x14ac:dyDescent="0.25">
      <c r="A1567" s="1" t="s">
        <v>4492</v>
      </c>
      <c r="B1567" s="2" t="s">
        <v>656</v>
      </c>
      <c r="C1567" s="1" t="s">
        <v>4493</v>
      </c>
      <c r="D1567" s="2" t="s">
        <v>554</v>
      </c>
      <c r="E1567" s="2">
        <v>2.5</v>
      </c>
      <c r="F1567" s="1" t="str">
        <f>VLOOKUP(H1567,'RM Used'!A:B,2,0)</f>
        <v>P0008</v>
      </c>
      <c r="G1567" s="1" t="str">
        <f>IFERROR(VLOOKUP(F1567,'RM Cost'!A:B,2,0),"")</f>
        <v>PALE BLUE BAG 470X750MM</v>
      </c>
      <c r="H1567" s="1" t="s">
        <v>1323</v>
      </c>
      <c r="I1567" s="1" t="str">
        <f>VLOOKUP(F1567,'RM Used'!B:D,3,0)</f>
        <v>RM-PACKING</v>
      </c>
      <c r="J1567" s="66">
        <v>1</v>
      </c>
      <c r="K1567" s="35" t="str">
        <f t="shared" si="472"/>
        <v/>
      </c>
      <c r="L1567" s="35">
        <f t="shared" si="473"/>
        <v>0</v>
      </c>
      <c r="M1567" s="77" t="str" cm="1">
        <f t="array" ref="M1567">_xlfn.IFS(BOM!I1567="RM-PACKING","100%",B1567="Reynolds",VLOOKUP(H1567,'Yield &amp; Time'!A:V,22,0),BOM!B1567="Dnata",VLOOKUP(BOM!H1567,'Yield &amp; Time'!A:M,13,0),B1567="NK",VLOOKUP(H1567,'Yield &amp; Time'!A:X,24,0))</f>
        <v>100%</v>
      </c>
      <c r="N1567" s="35">
        <f t="shared" si="483"/>
        <v>1</v>
      </c>
      <c r="O1567" s="1" t="str">
        <f>VLOOKUP(H1567,'RM Used'!A:E,5,0)</f>
        <v>Count</v>
      </c>
      <c r="P1567" s="11">
        <f>VLOOKUP(H1567,'RM Used'!A:F,6,0)</f>
        <v>0.14000000000000001</v>
      </c>
      <c r="Q1567" s="11">
        <f t="shared" si="482"/>
        <v>0.14000000000000001</v>
      </c>
      <c r="R1567" s="11" cm="1">
        <f t="array" ref="R1567">IFERROR(_xlfn.IFS(B1567="Reynolds",VLOOKUP(H1567,'Yield &amp; Time'!A:U,21,0),B1567="Dnata",VLOOKUP(H1567,'Yield &amp; Time'!A:L,12,0),B1567="NK",VLOOKUP(H1567,'Yield &amp; Time'!A:W,23,0)),0)</f>
        <v>0</v>
      </c>
      <c r="S1567" s="11">
        <f t="shared" si="474"/>
        <v>0</v>
      </c>
      <c r="T1567" s="11">
        <f t="shared" si="475"/>
        <v>0</v>
      </c>
      <c r="U1567" s="11">
        <f>IF(A1566=A1567,0,VLOOKUP(A1567,'Packing Time'!A:F,6,0))</f>
        <v>0</v>
      </c>
      <c r="V1567" s="11">
        <f t="shared" si="465"/>
        <v>0</v>
      </c>
      <c r="W1567" s="11">
        <f t="shared" si="466"/>
        <v>0</v>
      </c>
      <c r="X1567" s="11">
        <f t="shared" si="476"/>
        <v>0</v>
      </c>
      <c r="Y1567" s="11">
        <f t="shared" si="467"/>
        <v>0</v>
      </c>
      <c r="Z1567" s="37">
        <v>1</v>
      </c>
      <c r="AA1567" s="36">
        <f t="shared" si="477"/>
        <v>1</v>
      </c>
      <c r="AB1567" s="11">
        <f t="shared" si="478"/>
        <v>0.14000000000000001</v>
      </c>
      <c r="AC1567" s="11">
        <f t="shared" si="479"/>
        <v>0</v>
      </c>
      <c r="AD1567" s="36">
        <f t="shared" si="468"/>
        <v>0</v>
      </c>
      <c r="AE1567" s="36"/>
      <c r="AF1567" s="36">
        <f>IFERROR(VLOOKUP(AE1567,'Chemical Cost'!A:D,4,0),0)</f>
        <v>0</v>
      </c>
      <c r="AG1567" s="114">
        <f t="shared" si="480"/>
        <v>0</v>
      </c>
      <c r="AH1567" s="36">
        <f t="shared" si="469"/>
        <v>0</v>
      </c>
      <c r="AI1567" s="36">
        <f t="shared" si="484"/>
        <v>0.14000000000000001</v>
      </c>
      <c r="AJ1567" s="36">
        <f>IFERROR(VLOOKUP(A1567,'All Products'!A:F,6,0),0)</f>
        <v>47.13</v>
      </c>
      <c r="AK1567" s="1"/>
      <c r="AL1567" s="1"/>
      <c r="AM1567" s="1"/>
      <c r="AN1567" s="54" t="e">
        <v>#N/A</v>
      </c>
      <c r="AP1567" s="4">
        <v>1.6</v>
      </c>
      <c r="AQ1567" s="111">
        <f t="shared" si="481"/>
        <v>0</v>
      </c>
      <c r="AR1567">
        <f>_xlfn.XLOOKUP(F1567,'RM Cost'!A:A,'RM Cost'!S:S)</f>
        <v>0</v>
      </c>
      <c r="AS1567" t="e">
        <f>_xlfn.XLOOKUP(A1567,[3]Sheet1!$B:$B,[3]Sheet1!$B:$B)</f>
        <v>#N/A</v>
      </c>
    </row>
    <row r="1568" spans="1:46" x14ac:dyDescent="0.25">
      <c r="A1568" s="1" t="s">
        <v>4496</v>
      </c>
      <c r="B1568" s="2" t="s">
        <v>656</v>
      </c>
      <c r="C1568" s="1" t="s">
        <v>4497</v>
      </c>
      <c r="D1568" s="2" t="s">
        <v>554</v>
      </c>
      <c r="E1568" s="2">
        <v>1</v>
      </c>
      <c r="F1568" s="1" t="str">
        <f>VLOOKUP(H1568,'RM Used'!A:B,2,0)</f>
        <v>3446CS</v>
      </c>
      <c r="G1568" s="1" t="str">
        <f>IFERROR(VLOOKUP(F1568,'RM Cost'!A:B,2,0),"")</f>
        <v>RM - CUCUMBER X12 EA</v>
      </c>
      <c r="H1568" s="1" t="s">
        <v>4498</v>
      </c>
      <c r="I1568" s="1" t="str">
        <f>VLOOKUP(F1568,'RM Used'!B:D,3,0)</f>
        <v>RM-FOOD</v>
      </c>
      <c r="J1568" s="66">
        <v>1</v>
      </c>
      <c r="K1568" s="35">
        <f t="shared" si="472"/>
        <v>1</v>
      </c>
      <c r="L1568" s="35">
        <f t="shared" si="473"/>
        <v>1</v>
      </c>
      <c r="M1568" s="77" cm="1">
        <f t="array" ref="M1568">_xlfn.IFS(BOM!I1568="RM-PACKING","100%",B1568="Reynolds",VLOOKUP(H1568,'Yield &amp; Time'!A:V,22,0),BOM!B1568="Dnata",VLOOKUP(BOM!H1568,'Yield &amp; Time'!A:M,13,0),B1568="NK",VLOOKUP(H1568,'Yield &amp; Time'!A:X,24,0))</f>
        <v>0.2</v>
      </c>
      <c r="N1568" s="35">
        <f t="shared" si="483"/>
        <v>5</v>
      </c>
      <c r="O1568" s="1" t="str">
        <f>VLOOKUP(H1568,'RM Used'!A:E,5,0)</f>
        <v>KG</v>
      </c>
      <c r="P1568" s="11">
        <f>VLOOKUP(H1568,'RM Used'!A:F,6,0)</f>
        <v>1.18</v>
      </c>
      <c r="Q1568" s="11">
        <f t="shared" si="482"/>
        <v>5.8999999999999995</v>
      </c>
      <c r="R1568" s="11" cm="1">
        <f t="array" ref="R1568">IFERROR(_xlfn.IFS(B1568="Reynolds",VLOOKUP(H1568,'Yield &amp; Time'!A:U,21,0),B1568="Dnata",VLOOKUP(H1568,'Yield &amp; Time'!A:L,12,0),B1568="NK",VLOOKUP(H1568,'Yield &amp; Time'!A:W,23,0)),0)</f>
        <v>13.22</v>
      </c>
      <c r="S1568" s="11">
        <f t="shared" si="474"/>
        <v>4.4749699999999999</v>
      </c>
      <c r="T1568" s="11">
        <f t="shared" si="475"/>
        <v>0.22033333333333335</v>
      </c>
      <c r="U1568" s="11">
        <f>IF(A1567=A1568,0,VLOOKUP(A1568,'Packing Time'!A:F,6,0))</f>
        <v>0.64500000000000002</v>
      </c>
      <c r="V1568" s="11">
        <f t="shared" si="465"/>
        <v>0.21833249999999998</v>
      </c>
      <c r="W1568" s="11">
        <f t="shared" si="466"/>
        <v>1.0750000000000001E-2</v>
      </c>
      <c r="X1568" s="11">
        <f t="shared" si="476"/>
        <v>7.5092840000000001</v>
      </c>
      <c r="Y1568" s="11">
        <f t="shared" si="467"/>
        <v>7.5092840000000001</v>
      </c>
      <c r="Z1568" s="37">
        <v>1</v>
      </c>
      <c r="AA1568" s="36">
        <f t="shared" si="477"/>
        <v>5</v>
      </c>
      <c r="AB1568" s="11">
        <f t="shared" si="478"/>
        <v>5.8999999999999995</v>
      </c>
      <c r="AC1568" s="11">
        <f t="shared" si="479"/>
        <v>0.36973333333333336</v>
      </c>
      <c r="AD1568" s="36">
        <f t="shared" si="468"/>
        <v>7.5092840000000001</v>
      </c>
      <c r="AE1568" s="36"/>
      <c r="AF1568" s="36">
        <f>IFERROR(VLOOKUP(AE1568,'Chemical Cost'!A:D,4,0),0)</f>
        <v>0</v>
      </c>
      <c r="AG1568" s="114">
        <f t="shared" si="480"/>
        <v>0</v>
      </c>
      <c r="AH1568" s="36">
        <f t="shared" si="469"/>
        <v>0</v>
      </c>
      <c r="AI1568" s="36">
        <f t="shared" si="484"/>
        <v>13.409284</v>
      </c>
      <c r="AJ1568" s="36">
        <f>IFERROR(VLOOKUP(A1568,'All Products'!A:F,6,0),0)</f>
        <v>16.93</v>
      </c>
      <c r="AK1568" s="1"/>
      <c r="AL1568" s="1"/>
      <c r="AM1568" s="1"/>
      <c r="AN1568" s="54" t="e">
        <v>#N/A</v>
      </c>
      <c r="AP1568" s="4">
        <v>1.6</v>
      </c>
      <c r="AQ1568" s="111">
        <f t="shared" si="481"/>
        <v>0.36973333333333336</v>
      </c>
      <c r="AR1568">
        <f>_xlfn.XLOOKUP(F1568,'RM Cost'!A:A,'RM Cost'!S:S)</f>
        <v>0</v>
      </c>
      <c r="AS1568" t="e">
        <f>_xlfn.XLOOKUP(A1568,[3]Sheet1!$B:$B,[3]Sheet1!$B:$B)</f>
        <v>#N/A</v>
      </c>
    </row>
    <row r="1569" spans="1:46" x14ac:dyDescent="0.25">
      <c r="A1569" s="1" t="s">
        <v>4496</v>
      </c>
      <c r="B1569" s="2" t="s">
        <v>656</v>
      </c>
      <c r="C1569" s="1" t="s">
        <v>4497</v>
      </c>
      <c r="D1569" s="2" t="s">
        <v>554</v>
      </c>
      <c r="E1569" s="2">
        <v>1</v>
      </c>
      <c r="F1569" s="1" t="str">
        <f>VLOOKUP(H1569,'RM Used'!A:B,2,0)</f>
        <v>P0008</v>
      </c>
      <c r="G1569" s="1" t="str">
        <f>IFERROR(VLOOKUP(F1569,'RM Cost'!A:B,2,0),"")</f>
        <v>PALE BLUE BAG 470X750MM</v>
      </c>
      <c r="H1569" s="1" t="s">
        <v>1323</v>
      </c>
      <c r="I1569" s="1" t="str">
        <f>VLOOKUP(F1569,'RM Used'!B:D,3,0)</f>
        <v>RM-PACKING</v>
      </c>
      <c r="J1569" s="66">
        <v>1</v>
      </c>
      <c r="K1569" s="35" t="str">
        <f t="shared" si="472"/>
        <v/>
      </c>
      <c r="L1569" s="35">
        <f t="shared" si="473"/>
        <v>0</v>
      </c>
      <c r="M1569" s="77" t="str" cm="1">
        <f t="array" ref="M1569">_xlfn.IFS(BOM!I1569="RM-PACKING","100%",B1569="Reynolds",VLOOKUP(H1569,'Yield &amp; Time'!A:V,22,0),BOM!B1569="Dnata",VLOOKUP(BOM!H1569,'Yield &amp; Time'!A:M,13,0),B1569="NK",VLOOKUP(H1569,'Yield &amp; Time'!A:X,24,0))</f>
        <v>100%</v>
      </c>
      <c r="N1569" s="35">
        <f t="shared" si="483"/>
        <v>1</v>
      </c>
      <c r="O1569" s="1" t="str">
        <f>VLOOKUP(H1569,'RM Used'!A:E,5,0)</f>
        <v>Count</v>
      </c>
      <c r="P1569" s="11">
        <f>VLOOKUP(H1569,'RM Used'!A:F,6,0)</f>
        <v>0.14000000000000001</v>
      </c>
      <c r="Q1569" s="11">
        <f t="shared" si="482"/>
        <v>0.14000000000000001</v>
      </c>
      <c r="R1569" s="11" cm="1">
        <f t="array" ref="R1569">IFERROR(_xlfn.IFS(B1569="Reynolds",VLOOKUP(H1569,'Yield &amp; Time'!A:U,21,0),B1569="Dnata",VLOOKUP(H1569,'Yield &amp; Time'!A:L,12,0),B1569="NK",VLOOKUP(H1569,'Yield &amp; Time'!A:W,23,0)),0)</f>
        <v>0</v>
      </c>
      <c r="S1569" s="11">
        <f t="shared" si="474"/>
        <v>0</v>
      </c>
      <c r="T1569" s="11">
        <f t="shared" si="475"/>
        <v>0</v>
      </c>
      <c r="U1569" s="11">
        <f>IF(A1568=A1569,0,VLOOKUP(A1569,'Packing Time'!A:F,6,0))</f>
        <v>0</v>
      </c>
      <c r="V1569" s="11">
        <f t="shared" si="465"/>
        <v>0</v>
      </c>
      <c r="W1569" s="11">
        <f t="shared" si="466"/>
        <v>0</v>
      </c>
      <c r="X1569" s="11">
        <f t="shared" si="476"/>
        <v>0</v>
      </c>
      <c r="Y1569" s="11">
        <f t="shared" si="467"/>
        <v>0</v>
      </c>
      <c r="Z1569" s="37">
        <v>1</v>
      </c>
      <c r="AA1569" s="36">
        <f t="shared" si="477"/>
        <v>1</v>
      </c>
      <c r="AB1569" s="11">
        <f t="shared" si="478"/>
        <v>0.14000000000000001</v>
      </c>
      <c r="AC1569" s="11">
        <f t="shared" si="479"/>
        <v>0</v>
      </c>
      <c r="AD1569" s="36">
        <f t="shared" si="468"/>
        <v>0</v>
      </c>
      <c r="AE1569" s="36"/>
      <c r="AF1569" s="36">
        <f>IFERROR(VLOOKUP(AE1569,'Chemical Cost'!A:D,4,0),0)</f>
        <v>0</v>
      </c>
      <c r="AG1569" s="114">
        <f t="shared" si="480"/>
        <v>0</v>
      </c>
      <c r="AH1569" s="36">
        <f t="shared" si="469"/>
        <v>0</v>
      </c>
      <c r="AI1569" s="36">
        <f t="shared" si="484"/>
        <v>0.14000000000000001</v>
      </c>
      <c r="AJ1569" s="36">
        <f>IFERROR(VLOOKUP(A1569,'All Products'!A:F,6,0),0)</f>
        <v>16.93</v>
      </c>
      <c r="AK1569" s="1"/>
      <c r="AL1569" s="1"/>
      <c r="AM1569" s="1"/>
      <c r="AN1569" s="54" t="e">
        <v>#N/A</v>
      </c>
      <c r="AP1569" s="4">
        <v>1.6</v>
      </c>
      <c r="AQ1569" s="111">
        <f t="shared" si="481"/>
        <v>0</v>
      </c>
      <c r="AR1569">
        <f>_xlfn.XLOOKUP(F1569,'RM Cost'!A:A,'RM Cost'!S:S)</f>
        <v>0</v>
      </c>
      <c r="AS1569" t="e">
        <f>_xlfn.XLOOKUP(A1569,[3]Sheet1!$B:$B,[3]Sheet1!$B:$B)</f>
        <v>#N/A</v>
      </c>
    </row>
    <row r="1570" spans="1:46" x14ac:dyDescent="0.25">
      <c r="A1570" s="1" t="s">
        <v>4499</v>
      </c>
      <c r="B1570" s="2" t="s">
        <v>656</v>
      </c>
      <c r="C1570" s="1" t="s">
        <v>4500</v>
      </c>
      <c r="D1570" s="2" t="s">
        <v>554</v>
      </c>
      <c r="E1570" s="2">
        <v>2.5</v>
      </c>
      <c r="F1570" s="1" t="str">
        <f>VLOOKUP(H1570,'RM Used'!A:B,2,0)</f>
        <v>3446CS</v>
      </c>
      <c r="G1570" s="1" t="str">
        <f>IFERROR(VLOOKUP(F1570,'RM Cost'!A:B,2,0),"")</f>
        <v>RM - CUCUMBER X12 EA</v>
      </c>
      <c r="H1570" s="1" t="s">
        <v>4498</v>
      </c>
      <c r="I1570" s="1" t="str">
        <f>VLOOKUP(F1570,'RM Used'!B:D,3,0)</f>
        <v>RM-FOOD</v>
      </c>
      <c r="J1570" s="66">
        <v>1</v>
      </c>
      <c r="K1570" s="35">
        <f t="shared" si="472"/>
        <v>2.5</v>
      </c>
      <c r="L1570" s="35">
        <f t="shared" si="473"/>
        <v>2.5</v>
      </c>
      <c r="M1570" s="77" cm="1">
        <f t="array" ref="M1570">_xlfn.IFS(BOM!I1570="RM-PACKING","100%",B1570="Reynolds",VLOOKUP(H1570,'Yield &amp; Time'!A:V,22,0),BOM!B1570="Dnata",VLOOKUP(BOM!H1570,'Yield &amp; Time'!A:M,13,0),B1570="NK",VLOOKUP(H1570,'Yield &amp; Time'!A:X,24,0))</f>
        <v>0.2</v>
      </c>
      <c r="N1570" s="35">
        <f t="shared" si="483"/>
        <v>12.5</v>
      </c>
      <c r="O1570" s="1" t="str">
        <f>VLOOKUP(H1570,'RM Used'!A:E,5,0)</f>
        <v>KG</v>
      </c>
      <c r="P1570" s="11">
        <f>VLOOKUP(H1570,'RM Used'!A:F,6,0)</f>
        <v>1.18</v>
      </c>
      <c r="Q1570" s="11">
        <f t="shared" si="482"/>
        <v>14.75</v>
      </c>
      <c r="R1570" s="11" cm="1">
        <f t="array" ref="R1570">IFERROR(_xlfn.IFS(B1570="Reynolds",VLOOKUP(H1570,'Yield &amp; Time'!A:U,21,0),B1570="Dnata",VLOOKUP(H1570,'Yield &amp; Time'!A:L,12,0),B1570="NK",VLOOKUP(H1570,'Yield &amp; Time'!A:W,23,0)),0)</f>
        <v>13.22</v>
      </c>
      <c r="S1570" s="11">
        <f t="shared" si="474"/>
        <v>11.187425000000001</v>
      </c>
      <c r="T1570" s="11">
        <f t="shared" si="475"/>
        <v>0.5508333333333334</v>
      </c>
      <c r="U1570" s="11">
        <f>IF(A1569=A1570,0,VLOOKUP(A1570,'Packing Time'!A:F,6,0))</f>
        <v>0.875</v>
      </c>
      <c r="V1570" s="11">
        <f t="shared" si="465"/>
        <v>0.29618749999999999</v>
      </c>
      <c r="W1570" s="11">
        <f t="shared" si="466"/>
        <v>1.4583333333333334E-2</v>
      </c>
      <c r="X1570" s="11">
        <f t="shared" si="476"/>
        <v>18.37378</v>
      </c>
      <c r="Y1570" s="11">
        <f t="shared" si="467"/>
        <v>18.37378</v>
      </c>
      <c r="Z1570" s="37">
        <v>1</v>
      </c>
      <c r="AA1570" s="36">
        <f t="shared" si="477"/>
        <v>12.5</v>
      </c>
      <c r="AB1570" s="11">
        <f t="shared" si="478"/>
        <v>14.75</v>
      </c>
      <c r="AC1570" s="11">
        <f t="shared" si="479"/>
        <v>0.90466666666666695</v>
      </c>
      <c r="AD1570" s="36">
        <f t="shared" si="468"/>
        <v>18.373780000000004</v>
      </c>
      <c r="AE1570" s="36"/>
      <c r="AF1570" s="36">
        <f>IFERROR(VLOOKUP(AE1570,'Chemical Cost'!A:D,4,0),0)</f>
        <v>0</v>
      </c>
      <c r="AG1570" s="114">
        <f t="shared" si="480"/>
        <v>0</v>
      </c>
      <c r="AH1570" s="36">
        <f t="shared" si="469"/>
        <v>0</v>
      </c>
      <c r="AI1570" s="36">
        <f t="shared" si="484"/>
        <v>33.123779999999996</v>
      </c>
      <c r="AJ1570" s="36">
        <f>IFERROR(VLOOKUP(A1570,'All Products'!A:F,6,0),0)</f>
        <v>42.32</v>
      </c>
      <c r="AK1570" s="1"/>
      <c r="AL1570" s="1"/>
      <c r="AM1570" s="1"/>
      <c r="AN1570" s="54" t="e">
        <v>#N/A</v>
      </c>
      <c r="AP1570" s="4">
        <v>1.6</v>
      </c>
      <c r="AQ1570" s="111">
        <f t="shared" si="481"/>
        <v>0.90466666666666695</v>
      </c>
      <c r="AR1570">
        <f>_xlfn.XLOOKUP(F1570,'RM Cost'!A:A,'RM Cost'!S:S)</f>
        <v>0</v>
      </c>
      <c r="AS1570" t="e">
        <f>_xlfn.XLOOKUP(A1570,[3]Sheet1!$B:$B,[3]Sheet1!$B:$B)</f>
        <v>#N/A</v>
      </c>
    </row>
    <row r="1571" spans="1:46" x14ac:dyDescent="0.25">
      <c r="A1571" s="1" t="s">
        <v>4499</v>
      </c>
      <c r="B1571" s="2" t="s">
        <v>656</v>
      </c>
      <c r="C1571" s="1" t="s">
        <v>4500</v>
      </c>
      <c r="D1571" s="2" t="s">
        <v>554</v>
      </c>
      <c r="E1571" s="2">
        <v>2.5</v>
      </c>
      <c r="F1571" s="1" t="str">
        <f>VLOOKUP(H1571,'RM Used'!A:B,2,0)</f>
        <v>P0008</v>
      </c>
      <c r="G1571" s="1" t="str">
        <f>IFERROR(VLOOKUP(F1571,'RM Cost'!A:B,2,0),"")</f>
        <v>PALE BLUE BAG 470X750MM</v>
      </c>
      <c r="H1571" s="1" t="s">
        <v>1323</v>
      </c>
      <c r="I1571" s="1" t="str">
        <f>VLOOKUP(F1571,'RM Used'!B:D,3,0)</f>
        <v>RM-PACKING</v>
      </c>
      <c r="J1571" s="66">
        <v>1</v>
      </c>
      <c r="K1571" s="35" t="str">
        <f t="shared" si="472"/>
        <v/>
      </c>
      <c r="L1571" s="35">
        <f t="shared" si="473"/>
        <v>0</v>
      </c>
      <c r="M1571" s="77" t="str" cm="1">
        <f t="array" ref="M1571">_xlfn.IFS(BOM!I1571="RM-PACKING","100%",B1571="Reynolds",VLOOKUP(H1571,'Yield &amp; Time'!A:V,22,0),BOM!B1571="Dnata",VLOOKUP(BOM!H1571,'Yield &amp; Time'!A:M,13,0),B1571="NK",VLOOKUP(H1571,'Yield &amp; Time'!A:X,24,0))</f>
        <v>100%</v>
      </c>
      <c r="N1571" s="35">
        <f t="shared" si="483"/>
        <v>1</v>
      </c>
      <c r="O1571" s="1" t="str">
        <f>VLOOKUP(H1571,'RM Used'!A:E,5,0)</f>
        <v>Count</v>
      </c>
      <c r="P1571" s="11">
        <f>VLOOKUP(H1571,'RM Used'!A:F,6,0)</f>
        <v>0.14000000000000001</v>
      </c>
      <c r="Q1571" s="11">
        <f t="shared" si="482"/>
        <v>0.14000000000000001</v>
      </c>
      <c r="R1571" s="11" cm="1">
        <f t="array" ref="R1571">IFERROR(_xlfn.IFS(B1571="Reynolds",VLOOKUP(H1571,'Yield &amp; Time'!A:U,21,0),B1571="Dnata",VLOOKUP(H1571,'Yield &amp; Time'!A:L,12,0),B1571="NK",VLOOKUP(H1571,'Yield &amp; Time'!A:W,23,0)),0)</f>
        <v>0</v>
      </c>
      <c r="S1571" s="11">
        <f t="shared" si="474"/>
        <v>0</v>
      </c>
      <c r="T1571" s="11">
        <f t="shared" si="475"/>
        <v>0</v>
      </c>
      <c r="U1571" s="11">
        <f>IF(A1570=A1571,0,VLOOKUP(A1571,'Packing Time'!A:F,6,0))</f>
        <v>0</v>
      </c>
      <c r="V1571" s="11">
        <f t="shared" si="465"/>
        <v>0</v>
      </c>
      <c r="W1571" s="11">
        <f t="shared" si="466"/>
        <v>0</v>
      </c>
      <c r="X1571" s="11">
        <f t="shared" si="476"/>
        <v>0</v>
      </c>
      <c r="Y1571" s="11">
        <f t="shared" si="467"/>
        <v>0</v>
      </c>
      <c r="Z1571" s="37">
        <v>1</v>
      </c>
      <c r="AA1571" s="36">
        <f t="shared" si="477"/>
        <v>1</v>
      </c>
      <c r="AB1571" s="11">
        <f t="shared" si="478"/>
        <v>0.14000000000000001</v>
      </c>
      <c r="AC1571" s="11">
        <f t="shared" si="479"/>
        <v>0</v>
      </c>
      <c r="AD1571" s="36">
        <f t="shared" si="468"/>
        <v>0</v>
      </c>
      <c r="AE1571" s="36"/>
      <c r="AF1571" s="36">
        <f>IFERROR(VLOOKUP(AE1571,'Chemical Cost'!A:D,4,0),0)</f>
        <v>0</v>
      </c>
      <c r="AG1571" s="114">
        <f t="shared" si="480"/>
        <v>0</v>
      </c>
      <c r="AH1571" s="36">
        <f t="shared" si="469"/>
        <v>0</v>
      </c>
      <c r="AI1571" s="36">
        <f t="shared" si="484"/>
        <v>0.14000000000000001</v>
      </c>
      <c r="AJ1571" s="36">
        <f>IFERROR(VLOOKUP(A1571,'All Products'!A:F,6,0),0)</f>
        <v>42.32</v>
      </c>
      <c r="AK1571" s="1"/>
      <c r="AL1571" s="1"/>
      <c r="AM1571" s="1"/>
      <c r="AN1571" s="54" t="e">
        <v>#N/A</v>
      </c>
      <c r="AP1571" s="4">
        <v>1.6</v>
      </c>
      <c r="AQ1571" s="111">
        <f t="shared" si="481"/>
        <v>0</v>
      </c>
      <c r="AR1571">
        <f>_xlfn.XLOOKUP(F1571,'RM Cost'!A:A,'RM Cost'!S:S)</f>
        <v>0</v>
      </c>
      <c r="AS1571" t="e">
        <f>_xlfn.XLOOKUP(A1571,[3]Sheet1!$B:$B,[3]Sheet1!$B:$B)</f>
        <v>#N/A</v>
      </c>
    </row>
    <row r="1572" spans="1:46" x14ac:dyDescent="0.25">
      <c r="A1572" s="1" t="s">
        <v>4501</v>
      </c>
      <c r="B1572" s="2" t="s">
        <v>552</v>
      </c>
      <c r="C1572" s="1" t="s">
        <v>4502</v>
      </c>
      <c r="D1572" s="2" t="s">
        <v>554</v>
      </c>
      <c r="E1572" s="2">
        <v>4</v>
      </c>
      <c r="F1572" s="1" t="str">
        <f>VLOOKUP(H1572,'RM Used'!A:B,2,0)</f>
        <v>S3998CS</v>
      </c>
      <c r="G1572" s="1" t="str">
        <f>IFERROR(VLOOKUP(F1572,'RM Cost'!A:B,2,0),"")</f>
        <v>RM - DECORED RED CABBAGE 1/3 1200KG</v>
      </c>
      <c r="H1572" s="1" t="s">
        <v>1360</v>
      </c>
      <c r="I1572" s="1" t="str">
        <f>VLOOKUP(F1572,'RM Used'!B:D,3,0)</f>
        <v>RM-FOOD</v>
      </c>
      <c r="J1572" s="66">
        <v>0.5</v>
      </c>
      <c r="K1572" s="35">
        <f t="shared" si="472"/>
        <v>2</v>
      </c>
      <c r="L1572" s="35">
        <f t="shared" si="473"/>
        <v>2</v>
      </c>
      <c r="M1572" s="77" cm="1">
        <f t="array" ref="M1572">_xlfn.IFS(BOM!I1572="RM-PACKING","100%",B1572="Reynolds",VLOOKUP(H1572,'Yield &amp; Time'!A:V,22,0),BOM!B1572="Dnata",VLOOKUP(BOM!H1572,'Yield &amp; Time'!A:M,13,0),B1572="NK",VLOOKUP(H1572,'Yield &amp; Time'!A:X,24,0))</f>
        <v>0.70079999999999998</v>
      </c>
      <c r="N1572" s="35">
        <f t="shared" si="483"/>
        <v>2.8538812785388128</v>
      </c>
      <c r="O1572" s="1" t="str">
        <f>VLOOKUP(H1572,'RM Used'!A:E,5,0)</f>
        <v>KG</v>
      </c>
      <c r="P1572" s="11">
        <f>VLOOKUP(H1572,'RM Used'!A:F,6,0)</f>
        <v>0.38</v>
      </c>
      <c r="Q1572" s="11">
        <f t="shared" si="482"/>
        <v>1.0844748858447488</v>
      </c>
      <c r="R1572" s="11" cm="1">
        <f t="array" ref="R1572">IFERROR(_xlfn.IFS(B1572="Reynolds",VLOOKUP(H1572,'Yield &amp; Time'!A:U,21,0),B1572="Dnata",VLOOKUP(H1572,'Yield &amp; Time'!A:L,12,0),B1572="NK",VLOOKUP(H1572,'Yield &amp; Time'!A:W,23,0)),0)</f>
        <v>0.89425536255080118</v>
      </c>
      <c r="S1572" s="11">
        <f t="shared" si="474"/>
        <v>0.6054108804468924</v>
      </c>
      <c r="T1572" s="11">
        <f t="shared" si="475"/>
        <v>2.9808512085026707E-2</v>
      </c>
      <c r="U1572" s="11">
        <f>IF(A1571=A1572,0,VLOOKUP(A1572,'Packing Time'!A:F,6,0))</f>
        <v>2</v>
      </c>
      <c r="V1572" s="11">
        <f t="shared" si="465"/>
        <v>0.67699999999999994</v>
      </c>
      <c r="W1572" s="11">
        <f t="shared" si="466"/>
        <v>3.3333333333333333E-2</v>
      </c>
      <c r="X1572" s="11">
        <f t="shared" si="476"/>
        <v>1.7953752326256491</v>
      </c>
      <c r="Y1572" s="11">
        <f t="shared" si="467"/>
        <v>1.7953752326256491</v>
      </c>
      <c r="Z1572" s="37">
        <v>1</v>
      </c>
      <c r="AA1572" s="36">
        <f t="shared" si="477"/>
        <v>2.8538812785388128</v>
      </c>
      <c r="AB1572" s="11">
        <f t="shared" si="478"/>
        <v>1.0844748858447488</v>
      </c>
      <c r="AC1572" s="11">
        <f t="shared" si="479"/>
        <v>8.8398583585704057E-2</v>
      </c>
      <c r="AD1572" s="36">
        <f t="shared" si="468"/>
        <v>1.7953752326256494</v>
      </c>
      <c r="AE1572" s="36"/>
      <c r="AF1572" s="36">
        <f>IFERROR(VLOOKUP(AE1572,'Chemical Cost'!A:D,4,0),0)</f>
        <v>0</v>
      </c>
      <c r="AG1572" s="114">
        <f t="shared" si="480"/>
        <v>0</v>
      </c>
      <c r="AH1572" s="36">
        <f t="shared" ref="AH1572:AH1634" si="485">AF1572*AA1572/3</f>
        <v>0</v>
      </c>
      <c r="AI1572" s="36">
        <f t="shared" si="484"/>
        <v>2.8798501184703982</v>
      </c>
      <c r="AJ1572" s="36">
        <f>IFERROR(VLOOKUP(A1572,'All Products'!A:F,6,0),0)</f>
        <v>10.32</v>
      </c>
      <c r="AK1572" s="1"/>
      <c r="AL1572" s="1"/>
      <c r="AM1572" s="1"/>
      <c r="AN1572" s="54" t="e">
        <v>#N/A</v>
      </c>
      <c r="AP1572" s="4">
        <v>1.4</v>
      </c>
      <c r="AQ1572" s="111">
        <f t="shared" si="481"/>
        <v>8.8398583585704057E-2</v>
      </c>
      <c r="AR1572">
        <f>_xlfn.XLOOKUP(F1572,'RM Cost'!A:A,'RM Cost'!S:S)</f>
        <v>0.29914853989077506</v>
      </c>
      <c r="AS1572" t="e">
        <f>_xlfn.XLOOKUP(A1572,[3]Sheet1!$B:$B,[3]Sheet1!$B:$B)</f>
        <v>#N/A</v>
      </c>
    </row>
    <row r="1573" spans="1:46" x14ac:dyDescent="0.25">
      <c r="A1573" s="1" t="s">
        <v>4501</v>
      </c>
      <c r="B1573" s="2" t="s">
        <v>552</v>
      </c>
      <c r="C1573" s="1" t="s">
        <v>4502</v>
      </c>
      <c r="D1573" s="2" t="s">
        <v>554</v>
      </c>
      <c r="E1573" s="2">
        <v>4</v>
      </c>
      <c r="F1573" s="1" t="str">
        <f>VLOOKUP(H1573,'RM Used'!A:B,2,0)</f>
        <v>032ACS</v>
      </c>
      <c r="G1573" s="1" t="str">
        <f>IFERROR(VLOOKUP(F1573,'RM Cost'!A:B,2,0),"")</f>
        <v>RM - LRG PROCESSING CARROT X 1000KG</v>
      </c>
      <c r="H1573" s="1" t="s">
        <v>1351</v>
      </c>
      <c r="I1573" s="1" t="str">
        <f>VLOOKUP(F1573,'RM Used'!B:D,3,0)</f>
        <v>RM-FOOD</v>
      </c>
      <c r="J1573" s="66">
        <v>0.5</v>
      </c>
      <c r="K1573" s="35">
        <f t="shared" si="472"/>
        <v>2</v>
      </c>
      <c r="L1573" s="35">
        <f t="shared" si="473"/>
        <v>2</v>
      </c>
      <c r="M1573" s="77" cm="1">
        <f t="array" ref="M1573">_xlfn.IFS(BOM!I1573="RM-PACKING","100%",B1573="Reynolds",VLOOKUP(H1573,'Yield &amp; Time'!A:V,22,0),BOM!B1573="Dnata",VLOOKUP(BOM!H1573,'Yield &amp; Time'!A:M,13,0),B1573="NK",VLOOKUP(H1573,'Yield &amp; Time'!A:X,24,0))</f>
        <v>0.75330000000000008</v>
      </c>
      <c r="N1573" s="35">
        <f t="shared" si="483"/>
        <v>2.6549847338377801</v>
      </c>
      <c r="O1573" s="1" t="str">
        <f>VLOOKUP(H1573,'RM Used'!A:E,5,0)</f>
        <v>KG</v>
      </c>
      <c r="P1573" s="11">
        <f>VLOOKUP(H1573,'RM Used'!A:F,6,0)</f>
        <v>0.38</v>
      </c>
      <c r="Q1573" s="11">
        <f t="shared" si="482"/>
        <v>1.0088941988583564</v>
      </c>
      <c r="R1573" s="11" cm="1">
        <f t="array" ref="R1573">IFERROR(_xlfn.IFS(B1573="Reynolds",VLOOKUP(H1573,'Yield &amp; Time'!A:U,21,0),B1573="Dnata",VLOOKUP(H1573,'Yield &amp; Time'!A:L,12,0),B1573="NK",VLOOKUP(H1573,'Yield &amp; Time'!A:W,23,0)),0)</f>
        <v>0.90531914893617027</v>
      </c>
      <c r="S1573" s="11">
        <f t="shared" si="474"/>
        <v>0.61290106382978726</v>
      </c>
      <c r="T1573" s="11">
        <f t="shared" si="475"/>
        <v>3.017730496453901E-2</v>
      </c>
      <c r="U1573" s="11">
        <f>IF(A1572=A1573,0,VLOOKUP(A1573,'Packing Time'!A:F,6,0))</f>
        <v>0</v>
      </c>
      <c r="V1573" s="11">
        <f t="shared" si="465"/>
        <v>0</v>
      </c>
      <c r="W1573" s="11">
        <f t="shared" si="466"/>
        <v>0</v>
      </c>
      <c r="X1573" s="11">
        <f t="shared" si="476"/>
        <v>0.85806148936170212</v>
      </c>
      <c r="Y1573" s="11">
        <f t="shared" si="467"/>
        <v>0.85806148936170212</v>
      </c>
      <c r="Z1573" s="37">
        <v>1</v>
      </c>
      <c r="AA1573" s="36">
        <f t="shared" si="477"/>
        <v>2.6549847338377801</v>
      </c>
      <c r="AB1573" s="11">
        <f t="shared" si="478"/>
        <v>1.0088941988583564</v>
      </c>
      <c r="AC1573" s="11">
        <f t="shared" si="479"/>
        <v>4.2248226950354614E-2</v>
      </c>
      <c r="AD1573" s="36">
        <f t="shared" si="468"/>
        <v>0.85806148936170223</v>
      </c>
      <c r="AE1573" s="36"/>
      <c r="AF1573" s="36">
        <f>IFERROR(VLOOKUP(AE1573,'Chemical Cost'!A:D,4,0),0)</f>
        <v>0</v>
      </c>
      <c r="AG1573" s="114">
        <f t="shared" si="480"/>
        <v>0</v>
      </c>
      <c r="AH1573" s="36">
        <f t="shared" si="485"/>
        <v>0</v>
      </c>
      <c r="AI1573" s="36">
        <f t="shared" si="484"/>
        <v>1.8669556882200586</v>
      </c>
      <c r="AJ1573" s="36">
        <f>IFERROR(VLOOKUP(A1573,'All Products'!A:F,6,0),0)</f>
        <v>10.32</v>
      </c>
      <c r="AK1573" s="1"/>
      <c r="AL1573" s="1"/>
      <c r="AM1573" s="1"/>
      <c r="AN1573" s="54" t="e">
        <v>#N/A</v>
      </c>
      <c r="AP1573" s="4">
        <v>1.4</v>
      </c>
      <c r="AQ1573" s="111">
        <f t="shared" si="481"/>
        <v>4.2248226950354614E-2</v>
      </c>
      <c r="AR1573">
        <f>_xlfn.XLOOKUP(F1573,'RM Cost'!A:A,'RM Cost'!S:S)</f>
        <v>0</v>
      </c>
      <c r="AS1573" t="e">
        <f>_xlfn.XLOOKUP(A1573,[3]Sheet1!$B:$B,[3]Sheet1!$B:$B)</f>
        <v>#N/A</v>
      </c>
    </row>
    <row r="1574" spans="1:46" x14ac:dyDescent="0.25">
      <c r="A1574" s="1" t="s">
        <v>4501</v>
      </c>
      <c r="B1574" s="2" t="s">
        <v>552</v>
      </c>
      <c r="C1574" s="1" t="s">
        <v>4502</v>
      </c>
      <c r="D1574" s="2" t="s">
        <v>554</v>
      </c>
      <c r="E1574" s="2">
        <v>4</v>
      </c>
      <c r="F1574" s="1" t="str">
        <f>VLOOKUP(H1574,'RM Used'!A:B,2,0)</f>
        <v>P0008</v>
      </c>
      <c r="G1574" s="1" t="str">
        <f>IFERROR(VLOOKUP(F1574,'RM Cost'!A:B,2,0),"")</f>
        <v>PALE BLUE BAG 470X750MM</v>
      </c>
      <c r="H1574" s="1" t="s">
        <v>1323</v>
      </c>
      <c r="I1574" s="1" t="str">
        <f>VLOOKUP(F1574,'RM Used'!B:D,3,0)</f>
        <v>RM-PACKING</v>
      </c>
      <c r="J1574" s="66">
        <v>1</v>
      </c>
      <c r="K1574" s="35" t="str">
        <f t="shared" si="472"/>
        <v/>
      </c>
      <c r="L1574" s="35">
        <f t="shared" si="473"/>
        <v>0</v>
      </c>
      <c r="M1574" s="77" t="str" cm="1">
        <f t="array" ref="M1574">_xlfn.IFS(BOM!I1574="RM-PACKING","100%",B1574="Reynolds",VLOOKUP(H1574,'Yield &amp; Time'!A:V,22,0),BOM!B1574="Dnata",VLOOKUP(BOM!H1574,'Yield &amp; Time'!A:M,13,0),B1574="NK",VLOOKUP(H1574,'Yield &amp; Time'!A:X,24,0))</f>
        <v>100%</v>
      </c>
      <c r="N1574" s="35">
        <f t="shared" si="483"/>
        <v>1</v>
      </c>
      <c r="O1574" s="1" t="str">
        <f>VLOOKUP(H1574,'RM Used'!A:E,5,0)</f>
        <v>Count</v>
      </c>
      <c r="P1574" s="11">
        <f>VLOOKUP(H1574,'RM Used'!A:F,6,0)</f>
        <v>0.14000000000000001</v>
      </c>
      <c r="Q1574" s="11">
        <f t="shared" si="482"/>
        <v>0.14000000000000001</v>
      </c>
      <c r="R1574" s="11" cm="1">
        <f t="array" ref="R1574">IFERROR(_xlfn.IFS(B1574="Reynolds",VLOOKUP(H1574,'Yield &amp; Time'!A:U,21,0),B1574="Dnata",VLOOKUP(H1574,'Yield &amp; Time'!A:L,12,0),B1574="NK",VLOOKUP(H1574,'Yield &amp; Time'!A:W,23,0)),0)</f>
        <v>0</v>
      </c>
      <c r="S1574" s="11">
        <f t="shared" si="474"/>
        <v>0</v>
      </c>
      <c r="T1574" s="11">
        <f t="shared" si="475"/>
        <v>0</v>
      </c>
      <c r="U1574" s="11">
        <f>IF(A1573=A1574,0,VLOOKUP(A1574,'Packing Time'!A:F,6,0))</f>
        <v>0</v>
      </c>
      <c r="V1574" s="11">
        <f t="shared" si="465"/>
        <v>0</v>
      </c>
      <c r="W1574" s="11">
        <f t="shared" si="466"/>
        <v>0</v>
      </c>
      <c r="X1574" s="11">
        <f t="shared" si="476"/>
        <v>0</v>
      </c>
      <c r="Y1574" s="11">
        <f t="shared" si="467"/>
        <v>0</v>
      </c>
      <c r="Z1574" s="37">
        <v>1</v>
      </c>
      <c r="AA1574" s="36">
        <f t="shared" si="477"/>
        <v>1</v>
      </c>
      <c r="AB1574" s="11">
        <f t="shared" si="478"/>
        <v>0.14000000000000001</v>
      </c>
      <c r="AC1574" s="11">
        <f t="shared" si="479"/>
        <v>0</v>
      </c>
      <c r="AD1574" s="36">
        <f t="shared" si="468"/>
        <v>0</v>
      </c>
      <c r="AE1574" s="36"/>
      <c r="AF1574" s="36">
        <f>IFERROR(VLOOKUP(AE1574,'Chemical Cost'!A:D,4,0),0)</f>
        <v>0</v>
      </c>
      <c r="AG1574" s="114">
        <f t="shared" si="480"/>
        <v>0</v>
      </c>
      <c r="AH1574" s="36">
        <f t="shared" si="485"/>
        <v>0</v>
      </c>
      <c r="AI1574" s="36">
        <f t="shared" si="484"/>
        <v>0.14000000000000001</v>
      </c>
      <c r="AJ1574" s="36">
        <f>IFERROR(VLOOKUP(A1574,'All Products'!A:F,6,0),0)</f>
        <v>10.32</v>
      </c>
      <c r="AK1574" s="1"/>
      <c r="AL1574" s="1"/>
      <c r="AM1574" s="1"/>
      <c r="AN1574" s="54" t="e">
        <v>#N/A</v>
      </c>
      <c r="AP1574" s="4">
        <v>1.4</v>
      </c>
      <c r="AQ1574" s="111">
        <f t="shared" si="481"/>
        <v>0</v>
      </c>
      <c r="AR1574">
        <f>_xlfn.XLOOKUP(F1574,'RM Cost'!A:A,'RM Cost'!S:S)</f>
        <v>0</v>
      </c>
      <c r="AS1574" t="e">
        <f>_xlfn.XLOOKUP(A1574,[3]Sheet1!$B:$B,[3]Sheet1!$B:$B)</f>
        <v>#N/A</v>
      </c>
    </row>
    <row r="1575" spans="1:46" x14ac:dyDescent="0.25">
      <c r="A1575" s="1" t="s">
        <v>4501</v>
      </c>
      <c r="B1575" s="2" t="s">
        <v>552</v>
      </c>
      <c r="C1575" s="1" t="s">
        <v>4502</v>
      </c>
      <c r="D1575" s="2" t="s">
        <v>554</v>
      </c>
      <c r="E1575" s="2">
        <v>4</v>
      </c>
      <c r="F1575" s="1" t="str">
        <f>VLOOKUP(H1575,'RM Used'!A:B,2,0)</f>
        <v>P0016</v>
      </c>
      <c r="G1575" s="1" t="str">
        <f>IFERROR(VLOOKUP(F1575,'RM Cost'!A:B,2,0),"")</f>
        <v>REY 40 30 BOX</v>
      </c>
      <c r="H1575" s="1" t="s">
        <v>1332</v>
      </c>
      <c r="I1575" s="1" t="str">
        <f>VLOOKUP(F1575,'RM Used'!B:D,3,0)</f>
        <v>RM-PACKING</v>
      </c>
      <c r="J1575" s="66">
        <v>1</v>
      </c>
      <c r="K1575" s="35" t="str">
        <f t="shared" si="472"/>
        <v/>
      </c>
      <c r="L1575" s="35">
        <f t="shared" si="473"/>
        <v>0</v>
      </c>
      <c r="M1575" s="77" t="str" cm="1">
        <f t="array" ref="M1575">_xlfn.IFS(BOM!I1575="RM-PACKING","100%",B1575="Reynolds",VLOOKUP(H1575,'Yield &amp; Time'!A:V,22,0),BOM!B1575="Dnata",VLOOKUP(BOM!H1575,'Yield &amp; Time'!A:M,13,0),B1575="NK",VLOOKUP(H1575,'Yield &amp; Time'!A:X,24,0))</f>
        <v>100%</v>
      </c>
      <c r="N1575" s="35">
        <f t="shared" si="483"/>
        <v>1</v>
      </c>
      <c r="O1575" s="1" t="str">
        <f>VLOOKUP(H1575,'RM Used'!A:E,5,0)</f>
        <v>Count</v>
      </c>
      <c r="P1575" s="11">
        <f>VLOOKUP(H1575,'RM Used'!A:F,6,0)</f>
        <v>0.28000000000000003</v>
      </c>
      <c r="Q1575" s="11">
        <f t="shared" si="482"/>
        <v>0.28000000000000003</v>
      </c>
      <c r="R1575" s="11" cm="1">
        <f t="array" ref="R1575">IFERROR(_xlfn.IFS(B1575="Reynolds",VLOOKUP(H1575,'Yield &amp; Time'!A:U,21,0),B1575="Dnata",VLOOKUP(H1575,'Yield &amp; Time'!A:L,12,0),B1575="NK",VLOOKUP(H1575,'Yield &amp; Time'!A:W,23,0)),0)</f>
        <v>0</v>
      </c>
      <c r="S1575" s="11">
        <f t="shared" si="474"/>
        <v>0</v>
      </c>
      <c r="T1575" s="11">
        <f t="shared" si="475"/>
        <v>0</v>
      </c>
      <c r="U1575" s="11">
        <f>IF(A1574=A1575,0,VLOOKUP(A1575,'Packing Time'!A:F,6,0))</f>
        <v>0</v>
      </c>
      <c r="V1575" s="11">
        <f t="shared" si="465"/>
        <v>0</v>
      </c>
      <c r="W1575" s="11">
        <f t="shared" si="466"/>
        <v>0</v>
      </c>
      <c r="X1575" s="11">
        <f t="shared" si="476"/>
        <v>0</v>
      </c>
      <c r="Y1575" s="11">
        <f t="shared" si="467"/>
        <v>0</v>
      </c>
      <c r="Z1575" s="37">
        <v>1</v>
      </c>
      <c r="AA1575" s="36">
        <f t="shared" si="477"/>
        <v>1</v>
      </c>
      <c r="AB1575" s="11">
        <f t="shared" si="478"/>
        <v>0.28000000000000003</v>
      </c>
      <c r="AC1575" s="11">
        <f t="shared" si="479"/>
        <v>0</v>
      </c>
      <c r="AD1575" s="36">
        <f t="shared" si="468"/>
        <v>0</v>
      </c>
      <c r="AE1575" s="36"/>
      <c r="AF1575" s="36">
        <f>IFERROR(VLOOKUP(AE1575,'Chemical Cost'!A:D,4,0),0)</f>
        <v>0</v>
      </c>
      <c r="AG1575" s="114">
        <f t="shared" si="480"/>
        <v>0</v>
      </c>
      <c r="AH1575" s="36">
        <f t="shared" si="485"/>
        <v>0</v>
      </c>
      <c r="AI1575" s="36">
        <f t="shared" si="484"/>
        <v>0.28000000000000003</v>
      </c>
      <c r="AJ1575" s="36">
        <f>IFERROR(VLOOKUP(A1575,'All Products'!A:F,6,0),0)</f>
        <v>10.32</v>
      </c>
      <c r="AK1575" s="1"/>
      <c r="AL1575" s="1"/>
      <c r="AM1575" s="1"/>
      <c r="AN1575" s="54" t="e">
        <v>#N/A</v>
      </c>
      <c r="AP1575" s="4">
        <v>1.4</v>
      </c>
      <c r="AQ1575" s="111">
        <f t="shared" si="481"/>
        <v>0</v>
      </c>
      <c r="AR1575">
        <f>_xlfn.XLOOKUP(F1575,'RM Cost'!A:A,'RM Cost'!S:S)</f>
        <v>0</v>
      </c>
      <c r="AS1575" t="e">
        <f>_xlfn.XLOOKUP(A1575,[3]Sheet1!$B:$B,[3]Sheet1!$B:$B)</f>
        <v>#N/A</v>
      </c>
    </row>
    <row r="1576" spans="1:46" x14ac:dyDescent="0.25">
      <c r="A1576" s="1" t="str">
        <f>A1575</f>
        <v>352BCS</v>
      </c>
      <c r="B1576" s="1" t="str">
        <f>B1575</f>
        <v>Reynolds</v>
      </c>
      <c r="C1576" s="1" t="str">
        <f>C1575</f>
        <v>COLESLAW MIX 8X500G</v>
      </c>
      <c r="D1576" s="1" t="s">
        <v>554</v>
      </c>
      <c r="E1576" s="2">
        <f>E1575</f>
        <v>4</v>
      </c>
      <c r="F1576" s="1" t="str">
        <f>VLOOKUP(H1576,'RM Used'!A:B,2,0)</f>
        <v>P0016</v>
      </c>
      <c r="G1576" s="1" t="str">
        <f>IFERROR(VLOOKUP(F1576,'RM Cost'!A:B,2,0),"")</f>
        <v>REY 40 30 BOX</v>
      </c>
      <c r="H1576" s="1" t="s">
        <v>1332</v>
      </c>
      <c r="I1576" s="1" t="str">
        <f>VLOOKUP(F1576,'RM Used'!B:D,3,0)</f>
        <v>RM-PACKING</v>
      </c>
      <c r="J1576" s="66">
        <v>1</v>
      </c>
      <c r="K1576" s="35" t="str">
        <f t="shared" si="472"/>
        <v/>
      </c>
      <c r="L1576" s="35">
        <f t="shared" si="473"/>
        <v>0</v>
      </c>
      <c r="M1576" s="77" t="str" cm="1">
        <f t="array" ref="M1576">_xlfn.IFS(BOM!I1576="RM-PACKING","100%",B1576="Reynolds",VLOOKUP(H1576,'Yield &amp; Time'!A:V,22,0),BOM!B1576="Dnata",VLOOKUP(BOM!H1576,'Yield &amp; Time'!A:M,13,0),B1576="NK",VLOOKUP(H1576,'Yield &amp; Time'!A:X,24,0))</f>
        <v>100%</v>
      </c>
      <c r="N1576" s="35">
        <f t="shared" si="483"/>
        <v>1</v>
      </c>
      <c r="O1576" s="1" t="str">
        <f>VLOOKUP(H1576,'RM Used'!A:E,5,0)</f>
        <v>Count</v>
      </c>
      <c r="P1576" s="11">
        <f>VLOOKUP(H1576,'RM Used'!A:F,6,0)</f>
        <v>0.28000000000000003</v>
      </c>
      <c r="Q1576" s="11">
        <f t="shared" si="482"/>
        <v>0.28000000000000003</v>
      </c>
      <c r="R1576" s="11" cm="1">
        <f t="array" ref="R1576">IFERROR(_xlfn.IFS(B1576="Reynolds",VLOOKUP(H1576,'Yield &amp; Time'!A:U,21,0),B1576="Dnata",VLOOKUP(H1576,'Yield &amp; Time'!A:L,12,0),B1576="NK",VLOOKUP(H1576,'Yield &amp; Time'!A:W,23,0)),0)</f>
        <v>0</v>
      </c>
      <c r="S1576" s="11">
        <f t="shared" si="474"/>
        <v>0</v>
      </c>
      <c r="T1576" s="11">
        <f t="shared" si="475"/>
        <v>0</v>
      </c>
      <c r="U1576" s="11">
        <f>IF(A1575=A1576,0,VLOOKUP(A1576,'Packing Time'!A:F,6,0))</f>
        <v>0</v>
      </c>
      <c r="V1576" s="11">
        <f t="shared" si="465"/>
        <v>0</v>
      </c>
      <c r="W1576" s="11">
        <f t="shared" si="466"/>
        <v>0</v>
      </c>
      <c r="X1576" s="11">
        <f t="shared" si="476"/>
        <v>0</v>
      </c>
      <c r="Y1576" s="11">
        <f t="shared" si="467"/>
        <v>0</v>
      </c>
      <c r="Z1576" s="37">
        <v>1</v>
      </c>
      <c r="AA1576" s="36">
        <f t="shared" si="477"/>
        <v>1</v>
      </c>
      <c r="AB1576" s="11">
        <f t="shared" si="478"/>
        <v>0.28000000000000003</v>
      </c>
      <c r="AC1576" s="11">
        <f t="shared" si="479"/>
        <v>0</v>
      </c>
      <c r="AD1576" s="36">
        <f t="shared" si="468"/>
        <v>0</v>
      </c>
      <c r="AE1576" s="36"/>
      <c r="AF1576" s="36">
        <f>IFERROR(VLOOKUP(AE1576,'Chemical Cost'!A:D,4,0),0)</f>
        <v>0</v>
      </c>
      <c r="AG1576" s="114">
        <f t="shared" si="480"/>
        <v>0</v>
      </c>
      <c r="AH1576" s="36">
        <f t="shared" si="485"/>
        <v>0</v>
      </c>
      <c r="AI1576" s="36">
        <f t="shared" si="484"/>
        <v>0.28000000000000003</v>
      </c>
      <c r="AJ1576" s="36">
        <f>IFERROR(VLOOKUP(A1576,'All Products'!A:F,6,0),0)</f>
        <v>10.32</v>
      </c>
      <c r="AK1576" s="36"/>
      <c r="AL1576" s="23">
        <v>1</v>
      </c>
      <c r="AM1576" s="23"/>
      <c r="AN1576" s="54" t="e">
        <v>#N/A</v>
      </c>
      <c r="AP1576" s="4">
        <v>1.4</v>
      </c>
      <c r="AQ1576" s="111">
        <f t="shared" si="481"/>
        <v>0</v>
      </c>
      <c r="AR1576">
        <f>_xlfn.XLOOKUP(F1576,'RM Cost'!A:A,'RM Cost'!S:S)</f>
        <v>0</v>
      </c>
      <c r="AS1576" t="e">
        <f>_xlfn.XLOOKUP(A1576,[3]Sheet1!$B:$B,[3]Sheet1!$B:$B)</f>
        <v>#N/A</v>
      </c>
    </row>
    <row r="1577" spans="1:46" x14ac:dyDescent="0.25">
      <c r="A1577" s="1" t="s">
        <v>4503</v>
      </c>
      <c r="B1577" s="2" t="s">
        <v>4377</v>
      </c>
      <c r="C1577" s="1" t="s">
        <v>4504</v>
      </c>
      <c r="D1577" s="2" t="s">
        <v>554</v>
      </c>
      <c r="E1577" s="2">
        <v>2.5</v>
      </c>
      <c r="F1577" s="1" t="str">
        <f>VLOOKUP(H1577,'RM Used'!A:B,2,0)</f>
        <v>3136CS</v>
      </c>
      <c r="G1577" s="1" t="str">
        <f>IFERROR(VLOOKUP(F1577,'RM Cost'!A:B,2,0),"")</f>
        <v>RM - PROCESSING LEEKS 5KG</v>
      </c>
      <c r="H1577" s="1" t="s">
        <v>4356</v>
      </c>
      <c r="I1577" s="1" t="str">
        <f>VLOOKUP(F1577,'RM Used'!B:D,3,0)</f>
        <v>RM-FOOD</v>
      </c>
      <c r="J1577" s="66">
        <v>1</v>
      </c>
      <c r="K1577" s="35">
        <f t="shared" si="472"/>
        <v>2.5</v>
      </c>
      <c r="L1577" s="35">
        <f t="shared" si="473"/>
        <v>2.5</v>
      </c>
      <c r="M1577" s="77" cm="1">
        <f t="array" ref="M1577">_xlfn.IFS(BOM!I1577="RM-PACKING","100%",B1577="Reynolds",VLOOKUP(H1577,'Yield &amp; Time'!A:V,22,0),BOM!B1577="Dnata",VLOOKUP(BOM!H1577,'Yield &amp; Time'!A:M,13,0),B1577="NK",VLOOKUP(H1577,'Yield &amp; Time'!A:X,24,0))</f>
        <v>0.54975609756097565</v>
      </c>
      <c r="N1577" s="35">
        <f t="shared" si="483"/>
        <v>4.5474711623779944</v>
      </c>
      <c r="O1577" s="1" t="str">
        <f>VLOOKUP(H1577,'RM Used'!A:E,5,0)</f>
        <v>KG</v>
      </c>
      <c r="P1577" s="11">
        <f>VLOOKUP(H1577,'RM Used'!A:F,6,0)</f>
        <v>1.05</v>
      </c>
      <c r="Q1577" s="11">
        <f t="shared" si="482"/>
        <v>4.774844720496894</v>
      </c>
      <c r="R1577" s="11" cm="1">
        <f t="array" ref="R1577">IFERROR(_xlfn.IFS(B1577="Reynolds",VLOOKUP(H1577,'Yield &amp; Time'!A:U,21,0),B1577="Dnata",VLOOKUP(H1577,'Yield &amp; Time'!A:L,12,0),B1577="NK",VLOOKUP(H1577,'Yield &amp; Time'!A:W,23,0)),0)</f>
        <v>0.96125406684412884</v>
      </c>
      <c r="S1577" s="11">
        <f t="shared" si="474"/>
        <v>0.813461254066844</v>
      </c>
      <c r="T1577" s="11">
        <f t="shared" si="475"/>
        <v>4.0052252785172035E-2</v>
      </c>
      <c r="U1577" s="11">
        <f>IF(A1576=A1577,0,VLOOKUP(A1577,'Packing Time'!A:F,6,0))</f>
        <v>0.875</v>
      </c>
      <c r="V1577" s="11">
        <f t="shared" si="465"/>
        <v>0.29618749999999999</v>
      </c>
      <c r="W1577" s="11">
        <f t="shared" si="466"/>
        <v>1.4583333333333334E-2</v>
      </c>
      <c r="X1577" s="11">
        <f t="shared" si="476"/>
        <v>1.7754380065069506</v>
      </c>
      <c r="Y1577" s="11">
        <f t="shared" si="467"/>
        <v>1.7754380065069506</v>
      </c>
      <c r="Z1577" s="37">
        <v>1</v>
      </c>
      <c r="AA1577" s="36">
        <f t="shared" si="477"/>
        <v>4.5474711623779944</v>
      </c>
      <c r="AB1577" s="11">
        <f t="shared" si="478"/>
        <v>4.774844720496894</v>
      </c>
      <c r="AC1577" s="11">
        <f t="shared" si="479"/>
        <v>8.7416937789608601E-2</v>
      </c>
      <c r="AD1577" s="36">
        <f t="shared" si="468"/>
        <v>1.7754380065069506</v>
      </c>
      <c r="AE1577" s="36"/>
      <c r="AF1577" s="36">
        <f>IFERROR(VLOOKUP(AE1577,'Chemical Cost'!A:D,4,0),0)</f>
        <v>0</v>
      </c>
      <c r="AG1577" s="114">
        <f t="shared" si="480"/>
        <v>0</v>
      </c>
      <c r="AH1577" s="36">
        <f t="shared" si="485"/>
        <v>0</v>
      </c>
      <c r="AI1577" s="36">
        <f t="shared" si="484"/>
        <v>6.5502827270038448</v>
      </c>
      <c r="AJ1577" s="36">
        <f>IFERROR(VLOOKUP(A1577,'All Products'!A:F,6,0),0)</f>
        <v>12.67</v>
      </c>
      <c r="AK1577" s="1"/>
      <c r="AL1577" s="1"/>
      <c r="AM1577" s="1"/>
      <c r="AN1577" s="54" t="e">
        <v>#N/A</v>
      </c>
      <c r="AP1577" s="4">
        <v>1.6</v>
      </c>
      <c r="AQ1577" s="111">
        <f t="shared" si="481"/>
        <v>8.7416937789608601E-2</v>
      </c>
      <c r="AR1577">
        <f>_xlfn.XLOOKUP(F1577,'RM Cost'!A:A,'RM Cost'!S:S)</f>
        <v>0</v>
      </c>
      <c r="AS1577" t="str">
        <f>_xlfn.XLOOKUP(A1577,[3]Sheet1!$B:$B,[3]Sheet1!$B:$B)</f>
        <v>N070CS</v>
      </c>
      <c r="AT1577">
        <f>_xlfn.XLOOKUP(H1577,'Yield &amp; Time'!A:A,'Yield &amp; Time'!F:F)</f>
        <v>0</v>
      </c>
    </row>
    <row r="1578" spans="1:46" x14ac:dyDescent="0.25">
      <c r="A1578" s="1" t="s">
        <v>4503</v>
      </c>
      <c r="B1578" s="2" t="s">
        <v>4377</v>
      </c>
      <c r="C1578" s="1" t="s">
        <v>4504</v>
      </c>
      <c r="D1578" s="2" t="s">
        <v>554</v>
      </c>
      <c r="E1578" s="2">
        <v>2.5</v>
      </c>
      <c r="F1578" s="1" t="str">
        <f>VLOOKUP(H1578,'RM Used'!A:B,2,0)</f>
        <v>P0008</v>
      </c>
      <c r="G1578" s="1" t="str">
        <f>IFERROR(VLOOKUP(F1578,'RM Cost'!A:B,2,0),"")</f>
        <v>PALE BLUE BAG 470X750MM</v>
      </c>
      <c r="H1578" s="1" t="s">
        <v>1323</v>
      </c>
      <c r="I1578" s="1" t="str">
        <f>VLOOKUP(F1578,'RM Used'!B:D,3,0)</f>
        <v>RM-PACKING</v>
      </c>
      <c r="J1578" s="66">
        <v>1</v>
      </c>
      <c r="K1578" s="35" t="str">
        <f t="shared" si="472"/>
        <v/>
      </c>
      <c r="L1578" s="35">
        <f t="shared" si="473"/>
        <v>0</v>
      </c>
      <c r="M1578" s="77" t="str" cm="1">
        <f t="array" ref="M1578">_xlfn.IFS(BOM!I1578="RM-PACKING","100%",B1578="Reynolds",VLOOKUP(H1578,'Yield &amp; Time'!A:V,22,0),BOM!B1578="Dnata",VLOOKUP(BOM!H1578,'Yield &amp; Time'!A:M,13,0),B1578="NK",VLOOKUP(H1578,'Yield &amp; Time'!A:X,24,0))</f>
        <v>100%</v>
      </c>
      <c r="N1578" s="35">
        <f t="shared" si="483"/>
        <v>1</v>
      </c>
      <c r="O1578" s="1" t="str">
        <f>VLOOKUP(H1578,'RM Used'!A:E,5,0)</f>
        <v>Count</v>
      </c>
      <c r="P1578" s="11">
        <f>VLOOKUP(H1578,'RM Used'!A:F,6,0)</f>
        <v>0.14000000000000001</v>
      </c>
      <c r="Q1578" s="11">
        <f t="shared" si="482"/>
        <v>0.14000000000000001</v>
      </c>
      <c r="R1578" s="11" cm="1">
        <f t="array" ref="R1578">IFERROR(_xlfn.IFS(B1578="Reynolds",VLOOKUP(H1578,'Yield &amp; Time'!A:U,21,0),B1578="Dnata",VLOOKUP(H1578,'Yield &amp; Time'!A:L,12,0),B1578="NK",VLOOKUP(H1578,'Yield &amp; Time'!A:W,23,0)),0)</f>
        <v>0</v>
      </c>
      <c r="S1578" s="11">
        <f t="shared" si="474"/>
        <v>0</v>
      </c>
      <c r="T1578" s="11">
        <f t="shared" si="475"/>
        <v>0</v>
      </c>
      <c r="U1578" s="11">
        <f>IF(A1577=A1578,0,VLOOKUP(A1578,'Packing Time'!A:F,6,0))</f>
        <v>0</v>
      </c>
      <c r="V1578" s="11">
        <f t="shared" si="465"/>
        <v>0</v>
      </c>
      <c r="W1578" s="11">
        <f t="shared" si="466"/>
        <v>0</v>
      </c>
      <c r="X1578" s="11">
        <f t="shared" si="476"/>
        <v>0</v>
      </c>
      <c r="Y1578" s="11">
        <f t="shared" si="467"/>
        <v>0</v>
      </c>
      <c r="Z1578" s="37">
        <v>1</v>
      </c>
      <c r="AA1578" s="36">
        <f t="shared" si="477"/>
        <v>1</v>
      </c>
      <c r="AB1578" s="11">
        <f t="shared" si="478"/>
        <v>0.14000000000000001</v>
      </c>
      <c r="AC1578" s="11">
        <f t="shared" si="479"/>
        <v>0</v>
      </c>
      <c r="AD1578" s="36">
        <f t="shared" si="468"/>
        <v>0</v>
      </c>
      <c r="AE1578" s="36"/>
      <c r="AF1578" s="36">
        <f>IFERROR(VLOOKUP(AE1578,'Chemical Cost'!A:D,4,0),0)</f>
        <v>0</v>
      </c>
      <c r="AG1578" s="114">
        <f t="shared" si="480"/>
        <v>0</v>
      </c>
      <c r="AH1578" s="36">
        <f t="shared" si="485"/>
        <v>0</v>
      </c>
      <c r="AI1578" s="36">
        <f t="shared" si="484"/>
        <v>0.14000000000000001</v>
      </c>
      <c r="AJ1578" s="36">
        <f>IFERROR(VLOOKUP(A1578,'All Products'!A:F,6,0),0)</f>
        <v>12.67</v>
      </c>
      <c r="AK1578" s="1"/>
      <c r="AL1578" s="1"/>
      <c r="AM1578" s="1"/>
      <c r="AN1578" s="54" t="e">
        <v>#N/A</v>
      </c>
      <c r="AP1578" s="4">
        <v>1.6</v>
      </c>
      <c r="AQ1578" s="111">
        <f t="shared" si="481"/>
        <v>0</v>
      </c>
      <c r="AR1578">
        <f>_xlfn.XLOOKUP(F1578,'RM Cost'!A:A,'RM Cost'!S:S)</f>
        <v>0</v>
      </c>
      <c r="AS1578" t="str">
        <f>_xlfn.XLOOKUP(A1578,[3]Sheet1!$B:$B,[3]Sheet1!$B:$B)</f>
        <v>N070CS</v>
      </c>
      <c r="AT1578" t="e">
        <f>_xlfn.XLOOKUP(H1578,'Yield &amp; Time'!A:A,'Yield &amp; Time'!F:F)</f>
        <v>#N/A</v>
      </c>
    </row>
    <row r="1579" spans="1:46" x14ac:dyDescent="0.25">
      <c r="A1579" s="104" t="s">
        <v>4506</v>
      </c>
      <c r="B1579" s="2" t="s">
        <v>656</v>
      </c>
      <c r="C1579" s="104" t="s">
        <v>4507</v>
      </c>
      <c r="D1579" s="2" t="s">
        <v>554</v>
      </c>
      <c r="E1579" s="2">
        <v>1</v>
      </c>
      <c r="F1579" s="1" t="str">
        <f>VLOOKUP(H1579,'RM Used'!A:B,2,0)</f>
        <v>3211CS</v>
      </c>
      <c r="G1579" s="1" t="str">
        <f>IFERROR(VLOOKUP(F1579,'RM Cost'!A:B,2,0),"")</f>
        <v>POTATO JUMBO WSHED 25KG</v>
      </c>
      <c r="H1579" s="1" t="s">
        <v>4510</v>
      </c>
      <c r="I1579" s="1" t="str">
        <f>VLOOKUP(F1579,'RM Used'!B:D,3,0)</f>
        <v>RM-FOOD</v>
      </c>
      <c r="J1579" s="66">
        <v>1</v>
      </c>
      <c r="K1579" s="35">
        <f t="shared" si="472"/>
        <v>1</v>
      </c>
      <c r="L1579" s="35">
        <f t="shared" si="473"/>
        <v>1</v>
      </c>
      <c r="M1579" s="77" cm="1">
        <f t="array" ref="M1579">_xlfn.IFS(BOM!I1579="RM-PACKING","100%",B1579="Reynolds",VLOOKUP(H1579,'Yield &amp; Time'!A:V,22,0),BOM!B1579="Dnata",VLOOKUP(BOM!H1579,'Yield &amp; Time'!A:M,13,0),B1579="NK",VLOOKUP(H1579,'Yield &amp; Time'!A:X,24,0))</f>
        <v>0.32666666666666666</v>
      </c>
      <c r="N1579" s="35">
        <f t="shared" si="483"/>
        <v>3.0612244897959182</v>
      </c>
      <c r="O1579" s="1" t="str">
        <f>VLOOKUP(H1579,'RM Used'!A:E,5,0)</f>
        <v>KG</v>
      </c>
      <c r="P1579" s="11">
        <f>VLOOKUP(H1579,'RM Used'!A:F,6,0)</f>
        <v>0.4</v>
      </c>
      <c r="Q1579" s="11">
        <f t="shared" si="482"/>
        <v>1.2244897959183674</v>
      </c>
      <c r="R1579" s="11" cm="1">
        <f t="array" ref="R1579">IFERROR(_xlfn.IFS(B1579="Reynolds",VLOOKUP(H1579,'Yield &amp; Time'!A:U,21,0),B1579="Dnata",VLOOKUP(H1579,'Yield &amp; Time'!A:L,12,0),B1579="NK",VLOOKUP(H1579,'Yield &amp; Time'!A:W,23,0)),0)</f>
        <v>4.841836734693878</v>
      </c>
      <c r="S1579" s="11">
        <f t="shared" si="474"/>
        <v>1.6389617346938776</v>
      </c>
      <c r="T1579" s="11">
        <f t="shared" si="475"/>
        <v>8.0697278911564627E-2</v>
      </c>
      <c r="U1579" s="11">
        <f>IF(A1578=A1579,0,VLOOKUP(A1579,'Packing Time'!A:F,6,0))</f>
        <v>0.64500000000000002</v>
      </c>
      <c r="V1579" s="11">
        <f t="shared" si="465"/>
        <v>0.21833249999999998</v>
      </c>
      <c r="W1579" s="11">
        <f t="shared" si="466"/>
        <v>1.0750000000000001E-2</v>
      </c>
      <c r="X1579" s="11">
        <f t="shared" si="476"/>
        <v>2.9716707755102041</v>
      </c>
      <c r="Y1579" s="11">
        <f t="shared" si="467"/>
        <v>2.9716707755102041</v>
      </c>
      <c r="Z1579" s="37">
        <v>1</v>
      </c>
      <c r="AA1579" s="36">
        <f t="shared" si="477"/>
        <v>3.0612244897959182</v>
      </c>
      <c r="AB1579" s="11">
        <f t="shared" si="478"/>
        <v>1.2244897959183674</v>
      </c>
      <c r="AC1579" s="11">
        <f t="shared" si="479"/>
        <v>0.14631564625850341</v>
      </c>
      <c r="AD1579" s="36">
        <f t="shared" si="468"/>
        <v>2.9716707755102036</v>
      </c>
      <c r="AE1579" s="36"/>
      <c r="AF1579" s="36">
        <f>IFERROR(VLOOKUP(AE1579,'Chemical Cost'!A:D,4,0),0)</f>
        <v>0</v>
      </c>
      <c r="AG1579" s="114">
        <f t="shared" si="480"/>
        <v>0</v>
      </c>
      <c r="AH1579" s="36">
        <f t="shared" si="485"/>
        <v>0</v>
      </c>
      <c r="AI1579" s="36">
        <f t="shared" si="484"/>
        <v>4.196160571428571</v>
      </c>
      <c r="AJ1579" s="36">
        <f>IFERROR(VLOOKUP(A1579,'All Products'!A:F,6,0),0)</f>
        <v>6.5</v>
      </c>
      <c r="AK1579" s="1"/>
      <c r="AL1579" s="1"/>
      <c r="AM1579" s="1"/>
      <c r="AN1579" s="54" t="e">
        <v>#N/A</v>
      </c>
      <c r="AP1579" s="4">
        <v>1.6</v>
      </c>
      <c r="AQ1579" s="111">
        <f t="shared" si="481"/>
        <v>0.14631564625850341</v>
      </c>
      <c r="AR1579">
        <f>_xlfn.XLOOKUP(F1579,'RM Cost'!A:A,'RM Cost'!S:S)</f>
        <v>0</v>
      </c>
      <c r="AS1579" t="e">
        <f>_xlfn.XLOOKUP(A1579,[3]Sheet1!$B:$B,[3]Sheet1!$B:$B)</f>
        <v>#N/A</v>
      </c>
    </row>
    <row r="1580" spans="1:46" x14ac:dyDescent="0.25">
      <c r="A1580" s="104" t="s">
        <v>4506</v>
      </c>
      <c r="B1580" s="2" t="s">
        <v>656</v>
      </c>
      <c r="C1580" s="104" t="s">
        <v>4507</v>
      </c>
      <c r="D1580" s="2" t="s">
        <v>554</v>
      </c>
      <c r="E1580" s="2">
        <v>1</v>
      </c>
      <c r="F1580" s="1" t="str">
        <f>VLOOKUP(H1580,'RM Used'!A:B,2,0)</f>
        <v>P0008</v>
      </c>
      <c r="G1580" s="1" t="str">
        <f>IFERROR(VLOOKUP(F1580,'RM Cost'!A:B,2,0),"")</f>
        <v>PALE BLUE BAG 470X750MM</v>
      </c>
      <c r="H1580" s="1" t="s">
        <v>1323</v>
      </c>
      <c r="I1580" s="1" t="str">
        <f>VLOOKUP(F1580,'RM Used'!B:D,3,0)</f>
        <v>RM-PACKING</v>
      </c>
      <c r="J1580" s="66">
        <v>1</v>
      </c>
      <c r="K1580" s="35" t="str">
        <f t="shared" si="472"/>
        <v/>
      </c>
      <c r="L1580" s="35">
        <f t="shared" si="473"/>
        <v>0</v>
      </c>
      <c r="M1580" s="77" t="str" cm="1">
        <f t="array" ref="M1580">_xlfn.IFS(BOM!I1580="RM-PACKING","100%",B1580="Reynolds",VLOOKUP(H1580,'Yield &amp; Time'!A:V,22,0),BOM!B1580="Dnata",VLOOKUP(BOM!H1580,'Yield &amp; Time'!A:M,13,0),B1580="NK",VLOOKUP(H1580,'Yield &amp; Time'!A:X,24,0))</f>
        <v>100%</v>
      </c>
      <c r="N1580" s="35">
        <f t="shared" si="483"/>
        <v>1</v>
      </c>
      <c r="O1580" s="1" t="str">
        <f>VLOOKUP(H1580,'RM Used'!A:E,5,0)</f>
        <v>Count</v>
      </c>
      <c r="P1580" s="11">
        <f>VLOOKUP(H1580,'RM Used'!A:F,6,0)</f>
        <v>0.14000000000000001</v>
      </c>
      <c r="Q1580" s="11">
        <f t="shared" si="482"/>
        <v>0.14000000000000001</v>
      </c>
      <c r="R1580" s="11" cm="1">
        <f t="array" ref="R1580">IFERROR(_xlfn.IFS(B1580="Reynolds",VLOOKUP(H1580,'Yield &amp; Time'!A:U,21,0),B1580="Dnata",VLOOKUP(H1580,'Yield &amp; Time'!A:L,12,0),B1580="NK",VLOOKUP(H1580,'Yield &amp; Time'!A:W,23,0)),0)</f>
        <v>0</v>
      </c>
      <c r="S1580" s="11">
        <f t="shared" si="474"/>
        <v>0</v>
      </c>
      <c r="T1580" s="11">
        <f t="shared" si="475"/>
        <v>0</v>
      </c>
      <c r="U1580" s="11">
        <f>IF(A1579=A1580,0,VLOOKUP(A1580,'Packing Time'!A:F,6,0))</f>
        <v>0</v>
      </c>
      <c r="V1580" s="11">
        <f t="shared" si="465"/>
        <v>0</v>
      </c>
      <c r="W1580" s="11">
        <f t="shared" si="466"/>
        <v>0</v>
      </c>
      <c r="X1580" s="11">
        <f t="shared" si="476"/>
        <v>0</v>
      </c>
      <c r="Y1580" s="11">
        <f t="shared" si="467"/>
        <v>0</v>
      </c>
      <c r="Z1580" s="37">
        <v>1</v>
      </c>
      <c r="AA1580" s="36">
        <f t="shared" si="477"/>
        <v>1</v>
      </c>
      <c r="AB1580" s="11">
        <f t="shared" si="478"/>
        <v>0.14000000000000001</v>
      </c>
      <c r="AC1580" s="11">
        <f t="shared" si="479"/>
        <v>0</v>
      </c>
      <c r="AD1580" s="36">
        <f t="shared" si="468"/>
        <v>0</v>
      </c>
      <c r="AE1580" s="36"/>
      <c r="AF1580" s="36">
        <f>IFERROR(VLOOKUP(AE1580,'Chemical Cost'!A:D,4,0),0)</f>
        <v>0</v>
      </c>
      <c r="AG1580" s="114">
        <f t="shared" si="480"/>
        <v>0</v>
      </c>
      <c r="AH1580" s="36">
        <f t="shared" si="485"/>
        <v>0</v>
      </c>
      <c r="AI1580" s="36">
        <f t="shared" si="484"/>
        <v>0.14000000000000001</v>
      </c>
      <c r="AJ1580" s="36">
        <f>IFERROR(VLOOKUP(A1580,'All Products'!A:F,6,0),0)</f>
        <v>6.5</v>
      </c>
      <c r="AK1580" s="1"/>
      <c r="AL1580" s="1"/>
      <c r="AM1580" s="1"/>
      <c r="AN1580" s="54" t="e">
        <v>#N/A</v>
      </c>
      <c r="AP1580" s="4">
        <v>1.6</v>
      </c>
      <c r="AQ1580" s="111">
        <f t="shared" si="481"/>
        <v>0</v>
      </c>
      <c r="AR1580">
        <f>_xlfn.XLOOKUP(F1580,'RM Cost'!A:A,'RM Cost'!S:S)</f>
        <v>0</v>
      </c>
      <c r="AS1580" t="e">
        <f>_xlfn.XLOOKUP(A1580,[3]Sheet1!$B:$B,[3]Sheet1!$B:$B)</f>
        <v>#N/A</v>
      </c>
    </row>
    <row r="1581" spans="1:46" x14ac:dyDescent="0.25">
      <c r="A1581" s="104" t="s">
        <v>4508</v>
      </c>
      <c r="B1581" s="2" t="s">
        <v>656</v>
      </c>
      <c r="C1581" s="104" t="s">
        <v>4509</v>
      </c>
      <c r="D1581" s="2" t="s">
        <v>554</v>
      </c>
      <c r="E1581" s="2">
        <v>2.5</v>
      </c>
      <c r="F1581" s="1" t="str">
        <f>VLOOKUP(H1581,'RM Used'!A:B,2,0)</f>
        <v>3211CS</v>
      </c>
      <c r="G1581" s="1" t="str">
        <f>IFERROR(VLOOKUP(F1581,'RM Cost'!A:B,2,0),"")</f>
        <v>POTATO JUMBO WSHED 25KG</v>
      </c>
      <c r="H1581" s="1" t="s">
        <v>4510</v>
      </c>
      <c r="I1581" s="1" t="str">
        <f>VLOOKUP(F1581,'RM Used'!B:D,3,0)</f>
        <v>RM-FOOD</v>
      </c>
      <c r="J1581" s="66">
        <v>1</v>
      </c>
      <c r="K1581" s="35">
        <f t="shared" si="472"/>
        <v>2.5</v>
      </c>
      <c r="L1581" s="35">
        <f t="shared" si="473"/>
        <v>2.5</v>
      </c>
      <c r="M1581" s="77" cm="1">
        <f t="array" ref="M1581">_xlfn.IFS(BOM!I1581="RM-PACKING","100%",B1581="Reynolds",VLOOKUP(H1581,'Yield &amp; Time'!A:V,22,0),BOM!B1581="Dnata",VLOOKUP(BOM!H1581,'Yield &amp; Time'!A:M,13,0),B1581="NK",VLOOKUP(H1581,'Yield &amp; Time'!A:X,24,0))</f>
        <v>0.32666666666666666</v>
      </c>
      <c r="N1581" s="35">
        <f t="shared" si="483"/>
        <v>7.6530612244897958</v>
      </c>
      <c r="O1581" s="1" t="str">
        <f>VLOOKUP(H1581,'RM Used'!A:E,5,0)</f>
        <v>KG</v>
      </c>
      <c r="P1581" s="11">
        <f>VLOOKUP(H1581,'RM Used'!A:F,6,0)</f>
        <v>0.4</v>
      </c>
      <c r="Q1581" s="11">
        <f t="shared" si="482"/>
        <v>3.0612244897959187</v>
      </c>
      <c r="R1581" s="11" cm="1">
        <f t="array" ref="R1581">IFERROR(_xlfn.IFS(B1581="Reynolds",VLOOKUP(H1581,'Yield &amp; Time'!A:U,21,0),B1581="Dnata",VLOOKUP(H1581,'Yield &amp; Time'!A:L,12,0),B1581="NK",VLOOKUP(H1581,'Yield &amp; Time'!A:W,23,0)),0)</f>
        <v>4.841836734693878</v>
      </c>
      <c r="S1581" s="11">
        <f t="shared" si="474"/>
        <v>4.0974043367346935</v>
      </c>
      <c r="T1581" s="11">
        <f t="shared" si="475"/>
        <v>0.20174319727891157</v>
      </c>
      <c r="U1581" s="11">
        <f>IF(A1580=A1581,0,VLOOKUP(A1581,'Packing Time'!A:F,6,0))</f>
        <v>0.875</v>
      </c>
      <c r="V1581" s="11">
        <f t="shared" si="465"/>
        <v>0.29618749999999999</v>
      </c>
      <c r="W1581" s="11">
        <f t="shared" si="466"/>
        <v>1.4583333333333334E-2</v>
      </c>
      <c r="X1581" s="11">
        <f t="shared" si="476"/>
        <v>6.1510285714285713</v>
      </c>
      <c r="Y1581" s="11">
        <f t="shared" si="467"/>
        <v>6.1510285714285713</v>
      </c>
      <c r="Z1581" s="37">
        <v>1</v>
      </c>
      <c r="AA1581" s="36">
        <f t="shared" si="477"/>
        <v>7.6530612244897958</v>
      </c>
      <c r="AB1581" s="11">
        <f t="shared" si="478"/>
        <v>3.0612244897959187</v>
      </c>
      <c r="AC1581" s="11">
        <f t="shared" si="479"/>
        <v>0.30285714285714288</v>
      </c>
      <c r="AD1581" s="36">
        <f t="shared" si="468"/>
        <v>6.1510285714285722</v>
      </c>
      <c r="AE1581" s="36"/>
      <c r="AF1581" s="36">
        <f>IFERROR(VLOOKUP(AE1581,'Chemical Cost'!A:D,4,0),0)</f>
        <v>0</v>
      </c>
      <c r="AG1581" s="114">
        <f t="shared" si="480"/>
        <v>0</v>
      </c>
      <c r="AH1581" s="36">
        <f t="shared" si="485"/>
        <v>0</v>
      </c>
      <c r="AI1581" s="36">
        <f t="shared" si="484"/>
        <v>9.2122530612244908</v>
      </c>
      <c r="AJ1581" s="36">
        <f>IFERROR(VLOOKUP(A1581,'All Products'!A:F,6,0),0)</f>
        <v>16.25</v>
      </c>
      <c r="AK1581" s="1"/>
      <c r="AL1581" s="1"/>
      <c r="AM1581" s="1"/>
      <c r="AN1581" s="54" t="e">
        <v>#N/A</v>
      </c>
      <c r="AP1581" s="4">
        <v>1.4</v>
      </c>
      <c r="AQ1581" s="111">
        <f t="shared" si="481"/>
        <v>0.30285714285714288</v>
      </c>
      <c r="AR1581">
        <f>_xlfn.XLOOKUP(F1581,'RM Cost'!A:A,'RM Cost'!S:S)</f>
        <v>0</v>
      </c>
      <c r="AS1581" t="e">
        <f>_xlfn.XLOOKUP(A1581,[3]Sheet1!$B:$B,[3]Sheet1!$B:$B)</f>
        <v>#N/A</v>
      </c>
    </row>
    <row r="1582" spans="1:46" x14ac:dyDescent="0.25">
      <c r="A1582" s="104" t="s">
        <v>4508</v>
      </c>
      <c r="B1582" s="2" t="s">
        <v>656</v>
      </c>
      <c r="C1582" s="104" t="s">
        <v>4509</v>
      </c>
      <c r="D1582" s="2" t="s">
        <v>554</v>
      </c>
      <c r="E1582" s="2">
        <v>2.5</v>
      </c>
      <c r="F1582" s="1" t="str">
        <f>VLOOKUP(H1582,'RM Used'!A:B,2,0)</f>
        <v>P0008</v>
      </c>
      <c r="G1582" s="1" t="str">
        <f>IFERROR(VLOOKUP(F1582,'RM Cost'!A:B,2,0),"")</f>
        <v>PALE BLUE BAG 470X750MM</v>
      </c>
      <c r="H1582" s="1" t="s">
        <v>1323</v>
      </c>
      <c r="I1582" s="1" t="str">
        <f>VLOOKUP(F1582,'RM Used'!B:D,3,0)</f>
        <v>RM-PACKING</v>
      </c>
      <c r="J1582" s="66">
        <v>1</v>
      </c>
      <c r="K1582" s="35" t="str">
        <f t="shared" si="472"/>
        <v/>
      </c>
      <c r="L1582" s="35">
        <f t="shared" si="473"/>
        <v>0</v>
      </c>
      <c r="M1582" s="77" t="str" cm="1">
        <f t="array" ref="M1582">_xlfn.IFS(BOM!I1582="RM-PACKING","100%",B1582="Reynolds",VLOOKUP(H1582,'Yield &amp; Time'!A:V,22,0),BOM!B1582="Dnata",VLOOKUP(BOM!H1582,'Yield &amp; Time'!A:M,13,0),B1582="NK",VLOOKUP(H1582,'Yield &amp; Time'!A:X,24,0))</f>
        <v>100%</v>
      </c>
      <c r="N1582" s="35">
        <f t="shared" si="483"/>
        <v>1</v>
      </c>
      <c r="O1582" s="1" t="str">
        <f>VLOOKUP(H1582,'RM Used'!A:E,5,0)</f>
        <v>Count</v>
      </c>
      <c r="P1582" s="11">
        <f>VLOOKUP(H1582,'RM Used'!A:F,6,0)</f>
        <v>0.14000000000000001</v>
      </c>
      <c r="Q1582" s="11">
        <f t="shared" si="482"/>
        <v>0.14000000000000001</v>
      </c>
      <c r="R1582" s="11" cm="1">
        <f t="array" ref="R1582">IFERROR(_xlfn.IFS(B1582="Reynolds",VLOOKUP(H1582,'Yield &amp; Time'!A:U,21,0),B1582="Dnata",VLOOKUP(H1582,'Yield &amp; Time'!A:L,12,0),B1582="NK",VLOOKUP(H1582,'Yield &amp; Time'!A:W,23,0)),0)</f>
        <v>0</v>
      </c>
      <c r="S1582" s="11">
        <f t="shared" si="474"/>
        <v>0</v>
      </c>
      <c r="T1582" s="11">
        <f t="shared" si="475"/>
        <v>0</v>
      </c>
      <c r="U1582" s="11">
        <f>IF(A1581=A1582,0,VLOOKUP(A1582,'Packing Time'!A:F,6,0))</f>
        <v>0</v>
      </c>
      <c r="V1582" s="11">
        <f t="shared" si="465"/>
        <v>0</v>
      </c>
      <c r="W1582" s="11">
        <f t="shared" si="466"/>
        <v>0</v>
      </c>
      <c r="X1582" s="11">
        <f t="shared" si="476"/>
        <v>0</v>
      </c>
      <c r="Y1582" s="11">
        <f t="shared" si="467"/>
        <v>0</v>
      </c>
      <c r="Z1582" s="37">
        <v>1</v>
      </c>
      <c r="AA1582" s="36">
        <f t="shared" si="477"/>
        <v>1</v>
      </c>
      <c r="AB1582" s="11">
        <f t="shared" si="478"/>
        <v>0.14000000000000001</v>
      </c>
      <c r="AC1582" s="11">
        <f t="shared" si="479"/>
        <v>0</v>
      </c>
      <c r="AD1582" s="36">
        <f t="shared" si="468"/>
        <v>0</v>
      </c>
      <c r="AE1582" s="36"/>
      <c r="AF1582" s="36">
        <f>IFERROR(VLOOKUP(AE1582,'Chemical Cost'!A:D,4,0),0)</f>
        <v>0</v>
      </c>
      <c r="AG1582" s="114">
        <f t="shared" si="480"/>
        <v>0</v>
      </c>
      <c r="AH1582" s="36">
        <f t="shared" si="485"/>
        <v>0</v>
      </c>
      <c r="AI1582" s="36">
        <f t="shared" si="484"/>
        <v>0.14000000000000001</v>
      </c>
      <c r="AJ1582" s="36">
        <f>IFERROR(VLOOKUP(A1582,'All Products'!A:F,6,0),0)</f>
        <v>16.25</v>
      </c>
      <c r="AK1582" s="1"/>
      <c r="AL1582" s="1"/>
      <c r="AM1582" s="1"/>
      <c r="AN1582" s="54" t="e">
        <v>#N/A</v>
      </c>
      <c r="AP1582" s="4">
        <v>1.4</v>
      </c>
      <c r="AQ1582" s="111">
        <f t="shared" si="481"/>
        <v>0</v>
      </c>
      <c r="AR1582">
        <f>_xlfn.XLOOKUP(F1582,'RM Cost'!A:A,'RM Cost'!S:S)</f>
        <v>0</v>
      </c>
      <c r="AS1582" t="e">
        <f>_xlfn.XLOOKUP(A1582,[3]Sheet1!$B:$B,[3]Sheet1!$B:$B)</f>
        <v>#N/A</v>
      </c>
    </row>
    <row r="1583" spans="1:46" x14ac:dyDescent="0.25">
      <c r="A1583" s="1" t="s">
        <v>4511</v>
      </c>
      <c r="B1583" s="2" t="s">
        <v>656</v>
      </c>
      <c r="C1583" s="2" t="s">
        <v>4512</v>
      </c>
      <c r="D1583" s="2" t="s">
        <v>554</v>
      </c>
      <c r="E1583" s="106">
        <v>0.8</v>
      </c>
      <c r="F1583" s="1" t="str">
        <f>VLOOKUP(H1583,'RM Used'!A:B,2,0)</f>
        <v>107ACS</v>
      </c>
      <c r="G1583" s="1" t="str">
        <f>IFERROR(VLOOKUP(F1583,'RM Cost'!A:B,2,0),"")</f>
        <v>RM - BABY RED BEETROOT 6 X 200G</v>
      </c>
      <c r="H1583" s="101" t="s">
        <v>4513</v>
      </c>
      <c r="I1583" s="1" t="str">
        <f>VLOOKUP(F1583,'RM Used'!B:D,3,0)</f>
        <v>RM-FOOD</v>
      </c>
      <c r="J1583" s="66">
        <v>1</v>
      </c>
      <c r="K1583" s="35">
        <f t="shared" si="472"/>
        <v>0.8</v>
      </c>
      <c r="L1583" s="35">
        <f t="shared" si="473"/>
        <v>0.8</v>
      </c>
      <c r="M1583" s="77" cm="1">
        <f t="array" ref="M1583">_xlfn.IFS(BOM!I1583="RM-PACKING","100%",B1583="Reynolds",VLOOKUP(H1583,'Yield &amp; Time'!A:V,22,0),BOM!B1583="Dnata",VLOOKUP(BOM!H1583,'Yield &amp; Time'!A:M,13,0),B1583="NK",VLOOKUP(H1583,'Yield &amp; Time'!A:X,24,0))</f>
        <v>0.56818181818181823</v>
      </c>
      <c r="N1583" s="35">
        <f t="shared" si="483"/>
        <v>1.4079999999999999</v>
      </c>
      <c r="O1583" s="1" t="str">
        <f>VLOOKUP(H1583,'RM Used'!A:E,5,0)</f>
        <v>KG</v>
      </c>
      <c r="P1583" s="11">
        <f>VLOOKUP(H1583,'RM Used'!A:F,6,0)</f>
        <v>9.35</v>
      </c>
      <c r="Q1583" s="11">
        <f t="shared" si="482"/>
        <v>13.1648</v>
      </c>
      <c r="R1583" s="11" cm="1">
        <f t="array" ref="R1583">IFERROR(_xlfn.IFS(B1583="Reynolds",VLOOKUP(H1583,'Yield &amp; Time'!A:U,21,0),B1583="Dnata",VLOOKUP(H1583,'Yield &amp; Time'!A:L,12,0),B1583="NK",VLOOKUP(H1583,'Yield &amp; Time'!A:W,23,0)),0)</f>
        <v>23.4375</v>
      </c>
      <c r="S1583" s="11">
        <f t="shared" si="474"/>
        <v>6.3468749999999998</v>
      </c>
      <c r="T1583" s="11">
        <f t="shared" si="475"/>
        <v>0.3125</v>
      </c>
      <c r="U1583" s="11">
        <f>IF(A1582=A1583,0,VLOOKUP(A1583,'Packing Time'!A:F,6,0))</f>
        <v>0.875</v>
      </c>
      <c r="V1583" s="11">
        <f t="shared" ref="V1583:V1646" si="486">U1583*AO$1</f>
        <v>0.29618749999999999</v>
      </c>
      <c r="W1583" s="11">
        <f t="shared" ref="W1583:W1646" si="487">(U1583*Z1583)/60</f>
        <v>1.4583333333333334E-2</v>
      </c>
      <c r="X1583" s="11">
        <f t="shared" si="476"/>
        <v>10.6289</v>
      </c>
      <c r="Y1583" s="11">
        <f t="shared" ref="Y1583:Y1646" si="488">X1583*Z1583</f>
        <v>10.6289</v>
      </c>
      <c r="Z1583" s="37">
        <v>1</v>
      </c>
      <c r="AA1583" s="36">
        <f t="shared" si="477"/>
        <v>1.4079999999999999</v>
      </c>
      <c r="AB1583" s="11">
        <f t="shared" si="478"/>
        <v>13.1648</v>
      </c>
      <c r="AC1583" s="11">
        <f t="shared" si="479"/>
        <v>0.52333333333333332</v>
      </c>
      <c r="AD1583" s="36">
        <f t="shared" ref="AD1583:AD1646" si="489">AC1583*60*AO$1</f>
        <v>10.628899999999998</v>
      </c>
      <c r="AE1583" s="36"/>
      <c r="AF1583" s="36">
        <f>IFERROR(VLOOKUP(AE1583,'Chemical Cost'!A:D,4,0),0)</f>
        <v>0</v>
      </c>
      <c r="AG1583" s="114">
        <f t="shared" si="480"/>
        <v>0</v>
      </c>
      <c r="AH1583" s="36">
        <f t="shared" si="485"/>
        <v>0</v>
      </c>
      <c r="AI1583" s="36">
        <f t="shared" si="484"/>
        <v>23.793700000000001</v>
      </c>
      <c r="AJ1583" s="36">
        <f>IFERROR(VLOOKUP(A1583,'All Products'!A:F,6,0),0)</f>
        <v>51.58</v>
      </c>
      <c r="AK1583" s="1"/>
      <c r="AL1583" s="1"/>
      <c r="AM1583" s="1"/>
      <c r="AN1583" s="54" t="e">
        <v>#N/A</v>
      </c>
      <c r="AP1583" s="4">
        <v>1.6</v>
      </c>
      <c r="AQ1583" s="111">
        <f t="shared" si="481"/>
        <v>0.52333333333333332</v>
      </c>
      <c r="AR1583">
        <f>_xlfn.XLOOKUP(F1583,'RM Cost'!A:A,'RM Cost'!S:S)</f>
        <v>0</v>
      </c>
      <c r="AS1583" t="e">
        <f>_xlfn.XLOOKUP(A1583,[3]Sheet1!$B:$B,[3]Sheet1!$B:$B)</f>
        <v>#N/A</v>
      </c>
    </row>
    <row r="1584" spans="1:46" x14ac:dyDescent="0.25">
      <c r="A1584" s="1" t="s">
        <v>4511</v>
      </c>
      <c r="B1584" s="2" t="s">
        <v>656</v>
      </c>
      <c r="C1584" s="2" t="s">
        <v>4512</v>
      </c>
      <c r="D1584" s="2" t="s">
        <v>554</v>
      </c>
      <c r="E1584" s="106">
        <v>0.8</v>
      </c>
      <c r="F1584" s="1" t="str">
        <f>VLOOKUP(H1584,'RM Used'!A:B,2,0)</f>
        <v>P0008</v>
      </c>
      <c r="G1584" s="1" t="str">
        <f>IFERROR(VLOOKUP(F1584,'RM Cost'!A:B,2,0),"")</f>
        <v>PALE BLUE BAG 470X750MM</v>
      </c>
      <c r="H1584" s="1" t="s">
        <v>1323</v>
      </c>
      <c r="I1584" s="1" t="str">
        <f>VLOOKUP(F1584,'RM Used'!B:D,3,0)</f>
        <v>RM-PACKING</v>
      </c>
      <c r="J1584" s="66">
        <v>1</v>
      </c>
      <c r="K1584" s="35" t="str">
        <f t="shared" si="472"/>
        <v/>
      </c>
      <c r="L1584" s="35">
        <f t="shared" si="473"/>
        <v>0</v>
      </c>
      <c r="M1584" s="77" t="str" cm="1">
        <f t="array" ref="M1584">_xlfn.IFS(BOM!I1584="RM-PACKING","100%",B1584="Reynolds",VLOOKUP(H1584,'Yield &amp; Time'!A:V,22,0),BOM!B1584="Dnata",VLOOKUP(BOM!H1584,'Yield &amp; Time'!A:M,13,0),B1584="NK",VLOOKUP(H1584,'Yield &amp; Time'!A:X,24,0))</f>
        <v>100%</v>
      </c>
      <c r="N1584" s="35">
        <f t="shared" si="483"/>
        <v>1</v>
      </c>
      <c r="O1584" s="1" t="str">
        <f>VLOOKUP(H1584,'RM Used'!A:E,5,0)</f>
        <v>Count</v>
      </c>
      <c r="P1584" s="11">
        <f>VLOOKUP(H1584,'RM Used'!A:F,6,0)</f>
        <v>0.14000000000000001</v>
      </c>
      <c r="Q1584" s="11">
        <f t="shared" si="482"/>
        <v>0.14000000000000001</v>
      </c>
      <c r="R1584" s="11" cm="1">
        <f t="array" ref="R1584">IFERROR(_xlfn.IFS(B1584="Reynolds",VLOOKUP(H1584,'Yield &amp; Time'!A:U,21,0),B1584="Dnata",VLOOKUP(H1584,'Yield &amp; Time'!A:L,12,0),B1584="NK",VLOOKUP(H1584,'Yield &amp; Time'!A:W,23,0)),0)</f>
        <v>0</v>
      </c>
      <c r="S1584" s="11">
        <f t="shared" si="474"/>
        <v>0</v>
      </c>
      <c r="T1584" s="11">
        <f t="shared" si="475"/>
        <v>0</v>
      </c>
      <c r="U1584" s="11">
        <f>IF(A1583=A1584,0,VLOOKUP(A1584,'Packing Time'!A:F,6,0))</f>
        <v>0</v>
      </c>
      <c r="V1584" s="11">
        <f t="shared" si="486"/>
        <v>0</v>
      </c>
      <c r="W1584" s="11">
        <f t="shared" si="487"/>
        <v>0</v>
      </c>
      <c r="X1584" s="11">
        <f t="shared" si="476"/>
        <v>0</v>
      </c>
      <c r="Y1584" s="11">
        <f t="shared" si="488"/>
        <v>0</v>
      </c>
      <c r="Z1584" s="37">
        <v>1</v>
      </c>
      <c r="AA1584" s="36">
        <f t="shared" si="477"/>
        <v>1</v>
      </c>
      <c r="AB1584" s="11">
        <f t="shared" si="478"/>
        <v>0.14000000000000001</v>
      </c>
      <c r="AC1584" s="11">
        <f t="shared" si="479"/>
        <v>0</v>
      </c>
      <c r="AD1584" s="36">
        <f t="shared" si="489"/>
        <v>0</v>
      </c>
      <c r="AE1584" s="36"/>
      <c r="AF1584" s="36">
        <f>IFERROR(VLOOKUP(AE1584,'Chemical Cost'!A:D,4,0),0)</f>
        <v>0</v>
      </c>
      <c r="AG1584" s="114">
        <f t="shared" si="480"/>
        <v>0</v>
      </c>
      <c r="AH1584" s="36">
        <f t="shared" si="485"/>
        <v>0</v>
      </c>
      <c r="AI1584" s="36">
        <f t="shared" si="484"/>
        <v>0.14000000000000001</v>
      </c>
      <c r="AJ1584" s="36">
        <f>IFERROR(VLOOKUP(A1584,'All Products'!A:F,6,0),0)</f>
        <v>51.58</v>
      </c>
      <c r="AK1584" s="1"/>
      <c r="AL1584" s="1"/>
      <c r="AM1584" s="1"/>
      <c r="AN1584" s="54" t="e">
        <v>#N/A</v>
      </c>
      <c r="AP1584" s="4">
        <v>1.6</v>
      </c>
      <c r="AQ1584" s="111">
        <f t="shared" si="481"/>
        <v>0</v>
      </c>
      <c r="AR1584">
        <f>_xlfn.XLOOKUP(F1584,'RM Cost'!A:A,'RM Cost'!S:S)</f>
        <v>0</v>
      </c>
      <c r="AS1584" t="e">
        <f>_xlfn.XLOOKUP(A1584,[3]Sheet1!$B:$B,[3]Sheet1!$B:$B)</f>
        <v>#N/A</v>
      </c>
    </row>
    <row r="1585" spans="1:46" x14ac:dyDescent="0.25">
      <c r="A1585" s="1" t="s">
        <v>4536</v>
      </c>
      <c r="B1585" s="2" t="s">
        <v>656</v>
      </c>
      <c r="C1585" s="2" t="s">
        <v>4535</v>
      </c>
      <c r="D1585" s="2" t="s">
        <v>554</v>
      </c>
      <c r="E1585" s="106">
        <v>1.6</v>
      </c>
      <c r="F1585" s="1" t="str">
        <f>VLOOKUP(H1585,'RM Used'!A:B,2,0)</f>
        <v>107ACS</v>
      </c>
      <c r="G1585" s="1" t="str">
        <f>IFERROR(VLOOKUP(F1585,'RM Cost'!A:B,2,0),"")</f>
        <v>RM - BABY RED BEETROOT 6 X 200G</v>
      </c>
      <c r="H1585" s="101" t="s">
        <v>4513</v>
      </c>
      <c r="I1585" s="1" t="str">
        <f>VLOOKUP(F1585,'RM Used'!B:D,3,0)</f>
        <v>RM-FOOD</v>
      </c>
      <c r="J1585" s="66">
        <v>1</v>
      </c>
      <c r="K1585" s="35">
        <f t="shared" ref="K1585:K1590" si="490">IF(I1585="RM-FOOD",J1585*E1585,"")</f>
        <v>1.6</v>
      </c>
      <c r="L1585" s="35">
        <f t="shared" si="473"/>
        <v>1.6</v>
      </c>
      <c r="M1585" s="77" cm="1">
        <f t="array" ref="M1585">_xlfn.IFS(BOM!I1585="RM-PACKING","100%",B1585="Reynolds",VLOOKUP(H1585,'Yield &amp; Time'!A:V,22,0),BOM!B1585="Dnata",VLOOKUP(BOM!H1585,'Yield &amp; Time'!A:M,13,0),B1585="NK",VLOOKUP(H1585,'Yield &amp; Time'!A:X,24,0))</f>
        <v>0.56818181818181823</v>
      </c>
      <c r="N1585" s="35">
        <f t="shared" si="483"/>
        <v>2.8159999999999998</v>
      </c>
      <c r="O1585" s="1" t="str">
        <f>VLOOKUP(H1585,'RM Used'!A:E,5,0)</f>
        <v>KG</v>
      </c>
      <c r="P1585" s="11">
        <f>VLOOKUP(H1585,'RM Used'!A:F,6,0)</f>
        <v>9.35</v>
      </c>
      <c r="Q1585" s="11">
        <f t="shared" si="482"/>
        <v>26.329599999999999</v>
      </c>
      <c r="R1585" s="11" cm="1">
        <f t="array" ref="R1585">IFERROR(_xlfn.IFS(B1585="Reynolds",VLOOKUP(H1585,'Yield &amp; Time'!A:U,21,0),B1585="Dnata",VLOOKUP(H1585,'Yield &amp; Time'!A:L,12,0),B1585="NK",VLOOKUP(H1585,'Yield &amp; Time'!A:W,23,0)),0)</f>
        <v>23.4375</v>
      </c>
      <c r="S1585" s="11">
        <f t="shared" si="474"/>
        <v>12.69375</v>
      </c>
      <c r="T1585" s="11">
        <f t="shared" si="475"/>
        <v>0.625</v>
      </c>
      <c r="U1585" s="11">
        <f>IF(A1584=A1585,0,VLOOKUP(A1585,'Packing Time'!A:F,6,0))</f>
        <v>1.175</v>
      </c>
      <c r="V1585" s="11">
        <f t="shared" si="486"/>
        <v>0.39773749999999997</v>
      </c>
      <c r="W1585" s="11">
        <f t="shared" si="487"/>
        <v>1.9583333333333335E-2</v>
      </c>
      <c r="X1585" s="11">
        <f t="shared" si="476"/>
        <v>20.946379999999998</v>
      </c>
      <c r="Y1585" s="11">
        <f t="shared" si="488"/>
        <v>20.946379999999998</v>
      </c>
      <c r="Z1585" s="37">
        <v>1</v>
      </c>
      <c r="AA1585" s="36">
        <f t="shared" si="477"/>
        <v>2.8159999999999998</v>
      </c>
      <c r="AB1585" s="11">
        <f t="shared" si="478"/>
        <v>26.329599999999999</v>
      </c>
      <c r="AC1585" s="11">
        <f t="shared" si="479"/>
        <v>1.0313333333333332</v>
      </c>
      <c r="AD1585" s="36">
        <f t="shared" si="489"/>
        <v>20.946379999999998</v>
      </c>
      <c r="AE1585" s="36"/>
      <c r="AF1585" s="36">
        <f>IFERROR(VLOOKUP(AE1585,'Chemical Cost'!A:D,4,0),0)</f>
        <v>0</v>
      </c>
      <c r="AG1585" s="114">
        <f t="shared" si="480"/>
        <v>0</v>
      </c>
      <c r="AH1585" s="36">
        <f t="shared" si="485"/>
        <v>0</v>
      </c>
      <c r="AI1585" s="36">
        <f t="shared" si="484"/>
        <v>47.275979999999997</v>
      </c>
      <c r="AJ1585" s="36">
        <f>IFERROR(VLOOKUP(A1585,'All Products'!A:F,6,0),0)</f>
        <v>103.17</v>
      </c>
      <c r="AN1585" s="54" t="e">
        <v>#N/A</v>
      </c>
      <c r="AP1585" s="4">
        <v>1.6</v>
      </c>
      <c r="AQ1585" s="111">
        <f t="shared" si="481"/>
        <v>1.0313333333333332</v>
      </c>
      <c r="AR1585">
        <f>_xlfn.XLOOKUP(F1585,'RM Cost'!A:A,'RM Cost'!S:S)</f>
        <v>0</v>
      </c>
      <c r="AS1585" t="e">
        <f>_xlfn.XLOOKUP(A1585,[3]Sheet1!$B:$B,[3]Sheet1!$B:$B)</f>
        <v>#N/A</v>
      </c>
    </row>
    <row r="1586" spans="1:46" x14ac:dyDescent="0.25">
      <c r="A1586" s="65" t="s">
        <v>4536</v>
      </c>
      <c r="B1586" s="64" t="s">
        <v>656</v>
      </c>
      <c r="C1586" s="64" t="s">
        <v>4535</v>
      </c>
      <c r="D1586" s="64" t="s">
        <v>554</v>
      </c>
      <c r="E1586" s="106">
        <v>1.6</v>
      </c>
      <c r="F1586" s="65" t="str">
        <f>VLOOKUP(H1586,'RM Used'!A:B,2,0)</f>
        <v>P0008</v>
      </c>
      <c r="G1586" s="65" t="str">
        <f>IFERROR(VLOOKUP(F1586,'RM Cost'!A:B,2,0),"")</f>
        <v>PALE BLUE BAG 470X750MM</v>
      </c>
      <c r="H1586" s="65" t="s">
        <v>1323</v>
      </c>
      <c r="I1586" s="65" t="str">
        <f>VLOOKUP(F1586,'RM Used'!B:D,3,0)</f>
        <v>RM-PACKING</v>
      </c>
      <c r="J1586" s="107">
        <v>1</v>
      </c>
      <c r="K1586" s="35" t="str">
        <f t="shared" si="490"/>
        <v/>
      </c>
      <c r="L1586" s="108">
        <f t="shared" si="473"/>
        <v>0</v>
      </c>
      <c r="M1586" s="77" t="str" cm="1">
        <f t="array" ref="M1586">_xlfn.IFS(BOM!I1586="RM-PACKING","100%",B1586="Reynolds",VLOOKUP(H1586,'Yield &amp; Time'!A:V,22,0),BOM!B1586="Dnata",VLOOKUP(BOM!H1586,'Yield &amp; Time'!A:M,13,0),B1586="NK",VLOOKUP(H1586,'Yield &amp; Time'!A:X,24,0))</f>
        <v>100%</v>
      </c>
      <c r="N1586" s="108">
        <f t="shared" si="483"/>
        <v>1</v>
      </c>
      <c r="O1586" s="65" t="str">
        <f>VLOOKUP(H1586,'RM Used'!A:E,5,0)</f>
        <v>Count</v>
      </c>
      <c r="P1586" s="85">
        <f>VLOOKUP(H1586,'RM Used'!A:F,6,0)</f>
        <v>0.14000000000000001</v>
      </c>
      <c r="Q1586" s="11">
        <f t="shared" si="482"/>
        <v>0.14000000000000001</v>
      </c>
      <c r="R1586" s="85" cm="1">
        <f t="array" ref="R1586">IFERROR(_xlfn.IFS(B1586="Reynolds",VLOOKUP(H1586,'Yield &amp; Time'!A:U,21,0),B1586="Dnata",VLOOKUP(H1586,'Yield &amp; Time'!A:L,12,0),B1586="NK",VLOOKUP(H1586,'Yield &amp; Time'!A:W,23,0)),0)</f>
        <v>0</v>
      </c>
      <c r="S1586" s="85">
        <f t="shared" si="474"/>
        <v>0</v>
      </c>
      <c r="T1586" s="85">
        <f t="shared" si="475"/>
        <v>0</v>
      </c>
      <c r="U1586" s="11">
        <f>IF(A1585=A1586,0,VLOOKUP(A1586,'Packing Time'!A:F,6,0))</f>
        <v>0</v>
      </c>
      <c r="V1586" s="11">
        <f t="shared" si="486"/>
        <v>0</v>
      </c>
      <c r="W1586" s="11">
        <f t="shared" si="487"/>
        <v>0</v>
      </c>
      <c r="X1586" s="11">
        <f t="shared" si="476"/>
        <v>0</v>
      </c>
      <c r="Y1586" s="11">
        <f t="shared" si="488"/>
        <v>0</v>
      </c>
      <c r="Z1586" s="37">
        <v>1</v>
      </c>
      <c r="AA1586" s="36">
        <f t="shared" si="477"/>
        <v>1</v>
      </c>
      <c r="AB1586" s="11">
        <f t="shared" si="478"/>
        <v>0.14000000000000001</v>
      </c>
      <c r="AC1586" s="11">
        <f t="shared" si="479"/>
        <v>0</v>
      </c>
      <c r="AD1586" s="36">
        <f t="shared" si="489"/>
        <v>0</v>
      </c>
      <c r="AE1586" s="109"/>
      <c r="AF1586" s="36">
        <f>IFERROR(VLOOKUP(AE1586,'Chemical Cost'!A:D,4,0),0)</f>
        <v>0</v>
      </c>
      <c r="AG1586" s="114">
        <f t="shared" si="480"/>
        <v>0</v>
      </c>
      <c r="AH1586" s="36">
        <f t="shared" si="485"/>
        <v>0</v>
      </c>
      <c r="AI1586" s="109">
        <f t="shared" si="484"/>
        <v>0.14000000000000001</v>
      </c>
      <c r="AJ1586" s="109">
        <f>IFERROR(VLOOKUP(A1586,'All Products'!A:F,6,0),0)</f>
        <v>103.17</v>
      </c>
      <c r="AN1586" s="54" t="e">
        <v>#N/A</v>
      </c>
      <c r="AP1586" s="4">
        <v>1.6</v>
      </c>
      <c r="AQ1586" s="111">
        <f t="shared" si="481"/>
        <v>0</v>
      </c>
      <c r="AR1586">
        <f>_xlfn.XLOOKUP(F1586,'RM Cost'!A:A,'RM Cost'!S:S)</f>
        <v>0</v>
      </c>
      <c r="AS1586" t="e">
        <f>_xlfn.XLOOKUP(A1586,[3]Sheet1!$B:$B,[3]Sheet1!$B:$B)</f>
        <v>#N/A</v>
      </c>
    </row>
    <row r="1587" spans="1:46" x14ac:dyDescent="0.25">
      <c r="A1587" s="1" t="s">
        <v>1863</v>
      </c>
      <c r="B1587" s="2" t="s">
        <v>552</v>
      </c>
      <c r="C1587" s="2" t="s">
        <v>4537</v>
      </c>
      <c r="D1587" s="2" t="s">
        <v>554</v>
      </c>
      <c r="E1587" s="2">
        <v>2.5</v>
      </c>
      <c r="F1587" s="1" t="str">
        <f>VLOOKUP(H1587,'RM Used'!A:B,2,0)</f>
        <v>3264CS</v>
      </c>
      <c r="G1587" s="1" t="str">
        <f>IFERROR(VLOOKUP(F1587,'RM Cost'!A:B,2,0),"")</f>
        <v>RM - SHALLOTS ROUND 5KG</v>
      </c>
      <c r="H1587" s="2" t="s">
        <v>1575</v>
      </c>
      <c r="I1587" s="1" t="str">
        <f>VLOOKUP(F1587,'RM Used'!B:D,3,0)</f>
        <v>RM-FOOD</v>
      </c>
      <c r="J1587" s="66">
        <v>1</v>
      </c>
      <c r="K1587" s="35">
        <f t="shared" si="490"/>
        <v>2.5</v>
      </c>
      <c r="L1587" s="35">
        <f t="shared" si="473"/>
        <v>2.5</v>
      </c>
      <c r="M1587" s="77" cm="1">
        <f t="array" ref="M1587">_xlfn.IFS(BOM!I1587="RM-PACKING","100%",B1587="Reynolds",VLOOKUP(H1587,'Yield &amp; Time'!A:V,22,0),BOM!B1587="Dnata",VLOOKUP(BOM!H1587,'Yield &amp; Time'!A:M,13,0),B1587="NK",VLOOKUP(H1587,'Yield &amp; Time'!A:X,24,0))</f>
        <v>0.77</v>
      </c>
      <c r="N1587" s="35">
        <f t="shared" si="483"/>
        <v>3.2467532467532467</v>
      </c>
      <c r="O1587" s="1" t="str">
        <f>VLOOKUP(H1587,'RM Used'!A:E,5,0)</f>
        <v>KG</v>
      </c>
      <c r="P1587" s="11">
        <f>VLOOKUP(H1587,'RM Used'!A:F,6,0)</f>
        <v>0.79</v>
      </c>
      <c r="Q1587" s="11">
        <f t="shared" si="482"/>
        <v>2.5649350649350651</v>
      </c>
      <c r="R1587" s="11">
        <f>IFERROR(IF(B1587="Reynolds",VLOOKUP(H1587,'Yield &amp; Time'!A:U,21,0),VLOOKUP(H1587,'Yield &amp; Time'!A:L,12,0)),0)</f>
        <v>7.7922077922077921</v>
      </c>
      <c r="S1587" s="11">
        <f t="shared" si="474"/>
        <v>6.5941558441558428</v>
      </c>
      <c r="T1587" s="11">
        <f t="shared" si="475"/>
        <v>0.32467532467532467</v>
      </c>
      <c r="U1587" s="11">
        <f>IF(A1586=A1587,0,VLOOKUP(A1587,'Packing Time'!A:F,6,0))</f>
        <v>0.875</v>
      </c>
      <c r="V1587" s="11">
        <f t="shared" si="486"/>
        <v>0.29618749999999999</v>
      </c>
      <c r="W1587" s="11">
        <f t="shared" si="487"/>
        <v>1.4583333333333334E-2</v>
      </c>
      <c r="X1587" s="11">
        <f t="shared" si="476"/>
        <v>9.6464806818181792</v>
      </c>
      <c r="Y1587" s="11">
        <f t="shared" si="488"/>
        <v>9.6464806818181792</v>
      </c>
      <c r="Z1587" s="37">
        <v>1</v>
      </c>
      <c r="AA1587" s="36">
        <f t="shared" si="477"/>
        <v>3.2467532467532467</v>
      </c>
      <c r="AB1587" s="11">
        <f t="shared" si="478"/>
        <v>2.5649350649350651</v>
      </c>
      <c r="AC1587" s="11">
        <f t="shared" si="479"/>
        <v>0.47496212121212117</v>
      </c>
      <c r="AD1587" s="36">
        <f t="shared" si="489"/>
        <v>9.646480681818181</v>
      </c>
      <c r="AE1587" s="36"/>
      <c r="AF1587" s="36">
        <f>IFERROR(VLOOKUP(AE1587,'Chemical Cost'!A:D,4,0),0)</f>
        <v>0</v>
      </c>
      <c r="AG1587" s="114">
        <f t="shared" si="480"/>
        <v>0</v>
      </c>
      <c r="AH1587" s="36">
        <f t="shared" si="485"/>
        <v>0</v>
      </c>
      <c r="AI1587" s="36">
        <f t="shared" si="484"/>
        <v>12.211415746753245</v>
      </c>
      <c r="AJ1587" s="36">
        <f>IFERROR(VLOOKUP(A1587,'All Products'!A:F,6,0),0)</f>
        <v>20.5</v>
      </c>
      <c r="AK1587" s="36"/>
      <c r="AL1587" s="23">
        <v>1</v>
      </c>
      <c r="AM1587" s="1"/>
      <c r="AN1587" s="54" t="e">
        <v>#N/A</v>
      </c>
      <c r="AP1587" s="4">
        <v>1.4</v>
      </c>
      <c r="AQ1587" s="111">
        <f t="shared" si="481"/>
        <v>0.47496212121212117</v>
      </c>
      <c r="AR1587">
        <f>_xlfn.XLOOKUP(F1587,'RM Cost'!A:A,'RM Cost'!S:S)</f>
        <v>0</v>
      </c>
      <c r="AS1587" t="e">
        <f>_xlfn.XLOOKUP(A1587,[3]Sheet1!$B:$B,[3]Sheet1!$B:$B)</f>
        <v>#N/A</v>
      </c>
    </row>
    <row r="1588" spans="1:46" x14ac:dyDescent="0.25">
      <c r="A1588" s="1" t="s">
        <v>1863</v>
      </c>
      <c r="B1588" s="2" t="s">
        <v>552</v>
      </c>
      <c r="C1588" s="2" t="s">
        <v>4537</v>
      </c>
      <c r="D1588" s="2" t="s">
        <v>554</v>
      </c>
      <c r="E1588" s="2">
        <v>2.5</v>
      </c>
      <c r="F1588" s="1" t="str">
        <f>VLOOKUP(H1588,'RM Used'!A:B,2,0)</f>
        <v>P0008</v>
      </c>
      <c r="G1588" s="1" t="str">
        <f>IFERROR(VLOOKUP(F1588,'RM Cost'!A:B,2,0),"")</f>
        <v>PALE BLUE BAG 470X750MM</v>
      </c>
      <c r="H1588" s="2" t="s">
        <v>1323</v>
      </c>
      <c r="I1588" s="1" t="str">
        <f>VLOOKUP(F1588,'RM Used'!B:D,3,0)</f>
        <v>RM-PACKING</v>
      </c>
      <c r="J1588" s="66">
        <v>1</v>
      </c>
      <c r="K1588" s="35" t="str">
        <f t="shared" si="490"/>
        <v/>
      </c>
      <c r="L1588" s="35">
        <f t="shared" si="473"/>
        <v>0</v>
      </c>
      <c r="M1588" s="77" t="str" cm="1">
        <f t="array" ref="M1588">_xlfn.IFS(BOM!I1588="RM-PACKING","100%",B1588="Reynolds",VLOOKUP(H1588,'Yield &amp; Time'!A:V,22,0),BOM!B1588="Dnata",VLOOKUP(BOM!H1588,'Yield &amp; Time'!A:M,13,0),B1588="NK",VLOOKUP(H1588,'Yield &amp; Time'!A:X,24,0))</f>
        <v>100%</v>
      </c>
      <c r="N1588" s="35">
        <f t="shared" si="483"/>
        <v>1</v>
      </c>
      <c r="O1588" s="1" t="str">
        <f>VLOOKUP(H1588,'RM Used'!A:E,5,0)</f>
        <v>Count</v>
      </c>
      <c r="P1588" s="11">
        <f>VLOOKUP(H1588,'RM Used'!A:F,6,0)</f>
        <v>0.14000000000000001</v>
      </c>
      <c r="Q1588" s="11">
        <f t="shared" si="482"/>
        <v>0.14000000000000001</v>
      </c>
      <c r="R1588" s="11">
        <f>IFERROR(IF(B1588="Reynolds",VLOOKUP(H1588,'Yield &amp; Time'!A:U,21,0),VLOOKUP(H1588,'Yield &amp; Time'!A:L,12,0)),0)</f>
        <v>0</v>
      </c>
      <c r="S1588" s="11">
        <f t="shared" si="474"/>
        <v>0</v>
      </c>
      <c r="T1588" s="11">
        <f t="shared" si="475"/>
        <v>0</v>
      </c>
      <c r="U1588" s="11">
        <f>IF(A1587=A1588,0,VLOOKUP(A1588,'Packing Time'!A:F,6,0))</f>
        <v>0</v>
      </c>
      <c r="V1588" s="11">
        <f t="shared" si="486"/>
        <v>0</v>
      </c>
      <c r="W1588" s="11">
        <f t="shared" si="487"/>
        <v>0</v>
      </c>
      <c r="X1588" s="11">
        <f t="shared" si="476"/>
        <v>0</v>
      </c>
      <c r="Y1588" s="11">
        <f t="shared" si="488"/>
        <v>0</v>
      </c>
      <c r="Z1588" s="37">
        <v>1</v>
      </c>
      <c r="AA1588" s="36">
        <f t="shared" si="477"/>
        <v>1</v>
      </c>
      <c r="AB1588" s="11">
        <f t="shared" si="478"/>
        <v>0.14000000000000001</v>
      </c>
      <c r="AC1588" s="11">
        <f t="shared" si="479"/>
        <v>0</v>
      </c>
      <c r="AD1588" s="36">
        <f t="shared" si="489"/>
        <v>0</v>
      </c>
      <c r="AE1588" s="36"/>
      <c r="AF1588" s="36">
        <f>IFERROR(VLOOKUP(AE1588,'Chemical Cost'!A:D,4,0),0)</f>
        <v>0</v>
      </c>
      <c r="AG1588" s="114">
        <f t="shared" si="480"/>
        <v>0</v>
      </c>
      <c r="AH1588" s="36">
        <f t="shared" si="485"/>
        <v>0</v>
      </c>
      <c r="AI1588" s="36">
        <f t="shared" si="484"/>
        <v>0.14000000000000001</v>
      </c>
      <c r="AJ1588" s="36">
        <f>IFERROR(VLOOKUP(A1588,'All Products'!A:F,6,0),0)</f>
        <v>20.5</v>
      </c>
      <c r="AK1588" s="36"/>
      <c r="AL1588" s="23">
        <v>1</v>
      </c>
      <c r="AM1588" s="1"/>
      <c r="AN1588" s="54" t="e">
        <v>#N/A</v>
      </c>
      <c r="AP1588" s="4">
        <v>1.4</v>
      </c>
      <c r="AQ1588" s="111">
        <f t="shared" si="481"/>
        <v>0</v>
      </c>
      <c r="AR1588">
        <f>_xlfn.XLOOKUP(F1588,'RM Cost'!A:A,'RM Cost'!S:S)</f>
        <v>0</v>
      </c>
      <c r="AS1588" t="e">
        <f>_xlfn.XLOOKUP(A1588,[3]Sheet1!$B:$B,[3]Sheet1!$B:$B)</f>
        <v>#N/A</v>
      </c>
    </row>
    <row r="1589" spans="1:46" x14ac:dyDescent="0.25">
      <c r="A1589" s="1" t="s">
        <v>4514</v>
      </c>
      <c r="B1589" s="2" t="s">
        <v>552</v>
      </c>
      <c r="C1589" s="1" t="s">
        <v>4515</v>
      </c>
      <c r="D1589" s="2" t="s">
        <v>554</v>
      </c>
      <c r="E1589" s="2">
        <v>1</v>
      </c>
      <c r="F1589" s="1" t="str">
        <f>VLOOKUP(H1589,'RM Used'!A:B,2,0)</f>
        <v>C0334KG</v>
      </c>
      <c r="G1589" s="1" t="str">
        <f>IFERROR(VLOOKUP(F1589,'RM Cost'!A:B,2,0),"")</f>
        <v/>
      </c>
      <c r="H1589" s="2" t="s">
        <v>4539</v>
      </c>
      <c r="I1589" s="1" t="str">
        <f>VLOOKUP(F1589,'RM Used'!B:D,3,0)</f>
        <v>RM-FOOD</v>
      </c>
      <c r="J1589" s="66">
        <v>1</v>
      </c>
      <c r="K1589" s="35">
        <f t="shared" si="490"/>
        <v>1</v>
      </c>
      <c r="L1589" s="35">
        <f t="shared" si="473"/>
        <v>1</v>
      </c>
      <c r="M1589" s="77" cm="1">
        <f t="array" ref="M1589">_xlfn.IFS(BOM!I1589="RM-PACKING","100%",B1589="Reynolds",VLOOKUP(H1589,'Yield &amp; Time'!A:V,22,0),BOM!B1589="Dnata",VLOOKUP(BOM!H1589,'Yield &amp; Time'!A:M,13,0),B1589="NK",VLOOKUP(H1589,'Yield &amp; Time'!A:X,24,0))</f>
        <v>0.64307692307692299</v>
      </c>
      <c r="N1589" s="35">
        <f t="shared" si="483"/>
        <v>1.5550239234449763</v>
      </c>
      <c r="O1589" s="1" t="str">
        <f>VLOOKUP(H1589,'RM Used'!A:E,5,0)</f>
        <v>KG</v>
      </c>
      <c r="P1589" s="11" t="e">
        <f>VLOOKUP(H1589,'RM Used'!A:F,6,0)</f>
        <v>#N/A</v>
      </c>
      <c r="Q1589" s="11" t="e">
        <f t="shared" si="482"/>
        <v>#N/A</v>
      </c>
      <c r="R1589" s="11">
        <f>IFERROR(IF(B1589="Reynolds",VLOOKUP(H1589,'Yield &amp; Time'!A:U,21,0),VLOOKUP(H1589,'Yield &amp; Time'!A:L,12,0)),0)</f>
        <v>9.0909090909090917</v>
      </c>
      <c r="S1589" s="11">
        <f t="shared" si="474"/>
        <v>3.0772727272727272</v>
      </c>
      <c r="T1589" s="11">
        <f t="shared" si="475"/>
        <v>0.15151515151515152</v>
      </c>
      <c r="U1589" s="11">
        <f>IF(A1588=A1589,0,VLOOKUP(A1589,'Packing Time'!A:F,6,0))</f>
        <v>0.64500000000000002</v>
      </c>
      <c r="V1589" s="11">
        <f t="shared" si="486"/>
        <v>0.21833249999999998</v>
      </c>
      <c r="W1589" s="11">
        <f t="shared" si="487"/>
        <v>1.0750000000000001E-2</v>
      </c>
      <c r="X1589" s="11">
        <f t="shared" si="476"/>
        <v>5.2729683636363633</v>
      </c>
      <c r="Y1589" s="11">
        <f t="shared" si="488"/>
        <v>5.2729683636363633</v>
      </c>
      <c r="Z1589" s="37">
        <v>1</v>
      </c>
      <c r="AA1589" s="36">
        <f t="shared" si="477"/>
        <v>1.5550239234449763</v>
      </c>
      <c r="AB1589" s="11" t="e">
        <f t="shared" si="478"/>
        <v>#N/A</v>
      </c>
      <c r="AC1589" s="11">
        <f t="shared" si="479"/>
        <v>0.25962424242424248</v>
      </c>
      <c r="AD1589" s="36">
        <f t="shared" si="489"/>
        <v>5.2729683636363642</v>
      </c>
      <c r="AE1589" s="36"/>
      <c r="AF1589" s="36">
        <f>IFERROR(VLOOKUP(AE1589,'Chemical Cost'!A:D,4,0),0)</f>
        <v>0</v>
      </c>
      <c r="AG1589" s="114">
        <f t="shared" si="480"/>
        <v>0</v>
      </c>
      <c r="AH1589" s="36">
        <f t="shared" si="485"/>
        <v>0</v>
      </c>
      <c r="AI1589" s="36">
        <f t="shared" si="484"/>
        <v>0</v>
      </c>
      <c r="AJ1589" s="36">
        <f>IFERROR(VLOOKUP(A1589,'All Products'!A:F,6,0),0)</f>
        <v>8.8000000000000007</v>
      </c>
      <c r="AK1589" s="36"/>
      <c r="AL1589" s="23">
        <v>1</v>
      </c>
      <c r="AM1589" s="1"/>
      <c r="AN1589" s="54" t="e">
        <v>#N/A</v>
      </c>
      <c r="AP1589" s="4">
        <v>1.6</v>
      </c>
      <c r="AQ1589" s="111">
        <f t="shared" si="481"/>
        <v>0.25962424242424248</v>
      </c>
      <c r="AR1589" t="e">
        <f>_xlfn.XLOOKUP(F1589,'RM Cost'!A:A,'RM Cost'!S:S)</f>
        <v>#N/A</v>
      </c>
      <c r="AS1589" t="e">
        <f>_xlfn.XLOOKUP(A1589,[3]Sheet1!$B:$B,[3]Sheet1!$B:$B)</f>
        <v>#N/A</v>
      </c>
    </row>
    <row r="1590" spans="1:46" x14ac:dyDescent="0.25">
      <c r="A1590" s="1" t="s">
        <v>4514</v>
      </c>
      <c r="B1590" s="2" t="s">
        <v>552</v>
      </c>
      <c r="C1590" s="1" t="s">
        <v>4515</v>
      </c>
      <c r="D1590" s="2" t="s">
        <v>554</v>
      </c>
      <c r="E1590" s="2">
        <v>1</v>
      </c>
      <c r="F1590" s="1" t="str">
        <f>VLOOKUP(H1590,'RM Used'!A:B,2,0)</f>
        <v>P0008</v>
      </c>
      <c r="G1590" s="1" t="str">
        <f>IFERROR(VLOOKUP(F1590,'RM Cost'!A:B,2,0),"")</f>
        <v>PALE BLUE BAG 470X750MM</v>
      </c>
      <c r="H1590" s="2" t="s">
        <v>1323</v>
      </c>
      <c r="I1590" s="1" t="str">
        <f>VLOOKUP(F1590,'RM Used'!B:D,3,0)</f>
        <v>RM-PACKING</v>
      </c>
      <c r="J1590" s="66">
        <v>1</v>
      </c>
      <c r="K1590" s="35" t="str">
        <f t="shared" si="490"/>
        <v/>
      </c>
      <c r="L1590" s="35">
        <f t="shared" si="473"/>
        <v>0</v>
      </c>
      <c r="M1590" s="77" t="str" cm="1">
        <f t="array" ref="M1590">_xlfn.IFS(BOM!I1590="RM-PACKING","100%",B1590="Reynolds",VLOOKUP(H1590,'Yield &amp; Time'!A:V,22,0),BOM!B1590="Dnata",VLOOKUP(BOM!H1590,'Yield &amp; Time'!A:M,13,0),B1590="NK",VLOOKUP(H1590,'Yield &amp; Time'!A:X,24,0))</f>
        <v>100%</v>
      </c>
      <c r="N1590" s="35">
        <f t="shared" si="483"/>
        <v>1</v>
      </c>
      <c r="O1590" s="1" t="str">
        <f>VLOOKUP(H1590,'RM Used'!A:E,5,0)</f>
        <v>Count</v>
      </c>
      <c r="P1590" s="11">
        <f>VLOOKUP(H1590,'RM Used'!A:F,6,0)</f>
        <v>0.14000000000000001</v>
      </c>
      <c r="Q1590" s="11">
        <f t="shared" si="482"/>
        <v>0.14000000000000001</v>
      </c>
      <c r="R1590" s="11">
        <f>IFERROR(IF(B1590="Reynolds",VLOOKUP(H1590,'Yield &amp; Time'!A:U,21,0),VLOOKUP(H1590,'Yield &amp; Time'!A:L,12,0)),0)</f>
        <v>0</v>
      </c>
      <c r="S1590" s="11">
        <f t="shared" si="474"/>
        <v>0</v>
      </c>
      <c r="T1590" s="11">
        <f t="shared" si="475"/>
        <v>0</v>
      </c>
      <c r="U1590" s="11">
        <f>IF(A1589=A1590,0,VLOOKUP(A1590,'Packing Time'!A:F,6,0))</f>
        <v>0</v>
      </c>
      <c r="V1590" s="11">
        <f t="shared" si="486"/>
        <v>0</v>
      </c>
      <c r="W1590" s="11">
        <f t="shared" si="487"/>
        <v>0</v>
      </c>
      <c r="X1590" s="11">
        <f t="shared" si="476"/>
        <v>0</v>
      </c>
      <c r="Y1590" s="11">
        <f t="shared" si="488"/>
        <v>0</v>
      </c>
      <c r="Z1590" s="37">
        <v>1</v>
      </c>
      <c r="AA1590" s="36">
        <f t="shared" si="477"/>
        <v>1</v>
      </c>
      <c r="AB1590" s="11">
        <f t="shared" si="478"/>
        <v>0.14000000000000001</v>
      </c>
      <c r="AC1590" s="11">
        <f t="shared" si="479"/>
        <v>0</v>
      </c>
      <c r="AD1590" s="36">
        <f t="shared" si="489"/>
        <v>0</v>
      </c>
      <c r="AE1590" s="36"/>
      <c r="AF1590" s="36">
        <f>IFERROR(VLOOKUP(AE1590,'Chemical Cost'!A:D,4,0),0)</f>
        <v>0</v>
      </c>
      <c r="AG1590" s="114">
        <f t="shared" si="480"/>
        <v>0</v>
      </c>
      <c r="AH1590" s="36">
        <f t="shared" si="485"/>
        <v>0</v>
      </c>
      <c r="AI1590" s="36">
        <f t="shared" si="484"/>
        <v>0.14000000000000001</v>
      </c>
      <c r="AJ1590" s="36">
        <f>IFERROR(VLOOKUP(A1590,'All Products'!A:F,6,0),0)</f>
        <v>8.8000000000000007</v>
      </c>
      <c r="AK1590" s="36"/>
      <c r="AL1590" s="23">
        <v>1</v>
      </c>
      <c r="AM1590" s="1"/>
      <c r="AN1590" s="54" t="e">
        <v>#N/A</v>
      </c>
      <c r="AP1590" s="4">
        <v>1.6</v>
      </c>
      <c r="AQ1590" s="111">
        <f t="shared" si="481"/>
        <v>0</v>
      </c>
      <c r="AR1590">
        <f>_xlfn.XLOOKUP(F1590,'RM Cost'!A:A,'RM Cost'!S:S)</f>
        <v>0</v>
      </c>
      <c r="AS1590" t="e">
        <f>_xlfn.XLOOKUP(A1590,[3]Sheet1!$B:$B,[3]Sheet1!$B:$B)</f>
        <v>#N/A</v>
      </c>
    </row>
    <row r="1591" spans="1:46" x14ac:dyDescent="0.25">
      <c r="A1591" s="1" t="s">
        <v>1778</v>
      </c>
      <c r="B1591" s="2" t="s">
        <v>552</v>
      </c>
      <c r="C1591" s="2" t="s">
        <v>1763</v>
      </c>
      <c r="D1591" s="2" t="s">
        <v>554</v>
      </c>
      <c r="E1591" s="2">
        <v>2.5</v>
      </c>
      <c r="F1591" s="1" t="str">
        <f>VLOOKUP(H1591,'RM Used'!A:B,2,0)</f>
        <v>1318CS</v>
      </c>
      <c r="G1591" s="1" t="str">
        <f>IFERROR(VLOOKUP(F1591,'RM Cost'!A:B,2,0),"")</f>
        <v>RM - PREP ONION RED WHOLE 2.5KG</v>
      </c>
      <c r="H1591" s="2" t="s">
        <v>4540</v>
      </c>
      <c r="I1591" s="1" t="str">
        <f>VLOOKUP(F1591,'RM Used'!B:D,3,0)</f>
        <v>RM-FOOD</v>
      </c>
      <c r="J1591" s="66">
        <v>1</v>
      </c>
      <c r="K1591" s="35">
        <f t="shared" ref="K1591:K1596" si="491">IF(I1591="RM-FOOD",J1591*E1591,"")</f>
        <v>2.5</v>
      </c>
      <c r="L1591" s="35">
        <f t="shared" si="473"/>
        <v>2.5</v>
      </c>
      <c r="M1591" s="77" cm="1">
        <f t="array" ref="M1591">_xlfn.IFS(BOM!I1591="RM-PACKING","100%",B1591="Reynolds",VLOOKUP(H1591,'Yield &amp; Time'!A:V,22,0),BOM!B1591="Dnata",VLOOKUP(BOM!H1591,'Yield &amp; Time'!A:M,13,0),B1591="NK",VLOOKUP(H1591,'Yield &amp; Time'!A:X,24,0))</f>
        <v>1</v>
      </c>
      <c r="N1591" s="35">
        <f t="shared" si="483"/>
        <v>2.5</v>
      </c>
      <c r="O1591" s="1" t="str">
        <f>VLOOKUP(H1591,'RM Used'!A:E,5,0)</f>
        <v>KG</v>
      </c>
      <c r="P1591" s="11">
        <f>VLOOKUP(H1591,'RM Used'!A:F,6,0)</f>
        <v>1.08</v>
      </c>
      <c r="Q1591" s="11">
        <f t="shared" si="482"/>
        <v>2.7</v>
      </c>
      <c r="R1591" s="11">
        <f>IFERROR(IF(B1591="Reynolds",VLOOKUP(H1591,'Yield &amp; Time'!A:U,21,0),VLOOKUP(H1591,'Yield &amp; Time'!A:L,12,0)),0)</f>
        <v>0.5</v>
      </c>
      <c r="S1591" s="11">
        <f t="shared" si="474"/>
        <v>0.42312499999999997</v>
      </c>
      <c r="T1591" s="11">
        <f t="shared" si="475"/>
        <v>2.0833333333333332E-2</v>
      </c>
      <c r="U1591" s="11">
        <f>IF(A1590=A1591,0,VLOOKUP(A1591,'Packing Time'!A:F,6,0))</f>
        <v>0.875</v>
      </c>
      <c r="V1591" s="11">
        <f t="shared" si="486"/>
        <v>0.29618749999999999</v>
      </c>
      <c r="W1591" s="11">
        <f t="shared" si="487"/>
        <v>1.4583333333333334E-2</v>
      </c>
      <c r="X1591" s="11">
        <f t="shared" si="476"/>
        <v>1.1508999999999998</v>
      </c>
      <c r="Y1591" s="11">
        <f t="shared" si="488"/>
        <v>1.1508999999999998</v>
      </c>
      <c r="Z1591" s="37">
        <v>1</v>
      </c>
      <c r="AA1591" s="36">
        <f t="shared" si="477"/>
        <v>2.5</v>
      </c>
      <c r="AB1591" s="11">
        <f t="shared" si="478"/>
        <v>2.7</v>
      </c>
      <c r="AC1591" s="11">
        <f t="shared" si="479"/>
        <v>5.6666666666666671E-2</v>
      </c>
      <c r="AD1591" s="36">
        <f t="shared" si="489"/>
        <v>1.1509</v>
      </c>
      <c r="AE1591" s="36">
        <f>VLOOKUP(H1591,'Yield &amp; Time'!A:I,9,0)</f>
        <v>0</v>
      </c>
      <c r="AF1591" s="36">
        <f>IFERROR(VLOOKUP(AE1591,'Chemical Cost'!A:D,4,0),0)</f>
        <v>0</v>
      </c>
      <c r="AG1591" s="114">
        <f t="shared" si="480"/>
        <v>0</v>
      </c>
      <c r="AH1591" s="36">
        <f t="shared" si="485"/>
        <v>0</v>
      </c>
      <c r="AI1591" s="36">
        <f t="shared" si="484"/>
        <v>3.8509000000000002</v>
      </c>
      <c r="AJ1591" s="36">
        <f>IFERROR(VLOOKUP(A1591,'All Products'!A:F,6,0),0)</f>
        <v>0</v>
      </c>
      <c r="AK1591" s="36"/>
      <c r="AL1591" s="23">
        <v>1</v>
      </c>
      <c r="AM1591" s="1"/>
      <c r="AN1591" s="54" t="e">
        <v>#N/A</v>
      </c>
      <c r="AP1591" s="4">
        <v>1.6</v>
      </c>
      <c r="AQ1591" s="111">
        <f t="shared" si="481"/>
        <v>5.6666666666666671E-2</v>
      </c>
      <c r="AR1591">
        <f>_xlfn.XLOOKUP(F1591,'RM Cost'!A:A,'RM Cost'!S:S)</f>
        <v>0</v>
      </c>
      <c r="AS1591" t="str">
        <f>_xlfn.XLOOKUP(A1591,[3]Sheet1!$B:$B,[3]Sheet1!$B:$B)</f>
        <v>1318CS</v>
      </c>
      <c r="AT1591">
        <f>_xlfn.XLOOKUP(H1591,'Yield &amp; Time'!A:A,'Yield &amp; Time'!F:F)</f>
        <v>0</v>
      </c>
    </row>
    <row r="1592" spans="1:46" x14ac:dyDescent="0.25">
      <c r="A1592" s="1" t="s">
        <v>1778</v>
      </c>
      <c r="B1592" s="2" t="s">
        <v>552</v>
      </c>
      <c r="C1592" s="2" t="s">
        <v>1763</v>
      </c>
      <c r="D1592" s="2" t="s">
        <v>554</v>
      </c>
      <c r="E1592" s="2">
        <v>2.5</v>
      </c>
      <c r="F1592" s="1" t="str">
        <f>VLOOKUP(H1592,'RM Used'!A:B,2,0)</f>
        <v>P0008</v>
      </c>
      <c r="G1592" s="1" t="str">
        <f>IFERROR(VLOOKUP(F1592,'RM Cost'!A:B,2,0),"")</f>
        <v>PALE BLUE BAG 470X750MM</v>
      </c>
      <c r="H1592" s="2" t="s">
        <v>1323</v>
      </c>
      <c r="I1592" s="1" t="str">
        <f>VLOOKUP(F1592,'RM Used'!B:D,3,0)</f>
        <v>RM-PACKING</v>
      </c>
      <c r="J1592" s="66">
        <v>1</v>
      </c>
      <c r="K1592" s="35" t="str">
        <f t="shared" si="491"/>
        <v/>
      </c>
      <c r="L1592" s="35">
        <f t="shared" si="473"/>
        <v>0</v>
      </c>
      <c r="M1592" s="77" t="str" cm="1">
        <f t="array" ref="M1592">_xlfn.IFS(BOM!I1592="RM-PACKING","100%",B1592="Reynolds",VLOOKUP(H1592,'Yield &amp; Time'!A:V,22,0),BOM!B1592="Dnata",VLOOKUP(BOM!H1592,'Yield &amp; Time'!A:M,13,0),B1592="NK",VLOOKUP(H1592,'Yield &amp; Time'!A:X,24,0))</f>
        <v>100%</v>
      </c>
      <c r="N1592" s="35">
        <f t="shared" ref="N1592:N1593" si="492">IFERROR(IF(I1592="RM-FOOD",(E1592*J1592)/M1592,1),0)</f>
        <v>1</v>
      </c>
      <c r="O1592" s="1" t="str">
        <f>VLOOKUP(H1592,'RM Used'!A:E,5,0)</f>
        <v>Count</v>
      </c>
      <c r="P1592" s="11">
        <f>VLOOKUP(H1592,'RM Used'!A:F,6,0)</f>
        <v>0.14000000000000001</v>
      </c>
      <c r="Q1592" s="11">
        <f t="shared" si="482"/>
        <v>0.14000000000000001</v>
      </c>
      <c r="R1592" s="11">
        <f>IFERROR(IF(B1592="Reynolds",VLOOKUP(H1592,'Yield &amp; Time'!A:U,21,0),VLOOKUP(H1592,'Yield &amp; Time'!A:L,12,0)),0)</f>
        <v>0</v>
      </c>
      <c r="S1592" s="11">
        <f t="shared" si="474"/>
        <v>0</v>
      </c>
      <c r="T1592" s="11">
        <f t="shared" si="475"/>
        <v>0</v>
      </c>
      <c r="U1592" s="11">
        <f>IF(A1591=A1592,0,VLOOKUP(A1592,'Packing Time'!A:F,6,0))</f>
        <v>0</v>
      </c>
      <c r="V1592" s="11">
        <f t="shared" si="486"/>
        <v>0</v>
      </c>
      <c r="W1592" s="11">
        <f t="shared" si="487"/>
        <v>0</v>
      </c>
      <c r="X1592" s="11">
        <f t="shared" si="476"/>
        <v>0</v>
      </c>
      <c r="Y1592" s="11">
        <f t="shared" si="488"/>
        <v>0</v>
      </c>
      <c r="Z1592" s="37">
        <v>1</v>
      </c>
      <c r="AA1592" s="36">
        <f t="shared" si="477"/>
        <v>1</v>
      </c>
      <c r="AB1592" s="11">
        <f t="shared" si="478"/>
        <v>0.14000000000000001</v>
      </c>
      <c r="AC1592" s="11">
        <f t="shared" si="479"/>
        <v>0</v>
      </c>
      <c r="AD1592" s="36">
        <f t="shared" si="489"/>
        <v>0</v>
      </c>
      <c r="AE1592" s="36"/>
      <c r="AF1592" s="36">
        <f>IFERROR(VLOOKUP(AE1592,'Chemical Cost'!A:D,4,0),0)</f>
        <v>0</v>
      </c>
      <c r="AG1592" s="114">
        <f t="shared" si="480"/>
        <v>0</v>
      </c>
      <c r="AH1592" s="36">
        <f t="shared" si="485"/>
        <v>0</v>
      </c>
      <c r="AI1592" s="36">
        <f t="shared" ref="AI1592:AI1593" si="493">IFERROR((Q1592*Z1592)+(Z1592*X1592)+AH1592,0)</f>
        <v>0.14000000000000001</v>
      </c>
      <c r="AJ1592" s="36">
        <f>IFERROR(VLOOKUP(A1592,'All Products'!A:F,6,0),0)</f>
        <v>0</v>
      </c>
      <c r="AK1592" s="36"/>
      <c r="AL1592" s="23">
        <v>1</v>
      </c>
      <c r="AM1592" s="1"/>
      <c r="AN1592" s="54" t="e">
        <v>#N/A</v>
      </c>
      <c r="AP1592" s="4">
        <v>1.6</v>
      </c>
      <c r="AQ1592" s="111">
        <f t="shared" si="481"/>
        <v>0</v>
      </c>
      <c r="AR1592">
        <f>_xlfn.XLOOKUP(F1592,'RM Cost'!A:A,'RM Cost'!S:S)</f>
        <v>0</v>
      </c>
      <c r="AS1592" t="str">
        <f>_xlfn.XLOOKUP(A1592,[3]Sheet1!$B:$B,[3]Sheet1!$B:$B)</f>
        <v>1318CS</v>
      </c>
      <c r="AT1592" t="e">
        <f>_xlfn.XLOOKUP(H1592,'Yield &amp; Time'!A:A,'Yield &amp; Time'!F:F)</f>
        <v>#N/A</v>
      </c>
    </row>
    <row r="1593" spans="1:46" x14ac:dyDescent="0.25">
      <c r="A1593" s="1" t="s">
        <v>1778</v>
      </c>
      <c r="B1593" s="2" t="s">
        <v>552</v>
      </c>
      <c r="C1593" s="2" t="s">
        <v>1763</v>
      </c>
      <c r="D1593" s="2" t="s">
        <v>554</v>
      </c>
      <c r="E1593" s="2">
        <v>2.5</v>
      </c>
      <c r="F1593" s="1" t="str">
        <f>VLOOKUP(H1593,'RM Used'!A:B,2,0)</f>
        <v>P0016</v>
      </c>
      <c r="G1593" s="1" t="str">
        <f>IFERROR(VLOOKUP(F1593,'RM Cost'!A:B,2,0),"")</f>
        <v>REY 40 30 BOX</v>
      </c>
      <c r="H1593" s="1" t="s">
        <v>1332</v>
      </c>
      <c r="I1593" s="1" t="str">
        <f>VLOOKUP(F1593,'RM Used'!B:D,3,0)</f>
        <v>RM-PACKING</v>
      </c>
      <c r="J1593" s="66">
        <v>1</v>
      </c>
      <c r="K1593" s="35" t="str">
        <f t="shared" si="491"/>
        <v/>
      </c>
      <c r="L1593" s="35">
        <f t="shared" si="473"/>
        <v>0</v>
      </c>
      <c r="M1593" s="77" t="str" cm="1">
        <f t="array" ref="M1593">_xlfn.IFS(BOM!I1593="RM-PACKING","100%",B1593="Reynolds",VLOOKUP(H1593,'Yield &amp; Time'!A:V,22,0),BOM!B1593="Dnata",VLOOKUP(BOM!H1593,'Yield &amp; Time'!A:M,13,0),B1593="NK",VLOOKUP(H1593,'Yield &amp; Time'!A:X,24,0))</f>
        <v>100%</v>
      </c>
      <c r="N1593" s="35">
        <f t="shared" si="492"/>
        <v>1</v>
      </c>
      <c r="O1593" s="1" t="str">
        <f>VLOOKUP(H1593,'RM Used'!A:E,5,0)</f>
        <v>Count</v>
      </c>
      <c r="P1593" s="11">
        <f>VLOOKUP(H1593,'RM Used'!A:F,6,0)</f>
        <v>0.28000000000000003</v>
      </c>
      <c r="Q1593" s="11">
        <f t="shared" si="482"/>
        <v>0.28000000000000003</v>
      </c>
      <c r="R1593" s="11">
        <f>IFERROR(IF(B1593="Reynolds",VLOOKUP(H1593,'Yield &amp; Time'!A:U,21,0),VLOOKUP(H1593,'Yield &amp; Time'!A:L,12,0)),0)</f>
        <v>0</v>
      </c>
      <c r="S1593" s="11">
        <f t="shared" si="474"/>
        <v>0</v>
      </c>
      <c r="T1593" s="11">
        <f t="shared" si="475"/>
        <v>0</v>
      </c>
      <c r="U1593" s="11">
        <f>IF(A1592=A1593,0,VLOOKUP(A1593,'Packing Time'!A:F,6,0))</f>
        <v>0</v>
      </c>
      <c r="V1593" s="11">
        <f t="shared" si="486"/>
        <v>0</v>
      </c>
      <c r="W1593" s="11">
        <f t="shared" si="487"/>
        <v>0</v>
      </c>
      <c r="X1593" s="11">
        <f t="shared" si="476"/>
        <v>0</v>
      </c>
      <c r="Y1593" s="11">
        <f t="shared" si="488"/>
        <v>0</v>
      </c>
      <c r="Z1593" s="37">
        <v>1</v>
      </c>
      <c r="AA1593" s="36">
        <f t="shared" si="477"/>
        <v>1</v>
      </c>
      <c r="AB1593" s="11">
        <f t="shared" si="478"/>
        <v>0.28000000000000003</v>
      </c>
      <c r="AC1593" s="11">
        <f t="shared" si="479"/>
        <v>0</v>
      </c>
      <c r="AD1593" s="36">
        <f t="shared" si="489"/>
        <v>0</v>
      </c>
      <c r="AE1593" s="36"/>
      <c r="AF1593" s="36">
        <f>IFERROR(VLOOKUP(AE1593,'Chemical Cost'!A:D,4,0),0)</f>
        <v>0</v>
      </c>
      <c r="AG1593" s="114">
        <f t="shared" si="480"/>
        <v>0</v>
      </c>
      <c r="AH1593" s="36">
        <f t="shared" si="485"/>
        <v>0</v>
      </c>
      <c r="AI1593" s="36">
        <f t="shared" si="493"/>
        <v>0.28000000000000003</v>
      </c>
      <c r="AJ1593" s="36">
        <f>IFERROR(VLOOKUP(A1593,'All Products'!A:F,6,0),0)</f>
        <v>0</v>
      </c>
      <c r="AK1593" s="36"/>
      <c r="AL1593" s="23">
        <v>1</v>
      </c>
      <c r="AM1593" s="1"/>
      <c r="AN1593" s="54" t="e">
        <v>#N/A</v>
      </c>
      <c r="AP1593" s="4">
        <v>1.6</v>
      </c>
      <c r="AQ1593" s="111">
        <f t="shared" si="481"/>
        <v>0</v>
      </c>
      <c r="AR1593">
        <f>_xlfn.XLOOKUP(F1593,'RM Cost'!A:A,'RM Cost'!S:S)</f>
        <v>0</v>
      </c>
      <c r="AS1593" t="str">
        <f>_xlfn.XLOOKUP(A1593,[3]Sheet1!$B:$B,[3]Sheet1!$B:$B)</f>
        <v>1318CS</v>
      </c>
      <c r="AT1593" t="e">
        <f>_xlfn.XLOOKUP(H1593,'Yield &amp; Time'!A:A,'Yield &amp; Time'!F:F)</f>
        <v>#N/A</v>
      </c>
    </row>
    <row r="1594" spans="1:46" x14ac:dyDescent="0.25">
      <c r="A1594" s="1" t="s">
        <v>1854</v>
      </c>
      <c r="B1594" s="2" t="s">
        <v>552</v>
      </c>
      <c r="C1594" s="2" t="s">
        <v>1759</v>
      </c>
      <c r="D1594" s="2" t="s">
        <v>554</v>
      </c>
      <c r="E1594" s="2">
        <v>2.5</v>
      </c>
      <c r="F1594" s="1" t="str">
        <f>VLOOKUP(H1594,'RM Used'!A:B,2,0)</f>
        <v>3042CS</v>
      </c>
      <c r="G1594" s="1" t="str">
        <f>IFERROR(VLOOKUP(F1594,'RM Cost'!A:B,2,0),"")</f>
        <v>RM - BRUSSEL SPROUTS P/P 10X1KG</v>
      </c>
      <c r="H1594" t="s">
        <v>4541</v>
      </c>
      <c r="I1594" s="1" t="str">
        <f>VLOOKUP(F1594,'RM Used'!B:D,3,0)</f>
        <v>RM-FOOD</v>
      </c>
      <c r="J1594" s="66">
        <v>1</v>
      </c>
      <c r="K1594" s="35">
        <f t="shared" si="491"/>
        <v>2.5</v>
      </c>
      <c r="L1594" s="35">
        <f t="shared" si="473"/>
        <v>2.5</v>
      </c>
      <c r="M1594" s="77" cm="1">
        <f t="array" ref="M1594">_xlfn.IFS(BOM!I1594="RM-PACKING","100%",B1594="Reynolds",VLOOKUP(H1594,'Yield &amp; Time'!A:V,22,0),BOM!B1594="Dnata",VLOOKUP(BOM!H1594,'Yield &amp; Time'!A:M,13,0),B1594="NK",VLOOKUP(H1594,'Yield &amp; Time'!A:X,24,0))</f>
        <v>0.96</v>
      </c>
      <c r="N1594" s="35">
        <f t="shared" ref="N1594:N1599" si="494">IFERROR(IF(I1594="RM-FOOD",(E1594*J1594)/M1594,1),0)</f>
        <v>2.604166666666667</v>
      </c>
      <c r="O1594" s="1" t="str">
        <f>VLOOKUP(H1594,'RM Used'!A:E,5,0)</f>
        <v>KG</v>
      </c>
      <c r="P1594" s="11">
        <f>VLOOKUP(H1594,'RM Used'!A:F,6,0)</f>
        <v>0</v>
      </c>
      <c r="Q1594" s="11">
        <f t="shared" si="482"/>
        <v>0</v>
      </c>
      <c r="R1594" s="11">
        <f>IFERROR(IF(B1594="Reynolds",VLOOKUP(H1594,'Yield &amp; Time'!A:U,21,0),VLOOKUP(H1594,'Yield &amp; Time'!A:L,12,0)),0)</f>
        <v>0.75231481481481477</v>
      </c>
      <c r="S1594" s="11">
        <f t="shared" si="474"/>
        <v>0.63664641203703698</v>
      </c>
      <c r="T1594" s="11">
        <f t="shared" si="475"/>
        <v>3.1346450617283951E-2</v>
      </c>
      <c r="U1594" s="11">
        <f>IF(A1593=A1594,0,VLOOKUP(A1594,'Packing Time'!A:F,6,0))</f>
        <v>0.875</v>
      </c>
      <c r="V1594" s="11">
        <f t="shared" si="486"/>
        <v>0.29618749999999999</v>
      </c>
      <c r="W1594" s="11">
        <f t="shared" si="487"/>
        <v>1.4583333333333334E-2</v>
      </c>
      <c r="X1594" s="11">
        <f t="shared" si="476"/>
        <v>1.4925342592592594</v>
      </c>
      <c r="Y1594" s="11">
        <f t="shared" si="488"/>
        <v>1.4925342592592594</v>
      </c>
      <c r="Z1594" s="37">
        <v>1</v>
      </c>
      <c r="AA1594" s="36">
        <f t="shared" si="477"/>
        <v>2.604166666666667</v>
      </c>
      <c r="AB1594" s="11">
        <f t="shared" si="478"/>
        <v>0</v>
      </c>
      <c r="AC1594" s="11">
        <f t="shared" si="479"/>
        <v>7.3487654320987666E-2</v>
      </c>
      <c r="AD1594" s="36">
        <f t="shared" si="489"/>
        <v>1.4925342592592594</v>
      </c>
      <c r="AE1594" s="36"/>
      <c r="AF1594" s="36">
        <f>IFERROR(VLOOKUP(AE1594,'Chemical Cost'!A:D,4,0),0)</f>
        <v>0</v>
      </c>
      <c r="AG1594" s="114">
        <f t="shared" si="480"/>
        <v>0</v>
      </c>
      <c r="AH1594" s="36">
        <f t="shared" si="485"/>
        <v>0</v>
      </c>
      <c r="AI1594" s="36">
        <f t="shared" ref="AI1594:AI1599" si="495">IFERROR((Q1594*Z1594)+(Z1594*X1594)+AH1594,0)</f>
        <v>1.4925342592592594</v>
      </c>
      <c r="AJ1594" s="36">
        <f>IFERROR(VLOOKUP(A1594,'All Products'!A:F,6,0),0)</f>
        <v>11.83</v>
      </c>
      <c r="AK1594" s="36"/>
      <c r="AL1594" s="23">
        <v>1</v>
      </c>
      <c r="AM1594" s="1"/>
      <c r="AN1594" s="54" t="e">
        <v>#N/A</v>
      </c>
      <c r="AP1594" s="4">
        <v>1.6</v>
      </c>
      <c r="AQ1594" s="111">
        <f t="shared" si="481"/>
        <v>7.3487654320987666E-2</v>
      </c>
      <c r="AR1594">
        <f>_xlfn.XLOOKUP(F1594,'RM Cost'!A:A,'RM Cost'!S:S)</f>
        <v>0</v>
      </c>
      <c r="AS1594" t="e">
        <f>_xlfn.XLOOKUP(A1594,[3]Sheet1!$B:$B,[3]Sheet1!$B:$B)</f>
        <v>#N/A</v>
      </c>
    </row>
    <row r="1595" spans="1:46" x14ac:dyDescent="0.25">
      <c r="A1595" s="1" t="s">
        <v>1854</v>
      </c>
      <c r="B1595" s="2" t="s">
        <v>552</v>
      </c>
      <c r="C1595" s="2" t="s">
        <v>1759</v>
      </c>
      <c r="D1595" s="2" t="s">
        <v>554</v>
      </c>
      <c r="E1595" s="2">
        <v>2.5</v>
      </c>
      <c r="F1595" s="1" t="str">
        <f>VLOOKUP(H1595,'RM Used'!A:B,2,0)</f>
        <v>P0008</v>
      </c>
      <c r="G1595" s="1" t="str">
        <f>IFERROR(VLOOKUP(F1595,'RM Cost'!A:B,2,0),"")</f>
        <v>PALE BLUE BAG 470X750MM</v>
      </c>
      <c r="H1595" s="2" t="s">
        <v>1323</v>
      </c>
      <c r="I1595" s="1" t="str">
        <f>VLOOKUP(F1595,'RM Used'!B:D,3,0)</f>
        <v>RM-PACKING</v>
      </c>
      <c r="J1595" s="66">
        <v>1</v>
      </c>
      <c r="K1595" s="35" t="str">
        <f t="shared" si="491"/>
        <v/>
      </c>
      <c r="L1595" s="35">
        <f t="shared" si="473"/>
        <v>0</v>
      </c>
      <c r="M1595" s="77" t="str" cm="1">
        <f t="array" ref="M1595">_xlfn.IFS(BOM!I1595="RM-PACKING","100%",B1595="Reynolds",VLOOKUP(H1595,'Yield &amp; Time'!A:V,22,0),BOM!B1595="Dnata",VLOOKUP(BOM!H1595,'Yield &amp; Time'!A:M,13,0),B1595="NK",VLOOKUP(H1595,'Yield &amp; Time'!A:X,24,0))</f>
        <v>100%</v>
      </c>
      <c r="N1595" s="35">
        <f t="shared" si="494"/>
        <v>1</v>
      </c>
      <c r="O1595" s="1" t="str">
        <f>VLOOKUP(H1595,'RM Used'!A:E,5,0)</f>
        <v>Count</v>
      </c>
      <c r="P1595" s="11">
        <f>VLOOKUP(H1595,'RM Used'!A:F,6,0)</f>
        <v>0.14000000000000001</v>
      </c>
      <c r="Q1595" s="11">
        <f t="shared" si="482"/>
        <v>0.14000000000000001</v>
      </c>
      <c r="R1595" s="11">
        <f>IFERROR(IF(B1595="Reynolds",VLOOKUP(H1595,'Yield &amp; Time'!A:U,21,0),VLOOKUP(H1595,'Yield &amp; Time'!A:L,12,0)),0)</f>
        <v>0</v>
      </c>
      <c r="S1595" s="11">
        <f t="shared" si="474"/>
        <v>0</v>
      </c>
      <c r="T1595" s="11">
        <f t="shared" si="475"/>
        <v>0</v>
      </c>
      <c r="U1595" s="11">
        <f>IF(A1594=A1595,0,VLOOKUP(A1595,'Packing Time'!A:F,6,0))</f>
        <v>0</v>
      </c>
      <c r="V1595" s="11">
        <f t="shared" si="486"/>
        <v>0</v>
      </c>
      <c r="W1595" s="11">
        <f t="shared" si="487"/>
        <v>0</v>
      </c>
      <c r="X1595" s="11">
        <f t="shared" si="476"/>
        <v>0</v>
      </c>
      <c r="Y1595" s="11">
        <f t="shared" si="488"/>
        <v>0</v>
      </c>
      <c r="Z1595" s="37">
        <v>1</v>
      </c>
      <c r="AA1595" s="36">
        <f t="shared" si="477"/>
        <v>1</v>
      </c>
      <c r="AB1595" s="11">
        <f t="shared" si="478"/>
        <v>0.14000000000000001</v>
      </c>
      <c r="AC1595" s="11">
        <f t="shared" si="479"/>
        <v>0</v>
      </c>
      <c r="AD1595" s="36">
        <f t="shared" si="489"/>
        <v>0</v>
      </c>
      <c r="AE1595" s="36"/>
      <c r="AF1595" s="36">
        <f>IFERROR(VLOOKUP(AE1595,'Chemical Cost'!A:D,4,0),0)</f>
        <v>0</v>
      </c>
      <c r="AG1595" s="114">
        <f t="shared" si="480"/>
        <v>0</v>
      </c>
      <c r="AH1595" s="36">
        <f t="shared" si="485"/>
        <v>0</v>
      </c>
      <c r="AI1595" s="36">
        <f t="shared" si="495"/>
        <v>0.14000000000000001</v>
      </c>
      <c r="AJ1595" s="36">
        <f>IFERROR(VLOOKUP(A1595,'All Products'!A:F,6,0),0)</f>
        <v>11.83</v>
      </c>
      <c r="AK1595" s="36"/>
      <c r="AL1595" s="23">
        <v>1</v>
      </c>
      <c r="AM1595" s="1"/>
      <c r="AN1595" s="54" t="e">
        <v>#N/A</v>
      </c>
      <c r="AP1595" s="4">
        <v>1.6</v>
      </c>
      <c r="AQ1595" s="111">
        <f t="shared" si="481"/>
        <v>0</v>
      </c>
      <c r="AR1595">
        <f>_xlfn.XLOOKUP(F1595,'RM Cost'!A:A,'RM Cost'!S:S)</f>
        <v>0</v>
      </c>
      <c r="AS1595" t="e">
        <f>_xlfn.XLOOKUP(A1595,[3]Sheet1!$B:$B,[3]Sheet1!$B:$B)</f>
        <v>#N/A</v>
      </c>
    </row>
    <row r="1596" spans="1:46" x14ac:dyDescent="0.25">
      <c r="A1596" s="1" t="s">
        <v>1854</v>
      </c>
      <c r="B1596" s="2" t="s">
        <v>552</v>
      </c>
      <c r="C1596" s="2" t="s">
        <v>1759</v>
      </c>
      <c r="D1596" s="2" t="s">
        <v>554</v>
      </c>
      <c r="E1596" s="2">
        <v>2.5</v>
      </c>
      <c r="F1596" s="1" t="str">
        <f>VLOOKUP(H1596,'RM Used'!A:B,2,0)</f>
        <v>P0016</v>
      </c>
      <c r="G1596" s="1" t="str">
        <f>IFERROR(VLOOKUP(F1596,'RM Cost'!A:B,2,0),"")</f>
        <v>REY 40 30 BOX</v>
      </c>
      <c r="H1596" s="1" t="s">
        <v>1332</v>
      </c>
      <c r="I1596" s="1" t="str">
        <f>VLOOKUP(F1596,'RM Used'!B:D,3,0)</f>
        <v>RM-PACKING</v>
      </c>
      <c r="J1596" s="66">
        <v>1</v>
      </c>
      <c r="K1596" s="35" t="str">
        <f t="shared" si="491"/>
        <v/>
      </c>
      <c r="L1596" s="35">
        <f t="shared" si="473"/>
        <v>0</v>
      </c>
      <c r="M1596" s="77" t="str" cm="1">
        <f t="array" ref="M1596">_xlfn.IFS(BOM!I1596="RM-PACKING","100%",B1596="Reynolds",VLOOKUP(H1596,'Yield &amp; Time'!A:V,22,0),BOM!B1596="Dnata",VLOOKUP(BOM!H1596,'Yield &amp; Time'!A:M,13,0),B1596="NK",VLOOKUP(H1596,'Yield &amp; Time'!A:X,24,0))</f>
        <v>100%</v>
      </c>
      <c r="N1596" s="35">
        <f t="shared" si="494"/>
        <v>1</v>
      </c>
      <c r="O1596" s="1" t="str">
        <f>VLOOKUP(H1596,'RM Used'!A:E,5,0)</f>
        <v>Count</v>
      </c>
      <c r="P1596" s="11">
        <f>VLOOKUP(H1596,'RM Used'!A:F,6,0)</f>
        <v>0.28000000000000003</v>
      </c>
      <c r="Q1596" s="11">
        <f t="shared" si="482"/>
        <v>0.28000000000000003</v>
      </c>
      <c r="R1596" s="11">
        <f>IFERROR(IF(B1596="Reynolds",VLOOKUP(H1596,'Yield &amp; Time'!A:U,21,0),VLOOKUP(H1596,'Yield &amp; Time'!A:L,12,0)),0)</f>
        <v>0</v>
      </c>
      <c r="S1596" s="11">
        <f t="shared" si="474"/>
        <v>0</v>
      </c>
      <c r="T1596" s="11">
        <f t="shared" si="475"/>
        <v>0</v>
      </c>
      <c r="U1596" s="11">
        <f>IF(A1595=A1596,0,VLOOKUP(A1596,'Packing Time'!A:F,6,0))</f>
        <v>0</v>
      </c>
      <c r="V1596" s="11">
        <f t="shared" si="486"/>
        <v>0</v>
      </c>
      <c r="W1596" s="11">
        <f t="shared" si="487"/>
        <v>0</v>
      </c>
      <c r="X1596" s="11">
        <f t="shared" si="476"/>
        <v>0</v>
      </c>
      <c r="Y1596" s="11">
        <f t="shared" si="488"/>
        <v>0</v>
      </c>
      <c r="Z1596" s="37">
        <v>1</v>
      </c>
      <c r="AA1596" s="36">
        <f t="shared" si="477"/>
        <v>1</v>
      </c>
      <c r="AB1596" s="11">
        <f t="shared" si="478"/>
        <v>0.28000000000000003</v>
      </c>
      <c r="AC1596" s="11">
        <f t="shared" si="479"/>
        <v>0</v>
      </c>
      <c r="AD1596" s="36">
        <f t="shared" si="489"/>
        <v>0</v>
      </c>
      <c r="AE1596" s="36"/>
      <c r="AF1596" s="36">
        <f>IFERROR(VLOOKUP(AE1596,'Chemical Cost'!A:D,4,0),0)</f>
        <v>0</v>
      </c>
      <c r="AG1596" s="114">
        <f t="shared" si="480"/>
        <v>0</v>
      </c>
      <c r="AH1596" s="36">
        <f t="shared" si="485"/>
        <v>0</v>
      </c>
      <c r="AI1596" s="36">
        <f t="shared" si="495"/>
        <v>0.28000000000000003</v>
      </c>
      <c r="AJ1596" s="36">
        <f>IFERROR(VLOOKUP(A1596,'All Products'!A:F,6,0),0)</f>
        <v>11.83</v>
      </c>
      <c r="AK1596" s="36"/>
      <c r="AL1596" s="23">
        <v>1</v>
      </c>
      <c r="AM1596" s="1"/>
      <c r="AN1596" s="54" t="e">
        <v>#N/A</v>
      </c>
      <c r="AP1596" s="4">
        <v>1.6</v>
      </c>
      <c r="AQ1596" s="111">
        <f t="shared" si="481"/>
        <v>0</v>
      </c>
      <c r="AR1596">
        <f>_xlfn.XLOOKUP(F1596,'RM Cost'!A:A,'RM Cost'!S:S)</f>
        <v>0</v>
      </c>
      <c r="AS1596" t="e">
        <f>_xlfn.XLOOKUP(A1596,[3]Sheet1!$B:$B,[3]Sheet1!$B:$B)</f>
        <v>#N/A</v>
      </c>
    </row>
    <row r="1597" spans="1:46" x14ac:dyDescent="0.25">
      <c r="A1597" s="1" t="s">
        <v>4542</v>
      </c>
      <c r="B1597" s="2" t="s">
        <v>552</v>
      </c>
      <c r="C1597" s="2" t="s">
        <v>4543</v>
      </c>
      <c r="D1597" s="2" t="s">
        <v>554</v>
      </c>
      <c r="E1597" s="2">
        <v>2.5</v>
      </c>
      <c r="F1597" s="1" t="str">
        <f>VLOOKUP(H1597,'RM Used'!A:B,2,0)</f>
        <v>025BCS</v>
      </c>
      <c r="G1597" s="1" t="str">
        <f>IFERROR(VLOOKUP(F1597,'RM Cost'!A:B,2,0),"")</f>
        <v>RM - MUSHROOM CHESTNUT 35-40M 3KG</v>
      </c>
      <c r="H1597" s="1" t="s">
        <v>1534</v>
      </c>
      <c r="I1597" s="1" t="str">
        <f>VLOOKUP(F1597,'RM Used'!B:D,3,0)</f>
        <v>RM-FOOD</v>
      </c>
      <c r="J1597" s="66">
        <v>1</v>
      </c>
      <c r="K1597" s="35">
        <f t="shared" ref="K1597:K1611" si="496">IF(I1597="RM-FOOD",J1597*E1597,"")</f>
        <v>2.5</v>
      </c>
      <c r="L1597" s="35">
        <f t="shared" si="473"/>
        <v>2.5</v>
      </c>
      <c r="M1597" s="77" cm="1">
        <f t="array" ref="M1597">_xlfn.IFS(BOM!I1597="RM-PACKING","100%",B1597="Reynolds",VLOOKUP(H1597,'Yield &amp; Time'!A:V,22,0),BOM!B1597="Dnata",VLOOKUP(BOM!H1597,'Yield &amp; Time'!A:M,13,0),B1597="NK",VLOOKUP(H1597,'Yield &amp; Time'!A:X,24,0))</f>
        <v>0.9</v>
      </c>
      <c r="N1597" s="35">
        <f t="shared" si="494"/>
        <v>2.7777777777777777</v>
      </c>
      <c r="O1597" s="1" t="str">
        <f>VLOOKUP(H1597,'RM Used'!A:E,5,0)</f>
        <v>KG</v>
      </c>
      <c r="P1597" s="11">
        <f>VLOOKUP(H1597,'RM Used'!A:F,6,0)</f>
        <v>2</v>
      </c>
      <c r="Q1597" s="11">
        <f t="shared" si="482"/>
        <v>5.5555555555555554</v>
      </c>
      <c r="R1597" s="11">
        <f>IFERROR(IF(B1597="Reynolds",VLOOKUP(H1597,'Yield &amp; Time'!A:U,21,0),VLOOKUP(H1597,'Yield &amp; Time'!A:L,12,0)),0)</f>
        <v>3.7037037037037037</v>
      </c>
      <c r="S1597" s="11">
        <f t="shared" si="474"/>
        <v>3.1342592592592591</v>
      </c>
      <c r="T1597" s="11">
        <f t="shared" si="475"/>
        <v>0.15432098765432098</v>
      </c>
      <c r="U1597" s="11">
        <f>IF(A1596=A1597,0,VLOOKUP(A1597,'Packing Time'!A:F,6,0))</f>
        <v>0.875</v>
      </c>
      <c r="V1597" s="11">
        <f t="shared" si="486"/>
        <v>0.29618749999999999</v>
      </c>
      <c r="W1597" s="11">
        <f t="shared" si="487"/>
        <v>1.4583333333333334E-2</v>
      </c>
      <c r="X1597" s="11">
        <f t="shared" si="476"/>
        <v>5.4887148148148146</v>
      </c>
      <c r="Y1597" s="11">
        <f t="shared" si="488"/>
        <v>5.4887148148148146</v>
      </c>
      <c r="Z1597" s="37">
        <v>1</v>
      </c>
      <c r="AA1597" s="36">
        <f t="shared" si="477"/>
        <v>2.7777777777777777</v>
      </c>
      <c r="AB1597" s="11">
        <f t="shared" si="478"/>
        <v>5.5555555555555554</v>
      </c>
      <c r="AC1597" s="11">
        <f t="shared" si="479"/>
        <v>0.27024691358024694</v>
      </c>
      <c r="AD1597" s="36">
        <f t="shared" si="489"/>
        <v>5.4887148148148146</v>
      </c>
      <c r="AE1597" s="36"/>
      <c r="AF1597" s="36">
        <f>IFERROR(VLOOKUP(AE1597,'Chemical Cost'!A:D,4,0),0)</f>
        <v>0</v>
      </c>
      <c r="AG1597" s="114">
        <f t="shared" si="480"/>
        <v>0</v>
      </c>
      <c r="AH1597" s="36">
        <f t="shared" si="485"/>
        <v>0</v>
      </c>
      <c r="AI1597" s="36">
        <f t="shared" si="495"/>
        <v>11.04427037037037</v>
      </c>
      <c r="AJ1597" s="36">
        <f>IFERROR(VLOOKUP(A1597,'All Products'!A:F,6,0),0)</f>
        <v>17.78</v>
      </c>
      <c r="AK1597" s="36"/>
      <c r="AL1597" s="23">
        <v>0.8</v>
      </c>
      <c r="AM1597" s="23">
        <v>0.2</v>
      </c>
      <c r="AN1597" s="54" t="e">
        <v>#N/A</v>
      </c>
      <c r="AP1597" s="4">
        <v>1.6</v>
      </c>
      <c r="AQ1597" s="111">
        <f t="shared" si="481"/>
        <v>0.27024691358024694</v>
      </c>
      <c r="AR1597">
        <f>_xlfn.XLOOKUP(F1597,'RM Cost'!A:A,'RM Cost'!S:S)</f>
        <v>0</v>
      </c>
      <c r="AS1597" t="e">
        <f>_xlfn.XLOOKUP(A1597,[3]Sheet1!$B:$B,[3]Sheet1!$B:$B)</f>
        <v>#N/A</v>
      </c>
    </row>
    <row r="1598" spans="1:46" x14ac:dyDescent="0.25">
      <c r="A1598" s="1" t="s">
        <v>4542</v>
      </c>
      <c r="B1598" s="2" t="s">
        <v>552</v>
      </c>
      <c r="C1598" s="2" t="s">
        <v>4543</v>
      </c>
      <c r="D1598" s="2" t="s">
        <v>554</v>
      </c>
      <c r="E1598" s="2">
        <v>2.5</v>
      </c>
      <c r="F1598" s="1" t="str">
        <f>VLOOKUP(H1598,'RM Used'!A:B,2,0)</f>
        <v>P0008</v>
      </c>
      <c r="G1598" s="1" t="str">
        <f>IFERROR(VLOOKUP(F1598,'RM Cost'!A:B,2,0),"")</f>
        <v>PALE BLUE BAG 470X750MM</v>
      </c>
      <c r="H1598" s="2" t="s">
        <v>1323</v>
      </c>
      <c r="I1598" s="1" t="str">
        <f>VLOOKUP(F1598,'RM Used'!B:D,3,0)</f>
        <v>RM-PACKING</v>
      </c>
      <c r="J1598" s="66">
        <v>1</v>
      </c>
      <c r="K1598" s="35" t="str">
        <f t="shared" si="496"/>
        <v/>
      </c>
      <c r="L1598" s="35">
        <f t="shared" si="473"/>
        <v>0</v>
      </c>
      <c r="M1598" s="77" t="str" cm="1">
        <f t="array" ref="M1598">_xlfn.IFS(BOM!I1598="RM-PACKING","100%",B1598="Reynolds",VLOOKUP(H1598,'Yield &amp; Time'!A:V,22,0),BOM!B1598="Dnata",VLOOKUP(BOM!H1598,'Yield &amp; Time'!A:M,13,0),B1598="NK",VLOOKUP(H1598,'Yield &amp; Time'!A:X,24,0))</f>
        <v>100%</v>
      </c>
      <c r="N1598" s="35">
        <f t="shared" si="494"/>
        <v>1</v>
      </c>
      <c r="O1598" s="1" t="str">
        <f>VLOOKUP(H1598,'RM Used'!A:E,5,0)</f>
        <v>Count</v>
      </c>
      <c r="P1598" s="11">
        <f>VLOOKUP(H1598,'RM Used'!A:F,6,0)</f>
        <v>0.14000000000000001</v>
      </c>
      <c r="Q1598" s="11">
        <f t="shared" si="482"/>
        <v>0.14000000000000001</v>
      </c>
      <c r="R1598" s="11">
        <f>IFERROR(IF(B1598="Reynolds",VLOOKUP(H1598,'Yield &amp; Time'!A:U,21,0),VLOOKUP(H1598,'Yield &amp; Time'!A:L,12,0)),0)</f>
        <v>0</v>
      </c>
      <c r="S1598" s="11">
        <f t="shared" si="474"/>
        <v>0</v>
      </c>
      <c r="T1598" s="11">
        <f t="shared" si="475"/>
        <v>0</v>
      </c>
      <c r="U1598" s="11">
        <f>IF(A1597=A1598,0,VLOOKUP(A1598,'Packing Time'!A:F,6,0))</f>
        <v>0</v>
      </c>
      <c r="V1598" s="11">
        <f t="shared" si="486"/>
        <v>0</v>
      </c>
      <c r="W1598" s="11">
        <f t="shared" si="487"/>
        <v>0</v>
      </c>
      <c r="X1598" s="11">
        <f t="shared" si="476"/>
        <v>0</v>
      </c>
      <c r="Y1598" s="11">
        <f t="shared" si="488"/>
        <v>0</v>
      </c>
      <c r="Z1598" s="37">
        <v>1</v>
      </c>
      <c r="AA1598" s="36">
        <f t="shared" si="477"/>
        <v>1</v>
      </c>
      <c r="AB1598" s="11">
        <f t="shared" si="478"/>
        <v>0.14000000000000001</v>
      </c>
      <c r="AC1598" s="11">
        <f t="shared" si="479"/>
        <v>0</v>
      </c>
      <c r="AD1598" s="36">
        <f t="shared" si="489"/>
        <v>0</v>
      </c>
      <c r="AE1598" s="36"/>
      <c r="AF1598" s="36">
        <f>IFERROR(VLOOKUP(AE1598,'Chemical Cost'!A:D,4,0),0)</f>
        <v>0</v>
      </c>
      <c r="AG1598" s="114">
        <f t="shared" si="480"/>
        <v>0</v>
      </c>
      <c r="AH1598" s="36">
        <f t="shared" si="485"/>
        <v>0</v>
      </c>
      <c r="AI1598" s="36">
        <f t="shared" si="495"/>
        <v>0.14000000000000001</v>
      </c>
      <c r="AJ1598" s="36">
        <f>IFERROR(VLOOKUP(A1598,'All Products'!A:F,6,0),0)</f>
        <v>17.78</v>
      </c>
      <c r="AK1598" s="36"/>
      <c r="AL1598" s="23">
        <v>0.8</v>
      </c>
      <c r="AM1598" s="23">
        <v>0.2</v>
      </c>
      <c r="AN1598" s="54" t="e">
        <v>#N/A</v>
      </c>
      <c r="AP1598" s="4">
        <v>1.6</v>
      </c>
      <c r="AQ1598" s="111">
        <f t="shared" si="481"/>
        <v>0</v>
      </c>
      <c r="AR1598">
        <f>_xlfn.XLOOKUP(F1598,'RM Cost'!A:A,'RM Cost'!S:S)</f>
        <v>0</v>
      </c>
      <c r="AS1598" t="e">
        <f>_xlfn.XLOOKUP(A1598,[3]Sheet1!$B:$B,[3]Sheet1!$B:$B)</f>
        <v>#N/A</v>
      </c>
    </row>
    <row r="1599" spans="1:46" x14ac:dyDescent="0.25">
      <c r="A1599" s="1" t="s">
        <v>4542</v>
      </c>
      <c r="B1599" s="2" t="s">
        <v>552</v>
      </c>
      <c r="C1599" s="2" t="s">
        <v>4543</v>
      </c>
      <c r="D1599" s="2" t="s">
        <v>554</v>
      </c>
      <c r="E1599" s="2">
        <v>2.5</v>
      </c>
      <c r="F1599" s="1" t="str">
        <f>VLOOKUP(H1599,'RM Used'!A:B,2,0)</f>
        <v>P0016</v>
      </c>
      <c r="G1599" s="1" t="str">
        <f>IFERROR(VLOOKUP(F1599,'RM Cost'!A:B,2,0),"")</f>
        <v>REY 40 30 BOX</v>
      </c>
      <c r="H1599" s="2" t="s">
        <v>1332</v>
      </c>
      <c r="I1599" s="1" t="str">
        <f>VLOOKUP(F1599,'RM Used'!B:D,3,0)</f>
        <v>RM-PACKING</v>
      </c>
      <c r="J1599" s="66">
        <v>1</v>
      </c>
      <c r="K1599" s="35" t="str">
        <f t="shared" si="496"/>
        <v/>
      </c>
      <c r="L1599" s="35">
        <f t="shared" si="473"/>
        <v>0</v>
      </c>
      <c r="M1599" s="77" t="str" cm="1">
        <f t="array" ref="M1599">_xlfn.IFS(BOM!I1599="RM-PACKING","100%",B1599="Reynolds",VLOOKUP(H1599,'Yield &amp; Time'!A:V,22,0),BOM!B1599="Dnata",VLOOKUP(BOM!H1599,'Yield &amp; Time'!A:M,13,0),B1599="NK",VLOOKUP(H1599,'Yield &amp; Time'!A:X,24,0))</f>
        <v>100%</v>
      </c>
      <c r="N1599" s="35">
        <f t="shared" si="494"/>
        <v>1</v>
      </c>
      <c r="O1599" s="1" t="str">
        <f>VLOOKUP(H1599,'RM Used'!A:E,5,0)</f>
        <v>Count</v>
      </c>
      <c r="P1599" s="11">
        <f>VLOOKUP(H1599,'RM Used'!A:F,6,0)</f>
        <v>0.28000000000000003</v>
      </c>
      <c r="Q1599" s="11">
        <f t="shared" si="482"/>
        <v>0.28000000000000003</v>
      </c>
      <c r="R1599" s="11">
        <f>IFERROR(IF(B1599="Reynolds",VLOOKUP(H1599,'Yield &amp; Time'!A:U,21,0),VLOOKUP(H1599,'Yield &amp; Time'!A:L,12,0)),0)</f>
        <v>0</v>
      </c>
      <c r="S1599" s="11">
        <f t="shared" si="474"/>
        <v>0</v>
      </c>
      <c r="T1599" s="11">
        <f t="shared" si="475"/>
        <v>0</v>
      </c>
      <c r="U1599" s="11">
        <f>IF(A1598=A1599,0,VLOOKUP(A1599,'Packing Time'!A:F,6,0))</f>
        <v>0</v>
      </c>
      <c r="V1599" s="11">
        <f t="shared" si="486"/>
        <v>0</v>
      </c>
      <c r="W1599" s="11">
        <f t="shared" si="487"/>
        <v>0</v>
      </c>
      <c r="X1599" s="11">
        <f t="shared" si="476"/>
        <v>0</v>
      </c>
      <c r="Y1599" s="11">
        <f t="shared" si="488"/>
        <v>0</v>
      </c>
      <c r="Z1599" s="37">
        <v>1</v>
      </c>
      <c r="AA1599" s="36">
        <f t="shared" si="477"/>
        <v>1</v>
      </c>
      <c r="AB1599" s="11">
        <f t="shared" si="478"/>
        <v>0.28000000000000003</v>
      </c>
      <c r="AC1599" s="11">
        <f t="shared" si="479"/>
        <v>0</v>
      </c>
      <c r="AD1599" s="36">
        <f t="shared" si="489"/>
        <v>0</v>
      </c>
      <c r="AE1599" s="36"/>
      <c r="AF1599" s="36">
        <f>IFERROR(VLOOKUP(AE1599,'Chemical Cost'!A:D,4,0),0)</f>
        <v>0</v>
      </c>
      <c r="AG1599" s="114">
        <f t="shared" si="480"/>
        <v>0</v>
      </c>
      <c r="AH1599" s="36">
        <f t="shared" si="485"/>
        <v>0</v>
      </c>
      <c r="AI1599" s="36">
        <f t="shared" si="495"/>
        <v>0.28000000000000003</v>
      </c>
      <c r="AJ1599" s="36">
        <f>IFERROR(VLOOKUP(A1599,'All Products'!A:F,6,0),0)</f>
        <v>17.78</v>
      </c>
      <c r="AK1599" s="36"/>
      <c r="AL1599" s="23">
        <v>0.8</v>
      </c>
      <c r="AM1599" s="23">
        <v>0.2</v>
      </c>
      <c r="AN1599" s="54" t="e">
        <v>#N/A</v>
      </c>
      <c r="AP1599" s="4">
        <v>1.6</v>
      </c>
      <c r="AQ1599" s="111">
        <f t="shared" si="481"/>
        <v>0</v>
      </c>
      <c r="AR1599">
        <f>_xlfn.XLOOKUP(F1599,'RM Cost'!A:A,'RM Cost'!S:S)</f>
        <v>0</v>
      </c>
      <c r="AS1599" t="e">
        <f>_xlfn.XLOOKUP(A1599,[3]Sheet1!$B:$B,[3]Sheet1!$B:$B)</f>
        <v>#N/A</v>
      </c>
    </row>
    <row r="1600" spans="1:46" x14ac:dyDescent="0.25">
      <c r="A1600" s="1" t="s">
        <v>4544</v>
      </c>
      <c r="B1600" s="1" t="s">
        <v>552</v>
      </c>
      <c r="C1600" s="1" t="s">
        <v>4548</v>
      </c>
      <c r="D1600" s="2" t="s">
        <v>554</v>
      </c>
      <c r="E1600" s="2">
        <v>2.5</v>
      </c>
      <c r="F1600" s="1" t="str">
        <f>VLOOKUP(H1600,'RM Used'!A:B,2,0)</f>
        <v>3566CS</v>
      </c>
      <c r="G1600" s="1" t="str">
        <f>IFERROR(VLOOKUP(F1600,'RM Cost'!A:B,2,0),"")</f>
        <v>PEPPERS RED X 5KG</v>
      </c>
      <c r="H1600" s="2" t="s">
        <v>1418</v>
      </c>
      <c r="I1600" s="1" t="str">
        <f>VLOOKUP(F1600,'RM Used'!B:D,3,0)</f>
        <v>RM-FOOD</v>
      </c>
      <c r="J1600" s="66">
        <v>1</v>
      </c>
      <c r="K1600" s="35">
        <f t="shared" si="496"/>
        <v>2.5</v>
      </c>
      <c r="L1600" s="35">
        <f t="shared" si="473"/>
        <v>2.5</v>
      </c>
      <c r="M1600" s="77" cm="1">
        <f t="array" ref="M1600">_xlfn.IFS(BOM!I1600="RM-PACKING","100%",B1600="Reynolds",VLOOKUP(H1600,'Yield &amp; Time'!A:V,22,0),BOM!B1600="Dnata",VLOOKUP(BOM!H1600,'Yield &amp; Time'!A:M,13,0),B1600="NK",VLOOKUP(H1600,'Yield &amp; Time'!A:X,24,0))</f>
        <v>0.50283088235294104</v>
      </c>
      <c r="N1600" s="35">
        <f t="shared" ref="N1600:N1614" si="497">IFERROR(IF(I1600="RM-FOOD",(E1600*J1600)/M1600,1),0)</f>
        <v>4.9718505520216434</v>
      </c>
      <c r="O1600" s="1" t="str">
        <f>VLOOKUP(H1600,'RM Used'!A:E,5,0)</f>
        <v>KG</v>
      </c>
      <c r="P1600" s="11">
        <f>VLOOKUP(H1600,'RM Used'!A:F,6,0)</f>
        <v>1.72</v>
      </c>
      <c r="Q1600" s="11">
        <f t="shared" si="482"/>
        <v>8.5515829494772273</v>
      </c>
      <c r="R1600" s="11">
        <f>IFERROR(IF(B1600="Reynolds",VLOOKUP(H1600,'Yield &amp; Time'!A:U,21,0),VLOOKUP(H1600,'Yield &amp; Time'!A:L,12,0)),0)</f>
        <v>4.255319148936171</v>
      </c>
      <c r="S1600" s="11">
        <f t="shared" si="474"/>
        <v>3.6010638297872344</v>
      </c>
      <c r="T1600" s="11">
        <f t="shared" si="475"/>
        <v>0.17730496453900713</v>
      </c>
      <c r="U1600" s="11">
        <f>IF(A1599=A1600,0,VLOOKUP(A1600,'Packing Time'!A:F,6,0))</f>
        <v>0.875</v>
      </c>
      <c r="V1600" s="11">
        <f t="shared" si="486"/>
        <v>0.29618749999999999</v>
      </c>
      <c r="W1600" s="11">
        <f t="shared" si="487"/>
        <v>1.4583333333333334E-2</v>
      </c>
      <c r="X1600" s="11">
        <f t="shared" si="476"/>
        <v>6.2356021276595754</v>
      </c>
      <c r="Y1600" s="11">
        <f t="shared" si="488"/>
        <v>6.2356021276595754</v>
      </c>
      <c r="Z1600" s="37">
        <v>1</v>
      </c>
      <c r="AA1600" s="36">
        <f t="shared" si="477"/>
        <v>4.9718505520216434</v>
      </c>
      <c r="AB1600" s="11">
        <f t="shared" si="478"/>
        <v>8.5515829494772273</v>
      </c>
      <c r="AC1600" s="11">
        <f t="shared" si="479"/>
        <v>0.30702127659574474</v>
      </c>
      <c r="AD1600" s="36">
        <f t="shared" si="489"/>
        <v>6.2356021276595754</v>
      </c>
      <c r="AE1600" s="36"/>
      <c r="AF1600" s="36">
        <f>IFERROR(VLOOKUP(AE1600,'Chemical Cost'!A:D,4,0),0)</f>
        <v>0</v>
      </c>
      <c r="AG1600" s="114">
        <f t="shared" si="480"/>
        <v>0</v>
      </c>
      <c r="AH1600" s="36">
        <f t="shared" si="485"/>
        <v>0</v>
      </c>
      <c r="AI1600" s="36">
        <f t="shared" ref="AI1600:AI1614" si="498">IFERROR((Q1600*Z1600)+(Z1600*X1600)+AH1600,0)</f>
        <v>14.787185077136803</v>
      </c>
      <c r="AJ1600" s="36">
        <f>IFERROR(VLOOKUP(A1600,'All Products'!A:F,6,0),0)</f>
        <v>24.2</v>
      </c>
      <c r="AK1600" s="36"/>
      <c r="AL1600" s="23">
        <v>0.8</v>
      </c>
      <c r="AM1600" s="23">
        <v>0.2</v>
      </c>
      <c r="AN1600" s="54" t="e">
        <v>#N/A</v>
      </c>
      <c r="AP1600" s="4">
        <v>1.6</v>
      </c>
      <c r="AQ1600" s="111">
        <f t="shared" si="481"/>
        <v>0.30702127659574474</v>
      </c>
      <c r="AR1600">
        <f>_xlfn.XLOOKUP(F1600,'RM Cost'!A:A,'RM Cost'!S:S)</f>
        <v>0</v>
      </c>
      <c r="AS1600" t="e">
        <f>_xlfn.XLOOKUP(A1600,[3]Sheet1!$B:$B,[3]Sheet1!$B:$B)</f>
        <v>#N/A</v>
      </c>
    </row>
    <row r="1601" spans="1:45" x14ac:dyDescent="0.25">
      <c r="A1601" s="1" t="s">
        <v>4544</v>
      </c>
      <c r="B1601" s="1" t="s">
        <v>552</v>
      </c>
      <c r="C1601" s="1" t="s">
        <v>4548</v>
      </c>
      <c r="D1601" s="2" t="s">
        <v>554</v>
      </c>
      <c r="E1601" s="2">
        <v>2.5</v>
      </c>
      <c r="F1601" s="1" t="str">
        <f>VLOOKUP(H1601,'RM Used'!A:B,2,0)</f>
        <v>P0008</v>
      </c>
      <c r="G1601" s="1" t="str">
        <f>IFERROR(VLOOKUP(F1601,'RM Cost'!A:B,2,0),"")</f>
        <v>PALE BLUE BAG 470X750MM</v>
      </c>
      <c r="H1601" s="2" t="s">
        <v>1323</v>
      </c>
      <c r="I1601" s="1" t="str">
        <f>VLOOKUP(F1601,'RM Used'!B:D,3,0)</f>
        <v>RM-PACKING</v>
      </c>
      <c r="J1601" s="66">
        <v>1</v>
      </c>
      <c r="K1601" s="35" t="str">
        <f t="shared" si="496"/>
        <v/>
      </c>
      <c r="L1601" s="35">
        <f t="shared" si="473"/>
        <v>0</v>
      </c>
      <c r="M1601" s="77" t="str" cm="1">
        <f t="array" ref="M1601">_xlfn.IFS(BOM!I1601="RM-PACKING","100%",B1601="Reynolds",VLOOKUP(H1601,'Yield &amp; Time'!A:V,22,0),BOM!B1601="Dnata",VLOOKUP(BOM!H1601,'Yield &amp; Time'!A:M,13,0),B1601="NK",VLOOKUP(H1601,'Yield &amp; Time'!A:X,24,0))</f>
        <v>100%</v>
      </c>
      <c r="N1601" s="35">
        <f t="shared" si="497"/>
        <v>1</v>
      </c>
      <c r="O1601" s="1" t="str">
        <f>VLOOKUP(H1601,'RM Used'!A:E,5,0)</f>
        <v>Count</v>
      </c>
      <c r="P1601" s="11">
        <f>VLOOKUP(H1601,'RM Used'!A:F,6,0)</f>
        <v>0.14000000000000001</v>
      </c>
      <c r="Q1601" s="11">
        <f t="shared" si="482"/>
        <v>0.14000000000000001</v>
      </c>
      <c r="R1601" s="11">
        <f>IFERROR(IF(B1601="Reynolds",VLOOKUP(H1601,'Yield &amp; Time'!A:U,21,0),VLOOKUP(H1601,'Yield &amp; Time'!A:L,12,0)),0)</f>
        <v>0</v>
      </c>
      <c r="S1601" s="11">
        <f t="shared" si="474"/>
        <v>0</v>
      </c>
      <c r="T1601" s="11">
        <f t="shared" si="475"/>
        <v>0</v>
      </c>
      <c r="U1601" s="11">
        <f>IF(A1600=A1601,0,VLOOKUP(A1601,'Packing Time'!A:F,6,0))</f>
        <v>0</v>
      </c>
      <c r="V1601" s="11">
        <f t="shared" si="486"/>
        <v>0</v>
      </c>
      <c r="W1601" s="11">
        <f t="shared" si="487"/>
        <v>0</v>
      </c>
      <c r="X1601" s="11">
        <f t="shared" si="476"/>
        <v>0</v>
      </c>
      <c r="Y1601" s="11">
        <f t="shared" si="488"/>
        <v>0</v>
      </c>
      <c r="Z1601" s="37">
        <v>1</v>
      </c>
      <c r="AA1601" s="36">
        <f t="shared" si="477"/>
        <v>1</v>
      </c>
      <c r="AB1601" s="11">
        <f t="shared" si="478"/>
        <v>0.14000000000000001</v>
      </c>
      <c r="AC1601" s="11">
        <f t="shared" si="479"/>
        <v>0</v>
      </c>
      <c r="AD1601" s="36">
        <f t="shared" si="489"/>
        <v>0</v>
      </c>
      <c r="AE1601" s="36"/>
      <c r="AF1601" s="36">
        <f>IFERROR(VLOOKUP(AE1601,'Chemical Cost'!A:D,4,0),0)</f>
        <v>0</v>
      </c>
      <c r="AG1601" s="114">
        <f t="shared" si="480"/>
        <v>0</v>
      </c>
      <c r="AH1601" s="36">
        <f t="shared" si="485"/>
        <v>0</v>
      </c>
      <c r="AI1601" s="36">
        <f t="shared" si="498"/>
        <v>0.14000000000000001</v>
      </c>
      <c r="AJ1601" s="36">
        <f>IFERROR(VLOOKUP(A1601,'All Products'!A:F,6,0),0)</f>
        <v>24.2</v>
      </c>
      <c r="AK1601" s="36"/>
      <c r="AL1601" s="23">
        <v>0.8</v>
      </c>
      <c r="AM1601" s="23">
        <v>0.2</v>
      </c>
      <c r="AN1601" s="54" t="e">
        <v>#N/A</v>
      </c>
      <c r="AP1601" s="4">
        <v>1.6</v>
      </c>
      <c r="AQ1601" s="111">
        <f t="shared" si="481"/>
        <v>0</v>
      </c>
      <c r="AR1601">
        <f>_xlfn.XLOOKUP(F1601,'RM Cost'!A:A,'RM Cost'!S:S)</f>
        <v>0</v>
      </c>
      <c r="AS1601" t="e">
        <f>_xlfn.XLOOKUP(A1601,[3]Sheet1!$B:$B,[3]Sheet1!$B:$B)</f>
        <v>#N/A</v>
      </c>
    </row>
    <row r="1602" spans="1:45" x14ac:dyDescent="0.25">
      <c r="A1602" s="1" t="s">
        <v>4544</v>
      </c>
      <c r="B1602" s="1" t="s">
        <v>552</v>
      </c>
      <c r="C1602" s="1" t="s">
        <v>4548</v>
      </c>
      <c r="D1602" s="2" t="s">
        <v>554</v>
      </c>
      <c r="E1602" s="2">
        <v>2.5</v>
      </c>
      <c r="F1602" s="1" t="str">
        <f>VLOOKUP(H1602,'RM Used'!A:B,2,0)</f>
        <v>P0016</v>
      </c>
      <c r="G1602" s="1" t="str">
        <f>IFERROR(VLOOKUP(F1602,'RM Cost'!A:B,2,0),"")</f>
        <v>REY 40 30 BOX</v>
      </c>
      <c r="H1602" s="2" t="s">
        <v>1332</v>
      </c>
      <c r="I1602" s="1" t="str">
        <f>VLOOKUP(F1602,'RM Used'!B:D,3,0)</f>
        <v>RM-PACKING</v>
      </c>
      <c r="J1602" s="66">
        <v>1</v>
      </c>
      <c r="K1602" s="35" t="str">
        <f t="shared" si="496"/>
        <v/>
      </c>
      <c r="L1602" s="35">
        <f t="shared" ref="L1602:L1644" si="499">IFERROR(K1602*Z1602,0)</f>
        <v>0</v>
      </c>
      <c r="M1602" s="77" t="str" cm="1">
        <f t="array" ref="M1602">_xlfn.IFS(BOM!I1602="RM-PACKING","100%",B1602="Reynolds",VLOOKUP(H1602,'Yield &amp; Time'!A:V,22,0),BOM!B1602="Dnata",VLOOKUP(BOM!H1602,'Yield &amp; Time'!A:M,13,0),B1602="NK",VLOOKUP(H1602,'Yield &amp; Time'!A:X,24,0))</f>
        <v>100%</v>
      </c>
      <c r="N1602" s="35">
        <f t="shared" si="497"/>
        <v>1</v>
      </c>
      <c r="O1602" s="1" t="str">
        <f>VLOOKUP(H1602,'RM Used'!A:E,5,0)</f>
        <v>Count</v>
      </c>
      <c r="P1602" s="11">
        <f>VLOOKUP(H1602,'RM Used'!A:F,6,0)</f>
        <v>0.28000000000000003</v>
      </c>
      <c r="Q1602" s="11">
        <f t="shared" si="482"/>
        <v>0.28000000000000003</v>
      </c>
      <c r="R1602" s="11">
        <f>IFERROR(IF(B1602="Reynolds",VLOOKUP(H1602,'Yield &amp; Time'!A:U,21,0),VLOOKUP(H1602,'Yield &amp; Time'!A:L,12,0)),0)</f>
        <v>0</v>
      </c>
      <c r="S1602" s="11">
        <f t="shared" ref="S1602:S1644" si="500">R1602*J1602*E1602*AO$1</f>
        <v>0</v>
      </c>
      <c r="T1602" s="11">
        <f t="shared" ref="T1602:T1644" si="501">(R1602*Z1602*J1602*E1602)/60</f>
        <v>0</v>
      </c>
      <c r="U1602" s="11">
        <f>IF(A1601=A1602,0,VLOOKUP(A1602,'Packing Time'!A:F,6,0))</f>
        <v>0</v>
      </c>
      <c r="V1602" s="11">
        <f t="shared" si="486"/>
        <v>0</v>
      </c>
      <c r="W1602" s="11">
        <f t="shared" si="487"/>
        <v>0</v>
      </c>
      <c r="X1602" s="11">
        <f t="shared" ref="X1602:X1665" si="502">((R1602*J1602*E1602)+U1602)*AO$1*AP1602</f>
        <v>0</v>
      </c>
      <c r="Y1602" s="11">
        <f t="shared" si="488"/>
        <v>0</v>
      </c>
      <c r="Z1602" s="37">
        <v>1</v>
      </c>
      <c r="AA1602" s="36">
        <f t="shared" ref="AA1602:AA1665" si="503">Z1602*N1602</f>
        <v>1</v>
      </c>
      <c r="AB1602" s="11">
        <f t="shared" ref="AB1602:AB1665" si="504">AA1602*P1602</f>
        <v>0.28000000000000003</v>
      </c>
      <c r="AC1602" s="11">
        <f t="shared" ref="AC1602:AC1665" si="505">(((R1602*J1602*E1602)+U1602)/60)*Z1602*AP1602</f>
        <v>0</v>
      </c>
      <c r="AD1602" s="36">
        <f t="shared" si="489"/>
        <v>0</v>
      </c>
      <c r="AE1602" s="36"/>
      <c r="AF1602" s="36">
        <f>IFERROR(VLOOKUP(AE1602,'Chemical Cost'!A:D,4,0),0)</f>
        <v>0</v>
      </c>
      <c r="AG1602" s="114">
        <f t="shared" ref="AG1602:AG1665" si="506">AF1602*N1602/3</f>
        <v>0</v>
      </c>
      <c r="AH1602" s="36">
        <f t="shared" si="485"/>
        <v>0</v>
      </c>
      <c r="AI1602" s="36">
        <f t="shared" si="498"/>
        <v>0.28000000000000003</v>
      </c>
      <c r="AJ1602" s="36">
        <f>IFERROR(VLOOKUP(A1602,'All Products'!A:F,6,0),0)</f>
        <v>24.2</v>
      </c>
      <c r="AK1602" s="36"/>
      <c r="AL1602" s="23">
        <v>0.8</v>
      </c>
      <c r="AM1602" s="23">
        <v>0.2</v>
      </c>
      <c r="AN1602" s="54" t="e">
        <v>#N/A</v>
      </c>
      <c r="AP1602" s="4">
        <v>1.6</v>
      </c>
      <c r="AQ1602" s="111">
        <f t="shared" ref="AQ1602:AQ1665" si="507">(((R1602*J1602*E1602)+U1602)/60)*AP1602</f>
        <v>0</v>
      </c>
      <c r="AR1602">
        <f>_xlfn.XLOOKUP(F1602,'RM Cost'!A:A,'RM Cost'!S:S)</f>
        <v>0</v>
      </c>
      <c r="AS1602" t="e">
        <f>_xlfn.XLOOKUP(A1602,[3]Sheet1!$B:$B,[3]Sheet1!$B:$B)</f>
        <v>#N/A</v>
      </c>
    </row>
    <row r="1603" spans="1:45" x14ac:dyDescent="0.25">
      <c r="A1603" s="1" t="s">
        <v>4545</v>
      </c>
      <c r="B1603" s="1" t="s">
        <v>552</v>
      </c>
      <c r="C1603" s="1" t="s">
        <v>4549</v>
      </c>
      <c r="D1603" s="2" t="s">
        <v>554</v>
      </c>
      <c r="E1603" s="2">
        <v>2.5</v>
      </c>
      <c r="F1603" s="1" t="str">
        <f>VLOOKUP(H1603,'RM Used'!A:B,2,0)</f>
        <v>032ACS</v>
      </c>
      <c r="G1603" s="1" t="str">
        <f>IFERROR(VLOOKUP(F1603,'RM Cost'!A:B,2,0),"")</f>
        <v>RM - LRG PROCESSING CARROT X 1000KG</v>
      </c>
      <c r="H1603" s="1" t="s">
        <v>1351</v>
      </c>
      <c r="I1603" s="1" t="str">
        <f>VLOOKUP(F1603,'RM Used'!B:D,3,0)</f>
        <v>RM-FOOD</v>
      </c>
      <c r="J1603" s="66">
        <v>1</v>
      </c>
      <c r="K1603" s="35">
        <f t="shared" si="496"/>
        <v>2.5</v>
      </c>
      <c r="L1603" s="35">
        <f t="shared" si="499"/>
        <v>2.5</v>
      </c>
      <c r="M1603" s="77" cm="1">
        <f t="array" ref="M1603">_xlfn.IFS(BOM!I1603="RM-PACKING","100%",B1603="Reynolds",VLOOKUP(H1603,'Yield &amp; Time'!A:V,22,0),BOM!B1603="Dnata",VLOOKUP(BOM!H1603,'Yield &amp; Time'!A:M,13,0),B1603="NK",VLOOKUP(H1603,'Yield &amp; Time'!A:X,24,0))</f>
        <v>0.75330000000000008</v>
      </c>
      <c r="N1603" s="35">
        <f t="shared" si="497"/>
        <v>3.3187309172972252</v>
      </c>
      <c r="O1603" s="1" t="str">
        <f>VLOOKUP(H1603,'RM Used'!A:E,5,0)</f>
        <v>KG</v>
      </c>
      <c r="P1603" s="11">
        <f>VLOOKUP(H1603,'RM Used'!A:F,6,0)</f>
        <v>0.38</v>
      </c>
      <c r="Q1603" s="11">
        <f t="shared" ref="Q1603:Q1666" si="508">P1603*N1603</f>
        <v>1.2611177485729457</v>
      </c>
      <c r="R1603" s="11">
        <f>IFERROR(IF(B1603="Reynolds",VLOOKUP(H1603,'Yield &amp; Time'!A:U,21,0),VLOOKUP(H1603,'Yield &amp; Time'!A:L,12,0)),0)</f>
        <v>0.90531914893617027</v>
      </c>
      <c r="S1603" s="11">
        <f t="shared" si="500"/>
        <v>0.76612632978723405</v>
      </c>
      <c r="T1603" s="11">
        <f t="shared" si="501"/>
        <v>3.7721631205673761E-2</v>
      </c>
      <c r="U1603" s="11">
        <f>IF(A1602=A1603,0,VLOOKUP(A1603,'Packing Time'!A:F,6,0))</f>
        <v>0.875</v>
      </c>
      <c r="V1603" s="11">
        <f t="shared" si="486"/>
        <v>0.29618749999999999</v>
      </c>
      <c r="W1603" s="11">
        <f t="shared" si="487"/>
        <v>1.4583333333333334E-2</v>
      </c>
      <c r="X1603" s="11">
        <f t="shared" si="502"/>
        <v>1.6997021276595747</v>
      </c>
      <c r="Y1603" s="11">
        <f t="shared" si="488"/>
        <v>1.6997021276595747</v>
      </c>
      <c r="Z1603" s="37">
        <v>1</v>
      </c>
      <c r="AA1603" s="36">
        <f t="shared" si="503"/>
        <v>3.3187309172972252</v>
      </c>
      <c r="AB1603" s="11">
        <f t="shared" si="504"/>
        <v>1.2611177485729457</v>
      </c>
      <c r="AC1603" s="11">
        <f t="shared" si="505"/>
        <v>8.3687943262411357E-2</v>
      </c>
      <c r="AD1603" s="36">
        <f t="shared" si="489"/>
        <v>1.6997021276595745</v>
      </c>
      <c r="AE1603" s="36"/>
      <c r="AF1603" s="36">
        <f>IFERROR(VLOOKUP(AE1603,'Chemical Cost'!A:D,4,0),0)</f>
        <v>0</v>
      </c>
      <c r="AG1603" s="114">
        <f t="shared" si="506"/>
        <v>0</v>
      </c>
      <c r="AH1603" s="36">
        <f t="shared" si="485"/>
        <v>0</v>
      </c>
      <c r="AI1603" s="36">
        <f t="shared" si="498"/>
        <v>2.9608198762325202</v>
      </c>
      <c r="AJ1603" s="36">
        <f>IFERROR(VLOOKUP(A1603,'All Products'!A:F,6,0),0)</f>
        <v>4.5999999999999996</v>
      </c>
      <c r="AL1603" s="23">
        <v>0.8</v>
      </c>
      <c r="AM1603" s="23">
        <v>0.2</v>
      </c>
      <c r="AN1603" s="54" t="e">
        <v>#N/A</v>
      </c>
      <c r="AP1603" s="4">
        <v>1.6</v>
      </c>
      <c r="AQ1603" s="111">
        <f t="shared" si="507"/>
        <v>8.3687943262411357E-2</v>
      </c>
      <c r="AR1603">
        <f>_xlfn.XLOOKUP(F1603,'RM Cost'!A:A,'RM Cost'!S:S)</f>
        <v>0</v>
      </c>
      <c r="AS1603" t="e">
        <f>_xlfn.XLOOKUP(A1603,[3]Sheet1!$B:$B,[3]Sheet1!$B:$B)</f>
        <v>#N/A</v>
      </c>
    </row>
    <row r="1604" spans="1:45" x14ac:dyDescent="0.25">
      <c r="A1604" s="1" t="s">
        <v>4545</v>
      </c>
      <c r="B1604" s="1" t="s">
        <v>552</v>
      </c>
      <c r="C1604" s="1" t="s">
        <v>4549</v>
      </c>
      <c r="D1604" s="2" t="s">
        <v>554</v>
      </c>
      <c r="E1604" s="2">
        <v>2.5</v>
      </c>
      <c r="F1604" s="1" t="str">
        <f>VLOOKUP(H1604,'RM Used'!A:B,2,0)</f>
        <v>P0008</v>
      </c>
      <c r="G1604" s="1" t="str">
        <f>IFERROR(VLOOKUP(F1604,'RM Cost'!A:B,2,0),"")</f>
        <v>PALE BLUE BAG 470X750MM</v>
      </c>
      <c r="H1604" s="2" t="s">
        <v>1323</v>
      </c>
      <c r="I1604" s="1" t="str">
        <f>VLOOKUP(F1604,'RM Used'!B:D,3,0)</f>
        <v>RM-PACKING</v>
      </c>
      <c r="J1604" s="66">
        <v>1</v>
      </c>
      <c r="K1604" s="35" t="str">
        <f t="shared" si="496"/>
        <v/>
      </c>
      <c r="L1604" s="35">
        <f t="shared" si="499"/>
        <v>0</v>
      </c>
      <c r="M1604" s="77" t="str" cm="1">
        <f t="array" ref="M1604">_xlfn.IFS(BOM!I1604="RM-PACKING","100%",B1604="Reynolds",VLOOKUP(H1604,'Yield &amp; Time'!A:V,22,0),BOM!B1604="Dnata",VLOOKUP(BOM!H1604,'Yield &amp; Time'!A:M,13,0),B1604="NK",VLOOKUP(H1604,'Yield &amp; Time'!A:X,24,0))</f>
        <v>100%</v>
      </c>
      <c r="N1604" s="35">
        <f t="shared" si="497"/>
        <v>1</v>
      </c>
      <c r="O1604" s="1" t="str">
        <f>VLOOKUP(H1604,'RM Used'!A:E,5,0)</f>
        <v>Count</v>
      </c>
      <c r="P1604" s="11">
        <f>VLOOKUP(H1604,'RM Used'!A:F,6,0)</f>
        <v>0.14000000000000001</v>
      </c>
      <c r="Q1604" s="11">
        <f t="shared" si="508"/>
        <v>0.14000000000000001</v>
      </c>
      <c r="R1604" s="11">
        <f>IFERROR(IF(B1604="Reynolds",VLOOKUP(H1604,'Yield &amp; Time'!A:U,21,0),VLOOKUP(H1604,'Yield &amp; Time'!A:L,12,0)),0)</f>
        <v>0</v>
      </c>
      <c r="S1604" s="11">
        <f t="shared" si="500"/>
        <v>0</v>
      </c>
      <c r="T1604" s="11">
        <f t="shared" si="501"/>
        <v>0</v>
      </c>
      <c r="U1604" s="11">
        <f>IF(A1603=A1604,0,VLOOKUP(A1604,'Packing Time'!A:F,6,0))</f>
        <v>0</v>
      </c>
      <c r="V1604" s="11">
        <f t="shared" si="486"/>
        <v>0</v>
      </c>
      <c r="W1604" s="11">
        <f t="shared" si="487"/>
        <v>0</v>
      </c>
      <c r="X1604" s="11">
        <f t="shared" si="502"/>
        <v>0</v>
      </c>
      <c r="Y1604" s="11">
        <f t="shared" si="488"/>
        <v>0</v>
      </c>
      <c r="Z1604" s="37">
        <v>1</v>
      </c>
      <c r="AA1604" s="36">
        <f t="shared" si="503"/>
        <v>1</v>
      </c>
      <c r="AB1604" s="11">
        <f t="shared" si="504"/>
        <v>0.14000000000000001</v>
      </c>
      <c r="AC1604" s="11">
        <f t="shared" si="505"/>
        <v>0</v>
      </c>
      <c r="AD1604" s="36">
        <f t="shared" si="489"/>
        <v>0</v>
      </c>
      <c r="AE1604" s="36"/>
      <c r="AF1604" s="36">
        <f>IFERROR(VLOOKUP(AE1604,'Chemical Cost'!A:D,4,0),0)</f>
        <v>0</v>
      </c>
      <c r="AG1604" s="114">
        <f t="shared" si="506"/>
        <v>0</v>
      </c>
      <c r="AH1604" s="36">
        <f t="shared" si="485"/>
        <v>0</v>
      </c>
      <c r="AI1604" s="36">
        <f t="shared" si="498"/>
        <v>0.14000000000000001</v>
      </c>
      <c r="AJ1604" s="36">
        <f>IFERROR(VLOOKUP(A1604,'All Products'!A:F,6,0),0)</f>
        <v>4.5999999999999996</v>
      </c>
      <c r="AL1604" s="23">
        <v>0.8</v>
      </c>
      <c r="AM1604" s="23">
        <v>0.2</v>
      </c>
      <c r="AN1604" s="54" t="e">
        <v>#N/A</v>
      </c>
      <c r="AP1604" s="4">
        <v>1.6</v>
      </c>
      <c r="AQ1604" s="111">
        <f t="shared" si="507"/>
        <v>0</v>
      </c>
      <c r="AR1604">
        <f>_xlfn.XLOOKUP(F1604,'RM Cost'!A:A,'RM Cost'!S:S)</f>
        <v>0</v>
      </c>
      <c r="AS1604" t="e">
        <f>_xlfn.XLOOKUP(A1604,[3]Sheet1!$B:$B,[3]Sheet1!$B:$B)</f>
        <v>#N/A</v>
      </c>
    </row>
    <row r="1605" spans="1:45" x14ac:dyDescent="0.25">
      <c r="A1605" s="1" t="s">
        <v>4545</v>
      </c>
      <c r="B1605" s="1" t="s">
        <v>552</v>
      </c>
      <c r="C1605" s="1" t="s">
        <v>4549</v>
      </c>
      <c r="D1605" s="2" t="s">
        <v>554</v>
      </c>
      <c r="E1605" s="2">
        <v>2.5</v>
      </c>
      <c r="F1605" s="1" t="str">
        <f>VLOOKUP(H1605,'RM Used'!A:B,2,0)</f>
        <v>P0016</v>
      </c>
      <c r="G1605" s="1" t="str">
        <f>IFERROR(VLOOKUP(F1605,'RM Cost'!A:B,2,0),"")</f>
        <v>REY 40 30 BOX</v>
      </c>
      <c r="H1605" s="2" t="s">
        <v>1332</v>
      </c>
      <c r="I1605" s="1" t="str">
        <f>VLOOKUP(F1605,'RM Used'!B:D,3,0)</f>
        <v>RM-PACKING</v>
      </c>
      <c r="J1605" s="66">
        <v>1</v>
      </c>
      <c r="K1605" s="35" t="str">
        <f t="shared" si="496"/>
        <v/>
      </c>
      <c r="L1605" s="35">
        <f t="shared" si="499"/>
        <v>0</v>
      </c>
      <c r="M1605" s="77" t="str" cm="1">
        <f t="array" ref="M1605">_xlfn.IFS(BOM!I1605="RM-PACKING","100%",B1605="Reynolds",VLOOKUP(H1605,'Yield &amp; Time'!A:V,22,0),BOM!B1605="Dnata",VLOOKUP(BOM!H1605,'Yield &amp; Time'!A:M,13,0),B1605="NK",VLOOKUP(H1605,'Yield &amp; Time'!A:X,24,0))</f>
        <v>100%</v>
      </c>
      <c r="N1605" s="35">
        <f t="shared" si="497"/>
        <v>1</v>
      </c>
      <c r="O1605" s="1" t="str">
        <f>VLOOKUP(H1605,'RM Used'!A:E,5,0)</f>
        <v>Count</v>
      </c>
      <c r="P1605" s="11">
        <f>VLOOKUP(H1605,'RM Used'!A:F,6,0)</f>
        <v>0.28000000000000003</v>
      </c>
      <c r="Q1605" s="11">
        <f t="shared" si="508"/>
        <v>0.28000000000000003</v>
      </c>
      <c r="R1605" s="11">
        <f>IFERROR(IF(B1605="Reynolds",VLOOKUP(H1605,'Yield &amp; Time'!A:U,21,0),VLOOKUP(H1605,'Yield &amp; Time'!A:L,12,0)),0)</f>
        <v>0</v>
      </c>
      <c r="S1605" s="11">
        <f t="shared" si="500"/>
        <v>0</v>
      </c>
      <c r="T1605" s="11">
        <f t="shared" si="501"/>
        <v>0</v>
      </c>
      <c r="U1605" s="11">
        <f>IF(A1604=A1605,0,VLOOKUP(A1605,'Packing Time'!A:F,6,0))</f>
        <v>0</v>
      </c>
      <c r="V1605" s="11">
        <f t="shared" si="486"/>
        <v>0</v>
      </c>
      <c r="W1605" s="11">
        <f t="shared" si="487"/>
        <v>0</v>
      </c>
      <c r="X1605" s="11">
        <f t="shared" si="502"/>
        <v>0</v>
      </c>
      <c r="Y1605" s="11">
        <f t="shared" si="488"/>
        <v>0</v>
      </c>
      <c r="Z1605" s="37">
        <v>1</v>
      </c>
      <c r="AA1605" s="36">
        <f t="shared" si="503"/>
        <v>1</v>
      </c>
      <c r="AB1605" s="11">
        <f t="shared" si="504"/>
        <v>0.28000000000000003</v>
      </c>
      <c r="AC1605" s="11">
        <f t="shared" si="505"/>
        <v>0</v>
      </c>
      <c r="AD1605" s="36">
        <f t="shared" si="489"/>
        <v>0</v>
      </c>
      <c r="AE1605" s="36"/>
      <c r="AF1605" s="36">
        <f>IFERROR(VLOOKUP(AE1605,'Chemical Cost'!A:D,4,0),0)</f>
        <v>0</v>
      </c>
      <c r="AG1605" s="114">
        <f t="shared" si="506"/>
        <v>0</v>
      </c>
      <c r="AH1605" s="36">
        <f t="shared" si="485"/>
        <v>0</v>
      </c>
      <c r="AI1605" s="36">
        <f t="shared" si="498"/>
        <v>0.28000000000000003</v>
      </c>
      <c r="AJ1605" s="36">
        <f>IFERROR(VLOOKUP(A1605,'All Products'!A:F,6,0),0)</f>
        <v>4.5999999999999996</v>
      </c>
      <c r="AL1605" s="23">
        <v>0.8</v>
      </c>
      <c r="AM1605" s="23">
        <v>0.2</v>
      </c>
      <c r="AN1605" s="54" t="e">
        <v>#N/A</v>
      </c>
      <c r="AP1605" s="4">
        <v>1.6</v>
      </c>
      <c r="AQ1605" s="111">
        <f t="shared" si="507"/>
        <v>0</v>
      </c>
      <c r="AR1605">
        <f>_xlfn.XLOOKUP(F1605,'RM Cost'!A:A,'RM Cost'!S:S)</f>
        <v>0</v>
      </c>
      <c r="AS1605" t="e">
        <f>_xlfn.XLOOKUP(A1605,[3]Sheet1!$B:$B,[3]Sheet1!$B:$B)</f>
        <v>#N/A</v>
      </c>
    </row>
    <row r="1606" spans="1:45" x14ac:dyDescent="0.25">
      <c r="A1606" s="1" t="s">
        <v>4546</v>
      </c>
      <c r="B1606" s="1" t="s">
        <v>552</v>
      </c>
      <c r="C1606" s="1" t="s">
        <v>4550</v>
      </c>
      <c r="D1606" s="2" t="s">
        <v>554</v>
      </c>
      <c r="E1606" s="2">
        <v>2.5</v>
      </c>
      <c r="F1606" s="1" t="str">
        <f>VLOOKUP(H1606,'RM Used'!A:B,2,0)</f>
        <v>3566CS</v>
      </c>
      <c r="G1606" s="1" t="str">
        <f>IFERROR(VLOOKUP(F1606,'RM Cost'!A:B,2,0),"")</f>
        <v>PEPPERS RED X 5KG</v>
      </c>
      <c r="H1606" s="2" t="s">
        <v>1418</v>
      </c>
      <c r="I1606" s="1" t="str">
        <f>VLOOKUP(F1606,'RM Used'!B:D,3,0)</f>
        <v>RM-FOOD</v>
      </c>
      <c r="J1606" s="66">
        <v>1</v>
      </c>
      <c r="K1606" s="35">
        <f t="shared" si="496"/>
        <v>2.5</v>
      </c>
      <c r="L1606" s="35">
        <f t="shared" si="499"/>
        <v>2.5</v>
      </c>
      <c r="M1606" s="77" cm="1">
        <f t="array" ref="M1606">_xlfn.IFS(BOM!I1606="RM-PACKING","100%",B1606="Reynolds",VLOOKUP(H1606,'Yield &amp; Time'!A:V,22,0),BOM!B1606="Dnata",VLOOKUP(BOM!H1606,'Yield &amp; Time'!A:M,13,0),B1606="NK",VLOOKUP(H1606,'Yield &amp; Time'!A:X,24,0))</f>
        <v>0.50283088235294104</v>
      </c>
      <c r="N1606" s="35">
        <f t="shared" si="497"/>
        <v>4.9718505520216434</v>
      </c>
      <c r="O1606" s="1" t="str">
        <f>VLOOKUP(H1606,'RM Used'!A:E,5,0)</f>
        <v>KG</v>
      </c>
      <c r="P1606" s="11">
        <f>VLOOKUP(H1606,'RM Used'!A:F,6,0)</f>
        <v>1.72</v>
      </c>
      <c r="Q1606" s="11">
        <f t="shared" si="508"/>
        <v>8.5515829494772273</v>
      </c>
      <c r="R1606" s="11">
        <f>IFERROR(IF(B1606="Reynolds",VLOOKUP(H1606,'Yield &amp; Time'!A:U,21,0),VLOOKUP(H1606,'Yield &amp; Time'!A:L,12,0)),0)</f>
        <v>4.255319148936171</v>
      </c>
      <c r="S1606" s="11">
        <f t="shared" si="500"/>
        <v>3.6010638297872344</v>
      </c>
      <c r="T1606" s="11">
        <f t="shared" si="501"/>
        <v>0.17730496453900713</v>
      </c>
      <c r="U1606" s="11">
        <f>IF(A1605=A1606,0,VLOOKUP(A1606,'Packing Time'!A:F,6,0))</f>
        <v>0.875</v>
      </c>
      <c r="V1606" s="11">
        <f t="shared" si="486"/>
        <v>0.29618749999999999</v>
      </c>
      <c r="W1606" s="11">
        <f t="shared" si="487"/>
        <v>1.4583333333333334E-2</v>
      </c>
      <c r="X1606" s="11">
        <f t="shared" si="502"/>
        <v>6.2356021276595754</v>
      </c>
      <c r="Y1606" s="11">
        <f t="shared" si="488"/>
        <v>6.2356021276595754</v>
      </c>
      <c r="Z1606" s="37">
        <v>1</v>
      </c>
      <c r="AA1606" s="36">
        <f t="shared" si="503"/>
        <v>4.9718505520216434</v>
      </c>
      <c r="AB1606" s="11">
        <f t="shared" si="504"/>
        <v>8.5515829494772273</v>
      </c>
      <c r="AC1606" s="11">
        <f t="shared" si="505"/>
        <v>0.30702127659574474</v>
      </c>
      <c r="AD1606" s="36">
        <f t="shared" si="489"/>
        <v>6.2356021276595754</v>
      </c>
      <c r="AE1606" s="36"/>
      <c r="AF1606" s="36">
        <f>IFERROR(VLOOKUP(AE1606,'Chemical Cost'!A:D,4,0),0)</f>
        <v>0</v>
      </c>
      <c r="AG1606" s="114">
        <f t="shared" si="506"/>
        <v>0</v>
      </c>
      <c r="AH1606" s="36">
        <f t="shared" si="485"/>
        <v>0</v>
      </c>
      <c r="AI1606" s="36">
        <f t="shared" si="498"/>
        <v>14.787185077136803</v>
      </c>
      <c r="AJ1606" s="36">
        <f>IFERROR(VLOOKUP(A1606,'All Products'!A:F,6,0),0)</f>
        <v>29.2</v>
      </c>
      <c r="AL1606" s="23">
        <v>0.8</v>
      </c>
      <c r="AM1606" s="23">
        <v>0.2</v>
      </c>
      <c r="AN1606" s="54" t="e">
        <v>#N/A</v>
      </c>
      <c r="AP1606" s="4">
        <v>1.6</v>
      </c>
      <c r="AQ1606" s="111">
        <f t="shared" si="507"/>
        <v>0.30702127659574474</v>
      </c>
      <c r="AR1606">
        <f>_xlfn.XLOOKUP(F1606,'RM Cost'!A:A,'RM Cost'!S:S)</f>
        <v>0</v>
      </c>
      <c r="AS1606" t="e">
        <f>_xlfn.XLOOKUP(A1606,[3]Sheet1!$B:$B,[3]Sheet1!$B:$B)</f>
        <v>#N/A</v>
      </c>
    </row>
    <row r="1607" spans="1:45" x14ac:dyDescent="0.25">
      <c r="A1607" s="1" t="s">
        <v>4546</v>
      </c>
      <c r="B1607" s="1" t="s">
        <v>552</v>
      </c>
      <c r="C1607" s="1" t="s">
        <v>4550</v>
      </c>
      <c r="D1607" s="2" t="s">
        <v>554</v>
      </c>
      <c r="E1607" s="2">
        <v>2.5</v>
      </c>
      <c r="F1607" s="1" t="str">
        <f>VLOOKUP(H1607,'RM Used'!A:B,2,0)</f>
        <v>P0008</v>
      </c>
      <c r="G1607" s="1" t="str">
        <f>IFERROR(VLOOKUP(F1607,'RM Cost'!A:B,2,0),"")</f>
        <v>PALE BLUE BAG 470X750MM</v>
      </c>
      <c r="H1607" s="2" t="s">
        <v>1323</v>
      </c>
      <c r="I1607" s="1" t="str">
        <f>VLOOKUP(F1607,'RM Used'!B:D,3,0)</f>
        <v>RM-PACKING</v>
      </c>
      <c r="J1607" s="66">
        <v>1</v>
      </c>
      <c r="K1607" s="35" t="str">
        <f t="shared" si="496"/>
        <v/>
      </c>
      <c r="L1607" s="35">
        <f t="shared" si="499"/>
        <v>0</v>
      </c>
      <c r="M1607" s="77" t="str" cm="1">
        <f t="array" ref="M1607">_xlfn.IFS(BOM!I1607="RM-PACKING","100%",B1607="Reynolds",VLOOKUP(H1607,'Yield &amp; Time'!A:V,22,0),BOM!B1607="Dnata",VLOOKUP(BOM!H1607,'Yield &amp; Time'!A:M,13,0),B1607="NK",VLOOKUP(H1607,'Yield &amp; Time'!A:X,24,0))</f>
        <v>100%</v>
      </c>
      <c r="N1607" s="35">
        <f t="shared" si="497"/>
        <v>1</v>
      </c>
      <c r="O1607" s="1" t="str">
        <f>VLOOKUP(H1607,'RM Used'!A:E,5,0)</f>
        <v>Count</v>
      </c>
      <c r="P1607" s="11">
        <f>VLOOKUP(H1607,'RM Used'!A:F,6,0)</f>
        <v>0.14000000000000001</v>
      </c>
      <c r="Q1607" s="11">
        <f t="shared" si="508"/>
        <v>0.14000000000000001</v>
      </c>
      <c r="R1607" s="11">
        <f>IFERROR(IF(B1607="Reynolds",VLOOKUP(H1607,'Yield &amp; Time'!A:U,21,0),VLOOKUP(H1607,'Yield &amp; Time'!A:L,12,0)),0)</f>
        <v>0</v>
      </c>
      <c r="S1607" s="11">
        <f t="shared" si="500"/>
        <v>0</v>
      </c>
      <c r="T1607" s="11">
        <f t="shared" si="501"/>
        <v>0</v>
      </c>
      <c r="U1607" s="11">
        <f>IF(A1606=A1607,0,VLOOKUP(A1607,'Packing Time'!A:F,6,0))</f>
        <v>0</v>
      </c>
      <c r="V1607" s="11">
        <f t="shared" si="486"/>
        <v>0</v>
      </c>
      <c r="W1607" s="11">
        <f t="shared" si="487"/>
        <v>0</v>
      </c>
      <c r="X1607" s="11">
        <f t="shared" si="502"/>
        <v>0</v>
      </c>
      <c r="Y1607" s="11">
        <f t="shared" si="488"/>
        <v>0</v>
      </c>
      <c r="Z1607" s="37">
        <v>1</v>
      </c>
      <c r="AA1607" s="36">
        <f t="shared" si="503"/>
        <v>1</v>
      </c>
      <c r="AB1607" s="11">
        <f t="shared" si="504"/>
        <v>0.14000000000000001</v>
      </c>
      <c r="AC1607" s="11">
        <f t="shared" si="505"/>
        <v>0</v>
      </c>
      <c r="AD1607" s="36">
        <f t="shared" si="489"/>
        <v>0</v>
      </c>
      <c r="AE1607" s="36"/>
      <c r="AF1607" s="36">
        <f>IFERROR(VLOOKUP(AE1607,'Chemical Cost'!A:D,4,0),0)</f>
        <v>0</v>
      </c>
      <c r="AG1607" s="114">
        <f t="shared" si="506"/>
        <v>0</v>
      </c>
      <c r="AH1607" s="36">
        <f t="shared" si="485"/>
        <v>0</v>
      </c>
      <c r="AI1607" s="36">
        <f t="shared" si="498"/>
        <v>0.14000000000000001</v>
      </c>
      <c r="AJ1607" s="36">
        <f>IFERROR(VLOOKUP(A1607,'All Products'!A:F,6,0),0)</f>
        <v>29.2</v>
      </c>
      <c r="AL1607" s="23">
        <v>0.8</v>
      </c>
      <c r="AM1607" s="23">
        <v>0.2</v>
      </c>
      <c r="AN1607" s="54" t="e">
        <v>#N/A</v>
      </c>
      <c r="AP1607" s="4">
        <v>1.6</v>
      </c>
      <c r="AQ1607" s="111">
        <f t="shared" si="507"/>
        <v>0</v>
      </c>
      <c r="AR1607">
        <f>_xlfn.XLOOKUP(F1607,'RM Cost'!A:A,'RM Cost'!S:S)</f>
        <v>0</v>
      </c>
      <c r="AS1607" t="e">
        <f>_xlfn.XLOOKUP(A1607,[3]Sheet1!$B:$B,[3]Sheet1!$B:$B)</f>
        <v>#N/A</v>
      </c>
    </row>
    <row r="1608" spans="1:45" x14ac:dyDescent="0.25">
      <c r="A1608" s="1" t="s">
        <v>4546</v>
      </c>
      <c r="B1608" s="1" t="s">
        <v>552</v>
      </c>
      <c r="C1608" s="1" t="s">
        <v>4550</v>
      </c>
      <c r="D1608" s="2" t="s">
        <v>554</v>
      </c>
      <c r="E1608" s="2">
        <v>2.5</v>
      </c>
      <c r="F1608" s="1" t="str">
        <f>VLOOKUP(H1608,'RM Used'!A:B,2,0)</f>
        <v>P0016</v>
      </c>
      <c r="G1608" s="1" t="str">
        <f>IFERROR(VLOOKUP(F1608,'RM Cost'!A:B,2,0),"")</f>
        <v>REY 40 30 BOX</v>
      </c>
      <c r="H1608" s="2" t="s">
        <v>1332</v>
      </c>
      <c r="I1608" s="1" t="str">
        <f>VLOOKUP(F1608,'RM Used'!B:D,3,0)</f>
        <v>RM-PACKING</v>
      </c>
      <c r="J1608" s="66">
        <v>1</v>
      </c>
      <c r="K1608" s="35" t="str">
        <f t="shared" si="496"/>
        <v/>
      </c>
      <c r="L1608" s="35">
        <f t="shared" si="499"/>
        <v>0</v>
      </c>
      <c r="M1608" s="77" t="str" cm="1">
        <f t="array" ref="M1608">_xlfn.IFS(BOM!I1608="RM-PACKING","100%",B1608="Reynolds",VLOOKUP(H1608,'Yield &amp; Time'!A:V,22,0),BOM!B1608="Dnata",VLOOKUP(BOM!H1608,'Yield &amp; Time'!A:M,13,0),B1608="NK",VLOOKUP(H1608,'Yield &amp; Time'!A:X,24,0))</f>
        <v>100%</v>
      </c>
      <c r="N1608" s="35">
        <f t="shared" si="497"/>
        <v>1</v>
      </c>
      <c r="O1608" s="1" t="str">
        <f>VLOOKUP(H1608,'RM Used'!A:E,5,0)</f>
        <v>Count</v>
      </c>
      <c r="P1608" s="11">
        <f>VLOOKUP(H1608,'RM Used'!A:F,6,0)</f>
        <v>0.28000000000000003</v>
      </c>
      <c r="Q1608" s="11">
        <f t="shared" si="508"/>
        <v>0.28000000000000003</v>
      </c>
      <c r="R1608" s="11">
        <f>IFERROR(IF(B1608="Reynolds",VLOOKUP(H1608,'Yield &amp; Time'!A:U,21,0),VLOOKUP(H1608,'Yield &amp; Time'!A:L,12,0)),0)</f>
        <v>0</v>
      </c>
      <c r="S1608" s="11">
        <f t="shared" si="500"/>
        <v>0</v>
      </c>
      <c r="T1608" s="11">
        <f t="shared" si="501"/>
        <v>0</v>
      </c>
      <c r="U1608" s="11">
        <f>IF(A1607=A1608,0,VLOOKUP(A1608,'Packing Time'!A:F,6,0))</f>
        <v>0</v>
      </c>
      <c r="V1608" s="11">
        <f t="shared" si="486"/>
        <v>0</v>
      </c>
      <c r="W1608" s="11">
        <f t="shared" si="487"/>
        <v>0</v>
      </c>
      <c r="X1608" s="11">
        <f t="shared" si="502"/>
        <v>0</v>
      </c>
      <c r="Y1608" s="11">
        <f t="shared" si="488"/>
        <v>0</v>
      </c>
      <c r="Z1608" s="37">
        <v>1</v>
      </c>
      <c r="AA1608" s="36">
        <f t="shared" si="503"/>
        <v>1</v>
      </c>
      <c r="AB1608" s="11">
        <f t="shared" si="504"/>
        <v>0.28000000000000003</v>
      </c>
      <c r="AC1608" s="11">
        <f t="shared" si="505"/>
        <v>0</v>
      </c>
      <c r="AD1608" s="36">
        <f t="shared" si="489"/>
        <v>0</v>
      </c>
      <c r="AE1608" s="36"/>
      <c r="AF1608" s="36">
        <f>IFERROR(VLOOKUP(AE1608,'Chemical Cost'!A:D,4,0),0)</f>
        <v>0</v>
      </c>
      <c r="AG1608" s="114">
        <f t="shared" si="506"/>
        <v>0</v>
      </c>
      <c r="AH1608" s="36">
        <f t="shared" si="485"/>
        <v>0</v>
      </c>
      <c r="AI1608" s="36">
        <f t="shared" si="498"/>
        <v>0.28000000000000003</v>
      </c>
      <c r="AJ1608" s="36">
        <f>IFERROR(VLOOKUP(A1608,'All Products'!A:F,6,0),0)</f>
        <v>29.2</v>
      </c>
      <c r="AL1608" s="23">
        <v>0.8</v>
      </c>
      <c r="AM1608" s="23">
        <v>0.2</v>
      </c>
      <c r="AN1608" s="54" t="e">
        <v>#N/A</v>
      </c>
      <c r="AP1608" s="4">
        <v>1.6</v>
      </c>
      <c r="AQ1608" s="111">
        <f t="shared" si="507"/>
        <v>0</v>
      </c>
      <c r="AR1608">
        <f>_xlfn.XLOOKUP(F1608,'RM Cost'!A:A,'RM Cost'!S:S)</f>
        <v>0</v>
      </c>
      <c r="AS1608" t="e">
        <f>_xlfn.XLOOKUP(A1608,[3]Sheet1!$B:$B,[3]Sheet1!$B:$B)</f>
        <v>#N/A</v>
      </c>
    </row>
    <row r="1609" spans="1:45" x14ac:dyDescent="0.25">
      <c r="A1609" s="1" t="s">
        <v>4547</v>
      </c>
      <c r="B1609" s="2" t="s">
        <v>552</v>
      </c>
      <c r="C1609" s="1" t="s">
        <v>4551</v>
      </c>
      <c r="D1609" s="2" t="s">
        <v>554</v>
      </c>
      <c r="E1609" s="2">
        <v>2.5</v>
      </c>
      <c r="F1609" s="1" t="str">
        <f>VLOOKUP(H1609,'RM Used'!A:B,2,0)</f>
        <v>206ACS</v>
      </c>
      <c r="G1609" s="1" t="str">
        <f>IFERROR(VLOOKUP(F1609,'RM Cost'!A:B,2,0),"")</f>
        <v>RM - PREP ONION WHOLE 10KG</v>
      </c>
      <c r="H1609" s="2" t="s">
        <v>1406</v>
      </c>
      <c r="I1609" s="1" t="str">
        <f>VLOOKUP(F1609,'RM Used'!B:D,3,0)</f>
        <v>RM-FOOD</v>
      </c>
      <c r="J1609" s="66">
        <v>1</v>
      </c>
      <c r="K1609" s="35">
        <f t="shared" si="496"/>
        <v>2.5</v>
      </c>
      <c r="L1609" s="35">
        <f t="shared" si="499"/>
        <v>2.5</v>
      </c>
      <c r="M1609" s="77" cm="1">
        <f t="array" ref="M1609">_xlfn.IFS(BOM!I1609="RM-PACKING","100%",B1609="Reynolds",VLOOKUP(H1609,'Yield &amp; Time'!A:V,22,0),BOM!B1609="Dnata",VLOOKUP(BOM!H1609,'Yield &amp; Time'!A:M,13,0),B1609="NK",VLOOKUP(H1609,'Yield &amp; Time'!A:X,24,0))</f>
        <v>0.90806063628959444</v>
      </c>
      <c r="N1609" s="35">
        <f t="shared" si="497"/>
        <v>2.7531201112463064</v>
      </c>
      <c r="O1609" s="1" t="str">
        <f>VLOOKUP(H1609,'RM Used'!A:E,5,0)</f>
        <v>KG</v>
      </c>
      <c r="P1609" s="11">
        <f>VLOOKUP(H1609,'RM Used'!A:F,6,0)</f>
        <v>0.87</v>
      </c>
      <c r="Q1609" s="11">
        <f t="shared" si="508"/>
        <v>2.3952144967842868</v>
      </c>
      <c r="R1609" s="11">
        <f>IFERROR(IF(B1609="Reynolds",VLOOKUP(H1609,'Yield &amp; Time'!A:U,21,0),VLOOKUP(H1609,'Yield &amp; Time'!A:L,12,0)),0)</f>
        <v>1.3</v>
      </c>
      <c r="S1609" s="11">
        <f t="shared" si="500"/>
        <v>1.1001249999999998</v>
      </c>
      <c r="T1609" s="11">
        <f t="shared" si="501"/>
        <v>5.4166666666666669E-2</v>
      </c>
      <c r="U1609" s="11">
        <f>IF(A1608=A1609,0,VLOOKUP(A1609,'Packing Time'!A:F,6,0))</f>
        <v>0.875</v>
      </c>
      <c r="V1609" s="11">
        <f t="shared" si="486"/>
        <v>0.29618749999999999</v>
      </c>
      <c r="W1609" s="11">
        <f t="shared" si="487"/>
        <v>1.4583333333333334E-2</v>
      </c>
      <c r="X1609" s="11">
        <f t="shared" si="502"/>
        <v>2.2340999999999998</v>
      </c>
      <c r="Y1609" s="11">
        <f t="shared" si="488"/>
        <v>2.2340999999999998</v>
      </c>
      <c r="Z1609" s="37">
        <v>1</v>
      </c>
      <c r="AA1609" s="36">
        <f t="shared" si="503"/>
        <v>2.7531201112463064</v>
      </c>
      <c r="AB1609" s="11">
        <f t="shared" si="504"/>
        <v>2.3952144967842868</v>
      </c>
      <c r="AC1609" s="11">
        <f t="shared" si="505"/>
        <v>0.11000000000000001</v>
      </c>
      <c r="AD1609" s="36">
        <f t="shared" si="489"/>
        <v>2.2340999999999998</v>
      </c>
      <c r="AE1609" s="36" t="str">
        <f>VLOOKUP(H1609,'Yield &amp; Time'!A:I,9,0)</f>
        <v>CHLORINE</v>
      </c>
      <c r="AF1609" s="36">
        <f>IFERROR(VLOOKUP(AE1609,'Chemical Cost'!A:D,4,0),0)</f>
        <v>2.7756518066439469E-2</v>
      </c>
      <c r="AG1609" s="114">
        <f t="shared" si="506"/>
        <v>2.5472342702295314E-2</v>
      </c>
      <c r="AH1609" s="36">
        <f t="shared" si="485"/>
        <v>2.5472342702295314E-2</v>
      </c>
      <c r="AI1609" s="36">
        <f t="shared" si="498"/>
        <v>4.6547868394865821</v>
      </c>
      <c r="AJ1609" s="36">
        <f>IFERROR(VLOOKUP(A1609,'All Products'!A:F,6,0),0)</f>
        <v>13.42</v>
      </c>
      <c r="AL1609" s="23">
        <v>0.8</v>
      </c>
      <c r="AM1609" s="23">
        <v>0.2</v>
      </c>
      <c r="AN1609" s="54" t="e">
        <v>#N/A</v>
      </c>
      <c r="AP1609" s="4">
        <v>1.6</v>
      </c>
      <c r="AQ1609" s="111">
        <f t="shared" si="507"/>
        <v>0.11000000000000001</v>
      </c>
      <c r="AR1609">
        <f>_xlfn.XLOOKUP(F1609,'RM Cost'!A:A,'RM Cost'!S:S)</f>
        <v>0</v>
      </c>
      <c r="AS1609" t="e">
        <f>_xlfn.XLOOKUP(A1609,[3]Sheet1!$B:$B,[3]Sheet1!$B:$B)</f>
        <v>#N/A</v>
      </c>
    </row>
    <row r="1610" spans="1:45" x14ac:dyDescent="0.25">
      <c r="A1610" s="1" t="s">
        <v>4547</v>
      </c>
      <c r="B1610" s="2" t="s">
        <v>552</v>
      </c>
      <c r="C1610" s="1" t="s">
        <v>4551</v>
      </c>
      <c r="D1610" s="2" t="s">
        <v>554</v>
      </c>
      <c r="E1610" s="2">
        <v>2.5</v>
      </c>
      <c r="F1610" s="1" t="str">
        <f>VLOOKUP(H1610,'RM Used'!A:B,2,0)</f>
        <v>P0008</v>
      </c>
      <c r="G1610" s="1" t="str">
        <f>IFERROR(VLOOKUP(F1610,'RM Cost'!A:B,2,0),"")</f>
        <v>PALE BLUE BAG 470X750MM</v>
      </c>
      <c r="H1610" s="2" t="s">
        <v>1323</v>
      </c>
      <c r="I1610" s="1" t="str">
        <f>VLOOKUP(F1610,'RM Used'!B:D,3,0)</f>
        <v>RM-PACKING</v>
      </c>
      <c r="J1610" s="66">
        <v>1</v>
      </c>
      <c r="K1610" s="35" t="str">
        <f t="shared" si="496"/>
        <v/>
      </c>
      <c r="L1610" s="35">
        <f t="shared" si="499"/>
        <v>0</v>
      </c>
      <c r="M1610" s="77" t="str" cm="1">
        <f t="array" ref="M1610">_xlfn.IFS(BOM!I1610="RM-PACKING","100%",B1610="Reynolds",VLOOKUP(H1610,'Yield &amp; Time'!A:V,22,0),BOM!B1610="Dnata",VLOOKUP(BOM!H1610,'Yield &amp; Time'!A:M,13,0),B1610="NK",VLOOKUP(H1610,'Yield &amp; Time'!A:X,24,0))</f>
        <v>100%</v>
      </c>
      <c r="N1610" s="35">
        <f t="shared" si="497"/>
        <v>1</v>
      </c>
      <c r="O1610" s="1" t="str">
        <f>VLOOKUP(H1610,'RM Used'!A:E,5,0)</f>
        <v>Count</v>
      </c>
      <c r="P1610" s="11">
        <f>VLOOKUP(H1610,'RM Used'!A:F,6,0)</f>
        <v>0.14000000000000001</v>
      </c>
      <c r="Q1610" s="11">
        <f t="shared" si="508"/>
        <v>0.14000000000000001</v>
      </c>
      <c r="R1610" s="11">
        <f>IFERROR(IF(B1610="Reynolds",VLOOKUP(H1610,'Yield &amp; Time'!A:U,21,0),VLOOKUP(H1610,'Yield &amp; Time'!A:L,12,0)),0)</f>
        <v>0</v>
      </c>
      <c r="S1610" s="11">
        <f t="shared" si="500"/>
        <v>0</v>
      </c>
      <c r="T1610" s="11">
        <f t="shared" si="501"/>
        <v>0</v>
      </c>
      <c r="U1610" s="11">
        <f>IF(A1609=A1610,0,VLOOKUP(A1610,'Packing Time'!A:F,6,0))</f>
        <v>0</v>
      </c>
      <c r="V1610" s="11">
        <f t="shared" si="486"/>
        <v>0</v>
      </c>
      <c r="W1610" s="11">
        <f t="shared" si="487"/>
        <v>0</v>
      </c>
      <c r="X1610" s="11">
        <f t="shared" si="502"/>
        <v>0</v>
      </c>
      <c r="Y1610" s="11">
        <f t="shared" si="488"/>
        <v>0</v>
      </c>
      <c r="Z1610" s="37">
        <v>1</v>
      </c>
      <c r="AA1610" s="36">
        <f t="shared" si="503"/>
        <v>1</v>
      </c>
      <c r="AB1610" s="11">
        <f t="shared" si="504"/>
        <v>0.14000000000000001</v>
      </c>
      <c r="AC1610" s="11">
        <f t="shared" si="505"/>
        <v>0</v>
      </c>
      <c r="AD1610" s="36">
        <f t="shared" si="489"/>
        <v>0</v>
      </c>
      <c r="AE1610" s="36"/>
      <c r="AF1610" s="36">
        <f>IFERROR(VLOOKUP(AE1610,'Chemical Cost'!A:D,4,0),0)</f>
        <v>0</v>
      </c>
      <c r="AG1610" s="114">
        <f t="shared" si="506"/>
        <v>0</v>
      </c>
      <c r="AH1610" s="36">
        <f t="shared" si="485"/>
        <v>0</v>
      </c>
      <c r="AI1610" s="36">
        <f t="shared" si="498"/>
        <v>0.14000000000000001</v>
      </c>
      <c r="AJ1610" s="36">
        <f>IFERROR(VLOOKUP(A1610,'All Products'!A:F,6,0),0)</f>
        <v>13.42</v>
      </c>
      <c r="AL1610" s="23">
        <v>0.8</v>
      </c>
      <c r="AM1610" s="23">
        <v>0.2</v>
      </c>
      <c r="AN1610" s="54" t="e">
        <v>#N/A</v>
      </c>
      <c r="AP1610" s="4">
        <v>1.6</v>
      </c>
      <c r="AQ1610" s="111">
        <f t="shared" si="507"/>
        <v>0</v>
      </c>
      <c r="AR1610">
        <f>_xlfn.XLOOKUP(F1610,'RM Cost'!A:A,'RM Cost'!S:S)</f>
        <v>0</v>
      </c>
      <c r="AS1610" t="e">
        <f>_xlfn.XLOOKUP(A1610,[3]Sheet1!$B:$B,[3]Sheet1!$B:$B)</f>
        <v>#N/A</v>
      </c>
    </row>
    <row r="1611" spans="1:45" x14ac:dyDescent="0.25">
      <c r="A1611" s="1" t="s">
        <v>4547</v>
      </c>
      <c r="B1611" s="2" t="s">
        <v>552</v>
      </c>
      <c r="C1611" s="1" t="s">
        <v>4551</v>
      </c>
      <c r="D1611" s="2" t="s">
        <v>554</v>
      </c>
      <c r="E1611" s="2">
        <v>2.5</v>
      </c>
      <c r="F1611" s="1" t="str">
        <f>VLOOKUP(H1611,'RM Used'!A:B,2,0)</f>
        <v>P0016</v>
      </c>
      <c r="G1611" s="1" t="str">
        <f>IFERROR(VLOOKUP(F1611,'RM Cost'!A:B,2,0),"")</f>
        <v>REY 40 30 BOX</v>
      </c>
      <c r="H1611" s="2" t="s">
        <v>1332</v>
      </c>
      <c r="I1611" s="1" t="str">
        <f>VLOOKUP(F1611,'RM Used'!B:D,3,0)</f>
        <v>RM-PACKING</v>
      </c>
      <c r="J1611" s="66">
        <v>1</v>
      </c>
      <c r="K1611" s="35" t="str">
        <f t="shared" si="496"/>
        <v/>
      </c>
      <c r="L1611" s="35">
        <f t="shared" si="499"/>
        <v>0</v>
      </c>
      <c r="M1611" s="77" t="str" cm="1">
        <f t="array" ref="M1611">_xlfn.IFS(BOM!I1611="RM-PACKING","100%",B1611="Reynolds",VLOOKUP(H1611,'Yield &amp; Time'!A:V,22,0),BOM!B1611="Dnata",VLOOKUP(BOM!H1611,'Yield &amp; Time'!A:M,13,0),B1611="NK",VLOOKUP(H1611,'Yield &amp; Time'!A:X,24,0))</f>
        <v>100%</v>
      </c>
      <c r="N1611" s="35">
        <f t="shared" si="497"/>
        <v>1</v>
      </c>
      <c r="O1611" s="1" t="str">
        <f>VLOOKUP(H1611,'RM Used'!A:E,5,0)</f>
        <v>Count</v>
      </c>
      <c r="P1611" s="11">
        <f>VLOOKUP(H1611,'RM Used'!A:F,6,0)</f>
        <v>0.28000000000000003</v>
      </c>
      <c r="Q1611" s="11">
        <f t="shared" si="508"/>
        <v>0.28000000000000003</v>
      </c>
      <c r="R1611" s="11">
        <f>IFERROR(IF(B1611="Reynolds",VLOOKUP(H1611,'Yield &amp; Time'!A:U,21,0),VLOOKUP(H1611,'Yield &amp; Time'!A:L,12,0)),0)</f>
        <v>0</v>
      </c>
      <c r="S1611" s="11">
        <f t="shared" si="500"/>
        <v>0</v>
      </c>
      <c r="T1611" s="11">
        <f t="shared" si="501"/>
        <v>0</v>
      </c>
      <c r="U1611" s="11">
        <f>IF(A1610=A1611,0,VLOOKUP(A1611,'Packing Time'!A:F,6,0))</f>
        <v>0</v>
      </c>
      <c r="V1611" s="11">
        <f t="shared" si="486"/>
        <v>0</v>
      </c>
      <c r="W1611" s="11">
        <f t="shared" si="487"/>
        <v>0</v>
      </c>
      <c r="X1611" s="11">
        <f t="shared" si="502"/>
        <v>0</v>
      </c>
      <c r="Y1611" s="11">
        <f t="shared" si="488"/>
        <v>0</v>
      </c>
      <c r="Z1611" s="37">
        <v>1</v>
      </c>
      <c r="AA1611" s="36">
        <f t="shared" si="503"/>
        <v>1</v>
      </c>
      <c r="AB1611" s="11">
        <f t="shared" si="504"/>
        <v>0.28000000000000003</v>
      </c>
      <c r="AC1611" s="11">
        <f t="shared" si="505"/>
        <v>0</v>
      </c>
      <c r="AD1611" s="36">
        <f t="shared" si="489"/>
        <v>0</v>
      </c>
      <c r="AE1611" s="36"/>
      <c r="AF1611" s="36">
        <f>IFERROR(VLOOKUP(AE1611,'Chemical Cost'!A:D,4,0),0)</f>
        <v>0</v>
      </c>
      <c r="AG1611" s="114">
        <f t="shared" si="506"/>
        <v>0</v>
      </c>
      <c r="AH1611" s="36">
        <f t="shared" si="485"/>
        <v>0</v>
      </c>
      <c r="AI1611" s="36">
        <f t="shared" si="498"/>
        <v>0.28000000000000003</v>
      </c>
      <c r="AJ1611" s="36">
        <f>IFERROR(VLOOKUP(A1611,'All Products'!A:F,6,0),0)</f>
        <v>13.42</v>
      </c>
      <c r="AL1611" s="23">
        <v>0.8</v>
      </c>
      <c r="AM1611" s="23">
        <v>0.2</v>
      </c>
      <c r="AN1611" s="54" t="e">
        <v>#N/A</v>
      </c>
      <c r="AP1611" s="4">
        <v>1.6</v>
      </c>
      <c r="AQ1611" s="111">
        <f t="shared" si="507"/>
        <v>0</v>
      </c>
      <c r="AR1611">
        <f>_xlfn.XLOOKUP(F1611,'RM Cost'!A:A,'RM Cost'!S:S)</f>
        <v>0</v>
      </c>
      <c r="AS1611" t="e">
        <f>_xlfn.XLOOKUP(A1611,[3]Sheet1!$B:$B,[3]Sheet1!$B:$B)</f>
        <v>#N/A</v>
      </c>
    </row>
    <row r="1612" spans="1:45" x14ac:dyDescent="0.25">
      <c r="A1612" s="1" t="s">
        <v>4552</v>
      </c>
      <c r="B1612" s="2" t="s">
        <v>552</v>
      </c>
      <c r="C1612" s="1" t="s">
        <v>4562</v>
      </c>
      <c r="D1612" s="2" t="s">
        <v>554</v>
      </c>
      <c r="E1612" s="2">
        <v>1</v>
      </c>
      <c r="F1612" s="1" t="str">
        <f>VLOOKUP(H1612,'RM Used'!A:B,2,0)</f>
        <v>3566CS</v>
      </c>
      <c r="G1612" s="1" t="str">
        <f>IFERROR(VLOOKUP(F1612,'RM Cost'!A:B,2,0),"")</f>
        <v>PEPPERS RED X 5KG</v>
      </c>
      <c r="H1612" s="2" t="s">
        <v>1411</v>
      </c>
      <c r="I1612" s="1" t="str">
        <f>VLOOKUP(F1612,'RM Used'!B:D,3,0)</f>
        <v>RM-FOOD</v>
      </c>
      <c r="J1612" s="66">
        <v>1</v>
      </c>
      <c r="K1612" s="35">
        <f t="shared" ref="K1612:K1674" si="509">IF(I1612="RM-FOOD",J1612*E1612,"")</f>
        <v>1</v>
      </c>
      <c r="L1612" s="35">
        <f t="shared" si="499"/>
        <v>1</v>
      </c>
      <c r="M1612" s="77" cm="1">
        <f t="array" ref="M1612">_xlfn.IFS(BOM!I1612="RM-PACKING","100%",B1612="Reynolds",VLOOKUP(H1612,'Yield &amp; Time'!A:V,22,0),BOM!B1612="Dnata",VLOOKUP(BOM!H1612,'Yield &amp; Time'!A:M,13,0),B1612="NK",VLOOKUP(H1612,'Yield &amp; Time'!A:X,24,0))</f>
        <v>0.44</v>
      </c>
      <c r="N1612" s="35">
        <f t="shared" si="497"/>
        <v>2.2727272727272729</v>
      </c>
      <c r="O1612" s="1" t="str">
        <f>VLOOKUP(H1612,'RM Used'!A:E,5,0)</f>
        <v>KG</v>
      </c>
      <c r="P1612" s="11">
        <f>VLOOKUP(H1612,'RM Used'!A:F,6,0)</f>
        <v>1.72</v>
      </c>
      <c r="Q1612" s="11">
        <f t="shared" si="508"/>
        <v>3.9090909090909092</v>
      </c>
      <c r="R1612" s="11">
        <f>IFERROR(IF(B1612="Reynolds",VLOOKUP(H1612,'Yield &amp; Time'!A:U,21,0),VLOOKUP(H1612,'Yield &amp; Time'!A:L,12,0)),0)</f>
        <v>6</v>
      </c>
      <c r="S1612" s="11">
        <f t="shared" si="500"/>
        <v>2.0309999999999997</v>
      </c>
      <c r="T1612" s="11">
        <f t="shared" si="501"/>
        <v>0.1</v>
      </c>
      <c r="U1612" s="11">
        <f>IF(A1611=A1612,0,VLOOKUP(A1612,'Packing Time'!A:F,6,0))</f>
        <v>0.64500000000000002</v>
      </c>
      <c r="V1612" s="11">
        <f t="shared" si="486"/>
        <v>0.21833249999999998</v>
      </c>
      <c r="W1612" s="11">
        <f t="shared" si="487"/>
        <v>1.0750000000000001E-2</v>
      </c>
      <c r="X1612" s="11">
        <f t="shared" si="502"/>
        <v>3.5989319999999996</v>
      </c>
      <c r="Y1612" s="11">
        <f t="shared" si="488"/>
        <v>3.5989319999999996</v>
      </c>
      <c r="Z1612" s="37">
        <v>1</v>
      </c>
      <c r="AA1612" s="36">
        <f t="shared" si="503"/>
        <v>2.2727272727272729</v>
      </c>
      <c r="AB1612" s="11">
        <f t="shared" si="504"/>
        <v>3.9090909090909092</v>
      </c>
      <c r="AC1612" s="11">
        <f t="shared" si="505"/>
        <v>0.1772</v>
      </c>
      <c r="AD1612" s="36">
        <f t="shared" si="489"/>
        <v>3.5989319999999996</v>
      </c>
      <c r="AE1612" s="36"/>
      <c r="AF1612" s="36">
        <f>IFERROR(VLOOKUP(AE1612,'Chemical Cost'!A:D,4,0),0)</f>
        <v>0</v>
      </c>
      <c r="AG1612" s="114">
        <f t="shared" si="506"/>
        <v>0</v>
      </c>
      <c r="AH1612" s="36">
        <f t="shared" si="485"/>
        <v>0</v>
      </c>
      <c r="AI1612" s="36">
        <f t="shared" si="498"/>
        <v>7.5080229090909087</v>
      </c>
      <c r="AJ1612" s="36">
        <f>IFERROR(VLOOKUP(A1612,'All Products'!A:F,6,0),0)</f>
        <v>11.2</v>
      </c>
      <c r="AL1612" s="23">
        <v>0.8</v>
      </c>
      <c r="AM1612" s="23">
        <v>0.2</v>
      </c>
      <c r="AN1612" s="54" t="e">
        <v>#N/A</v>
      </c>
      <c r="AP1612" s="4">
        <v>1.6</v>
      </c>
      <c r="AQ1612" s="111">
        <f t="shared" si="507"/>
        <v>0.1772</v>
      </c>
      <c r="AR1612">
        <f>_xlfn.XLOOKUP(F1612,'RM Cost'!A:A,'RM Cost'!S:S)</f>
        <v>0</v>
      </c>
      <c r="AS1612" t="e">
        <f>_xlfn.XLOOKUP(A1612,[3]Sheet1!$B:$B,[3]Sheet1!$B:$B)</f>
        <v>#N/A</v>
      </c>
    </row>
    <row r="1613" spans="1:45" x14ac:dyDescent="0.25">
      <c r="A1613" s="1" t="s">
        <v>4552</v>
      </c>
      <c r="B1613" s="2" t="s">
        <v>552</v>
      </c>
      <c r="C1613" s="1" t="s">
        <v>4562</v>
      </c>
      <c r="D1613" s="2" t="s">
        <v>554</v>
      </c>
      <c r="E1613" s="2">
        <v>1</v>
      </c>
      <c r="F1613" s="1" t="str">
        <f>VLOOKUP(H1613,'RM Used'!A:B,2,0)</f>
        <v>P0008</v>
      </c>
      <c r="G1613" s="1" t="str">
        <f>IFERROR(VLOOKUP(F1613,'RM Cost'!A:B,2,0),"")</f>
        <v>PALE BLUE BAG 470X750MM</v>
      </c>
      <c r="H1613" s="2" t="s">
        <v>1323</v>
      </c>
      <c r="I1613" s="1" t="str">
        <f>VLOOKUP(F1613,'RM Used'!B:D,3,0)</f>
        <v>RM-PACKING</v>
      </c>
      <c r="J1613" s="66">
        <v>1</v>
      </c>
      <c r="K1613" s="35" t="str">
        <f t="shared" si="509"/>
        <v/>
      </c>
      <c r="L1613" s="35">
        <f t="shared" si="499"/>
        <v>0</v>
      </c>
      <c r="M1613" s="77" t="str" cm="1">
        <f t="array" ref="M1613">_xlfn.IFS(BOM!I1613="RM-PACKING","100%",B1613="Reynolds",VLOOKUP(H1613,'Yield &amp; Time'!A:V,22,0),BOM!B1613="Dnata",VLOOKUP(BOM!H1613,'Yield &amp; Time'!A:M,13,0),B1613="NK",VLOOKUP(H1613,'Yield &amp; Time'!A:X,24,0))</f>
        <v>100%</v>
      </c>
      <c r="N1613" s="35">
        <f t="shared" si="497"/>
        <v>1</v>
      </c>
      <c r="O1613" s="1" t="str">
        <f>VLOOKUP(H1613,'RM Used'!A:E,5,0)</f>
        <v>Count</v>
      </c>
      <c r="P1613" s="11">
        <f>VLOOKUP(H1613,'RM Used'!A:F,6,0)</f>
        <v>0.14000000000000001</v>
      </c>
      <c r="Q1613" s="11">
        <f t="shared" si="508"/>
        <v>0.14000000000000001</v>
      </c>
      <c r="R1613" s="11">
        <f>IFERROR(IF(B1613="Reynolds",VLOOKUP(H1613,'Yield &amp; Time'!A:U,21,0),VLOOKUP(H1613,'Yield &amp; Time'!A:L,12,0)),0)</f>
        <v>0</v>
      </c>
      <c r="S1613" s="11">
        <f t="shared" si="500"/>
        <v>0</v>
      </c>
      <c r="T1613" s="11">
        <f t="shared" si="501"/>
        <v>0</v>
      </c>
      <c r="U1613" s="11">
        <f>IF(A1612=A1613,0,VLOOKUP(A1613,'Packing Time'!A:F,6,0))</f>
        <v>0</v>
      </c>
      <c r="V1613" s="11">
        <f t="shared" si="486"/>
        <v>0</v>
      </c>
      <c r="W1613" s="11">
        <f t="shared" si="487"/>
        <v>0</v>
      </c>
      <c r="X1613" s="11">
        <f t="shared" si="502"/>
        <v>0</v>
      </c>
      <c r="Y1613" s="11">
        <f t="shared" si="488"/>
        <v>0</v>
      </c>
      <c r="Z1613" s="37">
        <v>1</v>
      </c>
      <c r="AA1613" s="36">
        <f t="shared" si="503"/>
        <v>1</v>
      </c>
      <c r="AB1613" s="11">
        <f t="shared" si="504"/>
        <v>0.14000000000000001</v>
      </c>
      <c r="AC1613" s="11">
        <f t="shared" si="505"/>
        <v>0</v>
      </c>
      <c r="AD1613" s="36">
        <f t="shared" si="489"/>
        <v>0</v>
      </c>
      <c r="AE1613" s="36"/>
      <c r="AF1613" s="36">
        <f>IFERROR(VLOOKUP(AE1613,'Chemical Cost'!A:D,4,0),0)</f>
        <v>0</v>
      </c>
      <c r="AG1613" s="114">
        <f t="shared" si="506"/>
        <v>0</v>
      </c>
      <c r="AH1613" s="36">
        <f t="shared" si="485"/>
        <v>0</v>
      </c>
      <c r="AI1613" s="36">
        <f t="shared" si="498"/>
        <v>0.14000000000000001</v>
      </c>
      <c r="AJ1613" s="36">
        <f>IFERROR(VLOOKUP(A1613,'All Products'!A:F,6,0),0)</f>
        <v>11.2</v>
      </c>
      <c r="AL1613" s="23">
        <v>0.8</v>
      </c>
      <c r="AM1613" s="23">
        <v>0.2</v>
      </c>
      <c r="AN1613" s="54"/>
      <c r="AP1613" s="4">
        <v>1.6</v>
      </c>
      <c r="AQ1613" s="111">
        <f t="shared" si="507"/>
        <v>0</v>
      </c>
      <c r="AR1613">
        <f>_xlfn.XLOOKUP(F1613,'RM Cost'!A:A,'RM Cost'!S:S)</f>
        <v>0</v>
      </c>
      <c r="AS1613" t="e">
        <f>_xlfn.XLOOKUP(A1613,[3]Sheet1!$B:$B,[3]Sheet1!$B:$B)</f>
        <v>#N/A</v>
      </c>
    </row>
    <row r="1614" spans="1:45" x14ac:dyDescent="0.25">
      <c r="A1614" s="1" t="s">
        <v>4552</v>
      </c>
      <c r="B1614" s="2" t="s">
        <v>552</v>
      </c>
      <c r="C1614" s="1" t="s">
        <v>4562</v>
      </c>
      <c r="D1614" s="2" t="s">
        <v>554</v>
      </c>
      <c r="E1614" s="2">
        <v>1</v>
      </c>
      <c r="F1614" s="1" t="str">
        <f>VLOOKUP(H1614,'RM Used'!A:B,2,0)</f>
        <v>P0016</v>
      </c>
      <c r="G1614" s="1" t="str">
        <f>IFERROR(VLOOKUP(F1614,'RM Cost'!A:B,2,0),"")</f>
        <v>REY 40 30 BOX</v>
      </c>
      <c r="H1614" s="2" t="s">
        <v>1332</v>
      </c>
      <c r="I1614" s="1" t="str">
        <f>VLOOKUP(F1614,'RM Used'!B:D,3,0)</f>
        <v>RM-PACKING</v>
      </c>
      <c r="J1614" s="66">
        <v>1</v>
      </c>
      <c r="K1614" s="35" t="str">
        <f t="shared" si="509"/>
        <v/>
      </c>
      <c r="L1614" s="35">
        <f t="shared" si="499"/>
        <v>0</v>
      </c>
      <c r="M1614" s="77" t="str" cm="1">
        <f t="array" ref="M1614">_xlfn.IFS(BOM!I1614="RM-PACKING","100%",B1614="Reynolds",VLOOKUP(H1614,'Yield &amp; Time'!A:V,22,0),BOM!B1614="Dnata",VLOOKUP(BOM!H1614,'Yield &amp; Time'!A:M,13,0),B1614="NK",VLOOKUP(H1614,'Yield &amp; Time'!A:X,24,0))</f>
        <v>100%</v>
      </c>
      <c r="N1614" s="35">
        <f t="shared" si="497"/>
        <v>1</v>
      </c>
      <c r="O1614" s="1" t="str">
        <f>VLOOKUP(H1614,'RM Used'!A:E,5,0)</f>
        <v>Count</v>
      </c>
      <c r="P1614" s="11">
        <f>VLOOKUP(H1614,'RM Used'!A:F,6,0)</f>
        <v>0.28000000000000003</v>
      </c>
      <c r="Q1614" s="11">
        <f t="shared" si="508"/>
        <v>0.28000000000000003</v>
      </c>
      <c r="R1614" s="11">
        <f>IFERROR(IF(B1614="Reynolds",VLOOKUP(H1614,'Yield &amp; Time'!A:U,21,0),VLOOKUP(H1614,'Yield &amp; Time'!A:L,12,0)),0)</f>
        <v>0</v>
      </c>
      <c r="S1614" s="11">
        <f t="shared" si="500"/>
        <v>0</v>
      </c>
      <c r="T1614" s="11">
        <f t="shared" si="501"/>
        <v>0</v>
      </c>
      <c r="U1614" s="11">
        <f>IF(A1613=A1614,0,VLOOKUP(A1614,'Packing Time'!A:F,6,0))</f>
        <v>0</v>
      </c>
      <c r="V1614" s="11">
        <f t="shared" si="486"/>
        <v>0</v>
      </c>
      <c r="W1614" s="11">
        <f t="shared" si="487"/>
        <v>0</v>
      </c>
      <c r="X1614" s="11">
        <f t="shared" si="502"/>
        <v>0</v>
      </c>
      <c r="Y1614" s="11">
        <f t="shared" si="488"/>
        <v>0</v>
      </c>
      <c r="Z1614" s="37">
        <v>1</v>
      </c>
      <c r="AA1614" s="36">
        <f t="shared" si="503"/>
        <v>1</v>
      </c>
      <c r="AB1614" s="11">
        <f t="shared" si="504"/>
        <v>0.28000000000000003</v>
      </c>
      <c r="AC1614" s="11">
        <f t="shared" si="505"/>
        <v>0</v>
      </c>
      <c r="AD1614" s="36">
        <f t="shared" si="489"/>
        <v>0</v>
      </c>
      <c r="AE1614" s="36"/>
      <c r="AF1614" s="36">
        <f>IFERROR(VLOOKUP(AE1614,'Chemical Cost'!A:D,4,0),0)</f>
        <v>0</v>
      </c>
      <c r="AG1614" s="114">
        <f t="shared" si="506"/>
        <v>0</v>
      </c>
      <c r="AH1614" s="36">
        <f t="shared" si="485"/>
        <v>0</v>
      </c>
      <c r="AI1614" s="36">
        <f t="shared" si="498"/>
        <v>0.28000000000000003</v>
      </c>
      <c r="AJ1614" s="36">
        <f>IFERROR(VLOOKUP(A1614,'All Products'!A:F,6,0),0)</f>
        <v>11.2</v>
      </c>
      <c r="AL1614" s="23">
        <v>0.8</v>
      </c>
      <c r="AM1614" s="23">
        <v>0.2</v>
      </c>
      <c r="AN1614" s="54"/>
      <c r="AP1614" s="4">
        <v>1.6</v>
      </c>
      <c r="AQ1614" s="111">
        <f t="shared" si="507"/>
        <v>0</v>
      </c>
      <c r="AR1614">
        <f>_xlfn.XLOOKUP(F1614,'RM Cost'!A:A,'RM Cost'!S:S)</f>
        <v>0</v>
      </c>
      <c r="AS1614" t="e">
        <f>_xlfn.XLOOKUP(A1614,[3]Sheet1!$B:$B,[3]Sheet1!$B:$B)</f>
        <v>#N/A</v>
      </c>
    </row>
    <row r="1615" spans="1:45" x14ac:dyDescent="0.25">
      <c r="A1615" s="1" t="s">
        <v>4553</v>
      </c>
      <c r="B1615" s="2" t="s">
        <v>552</v>
      </c>
      <c r="C1615" s="1" t="s">
        <v>4563</v>
      </c>
      <c r="D1615" s="2" t="s">
        <v>554</v>
      </c>
      <c r="E1615" s="2">
        <v>2.5</v>
      </c>
      <c r="F1615" s="1" t="str">
        <f>VLOOKUP(H1615,'RM Used'!A:B,2,0)</f>
        <v>1318CS</v>
      </c>
      <c r="G1615" s="1" t="str">
        <f>IFERROR(VLOOKUP(F1615,'RM Cost'!A:B,2,0),"")</f>
        <v>RM - PREP ONION RED WHOLE 2.5KG</v>
      </c>
      <c r="H1615" s="1" t="s">
        <v>4572</v>
      </c>
      <c r="I1615" s="1" t="str">
        <f>VLOOKUP(F1615,'RM Used'!B:D,3,0)</f>
        <v>RM-FOOD</v>
      </c>
      <c r="J1615" s="66">
        <v>1</v>
      </c>
      <c r="K1615" s="35">
        <f t="shared" si="509"/>
        <v>2.5</v>
      </c>
      <c r="L1615" s="35">
        <f t="shared" si="499"/>
        <v>2.5</v>
      </c>
      <c r="M1615" s="77" cm="1">
        <f t="array" ref="M1615">_xlfn.IFS(BOM!I1615="RM-PACKING","100%",B1615="Reynolds",VLOOKUP(H1615,'Yield &amp; Time'!A:V,22,0),BOM!B1615="Dnata",VLOOKUP(BOM!H1615,'Yield &amp; Time'!A:M,13,0),B1615="NK",VLOOKUP(H1615,'Yield &amp; Time'!A:X,24,0))</f>
        <v>0.873</v>
      </c>
      <c r="N1615" s="35">
        <f t="shared" ref="N1615:N1644" si="510">IFERROR(IF(I1615="RM-FOOD",(E1615*J1615)/M1615,1),0)</f>
        <v>2.86368843069874</v>
      </c>
      <c r="O1615" s="1" t="str">
        <f>VLOOKUP(H1615,'RM Used'!A:E,5,0)</f>
        <v>KG</v>
      </c>
      <c r="P1615" s="11">
        <f>VLOOKUP(H1615,'RM Used'!A:F,6,0)</f>
        <v>1.08</v>
      </c>
      <c r="Q1615" s="11">
        <f t="shared" si="508"/>
        <v>3.0927835051546393</v>
      </c>
      <c r="R1615" s="11" cm="1">
        <f t="array" ref="R1615">IFERROR(_xlfn.IFS(B1615="Reynolds",VLOOKUP(H1615,'Yield &amp; Time'!A:U,21,0),B1615="Dnata",VLOOKUP(H1615,'Yield &amp; Time'!A:L,12,0),B1615="NK",VLOOKUP(H1615,'Yield &amp; Time'!A:W,23,0)),0)</f>
        <v>0.75</v>
      </c>
      <c r="S1615" s="11">
        <f t="shared" si="500"/>
        <v>0.63468749999999996</v>
      </c>
      <c r="T1615" s="11">
        <f t="shared" si="501"/>
        <v>3.125E-2</v>
      </c>
      <c r="U1615" s="11">
        <f>IF(A1614=A1615,0,VLOOKUP(A1615,'Packing Time'!A:F,6,0))</f>
        <v>0.875</v>
      </c>
      <c r="V1615" s="11">
        <f t="shared" si="486"/>
        <v>0.29618749999999999</v>
      </c>
      <c r="W1615" s="11">
        <f t="shared" si="487"/>
        <v>1.4583333333333334E-2</v>
      </c>
      <c r="X1615" s="11">
        <f t="shared" si="502"/>
        <v>1.4893999999999998</v>
      </c>
      <c r="Y1615" s="11">
        <f t="shared" si="488"/>
        <v>1.4893999999999998</v>
      </c>
      <c r="Z1615" s="37">
        <v>1</v>
      </c>
      <c r="AA1615" s="36">
        <f t="shared" si="503"/>
        <v>2.86368843069874</v>
      </c>
      <c r="AB1615" s="11">
        <f t="shared" si="504"/>
        <v>3.0927835051546393</v>
      </c>
      <c r="AC1615" s="11">
        <f t="shared" si="505"/>
        <v>7.3333333333333334E-2</v>
      </c>
      <c r="AD1615" s="36">
        <f t="shared" si="489"/>
        <v>1.4894000000000001</v>
      </c>
      <c r="AE1615" s="36">
        <f>VLOOKUP(H1615,'Yield &amp; Time'!A:I,9,0)</f>
        <v>0</v>
      </c>
      <c r="AF1615" s="36">
        <f>IFERROR(VLOOKUP(AE1615,'Chemical Cost'!A:D,4,0),0)</f>
        <v>0</v>
      </c>
      <c r="AG1615" s="114">
        <f t="shared" si="506"/>
        <v>0</v>
      </c>
      <c r="AH1615" s="36">
        <f t="shared" si="485"/>
        <v>0</v>
      </c>
      <c r="AI1615" s="36">
        <f t="shared" ref="AI1615:AI1644" si="511">IFERROR((Q1615*Z1615)+(Z1615*X1615)+AH1615,0)</f>
        <v>4.5821835051546387</v>
      </c>
      <c r="AJ1615" s="36">
        <f>IFERROR(VLOOKUP(A1615,'All Products'!A:F,6,0),0)</f>
        <v>7.8</v>
      </c>
      <c r="AK1615" s="36"/>
      <c r="AL1615" s="23">
        <v>1</v>
      </c>
      <c r="AP1615" s="4">
        <v>1.6</v>
      </c>
      <c r="AQ1615" s="111">
        <f t="shared" si="507"/>
        <v>7.3333333333333334E-2</v>
      </c>
      <c r="AR1615">
        <f>_xlfn.XLOOKUP(F1615,'RM Cost'!A:A,'RM Cost'!S:S)</f>
        <v>0</v>
      </c>
      <c r="AS1615" t="e">
        <f>_xlfn.XLOOKUP(A1615,[3]Sheet1!$B:$B,[3]Sheet1!$B:$B)</f>
        <v>#N/A</v>
      </c>
    </row>
    <row r="1616" spans="1:45" x14ac:dyDescent="0.25">
      <c r="A1616" s="1" t="s">
        <v>4553</v>
      </c>
      <c r="B1616" s="2" t="s">
        <v>552</v>
      </c>
      <c r="C1616" s="1" t="s">
        <v>4563</v>
      </c>
      <c r="D1616" s="2" t="s">
        <v>554</v>
      </c>
      <c r="E1616" s="2">
        <v>2.5</v>
      </c>
      <c r="F1616" s="1" t="str">
        <f>VLOOKUP(H1616,'RM Used'!A:B,2,0)</f>
        <v>P0008</v>
      </c>
      <c r="G1616" s="1" t="str">
        <f>IFERROR(VLOOKUP(F1616,'RM Cost'!A:B,2,0),"")</f>
        <v>PALE BLUE BAG 470X750MM</v>
      </c>
      <c r="H1616" s="1" t="s">
        <v>1323</v>
      </c>
      <c r="I1616" s="1" t="str">
        <f>VLOOKUP(F1616,'RM Used'!B:D,3,0)</f>
        <v>RM-PACKING</v>
      </c>
      <c r="J1616" s="66">
        <v>1</v>
      </c>
      <c r="K1616" s="35" t="str">
        <f t="shared" si="509"/>
        <v/>
      </c>
      <c r="L1616" s="35">
        <f t="shared" si="499"/>
        <v>0</v>
      </c>
      <c r="M1616" s="77" t="str" cm="1">
        <f t="array" ref="M1616">_xlfn.IFS(BOM!I1616="RM-PACKING","100%",B1616="Reynolds",VLOOKUP(H1616,'Yield &amp; Time'!A:V,22,0),BOM!B1616="Dnata",VLOOKUP(BOM!H1616,'Yield &amp; Time'!A:M,13,0),B1616="NK",VLOOKUP(H1616,'Yield &amp; Time'!A:X,24,0))</f>
        <v>100%</v>
      </c>
      <c r="N1616" s="35">
        <f t="shared" si="510"/>
        <v>1</v>
      </c>
      <c r="O1616" s="1" t="str">
        <f>VLOOKUP(H1616,'RM Used'!A:E,5,0)</f>
        <v>Count</v>
      </c>
      <c r="P1616" s="11">
        <f>VLOOKUP(H1616,'RM Used'!A:F,6,0)</f>
        <v>0.14000000000000001</v>
      </c>
      <c r="Q1616" s="11">
        <f t="shared" si="508"/>
        <v>0.14000000000000001</v>
      </c>
      <c r="R1616" s="11" cm="1">
        <f t="array" ref="R1616">IFERROR(_xlfn.IFS(B1616="Reynolds",VLOOKUP(H1616,'Yield &amp; Time'!A:U,21,0),B1616="Dnata",VLOOKUP(H1616,'Yield &amp; Time'!A:L,12,0),B1616="NK",VLOOKUP(H1616,'Yield &amp; Time'!A:W,23,0)),0)</f>
        <v>0</v>
      </c>
      <c r="S1616" s="11">
        <f t="shared" si="500"/>
        <v>0</v>
      </c>
      <c r="T1616" s="11">
        <f t="shared" si="501"/>
        <v>0</v>
      </c>
      <c r="U1616" s="11">
        <f>IF(A1615=A1616,0,VLOOKUP(A1616,'Packing Time'!A:F,6,0))</f>
        <v>0</v>
      </c>
      <c r="V1616" s="11">
        <f t="shared" si="486"/>
        <v>0</v>
      </c>
      <c r="W1616" s="11">
        <f t="shared" si="487"/>
        <v>0</v>
      </c>
      <c r="X1616" s="11">
        <f t="shared" si="502"/>
        <v>0</v>
      </c>
      <c r="Y1616" s="11">
        <f t="shared" si="488"/>
        <v>0</v>
      </c>
      <c r="Z1616" s="37">
        <v>1</v>
      </c>
      <c r="AA1616" s="36">
        <f t="shared" si="503"/>
        <v>1</v>
      </c>
      <c r="AB1616" s="11">
        <f t="shared" si="504"/>
        <v>0.14000000000000001</v>
      </c>
      <c r="AC1616" s="11">
        <f t="shared" si="505"/>
        <v>0</v>
      </c>
      <c r="AD1616" s="36">
        <f t="shared" si="489"/>
        <v>0</v>
      </c>
      <c r="AE1616" s="36"/>
      <c r="AF1616" s="36">
        <f>IFERROR(VLOOKUP(AE1616,'Chemical Cost'!A:D,4,0),0)</f>
        <v>0</v>
      </c>
      <c r="AG1616" s="114">
        <f t="shared" si="506"/>
        <v>0</v>
      </c>
      <c r="AH1616" s="36">
        <f t="shared" si="485"/>
        <v>0</v>
      </c>
      <c r="AI1616" s="36">
        <f t="shared" si="511"/>
        <v>0.14000000000000001</v>
      </c>
      <c r="AJ1616" s="36">
        <f>IFERROR(VLOOKUP(A1616,'All Products'!A:F,6,0),0)</f>
        <v>7.8</v>
      </c>
      <c r="AK1616" s="36"/>
      <c r="AL1616" s="23">
        <v>1</v>
      </c>
      <c r="AP1616" s="4">
        <v>1.6</v>
      </c>
      <c r="AQ1616" s="111">
        <f t="shared" si="507"/>
        <v>0</v>
      </c>
      <c r="AR1616">
        <f>_xlfn.XLOOKUP(F1616,'RM Cost'!A:A,'RM Cost'!S:S)</f>
        <v>0</v>
      </c>
      <c r="AS1616" t="e">
        <f>_xlfn.XLOOKUP(A1616,[3]Sheet1!$B:$B,[3]Sheet1!$B:$B)</f>
        <v>#N/A</v>
      </c>
    </row>
    <row r="1617" spans="1:45" x14ac:dyDescent="0.25">
      <c r="A1617" s="1" t="s">
        <v>4553</v>
      </c>
      <c r="B1617" s="2" t="s">
        <v>552</v>
      </c>
      <c r="C1617" s="1" t="s">
        <v>4563</v>
      </c>
      <c r="D1617" s="2" t="s">
        <v>554</v>
      </c>
      <c r="E1617" s="2">
        <v>2.5</v>
      </c>
      <c r="F1617" s="1" t="str">
        <f>VLOOKUP(H1617,'RM Used'!A:B,2,0)</f>
        <v>P0016</v>
      </c>
      <c r="G1617" s="1" t="str">
        <f>IFERROR(VLOOKUP(F1617,'RM Cost'!A:B,2,0),"")</f>
        <v>REY 40 30 BOX</v>
      </c>
      <c r="H1617" s="1" t="s">
        <v>1332</v>
      </c>
      <c r="I1617" s="1" t="str">
        <f>VLOOKUP(F1617,'RM Used'!B:D,3,0)</f>
        <v>RM-PACKING</v>
      </c>
      <c r="J1617" s="66">
        <v>1</v>
      </c>
      <c r="K1617" s="35" t="str">
        <f t="shared" si="509"/>
        <v/>
      </c>
      <c r="L1617" s="35">
        <f t="shared" si="499"/>
        <v>0</v>
      </c>
      <c r="M1617" s="77" t="str" cm="1">
        <f t="array" ref="M1617">_xlfn.IFS(BOM!I1617="RM-PACKING","100%",B1617="Reynolds",VLOOKUP(H1617,'Yield &amp; Time'!A:V,22,0),BOM!B1617="Dnata",VLOOKUP(BOM!H1617,'Yield &amp; Time'!A:M,13,0),B1617="NK",VLOOKUP(H1617,'Yield &amp; Time'!A:X,24,0))</f>
        <v>100%</v>
      </c>
      <c r="N1617" s="35">
        <f t="shared" si="510"/>
        <v>1</v>
      </c>
      <c r="O1617" s="1" t="str">
        <f>VLOOKUP(H1617,'RM Used'!A:E,5,0)</f>
        <v>Count</v>
      </c>
      <c r="P1617" s="11">
        <f>VLOOKUP(H1617,'RM Used'!A:F,6,0)</f>
        <v>0.28000000000000003</v>
      </c>
      <c r="Q1617" s="11">
        <f t="shared" si="508"/>
        <v>0.28000000000000003</v>
      </c>
      <c r="R1617" s="11" cm="1">
        <f t="array" ref="R1617">IFERROR(_xlfn.IFS(B1617="Reynolds",VLOOKUP(H1617,'Yield &amp; Time'!A:U,21,0),B1617="Dnata",VLOOKUP(H1617,'Yield &amp; Time'!A:L,12,0),B1617="NK",VLOOKUP(H1617,'Yield &amp; Time'!A:W,23,0)),0)</f>
        <v>0</v>
      </c>
      <c r="S1617" s="11">
        <f t="shared" si="500"/>
        <v>0</v>
      </c>
      <c r="T1617" s="11">
        <f t="shared" si="501"/>
        <v>0</v>
      </c>
      <c r="U1617" s="11">
        <f>IF(A1616=A1617,0,VLOOKUP(A1617,'Packing Time'!A:F,6,0))</f>
        <v>0</v>
      </c>
      <c r="V1617" s="11">
        <f t="shared" si="486"/>
        <v>0</v>
      </c>
      <c r="W1617" s="11">
        <f t="shared" si="487"/>
        <v>0</v>
      </c>
      <c r="X1617" s="11">
        <f t="shared" si="502"/>
        <v>0</v>
      </c>
      <c r="Y1617" s="11">
        <f t="shared" si="488"/>
        <v>0</v>
      </c>
      <c r="Z1617" s="37">
        <v>1</v>
      </c>
      <c r="AA1617" s="36">
        <f t="shared" si="503"/>
        <v>1</v>
      </c>
      <c r="AB1617" s="11">
        <f t="shared" si="504"/>
        <v>0.28000000000000003</v>
      </c>
      <c r="AC1617" s="11">
        <f t="shared" si="505"/>
        <v>0</v>
      </c>
      <c r="AD1617" s="36">
        <f t="shared" si="489"/>
        <v>0</v>
      </c>
      <c r="AE1617" s="36"/>
      <c r="AF1617" s="36">
        <f>IFERROR(VLOOKUP(AE1617,'Chemical Cost'!A:D,4,0),0)</f>
        <v>0</v>
      </c>
      <c r="AG1617" s="114">
        <f t="shared" si="506"/>
        <v>0</v>
      </c>
      <c r="AH1617" s="36">
        <f t="shared" si="485"/>
        <v>0</v>
      </c>
      <c r="AI1617" s="36">
        <f t="shared" si="511"/>
        <v>0.28000000000000003</v>
      </c>
      <c r="AJ1617" s="36">
        <f>IFERROR(VLOOKUP(A1617,'All Products'!A:F,6,0),0)</f>
        <v>7.8</v>
      </c>
      <c r="AK1617" s="36"/>
      <c r="AL1617" s="23">
        <v>1</v>
      </c>
      <c r="AP1617" s="4">
        <v>1.6</v>
      </c>
      <c r="AQ1617" s="111">
        <f t="shared" si="507"/>
        <v>0</v>
      </c>
      <c r="AR1617">
        <f>_xlfn.XLOOKUP(F1617,'RM Cost'!A:A,'RM Cost'!S:S)</f>
        <v>0</v>
      </c>
      <c r="AS1617" t="e">
        <f>_xlfn.XLOOKUP(A1617,[3]Sheet1!$B:$B,[3]Sheet1!$B:$B)</f>
        <v>#N/A</v>
      </c>
    </row>
    <row r="1618" spans="1:45" x14ac:dyDescent="0.25">
      <c r="A1618" s="1" t="s">
        <v>4554</v>
      </c>
      <c r="B1618" s="2" t="s">
        <v>552</v>
      </c>
      <c r="C1618" s="1" t="s">
        <v>4564</v>
      </c>
      <c r="D1618" s="2" t="s">
        <v>554</v>
      </c>
      <c r="E1618" s="2">
        <v>1</v>
      </c>
      <c r="F1618" s="1" t="str">
        <f>VLOOKUP(H1618,'RM Used'!A:B,2,0)</f>
        <v>024BCS</v>
      </c>
      <c r="G1618" s="1" t="str">
        <f>IFERROR(VLOOKUP(F1618,'RM Cost'!A:B,2,0),"")</f>
        <v>RM - MUSHROOM BUTTON 30-40M 3KG</v>
      </c>
      <c r="H1618" s="2" t="s">
        <v>1530</v>
      </c>
      <c r="I1618" s="1" t="str">
        <f>VLOOKUP(F1618,'RM Used'!B:D,3,0)</f>
        <v>RM-FOOD</v>
      </c>
      <c r="J1618" s="66">
        <v>1</v>
      </c>
      <c r="K1618" s="35">
        <f t="shared" si="509"/>
        <v>1</v>
      </c>
      <c r="L1618" s="35">
        <f t="shared" si="499"/>
        <v>1</v>
      </c>
      <c r="M1618" s="77" cm="1">
        <f t="array" ref="M1618">_xlfn.IFS(BOM!I1618="RM-PACKING","100%",B1618="Reynolds",VLOOKUP(H1618,'Yield &amp; Time'!A:V,22,0),BOM!B1618="Dnata",VLOOKUP(BOM!H1618,'Yield &amp; Time'!A:M,13,0),B1618="NK",VLOOKUP(H1618,'Yield &amp; Time'!A:X,24,0))</f>
        <v>0.88</v>
      </c>
      <c r="N1618" s="35">
        <f t="shared" si="510"/>
        <v>1.1363636363636365</v>
      </c>
      <c r="O1618" s="1" t="str">
        <f>VLOOKUP(H1618,'RM Used'!A:E,5,0)</f>
        <v>KG</v>
      </c>
      <c r="P1618" s="11">
        <f>VLOOKUP(H1618,'RM Used'!A:F,6,0)</f>
        <v>1.85</v>
      </c>
      <c r="Q1618" s="11">
        <f t="shared" si="508"/>
        <v>2.1022727272727275</v>
      </c>
      <c r="R1618" s="11" cm="1">
        <f t="array" ref="R1618">IFERROR(_xlfn.IFS(B1618="Reynolds",VLOOKUP(H1618,'Yield &amp; Time'!A:U,21,0),B1618="Dnata",VLOOKUP(H1618,'Yield &amp; Time'!A:L,12,0),B1618="NK",VLOOKUP(H1618,'Yield &amp; Time'!A:W,23,0)),0)</f>
        <v>5.6818181818181817</v>
      </c>
      <c r="S1618" s="11">
        <f t="shared" si="500"/>
        <v>1.9232954545454544</v>
      </c>
      <c r="T1618" s="11">
        <f t="shared" si="501"/>
        <v>9.4696969696969696E-2</v>
      </c>
      <c r="U1618" s="11">
        <f>IF(A1617=A1618,0,VLOOKUP(A1618,'Packing Time'!A:F,6,0))</f>
        <v>0.64500000000000002</v>
      </c>
      <c r="V1618" s="11">
        <f t="shared" si="486"/>
        <v>0.21833249999999998</v>
      </c>
      <c r="W1618" s="11">
        <f t="shared" si="487"/>
        <v>1.0750000000000001E-2</v>
      </c>
      <c r="X1618" s="11">
        <f t="shared" si="502"/>
        <v>3.4266047272727267</v>
      </c>
      <c r="Y1618" s="11">
        <f t="shared" si="488"/>
        <v>3.4266047272727267</v>
      </c>
      <c r="Z1618" s="37">
        <v>1</v>
      </c>
      <c r="AA1618" s="36">
        <f t="shared" si="503"/>
        <v>1.1363636363636365</v>
      </c>
      <c r="AB1618" s="11">
        <f t="shared" si="504"/>
        <v>2.1022727272727275</v>
      </c>
      <c r="AC1618" s="11">
        <f t="shared" si="505"/>
        <v>0.16871515151515151</v>
      </c>
      <c r="AD1618" s="36">
        <f t="shared" si="489"/>
        <v>3.4266047272727267</v>
      </c>
      <c r="AE1618" s="36"/>
      <c r="AF1618" s="36">
        <f>IFERROR(VLOOKUP(AE1618,'Chemical Cost'!A:D,4,0),0)</f>
        <v>0</v>
      </c>
      <c r="AG1618" s="114">
        <f t="shared" si="506"/>
        <v>0</v>
      </c>
      <c r="AH1618" s="36">
        <f t="shared" si="485"/>
        <v>0</v>
      </c>
      <c r="AI1618" s="36">
        <f t="shared" si="511"/>
        <v>5.5288774545454542</v>
      </c>
      <c r="AJ1618" s="36">
        <f>IFERROR(VLOOKUP(A1618,'All Products'!A:F,6,0),0)</f>
        <v>7.4</v>
      </c>
      <c r="AK1618" s="36"/>
      <c r="AL1618" s="23">
        <v>1</v>
      </c>
      <c r="AP1618" s="4">
        <v>1.6</v>
      </c>
      <c r="AQ1618" s="111">
        <f t="shared" si="507"/>
        <v>0.16871515151515151</v>
      </c>
      <c r="AR1618">
        <f>_xlfn.XLOOKUP(F1618,'RM Cost'!A:A,'RM Cost'!S:S)</f>
        <v>0</v>
      </c>
      <c r="AS1618" t="e">
        <f>_xlfn.XLOOKUP(A1618,[3]Sheet1!$B:$B,[3]Sheet1!$B:$B)</f>
        <v>#N/A</v>
      </c>
    </row>
    <row r="1619" spans="1:45" x14ac:dyDescent="0.25">
      <c r="A1619" s="1" t="s">
        <v>4554</v>
      </c>
      <c r="B1619" s="2" t="s">
        <v>552</v>
      </c>
      <c r="C1619" s="1" t="s">
        <v>4564</v>
      </c>
      <c r="D1619" s="2" t="s">
        <v>554</v>
      </c>
      <c r="E1619" s="2">
        <v>1</v>
      </c>
      <c r="F1619" s="1" t="str">
        <f>VLOOKUP(H1619,'RM Used'!A:B,2,0)</f>
        <v>P0008</v>
      </c>
      <c r="G1619" s="1" t="str">
        <f>IFERROR(VLOOKUP(F1619,'RM Cost'!A:B,2,0),"")</f>
        <v>PALE BLUE BAG 470X750MM</v>
      </c>
      <c r="H1619" s="2" t="s">
        <v>1323</v>
      </c>
      <c r="I1619" s="1" t="str">
        <f>VLOOKUP(F1619,'RM Used'!B:D,3,0)</f>
        <v>RM-PACKING</v>
      </c>
      <c r="J1619" s="66">
        <v>1</v>
      </c>
      <c r="K1619" s="35" t="str">
        <f t="shared" si="509"/>
        <v/>
      </c>
      <c r="L1619" s="35">
        <f t="shared" si="499"/>
        <v>0</v>
      </c>
      <c r="M1619" s="77" t="str" cm="1">
        <f t="array" ref="M1619">_xlfn.IFS(BOM!I1619="RM-PACKING","100%",B1619="Reynolds",VLOOKUP(H1619,'Yield &amp; Time'!A:V,22,0),BOM!B1619="Dnata",VLOOKUP(BOM!H1619,'Yield &amp; Time'!A:M,13,0),B1619="NK",VLOOKUP(H1619,'Yield &amp; Time'!A:X,24,0))</f>
        <v>100%</v>
      </c>
      <c r="N1619" s="35">
        <f t="shared" si="510"/>
        <v>1</v>
      </c>
      <c r="O1619" s="1" t="str">
        <f>VLOOKUP(H1619,'RM Used'!A:E,5,0)</f>
        <v>Count</v>
      </c>
      <c r="P1619" s="11">
        <f>VLOOKUP(H1619,'RM Used'!A:F,6,0)</f>
        <v>0.14000000000000001</v>
      </c>
      <c r="Q1619" s="11">
        <f t="shared" si="508"/>
        <v>0.14000000000000001</v>
      </c>
      <c r="R1619" s="11" cm="1">
        <f t="array" ref="R1619">IFERROR(_xlfn.IFS(B1619="Reynolds",VLOOKUP(H1619,'Yield &amp; Time'!A:U,21,0),B1619="Dnata",VLOOKUP(H1619,'Yield &amp; Time'!A:L,12,0),B1619="NK",VLOOKUP(H1619,'Yield &amp; Time'!A:W,23,0)),0)</f>
        <v>0</v>
      </c>
      <c r="S1619" s="11">
        <f t="shared" si="500"/>
        <v>0</v>
      </c>
      <c r="T1619" s="11">
        <f t="shared" si="501"/>
        <v>0</v>
      </c>
      <c r="U1619" s="11">
        <f>IF(A1618=A1619,0,VLOOKUP(A1619,'Packing Time'!A:F,6,0))</f>
        <v>0</v>
      </c>
      <c r="V1619" s="11">
        <f t="shared" si="486"/>
        <v>0</v>
      </c>
      <c r="W1619" s="11">
        <f t="shared" si="487"/>
        <v>0</v>
      </c>
      <c r="X1619" s="11">
        <f t="shared" si="502"/>
        <v>0</v>
      </c>
      <c r="Y1619" s="11">
        <f t="shared" si="488"/>
        <v>0</v>
      </c>
      <c r="Z1619" s="37">
        <v>1</v>
      </c>
      <c r="AA1619" s="36">
        <f t="shared" si="503"/>
        <v>1</v>
      </c>
      <c r="AB1619" s="11">
        <f t="shared" si="504"/>
        <v>0.14000000000000001</v>
      </c>
      <c r="AC1619" s="11">
        <f t="shared" si="505"/>
        <v>0</v>
      </c>
      <c r="AD1619" s="36">
        <f t="shared" si="489"/>
        <v>0</v>
      </c>
      <c r="AE1619" s="36"/>
      <c r="AF1619" s="36">
        <f>IFERROR(VLOOKUP(AE1619,'Chemical Cost'!A:D,4,0),0)</f>
        <v>0</v>
      </c>
      <c r="AG1619" s="114">
        <f t="shared" si="506"/>
        <v>0</v>
      </c>
      <c r="AH1619" s="36">
        <f t="shared" si="485"/>
        <v>0</v>
      </c>
      <c r="AI1619" s="36">
        <f t="shared" si="511"/>
        <v>0.14000000000000001</v>
      </c>
      <c r="AJ1619" s="36">
        <f>IFERROR(VLOOKUP(A1619,'All Products'!A:F,6,0),0)</f>
        <v>7.4</v>
      </c>
      <c r="AK1619" s="36"/>
      <c r="AL1619" s="23">
        <v>1</v>
      </c>
      <c r="AP1619" s="4">
        <v>1.6</v>
      </c>
      <c r="AQ1619" s="111">
        <f t="shared" si="507"/>
        <v>0</v>
      </c>
      <c r="AR1619">
        <f>_xlfn.XLOOKUP(F1619,'RM Cost'!A:A,'RM Cost'!S:S)</f>
        <v>0</v>
      </c>
      <c r="AS1619" t="e">
        <f>_xlfn.XLOOKUP(A1619,[3]Sheet1!$B:$B,[3]Sheet1!$B:$B)</f>
        <v>#N/A</v>
      </c>
    </row>
    <row r="1620" spans="1:45" x14ac:dyDescent="0.25">
      <c r="A1620" s="1" t="s">
        <v>4554</v>
      </c>
      <c r="B1620" s="2" t="s">
        <v>552</v>
      </c>
      <c r="C1620" s="1" t="s">
        <v>4564</v>
      </c>
      <c r="D1620" s="2" t="s">
        <v>554</v>
      </c>
      <c r="E1620" s="2">
        <v>1</v>
      </c>
      <c r="F1620" s="1" t="str">
        <f>VLOOKUP(H1620,'RM Used'!A:B,2,0)</f>
        <v>P0016</v>
      </c>
      <c r="G1620" s="1" t="str">
        <f>IFERROR(VLOOKUP(F1620,'RM Cost'!A:B,2,0),"")</f>
        <v>REY 40 30 BOX</v>
      </c>
      <c r="H1620" s="1" t="s">
        <v>1332</v>
      </c>
      <c r="I1620" s="1" t="str">
        <f>VLOOKUP(F1620,'RM Used'!B:D,3,0)</f>
        <v>RM-PACKING</v>
      </c>
      <c r="J1620" s="66">
        <v>1</v>
      </c>
      <c r="K1620" s="35" t="str">
        <f t="shared" si="509"/>
        <v/>
      </c>
      <c r="L1620" s="35">
        <f t="shared" si="499"/>
        <v>0</v>
      </c>
      <c r="M1620" s="77" t="str" cm="1">
        <f t="array" ref="M1620">_xlfn.IFS(BOM!I1620="RM-PACKING","100%",B1620="Reynolds",VLOOKUP(H1620,'Yield &amp; Time'!A:V,22,0),BOM!B1620="Dnata",VLOOKUP(BOM!H1620,'Yield &amp; Time'!A:M,13,0),B1620="NK",VLOOKUP(H1620,'Yield &amp; Time'!A:X,24,0))</f>
        <v>100%</v>
      </c>
      <c r="N1620" s="35">
        <f t="shared" si="510"/>
        <v>1</v>
      </c>
      <c r="O1620" s="1" t="str">
        <f>VLOOKUP(H1620,'RM Used'!A:E,5,0)</f>
        <v>Count</v>
      </c>
      <c r="P1620" s="11">
        <f>VLOOKUP(H1620,'RM Used'!A:F,6,0)</f>
        <v>0.28000000000000003</v>
      </c>
      <c r="Q1620" s="11">
        <f t="shared" si="508"/>
        <v>0.28000000000000003</v>
      </c>
      <c r="R1620" s="11" cm="1">
        <f t="array" ref="R1620">IFERROR(_xlfn.IFS(B1620="Reynolds",VLOOKUP(H1620,'Yield &amp; Time'!A:U,21,0),B1620="Dnata",VLOOKUP(H1620,'Yield &amp; Time'!A:L,12,0),B1620="NK",VLOOKUP(H1620,'Yield &amp; Time'!A:W,23,0)),0)</f>
        <v>0</v>
      </c>
      <c r="S1620" s="11">
        <f t="shared" si="500"/>
        <v>0</v>
      </c>
      <c r="T1620" s="11">
        <f t="shared" si="501"/>
        <v>0</v>
      </c>
      <c r="U1620" s="11">
        <f>IF(A1619=A1620,0,VLOOKUP(A1620,'Packing Time'!A:F,6,0))</f>
        <v>0</v>
      </c>
      <c r="V1620" s="11">
        <f t="shared" si="486"/>
        <v>0</v>
      </c>
      <c r="W1620" s="11">
        <f t="shared" si="487"/>
        <v>0</v>
      </c>
      <c r="X1620" s="11">
        <f t="shared" si="502"/>
        <v>0</v>
      </c>
      <c r="Y1620" s="11">
        <f t="shared" si="488"/>
        <v>0</v>
      </c>
      <c r="Z1620" s="37">
        <v>1</v>
      </c>
      <c r="AA1620" s="36">
        <f t="shared" si="503"/>
        <v>1</v>
      </c>
      <c r="AB1620" s="11">
        <f t="shared" si="504"/>
        <v>0.28000000000000003</v>
      </c>
      <c r="AC1620" s="11">
        <f t="shared" si="505"/>
        <v>0</v>
      </c>
      <c r="AD1620" s="36">
        <f t="shared" si="489"/>
        <v>0</v>
      </c>
      <c r="AE1620" s="36"/>
      <c r="AF1620" s="36">
        <f>IFERROR(VLOOKUP(AE1620,'Chemical Cost'!A:D,4,0),0)</f>
        <v>0</v>
      </c>
      <c r="AG1620" s="114">
        <f t="shared" si="506"/>
        <v>0</v>
      </c>
      <c r="AH1620" s="36">
        <f t="shared" si="485"/>
        <v>0</v>
      </c>
      <c r="AI1620" s="36">
        <f t="shared" si="511"/>
        <v>0.28000000000000003</v>
      </c>
      <c r="AJ1620" s="36">
        <f>IFERROR(VLOOKUP(A1620,'All Products'!A:F,6,0),0)</f>
        <v>7.4</v>
      </c>
      <c r="AK1620" s="36"/>
      <c r="AL1620" s="23">
        <v>1</v>
      </c>
      <c r="AP1620" s="4">
        <v>1.6</v>
      </c>
      <c r="AQ1620" s="111">
        <f t="shared" si="507"/>
        <v>0</v>
      </c>
      <c r="AR1620">
        <f>_xlfn.XLOOKUP(F1620,'RM Cost'!A:A,'RM Cost'!S:S)</f>
        <v>0</v>
      </c>
      <c r="AS1620" t="e">
        <f>_xlfn.XLOOKUP(A1620,[3]Sheet1!$B:$B,[3]Sheet1!$B:$B)</f>
        <v>#N/A</v>
      </c>
    </row>
    <row r="1621" spans="1:45" x14ac:dyDescent="0.25">
      <c r="A1621" s="1" t="s">
        <v>4555</v>
      </c>
      <c r="B1621" s="2" t="s">
        <v>552</v>
      </c>
      <c r="C1621" s="1" t="s">
        <v>4565</v>
      </c>
      <c r="D1621" s="2" t="s">
        <v>554</v>
      </c>
      <c r="E1621" s="2">
        <v>2.5</v>
      </c>
      <c r="F1621" s="1" t="str">
        <f>VLOOKUP(H1621,'RM Used'!A:B,2,0)</f>
        <v>032ACS</v>
      </c>
      <c r="G1621" s="1" t="str">
        <f>IFERROR(VLOOKUP(F1621,'RM Cost'!A:B,2,0),"")</f>
        <v>RM - LRG PROCESSING CARROT X 1000KG</v>
      </c>
      <c r="H1621" s="2" t="s">
        <v>1433</v>
      </c>
      <c r="I1621" s="1" t="str">
        <f>VLOOKUP(F1621,'RM Used'!B:D,3,0)</f>
        <v>RM-FOOD</v>
      </c>
      <c r="J1621" s="66">
        <v>1</v>
      </c>
      <c r="K1621" s="35">
        <f t="shared" si="509"/>
        <v>2.5</v>
      </c>
      <c r="L1621" s="35">
        <f t="shared" si="499"/>
        <v>2.5</v>
      </c>
      <c r="M1621" s="77" cm="1">
        <f t="array" ref="M1621">_xlfn.IFS(BOM!I1621="RM-PACKING","100%",B1621="Reynolds",VLOOKUP(H1621,'Yield &amp; Time'!A:V,22,0),BOM!B1621="Dnata",VLOOKUP(BOM!H1621,'Yield &amp; Time'!A:M,13,0),B1621="NK",VLOOKUP(H1621,'Yield &amp; Time'!A:X,24,0))</f>
        <v>0.71850998224686213</v>
      </c>
      <c r="N1621" s="35">
        <f t="shared" si="510"/>
        <v>3.4794227801570923</v>
      </c>
      <c r="O1621" s="1" t="str">
        <f>VLOOKUP(H1621,'RM Used'!A:E,5,0)</f>
        <v>KG</v>
      </c>
      <c r="P1621" s="11">
        <f>VLOOKUP(H1621,'RM Used'!A:F,6,0)</f>
        <v>0.38</v>
      </c>
      <c r="Q1621" s="11">
        <f t="shared" si="508"/>
        <v>1.3221806564596952</v>
      </c>
      <c r="R1621" s="11" cm="1">
        <f t="array" ref="R1621">IFERROR(_xlfn.IFS(B1621="Reynolds",VLOOKUP(H1621,'Yield &amp; Time'!A:U,21,0),B1621="Dnata",VLOOKUP(H1621,'Yield &amp; Time'!A:L,12,0),B1621="NK",VLOOKUP(H1621,'Yield &amp; Time'!A:W,23,0)),0)</f>
        <v>1.2415664368267838</v>
      </c>
      <c r="S1621" s="11">
        <f t="shared" si="500"/>
        <v>1.0506755971646655</v>
      </c>
      <c r="T1621" s="11">
        <f t="shared" si="501"/>
        <v>5.1731934867782652E-2</v>
      </c>
      <c r="U1621" s="11">
        <f>IF(A1620=A1621,0,VLOOKUP(A1621,'Packing Time'!A:F,6,0))</f>
        <v>0.875</v>
      </c>
      <c r="V1621" s="11">
        <f t="shared" si="486"/>
        <v>0.29618749999999999</v>
      </c>
      <c r="W1621" s="11">
        <f t="shared" si="487"/>
        <v>1.4583333333333334E-2</v>
      </c>
      <c r="X1621" s="11">
        <f t="shared" si="502"/>
        <v>2.1549809554634649</v>
      </c>
      <c r="Y1621" s="11">
        <f t="shared" si="488"/>
        <v>2.1549809554634649</v>
      </c>
      <c r="Z1621" s="37">
        <v>1</v>
      </c>
      <c r="AA1621" s="36">
        <f t="shared" si="503"/>
        <v>3.4794227801570923</v>
      </c>
      <c r="AB1621" s="11">
        <f t="shared" si="504"/>
        <v>1.3221806564596952</v>
      </c>
      <c r="AC1621" s="11">
        <f t="shared" si="505"/>
        <v>0.10610442912178558</v>
      </c>
      <c r="AD1621" s="36">
        <f t="shared" si="489"/>
        <v>2.1549809554634649</v>
      </c>
      <c r="AE1621" s="36"/>
      <c r="AF1621" s="36">
        <f>IFERROR(VLOOKUP(AE1621,'Chemical Cost'!A:D,4,0),0)</f>
        <v>0</v>
      </c>
      <c r="AG1621" s="114">
        <f t="shared" si="506"/>
        <v>0</v>
      </c>
      <c r="AH1621" s="36">
        <f t="shared" si="485"/>
        <v>0</v>
      </c>
      <c r="AI1621" s="36">
        <f t="shared" si="511"/>
        <v>3.4771616119231599</v>
      </c>
      <c r="AJ1621" s="36">
        <f>IFERROR(VLOOKUP(A1621,'All Products'!A:F,6,0),0)</f>
        <v>5.2</v>
      </c>
      <c r="AK1621" s="36"/>
      <c r="AL1621" s="23">
        <v>1</v>
      </c>
      <c r="AP1621" s="4">
        <v>1.6</v>
      </c>
      <c r="AQ1621" s="111">
        <f t="shared" si="507"/>
        <v>0.10610442912178558</v>
      </c>
      <c r="AR1621">
        <f>_xlfn.XLOOKUP(F1621,'RM Cost'!A:A,'RM Cost'!S:S)</f>
        <v>0</v>
      </c>
      <c r="AS1621" t="e">
        <f>_xlfn.XLOOKUP(A1621,[3]Sheet1!$B:$B,[3]Sheet1!$B:$B)</f>
        <v>#N/A</v>
      </c>
    </row>
    <row r="1622" spans="1:45" x14ac:dyDescent="0.25">
      <c r="A1622" s="1" t="s">
        <v>4555</v>
      </c>
      <c r="B1622" s="2" t="s">
        <v>552</v>
      </c>
      <c r="C1622" s="1" t="s">
        <v>4565</v>
      </c>
      <c r="D1622" s="2" t="s">
        <v>554</v>
      </c>
      <c r="E1622" s="2">
        <v>2.5</v>
      </c>
      <c r="F1622" s="1" t="str">
        <f>VLOOKUP(H1622,'RM Used'!A:B,2,0)</f>
        <v>P0020</v>
      </c>
      <c r="G1622" s="1" t="str">
        <f>IFERROR(VLOOKUP(F1622,'RM Cost'!A:B,2,0),"")</f>
        <v>PALE BLUE BAG 430X430MM</v>
      </c>
      <c r="H1622" s="2" t="s">
        <v>1659</v>
      </c>
      <c r="I1622" s="1" t="str">
        <f>VLOOKUP(F1622,'RM Used'!B:D,3,0)</f>
        <v>RM-PACKING</v>
      </c>
      <c r="J1622" s="66">
        <v>1</v>
      </c>
      <c r="K1622" s="35" t="str">
        <f t="shared" si="509"/>
        <v/>
      </c>
      <c r="L1622" s="35">
        <f t="shared" si="499"/>
        <v>0</v>
      </c>
      <c r="M1622" s="77" t="str" cm="1">
        <f t="array" ref="M1622">_xlfn.IFS(BOM!I1622="RM-PACKING","100%",B1622="Reynolds",VLOOKUP(H1622,'Yield &amp; Time'!A:V,22,0),BOM!B1622="Dnata",VLOOKUP(BOM!H1622,'Yield &amp; Time'!A:M,13,0),B1622="NK",VLOOKUP(H1622,'Yield &amp; Time'!A:X,24,0))</f>
        <v>100%</v>
      </c>
      <c r="N1622" s="35">
        <f t="shared" si="510"/>
        <v>1</v>
      </c>
      <c r="O1622" s="1" t="str">
        <f>VLOOKUP(H1622,'RM Used'!A:E,5,0)</f>
        <v>Count</v>
      </c>
      <c r="P1622" s="11">
        <f>VLOOKUP(H1622,'RM Used'!A:F,6,0)</f>
        <v>0.09</v>
      </c>
      <c r="Q1622" s="11">
        <f t="shared" si="508"/>
        <v>0.09</v>
      </c>
      <c r="R1622" s="11" cm="1">
        <f t="array" ref="R1622">IFERROR(_xlfn.IFS(B1622="Reynolds",VLOOKUP(H1622,'Yield &amp; Time'!A:U,21,0),B1622="Dnata",VLOOKUP(H1622,'Yield &amp; Time'!A:L,12,0),B1622="NK",VLOOKUP(H1622,'Yield &amp; Time'!A:W,23,0)),0)</f>
        <v>0</v>
      </c>
      <c r="S1622" s="11">
        <f t="shared" si="500"/>
        <v>0</v>
      </c>
      <c r="T1622" s="11">
        <f t="shared" si="501"/>
        <v>0</v>
      </c>
      <c r="U1622" s="11">
        <f>IF(A1621=A1622,0,VLOOKUP(A1622,'Packing Time'!A:F,6,0))</f>
        <v>0</v>
      </c>
      <c r="V1622" s="11">
        <f t="shared" si="486"/>
        <v>0</v>
      </c>
      <c r="W1622" s="11">
        <f t="shared" si="487"/>
        <v>0</v>
      </c>
      <c r="X1622" s="11">
        <f t="shared" si="502"/>
        <v>0</v>
      </c>
      <c r="Y1622" s="11">
        <f t="shared" si="488"/>
        <v>0</v>
      </c>
      <c r="Z1622" s="37">
        <v>1</v>
      </c>
      <c r="AA1622" s="36">
        <f t="shared" si="503"/>
        <v>1</v>
      </c>
      <c r="AB1622" s="11">
        <f t="shared" si="504"/>
        <v>0.09</v>
      </c>
      <c r="AC1622" s="11">
        <f t="shared" si="505"/>
        <v>0</v>
      </c>
      <c r="AD1622" s="36">
        <f t="shared" si="489"/>
        <v>0</v>
      </c>
      <c r="AE1622" s="36"/>
      <c r="AF1622" s="36">
        <f>IFERROR(VLOOKUP(AE1622,'Chemical Cost'!A:D,4,0),0)</f>
        <v>0</v>
      </c>
      <c r="AG1622" s="114">
        <f t="shared" si="506"/>
        <v>0</v>
      </c>
      <c r="AH1622" s="36">
        <f t="shared" si="485"/>
        <v>0</v>
      </c>
      <c r="AI1622" s="36">
        <f t="shared" si="511"/>
        <v>0.09</v>
      </c>
      <c r="AJ1622" s="36">
        <f>IFERROR(VLOOKUP(A1622,'All Products'!A:F,6,0),0)</f>
        <v>5.2</v>
      </c>
      <c r="AK1622" s="36"/>
      <c r="AL1622" s="23">
        <v>1</v>
      </c>
      <c r="AP1622" s="4">
        <v>1.6</v>
      </c>
      <c r="AQ1622" s="111">
        <f t="shared" si="507"/>
        <v>0</v>
      </c>
      <c r="AR1622">
        <f>_xlfn.XLOOKUP(F1622,'RM Cost'!A:A,'RM Cost'!S:S)</f>
        <v>0</v>
      </c>
      <c r="AS1622" t="e">
        <f>_xlfn.XLOOKUP(A1622,[3]Sheet1!$B:$B,[3]Sheet1!$B:$B)</f>
        <v>#N/A</v>
      </c>
    </row>
    <row r="1623" spans="1:45" x14ac:dyDescent="0.25">
      <c r="A1623" s="1" t="s">
        <v>4555</v>
      </c>
      <c r="B1623" s="2" t="s">
        <v>552</v>
      </c>
      <c r="C1623" s="1" t="s">
        <v>4565</v>
      </c>
      <c r="D1623" s="2" t="s">
        <v>554</v>
      </c>
      <c r="E1623" s="2">
        <v>2.5</v>
      </c>
      <c r="F1623" s="1" t="str">
        <f>VLOOKUP(H1623,'RM Used'!A:B,2,0)</f>
        <v>P0016</v>
      </c>
      <c r="G1623" s="1" t="str">
        <f>IFERROR(VLOOKUP(F1623,'RM Cost'!A:B,2,0),"")</f>
        <v>REY 40 30 BOX</v>
      </c>
      <c r="H1623" s="1" t="s">
        <v>1332</v>
      </c>
      <c r="I1623" s="1" t="str">
        <f>VLOOKUP(F1623,'RM Used'!B:D,3,0)</f>
        <v>RM-PACKING</v>
      </c>
      <c r="J1623" s="66">
        <v>1</v>
      </c>
      <c r="K1623" s="35" t="str">
        <f t="shared" si="509"/>
        <v/>
      </c>
      <c r="L1623" s="35">
        <f t="shared" si="499"/>
        <v>0</v>
      </c>
      <c r="M1623" s="77" t="str" cm="1">
        <f t="array" ref="M1623">_xlfn.IFS(BOM!I1623="RM-PACKING","100%",B1623="Reynolds",VLOOKUP(H1623,'Yield &amp; Time'!A:V,22,0),BOM!B1623="Dnata",VLOOKUP(BOM!H1623,'Yield &amp; Time'!A:M,13,0),B1623="NK",VLOOKUP(H1623,'Yield &amp; Time'!A:X,24,0))</f>
        <v>100%</v>
      </c>
      <c r="N1623" s="35">
        <f t="shared" si="510"/>
        <v>1</v>
      </c>
      <c r="O1623" s="1" t="str">
        <f>VLOOKUP(H1623,'RM Used'!A:E,5,0)</f>
        <v>Count</v>
      </c>
      <c r="P1623" s="11">
        <f>VLOOKUP(H1623,'RM Used'!A:F,6,0)</f>
        <v>0.28000000000000003</v>
      </c>
      <c r="Q1623" s="11">
        <f t="shared" si="508"/>
        <v>0.28000000000000003</v>
      </c>
      <c r="R1623" s="11" cm="1">
        <f t="array" ref="R1623">IFERROR(_xlfn.IFS(B1623="Reynolds",VLOOKUP(H1623,'Yield &amp; Time'!A:U,21,0),B1623="Dnata",VLOOKUP(H1623,'Yield &amp; Time'!A:L,12,0),B1623="NK",VLOOKUP(H1623,'Yield &amp; Time'!A:W,23,0)),0)</f>
        <v>0</v>
      </c>
      <c r="S1623" s="11">
        <f t="shared" si="500"/>
        <v>0</v>
      </c>
      <c r="T1623" s="11">
        <f t="shared" si="501"/>
        <v>0</v>
      </c>
      <c r="U1623" s="11">
        <f>IF(A1622=A1623,0,VLOOKUP(A1623,'Packing Time'!A:F,6,0))</f>
        <v>0</v>
      </c>
      <c r="V1623" s="11">
        <f t="shared" si="486"/>
        <v>0</v>
      </c>
      <c r="W1623" s="11">
        <f t="shared" si="487"/>
        <v>0</v>
      </c>
      <c r="X1623" s="11">
        <f t="shared" si="502"/>
        <v>0</v>
      </c>
      <c r="Y1623" s="11">
        <f t="shared" si="488"/>
        <v>0</v>
      </c>
      <c r="Z1623" s="37">
        <v>1</v>
      </c>
      <c r="AA1623" s="36">
        <f t="shared" si="503"/>
        <v>1</v>
      </c>
      <c r="AB1623" s="11">
        <f t="shared" si="504"/>
        <v>0.28000000000000003</v>
      </c>
      <c r="AC1623" s="11">
        <f t="shared" si="505"/>
        <v>0</v>
      </c>
      <c r="AD1623" s="36">
        <f t="shared" si="489"/>
        <v>0</v>
      </c>
      <c r="AE1623" s="36"/>
      <c r="AF1623" s="36">
        <f>IFERROR(VLOOKUP(AE1623,'Chemical Cost'!A:D,4,0),0)</f>
        <v>0</v>
      </c>
      <c r="AG1623" s="114">
        <f t="shared" si="506"/>
        <v>0</v>
      </c>
      <c r="AH1623" s="36">
        <f t="shared" si="485"/>
        <v>0</v>
      </c>
      <c r="AI1623" s="36">
        <f t="shared" si="511"/>
        <v>0.28000000000000003</v>
      </c>
      <c r="AJ1623" s="36">
        <f>IFERROR(VLOOKUP(A1623,'All Products'!A:F,6,0),0)</f>
        <v>5.2</v>
      </c>
      <c r="AK1623" s="36"/>
      <c r="AL1623" s="23">
        <v>1</v>
      </c>
      <c r="AP1623" s="4">
        <v>1.6</v>
      </c>
      <c r="AQ1623" s="111">
        <f t="shared" si="507"/>
        <v>0</v>
      </c>
      <c r="AR1623">
        <f>_xlfn.XLOOKUP(F1623,'RM Cost'!A:A,'RM Cost'!S:S)</f>
        <v>0</v>
      </c>
      <c r="AS1623" t="e">
        <f>_xlfn.XLOOKUP(A1623,[3]Sheet1!$B:$B,[3]Sheet1!$B:$B)</f>
        <v>#N/A</v>
      </c>
    </row>
    <row r="1624" spans="1:45" x14ac:dyDescent="0.25">
      <c r="A1624" s="1" t="s">
        <v>4556</v>
      </c>
      <c r="B1624" s="2" t="s">
        <v>552</v>
      </c>
      <c r="C1624" s="1" t="s">
        <v>4566</v>
      </c>
      <c r="D1624" s="2" t="s">
        <v>554</v>
      </c>
      <c r="E1624" s="2">
        <v>2.5</v>
      </c>
      <c r="F1624" s="1" t="str">
        <f>VLOOKUP(H1624,'RM Used'!A:B,2,0)</f>
        <v>206ACS</v>
      </c>
      <c r="G1624" s="1" t="str">
        <f>IFERROR(VLOOKUP(F1624,'RM Cost'!A:B,2,0),"")</f>
        <v>RM - PREP ONION WHOLE 10KG</v>
      </c>
      <c r="H1624" s="2" t="s">
        <v>1541</v>
      </c>
      <c r="I1624" s="1" t="str">
        <f>VLOOKUP(F1624,'RM Used'!B:D,3,0)</f>
        <v>RM-FOOD</v>
      </c>
      <c r="J1624" s="66">
        <v>1</v>
      </c>
      <c r="K1624" s="35">
        <f t="shared" si="509"/>
        <v>2.5</v>
      </c>
      <c r="L1624" s="35">
        <f t="shared" si="499"/>
        <v>2.5</v>
      </c>
      <c r="M1624" s="77" cm="1">
        <f t="array" ref="M1624">_xlfn.IFS(BOM!I1624="RM-PACKING","100%",B1624="Reynolds",VLOOKUP(H1624,'Yield &amp; Time'!A:V,22,0),BOM!B1624="Dnata",VLOOKUP(BOM!H1624,'Yield &amp; Time'!A:M,13,0),B1624="NK",VLOOKUP(H1624,'Yield &amp; Time'!A:X,24,0))</f>
        <v>0.91823899371069173</v>
      </c>
      <c r="N1624" s="35">
        <f t="shared" si="510"/>
        <v>2.7226027397260277</v>
      </c>
      <c r="O1624" s="1" t="str">
        <f>VLOOKUP(H1624,'RM Used'!A:E,5,0)</f>
        <v>KG</v>
      </c>
      <c r="P1624" s="11">
        <f>VLOOKUP(H1624,'RM Used'!A:F,6,0)</f>
        <v>0.87</v>
      </c>
      <c r="Q1624" s="11">
        <f t="shared" si="508"/>
        <v>2.3686643835616441</v>
      </c>
      <c r="R1624" s="11" cm="1">
        <f t="array" ref="R1624">IFERROR(_xlfn.IFS(B1624="Reynolds",VLOOKUP(H1624,'Yield &amp; Time'!A:U,21,0),B1624="Dnata",VLOOKUP(H1624,'Yield &amp; Time'!A:L,12,0),B1624="NK",VLOOKUP(H1624,'Yield &amp; Time'!A:W,23,0)),0)</f>
        <v>0.5</v>
      </c>
      <c r="S1624" s="11">
        <f t="shared" si="500"/>
        <v>0.42312499999999997</v>
      </c>
      <c r="T1624" s="11">
        <f t="shared" si="501"/>
        <v>2.0833333333333332E-2</v>
      </c>
      <c r="U1624" s="11">
        <f>IF(A1623=A1624,0,VLOOKUP(A1624,'Packing Time'!A:F,6,0))</f>
        <v>0.875</v>
      </c>
      <c r="V1624" s="11">
        <f t="shared" si="486"/>
        <v>0.29618749999999999</v>
      </c>
      <c r="W1624" s="11">
        <f t="shared" si="487"/>
        <v>1.4583333333333334E-2</v>
      </c>
      <c r="X1624" s="11">
        <f t="shared" si="502"/>
        <v>1.1508999999999998</v>
      </c>
      <c r="Y1624" s="11">
        <f t="shared" si="488"/>
        <v>1.1508999999999998</v>
      </c>
      <c r="Z1624" s="37">
        <v>1</v>
      </c>
      <c r="AA1624" s="36">
        <f t="shared" si="503"/>
        <v>2.7226027397260277</v>
      </c>
      <c r="AB1624" s="11">
        <f t="shared" si="504"/>
        <v>2.3686643835616441</v>
      </c>
      <c r="AC1624" s="11">
        <f t="shared" si="505"/>
        <v>5.6666666666666671E-2</v>
      </c>
      <c r="AD1624" s="36">
        <f t="shared" si="489"/>
        <v>1.1509</v>
      </c>
      <c r="AE1624" s="36" t="str">
        <f>VLOOKUP(H1624,'Yield &amp; Time'!A:I,9,0)</f>
        <v>CHLORINE</v>
      </c>
      <c r="AF1624" s="36">
        <f>IFERROR(VLOOKUP(AE1624,'Chemical Cost'!A:D,4,0),0)</f>
        <v>2.7756518066439469E-2</v>
      </c>
      <c r="AG1624" s="114">
        <f t="shared" si="506"/>
        <v>2.518999071098103E-2</v>
      </c>
      <c r="AH1624" s="36">
        <f t="shared" si="485"/>
        <v>2.518999071098103E-2</v>
      </c>
      <c r="AI1624" s="36">
        <f t="shared" si="511"/>
        <v>3.5447543742726246</v>
      </c>
      <c r="AJ1624" s="36">
        <f>IFERROR(VLOOKUP(A1624,'All Products'!A:F,6,0),0)</f>
        <v>5.8</v>
      </c>
      <c r="AK1624" s="36"/>
      <c r="AL1624" s="23">
        <v>1</v>
      </c>
      <c r="AP1624" s="4">
        <v>1.6</v>
      </c>
      <c r="AQ1624" s="111">
        <f t="shared" si="507"/>
        <v>5.6666666666666671E-2</v>
      </c>
      <c r="AR1624">
        <f>_xlfn.XLOOKUP(F1624,'RM Cost'!A:A,'RM Cost'!S:S)</f>
        <v>0</v>
      </c>
      <c r="AS1624" t="e">
        <f>_xlfn.XLOOKUP(A1624,[3]Sheet1!$B:$B,[3]Sheet1!$B:$B)</f>
        <v>#N/A</v>
      </c>
    </row>
    <row r="1625" spans="1:45" x14ac:dyDescent="0.25">
      <c r="A1625" s="1" t="s">
        <v>4556</v>
      </c>
      <c r="B1625" s="2" t="s">
        <v>552</v>
      </c>
      <c r="C1625" s="1" t="s">
        <v>4566</v>
      </c>
      <c r="D1625" s="2" t="s">
        <v>554</v>
      </c>
      <c r="E1625" s="2">
        <v>2.5</v>
      </c>
      <c r="F1625" s="1" t="str">
        <f>VLOOKUP(H1625,'RM Used'!A:B,2,0)</f>
        <v>P0008</v>
      </c>
      <c r="G1625" s="1" t="str">
        <f>IFERROR(VLOOKUP(F1625,'RM Cost'!A:B,2,0),"")</f>
        <v>PALE BLUE BAG 470X750MM</v>
      </c>
      <c r="H1625" s="2" t="s">
        <v>1323</v>
      </c>
      <c r="I1625" s="1" t="str">
        <f>VLOOKUP(F1625,'RM Used'!B:D,3,0)</f>
        <v>RM-PACKING</v>
      </c>
      <c r="J1625" s="66">
        <v>1</v>
      </c>
      <c r="K1625" s="35" t="str">
        <f t="shared" si="509"/>
        <v/>
      </c>
      <c r="L1625" s="35">
        <f t="shared" si="499"/>
        <v>0</v>
      </c>
      <c r="M1625" s="77" t="str" cm="1">
        <f t="array" ref="M1625">_xlfn.IFS(BOM!I1625="RM-PACKING","100%",B1625="Reynolds",VLOOKUP(H1625,'Yield &amp; Time'!A:V,22,0),BOM!B1625="Dnata",VLOOKUP(BOM!H1625,'Yield &amp; Time'!A:M,13,0),B1625="NK",VLOOKUP(H1625,'Yield &amp; Time'!A:X,24,0))</f>
        <v>100%</v>
      </c>
      <c r="N1625" s="35">
        <f t="shared" si="510"/>
        <v>1</v>
      </c>
      <c r="O1625" s="1" t="str">
        <f>VLOOKUP(H1625,'RM Used'!A:E,5,0)</f>
        <v>Count</v>
      </c>
      <c r="P1625" s="11">
        <f>VLOOKUP(H1625,'RM Used'!A:F,6,0)</f>
        <v>0.14000000000000001</v>
      </c>
      <c r="Q1625" s="11">
        <f t="shared" si="508"/>
        <v>0.14000000000000001</v>
      </c>
      <c r="R1625" s="11" cm="1">
        <f t="array" ref="R1625">IFERROR(_xlfn.IFS(B1625="Reynolds",VLOOKUP(H1625,'Yield &amp; Time'!A:U,21,0),B1625="Dnata",VLOOKUP(H1625,'Yield &amp; Time'!A:L,12,0),B1625="NK",VLOOKUP(H1625,'Yield &amp; Time'!A:W,23,0)),0)</f>
        <v>0</v>
      </c>
      <c r="S1625" s="11">
        <f t="shared" si="500"/>
        <v>0</v>
      </c>
      <c r="T1625" s="11">
        <f t="shared" si="501"/>
        <v>0</v>
      </c>
      <c r="U1625" s="11">
        <f>IF(A1624=A1625,0,VLOOKUP(A1625,'Packing Time'!A:F,6,0))</f>
        <v>0</v>
      </c>
      <c r="V1625" s="11">
        <f t="shared" si="486"/>
        <v>0</v>
      </c>
      <c r="W1625" s="11">
        <f t="shared" si="487"/>
        <v>0</v>
      </c>
      <c r="X1625" s="11">
        <f t="shared" si="502"/>
        <v>0</v>
      </c>
      <c r="Y1625" s="11">
        <f t="shared" si="488"/>
        <v>0</v>
      </c>
      <c r="Z1625" s="37">
        <v>1</v>
      </c>
      <c r="AA1625" s="36">
        <f t="shared" si="503"/>
        <v>1</v>
      </c>
      <c r="AB1625" s="11">
        <f t="shared" si="504"/>
        <v>0.14000000000000001</v>
      </c>
      <c r="AC1625" s="11">
        <f t="shared" si="505"/>
        <v>0</v>
      </c>
      <c r="AD1625" s="36">
        <f t="shared" si="489"/>
        <v>0</v>
      </c>
      <c r="AE1625" s="36"/>
      <c r="AF1625" s="36">
        <f>IFERROR(VLOOKUP(AE1625,'Chemical Cost'!A:D,4,0),0)</f>
        <v>0</v>
      </c>
      <c r="AG1625" s="114">
        <f t="shared" si="506"/>
        <v>0</v>
      </c>
      <c r="AH1625" s="36">
        <f t="shared" si="485"/>
        <v>0</v>
      </c>
      <c r="AI1625" s="36">
        <f t="shared" si="511"/>
        <v>0.14000000000000001</v>
      </c>
      <c r="AJ1625" s="36">
        <f>IFERROR(VLOOKUP(A1625,'All Products'!A:F,6,0),0)</f>
        <v>5.8</v>
      </c>
      <c r="AK1625" s="36"/>
      <c r="AL1625" s="23">
        <v>1</v>
      </c>
      <c r="AP1625" s="4">
        <v>1.6</v>
      </c>
      <c r="AQ1625" s="111">
        <f t="shared" si="507"/>
        <v>0</v>
      </c>
      <c r="AR1625">
        <f>_xlfn.XLOOKUP(F1625,'RM Cost'!A:A,'RM Cost'!S:S)</f>
        <v>0</v>
      </c>
      <c r="AS1625" t="e">
        <f>_xlfn.XLOOKUP(A1625,[3]Sheet1!$B:$B,[3]Sheet1!$B:$B)</f>
        <v>#N/A</v>
      </c>
    </row>
    <row r="1626" spans="1:45" x14ac:dyDescent="0.25">
      <c r="A1626" s="1" t="s">
        <v>4556</v>
      </c>
      <c r="B1626" s="2" t="s">
        <v>552</v>
      </c>
      <c r="C1626" s="1" t="s">
        <v>4566</v>
      </c>
      <c r="D1626" s="2" t="s">
        <v>554</v>
      </c>
      <c r="E1626" s="2">
        <v>2.5</v>
      </c>
      <c r="F1626" s="1" t="str">
        <f>VLOOKUP(H1626,'RM Used'!A:B,2,0)</f>
        <v>P0016</v>
      </c>
      <c r="G1626" s="1" t="str">
        <f>IFERROR(VLOOKUP(F1626,'RM Cost'!A:B,2,0),"")</f>
        <v>REY 40 30 BOX</v>
      </c>
      <c r="H1626" s="1" t="s">
        <v>1332</v>
      </c>
      <c r="I1626" s="1" t="str">
        <f>VLOOKUP(F1626,'RM Used'!B:D,3,0)</f>
        <v>RM-PACKING</v>
      </c>
      <c r="J1626" s="66">
        <v>1</v>
      </c>
      <c r="K1626" s="35" t="str">
        <f t="shared" si="509"/>
        <v/>
      </c>
      <c r="L1626" s="35">
        <f t="shared" si="499"/>
        <v>0</v>
      </c>
      <c r="M1626" s="77" t="str" cm="1">
        <f t="array" ref="M1626">_xlfn.IFS(BOM!I1626="RM-PACKING","100%",B1626="Reynolds",VLOOKUP(H1626,'Yield &amp; Time'!A:V,22,0),BOM!B1626="Dnata",VLOOKUP(BOM!H1626,'Yield &amp; Time'!A:M,13,0),B1626="NK",VLOOKUP(H1626,'Yield &amp; Time'!A:X,24,0))</f>
        <v>100%</v>
      </c>
      <c r="N1626" s="35">
        <f t="shared" si="510"/>
        <v>1</v>
      </c>
      <c r="O1626" s="1" t="str">
        <f>VLOOKUP(H1626,'RM Used'!A:E,5,0)</f>
        <v>Count</v>
      </c>
      <c r="P1626" s="11">
        <f>VLOOKUP(H1626,'RM Used'!A:F,6,0)</f>
        <v>0.28000000000000003</v>
      </c>
      <c r="Q1626" s="11">
        <f t="shared" si="508"/>
        <v>0.28000000000000003</v>
      </c>
      <c r="R1626" s="11" cm="1">
        <f t="array" ref="R1626">IFERROR(_xlfn.IFS(B1626="Reynolds",VLOOKUP(H1626,'Yield &amp; Time'!A:U,21,0),B1626="Dnata",VLOOKUP(H1626,'Yield &amp; Time'!A:L,12,0),B1626="NK",VLOOKUP(H1626,'Yield &amp; Time'!A:W,23,0)),0)</f>
        <v>0</v>
      </c>
      <c r="S1626" s="11">
        <f t="shared" si="500"/>
        <v>0</v>
      </c>
      <c r="T1626" s="11">
        <f t="shared" si="501"/>
        <v>0</v>
      </c>
      <c r="U1626" s="11">
        <f>IF(A1625=A1626,0,VLOOKUP(A1626,'Packing Time'!A:F,6,0))</f>
        <v>0</v>
      </c>
      <c r="V1626" s="11">
        <f t="shared" si="486"/>
        <v>0</v>
      </c>
      <c r="W1626" s="11">
        <f t="shared" si="487"/>
        <v>0</v>
      </c>
      <c r="X1626" s="11">
        <f t="shared" si="502"/>
        <v>0</v>
      </c>
      <c r="Y1626" s="11">
        <f t="shared" si="488"/>
        <v>0</v>
      </c>
      <c r="Z1626" s="37">
        <v>1</v>
      </c>
      <c r="AA1626" s="36">
        <f t="shared" si="503"/>
        <v>1</v>
      </c>
      <c r="AB1626" s="11">
        <f t="shared" si="504"/>
        <v>0.28000000000000003</v>
      </c>
      <c r="AC1626" s="11">
        <f t="shared" si="505"/>
        <v>0</v>
      </c>
      <c r="AD1626" s="36">
        <f t="shared" si="489"/>
        <v>0</v>
      </c>
      <c r="AE1626" s="36"/>
      <c r="AF1626" s="36">
        <f>IFERROR(VLOOKUP(AE1626,'Chemical Cost'!A:D,4,0),0)</f>
        <v>0</v>
      </c>
      <c r="AG1626" s="114">
        <f t="shared" si="506"/>
        <v>0</v>
      </c>
      <c r="AH1626" s="36">
        <f t="shared" si="485"/>
        <v>0</v>
      </c>
      <c r="AI1626" s="36">
        <f t="shared" si="511"/>
        <v>0.28000000000000003</v>
      </c>
      <c r="AJ1626" s="36">
        <f>IFERROR(VLOOKUP(A1626,'All Products'!A:F,6,0),0)</f>
        <v>5.8</v>
      </c>
      <c r="AK1626" s="36"/>
      <c r="AL1626" s="23">
        <v>1</v>
      </c>
      <c r="AP1626" s="4">
        <v>1.6</v>
      </c>
      <c r="AQ1626" s="111">
        <f t="shared" si="507"/>
        <v>0</v>
      </c>
      <c r="AR1626">
        <f>_xlfn.XLOOKUP(F1626,'RM Cost'!A:A,'RM Cost'!S:S)</f>
        <v>0</v>
      </c>
      <c r="AS1626" t="e">
        <f>_xlfn.XLOOKUP(A1626,[3]Sheet1!$B:$B,[3]Sheet1!$B:$B)</f>
        <v>#N/A</v>
      </c>
    </row>
    <row r="1627" spans="1:45" x14ac:dyDescent="0.25">
      <c r="A1627" s="1" t="s">
        <v>4557</v>
      </c>
      <c r="B1627" s="2" t="s">
        <v>552</v>
      </c>
      <c r="C1627" s="1" t="s">
        <v>4567</v>
      </c>
      <c r="D1627" s="2" t="s">
        <v>554</v>
      </c>
      <c r="E1627" s="2">
        <v>1</v>
      </c>
      <c r="F1627" s="1" t="str">
        <f>VLOOKUP(H1627,'RM Used'!A:B,2,0)</f>
        <v>3567CS</v>
      </c>
      <c r="G1627" s="1" t="str">
        <f>IFERROR(VLOOKUP(F1627,'RM Cost'!A:B,2,0),"")</f>
        <v>RM - PEPPERS YELLOW  X 5KG</v>
      </c>
      <c r="H1627" s="2" t="s">
        <v>1413</v>
      </c>
      <c r="I1627" s="1" t="str">
        <f>VLOOKUP(F1627,'RM Used'!B:D,3,0)</f>
        <v>RM-FOOD</v>
      </c>
      <c r="J1627" s="66">
        <v>1</v>
      </c>
      <c r="K1627" s="35">
        <f t="shared" si="509"/>
        <v>1</v>
      </c>
      <c r="L1627" s="35">
        <f t="shared" si="499"/>
        <v>1</v>
      </c>
      <c r="M1627" s="77" cm="1">
        <f t="array" ref="M1627">_xlfn.IFS(BOM!I1627="RM-PACKING","100%",B1627="Reynolds",VLOOKUP(H1627,'Yield &amp; Time'!A:V,22,0),BOM!B1627="Dnata",VLOOKUP(BOM!H1627,'Yield &amp; Time'!A:M,13,0),B1627="NK",VLOOKUP(H1627,'Yield &amp; Time'!A:X,24,0))</f>
        <v>0.44</v>
      </c>
      <c r="N1627" s="35">
        <f t="shared" si="510"/>
        <v>2.2727272727272729</v>
      </c>
      <c r="O1627" s="1" t="str">
        <f>VLOOKUP(H1627,'RM Used'!A:E,5,0)</f>
        <v>KG</v>
      </c>
      <c r="P1627" s="11">
        <f>VLOOKUP(H1627,'RM Used'!A:F,6,0)</f>
        <v>1.68</v>
      </c>
      <c r="Q1627" s="11">
        <f t="shared" si="508"/>
        <v>3.8181818181818183</v>
      </c>
      <c r="R1627" s="11" cm="1">
        <f t="array" ref="R1627">IFERROR(_xlfn.IFS(B1627="Reynolds",VLOOKUP(H1627,'Yield &amp; Time'!A:U,21,0),B1627="Dnata",VLOOKUP(H1627,'Yield &amp; Time'!A:L,12,0),B1627="NK",VLOOKUP(H1627,'Yield &amp; Time'!A:W,23,0)),0)</f>
        <v>6.25</v>
      </c>
      <c r="S1627" s="11">
        <f t="shared" si="500"/>
        <v>2.1156249999999996</v>
      </c>
      <c r="T1627" s="11">
        <f t="shared" si="501"/>
        <v>0.10416666666666667</v>
      </c>
      <c r="U1627" s="11">
        <f>IF(A1626=A1627,0,VLOOKUP(A1627,'Packing Time'!A:F,6,0))</f>
        <v>0.64500000000000002</v>
      </c>
      <c r="V1627" s="11">
        <f t="shared" si="486"/>
        <v>0.21833249999999998</v>
      </c>
      <c r="W1627" s="11">
        <f t="shared" si="487"/>
        <v>1.0750000000000001E-2</v>
      </c>
      <c r="X1627" s="11">
        <f t="shared" si="502"/>
        <v>3.7343319999999993</v>
      </c>
      <c r="Y1627" s="11">
        <f t="shared" si="488"/>
        <v>3.7343319999999993</v>
      </c>
      <c r="Z1627" s="37">
        <v>1</v>
      </c>
      <c r="AA1627" s="36">
        <f t="shared" si="503"/>
        <v>2.2727272727272729</v>
      </c>
      <c r="AB1627" s="11">
        <f t="shared" si="504"/>
        <v>3.8181818181818183</v>
      </c>
      <c r="AC1627" s="11">
        <f t="shared" si="505"/>
        <v>0.18386666666666665</v>
      </c>
      <c r="AD1627" s="36">
        <f t="shared" si="489"/>
        <v>3.7343319999999989</v>
      </c>
      <c r="AE1627" s="36"/>
      <c r="AF1627" s="36">
        <f>IFERROR(VLOOKUP(AE1627,'Chemical Cost'!A:D,4,0),0)</f>
        <v>0</v>
      </c>
      <c r="AG1627" s="114">
        <f t="shared" si="506"/>
        <v>0</v>
      </c>
      <c r="AH1627" s="36">
        <f t="shared" si="485"/>
        <v>0</v>
      </c>
      <c r="AI1627" s="36">
        <f t="shared" si="511"/>
        <v>7.5525138181818177</v>
      </c>
      <c r="AJ1627" s="36">
        <f>IFERROR(VLOOKUP(A1627,'All Products'!A:F,6,0),0)</f>
        <v>11.2</v>
      </c>
      <c r="AK1627" s="36"/>
      <c r="AL1627" s="23">
        <v>1</v>
      </c>
      <c r="AP1627" s="4">
        <v>1.6</v>
      </c>
      <c r="AQ1627" s="111">
        <f t="shared" si="507"/>
        <v>0.18386666666666665</v>
      </c>
      <c r="AR1627">
        <f>_xlfn.XLOOKUP(F1627,'RM Cost'!A:A,'RM Cost'!S:S)</f>
        <v>0</v>
      </c>
      <c r="AS1627" t="e">
        <f>_xlfn.XLOOKUP(A1627,[3]Sheet1!$B:$B,[3]Sheet1!$B:$B)</f>
        <v>#N/A</v>
      </c>
    </row>
    <row r="1628" spans="1:45" x14ac:dyDescent="0.25">
      <c r="A1628" s="1" t="s">
        <v>4557</v>
      </c>
      <c r="B1628" s="2" t="s">
        <v>552</v>
      </c>
      <c r="C1628" s="1" t="s">
        <v>4567</v>
      </c>
      <c r="D1628" s="2" t="s">
        <v>554</v>
      </c>
      <c r="E1628" s="2">
        <v>1</v>
      </c>
      <c r="F1628" s="1" t="str">
        <f>VLOOKUP(H1628,'RM Used'!A:B,2,0)</f>
        <v>P0008</v>
      </c>
      <c r="G1628" s="1" t="str">
        <f>IFERROR(VLOOKUP(F1628,'RM Cost'!A:B,2,0),"")</f>
        <v>PALE BLUE BAG 470X750MM</v>
      </c>
      <c r="H1628" s="2" t="s">
        <v>1323</v>
      </c>
      <c r="I1628" s="1" t="str">
        <f>VLOOKUP(F1628,'RM Used'!B:D,3,0)</f>
        <v>RM-PACKING</v>
      </c>
      <c r="J1628" s="66">
        <v>1</v>
      </c>
      <c r="K1628" s="35" t="str">
        <f t="shared" si="509"/>
        <v/>
      </c>
      <c r="L1628" s="35">
        <f t="shared" si="499"/>
        <v>0</v>
      </c>
      <c r="M1628" s="77" t="str" cm="1">
        <f t="array" ref="M1628">_xlfn.IFS(BOM!I1628="RM-PACKING","100%",B1628="Reynolds",VLOOKUP(H1628,'Yield &amp; Time'!A:V,22,0),BOM!B1628="Dnata",VLOOKUP(BOM!H1628,'Yield &amp; Time'!A:M,13,0),B1628="NK",VLOOKUP(H1628,'Yield &amp; Time'!A:X,24,0))</f>
        <v>100%</v>
      </c>
      <c r="N1628" s="35">
        <f t="shared" si="510"/>
        <v>1</v>
      </c>
      <c r="O1628" s="1" t="str">
        <f>VLOOKUP(H1628,'RM Used'!A:E,5,0)</f>
        <v>Count</v>
      </c>
      <c r="P1628" s="11">
        <f>VLOOKUP(H1628,'RM Used'!A:F,6,0)</f>
        <v>0.14000000000000001</v>
      </c>
      <c r="Q1628" s="11">
        <f t="shared" si="508"/>
        <v>0.14000000000000001</v>
      </c>
      <c r="R1628" s="11" cm="1">
        <f t="array" ref="R1628">IFERROR(_xlfn.IFS(B1628="Reynolds",VLOOKUP(H1628,'Yield &amp; Time'!A:U,21,0),B1628="Dnata",VLOOKUP(H1628,'Yield &amp; Time'!A:L,12,0),B1628="NK",VLOOKUP(H1628,'Yield &amp; Time'!A:W,23,0)),0)</f>
        <v>0</v>
      </c>
      <c r="S1628" s="11">
        <f t="shared" si="500"/>
        <v>0</v>
      </c>
      <c r="T1628" s="11">
        <f t="shared" si="501"/>
        <v>0</v>
      </c>
      <c r="U1628" s="11">
        <f>IF(A1627=A1628,0,VLOOKUP(A1628,'Packing Time'!A:F,6,0))</f>
        <v>0</v>
      </c>
      <c r="V1628" s="11">
        <f t="shared" si="486"/>
        <v>0</v>
      </c>
      <c r="W1628" s="11">
        <f t="shared" si="487"/>
        <v>0</v>
      </c>
      <c r="X1628" s="11">
        <f t="shared" si="502"/>
        <v>0</v>
      </c>
      <c r="Y1628" s="11">
        <f t="shared" si="488"/>
        <v>0</v>
      </c>
      <c r="Z1628" s="37">
        <v>1</v>
      </c>
      <c r="AA1628" s="36">
        <f t="shared" si="503"/>
        <v>1</v>
      </c>
      <c r="AB1628" s="11">
        <f t="shared" si="504"/>
        <v>0.14000000000000001</v>
      </c>
      <c r="AC1628" s="11">
        <f t="shared" si="505"/>
        <v>0</v>
      </c>
      <c r="AD1628" s="36">
        <f t="shared" si="489"/>
        <v>0</v>
      </c>
      <c r="AE1628" s="36"/>
      <c r="AF1628" s="36">
        <f>IFERROR(VLOOKUP(AE1628,'Chemical Cost'!A:D,4,0),0)</f>
        <v>0</v>
      </c>
      <c r="AG1628" s="114">
        <f t="shared" si="506"/>
        <v>0</v>
      </c>
      <c r="AH1628" s="36">
        <f t="shared" si="485"/>
        <v>0</v>
      </c>
      <c r="AI1628" s="36">
        <f t="shared" si="511"/>
        <v>0.14000000000000001</v>
      </c>
      <c r="AJ1628" s="36">
        <f>IFERROR(VLOOKUP(A1628,'All Products'!A:F,6,0),0)</f>
        <v>11.2</v>
      </c>
      <c r="AK1628" s="36"/>
      <c r="AL1628" s="23">
        <v>1</v>
      </c>
      <c r="AP1628" s="4">
        <v>1.6</v>
      </c>
      <c r="AQ1628" s="111">
        <f t="shared" si="507"/>
        <v>0</v>
      </c>
      <c r="AR1628">
        <f>_xlfn.XLOOKUP(F1628,'RM Cost'!A:A,'RM Cost'!S:S)</f>
        <v>0</v>
      </c>
      <c r="AS1628" t="e">
        <f>_xlfn.XLOOKUP(A1628,[3]Sheet1!$B:$B,[3]Sheet1!$B:$B)</f>
        <v>#N/A</v>
      </c>
    </row>
    <row r="1629" spans="1:45" x14ac:dyDescent="0.25">
      <c r="A1629" s="1" t="s">
        <v>4557</v>
      </c>
      <c r="B1629" s="2" t="s">
        <v>552</v>
      </c>
      <c r="C1629" s="1" t="s">
        <v>4567</v>
      </c>
      <c r="D1629" s="2" t="s">
        <v>554</v>
      </c>
      <c r="E1629" s="2">
        <v>1</v>
      </c>
      <c r="F1629" s="1" t="str">
        <f>VLOOKUP(H1629,'RM Used'!A:B,2,0)</f>
        <v>P0016</v>
      </c>
      <c r="G1629" s="1" t="str">
        <f>IFERROR(VLOOKUP(F1629,'RM Cost'!A:B,2,0),"")</f>
        <v>REY 40 30 BOX</v>
      </c>
      <c r="H1629" s="1" t="s">
        <v>1332</v>
      </c>
      <c r="I1629" s="1" t="str">
        <f>VLOOKUP(F1629,'RM Used'!B:D,3,0)</f>
        <v>RM-PACKING</v>
      </c>
      <c r="J1629" s="66">
        <v>1</v>
      </c>
      <c r="K1629" s="35" t="str">
        <f t="shared" si="509"/>
        <v/>
      </c>
      <c r="L1629" s="35">
        <f t="shared" si="499"/>
        <v>0</v>
      </c>
      <c r="M1629" s="77" t="str" cm="1">
        <f t="array" ref="M1629">_xlfn.IFS(BOM!I1629="RM-PACKING","100%",B1629="Reynolds",VLOOKUP(H1629,'Yield &amp; Time'!A:V,22,0),BOM!B1629="Dnata",VLOOKUP(BOM!H1629,'Yield &amp; Time'!A:M,13,0),B1629="NK",VLOOKUP(H1629,'Yield &amp; Time'!A:X,24,0))</f>
        <v>100%</v>
      </c>
      <c r="N1629" s="35">
        <f t="shared" si="510"/>
        <v>1</v>
      </c>
      <c r="O1629" s="1" t="str">
        <f>VLOOKUP(H1629,'RM Used'!A:E,5,0)</f>
        <v>Count</v>
      </c>
      <c r="P1629" s="11">
        <f>VLOOKUP(H1629,'RM Used'!A:F,6,0)</f>
        <v>0.28000000000000003</v>
      </c>
      <c r="Q1629" s="11">
        <f t="shared" si="508"/>
        <v>0.28000000000000003</v>
      </c>
      <c r="R1629" s="11" cm="1">
        <f t="array" ref="R1629">IFERROR(_xlfn.IFS(B1629="Reynolds",VLOOKUP(H1629,'Yield &amp; Time'!A:U,21,0),B1629="Dnata",VLOOKUP(H1629,'Yield &amp; Time'!A:L,12,0),B1629="NK",VLOOKUP(H1629,'Yield &amp; Time'!A:W,23,0)),0)</f>
        <v>0</v>
      </c>
      <c r="S1629" s="11">
        <f t="shared" si="500"/>
        <v>0</v>
      </c>
      <c r="T1629" s="11">
        <f t="shared" si="501"/>
        <v>0</v>
      </c>
      <c r="U1629" s="11">
        <f>IF(A1628=A1629,0,VLOOKUP(A1629,'Packing Time'!A:F,6,0))</f>
        <v>0</v>
      </c>
      <c r="V1629" s="11">
        <f t="shared" si="486"/>
        <v>0</v>
      </c>
      <c r="W1629" s="11">
        <f t="shared" si="487"/>
        <v>0</v>
      </c>
      <c r="X1629" s="11">
        <f t="shared" si="502"/>
        <v>0</v>
      </c>
      <c r="Y1629" s="11">
        <f t="shared" si="488"/>
        <v>0</v>
      </c>
      <c r="Z1629" s="37">
        <v>1</v>
      </c>
      <c r="AA1629" s="36">
        <f t="shared" si="503"/>
        <v>1</v>
      </c>
      <c r="AB1629" s="11">
        <f t="shared" si="504"/>
        <v>0.28000000000000003</v>
      </c>
      <c r="AC1629" s="11">
        <f t="shared" si="505"/>
        <v>0</v>
      </c>
      <c r="AD1629" s="36">
        <f t="shared" si="489"/>
        <v>0</v>
      </c>
      <c r="AE1629" s="36"/>
      <c r="AF1629" s="36">
        <f>IFERROR(VLOOKUP(AE1629,'Chemical Cost'!A:D,4,0),0)</f>
        <v>0</v>
      </c>
      <c r="AG1629" s="114">
        <f t="shared" si="506"/>
        <v>0</v>
      </c>
      <c r="AH1629" s="36">
        <f t="shared" si="485"/>
        <v>0</v>
      </c>
      <c r="AI1629" s="36">
        <f t="shared" si="511"/>
        <v>0.28000000000000003</v>
      </c>
      <c r="AJ1629" s="36">
        <f>IFERROR(VLOOKUP(A1629,'All Products'!A:F,6,0),0)</f>
        <v>11.2</v>
      </c>
      <c r="AK1629" s="36"/>
      <c r="AL1629" s="23">
        <v>1</v>
      </c>
      <c r="AP1629" s="4">
        <v>1.6</v>
      </c>
      <c r="AQ1629" s="111">
        <f t="shared" si="507"/>
        <v>0</v>
      </c>
      <c r="AR1629">
        <f>_xlfn.XLOOKUP(F1629,'RM Cost'!A:A,'RM Cost'!S:S)</f>
        <v>0</v>
      </c>
      <c r="AS1629" t="e">
        <f>_xlfn.XLOOKUP(A1629,[3]Sheet1!$B:$B,[3]Sheet1!$B:$B)</f>
        <v>#N/A</v>
      </c>
    </row>
    <row r="1630" spans="1:45" x14ac:dyDescent="0.25">
      <c r="A1630" s="1" t="s">
        <v>4558</v>
      </c>
      <c r="B1630" s="2" t="s">
        <v>552</v>
      </c>
      <c r="C1630" s="1" t="s">
        <v>4568</v>
      </c>
      <c r="D1630" s="2" t="s">
        <v>554</v>
      </c>
      <c r="E1630" s="2">
        <v>2.5</v>
      </c>
      <c r="F1630" s="1" t="str">
        <f>VLOOKUP(H1630,'RM Used'!A:B,2,0)</f>
        <v>206ACS</v>
      </c>
      <c r="G1630" s="1" t="str">
        <f>IFERROR(VLOOKUP(F1630,'RM Cost'!A:B,2,0),"")</f>
        <v>RM - PREP ONION WHOLE 10KG</v>
      </c>
      <c r="H1630" s="2" t="s">
        <v>1541</v>
      </c>
      <c r="I1630" s="1" t="str">
        <f>VLOOKUP(F1630,'RM Used'!B:D,3,0)</f>
        <v>RM-FOOD</v>
      </c>
      <c r="J1630" s="66">
        <v>1</v>
      </c>
      <c r="K1630" s="35">
        <f t="shared" si="509"/>
        <v>2.5</v>
      </c>
      <c r="L1630" s="35">
        <f t="shared" si="499"/>
        <v>2.5</v>
      </c>
      <c r="M1630" s="77" cm="1">
        <f t="array" ref="M1630">_xlfn.IFS(BOM!I1630="RM-PACKING","100%",B1630="Reynolds",VLOOKUP(H1630,'Yield &amp; Time'!A:V,22,0),BOM!B1630="Dnata",VLOOKUP(BOM!H1630,'Yield &amp; Time'!A:M,13,0),B1630="NK",VLOOKUP(H1630,'Yield &amp; Time'!A:X,24,0))</f>
        <v>0.91823899371069173</v>
      </c>
      <c r="N1630" s="35">
        <f t="shared" si="510"/>
        <v>2.7226027397260277</v>
      </c>
      <c r="O1630" s="1" t="str">
        <f>VLOOKUP(H1630,'RM Used'!A:E,5,0)</f>
        <v>KG</v>
      </c>
      <c r="P1630" s="11">
        <f>VLOOKUP(H1630,'RM Used'!A:F,6,0)</f>
        <v>0.87</v>
      </c>
      <c r="Q1630" s="11">
        <f t="shared" si="508"/>
        <v>2.3686643835616441</v>
      </c>
      <c r="R1630" s="11" cm="1">
        <f t="array" ref="R1630">IFERROR(_xlfn.IFS(B1630="Reynolds",VLOOKUP(H1630,'Yield &amp; Time'!A:U,21,0),B1630="Dnata",VLOOKUP(H1630,'Yield &amp; Time'!A:L,12,0),B1630="NK",VLOOKUP(H1630,'Yield &amp; Time'!A:W,23,0)),0)</f>
        <v>0.5</v>
      </c>
      <c r="S1630" s="11">
        <f t="shared" si="500"/>
        <v>0.42312499999999997</v>
      </c>
      <c r="T1630" s="11">
        <f t="shared" si="501"/>
        <v>2.0833333333333332E-2</v>
      </c>
      <c r="U1630" s="11">
        <f>IF(A1629=A1630,0,VLOOKUP(A1630,'Packing Time'!A:F,6,0))</f>
        <v>0.875</v>
      </c>
      <c r="V1630" s="11">
        <f t="shared" si="486"/>
        <v>0.29618749999999999</v>
      </c>
      <c r="W1630" s="11">
        <f t="shared" si="487"/>
        <v>1.4583333333333334E-2</v>
      </c>
      <c r="X1630" s="11">
        <f t="shared" si="502"/>
        <v>1.1508999999999998</v>
      </c>
      <c r="Y1630" s="11">
        <f t="shared" si="488"/>
        <v>1.1508999999999998</v>
      </c>
      <c r="Z1630" s="37">
        <v>1</v>
      </c>
      <c r="AA1630" s="36">
        <f t="shared" si="503"/>
        <v>2.7226027397260277</v>
      </c>
      <c r="AB1630" s="11">
        <f t="shared" si="504"/>
        <v>2.3686643835616441</v>
      </c>
      <c r="AC1630" s="11">
        <f t="shared" si="505"/>
        <v>5.6666666666666671E-2</v>
      </c>
      <c r="AD1630" s="36">
        <f t="shared" si="489"/>
        <v>1.1509</v>
      </c>
      <c r="AE1630" s="36" t="str">
        <f>VLOOKUP(H1630,'Yield &amp; Time'!A:I,9,0)</f>
        <v>CHLORINE</v>
      </c>
      <c r="AF1630" s="36">
        <f>IFERROR(VLOOKUP(AE1630,'Chemical Cost'!A:D,4,0),0)</f>
        <v>2.7756518066439469E-2</v>
      </c>
      <c r="AG1630" s="114">
        <f t="shared" si="506"/>
        <v>2.518999071098103E-2</v>
      </c>
      <c r="AH1630" s="36">
        <f t="shared" si="485"/>
        <v>2.518999071098103E-2</v>
      </c>
      <c r="AI1630" s="36">
        <f t="shared" si="511"/>
        <v>3.5447543742726246</v>
      </c>
      <c r="AJ1630" s="36">
        <f>IFERROR(VLOOKUP(A1630,'All Products'!A:F,6,0),0)</f>
        <v>5.0999999999999996</v>
      </c>
      <c r="AK1630" s="36"/>
      <c r="AL1630" s="23">
        <v>1</v>
      </c>
      <c r="AP1630" s="4">
        <v>1.6</v>
      </c>
      <c r="AQ1630" s="111">
        <f t="shared" si="507"/>
        <v>5.6666666666666671E-2</v>
      </c>
      <c r="AR1630">
        <f>_xlfn.XLOOKUP(F1630,'RM Cost'!A:A,'RM Cost'!S:S)</f>
        <v>0</v>
      </c>
      <c r="AS1630" t="e">
        <f>_xlfn.XLOOKUP(A1630,[3]Sheet1!$B:$B,[3]Sheet1!$B:$B)</f>
        <v>#N/A</v>
      </c>
    </row>
    <row r="1631" spans="1:45" x14ac:dyDescent="0.25">
      <c r="A1631" s="1" t="s">
        <v>4558</v>
      </c>
      <c r="B1631" s="2" t="s">
        <v>552</v>
      </c>
      <c r="C1631" s="1" t="s">
        <v>4568</v>
      </c>
      <c r="D1631" s="2" t="s">
        <v>554</v>
      </c>
      <c r="E1631" s="2">
        <v>2.5</v>
      </c>
      <c r="F1631" s="1" t="str">
        <f>VLOOKUP(H1631,'RM Used'!A:B,2,0)</f>
        <v>P0008</v>
      </c>
      <c r="G1631" s="1" t="str">
        <f>IFERROR(VLOOKUP(F1631,'RM Cost'!A:B,2,0),"")</f>
        <v>PALE BLUE BAG 470X750MM</v>
      </c>
      <c r="H1631" s="2" t="s">
        <v>1323</v>
      </c>
      <c r="I1631" s="1" t="str">
        <f>VLOOKUP(F1631,'RM Used'!B:D,3,0)</f>
        <v>RM-PACKING</v>
      </c>
      <c r="J1631" s="66">
        <v>1</v>
      </c>
      <c r="K1631" s="35" t="str">
        <f t="shared" si="509"/>
        <v/>
      </c>
      <c r="L1631" s="35">
        <f t="shared" si="499"/>
        <v>0</v>
      </c>
      <c r="M1631" s="77" t="str" cm="1">
        <f t="array" ref="M1631">_xlfn.IFS(BOM!I1631="RM-PACKING","100%",B1631="Reynolds",VLOOKUP(H1631,'Yield &amp; Time'!A:V,22,0),BOM!B1631="Dnata",VLOOKUP(BOM!H1631,'Yield &amp; Time'!A:M,13,0),B1631="NK",VLOOKUP(H1631,'Yield &amp; Time'!A:X,24,0))</f>
        <v>100%</v>
      </c>
      <c r="N1631" s="35">
        <f t="shared" si="510"/>
        <v>1</v>
      </c>
      <c r="O1631" s="1" t="str">
        <f>VLOOKUP(H1631,'RM Used'!A:E,5,0)</f>
        <v>Count</v>
      </c>
      <c r="P1631" s="11">
        <f>VLOOKUP(H1631,'RM Used'!A:F,6,0)</f>
        <v>0.14000000000000001</v>
      </c>
      <c r="Q1631" s="11">
        <f t="shared" si="508"/>
        <v>0.14000000000000001</v>
      </c>
      <c r="R1631" s="11" cm="1">
        <f t="array" ref="R1631">IFERROR(_xlfn.IFS(B1631="Reynolds",VLOOKUP(H1631,'Yield &amp; Time'!A:U,21,0),B1631="Dnata",VLOOKUP(H1631,'Yield &amp; Time'!A:L,12,0),B1631="NK",VLOOKUP(H1631,'Yield &amp; Time'!A:W,23,0)),0)</f>
        <v>0</v>
      </c>
      <c r="S1631" s="11">
        <f t="shared" si="500"/>
        <v>0</v>
      </c>
      <c r="T1631" s="11">
        <f t="shared" si="501"/>
        <v>0</v>
      </c>
      <c r="U1631" s="11">
        <f>IF(A1630=A1631,0,VLOOKUP(A1631,'Packing Time'!A:F,6,0))</f>
        <v>0</v>
      </c>
      <c r="V1631" s="11">
        <f t="shared" si="486"/>
        <v>0</v>
      </c>
      <c r="W1631" s="11">
        <f t="shared" si="487"/>
        <v>0</v>
      </c>
      <c r="X1631" s="11">
        <f t="shared" si="502"/>
        <v>0</v>
      </c>
      <c r="Y1631" s="11">
        <f t="shared" si="488"/>
        <v>0</v>
      </c>
      <c r="Z1631" s="37">
        <v>1</v>
      </c>
      <c r="AA1631" s="36">
        <f t="shared" si="503"/>
        <v>1</v>
      </c>
      <c r="AB1631" s="11">
        <f t="shared" si="504"/>
        <v>0.14000000000000001</v>
      </c>
      <c r="AC1631" s="11">
        <f t="shared" si="505"/>
        <v>0</v>
      </c>
      <c r="AD1631" s="36">
        <f t="shared" si="489"/>
        <v>0</v>
      </c>
      <c r="AE1631" s="36"/>
      <c r="AF1631" s="36">
        <f>IFERROR(VLOOKUP(AE1631,'Chemical Cost'!A:D,4,0),0)</f>
        <v>0</v>
      </c>
      <c r="AG1631" s="114">
        <f t="shared" si="506"/>
        <v>0</v>
      </c>
      <c r="AH1631" s="36">
        <f t="shared" si="485"/>
        <v>0</v>
      </c>
      <c r="AI1631" s="36">
        <f t="shared" si="511"/>
        <v>0.14000000000000001</v>
      </c>
      <c r="AJ1631" s="36">
        <f>IFERROR(VLOOKUP(A1631,'All Products'!A:F,6,0),0)</f>
        <v>5.0999999999999996</v>
      </c>
      <c r="AK1631" s="36"/>
      <c r="AL1631" s="23">
        <v>1</v>
      </c>
      <c r="AP1631" s="4">
        <v>1.6</v>
      </c>
      <c r="AQ1631" s="111">
        <f t="shared" si="507"/>
        <v>0</v>
      </c>
      <c r="AR1631">
        <f>_xlfn.XLOOKUP(F1631,'RM Cost'!A:A,'RM Cost'!S:S)</f>
        <v>0</v>
      </c>
      <c r="AS1631" t="e">
        <f>_xlfn.XLOOKUP(A1631,[3]Sheet1!$B:$B,[3]Sheet1!$B:$B)</f>
        <v>#N/A</v>
      </c>
    </row>
    <row r="1632" spans="1:45" x14ac:dyDescent="0.25">
      <c r="A1632" s="1" t="s">
        <v>4558</v>
      </c>
      <c r="B1632" s="2" t="s">
        <v>552</v>
      </c>
      <c r="C1632" s="1" t="s">
        <v>4568</v>
      </c>
      <c r="D1632" s="2" t="s">
        <v>554</v>
      </c>
      <c r="E1632" s="2">
        <v>2.5</v>
      </c>
      <c r="F1632" s="1" t="str">
        <f>VLOOKUP(H1632,'RM Used'!A:B,2,0)</f>
        <v>P0016</v>
      </c>
      <c r="G1632" s="1" t="str">
        <f>IFERROR(VLOOKUP(F1632,'RM Cost'!A:B,2,0),"")</f>
        <v>REY 40 30 BOX</v>
      </c>
      <c r="H1632" s="1" t="s">
        <v>1332</v>
      </c>
      <c r="I1632" s="1" t="str">
        <f>VLOOKUP(F1632,'RM Used'!B:D,3,0)</f>
        <v>RM-PACKING</v>
      </c>
      <c r="J1632" s="66">
        <v>1</v>
      </c>
      <c r="K1632" s="35" t="str">
        <f t="shared" si="509"/>
        <v/>
      </c>
      <c r="L1632" s="35">
        <f t="shared" si="499"/>
        <v>0</v>
      </c>
      <c r="M1632" s="77" t="str" cm="1">
        <f t="array" ref="M1632">_xlfn.IFS(BOM!I1632="RM-PACKING","100%",B1632="Reynolds",VLOOKUP(H1632,'Yield &amp; Time'!A:V,22,0),BOM!B1632="Dnata",VLOOKUP(BOM!H1632,'Yield &amp; Time'!A:M,13,0),B1632="NK",VLOOKUP(H1632,'Yield &amp; Time'!A:X,24,0))</f>
        <v>100%</v>
      </c>
      <c r="N1632" s="35">
        <f t="shared" si="510"/>
        <v>1</v>
      </c>
      <c r="O1632" s="1" t="str">
        <f>VLOOKUP(H1632,'RM Used'!A:E,5,0)</f>
        <v>Count</v>
      </c>
      <c r="P1632" s="11">
        <f>VLOOKUP(H1632,'RM Used'!A:F,6,0)</f>
        <v>0.28000000000000003</v>
      </c>
      <c r="Q1632" s="11">
        <f t="shared" si="508"/>
        <v>0.28000000000000003</v>
      </c>
      <c r="R1632" s="11" cm="1">
        <f t="array" ref="R1632">IFERROR(_xlfn.IFS(B1632="Reynolds",VLOOKUP(H1632,'Yield &amp; Time'!A:U,21,0),B1632="Dnata",VLOOKUP(H1632,'Yield &amp; Time'!A:L,12,0),B1632="NK",VLOOKUP(H1632,'Yield &amp; Time'!A:W,23,0)),0)</f>
        <v>0</v>
      </c>
      <c r="S1632" s="11">
        <f t="shared" si="500"/>
        <v>0</v>
      </c>
      <c r="T1632" s="11">
        <f t="shared" si="501"/>
        <v>0</v>
      </c>
      <c r="U1632" s="11">
        <f>IF(A1631=A1632,0,VLOOKUP(A1632,'Packing Time'!A:F,6,0))</f>
        <v>0</v>
      </c>
      <c r="V1632" s="11">
        <f t="shared" si="486"/>
        <v>0</v>
      </c>
      <c r="W1632" s="11">
        <f t="shared" si="487"/>
        <v>0</v>
      </c>
      <c r="X1632" s="11">
        <f t="shared" si="502"/>
        <v>0</v>
      </c>
      <c r="Y1632" s="11">
        <f t="shared" si="488"/>
        <v>0</v>
      </c>
      <c r="Z1632" s="37">
        <v>1</v>
      </c>
      <c r="AA1632" s="36">
        <f t="shared" si="503"/>
        <v>1</v>
      </c>
      <c r="AB1632" s="11">
        <f t="shared" si="504"/>
        <v>0.28000000000000003</v>
      </c>
      <c r="AC1632" s="11">
        <f t="shared" si="505"/>
        <v>0</v>
      </c>
      <c r="AD1632" s="36">
        <f t="shared" si="489"/>
        <v>0</v>
      </c>
      <c r="AE1632" s="36"/>
      <c r="AF1632" s="36">
        <f>IFERROR(VLOOKUP(AE1632,'Chemical Cost'!A:D,4,0),0)</f>
        <v>0</v>
      </c>
      <c r="AG1632" s="114">
        <f t="shared" si="506"/>
        <v>0</v>
      </c>
      <c r="AH1632" s="36">
        <f t="shared" si="485"/>
        <v>0</v>
      </c>
      <c r="AI1632" s="36">
        <f t="shared" si="511"/>
        <v>0.28000000000000003</v>
      </c>
      <c r="AJ1632" s="36">
        <f>IFERROR(VLOOKUP(A1632,'All Products'!A:F,6,0),0)</f>
        <v>5.0999999999999996</v>
      </c>
      <c r="AK1632" s="36"/>
      <c r="AL1632" s="23">
        <v>1</v>
      </c>
      <c r="AP1632" s="4">
        <v>1.6</v>
      </c>
      <c r="AQ1632" s="111">
        <f t="shared" si="507"/>
        <v>0</v>
      </c>
      <c r="AR1632">
        <f>_xlfn.XLOOKUP(F1632,'RM Cost'!A:A,'RM Cost'!S:S)</f>
        <v>0</v>
      </c>
      <c r="AS1632" t="e">
        <f>_xlfn.XLOOKUP(A1632,[3]Sheet1!$B:$B,[3]Sheet1!$B:$B)</f>
        <v>#N/A</v>
      </c>
    </row>
    <row r="1633" spans="1:45" x14ac:dyDescent="0.25">
      <c r="A1633" s="1" t="s">
        <v>4559</v>
      </c>
      <c r="B1633" s="2" t="s">
        <v>552</v>
      </c>
      <c r="C1633" s="1" t="s">
        <v>4569</v>
      </c>
      <c r="D1633" s="2" t="s">
        <v>554</v>
      </c>
      <c r="E1633" s="2">
        <v>2.5</v>
      </c>
      <c r="F1633" s="1" t="str">
        <f>VLOOKUP(H1633,'RM Used'!A:B,2,0)</f>
        <v>023ACS</v>
      </c>
      <c r="G1633" s="1" t="str">
        <f>IFERROR(VLOOKUP(F1633,'RM Cost'!A:B,2,0),"")</f>
        <v>RM - SHALLOT BANANA 1X20KG</v>
      </c>
      <c r="H1633" s="2" t="s">
        <v>1576</v>
      </c>
      <c r="I1633" s="1" t="str">
        <f>VLOOKUP(F1633,'RM Used'!B:D,3,0)</f>
        <v>RM-FOOD</v>
      </c>
      <c r="J1633" s="66">
        <v>1</v>
      </c>
      <c r="K1633" s="35">
        <f t="shared" si="509"/>
        <v>2.5</v>
      </c>
      <c r="L1633" s="35">
        <f t="shared" si="499"/>
        <v>2.5</v>
      </c>
      <c r="M1633" s="77" cm="1">
        <f t="array" ref="M1633">_xlfn.IFS(BOM!I1633="RM-PACKING","100%",B1633="Reynolds",VLOOKUP(H1633,'Yield &amp; Time'!A:V,22,0),BOM!B1633="Dnata",VLOOKUP(BOM!H1633,'Yield &amp; Time'!A:M,13,0),B1633="NK",VLOOKUP(H1633,'Yield &amp; Time'!A:X,24,0))</f>
        <v>0.81408450704225344</v>
      </c>
      <c r="N1633" s="35">
        <f t="shared" si="510"/>
        <v>3.0709342560553639</v>
      </c>
      <c r="O1633" s="1" t="str">
        <f>VLOOKUP(H1633,'RM Used'!A:E,5,0)</f>
        <v>KG</v>
      </c>
      <c r="P1633" s="11">
        <f>VLOOKUP(H1633,'RM Used'!A:F,6,0)</f>
        <v>0.92</v>
      </c>
      <c r="Q1633" s="11">
        <f t="shared" si="508"/>
        <v>2.8252595155709348</v>
      </c>
      <c r="R1633" s="11" cm="1">
        <f t="array" ref="R1633">IFERROR(_xlfn.IFS(B1633="Reynolds",VLOOKUP(H1633,'Yield &amp; Time'!A:U,21,0),B1633="Dnata",VLOOKUP(H1633,'Yield &amp; Time'!A:L,12,0),B1633="NK",VLOOKUP(H1633,'Yield &amp; Time'!A:W,23,0)),0)</f>
        <v>4.1522491349480974</v>
      </c>
      <c r="S1633" s="11">
        <f t="shared" si="500"/>
        <v>3.5138408304498268</v>
      </c>
      <c r="T1633" s="11">
        <f t="shared" si="501"/>
        <v>0.17301038062283738</v>
      </c>
      <c r="U1633" s="11">
        <f>IF(A1632=A1633,0,VLOOKUP(A1633,'Packing Time'!A:F,6,0))</f>
        <v>0.875</v>
      </c>
      <c r="V1633" s="11">
        <f t="shared" si="486"/>
        <v>0.29618749999999999</v>
      </c>
      <c r="W1633" s="11">
        <f t="shared" si="487"/>
        <v>1.4583333333333334E-2</v>
      </c>
      <c r="X1633" s="11">
        <f t="shared" si="502"/>
        <v>6.0960453287197236</v>
      </c>
      <c r="Y1633" s="11">
        <f t="shared" si="488"/>
        <v>6.0960453287197236</v>
      </c>
      <c r="Z1633" s="37">
        <v>1</v>
      </c>
      <c r="AA1633" s="36">
        <f t="shared" si="503"/>
        <v>3.0709342560553639</v>
      </c>
      <c r="AB1633" s="11">
        <f t="shared" si="504"/>
        <v>2.8252595155709348</v>
      </c>
      <c r="AC1633" s="11">
        <f t="shared" si="505"/>
        <v>0.30014994232987319</v>
      </c>
      <c r="AD1633" s="36">
        <f t="shared" si="489"/>
        <v>6.0960453287197245</v>
      </c>
      <c r="AE1633" s="36"/>
      <c r="AF1633" s="36">
        <f>IFERROR(VLOOKUP(AE1633,'Chemical Cost'!A:D,4,0),0)</f>
        <v>0</v>
      </c>
      <c r="AG1633" s="114">
        <f t="shared" si="506"/>
        <v>0</v>
      </c>
      <c r="AH1633" s="36">
        <f t="shared" si="485"/>
        <v>0</v>
      </c>
      <c r="AI1633" s="36">
        <f t="shared" si="511"/>
        <v>8.921304844290658</v>
      </c>
      <c r="AJ1633" s="36">
        <f>IFERROR(VLOOKUP(A1633,'All Products'!A:F,6,0),0)</f>
        <v>10.3</v>
      </c>
      <c r="AK1633" s="36"/>
      <c r="AL1633" s="23">
        <v>1</v>
      </c>
      <c r="AP1633" s="4">
        <v>1.6</v>
      </c>
      <c r="AQ1633" s="111">
        <f t="shared" si="507"/>
        <v>0.30014994232987319</v>
      </c>
      <c r="AR1633">
        <f>_xlfn.XLOOKUP(F1633,'RM Cost'!A:A,'RM Cost'!S:S)</f>
        <v>0</v>
      </c>
      <c r="AS1633" t="e">
        <f>_xlfn.XLOOKUP(A1633,[3]Sheet1!$B:$B,[3]Sheet1!$B:$B)</f>
        <v>#N/A</v>
      </c>
    </row>
    <row r="1634" spans="1:45" x14ac:dyDescent="0.25">
      <c r="A1634" s="1" t="s">
        <v>4559</v>
      </c>
      <c r="B1634" s="2" t="s">
        <v>552</v>
      </c>
      <c r="C1634" s="1" t="s">
        <v>4569</v>
      </c>
      <c r="D1634" s="2" t="s">
        <v>554</v>
      </c>
      <c r="E1634" s="2">
        <v>2.5</v>
      </c>
      <c r="F1634" s="1" t="str">
        <f>VLOOKUP(H1634,'RM Used'!A:B,2,0)</f>
        <v>P0008</v>
      </c>
      <c r="G1634" s="1" t="str">
        <f>IFERROR(VLOOKUP(F1634,'RM Cost'!A:B,2,0),"")</f>
        <v>PALE BLUE BAG 470X750MM</v>
      </c>
      <c r="H1634" s="2" t="s">
        <v>1323</v>
      </c>
      <c r="I1634" s="1" t="str">
        <f>VLOOKUP(F1634,'RM Used'!B:D,3,0)</f>
        <v>RM-PACKING</v>
      </c>
      <c r="J1634" s="66">
        <v>1</v>
      </c>
      <c r="K1634" s="35" t="str">
        <f t="shared" si="509"/>
        <v/>
      </c>
      <c r="L1634" s="35">
        <f t="shared" si="499"/>
        <v>0</v>
      </c>
      <c r="M1634" s="77" t="str" cm="1">
        <f t="array" ref="M1634">_xlfn.IFS(BOM!I1634="RM-PACKING","100%",B1634="Reynolds",VLOOKUP(H1634,'Yield &amp; Time'!A:V,22,0),BOM!B1634="Dnata",VLOOKUP(BOM!H1634,'Yield &amp; Time'!A:M,13,0),B1634="NK",VLOOKUP(H1634,'Yield &amp; Time'!A:X,24,0))</f>
        <v>100%</v>
      </c>
      <c r="N1634" s="35">
        <f t="shared" si="510"/>
        <v>1</v>
      </c>
      <c r="O1634" s="1" t="str">
        <f>VLOOKUP(H1634,'RM Used'!A:E,5,0)</f>
        <v>Count</v>
      </c>
      <c r="P1634" s="11">
        <f>VLOOKUP(H1634,'RM Used'!A:F,6,0)</f>
        <v>0.14000000000000001</v>
      </c>
      <c r="Q1634" s="11">
        <f t="shared" si="508"/>
        <v>0.14000000000000001</v>
      </c>
      <c r="R1634" s="11" cm="1">
        <f t="array" ref="R1634">IFERROR(_xlfn.IFS(B1634="Reynolds",VLOOKUP(H1634,'Yield &amp; Time'!A:U,21,0),B1634="Dnata",VLOOKUP(H1634,'Yield &amp; Time'!A:L,12,0),B1634="NK",VLOOKUP(H1634,'Yield &amp; Time'!A:W,23,0)),0)</f>
        <v>0</v>
      </c>
      <c r="S1634" s="11">
        <f t="shared" si="500"/>
        <v>0</v>
      </c>
      <c r="T1634" s="11">
        <f t="shared" si="501"/>
        <v>0</v>
      </c>
      <c r="U1634" s="11">
        <f>IF(A1633=A1634,0,VLOOKUP(A1634,'Packing Time'!A:F,6,0))</f>
        <v>0</v>
      </c>
      <c r="V1634" s="11">
        <f t="shared" si="486"/>
        <v>0</v>
      </c>
      <c r="W1634" s="11">
        <f t="shared" si="487"/>
        <v>0</v>
      </c>
      <c r="X1634" s="11">
        <f t="shared" si="502"/>
        <v>0</v>
      </c>
      <c r="Y1634" s="11">
        <f t="shared" si="488"/>
        <v>0</v>
      </c>
      <c r="Z1634" s="37">
        <v>1</v>
      </c>
      <c r="AA1634" s="36">
        <f t="shared" si="503"/>
        <v>1</v>
      </c>
      <c r="AB1634" s="11">
        <f t="shared" si="504"/>
        <v>0.14000000000000001</v>
      </c>
      <c r="AC1634" s="11">
        <f t="shared" si="505"/>
        <v>0</v>
      </c>
      <c r="AD1634" s="36">
        <f t="shared" si="489"/>
        <v>0</v>
      </c>
      <c r="AE1634" s="36"/>
      <c r="AF1634" s="36">
        <f>IFERROR(VLOOKUP(AE1634,'Chemical Cost'!A:D,4,0),0)</f>
        <v>0</v>
      </c>
      <c r="AG1634" s="114">
        <f t="shared" si="506"/>
        <v>0</v>
      </c>
      <c r="AH1634" s="36">
        <f t="shared" si="485"/>
        <v>0</v>
      </c>
      <c r="AI1634" s="36">
        <f t="shared" si="511"/>
        <v>0.14000000000000001</v>
      </c>
      <c r="AJ1634" s="36">
        <f>IFERROR(VLOOKUP(A1634,'All Products'!A:F,6,0),0)</f>
        <v>10.3</v>
      </c>
      <c r="AK1634" s="36"/>
      <c r="AL1634" s="23">
        <v>1</v>
      </c>
      <c r="AP1634" s="4">
        <v>1.6</v>
      </c>
      <c r="AQ1634" s="111">
        <f t="shared" si="507"/>
        <v>0</v>
      </c>
      <c r="AR1634">
        <f>_xlfn.XLOOKUP(F1634,'RM Cost'!A:A,'RM Cost'!S:S)</f>
        <v>0</v>
      </c>
      <c r="AS1634" t="e">
        <f>_xlfn.XLOOKUP(A1634,[3]Sheet1!$B:$B,[3]Sheet1!$B:$B)</f>
        <v>#N/A</v>
      </c>
    </row>
    <row r="1635" spans="1:45" x14ac:dyDescent="0.25">
      <c r="A1635" s="1" t="s">
        <v>4559</v>
      </c>
      <c r="B1635" s="2" t="s">
        <v>552</v>
      </c>
      <c r="C1635" s="1" t="s">
        <v>4569</v>
      </c>
      <c r="D1635" s="2" t="s">
        <v>554</v>
      </c>
      <c r="E1635" s="2">
        <v>2.5</v>
      </c>
      <c r="F1635" s="1" t="str">
        <f>VLOOKUP(H1635,'RM Used'!A:B,2,0)</f>
        <v>P0016</v>
      </c>
      <c r="G1635" s="1" t="str">
        <f>IFERROR(VLOOKUP(F1635,'RM Cost'!A:B,2,0),"")</f>
        <v>REY 40 30 BOX</v>
      </c>
      <c r="H1635" s="1" t="s">
        <v>1332</v>
      </c>
      <c r="I1635" s="1" t="str">
        <f>VLOOKUP(F1635,'RM Used'!B:D,3,0)</f>
        <v>RM-PACKING</v>
      </c>
      <c r="J1635" s="66">
        <v>1</v>
      </c>
      <c r="K1635" s="35" t="str">
        <f t="shared" si="509"/>
        <v/>
      </c>
      <c r="L1635" s="35">
        <f t="shared" si="499"/>
        <v>0</v>
      </c>
      <c r="M1635" s="77" t="str" cm="1">
        <f t="array" ref="M1635">_xlfn.IFS(BOM!I1635="RM-PACKING","100%",B1635="Reynolds",VLOOKUP(H1635,'Yield &amp; Time'!A:V,22,0),BOM!B1635="Dnata",VLOOKUP(BOM!H1635,'Yield &amp; Time'!A:M,13,0),B1635="NK",VLOOKUP(H1635,'Yield &amp; Time'!A:X,24,0))</f>
        <v>100%</v>
      </c>
      <c r="N1635" s="35">
        <f t="shared" si="510"/>
        <v>1</v>
      </c>
      <c r="O1635" s="1" t="str">
        <f>VLOOKUP(H1635,'RM Used'!A:E,5,0)</f>
        <v>Count</v>
      </c>
      <c r="P1635" s="11">
        <f>VLOOKUP(H1635,'RM Used'!A:F,6,0)</f>
        <v>0.28000000000000003</v>
      </c>
      <c r="Q1635" s="11">
        <f t="shared" si="508"/>
        <v>0.28000000000000003</v>
      </c>
      <c r="R1635" s="11" cm="1">
        <f t="array" ref="R1635">IFERROR(_xlfn.IFS(B1635="Reynolds",VLOOKUP(H1635,'Yield &amp; Time'!A:U,21,0),B1635="Dnata",VLOOKUP(H1635,'Yield &amp; Time'!A:L,12,0),B1635="NK",VLOOKUP(H1635,'Yield &amp; Time'!A:W,23,0)),0)</f>
        <v>0</v>
      </c>
      <c r="S1635" s="11">
        <f t="shared" si="500"/>
        <v>0</v>
      </c>
      <c r="T1635" s="11">
        <f t="shared" si="501"/>
        <v>0</v>
      </c>
      <c r="U1635" s="11">
        <f>IF(A1634=A1635,0,VLOOKUP(A1635,'Packing Time'!A:F,6,0))</f>
        <v>0</v>
      </c>
      <c r="V1635" s="11">
        <f t="shared" si="486"/>
        <v>0</v>
      </c>
      <c r="W1635" s="11">
        <f t="shared" si="487"/>
        <v>0</v>
      </c>
      <c r="X1635" s="11">
        <f t="shared" si="502"/>
        <v>0</v>
      </c>
      <c r="Y1635" s="11">
        <f t="shared" si="488"/>
        <v>0</v>
      </c>
      <c r="Z1635" s="37">
        <v>1</v>
      </c>
      <c r="AA1635" s="36">
        <f t="shared" si="503"/>
        <v>1</v>
      </c>
      <c r="AB1635" s="11">
        <f t="shared" si="504"/>
        <v>0.28000000000000003</v>
      </c>
      <c r="AC1635" s="11">
        <f t="shared" si="505"/>
        <v>0</v>
      </c>
      <c r="AD1635" s="36">
        <f t="shared" si="489"/>
        <v>0</v>
      </c>
      <c r="AE1635" s="36"/>
      <c r="AF1635" s="36">
        <f>IFERROR(VLOOKUP(AE1635,'Chemical Cost'!A:D,4,0),0)</f>
        <v>0</v>
      </c>
      <c r="AG1635" s="114">
        <f t="shared" si="506"/>
        <v>0</v>
      </c>
      <c r="AH1635" s="36">
        <f t="shared" ref="AH1635:AH1697" si="512">AF1635*AA1635/3</f>
        <v>0</v>
      </c>
      <c r="AI1635" s="36">
        <f t="shared" si="511"/>
        <v>0.28000000000000003</v>
      </c>
      <c r="AJ1635" s="36">
        <f>IFERROR(VLOOKUP(A1635,'All Products'!A:F,6,0),0)</f>
        <v>10.3</v>
      </c>
      <c r="AK1635" s="36"/>
      <c r="AL1635" s="23">
        <v>1</v>
      </c>
      <c r="AP1635" s="4">
        <v>1.6</v>
      </c>
      <c r="AQ1635" s="111">
        <f t="shared" si="507"/>
        <v>0</v>
      </c>
      <c r="AR1635">
        <f>_xlfn.XLOOKUP(F1635,'RM Cost'!A:A,'RM Cost'!S:S)</f>
        <v>0</v>
      </c>
      <c r="AS1635" t="e">
        <f>_xlfn.XLOOKUP(A1635,[3]Sheet1!$B:$B,[3]Sheet1!$B:$B)</f>
        <v>#N/A</v>
      </c>
    </row>
    <row r="1636" spans="1:45" x14ac:dyDescent="0.25">
      <c r="A1636" s="1" t="s">
        <v>4560</v>
      </c>
      <c r="B1636" s="2" t="s">
        <v>552</v>
      </c>
      <c r="C1636" s="1" t="s">
        <v>4570</v>
      </c>
      <c r="D1636" s="2" t="s">
        <v>554</v>
      </c>
      <c r="E1636" s="2">
        <v>2.5</v>
      </c>
      <c r="F1636" s="1" t="str">
        <f>VLOOKUP(H1636,'RM Used'!A:B,2,0)</f>
        <v>032ACS</v>
      </c>
      <c r="G1636" s="1" t="str">
        <f>IFERROR(VLOOKUP(F1636,'RM Cost'!A:B,2,0),"")</f>
        <v>RM - LRG PROCESSING CARROT X 1000KG</v>
      </c>
      <c r="H1636" s="2" t="s">
        <v>1494</v>
      </c>
      <c r="I1636" s="1" t="str">
        <f>VLOOKUP(F1636,'RM Used'!B:D,3,0)</f>
        <v>RM-FOOD</v>
      </c>
      <c r="J1636" s="66">
        <v>1</v>
      </c>
      <c r="K1636" s="35">
        <f t="shared" si="509"/>
        <v>2.5</v>
      </c>
      <c r="L1636" s="35">
        <f t="shared" si="499"/>
        <v>2.5</v>
      </c>
      <c r="M1636" s="77" cm="1">
        <f t="array" ref="M1636">_xlfn.IFS(BOM!I1636="RM-PACKING","100%",B1636="Reynolds",VLOOKUP(H1636,'Yield &amp; Time'!A:V,22,0),BOM!B1636="Dnata",VLOOKUP(BOM!H1636,'Yield &amp; Time'!A:M,13,0),B1636="NK",VLOOKUP(H1636,'Yield &amp; Time'!A:X,24,0))</f>
        <v>0.73317345127230837</v>
      </c>
      <c r="N1636" s="35">
        <f t="shared" si="510"/>
        <v>3.40983432455395</v>
      </c>
      <c r="O1636" s="1" t="str">
        <f>VLOOKUP(H1636,'RM Used'!A:E,5,0)</f>
        <v>KG</v>
      </c>
      <c r="P1636" s="11">
        <f>VLOOKUP(H1636,'RM Used'!A:F,6,0)</f>
        <v>0.38</v>
      </c>
      <c r="Q1636" s="11">
        <f t="shared" si="508"/>
        <v>1.2957370433305011</v>
      </c>
      <c r="R1636" s="11" cm="1">
        <f t="array" ref="R1636">IFERROR(_xlfn.IFS(B1636="Reynolds",VLOOKUP(H1636,'Yield &amp; Time'!A:U,21,0),B1636="Dnata",VLOOKUP(H1636,'Yield &amp; Time'!A:L,12,0),B1636="NK",VLOOKUP(H1636,'Yield &amp; Time'!A:W,23,0)),0)</f>
        <v>1.1480576795997355</v>
      </c>
      <c r="S1636" s="11">
        <f t="shared" si="500"/>
        <v>0.97154381136127599</v>
      </c>
      <c r="T1636" s="11">
        <f t="shared" si="501"/>
        <v>4.7835736649988976E-2</v>
      </c>
      <c r="U1636" s="11">
        <f>IF(A1635=A1636,0,VLOOKUP(A1636,'Packing Time'!A:F,6,0))</f>
        <v>0.875</v>
      </c>
      <c r="V1636" s="11">
        <f t="shared" si="486"/>
        <v>0.29618749999999999</v>
      </c>
      <c r="W1636" s="11">
        <f t="shared" si="487"/>
        <v>1.4583333333333334E-2</v>
      </c>
      <c r="X1636" s="11">
        <f t="shared" si="502"/>
        <v>2.0283700981780419</v>
      </c>
      <c r="Y1636" s="11">
        <f t="shared" si="488"/>
        <v>2.0283700981780419</v>
      </c>
      <c r="Z1636" s="37">
        <v>1</v>
      </c>
      <c r="AA1636" s="36">
        <f t="shared" si="503"/>
        <v>3.40983432455395</v>
      </c>
      <c r="AB1636" s="11">
        <f t="shared" si="504"/>
        <v>1.2957370433305011</v>
      </c>
      <c r="AC1636" s="11">
        <f t="shared" si="505"/>
        <v>9.9870511973315701E-2</v>
      </c>
      <c r="AD1636" s="36">
        <f t="shared" si="489"/>
        <v>2.0283700981780419</v>
      </c>
      <c r="AE1636" s="36"/>
      <c r="AF1636" s="36">
        <f>IFERROR(VLOOKUP(AE1636,'Chemical Cost'!A:D,4,0),0)</f>
        <v>0</v>
      </c>
      <c r="AG1636" s="114">
        <f t="shared" si="506"/>
        <v>0</v>
      </c>
      <c r="AH1636" s="36">
        <f t="shared" si="512"/>
        <v>0</v>
      </c>
      <c r="AI1636" s="36">
        <f t="shared" si="511"/>
        <v>3.3241071415085433</v>
      </c>
      <c r="AJ1636" s="36">
        <f>IFERROR(VLOOKUP(A1636,'All Products'!A:F,6,0),0)</f>
        <v>4.2</v>
      </c>
      <c r="AK1636" s="36"/>
      <c r="AL1636" s="23">
        <v>1</v>
      </c>
      <c r="AP1636" s="4">
        <v>1.6</v>
      </c>
      <c r="AQ1636" s="111">
        <f t="shared" si="507"/>
        <v>9.9870511973315701E-2</v>
      </c>
      <c r="AR1636">
        <f>_xlfn.XLOOKUP(F1636,'RM Cost'!A:A,'RM Cost'!S:S)</f>
        <v>0</v>
      </c>
      <c r="AS1636" t="e">
        <f>_xlfn.XLOOKUP(A1636,[3]Sheet1!$B:$B,[3]Sheet1!$B:$B)</f>
        <v>#N/A</v>
      </c>
    </row>
    <row r="1637" spans="1:45" x14ac:dyDescent="0.25">
      <c r="A1637" s="1" t="s">
        <v>4560</v>
      </c>
      <c r="B1637" s="2" t="s">
        <v>552</v>
      </c>
      <c r="C1637" s="1" t="s">
        <v>4570</v>
      </c>
      <c r="D1637" s="2" t="s">
        <v>554</v>
      </c>
      <c r="E1637" s="2">
        <v>2.5</v>
      </c>
      <c r="F1637" s="1" t="str">
        <f>VLOOKUP(H1637,'RM Used'!A:B,2,0)</f>
        <v>P0008</v>
      </c>
      <c r="G1637" s="1" t="str">
        <f>IFERROR(VLOOKUP(F1637,'RM Cost'!A:B,2,0),"")</f>
        <v>PALE BLUE BAG 470X750MM</v>
      </c>
      <c r="H1637" s="2" t="s">
        <v>1323</v>
      </c>
      <c r="I1637" s="1" t="str">
        <f>VLOOKUP(F1637,'RM Used'!B:D,3,0)</f>
        <v>RM-PACKING</v>
      </c>
      <c r="J1637" s="66">
        <v>1</v>
      </c>
      <c r="K1637" s="35" t="str">
        <f t="shared" si="509"/>
        <v/>
      </c>
      <c r="L1637" s="35">
        <f t="shared" si="499"/>
        <v>0</v>
      </c>
      <c r="M1637" s="77" t="str" cm="1">
        <f t="array" ref="M1637">_xlfn.IFS(BOM!I1637="RM-PACKING","100%",B1637="Reynolds",VLOOKUP(H1637,'Yield &amp; Time'!A:V,22,0),BOM!B1637="Dnata",VLOOKUP(BOM!H1637,'Yield &amp; Time'!A:M,13,0),B1637="NK",VLOOKUP(H1637,'Yield &amp; Time'!A:X,24,0))</f>
        <v>100%</v>
      </c>
      <c r="N1637" s="35">
        <f t="shared" si="510"/>
        <v>1</v>
      </c>
      <c r="O1637" s="1" t="str">
        <f>VLOOKUP(H1637,'RM Used'!A:E,5,0)</f>
        <v>Count</v>
      </c>
      <c r="P1637" s="11">
        <f>VLOOKUP(H1637,'RM Used'!A:F,6,0)</f>
        <v>0.14000000000000001</v>
      </c>
      <c r="Q1637" s="11">
        <f t="shared" si="508"/>
        <v>0.14000000000000001</v>
      </c>
      <c r="R1637" s="11" cm="1">
        <f t="array" ref="R1637">IFERROR(_xlfn.IFS(B1637="Reynolds",VLOOKUP(H1637,'Yield &amp; Time'!A:U,21,0),B1637="Dnata",VLOOKUP(H1637,'Yield &amp; Time'!A:L,12,0),B1637="NK",VLOOKUP(H1637,'Yield &amp; Time'!A:W,23,0)),0)</f>
        <v>0</v>
      </c>
      <c r="S1637" s="11">
        <f t="shared" si="500"/>
        <v>0</v>
      </c>
      <c r="T1637" s="11">
        <f t="shared" si="501"/>
        <v>0</v>
      </c>
      <c r="U1637" s="11">
        <f>IF(A1636=A1637,0,VLOOKUP(A1637,'Packing Time'!A:F,6,0))</f>
        <v>0</v>
      </c>
      <c r="V1637" s="11">
        <f t="shared" si="486"/>
        <v>0</v>
      </c>
      <c r="W1637" s="11">
        <f t="shared" si="487"/>
        <v>0</v>
      </c>
      <c r="X1637" s="11">
        <f t="shared" si="502"/>
        <v>0</v>
      </c>
      <c r="Y1637" s="11">
        <f t="shared" si="488"/>
        <v>0</v>
      </c>
      <c r="Z1637" s="37">
        <v>1</v>
      </c>
      <c r="AA1637" s="36">
        <f t="shared" si="503"/>
        <v>1</v>
      </c>
      <c r="AB1637" s="11">
        <f t="shared" si="504"/>
        <v>0.14000000000000001</v>
      </c>
      <c r="AC1637" s="11">
        <f t="shared" si="505"/>
        <v>0</v>
      </c>
      <c r="AD1637" s="36">
        <f t="shared" si="489"/>
        <v>0</v>
      </c>
      <c r="AE1637" s="36"/>
      <c r="AF1637" s="36">
        <f>IFERROR(VLOOKUP(AE1637,'Chemical Cost'!A:D,4,0),0)</f>
        <v>0</v>
      </c>
      <c r="AG1637" s="114">
        <f t="shared" si="506"/>
        <v>0</v>
      </c>
      <c r="AH1637" s="36">
        <f t="shared" si="512"/>
        <v>0</v>
      </c>
      <c r="AI1637" s="36">
        <f t="shared" si="511"/>
        <v>0.14000000000000001</v>
      </c>
      <c r="AJ1637" s="36">
        <f>IFERROR(VLOOKUP(A1637,'All Products'!A:F,6,0),0)</f>
        <v>4.2</v>
      </c>
      <c r="AK1637" s="36"/>
      <c r="AL1637" s="23">
        <v>1</v>
      </c>
      <c r="AP1637" s="4">
        <v>1.6</v>
      </c>
      <c r="AQ1637" s="111">
        <f t="shared" si="507"/>
        <v>0</v>
      </c>
      <c r="AR1637">
        <f>_xlfn.XLOOKUP(F1637,'RM Cost'!A:A,'RM Cost'!S:S)</f>
        <v>0</v>
      </c>
      <c r="AS1637" t="e">
        <f>_xlfn.XLOOKUP(A1637,[3]Sheet1!$B:$B,[3]Sheet1!$B:$B)</f>
        <v>#N/A</v>
      </c>
    </row>
    <row r="1638" spans="1:45" x14ac:dyDescent="0.25">
      <c r="A1638" s="1" t="s">
        <v>4560</v>
      </c>
      <c r="B1638" s="2" t="s">
        <v>552</v>
      </c>
      <c r="C1638" s="1" t="s">
        <v>4570</v>
      </c>
      <c r="D1638" s="2" t="s">
        <v>554</v>
      </c>
      <c r="E1638" s="2">
        <v>2.5</v>
      </c>
      <c r="F1638" s="1" t="str">
        <f>VLOOKUP(H1638,'RM Used'!A:B,2,0)</f>
        <v>P0016</v>
      </c>
      <c r="G1638" s="1" t="str">
        <f>IFERROR(VLOOKUP(F1638,'RM Cost'!A:B,2,0),"")</f>
        <v>REY 40 30 BOX</v>
      </c>
      <c r="H1638" s="1" t="s">
        <v>1332</v>
      </c>
      <c r="I1638" s="1" t="str">
        <f>VLOOKUP(F1638,'RM Used'!B:D,3,0)</f>
        <v>RM-PACKING</v>
      </c>
      <c r="J1638" s="66">
        <v>1</v>
      </c>
      <c r="K1638" s="35" t="str">
        <f t="shared" si="509"/>
        <v/>
      </c>
      <c r="L1638" s="35">
        <f t="shared" si="499"/>
        <v>0</v>
      </c>
      <c r="M1638" s="77" t="str" cm="1">
        <f t="array" ref="M1638">_xlfn.IFS(BOM!I1638="RM-PACKING","100%",B1638="Reynolds",VLOOKUP(H1638,'Yield &amp; Time'!A:V,22,0),BOM!B1638="Dnata",VLOOKUP(BOM!H1638,'Yield &amp; Time'!A:M,13,0),B1638="NK",VLOOKUP(H1638,'Yield &amp; Time'!A:X,24,0))</f>
        <v>100%</v>
      </c>
      <c r="N1638" s="35">
        <f t="shared" si="510"/>
        <v>1</v>
      </c>
      <c r="O1638" s="1" t="str">
        <f>VLOOKUP(H1638,'RM Used'!A:E,5,0)</f>
        <v>Count</v>
      </c>
      <c r="P1638" s="11">
        <f>VLOOKUP(H1638,'RM Used'!A:F,6,0)</f>
        <v>0.28000000000000003</v>
      </c>
      <c r="Q1638" s="11">
        <f t="shared" si="508"/>
        <v>0.28000000000000003</v>
      </c>
      <c r="R1638" s="11" cm="1">
        <f t="array" ref="R1638">IFERROR(_xlfn.IFS(B1638="Reynolds",VLOOKUP(H1638,'Yield &amp; Time'!A:U,21,0),B1638="Dnata",VLOOKUP(H1638,'Yield &amp; Time'!A:L,12,0),B1638="NK",VLOOKUP(H1638,'Yield &amp; Time'!A:W,23,0)),0)</f>
        <v>0</v>
      </c>
      <c r="S1638" s="11">
        <f t="shared" si="500"/>
        <v>0</v>
      </c>
      <c r="T1638" s="11">
        <f t="shared" si="501"/>
        <v>0</v>
      </c>
      <c r="U1638" s="11">
        <f>IF(A1637=A1638,0,VLOOKUP(A1638,'Packing Time'!A:F,6,0))</f>
        <v>0</v>
      </c>
      <c r="V1638" s="11">
        <f t="shared" si="486"/>
        <v>0</v>
      </c>
      <c r="W1638" s="11">
        <f t="shared" si="487"/>
        <v>0</v>
      </c>
      <c r="X1638" s="11">
        <f t="shared" si="502"/>
        <v>0</v>
      </c>
      <c r="Y1638" s="11">
        <f t="shared" si="488"/>
        <v>0</v>
      </c>
      <c r="Z1638" s="37">
        <v>1</v>
      </c>
      <c r="AA1638" s="36">
        <f t="shared" si="503"/>
        <v>1</v>
      </c>
      <c r="AB1638" s="11">
        <f t="shared" si="504"/>
        <v>0.28000000000000003</v>
      </c>
      <c r="AC1638" s="11">
        <f t="shared" si="505"/>
        <v>0</v>
      </c>
      <c r="AD1638" s="36">
        <f t="shared" si="489"/>
        <v>0</v>
      </c>
      <c r="AE1638" s="36"/>
      <c r="AF1638" s="36">
        <f>IFERROR(VLOOKUP(AE1638,'Chemical Cost'!A:D,4,0),0)</f>
        <v>0</v>
      </c>
      <c r="AG1638" s="114">
        <f t="shared" si="506"/>
        <v>0</v>
      </c>
      <c r="AH1638" s="36">
        <f t="shared" si="512"/>
        <v>0</v>
      </c>
      <c r="AI1638" s="36">
        <f t="shared" si="511"/>
        <v>0.28000000000000003</v>
      </c>
      <c r="AJ1638" s="36">
        <f>IFERROR(VLOOKUP(A1638,'All Products'!A:F,6,0),0)</f>
        <v>4.2</v>
      </c>
      <c r="AK1638" s="36"/>
      <c r="AL1638" s="23">
        <v>1</v>
      </c>
      <c r="AP1638" s="4">
        <v>1.6</v>
      </c>
      <c r="AQ1638" s="111">
        <f t="shared" si="507"/>
        <v>0</v>
      </c>
      <c r="AR1638">
        <f>_xlfn.XLOOKUP(F1638,'RM Cost'!A:A,'RM Cost'!S:S)</f>
        <v>0</v>
      </c>
      <c r="AS1638" t="e">
        <f>_xlfn.XLOOKUP(A1638,[3]Sheet1!$B:$B,[3]Sheet1!$B:$B)</f>
        <v>#N/A</v>
      </c>
    </row>
    <row r="1639" spans="1:45" x14ac:dyDescent="0.25">
      <c r="A1639" s="1" t="s">
        <v>4561</v>
      </c>
      <c r="B1639" s="2" t="s">
        <v>552</v>
      </c>
      <c r="C1639" s="1" t="s">
        <v>4571</v>
      </c>
      <c r="D1639" s="2" t="s">
        <v>554</v>
      </c>
      <c r="E1639" s="2">
        <v>2.5</v>
      </c>
      <c r="F1639" s="1" t="str">
        <f>VLOOKUP(H1639,'RM Used'!A:B,2,0)</f>
        <v>3034CS</v>
      </c>
      <c r="G1639" s="1" t="str">
        <f>IFERROR(VLOOKUP(F1639,'RM Cost'!A:B,2,0),"")</f>
        <v>RM - BROCCOLI 6KG</v>
      </c>
      <c r="H1639" s="2" t="s">
        <v>1480</v>
      </c>
      <c r="I1639" s="1" t="str">
        <f>VLOOKUP(F1639,'RM Used'!B:D,3,0)</f>
        <v>RM-FOOD</v>
      </c>
      <c r="J1639" s="66">
        <v>1</v>
      </c>
      <c r="K1639" s="35">
        <f t="shared" si="509"/>
        <v>2.5</v>
      </c>
      <c r="L1639" s="35">
        <f t="shared" si="499"/>
        <v>2.5</v>
      </c>
      <c r="M1639" s="77" cm="1">
        <f t="array" ref="M1639">_xlfn.IFS(BOM!I1639="RM-PACKING","100%",B1639="Reynolds",VLOOKUP(H1639,'Yield &amp; Time'!A:V,22,0),BOM!B1639="Dnata",VLOOKUP(BOM!H1639,'Yield &amp; Time'!A:M,13,0),B1639="NK",VLOOKUP(H1639,'Yield &amp; Time'!A:X,24,0))</f>
        <v>0.57999999999999996</v>
      </c>
      <c r="N1639" s="35">
        <f t="shared" si="510"/>
        <v>4.3103448275862073</v>
      </c>
      <c r="O1639" s="1" t="str">
        <f>VLOOKUP(H1639,'RM Used'!A:E,5,0)</f>
        <v>KG</v>
      </c>
      <c r="P1639" s="11">
        <f>VLOOKUP(H1639,'RM Used'!A:F,6,0)</f>
        <v>1.02</v>
      </c>
      <c r="Q1639" s="11">
        <f t="shared" si="508"/>
        <v>4.3965517241379315</v>
      </c>
      <c r="R1639" s="11" cm="1">
        <f t="array" ref="R1639">IFERROR(_xlfn.IFS(B1639="Reynolds",VLOOKUP(H1639,'Yield &amp; Time'!A:U,21,0),B1639="Dnata",VLOOKUP(H1639,'Yield &amp; Time'!A:L,12,0),B1639="NK",VLOOKUP(H1639,'Yield &amp; Time'!A:W,23,0)),0)</f>
        <v>2.7</v>
      </c>
      <c r="S1639" s="11">
        <f t="shared" si="500"/>
        <v>2.284875</v>
      </c>
      <c r="T1639" s="11">
        <f t="shared" si="501"/>
        <v>0.1125</v>
      </c>
      <c r="U1639" s="11">
        <f>IF(A1638=A1639,0,VLOOKUP(A1639,'Packing Time'!A:F,6,0))</f>
        <v>0.875</v>
      </c>
      <c r="V1639" s="11">
        <f t="shared" si="486"/>
        <v>0.29618749999999999</v>
      </c>
      <c r="W1639" s="11">
        <f t="shared" si="487"/>
        <v>1.4583333333333334E-2</v>
      </c>
      <c r="X1639" s="11">
        <f t="shared" si="502"/>
        <v>4.1296999999999997</v>
      </c>
      <c r="Y1639" s="11">
        <f t="shared" si="488"/>
        <v>4.1296999999999997</v>
      </c>
      <c r="Z1639" s="37">
        <v>1</v>
      </c>
      <c r="AA1639" s="36">
        <f t="shared" si="503"/>
        <v>4.3103448275862073</v>
      </c>
      <c r="AB1639" s="11">
        <f t="shared" si="504"/>
        <v>4.3965517241379315</v>
      </c>
      <c r="AC1639" s="11">
        <f t="shared" si="505"/>
        <v>0.20333333333333334</v>
      </c>
      <c r="AD1639" s="36">
        <f t="shared" si="489"/>
        <v>4.1296999999999997</v>
      </c>
      <c r="AE1639" s="36"/>
      <c r="AF1639" s="36">
        <f>IFERROR(VLOOKUP(AE1639,'Chemical Cost'!A:D,4,0),0)</f>
        <v>0</v>
      </c>
      <c r="AG1639" s="114">
        <f t="shared" si="506"/>
        <v>0</v>
      </c>
      <c r="AH1639" s="36">
        <f t="shared" si="512"/>
        <v>0</v>
      </c>
      <c r="AI1639" s="36">
        <f t="shared" si="511"/>
        <v>8.5262517241379321</v>
      </c>
      <c r="AJ1639" s="36">
        <f>IFERROR(VLOOKUP(A1639,'All Products'!A:F,6,0),0)</f>
        <v>15.6</v>
      </c>
      <c r="AK1639" s="36"/>
      <c r="AL1639" s="23">
        <v>1</v>
      </c>
      <c r="AP1639" s="4">
        <v>1.6</v>
      </c>
      <c r="AQ1639" s="111">
        <f t="shared" si="507"/>
        <v>0.20333333333333334</v>
      </c>
      <c r="AR1639">
        <f>_xlfn.XLOOKUP(F1639,'RM Cost'!A:A,'RM Cost'!S:S)</f>
        <v>0</v>
      </c>
      <c r="AS1639" t="e">
        <f>_xlfn.XLOOKUP(A1639,[3]Sheet1!$B:$B,[3]Sheet1!$B:$B)</f>
        <v>#N/A</v>
      </c>
    </row>
    <row r="1640" spans="1:45" x14ac:dyDescent="0.25">
      <c r="A1640" s="1" t="s">
        <v>4561</v>
      </c>
      <c r="B1640" s="2" t="s">
        <v>552</v>
      </c>
      <c r="C1640" s="1" t="s">
        <v>4571</v>
      </c>
      <c r="D1640" s="2" t="s">
        <v>554</v>
      </c>
      <c r="E1640" s="2">
        <v>2.5</v>
      </c>
      <c r="F1640" s="1" t="str">
        <f>VLOOKUP(H1640,'RM Used'!A:B,2,0)</f>
        <v>P0008</v>
      </c>
      <c r="G1640" s="1" t="str">
        <f>IFERROR(VLOOKUP(F1640,'RM Cost'!A:B,2,0),"")</f>
        <v>PALE BLUE BAG 470X750MM</v>
      </c>
      <c r="H1640" s="2" t="s">
        <v>1323</v>
      </c>
      <c r="I1640" s="1" t="str">
        <f>VLOOKUP(F1640,'RM Used'!B:D,3,0)</f>
        <v>RM-PACKING</v>
      </c>
      <c r="J1640" s="66">
        <v>1</v>
      </c>
      <c r="K1640" s="35" t="str">
        <f t="shared" si="509"/>
        <v/>
      </c>
      <c r="L1640" s="35">
        <f t="shared" si="499"/>
        <v>0</v>
      </c>
      <c r="M1640" s="77" t="str" cm="1">
        <f t="array" ref="M1640">_xlfn.IFS(BOM!I1640="RM-PACKING","100%",B1640="Reynolds",VLOOKUP(H1640,'Yield &amp; Time'!A:V,22,0),BOM!B1640="Dnata",VLOOKUP(BOM!H1640,'Yield &amp; Time'!A:M,13,0),B1640="NK",VLOOKUP(H1640,'Yield &amp; Time'!A:X,24,0))</f>
        <v>100%</v>
      </c>
      <c r="N1640" s="35">
        <f t="shared" si="510"/>
        <v>1</v>
      </c>
      <c r="O1640" s="1" t="str">
        <f>VLOOKUP(H1640,'RM Used'!A:E,5,0)</f>
        <v>Count</v>
      </c>
      <c r="P1640" s="11">
        <f>VLOOKUP(H1640,'RM Used'!A:F,6,0)</f>
        <v>0.14000000000000001</v>
      </c>
      <c r="Q1640" s="11">
        <f t="shared" si="508"/>
        <v>0.14000000000000001</v>
      </c>
      <c r="R1640" s="11" cm="1">
        <f t="array" ref="R1640">IFERROR(_xlfn.IFS(B1640="Reynolds",VLOOKUP(H1640,'Yield &amp; Time'!A:U,21,0),B1640="Dnata",VLOOKUP(H1640,'Yield &amp; Time'!A:L,12,0),B1640="NK",VLOOKUP(H1640,'Yield &amp; Time'!A:W,23,0)),0)</f>
        <v>0</v>
      </c>
      <c r="S1640" s="11">
        <f t="shared" si="500"/>
        <v>0</v>
      </c>
      <c r="T1640" s="11">
        <f t="shared" si="501"/>
        <v>0</v>
      </c>
      <c r="U1640" s="11">
        <f>IF(A1639=A1640,0,VLOOKUP(A1640,'Packing Time'!A:F,6,0))</f>
        <v>0</v>
      </c>
      <c r="V1640" s="11">
        <f t="shared" si="486"/>
        <v>0</v>
      </c>
      <c r="W1640" s="11">
        <f t="shared" si="487"/>
        <v>0</v>
      </c>
      <c r="X1640" s="11">
        <f t="shared" si="502"/>
        <v>0</v>
      </c>
      <c r="Y1640" s="11">
        <f t="shared" si="488"/>
        <v>0</v>
      </c>
      <c r="Z1640" s="37">
        <v>1</v>
      </c>
      <c r="AA1640" s="36">
        <f t="shared" si="503"/>
        <v>1</v>
      </c>
      <c r="AB1640" s="11">
        <f t="shared" si="504"/>
        <v>0.14000000000000001</v>
      </c>
      <c r="AC1640" s="11">
        <f t="shared" si="505"/>
        <v>0</v>
      </c>
      <c r="AD1640" s="36">
        <f t="shared" si="489"/>
        <v>0</v>
      </c>
      <c r="AE1640" s="36"/>
      <c r="AF1640" s="36">
        <f>IFERROR(VLOOKUP(AE1640,'Chemical Cost'!A:D,4,0),0)</f>
        <v>0</v>
      </c>
      <c r="AG1640" s="114">
        <f t="shared" si="506"/>
        <v>0</v>
      </c>
      <c r="AH1640" s="36">
        <f t="shared" si="512"/>
        <v>0</v>
      </c>
      <c r="AI1640" s="36">
        <f t="shared" si="511"/>
        <v>0.14000000000000001</v>
      </c>
      <c r="AJ1640" s="36">
        <f>IFERROR(VLOOKUP(A1640,'All Products'!A:F,6,0),0)</f>
        <v>15.6</v>
      </c>
      <c r="AK1640" s="36"/>
      <c r="AL1640" s="23">
        <v>1</v>
      </c>
      <c r="AP1640" s="4">
        <v>1.6</v>
      </c>
      <c r="AQ1640" s="111">
        <f t="shared" si="507"/>
        <v>0</v>
      </c>
      <c r="AR1640">
        <f>_xlfn.XLOOKUP(F1640,'RM Cost'!A:A,'RM Cost'!S:S)</f>
        <v>0</v>
      </c>
      <c r="AS1640" t="e">
        <f>_xlfn.XLOOKUP(A1640,[3]Sheet1!$B:$B,[3]Sheet1!$B:$B)</f>
        <v>#N/A</v>
      </c>
    </row>
    <row r="1641" spans="1:45" x14ac:dyDescent="0.25">
      <c r="A1641" s="1" t="s">
        <v>4561</v>
      </c>
      <c r="B1641" s="2" t="s">
        <v>552</v>
      </c>
      <c r="C1641" s="1" t="s">
        <v>4571</v>
      </c>
      <c r="D1641" s="2" t="s">
        <v>554</v>
      </c>
      <c r="E1641" s="2">
        <v>2.5</v>
      </c>
      <c r="F1641" s="1" t="str">
        <f>VLOOKUP(H1641,'RM Used'!A:B,2,0)</f>
        <v>P0016</v>
      </c>
      <c r="G1641" s="1" t="str">
        <f>IFERROR(VLOOKUP(F1641,'RM Cost'!A:B,2,0),"")</f>
        <v>REY 40 30 BOX</v>
      </c>
      <c r="H1641" s="1" t="s">
        <v>1332</v>
      </c>
      <c r="I1641" s="1" t="str">
        <f>VLOOKUP(F1641,'RM Used'!B:D,3,0)</f>
        <v>RM-PACKING</v>
      </c>
      <c r="J1641" s="66">
        <v>1</v>
      </c>
      <c r="K1641" s="35" t="str">
        <f t="shared" si="509"/>
        <v/>
      </c>
      <c r="L1641" s="35">
        <f t="shared" si="499"/>
        <v>0</v>
      </c>
      <c r="M1641" s="77" t="str" cm="1">
        <f t="array" ref="M1641">_xlfn.IFS(BOM!I1641="RM-PACKING","100%",B1641="Reynolds",VLOOKUP(H1641,'Yield &amp; Time'!A:V,22,0),BOM!B1641="Dnata",VLOOKUP(BOM!H1641,'Yield &amp; Time'!A:M,13,0),B1641="NK",VLOOKUP(H1641,'Yield &amp; Time'!A:X,24,0))</f>
        <v>100%</v>
      </c>
      <c r="N1641" s="35">
        <f t="shared" si="510"/>
        <v>1</v>
      </c>
      <c r="O1641" s="1" t="str">
        <f>VLOOKUP(H1641,'RM Used'!A:E,5,0)</f>
        <v>Count</v>
      </c>
      <c r="P1641" s="11">
        <f>VLOOKUP(H1641,'RM Used'!A:F,6,0)</f>
        <v>0.28000000000000003</v>
      </c>
      <c r="Q1641" s="11">
        <f t="shared" si="508"/>
        <v>0.28000000000000003</v>
      </c>
      <c r="R1641" s="11" cm="1">
        <f t="array" ref="R1641">IFERROR(_xlfn.IFS(B1641="Reynolds",VLOOKUP(H1641,'Yield &amp; Time'!A:U,21,0),B1641="Dnata",VLOOKUP(H1641,'Yield &amp; Time'!A:L,12,0),B1641="NK",VLOOKUP(H1641,'Yield &amp; Time'!A:W,23,0)),0)</f>
        <v>0</v>
      </c>
      <c r="S1641" s="11">
        <f t="shared" si="500"/>
        <v>0</v>
      </c>
      <c r="T1641" s="11">
        <f t="shared" si="501"/>
        <v>0</v>
      </c>
      <c r="U1641" s="11">
        <f>IF(A1640=A1641,0,VLOOKUP(A1641,'Packing Time'!A:F,6,0))</f>
        <v>0</v>
      </c>
      <c r="V1641" s="11">
        <f t="shared" si="486"/>
        <v>0</v>
      </c>
      <c r="W1641" s="11">
        <f t="shared" si="487"/>
        <v>0</v>
      </c>
      <c r="X1641" s="11">
        <f t="shared" si="502"/>
        <v>0</v>
      </c>
      <c r="Y1641" s="11">
        <f t="shared" si="488"/>
        <v>0</v>
      </c>
      <c r="Z1641" s="37">
        <v>1</v>
      </c>
      <c r="AA1641" s="36">
        <f t="shared" si="503"/>
        <v>1</v>
      </c>
      <c r="AB1641" s="11">
        <f t="shared" si="504"/>
        <v>0.28000000000000003</v>
      </c>
      <c r="AC1641" s="11">
        <f t="shared" si="505"/>
        <v>0</v>
      </c>
      <c r="AD1641" s="36">
        <f t="shared" si="489"/>
        <v>0</v>
      </c>
      <c r="AE1641" s="36"/>
      <c r="AF1641" s="36">
        <f>IFERROR(VLOOKUP(AE1641,'Chemical Cost'!A:D,4,0),0)</f>
        <v>0</v>
      </c>
      <c r="AG1641" s="114">
        <f t="shared" si="506"/>
        <v>0</v>
      </c>
      <c r="AH1641" s="36">
        <f t="shared" si="512"/>
        <v>0</v>
      </c>
      <c r="AI1641" s="36">
        <f t="shared" si="511"/>
        <v>0.28000000000000003</v>
      </c>
      <c r="AJ1641" s="36">
        <f>IFERROR(VLOOKUP(A1641,'All Products'!A:F,6,0),0)</f>
        <v>15.6</v>
      </c>
      <c r="AK1641" s="36"/>
      <c r="AL1641" s="23">
        <v>1</v>
      </c>
      <c r="AP1641" s="4">
        <v>1.6</v>
      </c>
      <c r="AQ1641" s="111">
        <f t="shared" si="507"/>
        <v>0</v>
      </c>
      <c r="AR1641">
        <f>_xlfn.XLOOKUP(F1641,'RM Cost'!A:A,'RM Cost'!S:S)</f>
        <v>0</v>
      </c>
      <c r="AS1641" t="e">
        <f>_xlfn.XLOOKUP(A1641,[3]Sheet1!$B:$B,[3]Sheet1!$B:$B)</f>
        <v>#N/A</v>
      </c>
    </row>
    <row r="1642" spans="1:45" x14ac:dyDescent="0.25">
      <c r="A1642" s="1" t="s">
        <v>4573</v>
      </c>
      <c r="B1642" s="2" t="s">
        <v>552</v>
      </c>
      <c r="C1642" s="1" t="s">
        <v>4525</v>
      </c>
      <c r="D1642" s="2" t="s">
        <v>554</v>
      </c>
      <c r="E1642" s="2">
        <v>1</v>
      </c>
      <c r="F1642" s="1" t="str">
        <f>VLOOKUP(H1642,'RM Used'!A:B,2,0)</f>
        <v>3034CS</v>
      </c>
      <c r="G1642" s="1" t="str">
        <f>IFERROR(VLOOKUP(F1642,'RM Cost'!A:B,2,0),"")</f>
        <v>RM - BROCCOLI 6KG</v>
      </c>
      <c r="H1642" s="1" t="s">
        <v>1480</v>
      </c>
      <c r="I1642" s="1" t="str">
        <f>VLOOKUP(F1642,'RM Used'!B:D,3,0)</f>
        <v>RM-FOOD</v>
      </c>
      <c r="J1642" s="66">
        <v>1</v>
      </c>
      <c r="K1642" s="35">
        <f t="shared" si="509"/>
        <v>1</v>
      </c>
      <c r="L1642" s="35">
        <f t="shared" si="499"/>
        <v>1</v>
      </c>
      <c r="M1642" s="77" cm="1">
        <f t="array" ref="M1642">_xlfn.IFS(BOM!I1642="RM-PACKING","100%",B1642="Reynolds",VLOOKUP(H1642,'Yield &amp; Time'!A:V,22,0),BOM!B1642="Dnata",VLOOKUP(BOM!H1642,'Yield &amp; Time'!A:M,13,0),B1642="NK",VLOOKUP(H1642,'Yield &amp; Time'!A:X,24,0))</f>
        <v>0.57999999999999996</v>
      </c>
      <c r="N1642" s="35">
        <f t="shared" si="510"/>
        <v>1.7241379310344829</v>
      </c>
      <c r="O1642" s="1" t="str">
        <f>VLOOKUP(H1642,'RM Used'!A:E,5,0)</f>
        <v>KG</v>
      </c>
      <c r="P1642" s="11">
        <f>VLOOKUP(H1642,'RM Used'!A:F,6,0)</f>
        <v>1.02</v>
      </c>
      <c r="Q1642" s="11">
        <f t="shared" si="508"/>
        <v>1.7586206896551726</v>
      </c>
      <c r="R1642" s="11" cm="1">
        <f t="array" ref="R1642">IFERROR(_xlfn.IFS(B1642="Reynolds",VLOOKUP(H1642,'Yield &amp; Time'!A:U,21,0),B1642="Dnata",VLOOKUP(H1642,'Yield &amp; Time'!A:L,12,0),B1642="NK",VLOOKUP(H1642,'Yield &amp; Time'!A:W,23,0)),0)</f>
        <v>2.7</v>
      </c>
      <c r="S1642" s="11">
        <f t="shared" si="500"/>
        <v>0.91394999999999993</v>
      </c>
      <c r="T1642" s="11">
        <f t="shared" si="501"/>
        <v>4.5000000000000005E-2</v>
      </c>
      <c r="U1642" s="11">
        <f>IF(A1641=A1642,0,VLOOKUP(A1642,'Packing Time'!A:F,6,0))</f>
        <v>0.64500000000000002</v>
      </c>
      <c r="V1642" s="11">
        <f t="shared" si="486"/>
        <v>0.21833249999999998</v>
      </c>
      <c r="W1642" s="11">
        <f t="shared" si="487"/>
        <v>1.0750000000000001E-2</v>
      </c>
      <c r="X1642" s="11">
        <f t="shared" si="502"/>
        <v>1.8116519999999998</v>
      </c>
      <c r="Y1642" s="11">
        <f t="shared" si="488"/>
        <v>1.8116519999999998</v>
      </c>
      <c r="Z1642" s="37">
        <v>1</v>
      </c>
      <c r="AA1642" s="36">
        <f t="shared" si="503"/>
        <v>1.7241379310344829</v>
      </c>
      <c r="AB1642" s="11">
        <f t="shared" si="504"/>
        <v>1.7586206896551726</v>
      </c>
      <c r="AC1642" s="11">
        <f t="shared" si="505"/>
        <v>8.9200000000000002E-2</v>
      </c>
      <c r="AD1642" s="36">
        <f t="shared" si="489"/>
        <v>1.811652</v>
      </c>
      <c r="AE1642" s="36"/>
      <c r="AF1642" s="36">
        <f>IFERROR(VLOOKUP(AE1642,'Chemical Cost'!A:D,4,0),0)</f>
        <v>0</v>
      </c>
      <c r="AG1642" s="114">
        <f t="shared" si="506"/>
        <v>0</v>
      </c>
      <c r="AH1642" s="36">
        <f t="shared" si="512"/>
        <v>0</v>
      </c>
      <c r="AI1642" s="36">
        <f>IFERROR((Q1642*Z1642)+(Z1642*X1642)+AH1642,0)</f>
        <v>3.5702726896551722</v>
      </c>
      <c r="AJ1642" s="36">
        <f>IFERROR(VLOOKUP(A1642,'All Products'!A:F,6,0),0)</f>
        <v>6.3920000000000003</v>
      </c>
      <c r="AK1642" s="1"/>
      <c r="AL1642" s="1"/>
      <c r="AM1642" s="1"/>
      <c r="AN1642" s="54" t="e">
        <v>#N/A</v>
      </c>
      <c r="AP1642" s="4">
        <v>1.6</v>
      </c>
      <c r="AQ1642" s="111">
        <f t="shared" si="507"/>
        <v>8.9200000000000002E-2</v>
      </c>
      <c r="AR1642">
        <f>_xlfn.XLOOKUP(F1642,'RM Cost'!A:A,'RM Cost'!S:S)</f>
        <v>0</v>
      </c>
      <c r="AS1642" t="e">
        <f>_xlfn.XLOOKUP(A1642,[3]Sheet1!$B:$B,[3]Sheet1!$B:$B)</f>
        <v>#N/A</v>
      </c>
    </row>
    <row r="1643" spans="1:45" x14ac:dyDescent="0.25">
      <c r="A1643" s="1" t="s">
        <v>4573</v>
      </c>
      <c r="B1643" s="2" t="s">
        <v>552</v>
      </c>
      <c r="C1643" s="1" t="s">
        <v>4525</v>
      </c>
      <c r="D1643" s="1" t="s">
        <v>554</v>
      </c>
      <c r="E1643" s="2">
        <v>1</v>
      </c>
      <c r="F1643" s="1" t="str">
        <f>VLOOKUP(H1643,'RM Used'!A:B,2,0)</f>
        <v>P0008</v>
      </c>
      <c r="G1643" s="1" t="str">
        <f>IFERROR(VLOOKUP(F1643,'RM Cost'!A:B,2,0),"")</f>
        <v>PALE BLUE BAG 470X750MM</v>
      </c>
      <c r="H1643" s="1" t="s">
        <v>1323</v>
      </c>
      <c r="I1643" s="1" t="str">
        <f>VLOOKUP(F1643,'RM Used'!B:D,3,0)</f>
        <v>RM-PACKING</v>
      </c>
      <c r="J1643" s="66">
        <v>1</v>
      </c>
      <c r="K1643" s="35" t="str">
        <f t="shared" si="509"/>
        <v/>
      </c>
      <c r="L1643" s="35">
        <f t="shared" si="499"/>
        <v>0</v>
      </c>
      <c r="M1643" s="77" t="str" cm="1">
        <f t="array" ref="M1643">_xlfn.IFS(BOM!I1643="RM-PACKING","100%",B1643="Reynolds",VLOOKUP(H1643,'Yield &amp; Time'!A:V,22,0),BOM!B1643="Dnata",VLOOKUP(BOM!H1643,'Yield &amp; Time'!A:M,13,0),B1643="NK",VLOOKUP(H1643,'Yield &amp; Time'!A:X,24,0))</f>
        <v>100%</v>
      </c>
      <c r="N1643" s="35">
        <f t="shared" si="510"/>
        <v>1</v>
      </c>
      <c r="O1643" s="1" t="str">
        <f>VLOOKUP(H1643,'RM Used'!A:E,5,0)</f>
        <v>Count</v>
      </c>
      <c r="P1643" s="11">
        <f>VLOOKUP(H1643,'RM Used'!A:F,6,0)</f>
        <v>0.14000000000000001</v>
      </c>
      <c r="Q1643" s="11">
        <f t="shared" si="508"/>
        <v>0.14000000000000001</v>
      </c>
      <c r="R1643" s="11" cm="1">
        <f t="array" ref="R1643">IFERROR(_xlfn.IFS(B1643="Reynolds",VLOOKUP(H1643,'Yield &amp; Time'!A:U,21,0),B1643="Dnata",VLOOKUP(H1643,'Yield &amp; Time'!A:L,12,0),B1643="NK",VLOOKUP(H1643,'Yield &amp; Time'!A:W,23,0)),0)</f>
        <v>0</v>
      </c>
      <c r="S1643" s="11">
        <f t="shared" si="500"/>
        <v>0</v>
      </c>
      <c r="T1643" s="11">
        <f t="shared" si="501"/>
        <v>0</v>
      </c>
      <c r="U1643" s="11">
        <f>IF(A1642=A1643,0,VLOOKUP(A1643,'Packing Time'!A:F,6,0))</f>
        <v>0</v>
      </c>
      <c r="V1643" s="11">
        <f t="shared" si="486"/>
        <v>0</v>
      </c>
      <c r="W1643" s="11">
        <f t="shared" si="487"/>
        <v>0</v>
      </c>
      <c r="X1643" s="11">
        <f t="shared" si="502"/>
        <v>0</v>
      </c>
      <c r="Y1643" s="11">
        <f t="shared" si="488"/>
        <v>0</v>
      </c>
      <c r="Z1643" s="37">
        <v>1</v>
      </c>
      <c r="AA1643" s="36">
        <f t="shared" si="503"/>
        <v>1</v>
      </c>
      <c r="AB1643" s="11">
        <f t="shared" si="504"/>
        <v>0.14000000000000001</v>
      </c>
      <c r="AC1643" s="11">
        <f t="shared" si="505"/>
        <v>0</v>
      </c>
      <c r="AD1643" s="36">
        <f t="shared" si="489"/>
        <v>0</v>
      </c>
      <c r="AE1643" s="36"/>
      <c r="AF1643" s="36">
        <f>IFERROR(VLOOKUP(AE1643,'Chemical Cost'!A:D,4,0),0)</f>
        <v>0</v>
      </c>
      <c r="AG1643" s="114">
        <f t="shared" si="506"/>
        <v>0</v>
      </c>
      <c r="AH1643" s="36">
        <f t="shared" si="512"/>
        <v>0</v>
      </c>
      <c r="AI1643" s="36">
        <f t="shared" si="511"/>
        <v>0.14000000000000001</v>
      </c>
      <c r="AJ1643" s="36">
        <f>IFERROR(VLOOKUP(A1643,'All Products'!A:F,6,0),0)</f>
        <v>6.3920000000000003</v>
      </c>
      <c r="AK1643" s="1"/>
      <c r="AL1643" s="1"/>
      <c r="AM1643" s="1"/>
      <c r="AN1643" s="54" t="e">
        <v>#N/A</v>
      </c>
      <c r="AP1643" s="4">
        <v>1.6</v>
      </c>
      <c r="AQ1643" s="111">
        <f t="shared" si="507"/>
        <v>0</v>
      </c>
      <c r="AR1643">
        <f>_xlfn.XLOOKUP(F1643,'RM Cost'!A:A,'RM Cost'!S:S)</f>
        <v>0</v>
      </c>
      <c r="AS1643" t="e">
        <f>_xlfn.XLOOKUP(A1643,[3]Sheet1!$B:$B,[3]Sheet1!$B:$B)</f>
        <v>#N/A</v>
      </c>
    </row>
    <row r="1644" spans="1:45" x14ac:dyDescent="0.25">
      <c r="A1644" s="1" t="s">
        <v>4573</v>
      </c>
      <c r="B1644" s="2" t="s">
        <v>552</v>
      </c>
      <c r="C1644" s="1" t="str">
        <f>C1643</f>
        <v>BROCCOLI FLORETS 20G 2.5KG</v>
      </c>
      <c r="D1644" s="1" t="s">
        <v>554</v>
      </c>
      <c r="E1644" s="2">
        <v>1</v>
      </c>
      <c r="F1644" s="1" t="str">
        <f>VLOOKUP(H1644,'RM Used'!A:B,2,0)</f>
        <v>P0016</v>
      </c>
      <c r="G1644" s="1" t="str">
        <f>IFERROR(VLOOKUP(F1644,'RM Cost'!A:B,2,0),"")</f>
        <v>REY 40 30 BOX</v>
      </c>
      <c r="H1644" s="1" t="s">
        <v>1332</v>
      </c>
      <c r="I1644" s="1" t="str">
        <f>VLOOKUP(F1644,'RM Used'!B:D,3,0)</f>
        <v>RM-PACKING</v>
      </c>
      <c r="J1644" s="66">
        <v>1</v>
      </c>
      <c r="K1644" s="35" t="str">
        <f t="shared" si="509"/>
        <v/>
      </c>
      <c r="L1644" s="35">
        <f t="shared" si="499"/>
        <v>0</v>
      </c>
      <c r="M1644" s="77" t="str" cm="1">
        <f t="array" ref="M1644">_xlfn.IFS(BOM!I1644="RM-PACKING","100%",B1644="Reynolds",VLOOKUP(H1644,'Yield &amp; Time'!A:V,22,0),BOM!B1644="Dnata",VLOOKUP(BOM!H1644,'Yield &amp; Time'!A:M,13,0),B1644="NK",VLOOKUP(H1644,'Yield &amp; Time'!A:X,24,0))</f>
        <v>100%</v>
      </c>
      <c r="N1644" s="35">
        <f t="shared" si="510"/>
        <v>1</v>
      </c>
      <c r="O1644" s="1" t="str">
        <f>VLOOKUP(H1644,'RM Used'!A:E,5,0)</f>
        <v>Count</v>
      </c>
      <c r="P1644" s="11">
        <f>VLOOKUP(H1644,'RM Used'!A:F,6,0)</f>
        <v>0.28000000000000003</v>
      </c>
      <c r="Q1644" s="11">
        <f t="shared" si="508"/>
        <v>0.28000000000000003</v>
      </c>
      <c r="R1644" s="11" cm="1">
        <f t="array" ref="R1644">IFERROR(_xlfn.IFS(B1644="Reynolds",VLOOKUP(H1644,'Yield &amp; Time'!A:U,21,0),B1644="Dnata",VLOOKUP(H1644,'Yield &amp; Time'!A:L,12,0),B1644="NK",VLOOKUP(H1644,'Yield &amp; Time'!A:W,23,0)),0)</f>
        <v>0</v>
      </c>
      <c r="S1644" s="11">
        <f t="shared" si="500"/>
        <v>0</v>
      </c>
      <c r="T1644" s="11">
        <f t="shared" si="501"/>
        <v>0</v>
      </c>
      <c r="U1644" s="11">
        <f>IF(A1643=A1644,0,VLOOKUP(A1644,'Packing Time'!A:F,6,0))</f>
        <v>0</v>
      </c>
      <c r="V1644" s="11">
        <f t="shared" si="486"/>
        <v>0</v>
      </c>
      <c r="W1644" s="11">
        <f t="shared" si="487"/>
        <v>0</v>
      </c>
      <c r="X1644" s="11">
        <f t="shared" si="502"/>
        <v>0</v>
      </c>
      <c r="Y1644" s="11">
        <f t="shared" si="488"/>
        <v>0</v>
      </c>
      <c r="Z1644" s="37">
        <v>1</v>
      </c>
      <c r="AA1644" s="36">
        <f t="shared" si="503"/>
        <v>1</v>
      </c>
      <c r="AB1644" s="11">
        <f t="shared" si="504"/>
        <v>0.28000000000000003</v>
      </c>
      <c r="AC1644" s="11">
        <f t="shared" si="505"/>
        <v>0</v>
      </c>
      <c r="AD1644" s="36">
        <f t="shared" si="489"/>
        <v>0</v>
      </c>
      <c r="AE1644" s="36"/>
      <c r="AF1644" s="36">
        <f>IFERROR(VLOOKUP(AE1644,'Chemical Cost'!A:D,4,0),0)</f>
        <v>0</v>
      </c>
      <c r="AG1644" s="114">
        <f t="shared" si="506"/>
        <v>0</v>
      </c>
      <c r="AH1644" s="36">
        <f t="shared" si="512"/>
        <v>0</v>
      </c>
      <c r="AI1644" s="36">
        <f t="shared" si="511"/>
        <v>0.28000000000000003</v>
      </c>
      <c r="AJ1644" s="36">
        <f>IFERROR(VLOOKUP(A1644,'All Products'!A:F,6,0),0)</f>
        <v>6.3920000000000003</v>
      </c>
      <c r="AK1644" s="36"/>
      <c r="AL1644" s="23">
        <v>1</v>
      </c>
      <c r="AM1644" s="23"/>
      <c r="AN1644" s="54" t="e">
        <v>#N/A</v>
      </c>
      <c r="AP1644" s="4">
        <v>1.6</v>
      </c>
      <c r="AQ1644" s="111">
        <f t="shared" si="507"/>
        <v>0</v>
      </c>
      <c r="AR1644">
        <f>_xlfn.XLOOKUP(F1644,'RM Cost'!A:A,'RM Cost'!S:S)</f>
        <v>0</v>
      </c>
      <c r="AS1644" t="e">
        <f>_xlfn.XLOOKUP(A1644,[3]Sheet1!$B:$B,[3]Sheet1!$B:$B)</f>
        <v>#N/A</v>
      </c>
    </row>
    <row r="1645" spans="1:45" x14ac:dyDescent="0.25">
      <c r="A1645" s="1" t="s">
        <v>4574</v>
      </c>
      <c r="B1645" s="1" t="s">
        <v>4377</v>
      </c>
      <c r="C1645" s="1" t="s">
        <v>4445</v>
      </c>
      <c r="D1645" s="1" t="s">
        <v>554</v>
      </c>
      <c r="E1645" s="2">
        <v>2.5</v>
      </c>
      <c r="F1645" s="1" t="s">
        <v>1228</v>
      </c>
      <c r="G1645" s="1" t="s">
        <v>1229</v>
      </c>
      <c r="H1645" s="1" t="s">
        <v>1622</v>
      </c>
      <c r="I1645" s="1" t="s">
        <v>1343</v>
      </c>
      <c r="J1645" s="66">
        <v>0.33</v>
      </c>
      <c r="K1645" s="35">
        <f t="shared" si="509"/>
        <v>0.82500000000000007</v>
      </c>
      <c r="L1645" s="35">
        <v>0</v>
      </c>
      <c r="M1645" s="77" cm="1">
        <f t="array" ref="M1645">_xlfn.IFS(BOM!I1645="RM-PACKING","100%",B1645="Reynolds",VLOOKUP(H1645,'Yield &amp; Time'!A:V,22,0),BOM!B1645="Dnata",VLOOKUP(BOM!H1645,'Yield &amp; Time'!A:M,13,0),B1645="NK",VLOOKUP(H1645,'Yield &amp; Time'!A:X,24,0))</f>
        <v>0.78</v>
      </c>
      <c r="N1645" s="35">
        <v>1.1000000000000001</v>
      </c>
      <c r="O1645" s="1" t="s">
        <v>554</v>
      </c>
      <c r="P1645" s="11">
        <f>VLOOKUP(H1645,'RM Used'!A:F,6,0)</f>
        <v>0.55000000000000004</v>
      </c>
      <c r="Q1645" s="11">
        <f t="shared" si="508"/>
        <v>0.60500000000000009</v>
      </c>
      <c r="R1645" s="11">
        <v>1</v>
      </c>
      <c r="S1645" s="11">
        <v>0.23</v>
      </c>
      <c r="T1645" s="11">
        <v>0</v>
      </c>
      <c r="U1645" s="11">
        <f>IF(A1644=A1645,0,VLOOKUP(A1645,'Packing Time'!A:F,6,0))</f>
        <v>0.64500000000000002</v>
      </c>
      <c r="V1645" s="11">
        <f t="shared" si="486"/>
        <v>0.21833249999999998</v>
      </c>
      <c r="W1645" s="11">
        <f t="shared" si="487"/>
        <v>1.0750000000000001E-2</v>
      </c>
      <c r="X1645" s="11">
        <f t="shared" si="502"/>
        <v>0.69663299999999995</v>
      </c>
      <c r="Y1645" s="11">
        <f t="shared" si="488"/>
        <v>0.69663299999999995</v>
      </c>
      <c r="Z1645" s="37">
        <v>1</v>
      </c>
      <c r="AA1645" s="36">
        <f t="shared" si="503"/>
        <v>1.1000000000000001</v>
      </c>
      <c r="AB1645" s="11">
        <f t="shared" si="504"/>
        <v>0.60500000000000009</v>
      </c>
      <c r="AC1645" s="11">
        <f t="shared" si="505"/>
        <v>3.4300000000000004E-2</v>
      </c>
      <c r="AD1645" s="36">
        <f t="shared" si="489"/>
        <v>0.69663300000000006</v>
      </c>
      <c r="AE1645" s="36"/>
      <c r="AF1645" s="36">
        <f>IFERROR(VLOOKUP(AE1645,'Chemical Cost'!A:D,4,0),0)</f>
        <v>0</v>
      </c>
      <c r="AG1645" s="114">
        <f t="shared" si="506"/>
        <v>0</v>
      </c>
      <c r="AH1645" s="36">
        <f t="shared" si="512"/>
        <v>0</v>
      </c>
      <c r="AI1645" s="36">
        <v>0</v>
      </c>
      <c r="AJ1645" s="36">
        <v>0</v>
      </c>
      <c r="AK1645" s="36"/>
      <c r="AL1645" s="23"/>
      <c r="AN1645" t="e">
        <v>#N/A</v>
      </c>
      <c r="AP1645" s="4">
        <v>1.4</v>
      </c>
      <c r="AQ1645" s="111">
        <f t="shared" si="507"/>
        <v>3.4300000000000004E-2</v>
      </c>
      <c r="AR1645">
        <f>_xlfn.XLOOKUP(F1645,'RM Cost'!A:A,'RM Cost'!S:S)</f>
        <v>0</v>
      </c>
      <c r="AS1645" t="e">
        <f>_xlfn.XLOOKUP(A1645,[3]Sheet1!$B:$B,[3]Sheet1!$B:$B)</f>
        <v>#N/A</v>
      </c>
    </row>
    <row r="1646" spans="1:45" x14ac:dyDescent="0.25">
      <c r="A1646" s="1" t="s">
        <v>4574</v>
      </c>
      <c r="B1646" s="1" t="s">
        <v>4377</v>
      </c>
      <c r="C1646" s="1" t="s">
        <v>4445</v>
      </c>
      <c r="D1646" s="1" t="s">
        <v>554</v>
      </c>
      <c r="E1646" s="2">
        <v>2.5</v>
      </c>
      <c r="F1646" s="1" t="s">
        <v>1117</v>
      </c>
      <c r="G1646" s="1" t="s">
        <v>1118</v>
      </c>
      <c r="H1646" s="1" t="s">
        <v>1374</v>
      </c>
      <c r="I1646" s="1" t="s">
        <v>1343</v>
      </c>
      <c r="J1646" s="66">
        <v>0.33</v>
      </c>
      <c r="K1646" s="35">
        <f t="shared" si="509"/>
        <v>0.82500000000000007</v>
      </c>
      <c r="L1646" s="35">
        <v>0</v>
      </c>
      <c r="M1646" s="77" cm="1">
        <f t="array" ref="M1646">_xlfn.IFS(BOM!I1646="RM-PACKING","100%",B1646="Reynolds",VLOOKUP(H1646,'Yield &amp; Time'!A:V,22,0),BOM!B1646="Dnata",VLOOKUP(BOM!H1646,'Yield &amp; Time'!A:M,13,0),B1646="NK",VLOOKUP(H1646,'Yield &amp; Time'!A:X,24,0))</f>
        <v>0.83</v>
      </c>
      <c r="N1646" s="35">
        <v>1</v>
      </c>
      <c r="O1646" s="1" t="s">
        <v>554</v>
      </c>
      <c r="P1646" s="11">
        <f>VLOOKUP(H1646,'RM Used'!A:F,6,0)</f>
        <v>0.52</v>
      </c>
      <c r="Q1646" s="11">
        <f t="shared" si="508"/>
        <v>0.52</v>
      </c>
      <c r="R1646" s="11">
        <v>1.95</v>
      </c>
      <c r="S1646" s="11">
        <v>0.44</v>
      </c>
      <c r="T1646" s="11">
        <v>0</v>
      </c>
      <c r="U1646" s="11">
        <f>IF(A1645=A1646,0,VLOOKUP(A1646,'Packing Time'!A:F,6,0))</f>
        <v>0</v>
      </c>
      <c r="V1646" s="11">
        <f t="shared" si="486"/>
        <v>0</v>
      </c>
      <c r="W1646" s="11">
        <f t="shared" si="487"/>
        <v>0</v>
      </c>
      <c r="X1646" s="11">
        <f t="shared" si="502"/>
        <v>0.76238662499999976</v>
      </c>
      <c r="Y1646" s="11">
        <f t="shared" si="488"/>
        <v>0.76238662499999976</v>
      </c>
      <c r="Z1646" s="37">
        <v>1</v>
      </c>
      <c r="AA1646" s="36">
        <f t="shared" si="503"/>
        <v>1</v>
      </c>
      <c r="AB1646" s="11">
        <f t="shared" si="504"/>
        <v>0.52</v>
      </c>
      <c r="AC1646" s="11">
        <f t="shared" si="505"/>
        <v>3.7537499999999994E-2</v>
      </c>
      <c r="AD1646" s="36">
        <f t="shared" si="489"/>
        <v>0.76238662499999976</v>
      </c>
      <c r="AE1646" s="36"/>
      <c r="AF1646" s="36">
        <f>IFERROR(VLOOKUP(AE1646,'Chemical Cost'!A:D,4,0),0)</f>
        <v>0</v>
      </c>
      <c r="AG1646" s="114">
        <f t="shared" si="506"/>
        <v>0</v>
      </c>
      <c r="AH1646" s="36">
        <f t="shared" si="512"/>
        <v>0</v>
      </c>
      <c r="AI1646" s="36">
        <v>0</v>
      </c>
      <c r="AJ1646" s="36">
        <v>0</v>
      </c>
      <c r="AK1646" s="36"/>
      <c r="AL1646" s="23"/>
      <c r="AN1646" t="e">
        <v>#N/A</v>
      </c>
      <c r="AP1646" s="4">
        <v>1.4</v>
      </c>
      <c r="AQ1646" s="111">
        <f t="shared" si="507"/>
        <v>3.7537499999999994E-2</v>
      </c>
      <c r="AR1646">
        <f>_xlfn.XLOOKUP(F1646,'RM Cost'!A:A,'RM Cost'!S:S)</f>
        <v>0</v>
      </c>
      <c r="AS1646" t="e">
        <f>_xlfn.XLOOKUP(A1646,[3]Sheet1!$B:$B,[3]Sheet1!$B:$B)</f>
        <v>#N/A</v>
      </c>
    </row>
    <row r="1647" spans="1:45" x14ac:dyDescent="0.25">
      <c r="A1647" s="1" t="s">
        <v>4574</v>
      </c>
      <c r="B1647" s="1" t="s">
        <v>4377</v>
      </c>
      <c r="C1647" s="1" t="s">
        <v>4445</v>
      </c>
      <c r="D1647" s="1" t="s">
        <v>554</v>
      </c>
      <c r="E1647" s="2">
        <v>2.5</v>
      </c>
      <c r="F1647" s="1" t="s">
        <v>1338</v>
      </c>
      <c r="G1647" s="1" t="s">
        <v>1339</v>
      </c>
      <c r="H1647" s="1" t="s">
        <v>4482</v>
      </c>
      <c r="I1647" s="1" t="s">
        <v>1343</v>
      </c>
      <c r="J1647" s="66">
        <v>0.34</v>
      </c>
      <c r="K1647" s="35">
        <f t="shared" si="509"/>
        <v>0.85000000000000009</v>
      </c>
      <c r="L1647" s="35">
        <v>0</v>
      </c>
      <c r="M1647" s="77" cm="1">
        <f t="array" ref="M1647">_xlfn.IFS(BOM!I1647="RM-PACKING","100%",B1647="Reynolds",VLOOKUP(H1647,'Yield &amp; Time'!A:V,22,0),BOM!B1647="Dnata",VLOOKUP(BOM!H1647,'Yield &amp; Time'!A:M,13,0),B1647="NK",VLOOKUP(H1647,'Yield &amp; Time'!A:X,24,0))</f>
        <v>0.63291139240506333</v>
      </c>
      <c r="N1647" s="35">
        <v>1.3</v>
      </c>
      <c r="O1647" s="1" t="s">
        <v>554</v>
      </c>
      <c r="P1647" s="11">
        <f>VLOOKUP(H1647,'RM Used'!A:F,6,0)</f>
        <v>0.65</v>
      </c>
      <c r="Q1647" s="11">
        <f t="shared" si="508"/>
        <v>0.84500000000000008</v>
      </c>
      <c r="R1647" s="11">
        <v>6.64</v>
      </c>
      <c r="S1647" s="11">
        <v>1.55</v>
      </c>
      <c r="T1647" s="11">
        <v>0</v>
      </c>
      <c r="U1647" s="11">
        <f>IF(A1646=A1647,0,VLOOKUP(A1647,'Packing Time'!A:F,6,0))</f>
        <v>0</v>
      </c>
      <c r="V1647" s="11">
        <f t="shared" ref="V1647:V1710" si="513">U1647*AO$1</f>
        <v>0</v>
      </c>
      <c r="W1647" s="11">
        <f t="shared" ref="W1647:W1710" si="514">(U1647*Z1647)/60</f>
        <v>0</v>
      </c>
      <c r="X1647" s="11">
        <f t="shared" si="502"/>
        <v>2.6746915999999996</v>
      </c>
      <c r="Y1647" s="11">
        <f t="shared" ref="Y1647:Y1710" si="515">X1647*Z1647</f>
        <v>2.6746915999999996</v>
      </c>
      <c r="Z1647" s="37">
        <v>1</v>
      </c>
      <c r="AA1647" s="36">
        <f t="shared" si="503"/>
        <v>1.3</v>
      </c>
      <c r="AB1647" s="11">
        <f t="shared" si="504"/>
        <v>0.84500000000000008</v>
      </c>
      <c r="AC1647" s="11">
        <f t="shared" si="505"/>
        <v>0.13169333333333333</v>
      </c>
      <c r="AD1647" s="36">
        <f t="shared" ref="AD1647:AD1710" si="516">AC1647*60*AO$1</f>
        <v>2.6746915999999996</v>
      </c>
      <c r="AE1647" s="36"/>
      <c r="AF1647" s="36">
        <f>IFERROR(VLOOKUP(AE1647,'Chemical Cost'!A:D,4,0),0)</f>
        <v>0</v>
      </c>
      <c r="AG1647" s="114">
        <f t="shared" si="506"/>
        <v>0</v>
      </c>
      <c r="AH1647" s="36">
        <f t="shared" si="512"/>
        <v>0</v>
      </c>
      <c r="AI1647" s="36">
        <v>0</v>
      </c>
      <c r="AJ1647" s="36">
        <v>0</v>
      </c>
      <c r="AK1647" s="36"/>
      <c r="AL1647" s="23"/>
      <c r="AN1647" t="e">
        <v>#N/A</v>
      </c>
      <c r="AP1647" s="4">
        <v>1.4</v>
      </c>
      <c r="AQ1647" s="111">
        <f t="shared" si="507"/>
        <v>0.13169333333333333</v>
      </c>
      <c r="AR1647">
        <f>_xlfn.XLOOKUP(F1647,'RM Cost'!A:A,'RM Cost'!S:S)</f>
        <v>0</v>
      </c>
      <c r="AS1647" t="e">
        <f>_xlfn.XLOOKUP(A1647,[3]Sheet1!$B:$B,[3]Sheet1!$B:$B)</f>
        <v>#N/A</v>
      </c>
    </row>
    <row r="1648" spans="1:45" x14ac:dyDescent="0.25">
      <c r="A1648" s="1" t="s">
        <v>4574</v>
      </c>
      <c r="B1648" s="1" t="s">
        <v>4377</v>
      </c>
      <c r="C1648" s="1" t="s">
        <v>4445</v>
      </c>
      <c r="D1648" s="1" t="s">
        <v>554</v>
      </c>
      <c r="E1648" s="2">
        <v>2.5</v>
      </c>
      <c r="F1648" s="1" t="s">
        <v>1322</v>
      </c>
      <c r="G1648" s="1" t="s">
        <v>1323</v>
      </c>
      <c r="H1648" s="1" t="s">
        <v>1323</v>
      </c>
      <c r="I1648" s="1" t="s">
        <v>1658</v>
      </c>
      <c r="J1648" s="66">
        <v>1</v>
      </c>
      <c r="K1648" s="35" t="str">
        <f t="shared" si="509"/>
        <v/>
      </c>
      <c r="L1648" s="35">
        <v>0</v>
      </c>
      <c r="M1648" s="77" t="str" cm="1">
        <f t="array" ref="M1648">_xlfn.IFS(BOM!I1648="RM-PACKING","100%",B1648="Reynolds",VLOOKUP(H1648,'Yield &amp; Time'!A:V,22,0),BOM!B1648="Dnata",VLOOKUP(BOM!H1648,'Yield &amp; Time'!A:M,13,0),B1648="NK",VLOOKUP(H1648,'Yield &amp; Time'!A:X,24,0))</f>
        <v>100%</v>
      </c>
      <c r="N1648" s="35">
        <v>1</v>
      </c>
      <c r="O1648" s="1" t="s">
        <v>595</v>
      </c>
      <c r="P1648" s="11">
        <f>VLOOKUP(H1648,'RM Used'!A:F,6,0)</f>
        <v>0.14000000000000001</v>
      </c>
      <c r="Q1648" s="11">
        <f t="shared" si="508"/>
        <v>0.14000000000000001</v>
      </c>
      <c r="R1648" s="11">
        <v>0</v>
      </c>
      <c r="S1648" s="11">
        <v>0</v>
      </c>
      <c r="T1648" s="11">
        <v>0</v>
      </c>
      <c r="U1648" s="11">
        <f>IF(A1647=A1648,0,VLOOKUP(A1648,'Packing Time'!A:F,6,0))</f>
        <v>0</v>
      </c>
      <c r="V1648" s="11">
        <f t="shared" si="513"/>
        <v>0</v>
      </c>
      <c r="W1648" s="11">
        <f t="shared" si="514"/>
        <v>0</v>
      </c>
      <c r="X1648" s="11">
        <f t="shared" si="502"/>
        <v>0</v>
      </c>
      <c r="Y1648" s="11">
        <f t="shared" si="515"/>
        <v>0</v>
      </c>
      <c r="Z1648" s="37">
        <v>1</v>
      </c>
      <c r="AA1648" s="36">
        <f t="shared" si="503"/>
        <v>1</v>
      </c>
      <c r="AB1648" s="11">
        <f t="shared" si="504"/>
        <v>0.14000000000000001</v>
      </c>
      <c r="AC1648" s="11">
        <f t="shared" si="505"/>
        <v>0</v>
      </c>
      <c r="AD1648" s="36">
        <f t="shared" si="516"/>
        <v>0</v>
      </c>
      <c r="AE1648" s="36"/>
      <c r="AF1648" s="36">
        <f>IFERROR(VLOOKUP(AE1648,'Chemical Cost'!A:D,4,0),0)</f>
        <v>0</v>
      </c>
      <c r="AG1648" s="114">
        <f t="shared" si="506"/>
        <v>0</v>
      </c>
      <c r="AH1648" s="36">
        <f t="shared" si="512"/>
        <v>0</v>
      </c>
      <c r="AI1648" s="36">
        <v>0</v>
      </c>
      <c r="AJ1648" s="36">
        <v>0</v>
      </c>
      <c r="AK1648" s="36"/>
      <c r="AL1648" s="23"/>
      <c r="AN1648" t="e">
        <v>#N/A</v>
      </c>
      <c r="AP1648" s="4">
        <v>1.4</v>
      </c>
      <c r="AQ1648" s="111">
        <f t="shared" si="507"/>
        <v>0</v>
      </c>
      <c r="AR1648">
        <f>_xlfn.XLOOKUP(F1648,'RM Cost'!A:A,'RM Cost'!S:S)</f>
        <v>0</v>
      </c>
      <c r="AS1648" t="e">
        <f>_xlfn.XLOOKUP(A1648,[3]Sheet1!$B:$B,[3]Sheet1!$B:$B)</f>
        <v>#N/A</v>
      </c>
    </row>
    <row r="1649" spans="1:46" x14ac:dyDescent="0.25">
      <c r="A1649" s="1" t="s">
        <v>2308</v>
      </c>
      <c r="B1649" s="2" t="s">
        <v>552</v>
      </c>
      <c r="C1649" s="1" t="s">
        <v>2309</v>
      </c>
      <c r="D1649" s="2" t="s">
        <v>554</v>
      </c>
      <c r="E1649" s="2">
        <v>5</v>
      </c>
      <c r="F1649" s="1" t="str">
        <f>VLOOKUP(H1649,'RM Used'!A:B,2,0)</f>
        <v>026BCS</v>
      </c>
      <c r="G1649" s="1" t="str">
        <f>IFERROR(VLOOKUP(F1649,'RM Cost'!A:B,2,0),"")</f>
        <v>RM - POTATO - MIDS 35-45MM X 10KG</v>
      </c>
      <c r="H1649" s="2" t="s">
        <v>1566</v>
      </c>
      <c r="I1649" s="1" t="str">
        <f>VLOOKUP(F1649,'RM Used'!B:D,3,0)</f>
        <v>RM-FOOD</v>
      </c>
      <c r="J1649" s="66">
        <v>1</v>
      </c>
      <c r="K1649" s="35">
        <f t="shared" si="509"/>
        <v>5</v>
      </c>
      <c r="L1649" s="35">
        <f t="shared" ref="L1649:L1680" si="517">IFERROR(K1649*Z1649,0)</f>
        <v>5</v>
      </c>
      <c r="M1649" s="77" cm="1">
        <f t="array" ref="M1649">_xlfn.IFS(BOM!I1649="RM-PACKING","100%",B1649="Reynolds",VLOOKUP(H1649,'Yield &amp; Time'!A:V,22,0),BOM!B1649="Dnata",VLOOKUP(BOM!H1649,'Yield &amp; Time'!A:M,13,0),B1649="NK",VLOOKUP(H1649,'Yield &amp; Time'!A:X,24,0))</f>
        <v>0.88000000000000012</v>
      </c>
      <c r="N1649" s="35">
        <f t="shared" ref="N1649:N1707" si="518">IFERROR(IF(I1649="RM-FOOD",(E1649*J1649)/M1649,1),0)</f>
        <v>5.6818181818181808</v>
      </c>
      <c r="O1649" s="1" t="str">
        <f>VLOOKUP(H1649,'RM Used'!A:E,5,0)</f>
        <v>KG</v>
      </c>
      <c r="P1649" s="11">
        <f>VLOOKUP(H1649,'RM Used'!A:F,6,0)</f>
        <v>0.94</v>
      </c>
      <c r="Q1649" s="11">
        <f t="shared" si="508"/>
        <v>5.3409090909090899</v>
      </c>
      <c r="R1649" s="11">
        <f>IFERROR(IF(B1649="Reynolds",VLOOKUP(H1649,'Yield &amp; Time'!A:U,21,0),VLOOKUP(H1649,'Yield &amp; Time'!A:L,12,0)),0)</f>
        <v>3.6363636363636362</v>
      </c>
      <c r="S1649" s="11">
        <f t="shared" ref="S1649:S1680" si="519">R1649*J1649*E1649*AO$1</f>
        <v>6.1545454545454534</v>
      </c>
      <c r="T1649" s="11">
        <f t="shared" ref="T1649:T1680" si="520">(R1649*Z1649*J1649*E1649)/60</f>
        <v>0.30303030303030298</v>
      </c>
      <c r="U1649" s="11">
        <f>IF(A1648=A1649,0,VLOOKUP(A1649,'Packing Time'!A:F,6,0))</f>
        <v>0.875</v>
      </c>
      <c r="V1649" s="11">
        <f t="shared" si="513"/>
        <v>0.29618749999999999</v>
      </c>
      <c r="W1649" s="11">
        <f t="shared" si="514"/>
        <v>1.4583333333333334E-2</v>
      </c>
      <c r="X1649" s="11">
        <f t="shared" si="502"/>
        <v>10.321172727272726</v>
      </c>
      <c r="Y1649" s="11">
        <f t="shared" si="515"/>
        <v>10.321172727272726</v>
      </c>
      <c r="Z1649" s="37">
        <v>1</v>
      </c>
      <c r="AA1649" s="36">
        <f t="shared" si="503"/>
        <v>5.6818181818181808</v>
      </c>
      <c r="AB1649" s="11">
        <f t="shared" si="504"/>
        <v>5.3409090909090899</v>
      </c>
      <c r="AC1649" s="11">
        <f t="shared" si="505"/>
        <v>0.50818181818181818</v>
      </c>
      <c r="AD1649" s="36">
        <f t="shared" si="516"/>
        <v>10.321172727272726</v>
      </c>
      <c r="AE1649" s="36" t="str">
        <f>VLOOKUP(H1649,'Yield &amp; Time'!A:I,9,0)</f>
        <v>SODIUM METABISULPHITE</v>
      </c>
      <c r="AF1649" s="36">
        <f>IFERROR(VLOOKUP(AE1649,'Chemical Cost'!A:D,4,0),0)</f>
        <v>9.7586225455882462E-3</v>
      </c>
      <c r="AG1649" s="114">
        <f t="shared" si="506"/>
        <v>1.8482239669674706E-2</v>
      </c>
      <c r="AH1649" s="36">
        <f t="shared" si="512"/>
        <v>1.8482239669674706E-2</v>
      </c>
      <c r="AI1649" s="36">
        <f t="shared" ref="AI1649:AI1707" si="521">IFERROR((Q1649*Z1649)+(Z1649*X1649)+AH1649,0)</f>
        <v>15.680564057851491</v>
      </c>
      <c r="AJ1649" s="36">
        <f>IFERROR(VLOOKUP(A1649,'All Products'!A:F,6,0),0)</f>
        <v>14.02</v>
      </c>
      <c r="AK1649" s="36">
        <f>AJ1649*Z1649*J1649</f>
        <v>14.02</v>
      </c>
      <c r="AL1649" s="23">
        <v>1</v>
      </c>
      <c r="AM1649" s="23"/>
      <c r="AN1649" s="54" t="e">
        <v>#N/A</v>
      </c>
      <c r="AO1649" s="47" t="e">
        <v>#N/A</v>
      </c>
      <c r="AP1649" s="4">
        <v>1.6</v>
      </c>
      <c r="AQ1649" s="111">
        <f t="shared" si="507"/>
        <v>0.50818181818181818</v>
      </c>
      <c r="AR1649">
        <f>_xlfn.XLOOKUP(F1649,'RM Cost'!A:A,'RM Cost'!S:S)</f>
        <v>0</v>
      </c>
      <c r="AS1649" t="str">
        <f>_xlfn.XLOOKUP(A1649,[3]Sheet1!$B:$B,[3]Sheet1!$B:$B)</f>
        <v>1051CS</v>
      </c>
      <c r="AT1649">
        <f>_xlfn.XLOOKUP(H1649,'Yield &amp; Time'!A:A,'Yield &amp; Time'!F:F)</f>
        <v>0</v>
      </c>
    </row>
    <row r="1650" spans="1:46" x14ac:dyDescent="0.25">
      <c r="A1650" s="1" t="s">
        <v>2308</v>
      </c>
      <c r="B1650" s="2" t="s">
        <v>552</v>
      </c>
      <c r="C1650" s="1" t="s">
        <v>2309</v>
      </c>
      <c r="D1650" s="2" t="s">
        <v>554</v>
      </c>
      <c r="E1650" s="2">
        <v>5</v>
      </c>
      <c r="F1650" s="1" t="str">
        <f>VLOOKUP(H1650,'RM Used'!A:B,2,0)</f>
        <v>P0008</v>
      </c>
      <c r="G1650" s="1" t="str">
        <f>IFERROR(VLOOKUP(F1650,'RM Cost'!A:B,2,0),"")</f>
        <v>PALE BLUE BAG 470X750MM</v>
      </c>
      <c r="H1650" s="2" t="s">
        <v>1323</v>
      </c>
      <c r="I1650" s="1" t="str">
        <f>VLOOKUP(F1650,'RM Used'!B:D,3,0)</f>
        <v>RM-PACKING</v>
      </c>
      <c r="J1650" s="66">
        <v>1</v>
      </c>
      <c r="K1650" s="35" t="str">
        <f t="shared" si="509"/>
        <v/>
      </c>
      <c r="L1650" s="35">
        <f t="shared" si="517"/>
        <v>0</v>
      </c>
      <c r="M1650" s="77" t="str" cm="1">
        <f t="array" ref="M1650">_xlfn.IFS(BOM!I1650="RM-PACKING","100%",B1650="Reynolds",VLOOKUP(H1650,'Yield &amp; Time'!A:V,22,0),BOM!B1650="Dnata",VLOOKUP(BOM!H1650,'Yield &amp; Time'!A:M,13,0),B1650="NK",VLOOKUP(H1650,'Yield &amp; Time'!A:X,24,0))</f>
        <v>100%</v>
      </c>
      <c r="N1650" s="35">
        <f t="shared" si="518"/>
        <v>1</v>
      </c>
      <c r="O1650" s="1" t="str">
        <f>VLOOKUP(H1650,'RM Used'!A:E,5,0)</f>
        <v>Count</v>
      </c>
      <c r="P1650" s="11">
        <f>VLOOKUP(H1650,'RM Used'!A:F,6,0)</f>
        <v>0.14000000000000001</v>
      </c>
      <c r="Q1650" s="11">
        <f t="shared" si="508"/>
        <v>0.14000000000000001</v>
      </c>
      <c r="R1650" s="11">
        <f>IFERROR(IF(B1650="Reynolds",VLOOKUP(H1650,'Yield &amp; Time'!A:U,21,0),VLOOKUP(H1650,'Yield &amp; Time'!A:L,12,0)),0)</f>
        <v>0</v>
      </c>
      <c r="S1650" s="11">
        <f t="shared" si="519"/>
        <v>0</v>
      </c>
      <c r="T1650" s="11">
        <f t="shared" si="520"/>
        <v>0</v>
      </c>
      <c r="U1650" s="11">
        <f>IF(A1649=A1650,0,VLOOKUP(A1650,'Packing Time'!A:F,6,0))</f>
        <v>0</v>
      </c>
      <c r="V1650" s="11">
        <f t="shared" si="513"/>
        <v>0</v>
      </c>
      <c r="W1650" s="11">
        <f t="shared" si="514"/>
        <v>0</v>
      </c>
      <c r="X1650" s="11">
        <f t="shared" si="502"/>
        <v>0</v>
      </c>
      <c r="Y1650" s="11">
        <f t="shared" si="515"/>
        <v>0</v>
      </c>
      <c r="Z1650" s="37">
        <v>1</v>
      </c>
      <c r="AA1650" s="36">
        <f t="shared" si="503"/>
        <v>1</v>
      </c>
      <c r="AB1650" s="11">
        <f t="shared" si="504"/>
        <v>0.14000000000000001</v>
      </c>
      <c r="AC1650" s="11">
        <f t="shared" si="505"/>
        <v>0</v>
      </c>
      <c r="AD1650" s="36">
        <f t="shared" si="516"/>
        <v>0</v>
      </c>
      <c r="AE1650" s="36"/>
      <c r="AF1650" s="36">
        <f>IFERROR(VLOOKUP(AE1650,'Chemical Cost'!A:D,4,0),0)</f>
        <v>0</v>
      </c>
      <c r="AG1650" s="114">
        <f t="shared" si="506"/>
        <v>0</v>
      </c>
      <c r="AH1650" s="36">
        <f t="shared" si="512"/>
        <v>0</v>
      </c>
      <c r="AI1650" s="36">
        <f t="shared" si="521"/>
        <v>0.14000000000000001</v>
      </c>
      <c r="AJ1650" s="36">
        <f>IFERROR(VLOOKUP(A1650,'All Products'!A:F,6,0),0)</f>
        <v>14.02</v>
      </c>
      <c r="AK1650" s="36">
        <f>AJ1650*Z1650*J1650</f>
        <v>14.02</v>
      </c>
      <c r="AL1650" s="23">
        <v>1</v>
      </c>
      <c r="AM1650" s="23"/>
      <c r="AN1650" s="54" t="e">
        <v>#N/A</v>
      </c>
      <c r="AO1650" s="47" t="e">
        <v>#N/A</v>
      </c>
      <c r="AP1650" s="4">
        <v>1.6</v>
      </c>
      <c r="AQ1650" s="111">
        <f t="shared" si="507"/>
        <v>0</v>
      </c>
      <c r="AR1650">
        <f>_xlfn.XLOOKUP(F1650,'RM Cost'!A:A,'RM Cost'!S:S)</f>
        <v>0</v>
      </c>
      <c r="AS1650" t="str">
        <f>_xlfn.XLOOKUP(A1650,[3]Sheet1!$B:$B,[3]Sheet1!$B:$B)</f>
        <v>1051CS</v>
      </c>
      <c r="AT1650" t="e">
        <f>_xlfn.XLOOKUP(H1650,'Yield &amp; Time'!A:A,'Yield &amp; Time'!F:F)</f>
        <v>#N/A</v>
      </c>
    </row>
    <row r="1651" spans="1:46" x14ac:dyDescent="0.25">
      <c r="A1651" s="2" t="s">
        <v>4578</v>
      </c>
      <c r="B1651" s="2" t="s">
        <v>552</v>
      </c>
      <c r="C1651" s="2" t="s">
        <v>4579</v>
      </c>
      <c r="D1651" s="2" t="s">
        <v>554</v>
      </c>
      <c r="E1651" s="2">
        <v>1</v>
      </c>
      <c r="F1651" s="1" t="str">
        <f>VLOOKUP(H1651,'RM Used'!A:B,2,0)</f>
        <v>3611CS</v>
      </c>
      <c r="G1651" s="1" t="str">
        <f>IFERROR(VLOOKUP(F1651,'RM Cost'!A:B,2,0),"")</f>
        <v>RM - RADISH P/P   20 X 1 PKT</v>
      </c>
      <c r="H1651" s="2" t="s">
        <v>1571</v>
      </c>
      <c r="I1651" s="1" t="str">
        <f>VLOOKUP(F1651,'RM Used'!B:D,3,0)</f>
        <v>RM-FOOD</v>
      </c>
      <c r="J1651" s="66">
        <v>1</v>
      </c>
      <c r="K1651" s="35">
        <f t="shared" si="509"/>
        <v>1</v>
      </c>
      <c r="L1651" s="35">
        <f t="shared" si="517"/>
        <v>1</v>
      </c>
      <c r="M1651" s="77" cm="1">
        <f t="array" ref="M1651">_xlfn.IFS(BOM!I1651="RM-PACKING","100%",B1651="Reynolds",VLOOKUP(H1651,'Yield &amp; Time'!A:V,22,0),BOM!B1651="Dnata",VLOOKUP(BOM!H1651,'Yield &amp; Time'!A:M,13,0),B1651="NK",VLOOKUP(H1651,'Yield &amp; Time'!A:X,24,0))</f>
        <v>0.92902208201892755</v>
      </c>
      <c r="N1651" s="35">
        <f t="shared" si="518"/>
        <v>1.0764006791171477</v>
      </c>
      <c r="O1651" s="1" t="str">
        <f>VLOOKUP(H1651,'RM Used'!A:E,5,0)</f>
        <v>KG</v>
      </c>
      <c r="P1651" s="11">
        <f>VLOOKUP(H1651,'RM Used'!A:F,6,0)</f>
        <v>2.0799999999999996</v>
      </c>
      <c r="Q1651" s="11">
        <f t="shared" si="508"/>
        <v>2.2389134125636665</v>
      </c>
      <c r="R1651" s="11">
        <f>IFERROR(IF(B1651="Reynolds",VLOOKUP(H1651,'Yield &amp; Time'!A:U,21,0),VLOOKUP(H1651,'Yield &amp; Time'!A:L,12,0)),0)</f>
        <v>5.8335509990858023</v>
      </c>
      <c r="S1651" s="11">
        <f t="shared" si="519"/>
        <v>1.9746570131905439</v>
      </c>
      <c r="T1651" s="11">
        <f t="shared" si="520"/>
        <v>9.7225849984763371E-2</v>
      </c>
      <c r="U1651" s="11">
        <f>IF(A1650=A1651,0,VLOOKUP(A1651,'Packing Time'!A:F,6,0))</f>
        <v>0.64500000000000002</v>
      </c>
      <c r="V1651" s="11">
        <f t="shared" si="513"/>
        <v>0.21833249999999998</v>
      </c>
      <c r="W1651" s="11">
        <f t="shared" si="514"/>
        <v>1.0750000000000001E-2</v>
      </c>
      <c r="X1651" s="11">
        <f t="shared" si="502"/>
        <v>3.5087832211048706</v>
      </c>
      <c r="Y1651" s="11">
        <f t="shared" si="515"/>
        <v>3.5087832211048706</v>
      </c>
      <c r="Z1651" s="37">
        <v>1</v>
      </c>
      <c r="AA1651" s="36">
        <f t="shared" si="503"/>
        <v>1.0764006791171477</v>
      </c>
      <c r="AB1651" s="11">
        <f t="shared" si="504"/>
        <v>2.2389134125636665</v>
      </c>
      <c r="AC1651" s="11">
        <f t="shared" si="505"/>
        <v>0.17276135997562142</v>
      </c>
      <c r="AD1651" s="36">
        <f t="shared" si="516"/>
        <v>3.5087832211048711</v>
      </c>
      <c r="AE1651" s="36"/>
      <c r="AF1651" s="36">
        <f>IFERROR(VLOOKUP(AE1651,'Chemical Cost'!A:D,4,0),0)</f>
        <v>0</v>
      </c>
      <c r="AG1651" s="114">
        <f t="shared" si="506"/>
        <v>0</v>
      </c>
      <c r="AH1651" s="36">
        <f t="shared" si="512"/>
        <v>0</v>
      </c>
      <c r="AI1651" s="36">
        <f t="shared" si="521"/>
        <v>5.7476966336685376</v>
      </c>
      <c r="AJ1651" s="36">
        <f>IFERROR(VLOOKUP(A1651,'All Products'!A:F,6,0),0)</f>
        <v>6.84</v>
      </c>
      <c r="AK1651" s="36">
        <f>AJ1651*Z1651*J1651</f>
        <v>6.84</v>
      </c>
      <c r="AL1651" s="23">
        <v>1</v>
      </c>
      <c r="AO1651" s="47" t="e">
        <v>#N/A</v>
      </c>
      <c r="AP1651" s="4">
        <v>1.6</v>
      </c>
      <c r="AQ1651" s="111">
        <f t="shared" si="507"/>
        <v>0.17276135997562142</v>
      </c>
      <c r="AR1651">
        <f>_xlfn.XLOOKUP(F1651,'RM Cost'!A:A,'RM Cost'!S:S)</f>
        <v>0</v>
      </c>
      <c r="AS1651" t="e">
        <f>_xlfn.XLOOKUP(A1651,[3]Sheet1!$B:$B,[3]Sheet1!$B:$B)</f>
        <v>#N/A</v>
      </c>
    </row>
    <row r="1652" spans="1:46" x14ac:dyDescent="0.25">
      <c r="A1652" s="2" t="s">
        <v>4578</v>
      </c>
      <c r="B1652" s="2" t="s">
        <v>552</v>
      </c>
      <c r="C1652" s="2" t="s">
        <v>4579</v>
      </c>
      <c r="D1652" s="2" t="s">
        <v>554</v>
      </c>
      <c r="E1652" s="2">
        <v>1</v>
      </c>
      <c r="F1652" s="1" t="str">
        <f>VLOOKUP(H1652,'RM Used'!A:B,2,0)</f>
        <v>P0008</v>
      </c>
      <c r="G1652" s="1" t="str">
        <f>IFERROR(VLOOKUP(F1652,'RM Cost'!A:B,2,0),"")</f>
        <v>PALE BLUE BAG 470X750MM</v>
      </c>
      <c r="H1652" s="1" t="s">
        <v>1323</v>
      </c>
      <c r="I1652" s="1" t="str">
        <f>VLOOKUP(F1652,'RM Used'!B:D,3,0)</f>
        <v>RM-PACKING</v>
      </c>
      <c r="J1652" s="66">
        <v>1</v>
      </c>
      <c r="K1652" s="35" t="str">
        <f t="shared" si="509"/>
        <v/>
      </c>
      <c r="L1652" s="35">
        <f t="shared" si="517"/>
        <v>0</v>
      </c>
      <c r="M1652" s="77" t="str" cm="1">
        <f t="array" ref="M1652">_xlfn.IFS(BOM!I1652="RM-PACKING","100%",B1652="Reynolds",VLOOKUP(H1652,'Yield &amp; Time'!A:V,22,0),BOM!B1652="Dnata",VLOOKUP(BOM!H1652,'Yield &amp; Time'!A:M,13,0),B1652="NK",VLOOKUP(H1652,'Yield &amp; Time'!A:X,24,0))</f>
        <v>100%</v>
      </c>
      <c r="N1652" s="35">
        <f t="shared" si="518"/>
        <v>1</v>
      </c>
      <c r="O1652" s="1" t="str">
        <f>VLOOKUP(H1652,'RM Used'!A:E,5,0)</f>
        <v>Count</v>
      </c>
      <c r="P1652" s="11">
        <f>VLOOKUP(H1652,'RM Used'!A:F,6,0)</f>
        <v>0.14000000000000001</v>
      </c>
      <c r="Q1652" s="11">
        <f t="shared" si="508"/>
        <v>0.14000000000000001</v>
      </c>
      <c r="R1652" s="11">
        <f>IFERROR(IF(B1652="Reynolds",VLOOKUP(H1652,'Yield &amp; Time'!A:U,21,0),VLOOKUP(H1652,'Yield &amp; Time'!A:L,12,0)),0)</f>
        <v>0</v>
      </c>
      <c r="S1652" s="11">
        <f t="shared" si="519"/>
        <v>0</v>
      </c>
      <c r="T1652" s="11">
        <f t="shared" si="520"/>
        <v>0</v>
      </c>
      <c r="U1652" s="11">
        <f>IF(A1651=A1652,0,VLOOKUP(A1652,'Packing Time'!A:F,6,0))</f>
        <v>0</v>
      </c>
      <c r="V1652" s="11">
        <f t="shared" si="513"/>
        <v>0</v>
      </c>
      <c r="W1652" s="11">
        <f t="shared" si="514"/>
        <v>0</v>
      </c>
      <c r="X1652" s="11">
        <f t="shared" si="502"/>
        <v>0</v>
      </c>
      <c r="Y1652" s="11">
        <f t="shared" si="515"/>
        <v>0</v>
      </c>
      <c r="Z1652" s="37">
        <v>1</v>
      </c>
      <c r="AA1652" s="36">
        <f t="shared" si="503"/>
        <v>1</v>
      </c>
      <c r="AB1652" s="11">
        <f t="shared" si="504"/>
        <v>0.14000000000000001</v>
      </c>
      <c r="AC1652" s="11">
        <f t="shared" si="505"/>
        <v>0</v>
      </c>
      <c r="AD1652" s="36">
        <f t="shared" si="516"/>
        <v>0</v>
      </c>
      <c r="AE1652" s="36"/>
      <c r="AF1652" s="36">
        <f>IFERROR(VLOOKUP(AE1652,'Chemical Cost'!A:D,4,0),0)</f>
        <v>0</v>
      </c>
      <c r="AG1652" s="114">
        <f t="shared" si="506"/>
        <v>0</v>
      </c>
      <c r="AH1652" s="36">
        <f t="shared" si="512"/>
        <v>0</v>
      </c>
      <c r="AI1652" s="36">
        <f t="shared" si="521"/>
        <v>0.14000000000000001</v>
      </c>
      <c r="AJ1652" s="36">
        <f>IFERROR(VLOOKUP(A1652,'All Products'!A:F,6,0),0)</f>
        <v>6.84</v>
      </c>
      <c r="AK1652" s="36">
        <f>AJ1652*Z1652*J1652</f>
        <v>6.84</v>
      </c>
      <c r="AL1652" s="23">
        <v>1</v>
      </c>
      <c r="AO1652" s="47" t="e">
        <v>#N/A</v>
      </c>
      <c r="AP1652" s="4">
        <v>1.6</v>
      </c>
      <c r="AQ1652" s="111">
        <f t="shared" si="507"/>
        <v>0</v>
      </c>
      <c r="AR1652">
        <f>_xlfn.XLOOKUP(F1652,'RM Cost'!A:A,'RM Cost'!S:S)</f>
        <v>0</v>
      </c>
      <c r="AS1652" t="e">
        <f>_xlfn.XLOOKUP(A1652,[3]Sheet1!$B:$B,[3]Sheet1!$B:$B)</f>
        <v>#N/A</v>
      </c>
    </row>
    <row r="1653" spans="1:46" x14ac:dyDescent="0.25">
      <c r="A1653" s="2" t="s">
        <v>4578</v>
      </c>
      <c r="B1653" s="2" t="s">
        <v>552</v>
      </c>
      <c r="C1653" s="2" t="s">
        <v>4579</v>
      </c>
      <c r="D1653" s="2" t="s">
        <v>554</v>
      </c>
      <c r="E1653" s="2">
        <v>1</v>
      </c>
      <c r="F1653" s="1" t="str">
        <f>VLOOKUP(H1653,'RM Used'!A:B,2,0)</f>
        <v>P0016</v>
      </c>
      <c r="G1653" s="1" t="str">
        <f>IFERROR(VLOOKUP(F1653,'RM Cost'!A:B,2,0),"")</f>
        <v>REY 40 30 BOX</v>
      </c>
      <c r="H1653" s="1" t="s">
        <v>1332</v>
      </c>
      <c r="I1653" s="1" t="str">
        <f>VLOOKUP(F1653,'RM Used'!B:D,3,0)</f>
        <v>RM-PACKING</v>
      </c>
      <c r="J1653" s="66">
        <v>1</v>
      </c>
      <c r="K1653" s="35" t="str">
        <f t="shared" si="509"/>
        <v/>
      </c>
      <c r="L1653" s="35">
        <f t="shared" si="517"/>
        <v>0</v>
      </c>
      <c r="M1653" s="77" t="str" cm="1">
        <f t="array" ref="M1653">_xlfn.IFS(BOM!I1653="RM-PACKING","100%",B1653="Reynolds",VLOOKUP(H1653,'Yield &amp; Time'!A:V,22,0),BOM!B1653="Dnata",VLOOKUP(BOM!H1653,'Yield &amp; Time'!A:M,13,0),B1653="NK",VLOOKUP(H1653,'Yield &amp; Time'!A:X,24,0))</f>
        <v>100%</v>
      </c>
      <c r="N1653" s="35">
        <f t="shared" si="518"/>
        <v>1</v>
      </c>
      <c r="O1653" s="1" t="str">
        <f>VLOOKUP(H1653,'RM Used'!A:E,5,0)</f>
        <v>Count</v>
      </c>
      <c r="P1653" s="11">
        <f>VLOOKUP(H1653,'RM Used'!A:F,6,0)</f>
        <v>0.28000000000000003</v>
      </c>
      <c r="Q1653" s="11">
        <f t="shared" si="508"/>
        <v>0.28000000000000003</v>
      </c>
      <c r="R1653" s="11">
        <f>IFERROR(IF(B1653="Reynolds",VLOOKUP(H1653,'Yield &amp; Time'!A:U,21,0),VLOOKUP(H1653,'Yield &amp; Time'!A:L,12,0)),0)</f>
        <v>0</v>
      </c>
      <c r="S1653" s="11">
        <f t="shared" si="519"/>
        <v>0</v>
      </c>
      <c r="T1653" s="11">
        <f t="shared" si="520"/>
        <v>0</v>
      </c>
      <c r="U1653" s="11">
        <f>IF(A1652=A1653,0,VLOOKUP(A1653,'Packing Time'!A:F,6,0))</f>
        <v>0</v>
      </c>
      <c r="V1653" s="11">
        <f t="shared" si="513"/>
        <v>0</v>
      </c>
      <c r="W1653" s="11">
        <f t="shared" si="514"/>
        <v>0</v>
      </c>
      <c r="X1653" s="11">
        <f t="shared" si="502"/>
        <v>0</v>
      </c>
      <c r="Y1653" s="11">
        <f t="shared" si="515"/>
        <v>0</v>
      </c>
      <c r="Z1653" s="37">
        <v>1</v>
      </c>
      <c r="AA1653" s="36">
        <f t="shared" si="503"/>
        <v>1</v>
      </c>
      <c r="AB1653" s="11">
        <f t="shared" si="504"/>
        <v>0.28000000000000003</v>
      </c>
      <c r="AC1653" s="11">
        <f t="shared" si="505"/>
        <v>0</v>
      </c>
      <c r="AD1653" s="36">
        <f t="shared" si="516"/>
        <v>0</v>
      </c>
      <c r="AE1653" s="36"/>
      <c r="AF1653" s="36">
        <f>IFERROR(VLOOKUP(AE1653,'Chemical Cost'!A:D,4,0),0)</f>
        <v>0</v>
      </c>
      <c r="AG1653" s="114">
        <f t="shared" si="506"/>
        <v>0</v>
      </c>
      <c r="AH1653" s="36">
        <f t="shared" si="512"/>
        <v>0</v>
      </c>
      <c r="AI1653" s="36">
        <f t="shared" si="521"/>
        <v>0.28000000000000003</v>
      </c>
      <c r="AJ1653" s="36">
        <f>IFERROR(VLOOKUP(A1653,'All Products'!A:F,6,0),0)</f>
        <v>6.84</v>
      </c>
      <c r="AK1653" s="36">
        <f>AJ1653*Z1653*J1653</f>
        <v>6.84</v>
      </c>
      <c r="AL1653" s="23">
        <v>1</v>
      </c>
      <c r="AO1653" s="47" t="e">
        <v>#N/A</v>
      </c>
      <c r="AP1653" s="4">
        <v>1.6</v>
      </c>
      <c r="AQ1653" s="111">
        <f t="shared" si="507"/>
        <v>0</v>
      </c>
      <c r="AR1653">
        <f>_xlfn.XLOOKUP(F1653,'RM Cost'!A:A,'RM Cost'!S:S)</f>
        <v>0</v>
      </c>
      <c r="AS1653" t="e">
        <f>_xlfn.XLOOKUP(A1653,[3]Sheet1!$B:$B,[3]Sheet1!$B:$B)</f>
        <v>#N/A</v>
      </c>
    </row>
    <row r="1654" spans="1:46" x14ac:dyDescent="0.25">
      <c r="A1654" s="1" t="s">
        <v>4580</v>
      </c>
      <c r="B1654" s="1" t="s">
        <v>656</v>
      </c>
      <c r="C1654" s="1" t="s">
        <v>4581</v>
      </c>
      <c r="D1654" s="1" t="s">
        <v>554</v>
      </c>
      <c r="E1654" s="1">
        <v>1</v>
      </c>
      <c r="F1654" s="1" t="str">
        <f>VLOOKUP(H1654,'RM Used'!A:B,2,0)</f>
        <v>3181CS</v>
      </c>
      <c r="G1654" s="1" t="str">
        <f>IFERROR(VLOOKUP(F1654,'RM Cost'!A:B,2,0),"")</f>
        <v>RM - OKRA 2KG</v>
      </c>
      <c r="H1654" s="1" t="s">
        <v>4495</v>
      </c>
      <c r="I1654" s="1" t="str">
        <f>VLOOKUP(F1654,'RM Used'!B:D,3,0)</f>
        <v>RM-FOOD</v>
      </c>
      <c r="J1654" s="66">
        <v>1</v>
      </c>
      <c r="K1654" s="35">
        <f t="shared" si="509"/>
        <v>1</v>
      </c>
      <c r="L1654" s="35">
        <f t="shared" si="517"/>
        <v>1</v>
      </c>
      <c r="M1654" s="77" cm="1">
        <f t="array" ref="M1654">_xlfn.IFS(BOM!I1654="RM-PACKING","100%",B1654="Reynolds",VLOOKUP(H1654,'Yield &amp; Time'!A:V,22,0),BOM!B1654="Dnata",VLOOKUP(BOM!H1654,'Yield &amp; Time'!A:M,13,0),B1654="NK",VLOOKUP(H1654,'Yield &amp; Time'!A:X,24,0))</f>
        <v>0.70000000000000007</v>
      </c>
      <c r="N1654" s="35">
        <f t="shared" si="518"/>
        <v>1.4285714285714284</v>
      </c>
      <c r="O1654" s="1" t="str">
        <f>VLOOKUP(H1654,'RM Used'!A:E,5,0)</f>
        <v>KG</v>
      </c>
      <c r="P1654" s="11">
        <f>VLOOKUP(H1654,'RM Used'!A:F,6,0)</f>
        <v>4.2300000000000004</v>
      </c>
      <c r="Q1654" s="11">
        <f t="shared" si="508"/>
        <v>6.0428571428571427</v>
      </c>
      <c r="R1654" s="11" cm="1">
        <f t="array" ref="R1654">IFERROR(_xlfn.IFS(B1654="Reynolds",VLOOKUP(H1654,'Yield &amp; Time'!A:U,21,0),B1654="Dnata",VLOOKUP(H1654,'Yield &amp; Time'!A:L,12,0),B1654="NK",VLOOKUP(H1654,'Yield &amp; Time'!A:W,23,0)),0)</f>
        <v>12.030075187969924</v>
      </c>
      <c r="S1654" s="11">
        <f t="shared" si="519"/>
        <v>4.072180451127819</v>
      </c>
      <c r="T1654" s="11">
        <f t="shared" si="520"/>
        <v>0.20050125313283207</v>
      </c>
      <c r="U1654" s="11">
        <f>IF(A1653=A1654,0,VLOOKUP(A1654,'Packing Time'!A:F,6,0))</f>
        <v>0.64500000000000002</v>
      </c>
      <c r="V1654" s="11">
        <f t="shared" si="513"/>
        <v>0.21833249999999998</v>
      </c>
      <c r="W1654" s="11">
        <f t="shared" si="514"/>
        <v>1.0750000000000001E-2</v>
      </c>
      <c r="X1654" s="11">
        <f t="shared" si="502"/>
        <v>6.8648207218045103</v>
      </c>
      <c r="Y1654" s="11">
        <f t="shared" si="515"/>
        <v>6.8648207218045103</v>
      </c>
      <c r="Z1654" s="37">
        <v>1</v>
      </c>
      <c r="AA1654" s="36">
        <f t="shared" si="503"/>
        <v>1.4285714285714284</v>
      </c>
      <c r="AB1654" s="11">
        <f t="shared" si="504"/>
        <v>6.0428571428571427</v>
      </c>
      <c r="AC1654" s="11">
        <f t="shared" si="505"/>
        <v>0.3380020050125313</v>
      </c>
      <c r="AD1654" s="36">
        <f t="shared" si="516"/>
        <v>6.8648207218045103</v>
      </c>
      <c r="AE1654" s="36"/>
      <c r="AF1654" s="36">
        <f>IFERROR(VLOOKUP(AE1654,'Chemical Cost'!A:D,4,0),0)</f>
        <v>0</v>
      </c>
      <c r="AG1654" s="114">
        <f t="shared" si="506"/>
        <v>0</v>
      </c>
      <c r="AH1654" s="36">
        <f t="shared" si="512"/>
        <v>0</v>
      </c>
      <c r="AI1654" s="36">
        <f t="shared" si="521"/>
        <v>12.907677864661654</v>
      </c>
      <c r="AJ1654" s="36">
        <f>IFERROR(VLOOKUP(A1654,'All Products'!A:F,6,0),0)</f>
        <v>18.850000000000001</v>
      </c>
      <c r="AK1654" s="1"/>
      <c r="AL1654" s="1"/>
      <c r="AM1654" s="1"/>
      <c r="AN1654" s="54" t="e">
        <v>#N/A</v>
      </c>
      <c r="AO1654" s="47" t="e">
        <v>#N/A</v>
      </c>
      <c r="AP1654" s="4">
        <v>1.6</v>
      </c>
      <c r="AQ1654" s="111">
        <f t="shared" si="507"/>
        <v>0.3380020050125313</v>
      </c>
      <c r="AR1654">
        <f>_xlfn.XLOOKUP(F1654,'RM Cost'!A:A,'RM Cost'!S:S)</f>
        <v>0</v>
      </c>
      <c r="AS1654" t="e">
        <f>_xlfn.XLOOKUP(A1654,[3]Sheet1!$B:$B,[3]Sheet1!$B:$B)</f>
        <v>#N/A</v>
      </c>
    </row>
    <row r="1655" spans="1:46" x14ac:dyDescent="0.25">
      <c r="A1655" s="1" t="s">
        <v>4580</v>
      </c>
      <c r="B1655" s="1" t="s">
        <v>656</v>
      </c>
      <c r="C1655" s="1" t="s">
        <v>4581</v>
      </c>
      <c r="D1655" s="1" t="s">
        <v>554</v>
      </c>
      <c r="E1655" s="1">
        <v>1</v>
      </c>
      <c r="F1655" s="1" t="str">
        <f>VLOOKUP(H1655,'RM Used'!A:B,2,0)</f>
        <v>P0008</v>
      </c>
      <c r="G1655" s="1" t="str">
        <f>IFERROR(VLOOKUP(F1655,'RM Cost'!A:B,2,0),"")</f>
        <v>PALE BLUE BAG 470X750MM</v>
      </c>
      <c r="H1655" s="1" t="s">
        <v>1323</v>
      </c>
      <c r="I1655" s="1" t="str">
        <f>VLOOKUP(F1655,'RM Used'!B:D,3,0)</f>
        <v>RM-PACKING</v>
      </c>
      <c r="J1655" s="66">
        <v>1</v>
      </c>
      <c r="K1655" s="35" t="str">
        <f t="shared" si="509"/>
        <v/>
      </c>
      <c r="L1655" s="35">
        <f t="shared" si="517"/>
        <v>0</v>
      </c>
      <c r="M1655" s="77" t="str" cm="1">
        <f t="array" ref="M1655">_xlfn.IFS(BOM!I1655="RM-PACKING","100%",B1655="Reynolds",VLOOKUP(H1655,'Yield &amp; Time'!A:V,22,0),BOM!B1655="Dnata",VLOOKUP(BOM!H1655,'Yield &amp; Time'!A:M,13,0),B1655="NK",VLOOKUP(H1655,'Yield &amp; Time'!A:X,24,0))</f>
        <v>100%</v>
      </c>
      <c r="N1655" s="35">
        <f t="shared" si="518"/>
        <v>1</v>
      </c>
      <c r="O1655" s="1" t="str">
        <f>VLOOKUP(H1655,'RM Used'!A:E,5,0)</f>
        <v>Count</v>
      </c>
      <c r="P1655" s="11">
        <f>VLOOKUP(H1655,'RM Used'!A:F,6,0)</f>
        <v>0.14000000000000001</v>
      </c>
      <c r="Q1655" s="11">
        <f t="shared" si="508"/>
        <v>0.14000000000000001</v>
      </c>
      <c r="R1655" s="11" cm="1">
        <f t="array" ref="R1655">IFERROR(_xlfn.IFS(B1655="Reynolds",VLOOKUP(H1655,'Yield &amp; Time'!A:U,21,0),B1655="Dnata",VLOOKUP(H1655,'Yield &amp; Time'!A:L,12,0),B1655="NK",VLOOKUP(H1655,'Yield &amp; Time'!A:W,23,0)),0)</f>
        <v>0</v>
      </c>
      <c r="S1655" s="11">
        <f t="shared" si="519"/>
        <v>0</v>
      </c>
      <c r="T1655" s="11">
        <f t="shared" si="520"/>
        <v>0</v>
      </c>
      <c r="U1655" s="11">
        <f>IF(A1654=A1655,0,VLOOKUP(A1655,'Packing Time'!A:F,6,0))</f>
        <v>0</v>
      </c>
      <c r="V1655" s="11">
        <f t="shared" si="513"/>
        <v>0</v>
      </c>
      <c r="W1655" s="11">
        <f t="shared" si="514"/>
        <v>0</v>
      </c>
      <c r="X1655" s="11">
        <f t="shared" si="502"/>
        <v>0</v>
      </c>
      <c r="Y1655" s="11">
        <f t="shared" si="515"/>
        <v>0</v>
      </c>
      <c r="Z1655" s="37">
        <v>1</v>
      </c>
      <c r="AA1655" s="36">
        <f t="shared" si="503"/>
        <v>1</v>
      </c>
      <c r="AB1655" s="11">
        <f t="shared" si="504"/>
        <v>0.14000000000000001</v>
      </c>
      <c r="AC1655" s="11">
        <f t="shared" si="505"/>
        <v>0</v>
      </c>
      <c r="AD1655" s="36">
        <f t="shared" si="516"/>
        <v>0</v>
      </c>
      <c r="AE1655" s="36"/>
      <c r="AF1655" s="36">
        <f>IFERROR(VLOOKUP(AE1655,'Chemical Cost'!A:D,4,0),0)</f>
        <v>0</v>
      </c>
      <c r="AG1655" s="114">
        <f t="shared" si="506"/>
        <v>0</v>
      </c>
      <c r="AH1655" s="36">
        <f t="shared" si="512"/>
        <v>0</v>
      </c>
      <c r="AI1655" s="36">
        <f t="shared" si="521"/>
        <v>0.14000000000000001</v>
      </c>
      <c r="AJ1655" s="36">
        <f>IFERROR(VLOOKUP(A1655,'All Products'!A:F,6,0),0)</f>
        <v>18.850000000000001</v>
      </c>
      <c r="AK1655" s="1"/>
      <c r="AL1655" s="1"/>
      <c r="AM1655" s="1"/>
      <c r="AN1655" s="54" t="e">
        <v>#N/A</v>
      </c>
      <c r="AO1655" s="47" t="e">
        <v>#N/A</v>
      </c>
      <c r="AP1655" s="4">
        <v>1.6</v>
      </c>
      <c r="AQ1655" s="111">
        <f t="shared" si="507"/>
        <v>0</v>
      </c>
      <c r="AR1655">
        <f>_xlfn.XLOOKUP(F1655,'RM Cost'!A:A,'RM Cost'!S:S)</f>
        <v>0</v>
      </c>
      <c r="AS1655" t="e">
        <f>_xlfn.XLOOKUP(A1655,[3]Sheet1!$B:$B,[3]Sheet1!$B:$B)</f>
        <v>#N/A</v>
      </c>
    </row>
    <row r="1656" spans="1:46" x14ac:dyDescent="0.25">
      <c r="A1656" t="s">
        <v>4582</v>
      </c>
      <c r="B1656" s="2" t="s">
        <v>4377</v>
      </c>
      <c r="C1656" t="s">
        <v>4583</v>
      </c>
      <c r="D1656" s="2" t="s">
        <v>554</v>
      </c>
      <c r="E1656" s="63">
        <v>5</v>
      </c>
      <c r="F1656" s="1" t="str">
        <f>VLOOKUP(H1656,'RM Used'!A:B,2,0)</f>
        <v>206ACS</v>
      </c>
      <c r="G1656" s="1" t="str">
        <f>IFERROR(VLOOKUP(F1656,'RM Cost'!A:B,2,0),"")</f>
        <v>RM - PREP ONION WHOLE 10KG</v>
      </c>
      <c r="H1656" s="1" t="s">
        <v>1403</v>
      </c>
      <c r="I1656" s="1" t="str">
        <f>VLOOKUP(F1656,'RM Used'!B:D,3,0)</f>
        <v>RM-FOOD</v>
      </c>
      <c r="J1656" s="66">
        <v>1</v>
      </c>
      <c r="K1656" s="35">
        <f t="shared" si="509"/>
        <v>5</v>
      </c>
      <c r="L1656" s="35">
        <f t="shared" si="517"/>
        <v>5</v>
      </c>
      <c r="M1656" s="77" cm="1">
        <f t="array" ref="M1656">_xlfn.IFS(BOM!I1656="RM-PACKING","100%",B1656="Reynolds",VLOOKUP(H1656,'Yield &amp; Time'!A:V,22,0),BOM!B1656="Dnata",VLOOKUP(BOM!H1656,'Yield &amp; Time'!A:M,13,0),B1656="NK",VLOOKUP(H1656,'Yield &amp; Time'!A:X,24,0))</f>
        <v>0.89371428571428579</v>
      </c>
      <c r="N1656" s="35">
        <f t="shared" si="518"/>
        <v>5.5946291560102299</v>
      </c>
      <c r="O1656" s="1" t="str">
        <f>VLOOKUP(H1656,'RM Used'!A:E,5,0)</f>
        <v>KG</v>
      </c>
      <c r="P1656" s="11">
        <f>VLOOKUP(H1656,'RM Used'!A:F,6,0)</f>
        <v>0.87</v>
      </c>
      <c r="Q1656" s="11">
        <f t="shared" si="508"/>
        <v>4.8673273657289</v>
      </c>
      <c r="R1656" s="11" cm="1">
        <f t="array" ref="R1656">IFERROR(_xlfn.IFS(B1656="Reynolds",VLOOKUP(H1656,'Yield &amp; Time'!A:U,21,0),B1656="Dnata",VLOOKUP(H1656,'Yield &amp; Time'!A:L,12,0),B1656="NK",VLOOKUP(H1656,'Yield &amp; Time'!A:W,23,0)),0)</f>
        <v>0.39</v>
      </c>
      <c r="S1656" s="11">
        <f t="shared" si="519"/>
        <v>0.66007499999999997</v>
      </c>
      <c r="T1656" s="11">
        <f t="shared" si="520"/>
        <v>3.2500000000000001E-2</v>
      </c>
      <c r="U1656" s="11">
        <f>IF(A1655=A1656,0,VLOOKUP(A1656,'Packing Time'!A:F,6,0))</f>
        <v>1.1850000000000001</v>
      </c>
      <c r="V1656" s="11">
        <f t="shared" si="513"/>
        <v>0.40112249999999999</v>
      </c>
      <c r="W1656" s="11">
        <f t="shared" si="514"/>
        <v>1.975E-2</v>
      </c>
      <c r="X1656" s="11">
        <f t="shared" si="502"/>
        <v>1.6979160000000002</v>
      </c>
      <c r="Y1656" s="11">
        <f t="shared" si="515"/>
        <v>1.6979160000000002</v>
      </c>
      <c r="Z1656" s="37">
        <v>1</v>
      </c>
      <c r="AA1656" s="36">
        <f t="shared" si="503"/>
        <v>5.5946291560102299</v>
      </c>
      <c r="AB1656" s="11">
        <f t="shared" si="504"/>
        <v>4.8673273657289</v>
      </c>
      <c r="AC1656" s="11">
        <f t="shared" si="505"/>
        <v>8.3600000000000008E-2</v>
      </c>
      <c r="AD1656" s="36">
        <f t="shared" si="516"/>
        <v>1.6979159999999998</v>
      </c>
      <c r="AE1656" s="36">
        <f>VLOOKUP(H1656,'Yield &amp; Time'!A:I,9,0)</f>
        <v>0</v>
      </c>
      <c r="AF1656" s="36">
        <f>IFERROR(VLOOKUP(AE1656,'Chemical Cost'!A:D,4,0),0)</f>
        <v>0</v>
      </c>
      <c r="AG1656" s="114">
        <f t="shared" si="506"/>
        <v>0</v>
      </c>
      <c r="AH1656" s="36">
        <f t="shared" si="512"/>
        <v>0</v>
      </c>
      <c r="AI1656" s="36">
        <f t="shared" si="521"/>
        <v>6.5652433657289002</v>
      </c>
      <c r="AJ1656" s="36">
        <f>IFERROR(VLOOKUP(A1656,'All Products'!A:F,6,0),0)</f>
        <v>9.35</v>
      </c>
      <c r="AK1656" s="36"/>
      <c r="AL1656" s="23">
        <v>1</v>
      </c>
      <c r="AP1656" s="4">
        <v>1.6</v>
      </c>
      <c r="AQ1656" s="111">
        <f t="shared" si="507"/>
        <v>8.3600000000000008E-2</v>
      </c>
      <c r="AR1656">
        <f>_xlfn.XLOOKUP(F1656,'RM Cost'!A:A,'RM Cost'!S:S)</f>
        <v>0</v>
      </c>
      <c r="AS1656" t="str">
        <f>_xlfn.XLOOKUP(A1656,[3]Sheet1!$B:$B,[3]Sheet1!$B:$B)</f>
        <v>N072CS</v>
      </c>
      <c r="AT1656">
        <f>_xlfn.XLOOKUP(H1656,'Yield &amp; Time'!A:A,'Yield &amp; Time'!F:F)</f>
        <v>0</v>
      </c>
    </row>
    <row r="1657" spans="1:46" x14ac:dyDescent="0.25">
      <c r="A1657" t="str">
        <f>A1656</f>
        <v>N072CS</v>
      </c>
      <c r="B1657" t="str">
        <f>B1656</f>
        <v>NK</v>
      </c>
      <c r="C1657" t="str">
        <f>C1656</f>
        <v>White Onion diced 15mm</v>
      </c>
      <c r="D1657" t="s">
        <v>554</v>
      </c>
      <c r="E1657" s="63">
        <f>E1656</f>
        <v>5</v>
      </c>
      <c r="F1657" s="1" t="str">
        <f>VLOOKUP(H1657,'RM Used'!A:B,2,0)</f>
        <v>P0008</v>
      </c>
      <c r="G1657" s="1" t="str">
        <f>IFERROR(VLOOKUP(F1657,'RM Cost'!A:B,2,0),"")</f>
        <v>PALE BLUE BAG 470X750MM</v>
      </c>
      <c r="H1657" s="1" t="s">
        <v>1323</v>
      </c>
      <c r="I1657" s="1" t="str">
        <f>VLOOKUP(F1657,'RM Used'!B:D,3,0)</f>
        <v>RM-PACKING</v>
      </c>
      <c r="J1657" s="66">
        <v>1</v>
      </c>
      <c r="K1657" s="35" t="str">
        <f t="shared" si="509"/>
        <v/>
      </c>
      <c r="L1657" s="35">
        <f t="shared" si="517"/>
        <v>0</v>
      </c>
      <c r="M1657" s="77" t="str" cm="1">
        <f t="array" ref="M1657">_xlfn.IFS(BOM!I1657="RM-PACKING","100%",B1657="Reynolds",VLOOKUP(H1657,'Yield &amp; Time'!A:V,22,0),BOM!B1657="Dnata",VLOOKUP(BOM!H1657,'Yield &amp; Time'!A:M,13,0),B1657="NK",VLOOKUP(H1657,'Yield &amp; Time'!A:X,24,0))</f>
        <v>100%</v>
      </c>
      <c r="N1657" s="35">
        <f t="shared" si="518"/>
        <v>1</v>
      </c>
      <c r="O1657" s="1" t="str">
        <f>VLOOKUP(H1657,'RM Used'!A:E,5,0)</f>
        <v>Count</v>
      </c>
      <c r="P1657" s="11">
        <f>VLOOKUP(H1657,'RM Used'!A:F,6,0)</f>
        <v>0.14000000000000001</v>
      </c>
      <c r="Q1657" s="11">
        <f t="shared" si="508"/>
        <v>0.14000000000000001</v>
      </c>
      <c r="R1657" s="11" cm="1">
        <f t="array" ref="R1657">IFERROR(_xlfn.IFS(B1657="Reynolds",VLOOKUP(H1657,'Yield &amp; Time'!A:U,21,0),B1657="Dnata",VLOOKUP(H1657,'Yield &amp; Time'!A:L,12,0),B1657="NK",VLOOKUP(H1657,'Yield &amp; Time'!A:W,23,0)),0)</f>
        <v>0</v>
      </c>
      <c r="S1657" s="11">
        <f t="shared" si="519"/>
        <v>0</v>
      </c>
      <c r="T1657" s="11">
        <f t="shared" si="520"/>
        <v>0</v>
      </c>
      <c r="U1657" s="11">
        <f>IF(A1656=A1657,0,VLOOKUP(A1657,'Packing Time'!A:F,6,0))</f>
        <v>0</v>
      </c>
      <c r="V1657" s="11">
        <f t="shared" si="513"/>
        <v>0</v>
      </c>
      <c r="W1657" s="11">
        <f t="shared" si="514"/>
        <v>0</v>
      </c>
      <c r="X1657" s="11">
        <f t="shared" si="502"/>
        <v>0</v>
      </c>
      <c r="Y1657" s="11">
        <f t="shared" si="515"/>
        <v>0</v>
      </c>
      <c r="Z1657" s="37">
        <v>1</v>
      </c>
      <c r="AA1657" s="36">
        <f t="shared" si="503"/>
        <v>1</v>
      </c>
      <c r="AB1657" s="11">
        <f t="shared" si="504"/>
        <v>0.14000000000000001</v>
      </c>
      <c r="AC1657" s="11">
        <f t="shared" si="505"/>
        <v>0</v>
      </c>
      <c r="AD1657" s="36">
        <f t="shared" si="516"/>
        <v>0</v>
      </c>
      <c r="AE1657" s="36"/>
      <c r="AF1657" s="36">
        <f>IFERROR(VLOOKUP(AE1657,'Chemical Cost'!A:D,4,0),0)</f>
        <v>0</v>
      </c>
      <c r="AG1657" s="114">
        <f t="shared" si="506"/>
        <v>0</v>
      </c>
      <c r="AH1657" s="36">
        <f t="shared" si="512"/>
        <v>0</v>
      </c>
      <c r="AI1657" s="36">
        <f t="shared" si="521"/>
        <v>0.14000000000000001</v>
      </c>
      <c r="AJ1657" s="36">
        <f>IFERROR(VLOOKUP(A1657,'All Products'!A:F,6,0),0)</f>
        <v>9.35</v>
      </c>
      <c r="AK1657" s="36"/>
      <c r="AL1657" s="23">
        <v>1</v>
      </c>
      <c r="AP1657" s="4">
        <v>1.6</v>
      </c>
      <c r="AQ1657" s="111">
        <f t="shared" si="507"/>
        <v>0</v>
      </c>
      <c r="AR1657">
        <f>_xlfn.XLOOKUP(F1657,'RM Cost'!A:A,'RM Cost'!S:S)</f>
        <v>0</v>
      </c>
      <c r="AS1657" t="str">
        <f>_xlfn.XLOOKUP(A1657,[3]Sheet1!$B:$B,[3]Sheet1!$B:$B)</f>
        <v>N072CS</v>
      </c>
      <c r="AT1657" t="e">
        <f>_xlfn.XLOOKUP(H1657,'Yield &amp; Time'!A:A,'Yield &amp; Time'!F:F)</f>
        <v>#N/A</v>
      </c>
    </row>
    <row r="1658" spans="1:46" x14ac:dyDescent="0.25">
      <c r="A1658" t="s">
        <v>4584</v>
      </c>
      <c r="B1658" s="2" t="s">
        <v>4377</v>
      </c>
      <c r="C1658" t="s">
        <v>4585</v>
      </c>
      <c r="D1658" s="2" t="s">
        <v>554</v>
      </c>
      <c r="E1658" s="63">
        <v>5</v>
      </c>
      <c r="F1658" s="1" t="str">
        <f>VLOOKUP(H1658,'RM Used'!A:B,2,0)</f>
        <v>1318CS</v>
      </c>
      <c r="G1658" s="1" t="str">
        <f>IFERROR(VLOOKUP(F1658,'RM Cost'!A:B,2,0),"")</f>
        <v>RM - PREP ONION RED WHOLE 2.5KG</v>
      </c>
      <c r="H1658" s="1" t="s">
        <v>4489</v>
      </c>
      <c r="I1658" s="1" t="str">
        <f>VLOOKUP(F1658,'RM Used'!B:D,3,0)</f>
        <v>RM-FOOD</v>
      </c>
      <c r="J1658" s="66">
        <v>1</v>
      </c>
      <c r="K1658" s="35">
        <f t="shared" si="509"/>
        <v>5</v>
      </c>
      <c r="L1658" s="35">
        <f t="shared" si="517"/>
        <v>5</v>
      </c>
      <c r="M1658" s="77" cm="1">
        <f t="array" ref="M1658">_xlfn.IFS(BOM!I1658="RM-PACKING","100%",B1658="Reynolds",VLOOKUP(H1658,'Yield &amp; Time'!A:V,22,0),BOM!B1658="Dnata",VLOOKUP(BOM!H1658,'Yield &amp; Time'!A:M,13,0),B1658="NK",VLOOKUP(H1658,'Yield &amp; Time'!A:X,24,0))</f>
        <v>0.88</v>
      </c>
      <c r="N1658" s="35">
        <f t="shared" si="518"/>
        <v>5.6818181818181817</v>
      </c>
      <c r="O1658" s="1" t="str">
        <f>VLOOKUP(H1658,'RM Used'!A:E,5,0)</f>
        <v>KG</v>
      </c>
      <c r="P1658" s="11">
        <f>VLOOKUP(H1658,'RM Used'!A:F,6,0)</f>
        <v>1.08</v>
      </c>
      <c r="Q1658" s="11">
        <f t="shared" si="508"/>
        <v>6.1363636363636367</v>
      </c>
      <c r="R1658" s="11" cm="1">
        <f t="array" ref="R1658">IFERROR(_xlfn.IFS(B1658="Reynolds",VLOOKUP(H1658,'Yield &amp; Time'!A:U,21,0),B1658="Dnata",VLOOKUP(H1658,'Yield &amp; Time'!A:L,12,0),B1658="NK",VLOOKUP(H1658,'Yield &amp; Time'!A:W,23,0)),0)</f>
        <v>0.5</v>
      </c>
      <c r="S1658" s="11">
        <f t="shared" si="519"/>
        <v>0.84624999999999995</v>
      </c>
      <c r="T1658" s="11">
        <f t="shared" si="520"/>
        <v>4.1666666666666664E-2</v>
      </c>
      <c r="U1658" s="11">
        <f>IF(A1657=A1658,0,VLOOKUP(A1658,'Packing Time'!A:F,6,0))</f>
        <v>1.1850000000000001</v>
      </c>
      <c r="V1658" s="11">
        <f t="shared" si="513"/>
        <v>0.40112249999999999</v>
      </c>
      <c r="W1658" s="11">
        <f t="shared" si="514"/>
        <v>1.975E-2</v>
      </c>
      <c r="X1658" s="11">
        <f t="shared" si="502"/>
        <v>1.9957960000000001</v>
      </c>
      <c r="Y1658" s="11">
        <f t="shared" si="515"/>
        <v>1.9957960000000001</v>
      </c>
      <c r="Z1658" s="37">
        <v>1</v>
      </c>
      <c r="AA1658" s="36">
        <f t="shared" si="503"/>
        <v>5.6818181818181817</v>
      </c>
      <c r="AB1658" s="11">
        <f t="shared" si="504"/>
        <v>6.1363636363636367</v>
      </c>
      <c r="AC1658" s="11">
        <f t="shared" si="505"/>
        <v>9.8266666666666669E-2</v>
      </c>
      <c r="AD1658" s="36">
        <f t="shared" si="516"/>
        <v>1.9957959999999997</v>
      </c>
      <c r="AE1658" s="36">
        <f>VLOOKUP(H1658,'Yield &amp; Time'!A:I,9,0)</f>
        <v>0</v>
      </c>
      <c r="AF1658" s="36">
        <f>IFERROR(VLOOKUP(AE1658,'Chemical Cost'!A:D,4,0),0)</f>
        <v>0</v>
      </c>
      <c r="AG1658" s="114">
        <f t="shared" si="506"/>
        <v>0</v>
      </c>
      <c r="AH1658" s="36">
        <f t="shared" si="512"/>
        <v>0</v>
      </c>
      <c r="AI1658" s="36">
        <f t="shared" si="521"/>
        <v>8.132159636363637</v>
      </c>
      <c r="AJ1658" s="36">
        <f>IFERROR(VLOOKUP(A1658,'All Products'!A:F,6,0),0)</f>
        <v>15.55</v>
      </c>
      <c r="AK1658" s="36"/>
      <c r="AL1658" s="23">
        <v>1</v>
      </c>
      <c r="AP1658" s="4">
        <v>1.6</v>
      </c>
      <c r="AQ1658" s="111">
        <f t="shared" si="507"/>
        <v>9.8266666666666669E-2</v>
      </c>
      <c r="AR1658">
        <f>_xlfn.XLOOKUP(F1658,'RM Cost'!A:A,'RM Cost'!S:S)</f>
        <v>0</v>
      </c>
      <c r="AS1658" t="str">
        <f>_xlfn.XLOOKUP(A1658,[3]Sheet1!$B:$B,[3]Sheet1!$B:$B)</f>
        <v>N073CS</v>
      </c>
      <c r="AT1658">
        <f>_xlfn.XLOOKUP(H1658,'Yield &amp; Time'!A:A,'Yield &amp; Time'!F:F)</f>
        <v>0</v>
      </c>
    </row>
    <row r="1659" spans="1:46" x14ac:dyDescent="0.25">
      <c r="A1659" t="str">
        <f>A1658</f>
        <v>N073CS</v>
      </c>
      <c r="B1659" t="str">
        <f>B1658</f>
        <v>NK</v>
      </c>
      <c r="C1659" t="str">
        <f>C1658</f>
        <v>Red onion diced 15mm</v>
      </c>
      <c r="D1659" t="s">
        <v>554</v>
      </c>
      <c r="E1659" s="63">
        <f>E1658</f>
        <v>5</v>
      </c>
      <c r="F1659" s="1" t="str">
        <f>VLOOKUP(H1659,'RM Used'!A:B,2,0)</f>
        <v>P0008</v>
      </c>
      <c r="G1659" s="1" t="str">
        <f>IFERROR(VLOOKUP(F1659,'RM Cost'!A:B,2,0),"")</f>
        <v>PALE BLUE BAG 470X750MM</v>
      </c>
      <c r="H1659" s="1" t="s">
        <v>1323</v>
      </c>
      <c r="I1659" s="1" t="str">
        <f>VLOOKUP(F1659,'RM Used'!B:D,3,0)</f>
        <v>RM-PACKING</v>
      </c>
      <c r="J1659" s="66">
        <v>1</v>
      </c>
      <c r="K1659" s="35" t="str">
        <f t="shared" si="509"/>
        <v/>
      </c>
      <c r="L1659" s="35">
        <f t="shared" si="517"/>
        <v>0</v>
      </c>
      <c r="M1659" s="77" t="str" cm="1">
        <f t="array" ref="M1659">_xlfn.IFS(BOM!I1659="RM-PACKING","100%",B1659="Reynolds",VLOOKUP(H1659,'Yield &amp; Time'!A:V,22,0),BOM!B1659="Dnata",VLOOKUP(BOM!H1659,'Yield &amp; Time'!A:M,13,0),B1659="NK",VLOOKUP(H1659,'Yield &amp; Time'!A:X,24,0))</f>
        <v>100%</v>
      </c>
      <c r="N1659" s="35">
        <f t="shared" si="518"/>
        <v>1</v>
      </c>
      <c r="O1659" s="1" t="str">
        <f>VLOOKUP(H1659,'RM Used'!A:E,5,0)</f>
        <v>Count</v>
      </c>
      <c r="P1659" s="11">
        <f>VLOOKUP(H1659,'RM Used'!A:F,6,0)</f>
        <v>0.14000000000000001</v>
      </c>
      <c r="Q1659" s="11">
        <f t="shared" si="508"/>
        <v>0.14000000000000001</v>
      </c>
      <c r="R1659" s="11" cm="1">
        <f t="array" ref="R1659">IFERROR(_xlfn.IFS(B1659="Reynolds",VLOOKUP(H1659,'Yield &amp; Time'!A:U,21,0),B1659="Dnata",VLOOKUP(H1659,'Yield &amp; Time'!A:L,12,0),B1659="NK",VLOOKUP(H1659,'Yield &amp; Time'!A:W,23,0)),0)</f>
        <v>0</v>
      </c>
      <c r="S1659" s="11">
        <f t="shared" si="519"/>
        <v>0</v>
      </c>
      <c r="T1659" s="11">
        <f t="shared" si="520"/>
        <v>0</v>
      </c>
      <c r="U1659" s="11">
        <f>IF(A1658=A1659,0,VLOOKUP(A1659,'Packing Time'!A:F,6,0))</f>
        <v>0</v>
      </c>
      <c r="V1659" s="11">
        <f t="shared" si="513"/>
        <v>0</v>
      </c>
      <c r="W1659" s="11">
        <f t="shared" si="514"/>
        <v>0</v>
      </c>
      <c r="X1659" s="11">
        <f t="shared" si="502"/>
        <v>0</v>
      </c>
      <c r="Y1659" s="11">
        <f t="shared" si="515"/>
        <v>0</v>
      </c>
      <c r="Z1659" s="37">
        <v>1</v>
      </c>
      <c r="AA1659" s="36">
        <f t="shared" si="503"/>
        <v>1</v>
      </c>
      <c r="AB1659" s="11">
        <f t="shared" si="504"/>
        <v>0.14000000000000001</v>
      </c>
      <c r="AC1659" s="11">
        <f t="shared" si="505"/>
        <v>0</v>
      </c>
      <c r="AD1659" s="36">
        <f t="shared" si="516"/>
        <v>0</v>
      </c>
      <c r="AE1659" s="36"/>
      <c r="AF1659" s="36">
        <f>IFERROR(VLOOKUP(AE1659,'Chemical Cost'!A:D,4,0),0)</f>
        <v>0</v>
      </c>
      <c r="AG1659" s="114">
        <f t="shared" si="506"/>
        <v>0</v>
      </c>
      <c r="AH1659" s="36">
        <f t="shared" si="512"/>
        <v>0</v>
      </c>
      <c r="AI1659" s="36">
        <f t="shared" si="521"/>
        <v>0.14000000000000001</v>
      </c>
      <c r="AJ1659" s="36">
        <f>IFERROR(VLOOKUP(A1659,'All Products'!A:F,6,0),0)</f>
        <v>15.55</v>
      </c>
      <c r="AK1659" s="36"/>
      <c r="AL1659" s="23">
        <v>1</v>
      </c>
      <c r="AP1659" s="4">
        <v>1.6</v>
      </c>
      <c r="AQ1659" s="111">
        <f t="shared" si="507"/>
        <v>0</v>
      </c>
      <c r="AR1659">
        <f>_xlfn.XLOOKUP(F1659,'RM Cost'!A:A,'RM Cost'!S:S)</f>
        <v>0</v>
      </c>
      <c r="AS1659" t="str">
        <f>_xlfn.XLOOKUP(A1659,[3]Sheet1!$B:$B,[3]Sheet1!$B:$B)</f>
        <v>N073CS</v>
      </c>
      <c r="AT1659" t="e">
        <f>_xlfn.XLOOKUP(H1659,'Yield &amp; Time'!A:A,'Yield &amp; Time'!F:F)</f>
        <v>#N/A</v>
      </c>
    </row>
    <row r="1660" spans="1:46" x14ac:dyDescent="0.25">
      <c r="A1660" t="s">
        <v>4586</v>
      </c>
      <c r="B1660" s="2" t="s">
        <v>4377</v>
      </c>
      <c r="C1660" t="s">
        <v>4475</v>
      </c>
      <c r="D1660" s="2" t="s">
        <v>554</v>
      </c>
      <c r="E1660" s="63">
        <v>5</v>
      </c>
      <c r="F1660" s="1" t="str">
        <f>VLOOKUP(H1660,'RM Used'!A:B,2,0)</f>
        <v>3242CS</v>
      </c>
      <c r="G1660" s="1" t="str">
        <f>IFERROR(VLOOKUP(F1660,'RM Cost'!A:B,2,0),"")</f>
        <v>RM - SWEET POTATOES ORANGE FLESH 6K</v>
      </c>
      <c r="H1660" s="1" t="s">
        <v>4475</v>
      </c>
      <c r="I1660" s="1" t="str">
        <f>VLOOKUP(F1660,'RM Used'!B:D,3,0)</f>
        <v>RM-FOOD</v>
      </c>
      <c r="J1660" s="66">
        <v>1</v>
      </c>
      <c r="K1660" s="35">
        <f t="shared" si="509"/>
        <v>5</v>
      </c>
      <c r="L1660" s="35">
        <f t="shared" si="517"/>
        <v>5</v>
      </c>
      <c r="M1660" s="77" cm="1">
        <f t="array" ref="M1660">_xlfn.IFS(BOM!I1660="RM-PACKING","100%",B1660="Reynolds",VLOOKUP(H1660,'Yield &amp; Time'!A:V,22,0),BOM!B1660="Dnata",VLOOKUP(BOM!H1660,'Yield &amp; Time'!A:M,13,0),B1660="NK",VLOOKUP(H1660,'Yield &amp; Time'!A:X,24,0))</f>
        <v>0.83410565338276188</v>
      </c>
      <c r="N1660" s="35">
        <f t="shared" si="518"/>
        <v>5.9944444444444436</v>
      </c>
      <c r="O1660" s="1" t="str">
        <f>VLOOKUP(H1660,'RM Used'!A:E,5,0)</f>
        <v>KG</v>
      </c>
      <c r="P1660" s="11">
        <f>VLOOKUP(H1660,'RM Used'!A:F,6,0)</f>
        <v>0.88</v>
      </c>
      <c r="Q1660" s="11">
        <f t="shared" si="508"/>
        <v>5.2751111111111104</v>
      </c>
      <c r="R1660" s="11" cm="1">
        <f t="array" ref="R1660">IFERROR(_xlfn.IFS(B1660="Reynolds",VLOOKUP(H1660,'Yield &amp; Time'!A:U,21,0),B1660="Dnata",VLOOKUP(H1660,'Yield &amp; Time'!A:L,12,0),B1660="NK",VLOOKUP(H1660,'Yield &amp; Time'!A:W,23,0)),0)</f>
        <v>1.86</v>
      </c>
      <c r="S1660" s="11">
        <f t="shared" si="519"/>
        <v>3.14805</v>
      </c>
      <c r="T1660" s="11">
        <f t="shared" si="520"/>
        <v>0.155</v>
      </c>
      <c r="U1660" s="11">
        <f>IF(A1659=A1660,0,VLOOKUP(A1660,'Packing Time'!A:F,6,0))</f>
        <v>1.1850000000000001</v>
      </c>
      <c r="V1660" s="11">
        <f t="shared" si="513"/>
        <v>0.40112249999999999</v>
      </c>
      <c r="W1660" s="11">
        <f t="shared" si="514"/>
        <v>1.975E-2</v>
      </c>
      <c r="X1660" s="11">
        <f t="shared" si="502"/>
        <v>5.6786760000000003</v>
      </c>
      <c r="Y1660" s="11">
        <f t="shared" si="515"/>
        <v>5.6786760000000003</v>
      </c>
      <c r="Z1660" s="37">
        <v>1</v>
      </c>
      <c r="AA1660" s="36">
        <f t="shared" si="503"/>
        <v>5.9944444444444436</v>
      </c>
      <c r="AB1660" s="11">
        <f t="shared" si="504"/>
        <v>5.2751111111111104</v>
      </c>
      <c r="AC1660" s="11">
        <f t="shared" si="505"/>
        <v>0.27960000000000002</v>
      </c>
      <c r="AD1660" s="36">
        <f t="shared" si="516"/>
        <v>5.6786759999999994</v>
      </c>
      <c r="AE1660" s="36"/>
      <c r="AF1660" s="36">
        <f>IFERROR(VLOOKUP(AE1660,'Chemical Cost'!A:D,4,0),0)</f>
        <v>0</v>
      </c>
      <c r="AG1660" s="114">
        <f t="shared" si="506"/>
        <v>0</v>
      </c>
      <c r="AH1660" s="36">
        <f t="shared" si="512"/>
        <v>0</v>
      </c>
      <c r="AI1660" s="36">
        <f t="shared" si="521"/>
        <v>10.953787111111112</v>
      </c>
      <c r="AJ1660" s="36">
        <f>IFERROR(VLOOKUP(A1660,'All Products'!A:F,6,0),0)</f>
        <v>24.8</v>
      </c>
      <c r="AK1660" s="36"/>
      <c r="AL1660" s="23">
        <v>1</v>
      </c>
      <c r="AP1660" s="4">
        <v>1.6</v>
      </c>
      <c r="AQ1660" s="111">
        <f t="shared" si="507"/>
        <v>0.27960000000000002</v>
      </c>
      <c r="AR1660">
        <f>_xlfn.XLOOKUP(F1660,'RM Cost'!A:A,'RM Cost'!S:S)</f>
        <v>0</v>
      </c>
      <c r="AS1660" t="e">
        <f>_xlfn.XLOOKUP(A1660,[3]Sheet1!$B:$B,[3]Sheet1!$B:$B)</f>
        <v>#N/A</v>
      </c>
    </row>
    <row r="1661" spans="1:46" x14ac:dyDescent="0.25">
      <c r="A1661" t="str">
        <f>A1660</f>
        <v>N080CS</v>
      </c>
      <c r="B1661" t="str">
        <f>B1660</f>
        <v>NK</v>
      </c>
      <c r="C1661" t="str">
        <f>C1660</f>
        <v>Peeled Sweet Potato Wedges</v>
      </c>
      <c r="D1661" t="s">
        <v>554</v>
      </c>
      <c r="E1661" s="63">
        <f>E1660</f>
        <v>5</v>
      </c>
      <c r="F1661" s="1" t="str">
        <f>VLOOKUP(H1661,'RM Used'!A:B,2,0)</f>
        <v>P0008</v>
      </c>
      <c r="G1661" s="1" t="str">
        <f>IFERROR(VLOOKUP(F1661,'RM Cost'!A:B,2,0),"")</f>
        <v>PALE BLUE BAG 470X750MM</v>
      </c>
      <c r="H1661" s="1" t="s">
        <v>1323</v>
      </c>
      <c r="I1661" s="1" t="str">
        <f>VLOOKUP(F1661,'RM Used'!B:D,3,0)</f>
        <v>RM-PACKING</v>
      </c>
      <c r="J1661" s="66">
        <v>1</v>
      </c>
      <c r="K1661" s="35" t="str">
        <f t="shared" si="509"/>
        <v/>
      </c>
      <c r="L1661" s="35">
        <f t="shared" si="517"/>
        <v>0</v>
      </c>
      <c r="M1661" s="77" t="str" cm="1">
        <f t="array" ref="M1661">_xlfn.IFS(BOM!I1661="RM-PACKING","100%",B1661="Reynolds",VLOOKUP(H1661,'Yield &amp; Time'!A:V,22,0),BOM!B1661="Dnata",VLOOKUP(BOM!H1661,'Yield &amp; Time'!A:M,13,0),B1661="NK",VLOOKUP(H1661,'Yield &amp; Time'!A:X,24,0))</f>
        <v>100%</v>
      </c>
      <c r="N1661" s="35">
        <f t="shared" si="518"/>
        <v>1</v>
      </c>
      <c r="O1661" s="1" t="str">
        <f>VLOOKUP(H1661,'RM Used'!A:E,5,0)</f>
        <v>Count</v>
      </c>
      <c r="P1661" s="11">
        <f>VLOOKUP(H1661,'RM Used'!A:F,6,0)</f>
        <v>0.14000000000000001</v>
      </c>
      <c r="Q1661" s="11">
        <f t="shared" si="508"/>
        <v>0.14000000000000001</v>
      </c>
      <c r="R1661" s="11" cm="1">
        <f t="array" ref="R1661">IFERROR(_xlfn.IFS(B1661="Reynolds",VLOOKUP(H1661,'Yield &amp; Time'!A:U,21,0),B1661="Dnata",VLOOKUP(H1661,'Yield &amp; Time'!A:L,12,0),B1661="NK",VLOOKUP(H1661,'Yield &amp; Time'!A:W,23,0)),0)</f>
        <v>0</v>
      </c>
      <c r="S1661" s="11">
        <f t="shared" si="519"/>
        <v>0</v>
      </c>
      <c r="T1661" s="11">
        <f t="shared" si="520"/>
        <v>0</v>
      </c>
      <c r="U1661" s="11">
        <f>IF(A1660=A1661,0,VLOOKUP(A1661,'Packing Time'!A:F,6,0))</f>
        <v>0</v>
      </c>
      <c r="V1661" s="11">
        <f t="shared" si="513"/>
        <v>0</v>
      </c>
      <c r="W1661" s="11">
        <f t="shared" si="514"/>
        <v>0</v>
      </c>
      <c r="X1661" s="11">
        <f t="shared" si="502"/>
        <v>0</v>
      </c>
      <c r="Y1661" s="11">
        <f t="shared" si="515"/>
        <v>0</v>
      </c>
      <c r="Z1661" s="37">
        <v>1</v>
      </c>
      <c r="AA1661" s="36">
        <f t="shared" si="503"/>
        <v>1</v>
      </c>
      <c r="AB1661" s="11">
        <f t="shared" si="504"/>
        <v>0.14000000000000001</v>
      </c>
      <c r="AC1661" s="11">
        <f t="shared" si="505"/>
        <v>0</v>
      </c>
      <c r="AD1661" s="36">
        <f t="shared" si="516"/>
        <v>0</v>
      </c>
      <c r="AE1661" s="36"/>
      <c r="AF1661" s="36">
        <f>IFERROR(VLOOKUP(AE1661,'Chemical Cost'!A:D,4,0),0)</f>
        <v>0</v>
      </c>
      <c r="AG1661" s="114">
        <f t="shared" si="506"/>
        <v>0</v>
      </c>
      <c r="AH1661" s="36">
        <f t="shared" si="512"/>
        <v>0</v>
      </c>
      <c r="AI1661" s="36">
        <f t="shared" si="521"/>
        <v>0.14000000000000001</v>
      </c>
      <c r="AJ1661" s="36">
        <f>IFERROR(VLOOKUP(A1661,'All Products'!A:F,6,0),0)</f>
        <v>24.8</v>
      </c>
      <c r="AK1661" s="36"/>
      <c r="AL1661" s="23">
        <v>1</v>
      </c>
      <c r="AP1661" s="4">
        <v>1.6</v>
      </c>
      <c r="AQ1661" s="111">
        <f t="shared" si="507"/>
        <v>0</v>
      </c>
      <c r="AR1661">
        <f>_xlfn.XLOOKUP(F1661,'RM Cost'!A:A,'RM Cost'!S:S)</f>
        <v>0</v>
      </c>
      <c r="AS1661" t="e">
        <f>_xlfn.XLOOKUP(A1661,[3]Sheet1!$B:$B,[3]Sheet1!$B:$B)</f>
        <v>#N/A</v>
      </c>
    </row>
    <row r="1662" spans="1:46" x14ac:dyDescent="0.25">
      <c r="A1662" t="s">
        <v>4587</v>
      </c>
      <c r="B1662" s="2" t="s">
        <v>4377</v>
      </c>
      <c r="C1662" t="s">
        <v>4476</v>
      </c>
      <c r="D1662" s="2" t="s">
        <v>554</v>
      </c>
      <c r="E1662" s="63">
        <v>5</v>
      </c>
      <c r="F1662" s="1" t="str">
        <f>VLOOKUP(H1662,'RM Used'!A:B,2,0)</f>
        <v>3273CS</v>
      </c>
      <c r="G1662" s="1" t="str">
        <f>IFERROR(VLOOKUP(F1662,'RM Cost'!A:B,2,0),"")</f>
        <v>RM - MARIS PIPER 25KG</v>
      </c>
      <c r="H1662" s="1" t="s">
        <v>4793</v>
      </c>
      <c r="I1662" s="1" t="str">
        <f>VLOOKUP(F1662,'RM Used'!B:D,3,0)</f>
        <v>RM-FOOD</v>
      </c>
      <c r="J1662" s="66">
        <v>1</v>
      </c>
      <c r="K1662" s="35">
        <f t="shared" si="509"/>
        <v>5</v>
      </c>
      <c r="L1662" s="35">
        <f t="shared" si="517"/>
        <v>5</v>
      </c>
      <c r="M1662" s="77" cm="1">
        <f t="array" ref="M1662">_xlfn.IFS(BOM!I1662="RM-PACKING","100%",B1662="Reynolds",VLOOKUP(H1662,'Yield &amp; Time'!A:V,22,0),BOM!B1662="Dnata",VLOOKUP(BOM!H1662,'Yield &amp; Time'!A:M,13,0),B1662="NK",VLOOKUP(H1662,'Yield &amp; Time'!A:X,24,0))</f>
        <v>0.75</v>
      </c>
      <c r="N1662" s="35">
        <f t="shared" si="518"/>
        <v>6.666666666666667</v>
      </c>
      <c r="O1662" s="1" t="str">
        <f>VLOOKUP(H1662,'RM Used'!A:E,5,0)</f>
        <v>KG</v>
      </c>
      <c r="P1662" s="11">
        <f>VLOOKUP(H1662,'RM Used'!A:F,6,0)</f>
        <v>0.43</v>
      </c>
      <c r="Q1662" s="11">
        <f t="shared" si="508"/>
        <v>2.8666666666666667</v>
      </c>
      <c r="R1662" s="11" cm="1">
        <f t="array" ref="R1662">IFERROR(_xlfn.IFS(B1662="Reynolds",VLOOKUP(H1662,'Yield &amp; Time'!A:U,21,0),B1662="Dnata",VLOOKUP(H1662,'Yield &amp; Time'!A:L,12,0),B1662="NK",VLOOKUP(H1662,'Yield &amp; Time'!A:W,23,0)),0)</f>
        <v>1.9</v>
      </c>
      <c r="S1662" s="11">
        <f t="shared" si="519"/>
        <v>3.2157499999999999</v>
      </c>
      <c r="T1662" s="11">
        <f t="shared" si="520"/>
        <v>0.15833333333333333</v>
      </c>
      <c r="U1662" s="11">
        <f>IF(A1661=A1662,0,VLOOKUP(A1662,'Packing Time'!A:F,6,0))</f>
        <v>1.1850000000000001</v>
      </c>
      <c r="V1662" s="11">
        <f t="shared" si="513"/>
        <v>0.40112249999999999</v>
      </c>
      <c r="W1662" s="11">
        <f t="shared" si="514"/>
        <v>1.975E-2</v>
      </c>
      <c r="X1662" s="11">
        <f t="shared" si="502"/>
        <v>5.7869960000000003</v>
      </c>
      <c r="Y1662" s="11">
        <f t="shared" si="515"/>
        <v>5.7869960000000003</v>
      </c>
      <c r="Z1662" s="37">
        <v>1</v>
      </c>
      <c r="AA1662" s="36">
        <f t="shared" si="503"/>
        <v>6.666666666666667</v>
      </c>
      <c r="AB1662" s="11">
        <f t="shared" si="504"/>
        <v>2.8666666666666667</v>
      </c>
      <c r="AC1662" s="11">
        <f t="shared" si="505"/>
        <v>0.28493333333333337</v>
      </c>
      <c r="AD1662" s="36">
        <f t="shared" si="516"/>
        <v>5.7869960000000003</v>
      </c>
      <c r="AE1662" s="36"/>
      <c r="AF1662" s="36">
        <f>IFERROR(VLOOKUP(AE1662,'Chemical Cost'!A:D,4,0),0)</f>
        <v>0</v>
      </c>
      <c r="AG1662" s="114">
        <f t="shared" si="506"/>
        <v>0</v>
      </c>
      <c r="AH1662" s="36">
        <f t="shared" si="512"/>
        <v>0</v>
      </c>
      <c r="AI1662" s="36">
        <f t="shared" si="521"/>
        <v>8.6536626666666674</v>
      </c>
      <c r="AJ1662" s="36">
        <f>IFERROR(VLOOKUP(A1662,'All Products'!A:F,6,0),0)</f>
        <v>9.84</v>
      </c>
      <c r="AK1662" s="36"/>
      <c r="AL1662" s="23">
        <v>1</v>
      </c>
      <c r="AP1662" s="4">
        <v>1.6</v>
      </c>
      <c r="AQ1662" s="111">
        <f t="shared" si="507"/>
        <v>0.28493333333333337</v>
      </c>
      <c r="AR1662">
        <f>_xlfn.XLOOKUP(F1662,'RM Cost'!A:A,'RM Cost'!S:S)</f>
        <v>0</v>
      </c>
      <c r="AS1662" t="e">
        <f>_xlfn.XLOOKUP(A1662,[3]Sheet1!$B:$B,[3]Sheet1!$B:$B)</f>
        <v>#N/A</v>
      </c>
    </row>
    <row r="1663" spans="1:46" x14ac:dyDescent="0.25">
      <c r="A1663" t="str">
        <f>A1662</f>
        <v>N075CS</v>
      </c>
      <c r="B1663" t="str">
        <f>B1662</f>
        <v>NK</v>
      </c>
      <c r="C1663" t="str">
        <f>C1662</f>
        <v>Potato 1/4 cut roast</v>
      </c>
      <c r="D1663" t="s">
        <v>554</v>
      </c>
      <c r="E1663" s="63">
        <f>E1662</f>
        <v>5</v>
      </c>
      <c r="F1663" s="1" t="str">
        <f>VLOOKUP(H1663,'RM Used'!A:B,2,0)</f>
        <v>P0008</v>
      </c>
      <c r="G1663" s="1" t="str">
        <f>IFERROR(VLOOKUP(F1663,'RM Cost'!A:B,2,0),"")</f>
        <v>PALE BLUE BAG 470X750MM</v>
      </c>
      <c r="H1663" s="1" t="s">
        <v>1323</v>
      </c>
      <c r="I1663" s="1" t="str">
        <f>VLOOKUP(F1663,'RM Used'!B:D,3,0)</f>
        <v>RM-PACKING</v>
      </c>
      <c r="J1663" s="66">
        <v>1</v>
      </c>
      <c r="K1663" s="35" t="str">
        <f t="shared" si="509"/>
        <v/>
      </c>
      <c r="L1663" s="35">
        <f t="shared" si="517"/>
        <v>0</v>
      </c>
      <c r="M1663" s="77" t="str" cm="1">
        <f t="array" ref="M1663">_xlfn.IFS(BOM!I1663="RM-PACKING","100%",B1663="Reynolds",VLOOKUP(H1663,'Yield &amp; Time'!A:V,22,0),BOM!B1663="Dnata",VLOOKUP(BOM!H1663,'Yield &amp; Time'!A:M,13,0),B1663="NK",VLOOKUP(H1663,'Yield &amp; Time'!A:X,24,0))</f>
        <v>100%</v>
      </c>
      <c r="N1663" s="35">
        <f t="shared" si="518"/>
        <v>1</v>
      </c>
      <c r="O1663" s="1" t="str">
        <f>VLOOKUP(H1663,'RM Used'!A:E,5,0)</f>
        <v>Count</v>
      </c>
      <c r="P1663" s="11">
        <f>VLOOKUP(H1663,'RM Used'!A:F,6,0)</f>
        <v>0.14000000000000001</v>
      </c>
      <c r="Q1663" s="11">
        <f t="shared" si="508"/>
        <v>0.14000000000000001</v>
      </c>
      <c r="R1663" s="11" cm="1">
        <f t="array" ref="R1663">IFERROR(_xlfn.IFS(B1663="Reynolds",VLOOKUP(H1663,'Yield &amp; Time'!A:U,21,0),B1663="Dnata",VLOOKUP(H1663,'Yield &amp; Time'!A:L,12,0),B1663="NK",VLOOKUP(H1663,'Yield &amp; Time'!A:W,23,0)),0)</f>
        <v>0</v>
      </c>
      <c r="S1663" s="11">
        <f t="shared" si="519"/>
        <v>0</v>
      </c>
      <c r="T1663" s="11">
        <f t="shared" si="520"/>
        <v>0</v>
      </c>
      <c r="U1663" s="11">
        <f>IF(A1662=A1663,0,VLOOKUP(A1663,'Packing Time'!A:F,6,0))</f>
        <v>0</v>
      </c>
      <c r="V1663" s="11">
        <f t="shared" si="513"/>
        <v>0</v>
      </c>
      <c r="W1663" s="11">
        <f t="shared" si="514"/>
        <v>0</v>
      </c>
      <c r="X1663" s="11">
        <f t="shared" si="502"/>
        <v>0</v>
      </c>
      <c r="Y1663" s="11">
        <f t="shared" si="515"/>
        <v>0</v>
      </c>
      <c r="Z1663" s="37">
        <v>1</v>
      </c>
      <c r="AA1663" s="36">
        <f t="shared" si="503"/>
        <v>1</v>
      </c>
      <c r="AB1663" s="11">
        <f t="shared" si="504"/>
        <v>0.14000000000000001</v>
      </c>
      <c r="AC1663" s="11">
        <f t="shared" si="505"/>
        <v>0</v>
      </c>
      <c r="AD1663" s="36">
        <f t="shared" si="516"/>
        <v>0</v>
      </c>
      <c r="AE1663" s="36"/>
      <c r="AF1663" s="36">
        <f>IFERROR(VLOOKUP(AE1663,'Chemical Cost'!A:D,4,0),0)</f>
        <v>0</v>
      </c>
      <c r="AG1663" s="114">
        <f t="shared" si="506"/>
        <v>0</v>
      </c>
      <c r="AH1663" s="36">
        <f t="shared" si="512"/>
        <v>0</v>
      </c>
      <c r="AI1663" s="36">
        <f t="shared" si="521"/>
        <v>0.14000000000000001</v>
      </c>
      <c r="AJ1663" s="36">
        <f>IFERROR(VLOOKUP(A1663,'All Products'!A:F,6,0),0)</f>
        <v>9.84</v>
      </c>
      <c r="AK1663" s="36"/>
      <c r="AL1663" s="23">
        <v>1</v>
      </c>
      <c r="AP1663" s="4">
        <v>1.6</v>
      </c>
      <c r="AQ1663" s="111">
        <f t="shared" si="507"/>
        <v>0</v>
      </c>
      <c r="AR1663">
        <f>_xlfn.XLOOKUP(F1663,'RM Cost'!A:A,'RM Cost'!S:S)</f>
        <v>0</v>
      </c>
      <c r="AS1663" t="e">
        <f>_xlfn.XLOOKUP(A1663,[3]Sheet1!$B:$B,[3]Sheet1!$B:$B)</f>
        <v>#N/A</v>
      </c>
    </row>
    <row r="1664" spans="1:46" x14ac:dyDescent="0.25">
      <c r="A1664" t="s">
        <v>4588</v>
      </c>
      <c r="B1664" s="2" t="s">
        <v>4377</v>
      </c>
      <c r="C1664" t="s">
        <v>4479</v>
      </c>
      <c r="D1664" s="2" t="s">
        <v>554</v>
      </c>
      <c r="E1664" s="63">
        <v>2.5</v>
      </c>
      <c r="F1664" s="1" t="str">
        <f>VLOOKUP(H1664,'RM Used'!A:B,2,0)</f>
        <v>024BCS</v>
      </c>
      <c r="G1664" s="1" t="str">
        <f>IFERROR(VLOOKUP(F1664,'RM Cost'!A:B,2,0),"")</f>
        <v>RM - MUSHROOM BUTTON 30-40M 3KG</v>
      </c>
      <c r="H1664" s="1" t="s">
        <v>4479</v>
      </c>
      <c r="I1664" s="1" t="str">
        <f>VLOOKUP(F1664,'RM Used'!B:D,3,0)</f>
        <v>RM-FOOD</v>
      </c>
      <c r="J1664" s="66">
        <v>1</v>
      </c>
      <c r="K1664" s="35">
        <f t="shared" si="509"/>
        <v>2.5</v>
      </c>
      <c r="L1664" s="35">
        <f t="shared" si="517"/>
        <v>2.5</v>
      </c>
      <c r="M1664" s="77" cm="1">
        <f t="array" ref="M1664">_xlfn.IFS(BOM!I1664="RM-PACKING","100%",B1664="Reynolds",VLOOKUP(H1664,'Yield &amp; Time'!A:V,22,0),BOM!B1664="Dnata",VLOOKUP(BOM!H1664,'Yield &amp; Time'!A:M,13,0),B1664="NK",VLOOKUP(H1664,'Yield &amp; Time'!A:X,24,0))</f>
        <v>0.98</v>
      </c>
      <c r="N1664" s="35">
        <f t="shared" si="518"/>
        <v>2.5510204081632653</v>
      </c>
      <c r="O1664" s="1" t="str">
        <f>VLOOKUP(H1664,'RM Used'!A:E,5,0)</f>
        <v>KG</v>
      </c>
      <c r="P1664" s="11">
        <f>VLOOKUP(H1664,'RM Used'!A:F,6,0)</f>
        <v>1.85</v>
      </c>
      <c r="Q1664" s="11">
        <f t="shared" si="508"/>
        <v>4.7193877551020407</v>
      </c>
      <c r="R1664" s="11" cm="1">
        <f t="array" ref="R1664">IFERROR(_xlfn.IFS(B1664="Reynolds",VLOOKUP(H1664,'Yield &amp; Time'!A:U,21,0),B1664="Dnata",VLOOKUP(H1664,'Yield &amp; Time'!A:L,12,0),B1664="NK",VLOOKUP(H1664,'Yield &amp; Time'!A:W,23,0)),0)</f>
        <v>0.11</v>
      </c>
      <c r="S1664" s="11">
        <f t="shared" si="519"/>
        <v>9.3087500000000004E-2</v>
      </c>
      <c r="T1664" s="11">
        <f t="shared" si="520"/>
        <v>4.5833333333333334E-3</v>
      </c>
      <c r="U1664" s="11">
        <f>IF(A1663=A1664,0,VLOOKUP(A1664,'Packing Time'!A:F,6,0))</f>
        <v>0.875</v>
      </c>
      <c r="V1664" s="11">
        <f t="shared" si="513"/>
        <v>0.29618749999999999</v>
      </c>
      <c r="W1664" s="11">
        <f t="shared" si="514"/>
        <v>1.4583333333333334E-2</v>
      </c>
      <c r="X1664" s="11">
        <f t="shared" si="502"/>
        <v>0.62283999999999995</v>
      </c>
      <c r="Y1664" s="11">
        <f t="shared" si="515"/>
        <v>0.62283999999999995</v>
      </c>
      <c r="Z1664" s="37">
        <v>1</v>
      </c>
      <c r="AA1664" s="36">
        <f t="shared" si="503"/>
        <v>2.5510204081632653</v>
      </c>
      <c r="AB1664" s="11">
        <f t="shared" si="504"/>
        <v>4.7193877551020407</v>
      </c>
      <c r="AC1664" s="11">
        <f t="shared" si="505"/>
        <v>3.0666666666666665E-2</v>
      </c>
      <c r="AD1664" s="36">
        <f t="shared" si="516"/>
        <v>0.62283999999999984</v>
      </c>
      <c r="AE1664" s="36"/>
      <c r="AF1664" s="36">
        <f>IFERROR(VLOOKUP(AE1664,'Chemical Cost'!A:D,4,0),0)</f>
        <v>0</v>
      </c>
      <c r="AG1664" s="114">
        <f t="shared" si="506"/>
        <v>0</v>
      </c>
      <c r="AH1664" s="36">
        <f t="shared" si="512"/>
        <v>0</v>
      </c>
      <c r="AI1664" s="36">
        <f t="shared" si="521"/>
        <v>5.3422277551020407</v>
      </c>
      <c r="AJ1664" s="36">
        <f>IFERROR(VLOOKUP(A1664,'All Products'!A:F,6,0),0)</f>
        <v>12.98</v>
      </c>
      <c r="AK1664" s="36"/>
      <c r="AL1664" s="23">
        <v>1</v>
      </c>
      <c r="AP1664" s="4">
        <v>1.6</v>
      </c>
      <c r="AQ1664" s="111">
        <f t="shared" si="507"/>
        <v>3.0666666666666665E-2</v>
      </c>
      <c r="AR1664">
        <f>_xlfn.XLOOKUP(F1664,'RM Cost'!A:A,'RM Cost'!S:S)</f>
        <v>0</v>
      </c>
      <c r="AS1664" t="str">
        <f>_xlfn.XLOOKUP(A1664,[3]Sheet1!$B:$B,[3]Sheet1!$B:$B)</f>
        <v>N094CS</v>
      </c>
      <c r="AT1664">
        <f>_xlfn.XLOOKUP(H1664,'Yield &amp; Time'!A:A,'Yield &amp; Time'!F:F)</f>
        <v>0</v>
      </c>
    </row>
    <row r="1665" spans="1:46" x14ac:dyDescent="0.25">
      <c r="A1665" t="str">
        <f>A1664</f>
        <v>N094CS</v>
      </c>
      <c r="B1665" t="str">
        <f>B1664</f>
        <v>NK</v>
      </c>
      <c r="C1665" t="str">
        <f>C1664</f>
        <v>Diced mushrooms button 5mm</v>
      </c>
      <c r="D1665" t="s">
        <v>554</v>
      </c>
      <c r="E1665" s="63">
        <f>E1664</f>
        <v>2.5</v>
      </c>
      <c r="F1665" s="1" t="str">
        <f>VLOOKUP(H1665,'RM Used'!A:B,2,0)</f>
        <v>P0008</v>
      </c>
      <c r="G1665" s="1" t="str">
        <f>IFERROR(VLOOKUP(F1665,'RM Cost'!A:B,2,0),"")</f>
        <v>PALE BLUE BAG 470X750MM</v>
      </c>
      <c r="H1665" s="1" t="s">
        <v>1323</v>
      </c>
      <c r="I1665" s="1" t="str">
        <f>VLOOKUP(F1665,'RM Used'!B:D,3,0)</f>
        <v>RM-PACKING</v>
      </c>
      <c r="J1665" s="66">
        <v>1</v>
      </c>
      <c r="K1665" s="35" t="str">
        <f t="shared" si="509"/>
        <v/>
      </c>
      <c r="L1665" s="35">
        <f t="shared" si="517"/>
        <v>0</v>
      </c>
      <c r="M1665" s="77" t="str" cm="1">
        <f t="array" ref="M1665">_xlfn.IFS(BOM!I1665="RM-PACKING","100%",B1665="Reynolds",VLOOKUP(H1665,'Yield &amp; Time'!A:V,22,0),BOM!B1665="Dnata",VLOOKUP(BOM!H1665,'Yield &amp; Time'!A:M,13,0),B1665="NK",VLOOKUP(H1665,'Yield &amp; Time'!A:X,24,0))</f>
        <v>100%</v>
      </c>
      <c r="N1665" s="35">
        <f t="shared" si="518"/>
        <v>1</v>
      </c>
      <c r="O1665" s="1" t="str">
        <f>VLOOKUP(H1665,'RM Used'!A:E,5,0)</f>
        <v>Count</v>
      </c>
      <c r="P1665" s="11">
        <f>VLOOKUP(H1665,'RM Used'!A:F,6,0)</f>
        <v>0.14000000000000001</v>
      </c>
      <c r="Q1665" s="11">
        <f t="shared" si="508"/>
        <v>0.14000000000000001</v>
      </c>
      <c r="R1665" s="11" cm="1">
        <f t="array" ref="R1665">IFERROR(_xlfn.IFS(B1665="Reynolds",VLOOKUP(H1665,'Yield &amp; Time'!A:U,21,0),B1665="Dnata",VLOOKUP(H1665,'Yield &amp; Time'!A:L,12,0),B1665="NK",VLOOKUP(H1665,'Yield &amp; Time'!A:W,23,0)),0)</f>
        <v>0</v>
      </c>
      <c r="S1665" s="11">
        <f t="shared" si="519"/>
        <v>0</v>
      </c>
      <c r="T1665" s="11">
        <f t="shared" si="520"/>
        <v>0</v>
      </c>
      <c r="U1665" s="11">
        <f>IF(A1664=A1665,0,VLOOKUP(A1665,'Packing Time'!A:F,6,0))</f>
        <v>0</v>
      </c>
      <c r="V1665" s="11">
        <f t="shared" si="513"/>
        <v>0</v>
      </c>
      <c r="W1665" s="11">
        <f t="shared" si="514"/>
        <v>0</v>
      </c>
      <c r="X1665" s="11">
        <f t="shared" si="502"/>
        <v>0</v>
      </c>
      <c r="Y1665" s="11">
        <f t="shared" si="515"/>
        <v>0</v>
      </c>
      <c r="Z1665" s="37">
        <v>1</v>
      </c>
      <c r="AA1665" s="36">
        <f t="shared" si="503"/>
        <v>1</v>
      </c>
      <c r="AB1665" s="11">
        <f t="shared" si="504"/>
        <v>0.14000000000000001</v>
      </c>
      <c r="AC1665" s="11">
        <f t="shared" si="505"/>
        <v>0</v>
      </c>
      <c r="AD1665" s="36">
        <f t="shared" si="516"/>
        <v>0</v>
      </c>
      <c r="AE1665" s="36"/>
      <c r="AF1665" s="36">
        <f>IFERROR(VLOOKUP(AE1665,'Chemical Cost'!A:D,4,0),0)</f>
        <v>0</v>
      </c>
      <c r="AG1665" s="114">
        <f t="shared" si="506"/>
        <v>0</v>
      </c>
      <c r="AH1665" s="36">
        <f t="shared" si="512"/>
        <v>0</v>
      </c>
      <c r="AI1665" s="36">
        <f t="shared" si="521"/>
        <v>0.14000000000000001</v>
      </c>
      <c r="AJ1665" s="36">
        <f>IFERROR(VLOOKUP(A1665,'All Products'!A:F,6,0),0)</f>
        <v>12.98</v>
      </c>
      <c r="AK1665" s="36"/>
      <c r="AL1665" s="23">
        <v>1</v>
      </c>
      <c r="AP1665" s="4">
        <v>1.6</v>
      </c>
      <c r="AQ1665" s="111">
        <f t="shared" si="507"/>
        <v>0</v>
      </c>
      <c r="AR1665">
        <f>_xlfn.XLOOKUP(F1665,'RM Cost'!A:A,'RM Cost'!S:S)</f>
        <v>0</v>
      </c>
      <c r="AS1665" t="str">
        <f>_xlfn.XLOOKUP(A1665,[3]Sheet1!$B:$B,[3]Sheet1!$B:$B)</f>
        <v>N094CS</v>
      </c>
      <c r="AT1665" t="e">
        <f>_xlfn.XLOOKUP(H1665,'Yield &amp; Time'!A:A,'Yield &amp; Time'!F:F)</f>
        <v>#N/A</v>
      </c>
    </row>
    <row r="1666" spans="1:46" x14ac:dyDescent="0.25">
      <c r="A1666" t="s">
        <v>4589</v>
      </c>
      <c r="B1666" s="2" t="s">
        <v>4377</v>
      </c>
      <c r="C1666" t="s">
        <v>4590</v>
      </c>
      <c r="D1666" s="2" t="s">
        <v>554</v>
      </c>
      <c r="E1666" s="63">
        <v>2.5</v>
      </c>
      <c r="F1666" s="1" t="str">
        <f>VLOOKUP(H1666,'RM Used'!A:B,2,0)</f>
        <v>3566CS</v>
      </c>
      <c r="G1666" s="1" t="str">
        <f>IFERROR(VLOOKUP(F1666,'RM Cost'!A:B,2,0),"")</f>
        <v>PEPPERS RED X 5KG</v>
      </c>
      <c r="H1666" s="1" t="s">
        <v>1397</v>
      </c>
      <c r="I1666" s="1" t="str">
        <f>VLOOKUP(F1666,'RM Used'!B:D,3,0)</f>
        <v>RM-FOOD</v>
      </c>
      <c r="J1666" s="66">
        <v>1</v>
      </c>
      <c r="K1666" s="35">
        <f t="shared" si="509"/>
        <v>2.5</v>
      </c>
      <c r="L1666" s="35">
        <f t="shared" si="517"/>
        <v>2.5</v>
      </c>
      <c r="M1666" s="77" cm="1">
        <f t="array" ref="M1666">_xlfn.IFS(BOM!I1666="RM-PACKING","100%",B1666="Reynolds",VLOOKUP(H1666,'Yield &amp; Time'!A:V,22,0),BOM!B1666="Dnata",VLOOKUP(BOM!H1666,'Yield &amp; Time'!A:M,13,0),B1666="NK",VLOOKUP(H1666,'Yield &amp; Time'!A:X,24,0))</f>
        <v>0.45454545454545459</v>
      </c>
      <c r="N1666" s="35">
        <f t="shared" si="518"/>
        <v>5.4999999999999991</v>
      </c>
      <c r="O1666" s="1" t="str">
        <f>VLOOKUP(H1666,'RM Used'!A:E,5,0)</f>
        <v>KG</v>
      </c>
      <c r="P1666" s="11">
        <f>VLOOKUP(H1666,'RM Used'!A:F,6,0)</f>
        <v>1.72</v>
      </c>
      <c r="Q1666" s="11">
        <f t="shared" si="508"/>
        <v>9.4599999999999991</v>
      </c>
      <c r="R1666" s="11" cm="1">
        <f t="array" ref="R1666">IFERROR(_xlfn.IFS(B1666="Reynolds",VLOOKUP(H1666,'Yield &amp; Time'!A:U,21,0),B1666="Dnata",VLOOKUP(H1666,'Yield &amp; Time'!A:L,12,0),B1666="NK",VLOOKUP(H1666,'Yield &amp; Time'!A:W,23,0)),0)</f>
        <v>6.75</v>
      </c>
      <c r="S1666" s="11">
        <f t="shared" si="519"/>
        <v>5.7121874999999998</v>
      </c>
      <c r="T1666" s="11">
        <f t="shared" si="520"/>
        <v>0.28125</v>
      </c>
      <c r="U1666" s="11">
        <f>IF(A1665=A1666,0,VLOOKUP(A1666,'Packing Time'!A:F,6,0))</f>
        <v>0.875</v>
      </c>
      <c r="V1666" s="11">
        <f t="shared" si="513"/>
        <v>0.29618749999999999</v>
      </c>
      <c r="W1666" s="11">
        <f t="shared" si="514"/>
        <v>1.4583333333333334E-2</v>
      </c>
      <c r="X1666" s="11">
        <f t="shared" ref="X1666:X1729" si="522">((R1666*J1666*E1666)+U1666)*AO$1*AP1666</f>
        <v>9.6133999999999986</v>
      </c>
      <c r="Y1666" s="11">
        <f t="shared" si="515"/>
        <v>9.6133999999999986</v>
      </c>
      <c r="Z1666" s="37">
        <v>1</v>
      </c>
      <c r="AA1666" s="36">
        <f t="shared" ref="AA1666:AA1729" si="523">Z1666*N1666</f>
        <v>5.4999999999999991</v>
      </c>
      <c r="AB1666" s="11">
        <f t="shared" ref="AB1666:AB1729" si="524">AA1666*P1666</f>
        <v>9.4599999999999991</v>
      </c>
      <c r="AC1666" s="11">
        <f t="shared" ref="AC1666:AC1729" si="525">(((R1666*J1666*E1666)+U1666)/60)*Z1666*AP1666</f>
        <v>0.47333333333333338</v>
      </c>
      <c r="AD1666" s="36">
        <f t="shared" si="516"/>
        <v>9.6134000000000004</v>
      </c>
      <c r="AE1666" s="36"/>
      <c r="AF1666" s="36">
        <f>IFERROR(VLOOKUP(AE1666,'Chemical Cost'!A:D,4,0),0)</f>
        <v>0</v>
      </c>
      <c r="AG1666" s="114">
        <f t="shared" ref="AG1666:AG1729" si="526">AF1666*N1666/3</f>
        <v>0</v>
      </c>
      <c r="AH1666" s="36">
        <f t="shared" si="512"/>
        <v>0</v>
      </c>
      <c r="AI1666" s="36">
        <f t="shared" si="521"/>
        <v>19.073399999999999</v>
      </c>
      <c r="AJ1666" s="36">
        <f>IFERROR(VLOOKUP(A1666,'All Products'!A:F,6,0),0)</f>
        <v>22.5</v>
      </c>
      <c r="AK1666" s="36"/>
      <c r="AL1666" s="23">
        <v>1</v>
      </c>
      <c r="AP1666" s="4">
        <v>1.6</v>
      </c>
      <c r="AQ1666" s="111">
        <f t="shared" ref="AQ1666:AQ1729" si="527">(((R1666*J1666*E1666)+U1666)/60)*AP1666</f>
        <v>0.47333333333333338</v>
      </c>
      <c r="AR1666">
        <f>_xlfn.XLOOKUP(F1666,'RM Cost'!A:A,'RM Cost'!S:S)</f>
        <v>0</v>
      </c>
      <c r="AS1666" t="e">
        <f>_xlfn.XLOOKUP(A1666,[3]Sheet1!$B:$B,[3]Sheet1!$B:$B)</f>
        <v>#N/A</v>
      </c>
    </row>
    <row r="1667" spans="1:46" x14ac:dyDescent="0.25">
      <c r="A1667" t="str">
        <f>A1666</f>
        <v>N096CS</v>
      </c>
      <c r="B1667" t="str">
        <f>B1666</f>
        <v>NK</v>
      </c>
      <c r="C1667" t="str">
        <f>C1666</f>
        <v>Red Pepper Diced 20mm</v>
      </c>
      <c r="D1667" t="s">
        <v>554</v>
      </c>
      <c r="E1667" s="63">
        <f>E1666</f>
        <v>2.5</v>
      </c>
      <c r="F1667" s="1" t="str">
        <f>VLOOKUP(H1667,'RM Used'!A:B,2,0)</f>
        <v>P0008</v>
      </c>
      <c r="G1667" s="1" t="str">
        <f>IFERROR(VLOOKUP(F1667,'RM Cost'!A:B,2,0),"")</f>
        <v>PALE BLUE BAG 470X750MM</v>
      </c>
      <c r="H1667" s="1" t="s">
        <v>1323</v>
      </c>
      <c r="I1667" s="1" t="str">
        <f>VLOOKUP(F1667,'RM Used'!B:D,3,0)</f>
        <v>RM-PACKING</v>
      </c>
      <c r="J1667" s="66">
        <v>1</v>
      </c>
      <c r="K1667" s="35" t="str">
        <f t="shared" si="509"/>
        <v/>
      </c>
      <c r="L1667" s="35">
        <f t="shared" si="517"/>
        <v>0</v>
      </c>
      <c r="M1667" s="77" t="str" cm="1">
        <f t="array" ref="M1667">_xlfn.IFS(BOM!I1667="RM-PACKING","100%",B1667="Reynolds",VLOOKUP(H1667,'Yield &amp; Time'!A:V,22,0),BOM!B1667="Dnata",VLOOKUP(BOM!H1667,'Yield &amp; Time'!A:M,13,0),B1667="NK",VLOOKUP(H1667,'Yield &amp; Time'!A:X,24,0))</f>
        <v>100%</v>
      </c>
      <c r="N1667" s="35">
        <f t="shared" si="518"/>
        <v>1</v>
      </c>
      <c r="O1667" s="1" t="str">
        <f>VLOOKUP(H1667,'RM Used'!A:E,5,0)</f>
        <v>Count</v>
      </c>
      <c r="P1667" s="11">
        <f>VLOOKUP(H1667,'RM Used'!A:F,6,0)</f>
        <v>0.14000000000000001</v>
      </c>
      <c r="Q1667" s="11">
        <f t="shared" ref="Q1667:Q1730" si="528">P1667*N1667</f>
        <v>0.14000000000000001</v>
      </c>
      <c r="R1667" s="11" cm="1">
        <f t="array" ref="R1667">IFERROR(_xlfn.IFS(B1667="Reynolds",VLOOKUP(H1667,'Yield &amp; Time'!A:U,21,0),B1667="Dnata",VLOOKUP(H1667,'Yield &amp; Time'!A:L,12,0),B1667="NK",VLOOKUP(H1667,'Yield &amp; Time'!A:W,23,0)),0)</f>
        <v>0</v>
      </c>
      <c r="S1667" s="11">
        <f t="shared" si="519"/>
        <v>0</v>
      </c>
      <c r="T1667" s="11">
        <f t="shared" si="520"/>
        <v>0</v>
      </c>
      <c r="U1667" s="11">
        <f>IF(A1666=A1667,0,VLOOKUP(A1667,'Packing Time'!A:F,6,0))</f>
        <v>0</v>
      </c>
      <c r="V1667" s="11">
        <f t="shared" si="513"/>
        <v>0</v>
      </c>
      <c r="W1667" s="11">
        <f t="shared" si="514"/>
        <v>0</v>
      </c>
      <c r="X1667" s="11">
        <f t="shared" si="522"/>
        <v>0</v>
      </c>
      <c r="Y1667" s="11">
        <f t="shared" si="515"/>
        <v>0</v>
      </c>
      <c r="Z1667" s="37">
        <v>1</v>
      </c>
      <c r="AA1667" s="36">
        <f t="shared" si="523"/>
        <v>1</v>
      </c>
      <c r="AB1667" s="11">
        <f t="shared" si="524"/>
        <v>0.14000000000000001</v>
      </c>
      <c r="AC1667" s="11">
        <f t="shared" si="525"/>
        <v>0</v>
      </c>
      <c r="AD1667" s="36">
        <f t="shared" si="516"/>
        <v>0</v>
      </c>
      <c r="AE1667" s="36"/>
      <c r="AF1667" s="36">
        <f>IFERROR(VLOOKUP(AE1667,'Chemical Cost'!A:D,4,0),0)</f>
        <v>0</v>
      </c>
      <c r="AG1667" s="114">
        <f t="shared" si="526"/>
        <v>0</v>
      </c>
      <c r="AH1667" s="36">
        <f t="shared" si="512"/>
        <v>0</v>
      </c>
      <c r="AI1667" s="36">
        <f t="shared" si="521"/>
        <v>0.14000000000000001</v>
      </c>
      <c r="AJ1667" s="36">
        <f>IFERROR(VLOOKUP(A1667,'All Products'!A:F,6,0),0)</f>
        <v>22.5</v>
      </c>
      <c r="AK1667" s="36"/>
      <c r="AL1667" s="23">
        <v>1</v>
      </c>
      <c r="AP1667" s="4">
        <v>1.6</v>
      </c>
      <c r="AQ1667" s="111">
        <f t="shared" si="527"/>
        <v>0</v>
      </c>
      <c r="AR1667">
        <f>_xlfn.XLOOKUP(F1667,'RM Cost'!A:A,'RM Cost'!S:S)</f>
        <v>0</v>
      </c>
      <c r="AS1667" t="e">
        <f>_xlfn.XLOOKUP(A1667,[3]Sheet1!$B:$B,[3]Sheet1!$B:$B)</f>
        <v>#N/A</v>
      </c>
    </row>
    <row r="1668" spans="1:46" x14ac:dyDescent="0.25">
      <c r="A1668" t="s">
        <v>4591</v>
      </c>
      <c r="B1668" s="2" t="s">
        <v>4377</v>
      </c>
      <c r="C1668" t="s">
        <v>4592</v>
      </c>
      <c r="D1668" s="2" t="s">
        <v>554</v>
      </c>
      <c r="E1668" s="63">
        <v>2.5</v>
      </c>
      <c r="F1668" s="1" t="str">
        <f>VLOOKUP(H1668,'RM Used'!A:B,2,0)</f>
        <v>3565CS</v>
      </c>
      <c r="G1668" s="1" t="str">
        <f>IFERROR(VLOOKUP(F1668,'RM Cost'!A:B,2,0),"")</f>
        <v>RM - PEPPERS GREEN  X 5KG</v>
      </c>
      <c r="H1668" s="1" t="s">
        <v>1398</v>
      </c>
      <c r="I1668" s="1" t="str">
        <f>VLOOKUP(F1668,'RM Used'!B:D,3,0)</f>
        <v>RM-FOOD</v>
      </c>
      <c r="J1668" s="66">
        <v>0.33</v>
      </c>
      <c r="K1668" s="35">
        <f t="shared" si="509"/>
        <v>0.82500000000000007</v>
      </c>
      <c r="L1668" s="35">
        <f t="shared" si="517"/>
        <v>0.82500000000000007</v>
      </c>
      <c r="M1668" s="77" cm="1">
        <f t="array" ref="M1668">_xlfn.IFS(BOM!I1668="RM-PACKING","100%",B1668="Reynolds",VLOOKUP(H1668,'Yield &amp; Time'!A:V,22,0),BOM!B1668="Dnata",VLOOKUP(BOM!H1668,'Yield &amp; Time'!A:M,13,0),B1668="NK",VLOOKUP(H1668,'Yield &amp; Time'!A:X,24,0))</f>
        <v>0.45454545454545459</v>
      </c>
      <c r="N1668" s="35">
        <f t="shared" si="518"/>
        <v>1.8149999999999999</v>
      </c>
      <c r="O1668" s="1" t="str">
        <f>VLOOKUP(H1668,'RM Used'!A:E,5,0)</f>
        <v>KG</v>
      </c>
      <c r="P1668" s="11">
        <f>VLOOKUP(H1668,'RM Used'!A:F,6,0)</f>
        <v>1.76</v>
      </c>
      <c r="Q1668" s="11">
        <f t="shared" si="528"/>
        <v>3.1943999999999999</v>
      </c>
      <c r="R1668" s="11" cm="1">
        <f t="array" ref="R1668">IFERROR(_xlfn.IFS(B1668="Reynolds",VLOOKUP(H1668,'Yield &amp; Time'!A:U,21,0),B1668="Dnata",VLOOKUP(H1668,'Yield &amp; Time'!A:L,12,0),B1668="NK",VLOOKUP(H1668,'Yield &amp; Time'!A:W,23,0)),0)</f>
        <v>6.75</v>
      </c>
      <c r="S1668" s="11">
        <f t="shared" si="519"/>
        <v>1.8850218749999996</v>
      </c>
      <c r="T1668" s="11">
        <f t="shared" si="520"/>
        <v>9.2812499999999992E-2</v>
      </c>
      <c r="U1668" s="11">
        <f>IF(A1667=A1668,0,VLOOKUP(A1668,'Packing Time'!A:F,6,0))</f>
        <v>0.875</v>
      </c>
      <c r="V1668" s="11">
        <f t="shared" si="513"/>
        <v>0.29618749999999999</v>
      </c>
      <c r="W1668" s="11">
        <f t="shared" si="514"/>
        <v>1.4583333333333334E-2</v>
      </c>
      <c r="X1668" s="11">
        <f t="shared" si="522"/>
        <v>3.4899349999999991</v>
      </c>
      <c r="Y1668" s="11">
        <f t="shared" si="515"/>
        <v>3.4899349999999991</v>
      </c>
      <c r="Z1668" s="37">
        <v>1</v>
      </c>
      <c r="AA1668" s="36">
        <f t="shared" si="523"/>
        <v>1.8149999999999999</v>
      </c>
      <c r="AB1668" s="11">
        <f t="shared" si="524"/>
        <v>3.1943999999999999</v>
      </c>
      <c r="AC1668" s="11">
        <f t="shared" si="525"/>
        <v>0.17183333333333334</v>
      </c>
      <c r="AD1668" s="36">
        <f t="shared" si="516"/>
        <v>3.489935</v>
      </c>
      <c r="AE1668" s="36"/>
      <c r="AF1668" s="36">
        <f>IFERROR(VLOOKUP(AE1668,'Chemical Cost'!A:D,4,0),0)</f>
        <v>0</v>
      </c>
      <c r="AG1668" s="114">
        <f t="shared" si="526"/>
        <v>0</v>
      </c>
      <c r="AH1668" s="36">
        <f t="shared" si="512"/>
        <v>0</v>
      </c>
      <c r="AI1668" s="36">
        <f t="shared" si="521"/>
        <v>6.684334999999999</v>
      </c>
      <c r="AJ1668" s="36">
        <f>IFERROR(VLOOKUP(A1668,'All Products'!A:F,6,0),0)</f>
        <v>21.25</v>
      </c>
      <c r="AK1668" s="36"/>
      <c r="AL1668" s="23">
        <v>1</v>
      </c>
      <c r="AP1668" s="4">
        <v>1.6</v>
      </c>
      <c r="AQ1668" s="111">
        <f t="shared" si="527"/>
        <v>0.17183333333333334</v>
      </c>
      <c r="AR1668">
        <f>_xlfn.XLOOKUP(F1668,'RM Cost'!A:A,'RM Cost'!S:S)</f>
        <v>0</v>
      </c>
      <c r="AS1668" t="e">
        <f>_xlfn.XLOOKUP(A1668,[3]Sheet1!$B:$B,[3]Sheet1!$B:$B)</f>
        <v>#N/A</v>
      </c>
    </row>
    <row r="1669" spans="1:46" x14ac:dyDescent="0.25">
      <c r="A1669" t="str">
        <f t="shared" ref="A1669:E1671" si="529">A1668</f>
        <v>N097CS</v>
      </c>
      <c r="B1669" t="str">
        <f t="shared" si="529"/>
        <v>NK</v>
      </c>
      <c r="C1669" t="str">
        <f t="shared" si="529"/>
        <v>Mixed Peppers 20mm</v>
      </c>
      <c r="D1669" t="s">
        <v>554</v>
      </c>
      <c r="E1669" s="63">
        <f t="shared" si="529"/>
        <v>2.5</v>
      </c>
      <c r="F1669" s="1" t="str">
        <f>VLOOKUP(H1669,'RM Used'!A:B,2,0)</f>
        <v>3566CS</v>
      </c>
      <c r="G1669" s="1" t="str">
        <f>IFERROR(VLOOKUP(F1669,'RM Cost'!A:B,2,0),"")</f>
        <v>PEPPERS RED X 5KG</v>
      </c>
      <c r="H1669" s="1" t="s">
        <v>1397</v>
      </c>
      <c r="I1669" s="1" t="str">
        <f>VLOOKUP(F1669,'RM Used'!B:D,3,0)</f>
        <v>RM-FOOD</v>
      </c>
      <c r="J1669" s="66">
        <v>0.33</v>
      </c>
      <c r="K1669" s="35">
        <f t="shared" si="509"/>
        <v>0.82500000000000007</v>
      </c>
      <c r="L1669" s="35">
        <f t="shared" si="517"/>
        <v>0.82500000000000007</v>
      </c>
      <c r="M1669" s="77" cm="1">
        <f t="array" ref="M1669">_xlfn.IFS(BOM!I1669="RM-PACKING","100%",B1669="Reynolds",VLOOKUP(H1669,'Yield &amp; Time'!A:V,22,0),BOM!B1669="Dnata",VLOOKUP(BOM!H1669,'Yield &amp; Time'!A:M,13,0),B1669="NK",VLOOKUP(H1669,'Yield &amp; Time'!A:X,24,0))</f>
        <v>0.45454545454545459</v>
      </c>
      <c r="N1669" s="35">
        <f t="shared" si="518"/>
        <v>1.8149999999999999</v>
      </c>
      <c r="O1669" s="1" t="str">
        <f>VLOOKUP(H1669,'RM Used'!A:E,5,0)</f>
        <v>KG</v>
      </c>
      <c r="P1669" s="11">
        <f>VLOOKUP(H1669,'RM Used'!A:F,6,0)</f>
        <v>1.72</v>
      </c>
      <c r="Q1669" s="11">
        <f t="shared" si="528"/>
        <v>3.1217999999999999</v>
      </c>
      <c r="R1669" s="11" cm="1">
        <f t="array" ref="R1669">IFERROR(_xlfn.IFS(B1669="Reynolds",VLOOKUP(H1669,'Yield &amp; Time'!A:U,21,0),B1669="Dnata",VLOOKUP(H1669,'Yield &amp; Time'!A:L,12,0),B1669="NK",VLOOKUP(H1669,'Yield &amp; Time'!A:W,23,0)),0)</f>
        <v>6.75</v>
      </c>
      <c r="S1669" s="11">
        <f t="shared" si="519"/>
        <v>1.8850218749999996</v>
      </c>
      <c r="T1669" s="11">
        <f t="shared" si="520"/>
        <v>9.2812499999999992E-2</v>
      </c>
      <c r="U1669" s="11">
        <f>IF(A1668=A1669,0,VLOOKUP(A1669,'Packing Time'!A:F,6,0))</f>
        <v>0</v>
      </c>
      <c r="V1669" s="11">
        <f t="shared" si="513"/>
        <v>0</v>
      </c>
      <c r="W1669" s="11">
        <f t="shared" si="514"/>
        <v>0</v>
      </c>
      <c r="X1669" s="11">
        <f t="shared" si="522"/>
        <v>3.0160349999999996</v>
      </c>
      <c r="Y1669" s="11">
        <f t="shared" si="515"/>
        <v>3.0160349999999996</v>
      </c>
      <c r="Z1669" s="37">
        <v>1</v>
      </c>
      <c r="AA1669" s="36">
        <f t="shared" si="523"/>
        <v>1.8149999999999999</v>
      </c>
      <c r="AB1669" s="11">
        <f t="shared" si="524"/>
        <v>3.1217999999999999</v>
      </c>
      <c r="AC1669" s="11">
        <f t="shared" si="525"/>
        <v>0.14849999999999999</v>
      </c>
      <c r="AD1669" s="36">
        <f t="shared" si="516"/>
        <v>3.0160349999999996</v>
      </c>
      <c r="AE1669" s="36"/>
      <c r="AF1669" s="36">
        <f>IFERROR(VLOOKUP(AE1669,'Chemical Cost'!A:D,4,0),0)</f>
        <v>0</v>
      </c>
      <c r="AG1669" s="114">
        <f t="shared" si="526"/>
        <v>0</v>
      </c>
      <c r="AH1669" s="36">
        <f t="shared" si="512"/>
        <v>0</v>
      </c>
      <c r="AI1669" s="36">
        <f t="shared" si="521"/>
        <v>6.137834999999999</v>
      </c>
      <c r="AJ1669" s="36">
        <f>IFERROR(VLOOKUP(A1669,'All Products'!A:F,6,0),0)</f>
        <v>21.25</v>
      </c>
      <c r="AK1669" s="36"/>
      <c r="AL1669" s="23">
        <v>1</v>
      </c>
      <c r="AP1669" s="4">
        <v>1.6</v>
      </c>
      <c r="AQ1669" s="111">
        <f t="shared" si="527"/>
        <v>0.14849999999999999</v>
      </c>
      <c r="AR1669">
        <f>_xlfn.XLOOKUP(F1669,'RM Cost'!A:A,'RM Cost'!S:S)</f>
        <v>0</v>
      </c>
      <c r="AS1669" t="e">
        <f>_xlfn.XLOOKUP(A1669,[3]Sheet1!$B:$B,[3]Sheet1!$B:$B)</f>
        <v>#N/A</v>
      </c>
    </row>
    <row r="1670" spans="1:46" x14ac:dyDescent="0.25">
      <c r="A1670" t="str">
        <f t="shared" si="529"/>
        <v>N097CS</v>
      </c>
      <c r="B1670" t="str">
        <f t="shared" si="529"/>
        <v>NK</v>
      </c>
      <c r="C1670" t="str">
        <f t="shared" si="529"/>
        <v>Mixed Peppers 20mm</v>
      </c>
      <c r="D1670" t="s">
        <v>554</v>
      </c>
      <c r="E1670" s="63">
        <f t="shared" si="529"/>
        <v>2.5</v>
      </c>
      <c r="F1670" s="1" t="str">
        <f>VLOOKUP(H1670,'RM Used'!A:B,2,0)</f>
        <v>3567CS</v>
      </c>
      <c r="G1670" s="1" t="str">
        <f>IFERROR(VLOOKUP(F1670,'RM Cost'!A:B,2,0),"")</f>
        <v>RM - PEPPERS YELLOW  X 5KG</v>
      </c>
      <c r="H1670" s="1" t="s">
        <v>1399</v>
      </c>
      <c r="I1670" s="1" t="str">
        <f>VLOOKUP(F1670,'RM Used'!B:D,3,0)</f>
        <v>RM-FOOD</v>
      </c>
      <c r="J1670" s="66">
        <v>0.34</v>
      </c>
      <c r="K1670" s="35">
        <f t="shared" si="509"/>
        <v>0.85000000000000009</v>
      </c>
      <c r="L1670" s="35">
        <f t="shared" si="517"/>
        <v>0.85000000000000009</v>
      </c>
      <c r="M1670" s="77" cm="1">
        <f t="array" ref="M1670">_xlfn.IFS(BOM!I1670="RM-PACKING","100%",B1670="Reynolds",VLOOKUP(H1670,'Yield &amp; Time'!A:V,22,0),BOM!B1670="Dnata",VLOOKUP(BOM!H1670,'Yield &amp; Time'!A:M,13,0),B1670="NK",VLOOKUP(H1670,'Yield &amp; Time'!A:X,24,0))</f>
        <v>0.45454545454545459</v>
      </c>
      <c r="N1670" s="35">
        <f t="shared" si="518"/>
        <v>1.87</v>
      </c>
      <c r="O1670" s="1" t="str">
        <f>VLOOKUP(H1670,'RM Used'!A:E,5,0)</f>
        <v>KG</v>
      </c>
      <c r="P1670" s="11">
        <f>VLOOKUP(H1670,'RM Used'!A:F,6,0)</f>
        <v>1.68</v>
      </c>
      <c r="Q1670" s="11">
        <f t="shared" si="528"/>
        <v>3.1415999999999999</v>
      </c>
      <c r="R1670" s="11" cm="1">
        <f t="array" ref="R1670">IFERROR(_xlfn.IFS(B1670="Reynolds",VLOOKUP(H1670,'Yield &amp; Time'!A:U,21,0),B1670="Dnata",VLOOKUP(H1670,'Yield &amp; Time'!A:L,12,0),B1670="NK",VLOOKUP(H1670,'Yield &amp; Time'!A:W,23,0)),0)</f>
        <v>6.75</v>
      </c>
      <c r="S1670" s="11">
        <f t="shared" si="519"/>
        <v>1.9421437500000001</v>
      </c>
      <c r="T1670" s="11">
        <f t="shared" si="520"/>
        <v>9.5625000000000016E-2</v>
      </c>
      <c r="U1670" s="11">
        <f>IF(A1669=A1670,0,VLOOKUP(A1670,'Packing Time'!A:F,6,0))</f>
        <v>0</v>
      </c>
      <c r="V1670" s="11">
        <f t="shared" si="513"/>
        <v>0</v>
      </c>
      <c r="W1670" s="11">
        <f t="shared" si="514"/>
        <v>0</v>
      </c>
      <c r="X1670" s="11">
        <f t="shared" si="522"/>
        <v>3.1074300000000004</v>
      </c>
      <c r="Y1670" s="11">
        <f t="shared" si="515"/>
        <v>3.1074300000000004</v>
      </c>
      <c r="Z1670" s="37">
        <v>1</v>
      </c>
      <c r="AA1670" s="36">
        <f t="shared" si="523"/>
        <v>1.87</v>
      </c>
      <c r="AB1670" s="11">
        <f t="shared" si="524"/>
        <v>3.1415999999999999</v>
      </c>
      <c r="AC1670" s="11">
        <f t="shared" si="525"/>
        <v>0.15300000000000002</v>
      </c>
      <c r="AD1670" s="36">
        <f t="shared" si="516"/>
        <v>3.1074300000000004</v>
      </c>
      <c r="AE1670" s="36"/>
      <c r="AF1670" s="36">
        <f>IFERROR(VLOOKUP(AE1670,'Chemical Cost'!A:D,4,0),0)</f>
        <v>0</v>
      </c>
      <c r="AG1670" s="114">
        <f t="shared" si="526"/>
        <v>0</v>
      </c>
      <c r="AH1670" s="36">
        <f t="shared" si="512"/>
        <v>0</v>
      </c>
      <c r="AI1670" s="36">
        <f t="shared" si="521"/>
        <v>6.2490300000000003</v>
      </c>
      <c r="AJ1670" s="36">
        <f>IFERROR(VLOOKUP(A1670,'All Products'!A:F,6,0),0)</f>
        <v>21.25</v>
      </c>
      <c r="AK1670" s="36"/>
      <c r="AL1670" s="23">
        <v>1</v>
      </c>
      <c r="AP1670" s="4">
        <v>1.6</v>
      </c>
      <c r="AQ1670" s="111">
        <f t="shared" si="527"/>
        <v>0.15300000000000002</v>
      </c>
      <c r="AR1670">
        <f>_xlfn.XLOOKUP(F1670,'RM Cost'!A:A,'RM Cost'!S:S)</f>
        <v>0</v>
      </c>
      <c r="AS1670" t="e">
        <f>_xlfn.XLOOKUP(A1670,[3]Sheet1!$B:$B,[3]Sheet1!$B:$B)</f>
        <v>#N/A</v>
      </c>
    </row>
    <row r="1671" spans="1:46" x14ac:dyDescent="0.25">
      <c r="A1671" t="str">
        <f t="shared" si="529"/>
        <v>N097CS</v>
      </c>
      <c r="B1671" t="str">
        <f t="shared" si="529"/>
        <v>NK</v>
      </c>
      <c r="C1671" t="str">
        <f t="shared" si="529"/>
        <v>Mixed Peppers 20mm</v>
      </c>
      <c r="D1671" t="s">
        <v>554</v>
      </c>
      <c r="E1671" s="63">
        <f t="shared" si="529"/>
        <v>2.5</v>
      </c>
      <c r="F1671" s="1" t="str">
        <f>VLOOKUP(H1671,'RM Used'!A:B,2,0)</f>
        <v>P0008</v>
      </c>
      <c r="G1671" s="1" t="str">
        <f>IFERROR(VLOOKUP(F1671,'RM Cost'!A:B,2,0),"")</f>
        <v>PALE BLUE BAG 470X750MM</v>
      </c>
      <c r="H1671" s="1" t="s">
        <v>1323</v>
      </c>
      <c r="I1671" s="1" t="str">
        <f>VLOOKUP(F1671,'RM Used'!B:D,3,0)</f>
        <v>RM-PACKING</v>
      </c>
      <c r="J1671" s="66">
        <v>1</v>
      </c>
      <c r="K1671" s="35" t="str">
        <f t="shared" si="509"/>
        <v/>
      </c>
      <c r="L1671" s="35">
        <f t="shared" si="517"/>
        <v>0</v>
      </c>
      <c r="M1671" s="77" t="str" cm="1">
        <f t="array" ref="M1671">_xlfn.IFS(BOM!I1671="RM-PACKING","100%",B1671="Reynolds",VLOOKUP(H1671,'Yield &amp; Time'!A:V,22,0),BOM!B1671="Dnata",VLOOKUP(BOM!H1671,'Yield &amp; Time'!A:M,13,0),B1671="NK",VLOOKUP(H1671,'Yield &amp; Time'!A:X,24,0))</f>
        <v>100%</v>
      </c>
      <c r="N1671" s="35">
        <f t="shared" si="518"/>
        <v>1</v>
      </c>
      <c r="O1671" s="1" t="str">
        <f>VLOOKUP(H1671,'RM Used'!A:E,5,0)</f>
        <v>Count</v>
      </c>
      <c r="P1671" s="11">
        <f>VLOOKUP(H1671,'RM Used'!A:F,6,0)</f>
        <v>0.14000000000000001</v>
      </c>
      <c r="Q1671" s="11">
        <f t="shared" si="528"/>
        <v>0.14000000000000001</v>
      </c>
      <c r="R1671" s="11" cm="1">
        <f t="array" ref="R1671">IFERROR(_xlfn.IFS(B1671="Reynolds",VLOOKUP(H1671,'Yield &amp; Time'!A:U,21,0),B1671="Dnata",VLOOKUP(H1671,'Yield &amp; Time'!A:L,12,0),B1671="NK",VLOOKUP(H1671,'Yield &amp; Time'!A:W,23,0)),0)</f>
        <v>0</v>
      </c>
      <c r="S1671" s="11">
        <f t="shared" si="519"/>
        <v>0</v>
      </c>
      <c r="T1671" s="11">
        <f t="shared" si="520"/>
        <v>0</v>
      </c>
      <c r="U1671" s="11">
        <f>IF(A1670=A1671,0,VLOOKUP(A1671,'Packing Time'!A:F,6,0))</f>
        <v>0</v>
      </c>
      <c r="V1671" s="11">
        <f t="shared" si="513"/>
        <v>0</v>
      </c>
      <c r="W1671" s="11">
        <f t="shared" si="514"/>
        <v>0</v>
      </c>
      <c r="X1671" s="11">
        <f t="shared" si="522"/>
        <v>0</v>
      </c>
      <c r="Y1671" s="11">
        <f t="shared" si="515"/>
        <v>0</v>
      </c>
      <c r="Z1671" s="37">
        <v>1</v>
      </c>
      <c r="AA1671" s="36">
        <f t="shared" si="523"/>
        <v>1</v>
      </c>
      <c r="AB1671" s="11">
        <f t="shared" si="524"/>
        <v>0.14000000000000001</v>
      </c>
      <c r="AC1671" s="11">
        <f t="shared" si="525"/>
        <v>0</v>
      </c>
      <c r="AD1671" s="36">
        <f t="shared" si="516"/>
        <v>0</v>
      </c>
      <c r="AE1671" s="36"/>
      <c r="AF1671" s="36">
        <f>IFERROR(VLOOKUP(AE1671,'Chemical Cost'!A:D,4,0),0)</f>
        <v>0</v>
      </c>
      <c r="AG1671" s="114">
        <f t="shared" si="526"/>
        <v>0</v>
      </c>
      <c r="AH1671" s="36">
        <f t="shared" si="512"/>
        <v>0</v>
      </c>
      <c r="AI1671" s="36">
        <f t="shared" si="521"/>
        <v>0.14000000000000001</v>
      </c>
      <c r="AJ1671" s="36">
        <f>IFERROR(VLOOKUP(A1671,'All Products'!A:F,6,0),0)</f>
        <v>21.25</v>
      </c>
      <c r="AK1671" s="36"/>
      <c r="AL1671" s="23">
        <v>1</v>
      </c>
      <c r="AP1671" s="4">
        <v>1.6</v>
      </c>
      <c r="AQ1671" s="111">
        <f t="shared" si="527"/>
        <v>0</v>
      </c>
      <c r="AR1671">
        <f>_xlfn.XLOOKUP(F1671,'RM Cost'!A:A,'RM Cost'!S:S)</f>
        <v>0</v>
      </c>
      <c r="AS1671" t="e">
        <f>_xlfn.XLOOKUP(A1671,[3]Sheet1!$B:$B,[3]Sheet1!$B:$B)</f>
        <v>#N/A</v>
      </c>
    </row>
    <row r="1672" spans="1:46" x14ac:dyDescent="0.25">
      <c r="A1672" t="s">
        <v>4593</v>
      </c>
      <c r="B1672" s="2" t="s">
        <v>4377</v>
      </c>
      <c r="C1672" t="s">
        <v>4478</v>
      </c>
      <c r="D1672" s="2" t="s">
        <v>554</v>
      </c>
      <c r="E1672" s="63">
        <v>5</v>
      </c>
      <c r="F1672" s="1" t="str">
        <f>VLOOKUP(H1672,'RM Used'!A:B,2,0)</f>
        <v>3242CS</v>
      </c>
      <c r="G1672" s="1" t="str">
        <f>IFERROR(VLOOKUP(F1672,'RM Cost'!A:B,2,0),"")</f>
        <v>RM - SWEET POTATOES ORANGE FLESH 6K</v>
      </c>
      <c r="H1672" s="1" t="s">
        <v>4478</v>
      </c>
      <c r="I1672" s="1" t="str">
        <f>VLOOKUP(F1672,'RM Used'!B:D,3,0)</f>
        <v>RM-FOOD</v>
      </c>
      <c r="J1672" s="66">
        <v>1</v>
      </c>
      <c r="K1672" s="35">
        <f t="shared" si="509"/>
        <v>5</v>
      </c>
      <c r="L1672" s="35">
        <f t="shared" si="517"/>
        <v>5</v>
      </c>
      <c r="M1672" s="77" cm="1">
        <f t="array" ref="M1672">_xlfn.IFS(BOM!I1672="RM-PACKING","100%",B1672="Reynolds",VLOOKUP(H1672,'Yield &amp; Time'!A:V,22,0),BOM!B1672="Dnata",VLOOKUP(BOM!H1672,'Yield &amp; Time'!A:M,13,0),B1672="NK",VLOOKUP(H1672,'Yield &amp; Time'!A:X,24,0))</f>
        <v>0.73</v>
      </c>
      <c r="N1672" s="35">
        <f t="shared" si="518"/>
        <v>6.8493150684931505</v>
      </c>
      <c r="O1672" s="1" t="str">
        <f>VLOOKUP(H1672,'RM Used'!A:E,5,0)</f>
        <v>KG</v>
      </c>
      <c r="P1672" s="11">
        <f>VLOOKUP(H1672,'RM Used'!A:F,6,0)</f>
        <v>0.88</v>
      </c>
      <c r="Q1672" s="11">
        <f t="shared" si="528"/>
        <v>6.0273972602739727</v>
      </c>
      <c r="R1672" s="11" cm="1">
        <f t="array" ref="R1672">IFERROR(_xlfn.IFS(B1672="Reynolds",VLOOKUP(H1672,'Yield &amp; Time'!A:U,21,0),B1672="Dnata",VLOOKUP(H1672,'Yield &amp; Time'!A:L,12,0),B1672="NK",VLOOKUP(H1672,'Yield &amp; Time'!A:W,23,0)),0)</f>
        <v>1.82</v>
      </c>
      <c r="S1672" s="11">
        <f t="shared" si="519"/>
        <v>3.0803499999999997</v>
      </c>
      <c r="T1672" s="11">
        <f t="shared" si="520"/>
        <v>0.15166666666666667</v>
      </c>
      <c r="U1672" s="11">
        <f>IF(A1671=A1672,0,VLOOKUP(A1672,'Packing Time'!A:F,6,0))</f>
        <v>1.1850000000000001</v>
      </c>
      <c r="V1672" s="11">
        <f t="shared" si="513"/>
        <v>0.40112249999999999</v>
      </c>
      <c r="W1672" s="11">
        <f t="shared" si="514"/>
        <v>1.975E-2</v>
      </c>
      <c r="X1672" s="11">
        <f t="shared" si="522"/>
        <v>5.5703560000000003</v>
      </c>
      <c r="Y1672" s="11">
        <f t="shared" si="515"/>
        <v>5.5703560000000003</v>
      </c>
      <c r="Z1672" s="37">
        <v>1</v>
      </c>
      <c r="AA1672" s="36">
        <f t="shared" si="523"/>
        <v>6.8493150684931505</v>
      </c>
      <c r="AB1672" s="11">
        <f t="shared" si="524"/>
        <v>6.0273972602739727</v>
      </c>
      <c r="AC1672" s="11">
        <f t="shared" si="525"/>
        <v>0.27426666666666666</v>
      </c>
      <c r="AD1672" s="36">
        <f t="shared" si="516"/>
        <v>5.5703559999999994</v>
      </c>
      <c r="AE1672" s="36"/>
      <c r="AF1672" s="36">
        <f>IFERROR(VLOOKUP(AE1672,'Chemical Cost'!A:D,4,0),0)</f>
        <v>0</v>
      </c>
      <c r="AG1672" s="114">
        <f t="shared" si="526"/>
        <v>0</v>
      </c>
      <c r="AH1672" s="36">
        <f t="shared" si="512"/>
        <v>0</v>
      </c>
      <c r="AI1672" s="36">
        <f t="shared" si="521"/>
        <v>11.597753260273972</v>
      </c>
      <c r="AJ1672" s="36">
        <f>IFERROR(VLOOKUP(A1672,'All Products'!A:F,6,0),0)</f>
        <v>41.9</v>
      </c>
      <c r="AK1672" s="36"/>
      <c r="AL1672" s="23">
        <v>1</v>
      </c>
      <c r="AP1672" s="4">
        <v>1.6</v>
      </c>
      <c r="AQ1672" s="111">
        <f t="shared" si="527"/>
        <v>0.27426666666666666</v>
      </c>
      <c r="AR1672">
        <f>_xlfn.XLOOKUP(F1672,'RM Cost'!A:A,'RM Cost'!S:S)</f>
        <v>0</v>
      </c>
      <c r="AS1672" t="str">
        <f>_xlfn.XLOOKUP(A1672,[3]Sheet1!$B:$B,[3]Sheet1!$B:$B)</f>
        <v>N078CS</v>
      </c>
      <c r="AT1672">
        <f>_xlfn.XLOOKUP(H1672,'Yield &amp; Time'!A:A,'Yield &amp; Time'!F:F)</f>
        <v>0</v>
      </c>
    </row>
    <row r="1673" spans="1:46" x14ac:dyDescent="0.25">
      <c r="A1673" t="str">
        <f>A1672</f>
        <v>N078CS</v>
      </c>
      <c r="B1673" t="str">
        <f>B1672</f>
        <v>NK</v>
      </c>
      <c r="C1673" t="str">
        <f>C1672</f>
        <v>Sweet Potato Diced 20mm</v>
      </c>
      <c r="D1673" t="s">
        <v>554</v>
      </c>
      <c r="E1673" s="63">
        <f>E1672</f>
        <v>5</v>
      </c>
      <c r="F1673" s="1" t="str">
        <f>VLOOKUP(H1673,'RM Used'!A:B,2,0)</f>
        <v>P0008</v>
      </c>
      <c r="G1673" s="1" t="str">
        <f>IFERROR(VLOOKUP(F1673,'RM Cost'!A:B,2,0),"")</f>
        <v>PALE BLUE BAG 470X750MM</v>
      </c>
      <c r="H1673" s="1" t="s">
        <v>1323</v>
      </c>
      <c r="I1673" s="1" t="str">
        <f>VLOOKUP(F1673,'RM Used'!B:D,3,0)</f>
        <v>RM-PACKING</v>
      </c>
      <c r="J1673" s="66">
        <v>1</v>
      </c>
      <c r="K1673" s="35" t="str">
        <f t="shared" si="509"/>
        <v/>
      </c>
      <c r="L1673" s="35">
        <f t="shared" si="517"/>
        <v>0</v>
      </c>
      <c r="M1673" s="77" t="str" cm="1">
        <f t="array" ref="M1673">_xlfn.IFS(BOM!I1673="RM-PACKING","100%",B1673="Reynolds",VLOOKUP(H1673,'Yield &amp; Time'!A:V,22,0),BOM!B1673="Dnata",VLOOKUP(BOM!H1673,'Yield &amp; Time'!A:M,13,0),B1673="NK",VLOOKUP(H1673,'Yield &amp; Time'!A:X,24,0))</f>
        <v>100%</v>
      </c>
      <c r="N1673" s="35">
        <f t="shared" si="518"/>
        <v>1</v>
      </c>
      <c r="O1673" s="1" t="str">
        <f>VLOOKUP(H1673,'RM Used'!A:E,5,0)</f>
        <v>Count</v>
      </c>
      <c r="P1673" s="11">
        <f>VLOOKUP(H1673,'RM Used'!A:F,6,0)</f>
        <v>0.14000000000000001</v>
      </c>
      <c r="Q1673" s="11">
        <f t="shared" si="528"/>
        <v>0.14000000000000001</v>
      </c>
      <c r="R1673" s="11" cm="1">
        <f t="array" ref="R1673">IFERROR(_xlfn.IFS(B1673="Reynolds",VLOOKUP(H1673,'Yield &amp; Time'!A:U,21,0),B1673="Dnata",VLOOKUP(H1673,'Yield &amp; Time'!A:L,12,0),B1673="NK",VLOOKUP(H1673,'Yield &amp; Time'!A:W,23,0)),0)</f>
        <v>0</v>
      </c>
      <c r="S1673" s="11">
        <f t="shared" si="519"/>
        <v>0</v>
      </c>
      <c r="T1673" s="11">
        <f t="shared" si="520"/>
        <v>0</v>
      </c>
      <c r="U1673" s="11">
        <f>IF(A1672=A1673,0,VLOOKUP(A1673,'Packing Time'!A:F,6,0))</f>
        <v>0</v>
      </c>
      <c r="V1673" s="11">
        <f t="shared" si="513"/>
        <v>0</v>
      </c>
      <c r="W1673" s="11">
        <f t="shared" si="514"/>
        <v>0</v>
      </c>
      <c r="X1673" s="11">
        <f t="shared" si="522"/>
        <v>0</v>
      </c>
      <c r="Y1673" s="11">
        <f t="shared" si="515"/>
        <v>0</v>
      </c>
      <c r="Z1673" s="37">
        <v>1</v>
      </c>
      <c r="AA1673" s="36">
        <f t="shared" si="523"/>
        <v>1</v>
      </c>
      <c r="AB1673" s="11">
        <f t="shared" si="524"/>
        <v>0.14000000000000001</v>
      </c>
      <c r="AC1673" s="11">
        <f t="shared" si="525"/>
        <v>0</v>
      </c>
      <c r="AD1673" s="36">
        <f t="shared" si="516"/>
        <v>0</v>
      </c>
      <c r="AE1673" s="36"/>
      <c r="AF1673" s="36">
        <f>IFERROR(VLOOKUP(AE1673,'Chemical Cost'!A:D,4,0),0)</f>
        <v>0</v>
      </c>
      <c r="AG1673" s="114">
        <f t="shared" si="526"/>
        <v>0</v>
      </c>
      <c r="AH1673" s="36">
        <f t="shared" si="512"/>
        <v>0</v>
      </c>
      <c r="AI1673" s="36">
        <f t="shared" si="521"/>
        <v>0.14000000000000001</v>
      </c>
      <c r="AJ1673" s="36">
        <f>IFERROR(VLOOKUP(A1673,'All Products'!A:F,6,0),0)</f>
        <v>41.9</v>
      </c>
      <c r="AK1673" s="36"/>
      <c r="AL1673" s="23">
        <v>1</v>
      </c>
      <c r="AP1673" s="4">
        <v>1.6</v>
      </c>
      <c r="AQ1673" s="111">
        <f t="shared" si="527"/>
        <v>0</v>
      </c>
      <c r="AR1673">
        <f>_xlfn.XLOOKUP(F1673,'RM Cost'!A:A,'RM Cost'!S:S)</f>
        <v>0</v>
      </c>
      <c r="AS1673" t="str">
        <f>_xlfn.XLOOKUP(A1673,[3]Sheet1!$B:$B,[3]Sheet1!$B:$B)</f>
        <v>N078CS</v>
      </c>
      <c r="AT1673" t="e">
        <f>_xlfn.XLOOKUP(H1673,'Yield &amp; Time'!A:A,'Yield &amp; Time'!F:F)</f>
        <v>#N/A</v>
      </c>
    </row>
    <row r="1674" spans="1:46" x14ac:dyDescent="0.25">
      <c r="A1674" t="s">
        <v>4594</v>
      </c>
      <c r="B1674" s="2" t="s">
        <v>4377</v>
      </c>
      <c r="C1674" t="s">
        <v>4595</v>
      </c>
      <c r="D1674" s="2" t="s">
        <v>554</v>
      </c>
      <c r="E1674" s="63">
        <v>5</v>
      </c>
      <c r="F1674" s="1" t="str">
        <f>VLOOKUP(H1674,'RM Used'!A:B,2,0)</f>
        <v>283ACS</v>
      </c>
      <c r="G1674" s="1" t="str">
        <f>IFERROR(VLOOKUP(F1674,'RM Cost'!A:B,2,0),"")</f>
        <v>RM - BUTTERNUT SQUASH BIN X 625KG</v>
      </c>
      <c r="H1674" s="1" t="s">
        <v>1447</v>
      </c>
      <c r="I1674" s="1" t="str">
        <f>VLOOKUP(F1674,'RM Used'!B:D,3,0)</f>
        <v>RM-FOOD</v>
      </c>
      <c r="J1674" s="66">
        <v>1</v>
      </c>
      <c r="K1674" s="35">
        <f t="shared" si="509"/>
        <v>5</v>
      </c>
      <c r="L1674" s="35">
        <f t="shared" si="517"/>
        <v>5</v>
      </c>
      <c r="M1674" s="77" cm="1">
        <f t="array" ref="M1674">_xlfn.IFS(BOM!I1674="RM-PACKING","100%",B1674="Reynolds",VLOOKUP(H1674,'Yield &amp; Time'!A:V,22,0),BOM!B1674="Dnata",VLOOKUP(BOM!H1674,'Yield &amp; Time'!A:M,13,0),B1674="NK",VLOOKUP(H1674,'Yield &amp; Time'!A:X,24,0))</f>
        <v>0.73</v>
      </c>
      <c r="N1674" s="35">
        <f t="shared" si="518"/>
        <v>6.8493150684931505</v>
      </c>
      <c r="O1674" s="1" t="str">
        <f>VLOOKUP(H1674,'RM Used'!A:E,5,0)</f>
        <v>KG</v>
      </c>
      <c r="P1674" s="11">
        <f>VLOOKUP(H1674,'RM Used'!A:F,6,0)</f>
        <v>0.65</v>
      </c>
      <c r="Q1674" s="11">
        <f t="shared" si="528"/>
        <v>4.4520547945205484</v>
      </c>
      <c r="R1674" s="11" cm="1">
        <f t="array" ref="R1674">IFERROR(_xlfn.IFS(B1674="Reynolds",VLOOKUP(H1674,'Yield &amp; Time'!A:U,21,0),B1674="Dnata",VLOOKUP(H1674,'Yield &amp; Time'!A:L,12,0),B1674="NK",VLOOKUP(H1674,'Yield &amp; Time'!A:W,23,0)),0)</f>
        <v>1.7</v>
      </c>
      <c r="S1674" s="11">
        <f t="shared" si="519"/>
        <v>2.8772499999999996</v>
      </c>
      <c r="T1674" s="11">
        <f t="shared" si="520"/>
        <v>0.14166666666666666</v>
      </c>
      <c r="U1674" s="11">
        <f>IF(A1673=A1674,0,VLOOKUP(A1674,'Packing Time'!A:F,6,0))</f>
        <v>1.1850000000000001</v>
      </c>
      <c r="V1674" s="11">
        <f t="shared" si="513"/>
        <v>0.40112249999999999</v>
      </c>
      <c r="W1674" s="11">
        <f t="shared" si="514"/>
        <v>1.975E-2</v>
      </c>
      <c r="X1674" s="11">
        <f t="shared" si="522"/>
        <v>5.2453959999999995</v>
      </c>
      <c r="Y1674" s="11">
        <f t="shared" si="515"/>
        <v>5.2453959999999995</v>
      </c>
      <c r="Z1674" s="37">
        <v>1</v>
      </c>
      <c r="AA1674" s="36">
        <f t="shared" si="523"/>
        <v>6.8493150684931505</v>
      </c>
      <c r="AB1674" s="11">
        <f t="shared" si="524"/>
        <v>4.4520547945205484</v>
      </c>
      <c r="AC1674" s="11">
        <f t="shared" si="525"/>
        <v>0.2582666666666667</v>
      </c>
      <c r="AD1674" s="36">
        <f t="shared" si="516"/>
        <v>5.2453960000000004</v>
      </c>
      <c r="AE1674" s="36"/>
      <c r="AF1674" s="36">
        <f>IFERROR(VLOOKUP(AE1674,'Chemical Cost'!A:D,4,0),0)</f>
        <v>0</v>
      </c>
      <c r="AG1674" s="114">
        <f t="shared" si="526"/>
        <v>0</v>
      </c>
      <c r="AH1674" s="36">
        <f t="shared" si="512"/>
        <v>0</v>
      </c>
      <c r="AI1674" s="36">
        <f t="shared" si="521"/>
        <v>9.6974507945205488</v>
      </c>
      <c r="AJ1674" s="36">
        <f>IFERROR(VLOOKUP(A1674,'All Products'!A:F,6,0),0)</f>
        <v>15</v>
      </c>
      <c r="AK1674" s="36"/>
      <c r="AL1674" s="23">
        <v>1</v>
      </c>
      <c r="AP1674" s="4">
        <v>1.6</v>
      </c>
      <c r="AQ1674" s="111">
        <f t="shared" si="527"/>
        <v>0.2582666666666667</v>
      </c>
      <c r="AR1674">
        <f>_xlfn.XLOOKUP(F1674,'RM Cost'!A:A,'RM Cost'!S:S)</f>
        <v>0</v>
      </c>
      <c r="AS1674" t="e">
        <f>_xlfn.XLOOKUP(A1674,[3]Sheet1!$B:$B,[3]Sheet1!$B:$B)</f>
        <v>#N/A</v>
      </c>
    </row>
    <row r="1675" spans="1:46" x14ac:dyDescent="0.25">
      <c r="A1675" t="str">
        <f>A1674</f>
        <v>N093CS</v>
      </c>
      <c r="B1675" t="str">
        <f>B1674</f>
        <v>NK</v>
      </c>
      <c r="C1675" t="str">
        <f>C1674</f>
        <v>Butternut Squash diced 15mm</v>
      </c>
      <c r="D1675" t="s">
        <v>554</v>
      </c>
      <c r="E1675" s="63">
        <f>E1674</f>
        <v>5</v>
      </c>
      <c r="F1675" s="1" t="str">
        <f>VLOOKUP(H1675,'RM Used'!A:B,2,0)</f>
        <v>P0008</v>
      </c>
      <c r="G1675" s="1" t="str">
        <f>IFERROR(VLOOKUP(F1675,'RM Cost'!A:B,2,0),"")</f>
        <v>PALE BLUE BAG 470X750MM</v>
      </c>
      <c r="H1675" s="1" t="s">
        <v>1323</v>
      </c>
      <c r="I1675" s="1" t="str">
        <f>VLOOKUP(F1675,'RM Used'!B:D,3,0)</f>
        <v>RM-PACKING</v>
      </c>
      <c r="J1675" s="66">
        <v>1</v>
      </c>
      <c r="K1675" s="35" t="str">
        <f t="shared" ref="K1675:K1738" si="530">IF(I1675="RM-FOOD",J1675*E1675,"")</f>
        <v/>
      </c>
      <c r="L1675" s="35">
        <f t="shared" si="517"/>
        <v>0</v>
      </c>
      <c r="M1675" s="77" t="str" cm="1">
        <f t="array" ref="M1675">_xlfn.IFS(BOM!I1675="RM-PACKING","100%",B1675="Reynolds",VLOOKUP(H1675,'Yield &amp; Time'!A:V,22,0),BOM!B1675="Dnata",VLOOKUP(BOM!H1675,'Yield &amp; Time'!A:M,13,0),B1675="NK",VLOOKUP(H1675,'Yield &amp; Time'!A:X,24,0))</f>
        <v>100%</v>
      </c>
      <c r="N1675" s="35">
        <f t="shared" si="518"/>
        <v>1</v>
      </c>
      <c r="O1675" s="1" t="str">
        <f>VLOOKUP(H1675,'RM Used'!A:E,5,0)</f>
        <v>Count</v>
      </c>
      <c r="P1675" s="11">
        <f>VLOOKUP(H1675,'RM Used'!A:F,6,0)</f>
        <v>0.14000000000000001</v>
      </c>
      <c r="Q1675" s="11">
        <f t="shared" si="528"/>
        <v>0.14000000000000001</v>
      </c>
      <c r="R1675" s="11" cm="1">
        <f t="array" ref="R1675">IFERROR(_xlfn.IFS(B1675="Reynolds",VLOOKUP(H1675,'Yield &amp; Time'!A:U,21,0),B1675="Dnata",VLOOKUP(H1675,'Yield &amp; Time'!A:L,12,0),B1675="NK",VLOOKUP(H1675,'Yield &amp; Time'!A:W,23,0)),0)</f>
        <v>0</v>
      </c>
      <c r="S1675" s="11">
        <f t="shared" si="519"/>
        <v>0</v>
      </c>
      <c r="T1675" s="11">
        <f t="shared" si="520"/>
        <v>0</v>
      </c>
      <c r="U1675" s="11">
        <f>IF(A1674=A1675,0,VLOOKUP(A1675,'Packing Time'!A:F,6,0))</f>
        <v>0</v>
      </c>
      <c r="V1675" s="11">
        <f t="shared" si="513"/>
        <v>0</v>
      </c>
      <c r="W1675" s="11">
        <f t="shared" si="514"/>
        <v>0</v>
      </c>
      <c r="X1675" s="11">
        <f t="shared" si="522"/>
        <v>0</v>
      </c>
      <c r="Y1675" s="11">
        <f t="shared" si="515"/>
        <v>0</v>
      </c>
      <c r="Z1675" s="37">
        <v>1</v>
      </c>
      <c r="AA1675" s="36">
        <f t="shared" si="523"/>
        <v>1</v>
      </c>
      <c r="AB1675" s="11">
        <f t="shared" si="524"/>
        <v>0.14000000000000001</v>
      </c>
      <c r="AC1675" s="11">
        <f t="shared" si="525"/>
        <v>0</v>
      </c>
      <c r="AD1675" s="36">
        <f t="shared" si="516"/>
        <v>0</v>
      </c>
      <c r="AE1675" s="36"/>
      <c r="AF1675" s="36">
        <f>IFERROR(VLOOKUP(AE1675,'Chemical Cost'!A:D,4,0),0)</f>
        <v>0</v>
      </c>
      <c r="AG1675" s="114">
        <f t="shared" si="526"/>
        <v>0</v>
      </c>
      <c r="AH1675" s="36">
        <f t="shared" si="512"/>
        <v>0</v>
      </c>
      <c r="AI1675" s="36">
        <f t="shared" si="521"/>
        <v>0.14000000000000001</v>
      </c>
      <c r="AJ1675" s="36">
        <f>IFERROR(VLOOKUP(A1675,'All Products'!A:F,6,0),0)</f>
        <v>15</v>
      </c>
      <c r="AK1675" s="36"/>
      <c r="AL1675" s="23">
        <v>1</v>
      </c>
      <c r="AP1675" s="4">
        <v>1.6</v>
      </c>
      <c r="AQ1675" s="111">
        <f t="shared" si="527"/>
        <v>0</v>
      </c>
      <c r="AR1675">
        <f>_xlfn.XLOOKUP(F1675,'RM Cost'!A:A,'RM Cost'!S:S)</f>
        <v>0</v>
      </c>
      <c r="AS1675" t="e">
        <f>_xlfn.XLOOKUP(A1675,[3]Sheet1!$B:$B,[3]Sheet1!$B:$B)</f>
        <v>#N/A</v>
      </c>
    </row>
    <row r="1676" spans="1:46" x14ac:dyDescent="0.25">
      <c r="A1676" t="s">
        <v>4597</v>
      </c>
      <c r="B1676" s="2" t="s">
        <v>4377</v>
      </c>
      <c r="C1676" t="s">
        <v>4483</v>
      </c>
      <c r="D1676" s="2" t="s">
        <v>554</v>
      </c>
      <c r="E1676" s="63">
        <v>2.5</v>
      </c>
      <c r="F1676" s="1" t="str">
        <f>VLOOKUP(H1676,'RM Used'!A:B,2,0)</f>
        <v>0930CS</v>
      </c>
      <c r="G1676" s="1" t="str">
        <f>IFERROR(VLOOKUP(F1676,'RM Cost'!A:B,2,0),"")</f>
        <v>RM - COURGETTE STANDARD</v>
      </c>
      <c r="H1676" s="1" t="s">
        <v>4483</v>
      </c>
      <c r="I1676" s="1" t="str">
        <f>VLOOKUP(F1676,'RM Used'!B:D,3,0)</f>
        <v>RM-FOOD</v>
      </c>
      <c r="J1676" s="66">
        <v>1</v>
      </c>
      <c r="K1676" s="35">
        <f t="shared" si="530"/>
        <v>2.5</v>
      </c>
      <c r="L1676" s="35">
        <f t="shared" si="517"/>
        <v>2.5</v>
      </c>
      <c r="M1676" s="77" cm="1">
        <f t="array" ref="M1676">_xlfn.IFS(BOM!I1676="RM-PACKING","100%",B1676="Reynolds",VLOOKUP(H1676,'Yield &amp; Time'!A:V,22,0),BOM!B1676="Dnata",VLOOKUP(BOM!H1676,'Yield &amp; Time'!A:M,13,0),B1676="NK",VLOOKUP(H1676,'Yield &amp; Time'!A:X,24,0))</f>
        <v>0.94</v>
      </c>
      <c r="N1676" s="35">
        <f t="shared" si="518"/>
        <v>2.6595744680851063</v>
      </c>
      <c r="O1676" s="1" t="str">
        <f>VLOOKUP(H1676,'RM Used'!A:E,5,0)</f>
        <v>KG</v>
      </c>
      <c r="P1676" s="11">
        <f>VLOOKUP(H1676,'RM Used'!A:F,6,0)</f>
        <v>1.1000000000000001</v>
      </c>
      <c r="Q1676" s="11">
        <f t="shared" si="528"/>
        <v>2.9255319148936172</v>
      </c>
      <c r="R1676" s="11" cm="1">
        <f t="array" ref="R1676">IFERROR(_xlfn.IFS(B1676="Reynolds",VLOOKUP(H1676,'Yield &amp; Time'!A:U,21,0),B1676="Dnata",VLOOKUP(H1676,'Yield &amp; Time'!A:L,12,0),B1676="NK",VLOOKUP(H1676,'Yield &amp; Time'!A:W,23,0)),0)</f>
        <v>1.1399999999999999</v>
      </c>
      <c r="S1676" s="11">
        <f t="shared" si="519"/>
        <v>0.96472499999999983</v>
      </c>
      <c r="T1676" s="11">
        <f t="shared" si="520"/>
        <v>4.7499999999999994E-2</v>
      </c>
      <c r="U1676" s="11">
        <f>IF(A1675=A1676,0,VLOOKUP(A1676,'Packing Time'!A:F,6,0))</f>
        <v>0.875</v>
      </c>
      <c r="V1676" s="11">
        <f t="shared" si="513"/>
        <v>0.29618749999999999</v>
      </c>
      <c r="W1676" s="11">
        <f t="shared" si="514"/>
        <v>1.4583333333333334E-2</v>
      </c>
      <c r="X1676" s="11">
        <f t="shared" si="522"/>
        <v>2.0174599999999994</v>
      </c>
      <c r="Y1676" s="11">
        <f t="shared" si="515"/>
        <v>2.0174599999999994</v>
      </c>
      <c r="Z1676" s="37">
        <v>1</v>
      </c>
      <c r="AA1676" s="36">
        <f t="shared" si="523"/>
        <v>2.6595744680851063</v>
      </c>
      <c r="AB1676" s="11">
        <f t="shared" si="524"/>
        <v>2.9255319148936172</v>
      </c>
      <c r="AC1676" s="11">
        <f t="shared" si="525"/>
        <v>9.9333333333333329E-2</v>
      </c>
      <c r="AD1676" s="36">
        <f t="shared" si="516"/>
        <v>2.0174599999999998</v>
      </c>
      <c r="AE1676" s="36"/>
      <c r="AF1676" s="36">
        <f>IFERROR(VLOOKUP(AE1676,'Chemical Cost'!A:D,4,0),0)</f>
        <v>0</v>
      </c>
      <c r="AG1676" s="114">
        <f t="shared" si="526"/>
        <v>0</v>
      </c>
      <c r="AH1676" s="36">
        <f t="shared" si="512"/>
        <v>0</v>
      </c>
      <c r="AI1676" s="36">
        <f t="shared" si="521"/>
        <v>4.9429919148936161</v>
      </c>
      <c r="AJ1676" s="36">
        <f>IFERROR(VLOOKUP(A1676,'All Products'!A:F,6,0),0)</f>
        <v>11.95</v>
      </c>
      <c r="AK1676" s="36"/>
      <c r="AL1676" s="23">
        <v>1</v>
      </c>
      <c r="AP1676" s="4">
        <v>1.6</v>
      </c>
      <c r="AQ1676" s="111">
        <f t="shared" si="527"/>
        <v>9.9333333333333329E-2</v>
      </c>
      <c r="AR1676">
        <f>_xlfn.XLOOKUP(F1676,'RM Cost'!A:A,'RM Cost'!S:S)</f>
        <v>1.1644775886170367</v>
      </c>
      <c r="AS1676" t="str">
        <f>_xlfn.XLOOKUP(A1676,[3]Sheet1!$B:$B,[3]Sheet1!$B:$B)</f>
        <v>N085CS</v>
      </c>
      <c r="AT1676">
        <f>_xlfn.XLOOKUP(H1676,'Yield &amp; Time'!A:A,'Yield &amp; Time'!F:F)</f>
        <v>0</v>
      </c>
    </row>
    <row r="1677" spans="1:46" x14ac:dyDescent="0.25">
      <c r="A1677" t="str">
        <f>A1676</f>
        <v>N085CS</v>
      </c>
      <c r="B1677" t="str">
        <f>B1676</f>
        <v>NK</v>
      </c>
      <c r="C1677" t="str">
        <f>C1676</f>
        <v>Courgette half moon</v>
      </c>
      <c r="D1677" t="s">
        <v>554</v>
      </c>
      <c r="E1677" s="63">
        <f>E1676</f>
        <v>2.5</v>
      </c>
      <c r="F1677" s="1" t="str">
        <f>VLOOKUP(H1677,'RM Used'!A:B,2,0)</f>
        <v>P0008</v>
      </c>
      <c r="G1677" s="1" t="str">
        <f>IFERROR(VLOOKUP(F1677,'RM Cost'!A:B,2,0),"")</f>
        <v>PALE BLUE BAG 470X750MM</v>
      </c>
      <c r="H1677" s="1" t="s">
        <v>1323</v>
      </c>
      <c r="I1677" s="1" t="str">
        <f>VLOOKUP(F1677,'RM Used'!B:D,3,0)</f>
        <v>RM-PACKING</v>
      </c>
      <c r="J1677" s="66">
        <v>1</v>
      </c>
      <c r="K1677" s="35" t="str">
        <f t="shared" si="530"/>
        <v/>
      </c>
      <c r="L1677" s="35">
        <f t="shared" si="517"/>
        <v>0</v>
      </c>
      <c r="M1677" s="77" t="str" cm="1">
        <f t="array" ref="M1677">_xlfn.IFS(BOM!I1677="RM-PACKING","100%",B1677="Reynolds",VLOOKUP(H1677,'Yield &amp; Time'!A:V,22,0),BOM!B1677="Dnata",VLOOKUP(BOM!H1677,'Yield &amp; Time'!A:M,13,0),B1677="NK",VLOOKUP(H1677,'Yield &amp; Time'!A:X,24,0))</f>
        <v>100%</v>
      </c>
      <c r="N1677" s="35">
        <f t="shared" si="518"/>
        <v>1</v>
      </c>
      <c r="O1677" s="1" t="str">
        <f>VLOOKUP(H1677,'RM Used'!A:E,5,0)</f>
        <v>Count</v>
      </c>
      <c r="P1677" s="11">
        <f>VLOOKUP(H1677,'RM Used'!A:F,6,0)</f>
        <v>0.14000000000000001</v>
      </c>
      <c r="Q1677" s="11">
        <f t="shared" si="528"/>
        <v>0.14000000000000001</v>
      </c>
      <c r="R1677" s="11" cm="1">
        <f t="array" ref="R1677">IFERROR(_xlfn.IFS(B1677="Reynolds",VLOOKUP(H1677,'Yield &amp; Time'!A:U,21,0),B1677="Dnata",VLOOKUP(H1677,'Yield &amp; Time'!A:L,12,0),B1677="NK",VLOOKUP(H1677,'Yield &amp; Time'!A:W,23,0)),0)</f>
        <v>0</v>
      </c>
      <c r="S1677" s="11">
        <f t="shared" si="519"/>
        <v>0</v>
      </c>
      <c r="T1677" s="11">
        <f t="shared" si="520"/>
        <v>0</v>
      </c>
      <c r="U1677" s="11">
        <f>IF(A1676=A1677,0,VLOOKUP(A1677,'Packing Time'!A:F,6,0))</f>
        <v>0</v>
      </c>
      <c r="V1677" s="11">
        <f t="shared" si="513"/>
        <v>0</v>
      </c>
      <c r="W1677" s="11">
        <f t="shared" si="514"/>
        <v>0</v>
      </c>
      <c r="X1677" s="11">
        <f t="shared" si="522"/>
        <v>0</v>
      </c>
      <c r="Y1677" s="11">
        <f t="shared" si="515"/>
        <v>0</v>
      </c>
      <c r="Z1677" s="37">
        <v>1</v>
      </c>
      <c r="AA1677" s="36">
        <f t="shared" si="523"/>
        <v>1</v>
      </c>
      <c r="AB1677" s="11">
        <f t="shared" si="524"/>
        <v>0.14000000000000001</v>
      </c>
      <c r="AC1677" s="11">
        <f t="shared" si="525"/>
        <v>0</v>
      </c>
      <c r="AD1677" s="36">
        <f t="shared" si="516"/>
        <v>0</v>
      </c>
      <c r="AE1677" s="36"/>
      <c r="AF1677" s="36">
        <f>IFERROR(VLOOKUP(AE1677,'Chemical Cost'!A:D,4,0),0)</f>
        <v>0</v>
      </c>
      <c r="AG1677" s="114">
        <f t="shared" si="526"/>
        <v>0</v>
      </c>
      <c r="AH1677" s="36">
        <f t="shared" si="512"/>
        <v>0</v>
      </c>
      <c r="AI1677" s="36">
        <f t="shared" si="521"/>
        <v>0.14000000000000001</v>
      </c>
      <c r="AJ1677" s="36">
        <f>IFERROR(VLOOKUP(A1677,'All Products'!A:F,6,0),0)</f>
        <v>11.95</v>
      </c>
      <c r="AK1677" s="36"/>
      <c r="AL1677" s="23">
        <v>1</v>
      </c>
      <c r="AP1677" s="4">
        <v>1.6</v>
      </c>
      <c r="AQ1677" s="111">
        <f t="shared" si="527"/>
        <v>0</v>
      </c>
      <c r="AR1677">
        <f>_xlfn.XLOOKUP(F1677,'RM Cost'!A:A,'RM Cost'!S:S)</f>
        <v>0</v>
      </c>
      <c r="AS1677" t="str">
        <f>_xlfn.XLOOKUP(A1677,[3]Sheet1!$B:$B,[3]Sheet1!$B:$B)</f>
        <v>N085CS</v>
      </c>
      <c r="AT1677" t="e">
        <f>_xlfn.XLOOKUP(H1677,'Yield &amp; Time'!A:A,'Yield &amp; Time'!F:F)</f>
        <v>#N/A</v>
      </c>
    </row>
    <row r="1678" spans="1:46" x14ac:dyDescent="0.25">
      <c r="A1678" t="s">
        <v>4598</v>
      </c>
      <c r="B1678" s="2" t="s">
        <v>4377</v>
      </c>
      <c r="C1678" t="s">
        <v>4599</v>
      </c>
      <c r="D1678" s="2" t="s">
        <v>554</v>
      </c>
      <c r="E1678" s="63">
        <v>2.5</v>
      </c>
      <c r="F1678" s="1" t="str">
        <f>VLOOKUP(H1678,'RM Used'!A:B,2,0)</f>
        <v>0930CS</v>
      </c>
      <c r="G1678" s="1" t="str">
        <f>IFERROR(VLOOKUP(F1678,'RM Cost'!A:B,2,0),"")</f>
        <v>RM - COURGETTE STANDARD</v>
      </c>
      <c r="H1678" s="1" t="s">
        <v>1356</v>
      </c>
      <c r="I1678" s="1" t="str">
        <f>VLOOKUP(F1678,'RM Used'!B:D,3,0)</f>
        <v>RM-FOOD</v>
      </c>
      <c r="J1678" s="66">
        <v>1</v>
      </c>
      <c r="K1678" s="35">
        <f t="shared" si="530"/>
        <v>2.5</v>
      </c>
      <c r="L1678" s="35">
        <f t="shared" si="517"/>
        <v>2.5</v>
      </c>
      <c r="M1678" s="77" cm="1">
        <f t="array" ref="M1678">_xlfn.IFS(BOM!I1678="RM-PACKING","100%",B1678="Reynolds",VLOOKUP(H1678,'Yield &amp; Time'!A:V,22,0),BOM!B1678="Dnata",VLOOKUP(BOM!H1678,'Yield &amp; Time'!A:M,13,0),B1678="NK",VLOOKUP(H1678,'Yield &amp; Time'!A:X,24,0))</f>
        <v>0.75</v>
      </c>
      <c r="N1678" s="35">
        <f t="shared" si="518"/>
        <v>3.3333333333333335</v>
      </c>
      <c r="O1678" s="1" t="str">
        <f>VLOOKUP(H1678,'RM Used'!A:E,5,0)</f>
        <v>KG</v>
      </c>
      <c r="P1678" s="11">
        <f>VLOOKUP(H1678,'RM Used'!A:F,6,0)</f>
        <v>1.1000000000000001</v>
      </c>
      <c r="Q1678" s="11">
        <f t="shared" si="528"/>
        <v>3.666666666666667</v>
      </c>
      <c r="R1678" s="11" cm="1">
        <f t="array" ref="R1678">IFERROR(_xlfn.IFS(B1678="Reynolds",VLOOKUP(H1678,'Yield &amp; Time'!A:U,21,0),B1678="Dnata",VLOOKUP(H1678,'Yield &amp; Time'!A:L,12,0),B1678="NK",VLOOKUP(H1678,'Yield &amp; Time'!A:W,23,0)),0)</f>
        <v>1.2000000000000002</v>
      </c>
      <c r="S1678" s="11">
        <f t="shared" si="519"/>
        <v>1.0155000000000001</v>
      </c>
      <c r="T1678" s="11">
        <f t="shared" si="520"/>
        <v>5.000000000000001E-2</v>
      </c>
      <c r="U1678" s="11">
        <f>IF(A1677=A1678,0,VLOOKUP(A1678,'Packing Time'!A:F,6,0))</f>
        <v>0.875</v>
      </c>
      <c r="V1678" s="11">
        <f t="shared" si="513"/>
        <v>0.29618749999999999</v>
      </c>
      <c r="W1678" s="11">
        <f t="shared" si="514"/>
        <v>1.4583333333333334E-2</v>
      </c>
      <c r="X1678" s="11">
        <f t="shared" si="522"/>
        <v>2.0987000000000005</v>
      </c>
      <c r="Y1678" s="11">
        <f t="shared" si="515"/>
        <v>2.0987000000000005</v>
      </c>
      <c r="Z1678" s="37">
        <v>1</v>
      </c>
      <c r="AA1678" s="36">
        <f t="shared" si="523"/>
        <v>3.3333333333333335</v>
      </c>
      <c r="AB1678" s="11">
        <f t="shared" si="524"/>
        <v>3.666666666666667</v>
      </c>
      <c r="AC1678" s="11">
        <f t="shared" si="525"/>
        <v>0.10333333333333335</v>
      </c>
      <c r="AD1678" s="36">
        <f t="shared" si="516"/>
        <v>2.0987</v>
      </c>
      <c r="AE1678" s="36"/>
      <c r="AF1678" s="36">
        <f>IFERROR(VLOOKUP(AE1678,'Chemical Cost'!A:D,4,0),0)</f>
        <v>0</v>
      </c>
      <c r="AG1678" s="114">
        <f t="shared" si="526"/>
        <v>0</v>
      </c>
      <c r="AH1678" s="36">
        <f t="shared" si="512"/>
        <v>0</v>
      </c>
      <c r="AI1678" s="36">
        <f t="shared" si="521"/>
        <v>5.765366666666667</v>
      </c>
      <c r="AJ1678" s="36">
        <f>IFERROR(VLOOKUP(A1678,'All Products'!A:F,6,0),0)</f>
        <v>10.43</v>
      </c>
      <c r="AK1678" s="36"/>
      <c r="AL1678" s="23">
        <v>1</v>
      </c>
      <c r="AP1678" s="4">
        <v>1.6</v>
      </c>
      <c r="AQ1678" s="111">
        <f t="shared" si="527"/>
        <v>0.10333333333333335</v>
      </c>
      <c r="AR1678">
        <f>_xlfn.XLOOKUP(F1678,'RM Cost'!A:A,'RM Cost'!S:S)</f>
        <v>1.1644775886170367</v>
      </c>
      <c r="AS1678" t="str">
        <f>_xlfn.XLOOKUP(A1678,[3]Sheet1!$B:$B,[3]Sheet1!$B:$B)</f>
        <v>N084CS</v>
      </c>
      <c r="AT1678">
        <f>_xlfn.XLOOKUP(H1678,'Yield &amp; Time'!A:A,'Yield &amp; Time'!F:F)</f>
        <v>0</v>
      </c>
    </row>
    <row r="1679" spans="1:46" x14ac:dyDescent="0.25">
      <c r="A1679" t="str">
        <f>A1678</f>
        <v>N084CS</v>
      </c>
      <c r="B1679" t="str">
        <f>B1678</f>
        <v>NK</v>
      </c>
      <c r="C1679" t="str">
        <f>C1678</f>
        <v>Courgette grated</v>
      </c>
      <c r="D1679" t="s">
        <v>554</v>
      </c>
      <c r="E1679" s="63">
        <f>E1678</f>
        <v>2.5</v>
      </c>
      <c r="F1679" s="1" t="str">
        <f>VLOOKUP(H1679,'RM Used'!A:B,2,0)</f>
        <v>P0008</v>
      </c>
      <c r="G1679" s="1" t="str">
        <f>IFERROR(VLOOKUP(F1679,'RM Cost'!A:B,2,0),"")</f>
        <v>PALE BLUE BAG 470X750MM</v>
      </c>
      <c r="H1679" s="1" t="s">
        <v>1323</v>
      </c>
      <c r="I1679" s="1" t="str">
        <f>VLOOKUP(F1679,'RM Used'!B:D,3,0)</f>
        <v>RM-PACKING</v>
      </c>
      <c r="J1679" s="66">
        <v>1</v>
      </c>
      <c r="K1679" s="35" t="str">
        <f t="shared" si="530"/>
        <v/>
      </c>
      <c r="L1679" s="35">
        <f t="shared" si="517"/>
        <v>0</v>
      </c>
      <c r="M1679" s="77" t="str" cm="1">
        <f t="array" ref="M1679">_xlfn.IFS(BOM!I1679="RM-PACKING","100%",B1679="Reynolds",VLOOKUP(H1679,'Yield &amp; Time'!A:V,22,0),BOM!B1679="Dnata",VLOOKUP(BOM!H1679,'Yield &amp; Time'!A:M,13,0),B1679="NK",VLOOKUP(H1679,'Yield &amp; Time'!A:X,24,0))</f>
        <v>100%</v>
      </c>
      <c r="N1679" s="35">
        <f t="shared" si="518"/>
        <v>1</v>
      </c>
      <c r="O1679" s="1" t="str">
        <f>VLOOKUP(H1679,'RM Used'!A:E,5,0)</f>
        <v>Count</v>
      </c>
      <c r="P1679" s="11">
        <f>VLOOKUP(H1679,'RM Used'!A:F,6,0)</f>
        <v>0.14000000000000001</v>
      </c>
      <c r="Q1679" s="11">
        <f t="shared" si="528"/>
        <v>0.14000000000000001</v>
      </c>
      <c r="R1679" s="11" cm="1">
        <f t="array" ref="R1679">IFERROR(_xlfn.IFS(B1679="Reynolds",VLOOKUP(H1679,'Yield &amp; Time'!A:U,21,0),B1679="Dnata",VLOOKUP(H1679,'Yield &amp; Time'!A:L,12,0),B1679="NK",VLOOKUP(H1679,'Yield &amp; Time'!A:W,23,0)),0)</f>
        <v>0</v>
      </c>
      <c r="S1679" s="11">
        <f t="shared" si="519"/>
        <v>0</v>
      </c>
      <c r="T1679" s="11">
        <f t="shared" si="520"/>
        <v>0</v>
      </c>
      <c r="U1679" s="11">
        <f>IF(A1678=A1679,0,VLOOKUP(A1679,'Packing Time'!A:F,6,0))</f>
        <v>0</v>
      </c>
      <c r="V1679" s="11">
        <f t="shared" si="513"/>
        <v>0</v>
      </c>
      <c r="W1679" s="11">
        <f t="shared" si="514"/>
        <v>0</v>
      </c>
      <c r="X1679" s="11">
        <f t="shared" si="522"/>
        <v>0</v>
      </c>
      <c r="Y1679" s="11">
        <f t="shared" si="515"/>
        <v>0</v>
      </c>
      <c r="Z1679" s="37">
        <v>1</v>
      </c>
      <c r="AA1679" s="36">
        <f t="shared" si="523"/>
        <v>1</v>
      </c>
      <c r="AB1679" s="11">
        <f t="shared" si="524"/>
        <v>0.14000000000000001</v>
      </c>
      <c r="AC1679" s="11">
        <f t="shared" si="525"/>
        <v>0</v>
      </c>
      <c r="AD1679" s="36">
        <f t="shared" si="516"/>
        <v>0</v>
      </c>
      <c r="AE1679" s="36"/>
      <c r="AF1679" s="36">
        <f>IFERROR(VLOOKUP(AE1679,'Chemical Cost'!A:D,4,0),0)</f>
        <v>0</v>
      </c>
      <c r="AG1679" s="114">
        <f t="shared" si="526"/>
        <v>0</v>
      </c>
      <c r="AH1679" s="36">
        <f t="shared" si="512"/>
        <v>0</v>
      </c>
      <c r="AI1679" s="36">
        <f t="shared" si="521"/>
        <v>0.14000000000000001</v>
      </c>
      <c r="AJ1679" s="36">
        <f>IFERROR(VLOOKUP(A1679,'All Products'!A:F,6,0),0)</f>
        <v>10.43</v>
      </c>
      <c r="AK1679" s="36"/>
      <c r="AL1679" s="23">
        <v>1</v>
      </c>
      <c r="AP1679" s="4">
        <v>1.6</v>
      </c>
      <c r="AQ1679" s="111">
        <f t="shared" si="527"/>
        <v>0</v>
      </c>
      <c r="AR1679">
        <f>_xlfn.XLOOKUP(F1679,'RM Cost'!A:A,'RM Cost'!S:S)</f>
        <v>0</v>
      </c>
      <c r="AS1679" t="str">
        <f>_xlfn.XLOOKUP(A1679,[3]Sheet1!$B:$B,[3]Sheet1!$B:$B)</f>
        <v>N084CS</v>
      </c>
      <c r="AT1679" t="e">
        <f>_xlfn.XLOOKUP(H1679,'Yield &amp; Time'!A:A,'Yield &amp; Time'!F:F)</f>
        <v>#N/A</v>
      </c>
    </row>
    <row r="1680" spans="1:46" x14ac:dyDescent="0.25">
      <c r="A1680" t="s">
        <v>4600</v>
      </c>
      <c r="B1680" s="2" t="s">
        <v>4377</v>
      </c>
      <c r="C1680" t="s">
        <v>4601</v>
      </c>
      <c r="D1680" s="2" t="s">
        <v>554</v>
      </c>
      <c r="E1680" s="63">
        <v>5</v>
      </c>
      <c r="F1680" s="1" t="str">
        <f>VLOOKUP(H1680,'RM Used'!A:B,2,0)</f>
        <v>026BCS</v>
      </c>
      <c r="G1680" s="1" t="str">
        <f>IFERROR(VLOOKUP(F1680,'RM Cost'!A:B,2,0),"")</f>
        <v>RM - POTATO - MIDS 35-45MM X 10KG</v>
      </c>
      <c r="H1680" s="1" t="s">
        <v>1560</v>
      </c>
      <c r="I1680" s="1" t="str">
        <f>VLOOKUP(F1680,'RM Used'!B:D,3,0)</f>
        <v>RM-FOOD</v>
      </c>
      <c r="J1680" s="66">
        <v>1</v>
      </c>
      <c r="K1680" s="35">
        <f t="shared" si="530"/>
        <v>5</v>
      </c>
      <c r="L1680" s="35">
        <f t="shared" si="517"/>
        <v>5</v>
      </c>
      <c r="M1680" s="77" cm="1">
        <f t="array" ref="M1680">_xlfn.IFS(BOM!I1680="RM-PACKING","100%",B1680="Reynolds",VLOOKUP(H1680,'Yield &amp; Time'!A:V,22,0),BOM!B1680="Dnata",VLOOKUP(BOM!H1680,'Yield &amp; Time'!A:M,13,0),B1680="NK",VLOOKUP(H1680,'Yield &amp; Time'!A:X,24,0))</f>
        <v>0.98</v>
      </c>
      <c r="N1680" s="35">
        <f t="shared" si="518"/>
        <v>5.1020408163265305</v>
      </c>
      <c r="O1680" s="1" t="str">
        <f>VLOOKUP(H1680,'RM Used'!A:E,5,0)</f>
        <v>KG</v>
      </c>
      <c r="P1680" s="11">
        <f>VLOOKUP(H1680,'RM Used'!A:F,6,0)</f>
        <v>0.94</v>
      </c>
      <c r="Q1680" s="11">
        <f t="shared" si="528"/>
        <v>4.7959183673469381</v>
      </c>
      <c r="R1680" s="11" cm="1">
        <f t="array" ref="R1680">IFERROR(_xlfn.IFS(B1680="Reynolds",VLOOKUP(H1680,'Yield &amp; Time'!A:U,21,0),B1680="Dnata",VLOOKUP(H1680,'Yield &amp; Time'!A:L,12,0),B1680="NK",VLOOKUP(H1680,'Yield &amp; Time'!A:W,23,0)),0)</f>
        <v>1.5</v>
      </c>
      <c r="S1680" s="11">
        <f t="shared" si="519"/>
        <v>2.5387499999999998</v>
      </c>
      <c r="T1680" s="11">
        <f t="shared" si="520"/>
        <v>0.125</v>
      </c>
      <c r="U1680" s="11">
        <f>IF(A1679=A1680,0,VLOOKUP(A1680,'Packing Time'!A:F,6,0))</f>
        <v>1.1850000000000001</v>
      </c>
      <c r="V1680" s="11">
        <f t="shared" si="513"/>
        <v>0.40112249999999999</v>
      </c>
      <c r="W1680" s="11">
        <f t="shared" si="514"/>
        <v>1.975E-2</v>
      </c>
      <c r="X1680" s="11">
        <f t="shared" si="522"/>
        <v>4.7037959999999996</v>
      </c>
      <c r="Y1680" s="11">
        <f t="shared" si="515"/>
        <v>4.7037959999999996</v>
      </c>
      <c r="Z1680" s="37">
        <v>1</v>
      </c>
      <c r="AA1680" s="36">
        <f t="shared" si="523"/>
        <v>5.1020408163265305</v>
      </c>
      <c r="AB1680" s="11">
        <f t="shared" si="524"/>
        <v>4.7959183673469381</v>
      </c>
      <c r="AC1680" s="11">
        <f t="shared" si="525"/>
        <v>0.23160000000000003</v>
      </c>
      <c r="AD1680" s="36">
        <f t="shared" si="516"/>
        <v>4.7037959999999996</v>
      </c>
      <c r="AE1680" s="36"/>
      <c r="AF1680" s="36">
        <f>IFERROR(VLOOKUP(AE1680,'Chemical Cost'!A:D,4,0),0)</f>
        <v>0</v>
      </c>
      <c r="AG1680" s="114">
        <f t="shared" si="526"/>
        <v>0</v>
      </c>
      <c r="AH1680" s="36">
        <f t="shared" si="512"/>
        <v>0</v>
      </c>
      <c r="AI1680" s="36">
        <f t="shared" si="521"/>
        <v>9.4997143673469377</v>
      </c>
      <c r="AJ1680" s="36">
        <f>IFERROR(VLOOKUP(A1680,'All Products'!A:F,6,0),0)</f>
        <v>9.2799999999999994</v>
      </c>
      <c r="AK1680" s="36"/>
      <c r="AL1680" s="23">
        <v>1</v>
      </c>
      <c r="AP1680" s="4">
        <v>1.6</v>
      </c>
      <c r="AQ1680" s="111">
        <f t="shared" si="527"/>
        <v>0.23160000000000003</v>
      </c>
      <c r="AR1680">
        <f>_xlfn.XLOOKUP(F1680,'RM Cost'!A:A,'RM Cost'!S:S)</f>
        <v>0</v>
      </c>
      <c r="AS1680" t="e">
        <f>_xlfn.XLOOKUP(A1680,[3]Sheet1!$B:$B,[3]Sheet1!$B:$B)</f>
        <v>#N/A</v>
      </c>
    </row>
    <row r="1681" spans="1:46" x14ac:dyDescent="0.25">
      <c r="A1681" t="str">
        <f>A1680</f>
        <v>N076CS</v>
      </c>
      <c r="B1681" t="str">
        <f>B1680</f>
        <v>NK</v>
      </c>
      <c r="C1681" t="str">
        <f>C1680</f>
        <v>New potatoes 1/4</v>
      </c>
      <c r="D1681" t="s">
        <v>554</v>
      </c>
      <c r="E1681" s="63">
        <f>E1680</f>
        <v>5</v>
      </c>
      <c r="F1681" s="1" t="str">
        <f>VLOOKUP(H1681,'RM Used'!A:B,2,0)</f>
        <v>P0008</v>
      </c>
      <c r="G1681" s="1" t="str">
        <f>IFERROR(VLOOKUP(F1681,'RM Cost'!A:B,2,0),"")</f>
        <v>PALE BLUE BAG 470X750MM</v>
      </c>
      <c r="H1681" s="1" t="s">
        <v>1323</v>
      </c>
      <c r="I1681" s="1" t="str">
        <f>VLOOKUP(F1681,'RM Used'!B:D,3,0)</f>
        <v>RM-PACKING</v>
      </c>
      <c r="J1681" s="66">
        <v>1</v>
      </c>
      <c r="K1681" s="35" t="str">
        <f t="shared" si="530"/>
        <v/>
      </c>
      <c r="L1681" s="35">
        <f t="shared" ref="L1681:L1712" si="531">IFERROR(K1681*Z1681,0)</f>
        <v>0</v>
      </c>
      <c r="M1681" s="77" t="str" cm="1">
        <f t="array" ref="M1681">_xlfn.IFS(BOM!I1681="RM-PACKING","100%",B1681="Reynolds",VLOOKUP(H1681,'Yield &amp; Time'!A:V,22,0),BOM!B1681="Dnata",VLOOKUP(BOM!H1681,'Yield &amp; Time'!A:M,13,0),B1681="NK",VLOOKUP(H1681,'Yield &amp; Time'!A:X,24,0))</f>
        <v>100%</v>
      </c>
      <c r="N1681" s="35">
        <f t="shared" si="518"/>
        <v>1</v>
      </c>
      <c r="O1681" s="1" t="str">
        <f>VLOOKUP(H1681,'RM Used'!A:E,5,0)</f>
        <v>Count</v>
      </c>
      <c r="P1681" s="11">
        <f>VLOOKUP(H1681,'RM Used'!A:F,6,0)</f>
        <v>0.14000000000000001</v>
      </c>
      <c r="Q1681" s="11">
        <f t="shared" si="528"/>
        <v>0.14000000000000001</v>
      </c>
      <c r="R1681" s="11" cm="1">
        <f t="array" ref="R1681">IFERROR(_xlfn.IFS(B1681="Reynolds",VLOOKUP(H1681,'Yield &amp; Time'!A:U,21,0),B1681="Dnata",VLOOKUP(H1681,'Yield &amp; Time'!A:L,12,0),B1681="NK",VLOOKUP(H1681,'Yield &amp; Time'!A:W,23,0)),0)</f>
        <v>0</v>
      </c>
      <c r="S1681" s="11">
        <f t="shared" ref="S1681:S1712" si="532">R1681*J1681*E1681*AO$1</f>
        <v>0</v>
      </c>
      <c r="T1681" s="11">
        <f t="shared" ref="T1681:T1712" si="533">(R1681*Z1681*J1681*E1681)/60</f>
        <v>0</v>
      </c>
      <c r="U1681" s="11">
        <f>IF(A1680=A1681,0,VLOOKUP(A1681,'Packing Time'!A:F,6,0))</f>
        <v>0</v>
      </c>
      <c r="V1681" s="11">
        <f t="shared" si="513"/>
        <v>0</v>
      </c>
      <c r="W1681" s="11">
        <f t="shared" si="514"/>
        <v>0</v>
      </c>
      <c r="X1681" s="11">
        <f t="shared" si="522"/>
        <v>0</v>
      </c>
      <c r="Y1681" s="11">
        <f t="shared" si="515"/>
        <v>0</v>
      </c>
      <c r="Z1681" s="37">
        <v>1</v>
      </c>
      <c r="AA1681" s="36">
        <f t="shared" si="523"/>
        <v>1</v>
      </c>
      <c r="AB1681" s="11">
        <f t="shared" si="524"/>
        <v>0.14000000000000001</v>
      </c>
      <c r="AC1681" s="11">
        <f t="shared" si="525"/>
        <v>0</v>
      </c>
      <c r="AD1681" s="36">
        <f t="shared" si="516"/>
        <v>0</v>
      </c>
      <c r="AE1681" s="36"/>
      <c r="AF1681" s="36">
        <f>IFERROR(VLOOKUP(AE1681,'Chemical Cost'!A:D,4,0),0)</f>
        <v>0</v>
      </c>
      <c r="AG1681" s="114">
        <f t="shared" si="526"/>
        <v>0</v>
      </c>
      <c r="AH1681" s="36">
        <f t="shared" si="512"/>
        <v>0</v>
      </c>
      <c r="AI1681" s="36">
        <f t="shared" si="521"/>
        <v>0.14000000000000001</v>
      </c>
      <c r="AJ1681" s="36">
        <f>IFERROR(VLOOKUP(A1681,'All Products'!A:F,6,0),0)</f>
        <v>9.2799999999999994</v>
      </c>
      <c r="AK1681" s="36"/>
      <c r="AL1681" s="23">
        <v>1</v>
      </c>
      <c r="AP1681" s="4">
        <v>1.6</v>
      </c>
      <c r="AQ1681" s="111">
        <f t="shared" si="527"/>
        <v>0</v>
      </c>
      <c r="AR1681">
        <f>_xlfn.XLOOKUP(F1681,'RM Cost'!A:A,'RM Cost'!S:S)</f>
        <v>0</v>
      </c>
      <c r="AS1681" t="e">
        <f>_xlfn.XLOOKUP(A1681,[3]Sheet1!$B:$B,[3]Sheet1!$B:$B)</f>
        <v>#N/A</v>
      </c>
    </row>
    <row r="1682" spans="1:46" x14ac:dyDescent="0.25">
      <c r="A1682" t="s">
        <v>4602</v>
      </c>
      <c r="B1682" s="2" t="s">
        <v>4377</v>
      </c>
      <c r="C1682" t="s">
        <v>4603</v>
      </c>
      <c r="D1682" s="2" t="s">
        <v>554</v>
      </c>
      <c r="E1682" s="63">
        <v>5</v>
      </c>
      <c r="F1682" s="1" t="str">
        <f>VLOOKUP(H1682,'RM Used'!A:B,2,0)</f>
        <v>3001CS</v>
      </c>
      <c r="G1682" s="1" t="str">
        <f>IFERROR(VLOOKUP(F1682,'RM Cost'!A:B,2,0),"")</f>
        <v>RM - AUBERGINE 5KG</v>
      </c>
      <c r="H1682" s="1" t="s">
        <v>1478</v>
      </c>
      <c r="I1682" s="1" t="str">
        <f>VLOOKUP(F1682,'RM Used'!B:D,3,0)</f>
        <v>RM-FOOD</v>
      </c>
      <c r="J1682" s="66">
        <v>1</v>
      </c>
      <c r="K1682" s="35">
        <f t="shared" si="530"/>
        <v>5</v>
      </c>
      <c r="L1682" s="35">
        <f t="shared" si="531"/>
        <v>5</v>
      </c>
      <c r="M1682" s="77" cm="1">
        <f t="array" ref="M1682">_xlfn.IFS(BOM!I1682="RM-PACKING","100%",B1682="Reynolds",VLOOKUP(H1682,'Yield &amp; Time'!A:V,22,0),BOM!B1682="Dnata",VLOOKUP(BOM!H1682,'Yield &amp; Time'!A:M,13,0),B1682="NK",VLOOKUP(H1682,'Yield &amp; Time'!A:X,24,0))</f>
        <v>0.75</v>
      </c>
      <c r="N1682" s="35">
        <f t="shared" si="518"/>
        <v>6.666666666666667</v>
      </c>
      <c r="O1682" s="1" t="str">
        <f>VLOOKUP(H1682,'RM Used'!A:E,5,0)</f>
        <v>KG</v>
      </c>
      <c r="P1682" s="11">
        <f>VLOOKUP(H1682,'RM Used'!A:F,6,0)</f>
        <v>1.34</v>
      </c>
      <c r="Q1682" s="11">
        <f t="shared" si="528"/>
        <v>8.9333333333333336</v>
      </c>
      <c r="R1682" s="11" cm="1">
        <f t="array" ref="R1682">IFERROR(_xlfn.IFS(B1682="Reynolds",VLOOKUP(H1682,'Yield &amp; Time'!A:U,21,0),B1682="Dnata",VLOOKUP(H1682,'Yield &amp; Time'!A:L,12,0),B1682="NK",VLOOKUP(H1682,'Yield &amp; Time'!A:W,23,0)),0)</f>
        <v>1.77</v>
      </c>
      <c r="S1682" s="11">
        <f t="shared" si="532"/>
        <v>2.9957249999999997</v>
      </c>
      <c r="T1682" s="11">
        <f t="shared" si="533"/>
        <v>0.14749999999999999</v>
      </c>
      <c r="U1682" s="11">
        <f>IF(A1681=A1682,0,VLOOKUP(A1682,'Packing Time'!A:F,6,0))</f>
        <v>1.1850000000000001</v>
      </c>
      <c r="V1682" s="11">
        <f t="shared" si="513"/>
        <v>0.40112249999999999</v>
      </c>
      <c r="W1682" s="11">
        <f t="shared" si="514"/>
        <v>1.975E-2</v>
      </c>
      <c r="X1682" s="11">
        <f t="shared" si="522"/>
        <v>5.4349559999999997</v>
      </c>
      <c r="Y1682" s="11">
        <f t="shared" si="515"/>
        <v>5.4349559999999997</v>
      </c>
      <c r="Z1682" s="37">
        <v>1</v>
      </c>
      <c r="AA1682" s="36">
        <f t="shared" si="523"/>
        <v>6.666666666666667</v>
      </c>
      <c r="AB1682" s="11">
        <f t="shared" si="524"/>
        <v>8.9333333333333336</v>
      </c>
      <c r="AC1682" s="11">
        <f t="shared" si="525"/>
        <v>0.2676</v>
      </c>
      <c r="AD1682" s="36">
        <f t="shared" si="516"/>
        <v>5.4349559999999997</v>
      </c>
      <c r="AE1682" s="36"/>
      <c r="AF1682" s="36">
        <f>IFERROR(VLOOKUP(AE1682,'Chemical Cost'!A:D,4,0),0)</f>
        <v>0</v>
      </c>
      <c r="AG1682" s="114">
        <f t="shared" si="526"/>
        <v>0</v>
      </c>
      <c r="AH1682" s="36">
        <f t="shared" si="512"/>
        <v>0</v>
      </c>
      <c r="AI1682" s="36">
        <f t="shared" si="521"/>
        <v>14.368289333333333</v>
      </c>
      <c r="AJ1682" s="36">
        <f>IFERROR(VLOOKUP(A1682,'All Products'!A:F,6,0),0)</f>
        <v>32.5</v>
      </c>
      <c r="AK1682" s="36"/>
      <c r="AL1682" s="23">
        <v>1</v>
      </c>
      <c r="AP1682" s="4">
        <v>1.6</v>
      </c>
      <c r="AQ1682" s="111">
        <f t="shared" si="527"/>
        <v>0.2676</v>
      </c>
      <c r="AR1682">
        <f>_xlfn.XLOOKUP(F1682,'RM Cost'!A:A,'RM Cost'!S:S)</f>
        <v>0</v>
      </c>
      <c r="AS1682" t="str">
        <f>_xlfn.XLOOKUP(A1682,[3]Sheet1!$B:$B,[3]Sheet1!$B:$B)</f>
        <v>N092CS</v>
      </c>
      <c r="AT1682">
        <f>_xlfn.XLOOKUP(H1682,'Yield &amp; Time'!A:A,'Yield &amp; Time'!F:F)</f>
        <v>0</v>
      </c>
    </row>
    <row r="1683" spans="1:46" x14ac:dyDescent="0.25">
      <c r="A1683" t="str">
        <f>A1682</f>
        <v>N092CS</v>
      </c>
      <c r="B1683" t="str">
        <f>B1682</f>
        <v>NK</v>
      </c>
      <c r="C1683" t="str">
        <f>C1682</f>
        <v>Aubergine diced 10mm</v>
      </c>
      <c r="D1683" t="s">
        <v>554</v>
      </c>
      <c r="E1683" s="63">
        <f>E1682</f>
        <v>5</v>
      </c>
      <c r="F1683" s="1" t="str">
        <f>VLOOKUP(H1683,'RM Used'!A:B,2,0)</f>
        <v>P0008</v>
      </c>
      <c r="G1683" s="1" t="str">
        <f>IFERROR(VLOOKUP(F1683,'RM Cost'!A:B,2,0),"")</f>
        <v>PALE BLUE BAG 470X750MM</v>
      </c>
      <c r="H1683" s="1" t="s">
        <v>1323</v>
      </c>
      <c r="I1683" s="1" t="str">
        <f>VLOOKUP(F1683,'RM Used'!B:D,3,0)</f>
        <v>RM-PACKING</v>
      </c>
      <c r="J1683" s="66">
        <v>1</v>
      </c>
      <c r="K1683" s="35" t="str">
        <f t="shared" si="530"/>
        <v/>
      </c>
      <c r="L1683" s="35">
        <f t="shared" si="531"/>
        <v>0</v>
      </c>
      <c r="M1683" s="77" t="str" cm="1">
        <f t="array" ref="M1683">_xlfn.IFS(BOM!I1683="RM-PACKING","100%",B1683="Reynolds",VLOOKUP(H1683,'Yield &amp; Time'!A:V,22,0),BOM!B1683="Dnata",VLOOKUP(BOM!H1683,'Yield &amp; Time'!A:M,13,0),B1683="NK",VLOOKUP(H1683,'Yield &amp; Time'!A:X,24,0))</f>
        <v>100%</v>
      </c>
      <c r="N1683" s="35">
        <f t="shared" si="518"/>
        <v>1</v>
      </c>
      <c r="O1683" s="1" t="str">
        <f>VLOOKUP(H1683,'RM Used'!A:E,5,0)</f>
        <v>Count</v>
      </c>
      <c r="P1683" s="11">
        <f>VLOOKUP(H1683,'RM Used'!A:F,6,0)</f>
        <v>0.14000000000000001</v>
      </c>
      <c r="Q1683" s="11">
        <f t="shared" si="528"/>
        <v>0.14000000000000001</v>
      </c>
      <c r="R1683" s="11" cm="1">
        <f t="array" ref="R1683">IFERROR(_xlfn.IFS(B1683="Reynolds",VLOOKUP(H1683,'Yield &amp; Time'!A:U,21,0),B1683="Dnata",VLOOKUP(H1683,'Yield &amp; Time'!A:L,12,0),B1683="NK",VLOOKUP(H1683,'Yield &amp; Time'!A:W,23,0)),0)</f>
        <v>0</v>
      </c>
      <c r="S1683" s="11">
        <f t="shared" si="532"/>
        <v>0</v>
      </c>
      <c r="T1683" s="11">
        <f t="shared" si="533"/>
        <v>0</v>
      </c>
      <c r="U1683" s="11">
        <f>IF(A1682=A1683,0,VLOOKUP(A1683,'Packing Time'!A:F,6,0))</f>
        <v>0</v>
      </c>
      <c r="V1683" s="11">
        <f t="shared" si="513"/>
        <v>0</v>
      </c>
      <c r="W1683" s="11">
        <f t="shared" si="514"/>
        <v>0</v>
      </c>
      <c r="X1683" s="11">
        <f t="shared" si="522"/>
        <v>0</v>
      </c>
      <c r="Y1683" s="11">
        <f t="shared" si="515"/>
        <v>0</v>
      </c>
      <c r="Z1683" s="37">
        <v>1</v>
      </c>
      <c r="AA1683" s="36">
        <f t="shared" si="523"/>
        <v>1</v>
      </c>
      <c r="AB1683" s="11">
        <f t="shared" si="524"/>
        <v>0.14000000000000001</v>
      </c>
      <c r="AC1683" s="11">
        <f t="shared" si="525"/>
        <v>0</v>
      </c>
      <c r="AD1683" s="36">
        <f t="shared" si="516"/>
        <v>0</v>
      </c>
      <c r="AE1683" s="36"/>
      <c r="AF1683" s="36">
        <f>IFERROR(VLOOKUP(AE1683,'Chemical Cost'!A:D,4,0),0)</f>
        <v>0</v>
      </c>
      <c r="AG1683" s="114">
        <f t="shared" si="526"/>
        <v>0</v>
      </c>
      <c r="AH1683" s="36">
        <f t="shared" si="512"/>
        <v>0</v>
      </c>
      <c r="AI1683" s="36">
        <f t="shared" si="521"/>
        <v>0.14000000000000001</v>
      </c>
      <c r="AJ1683" s="36">
        <f>IFERROR(VLOOKUP(A1683,'All Products'!A:F,6,0),0)</f>
        <v>32.5</v>
      </c>
      <c r="AK1683" s="36"/>
      <c r="AL1683" s="23">
        <v>1</v>
      </c>
      <c r="AP1683" s="4">
        <v>1.6</v>
      </c>
      <c r="AQ1683" s="111">
        <f t="shared" si="527"/>
        <v>0</v>
      </c>
      <c r="AR1683">
        <f>_xlfn.XLOOKUP(F1683,'RM Cost'!A:A,'RM Cost'!S:S)</f>
        <v>0</v>
      </c>
      <c r="AS1683" t="str">
        <f>_xlfn.XLOOKUP(A1683,[3]Sheet1!$B:$B,[3]Sheet1!$B:$B)</f>
        <v>N092CS</v>
      </c>
      <c r="AT1683" t="e">
        <f>_xlfn.XLOOKUP(H1683,'Yield &amp; Time'!A:A,'Yield &amp; Time'!F:F)</f>
        <v>#N/A</v>
      </c>
    </row>
    <row r="1684" spans="1:46" x14ac:dyDescent="0.25">
      <c r="A1684" t="s">
        <v>4604</v>
      </c>
      <c r="B1684" s="2" t="s">
        <v>4377</v>
      </c>
      <c r="C1684" t="s">
        <v>4484</v>
      </c>
      <c r="D1684" s="2" t="s">
        <v>554</v>
      </c>
      <c r="E1684" s="63">
        <v>5</v>
      </c>
      <c r="F1684" s="1" t="str">
        <f>VLOOKUP(H1684,'RM Used'!A:B,2,0)</f>
        <v>3242CS</v>
      </c>
      <c r="G1684" s="1" t="str">
        <f>IFERROR(VLOOKUP(F1684,'RM Cost'!A:B,2,0),"")</f>
        <v>RM - SWEET POTATOES ORANGE FLESH 6K</v>
      </c>
      <c r="H1684" s="1" t="s">
        <v>4484</v>
      </c>
      <c r="I1684" s="1" t="str">
        <f>VLOOKUP(F1684,'RM Used'!B:D,3,0)</f>
        <v>RM-FOOD</v>
      </c>
      <c r="J1684" s="66">
        <v>1</v>
      </c>
      <c r="K1684" s="35">
        <f t="shared" si="530"/>
        <v>5</v>
      </c>
      <c r="L1684" s="35">
        <f t="shared" si="531"/>
        <v>5</v>
      </c>
      <c r="M1684" s="77" cm="1">
        <f t="array" ref="M1684">_xlfn.IFS(BOM!I1684="RM-PACKING","100%",B1684="Reynolds",VLOOKUP(H1684,'Yield &amp; Time'!A:V,22,0),BOM!B1684="Dnata",VLOOKUP(BOM!H1684,'Yield &amp; Time'!A:M,13,0),B1684="NK",VLOOKUP(H1684,'Yield &amp; Time'!A:X,24,0))</f>
        <v>0.82</v>
      </c>
      <c r="N1684" s="35">
        <f t="shared" si="518"/>
        <v>6.0975609756097562</v>
      </c>
      <c r="O1684" s="1" t="str">
        <f>VLOOKUP(H1684,'RM Used'!A:E,5,0)</f>
        <v>KG</v>
      </c>
      <c r="P1684" s="11">
        <f>VLOOKUP(H1684,'RM Used'!A:F,6,0)</f>
        <v>0.88</v>
      </c>
      <c r="Q1684" s="11">
        <f t="shared" si="528"/>
        <v>5.3658536585365857</v>
      </c>
      <c r="R1684" s="11" cm="1">
        <f t="array" ref="R1684">IFERROR(_xlfn.IFS(B1684="Reynolds",VLOOKUP(H1684,'Yield &amp; Time'!A:U,21,0),B1684="Dnata",VLOOKUP(H1684,'Yield &amp; Time'!A:L,12,0),B1684="NK",VLOOKUP(H1684,'Yield &amp; Time'!A:W,23,0)),0)</f>
        <v>0.2</v>
      </c>
      <c r="S1684" s="11">
        <f t="shared" si="532"/>
        <v>0.33849999999999997</v>
      </c>
      <c r="T1684" s="11">
        <f t="shared" si="533"/>
        <v>1.6666666666666666E-2</v>
      </c>
      <c r="U1684" s="11">
        <f>IF(A1683=A1684,0,VLOOKUP(A1684,'Packing Time'!A:F,6,0))</f>
        <v>1.1850000000000001</v>
      </c>
      <c r="V1684" s="11">
        <f t="shared" si="513"/>
        <v>0.40112249999999999</v>
      </c>
      <c r="W1684" s="11">
        <f t="shared" si="514"/>
        <v>1.975E-2</v>
      </c>
      <c r="X1684" s="11">
        <f t="shared" si="522"/>
        <v>1.1833959999999999</v>
      </c>
      <c r="Y1684" s="11">
        <f t="shared" si="515"/>
        <v>1.1833959999999999</v>
      </c>
      <c r="Z1684" s="37">
        <v>1</v>
      </c>
      <c r="AA1684" s="36">
        <f t="shared" si="523"/>
        <v>6.0975609756097562</v>
      </c>
      <c r="AB1684" s="11">
        <f t="shared" si="524"/>
        <v>5.3658536585365857</v>
      </c>
      <c r="AC1684" s="11">
        <f t="shared" si="525"/>
        <v>5.8266666666666668E-2</v>
      </c>
      <c r="AD1684" s="36">
        <f t="shared" si="516"/>
        <v>1.1833959999999999</v>
      </c>
      <c r="AE1684" s="36"/>
      <c r="AF1684" s="36">
        <f>IFERROR(VLOOKUP(AE1684,'Chemical Cost'!A:D,4,0),0)</f>
        <v>0</v>
      </c>
      <c r="AG1684" s="114">
        <f t="shared" si="526"/>
        <v>0</v>
      </c>
      <c r="AH1684" s="36">
        <f t="shared" si="512"/>
        <v>0</v>
      </c>
      <c r="AI1684" s="36">
        <f t="shared" si="521"/>
        <v>6.5492496585365858</v>
      </c>
      <c r="AJ1684" s="36">
        <f>IFERROR(VLOOKUP(A1684,'All Products'!A:F,6,0),0)</f>
        <v>21.75</v>
      </c>
      <c r="AK1684" s="36"/>
      <c r="AL1684" s="23">
        <v>1</v>
      </c>
      <c r="AP1684" s="4">
        <v>1.6</v>
      </c>
      <c r="AQ1684" s="111">
        <f t="shared" si="527"/>
        <v>5.8266666666666668E-2</v>
      </c>
      <c r="AR1684">
        <f>_xlfn.XLOOKUP(F1684,'RM Cost'!A:A,'RM Cost'!S:S)</f>
        <v>0</v>
      </c>
      <c r="AS1684" t="str">
        <f>_xlfn.XLOOKUP(A1684,[3]Sheet1!$B:$B,[3]Sheet1!$B:$B)</f>
        <v>N079CS</v>
      </c>
      <c r="AT1684">
        <f>_xlfn.XLOOKUP(H1684,'Yield &amp; Time'!A:A,'Yield &amp; Time'!F:F)</f>
        <v>0</v>
      </c>
    </row>
    <row r="1685" spans="1:46" x14ac:dyDescent="0.25">
      <c r="A1685" t="str">
        <f>A1684</f>
        <v>N079CS</v>
      </c>
      <c r="B1685" t="str">
        <f>B1684</f>
        <v>NK</v>
      </c>
      <c r="C1685" t="str">
        <f>C1684</f>
        <v>Grated Sweet Potatoes</v>
      </c>
      <c r="D1685" t="s">
        <v>554</v>
      </c>
      <c r="E1685" s="63">
        <f>E1684</f>
        <v>5</v>
      </c>
      <c r="F1685" s="1" t="str">
        <f>VLOOKUP(H1685,'RM Used'!A:B,2,0)</f>
        <v>P0008</v>
      </c>
      <c r="G1685" s="1" t="str">
        <f>IFERROR(VLOOKUP(F1685,'RM Cost'!A:B,2,0),"")</f>
        <v>PALE BLUE BAG 470X750MM</v>
      </c>
      <c r="H1685" s="1" t="s">
        <v>1323</v>
      </c>
      <c r="I1685" s="1" t="str">
        <f>VLOOKUP(F1685,'RM Used'!B:D,3,0)</f>
        <v>RM-PACKING</v>
      </c>
      <c r="J1685" s="66">
        <v>1</v>
      </c>
      <c r="K1685" s="35" t="str">
        <f t="shared" si="530"/>
        <v/>
      </c>
      <c r="L1685" s="35">
        <f t="shared" si="531"/>
        <v>0</v>
      </c>
      <c r="M1685" s="77" t="str" cm="1">
        <f t="array" ref="M1685">_xlfn.IFS(BOM!I1685="RM-PACKING","100%",B1685="Reynolds",VLOOKUP(H1685,'Yield &amp; Time'!A:V,22,0),BOM!B1685="Dnata",VLOOKUP(BOM!H1685,'Yield &amp; Time'!A:M,13,0),B1685="NK",VLOOKUP(H1685,'Yield &amp; Time'!A:X,24,0))</f>
        <v>100%</v>
      </c>
      <c r="N1685" s="35">
        <f t="shared" si="518"/>
        <v>1</v>
      </c>
      <c r="O1685" s="1" t="str">
        <f>VLOOKUP(H1685,'RM Used'!A:E,5,0)</f>
        <v>Count</v>
      </c>
      <c r="P1685" s="11">
        <f>VLOOKUP(H1685,'RM Used'!A:F,6,0)</f>
        <v>0.14000000000000001</v>
      </c>
      <c r="Q1685" s="11">
        <f t="shared" si="528"/>
        <v>0.14000000000000001</v>
      </c>
      <c r="R1685" s="11" cm="1">
        <f t="array" ref="R1685">IFERROR(_xlfn.IFS(B1685="Reynolds",VLOOKUP(H1685,'Yield &amp; Time'!A:U,21,0),B1685="Dnata",VLOOKUP(H1685,'Yield &amp; Time'!A:L,12,0),B1685="NK",VLOOKUP(H1685,'Yield &amp; Time'!A:W,23,0)),0)</f>
        <v>0</v>
      </c>
      <c r="S1685" s="11">
        <f t="shared" si="532"/>
        <v>0</v>
      </c>
      <c r="T1685" s="11">
        <f t="shared" si="533"/>
        <v>0</v>
      </c>
      <c r="U1685" s="11">
        <f>IF(A1684=A1685,0,VLOOKUP(A1685,'Packing Time'!A:F,6,0))</f>
        <v>0</v>
      </c>
      <c r="V1685" s="11">
        <f t="shared" si="513"/>
        <v>0</v>
      </c>
      <c r="W1685" s="11">
        <f t="shared" si="514"/>
        <v>0</v>
      </c>
      <c r="X1685" s="11">
        <f t="shared" si="522"/>
        <v>0</v>
      </c>
      <c r="Y1685" s="11">
        <f t="shared" si="515"/>
        <v>0</v>
      </c>
      <c r="Z1685" s="37">
        <v>1</v>
      </c>
      <c r="AA1685" s="36">
        <f t="shared" si="523"/>
        <v>1</v>
      </c>
      <c r="AB1685" s="11">
        <f t="shared" si="524"/>
        <v>0.14000000000000001</v>
      </c>
      <c r="AC1685" s="11">
        <f t="shared" si="525"/>
        <v>0</v>
      </c>
      <c r="AD1685" s="36">
        <f t="shared" si="516"/>
        <v>0</v>
      </c>
      <c r="AE1685" s="36"/>
      <c r="AF1685" s="36">
        <f>IFERROR(VLOOKUP(AE1685,'Chemical Cost'!A:D,4,0),0)</f>
        <v>0</v>
      </c>
      <c r="AG1685" s="114">
        <f t="shared" si="526"/>
        <v>0</v>
      </c>
      <c r="AH1685" s="36">
        <f t="shared" si="512"/>
        <v>0</v>
      </c>
      <c r="AI1685" s="36">
        <f t="shared" si="521"/>
        <v>0.14000000000000001</v>
      </c>
      <c r="AJ1685" s="36">
        <f>IFERROR(VLOOKUP(A1685,'All Products'!A:F,6,0),0)</f>
        <v>21.75</v>
      </c>
      <c r="AK1685" s="36"/>
      <c r="AL1685" s="23">
        <v>1</v>
      </c>
      <c r="AP1685" s="4">
        <v>1.6</v>
      </c>
      <c r="AQ1685" s="111">
        <f t="shared" si="527"/>
        <v>0</v>
      </c>
      <c r="AR1685">
        <f>_xlfn.XLOOKUP(F1685,'RM Cost'!A:A,'RM Cost'!S:S)</f>
        <v>0</v>
      </c>
      <c r="AS1685" t="str">
        <f>_xlfn.XLOOKUP(A1685,[3]Sheet1!$B:$B,[3]Sheet1!$B:$B)</f>
        <v>N079CS</v>
      </c>
      <c r="AT1685" t="e">
        <f>_xlfn.XLOOKUP(H1685,'Yield &amp; Time'!A:A,'Yield &amp; Time'!F:F)</f>
        <v>#N/A</v>
      </c>
    </row>
    <row r="1686" spans="1:46" x14ac:dyDescent="0.25">
      <c r="A1686" t="s">
        <v>4605</v>
      </c>
      <c r="B1686" s="2" t="s">
        <v>4377</v>
      </c>
      <c r="C1686" t="s">
        <v>4606</v>
      </c>
      <c r="D1686" s="2" t="s">
        <v>554</v>
      </c>
      <c r="E1686" s="63">
        <v>5</v>
      </c>
      <c r="F1686" s="1" t="str">
        <f>VLOOKUP(H1686,'RM Used'!A:B,2,0)</f>
        <v>3210CS</v>
      </c>
      <c r="G1686" s="1" t="str">
        <f>IFERROR(VLOOKUP(F1686,'RM Cost'!A:B,2,0),"")</f>
        <v>RM - POTATOES WARE 25KG</v>
      </c>
      <c r="H1686" s="1" t="s">
        <v>1646</v>
      </c>
      <c r="I1686" s="1" t="str">
        <f>VLOOKUP(F1686,'RM Used'!B:D,3,0)</f>
        <v>RM-FOOD</v>
      </c>
      <c r="J1686" s="66">
        <v>1</v>
      </c>
      <c r="K1686" s="35">
        <f t="shared" si="530"/>
        <v>5</v>
      </c>
      <c r="L1686" s="35">
        <f t="shared" si="531"/>
        <v>5</v>
      </c>
      <c r="M1686" s="77" cm="1">
        <f t="array" ref="M1686">_xlfn.IFS(BOM!I1686="RM-PACKING","100%",B1686="Reynolds",VLOOKUP(H1686,'Yield &amp; Time'!A:V,22,0),BOM!B1686="Dnata",VLOOKUP(BOM!H1686,'Yield &amp; Time'!A:M,13,0),B1686="NK",VLOOKUP(H1686,'Yield &amp; Time'!A:X,24,0))</f>
        <v>0.56999999999999995</v>
      </c>
      <c r="N1686" s="35">
        <f t="shared" si="518"/>
        <v>8.7719298245614041</v>
      </c>
      <c r="O1686" s="1" t="str">
        <f>VLOOKUP(H1686,'RM Used'!A:E,5,0)</f>
        <v>KG</v>
      </c>
      <c r="P1686" s="11">
        <f>VLOOKUP(H1686,'RM Used'!A:F,6,0)</f>
        <v>0.27</v>
      </c>
      <c r="Q1686" s="11">
        <f t="shared" si="528"/>
        <v>2.3684210526315792</v>
      </c>
      <c r="R1686" s="11" cm="1">
        <f t="array" ref="R1686">IFERROR(_xlfn.IFS(B1686="Reynolds",VLOOKUP(H1686,'Yield &amp; Time'!A:U,21,0),B1686="Dnata",VLOOKUP(H1686,'Yield &amp; Time'!A:L,12,0),B1686="NK",VLOOKUP(H1686,'Yield &amp; Time'!A:W,23,0)),0)</f>
        <v>3.43</v>
      </c>
      <c r="S1686" s="11">
        <f t="shared" si="532"/>
        <v>5.805275</v>
      </c>
      <c r="T1686" s="11">
        <f t="shared" si="533"/>
        <v>0.28583333333333338</v>
      </c>
      <c r="U1686" s="11">
        <f>IF(A1685=A1686,0,VLOOKUP(A1686,'Packing Time'!A:F,6,0))</f>
        <v>1.1850000000000001</v>
      </c>
      <c r="V1686" s="11">
        <f t="shared" si="513"/>
        <v>0.40112249999999999</v>
      </c>
      <c r="W1686" s="11">
        <f t="shared" si="514"/>
        <v>1.975E-2</v>
      </c>
      <c r="X1686" s="11">
        <f t="shared" si="522"/>
        <v>9.9302360000000007</v>
      </c>
      <c r="Y1686" s="11">
        <f t="shared" si="515"/>
        <v>9.9302360000000007</v>
      </c>
      <c r="Z1686" s="37">
        <v>1</v>
      </c>
      <c r="AA1686" s="36">
        <f t="shared" si="523"/>
        <v>8.7719298245614041</v>
      </c>
      <c r="AB1686" s="11">
        <f t="shared" si="524"/>
        <v>2.3684210526315792</v>
      </c>
      <c r="AC1686" s="11">
        <f t="shared" si="525"/>
        <v>0.48893333333333344</v>
      </c>
      <c r="AD1686" s="36">
        <f t="shared" si="516"/>
        <v>9.9302360000000007</v>
      </c>
      <c r="AE1686" s="36"/>
      <c r="AF1686" s="36">
        <f>IFERROR(VLOOKUP(AE1686,'Chemical Cost'!A:D,4,0),0)</f>
        <v>0</v>
      </c>
      <c r="AG1686" s="114">
        <f t="shared" si="526"/>
        <v>0</v>
      </c>
      <c r="AH1686" s="36">
        <f t="shared" si="512"/>
        <v>0</v>
      </c>
      <c r="AI1686" s="36">
        <f t="shared" si="521"/>
        <v>12.298657052631579</v>
      </c>
      <c r="AJ1686" s="36">
        <f>IFERROR(VLOOKUP(A1686,'All Products'!A:F,6,0),0)</f>
        <v>13.24</v>
      </c>
      <c r="AK1686" s="36"/>
      <c r="AL1686" s="23">
        <v>1</v>
      </c>
      <c r="AP1686" s="4">
        <v>1.6</v>
      </c>
      <c r="AQ1686" s="111">
        <f t="shared" si="527"/>
        <v>0.48893333333333344</v>
      </c>
      <c r="AR1686">
        <f>_xlfn.XLOOKUP(F1686,'RM Cost'!A:A,'RM Cost'!S:S)</f>
        <v>0</v>
      </c>
      <c r="AS1686" t="str">
        <f>_xlfn.XLOOKUP(A1686,[3]Sheet1!$B:$B,[3]Sheet1!$B:$B)</f>
        <v>N077CS</v>
      </c>
      <c r="AT1686">
        <f>_xlfn.XLOOKUP(H1686,'Yield &amp; Time'!A:A,'Yield &amp; Time'!F:F)</f>
        <v>0</v>
      </c>
    </row>
    <row r="1687" spans="1:46" x14ac:dyDescent="0.25">
      <c r="A1687" t="str">
        <f>A1686</f>
        <v>N077CS</v>
      </c>
      <c r="B1687" t="str">
        <f>B1686</f>
        <v>NK</v>
      </c>
      <c r="C1687" t="str">
        <f>C1686</f>
        <v>Sliced Potatoes 6mm</v>
      </c>
      <c r="D1687" t="s">
        <v>554</v>
      </c>
      <c r="E1687" s="63">
        <f>E1686</f>
        <v>5</v>
      </c>
      <c r="F1687" s="1" t="str">
        <f>VLOOKUP(H1687,'RM Used'!A:B,2,0)</f>
        <v>P0008</v>
      </c>
      <c r="G1687" s="1" t="str">
        <f>IFERROR(VLOOKUP(F1687,'RM Cost'!A:B,2,0),"")</f>
        <v>PALE BLUE BAG 470X750MM</v>
      </c>
      <c r="H1687" s="1" t="s">
        <v>1323</v>
      </c>
      <c r="I1687" s="1" t="str">
        <f>VLOOKUP(F1687,'RM Used'!B:D,3,0)</f>
        <v>RM-PACKING</v>
      </c>
      <c r="J1687" s="66">
        <v>1</v>
      </c>
      <c r="K1687" s="35" t="str">
        <f t="shared" si="530"/>
        <v/>
      </c>
      <c r="L1687" s="35">
        <f t="shared" si="531"/>
        <v>0</v>
      </c>
      <c r="M1687" s="77" t="str" cm="1">
        <f t="array" ref="M1687">_xlfn.IFS(BOM!I1687="RM-PACKING","100%",B1687="Reynolds",VLOOKUP(H1687,'Yield &amp; Time'!A:V,22,0),BOM!B1687="Dnata",VLOOKUP(BOM!H1687,'Yield &amp; Time'!A:M,13,0),B1687="NK",VLOOKUP(H1687,'Yield &amp; Time'!A:X,24,0))</f>
        <v>100%</v>
      </c>
      <c r="N1687" s="35">
        <f t="shared" si="518"/>
        <v>1</v>
      </c>
      <c r="O1687" s="1" t="str">
        <f>VLOOKUP(H1687,'RM Used'!A:E,5,0)</f>
        <v>Count</v>
      </c>
      <c r="P1687" s="11">
        <f>VLOOKUP(H1687,'RM Used'!A:F,6,0)</f>
        <v>0.14000000000000001</v>
      </c>
      <c r="Q1687" s="11">
        <f t="shared" si="528"/>
        <v>0.14000000000000001</v>
      </c>
      <c r="R1687" s="11" cm="1">
        <f t="array" ref="R1687">IFERROR(_xlfn.IFS(B1687="Reynolds",VLOOKUP(H1687,'Yield &amp; Time'!A:U,21,0),B1687="Dnata",VLOOKUP(H1687,'Yield &amp; Time'!A:L,12,0),B1687="NK",VLOOKUP(H1687,'Yield &amp; Time'!A:W,23,0)),0)</f>
        <v>0</v>
      </c>
      <c r="S1687" s="11">
        <f t="shared" si="532"/>
        <v>0</v>
      </c>
      <c r="T1687" s="11">
        <f t="shared" si="533"/>
        <v>0</v>
      </c>
      <c r="U1687" s="11">
        <f>IF(A1686=A1687,0,VLOOKUP(A1687,'Packing Time'!A:F,6,0))</f>
        <v>0</v>
      </c>
      <c r="V1687" s="11">
        <f t="shared" si="513"/>
        <v>0</v>
      </c>
      <c r="W1687" s="11">
        <f t="shared" si="514"/>
        <v>0</v>
      </c>
      <c r="X1687" s="11">
        <f t="shared" si="522"/>
        <v>0</v>
      </c>
      <c r="Y1687" s="11">
        <f t="shared" si="515"/>
        <v>0</v>
      </c>
      <c r="Z1687" s="37">
        <v>1</v>
      </c>
      <c r="AA1687" s="36">
        <f t="shared" si="523"/>
        <v>1</v>
      </c>
      <c r="AB1687" s="11">
        <f t="shared" si="524"/>
        <v>0.14000000000000001</v>
      </c>
      <c r="AC1687" s="11">
        <f t="shared" si="525"/>
        <v>0</v>
      </c>
      <c r="AD1687" s="36">
        <f t="shared" si="516"/>
        <v>0</v>
      </c>
      <c r="AE1687" s="36"/>
      <c r="AF1687" s="36">
        <f>IFERROR(VLOOKUP(AE1687,'Chemical Cost'!A:D,4,0),0)</f>
        <v>0</v>
      </c>
      <c r="AG1687" s="114">
        <f t="shared" si="526"/>
        <v>0</v>
      </c>
      <c r="AH1687" s="36">
        <f t="shared" si="512"/>
        <v>0</v>
      </c>
      <c r="AI1687" s="36">
        <f t="shared" si="521"/>
        <v>0.14000000000000001</v>
      </c>
      <c r="AJ1687" s="36">
        <f>IFERROR(VLOOKUP(A1687,'All Products'!A:F,6,0),0)</f>
        <v>13.24</v>
      </c>
      <c r="AK1687" s="36"/>
      <c r="AL1687" s="23">
        <v>1</v>
      </c>
      <c r="AP1687" s="4">
        <v>1.6</v>
      </c>
      <c r="AQ1687" s="111">
        <f t="shared" si="527"/>
        <v>0</v>
      </c>
      <c r="AR1687">
        <f>_xlfn.XLOOKUP(F1687,'RM Cost'!A:A,'RM Cost'!S:S)</f>
        <v>0</v>
      </c>
      <c r="AS1687" t="str">
        <f>_xlfn.XLOOKUP(A1687,[3]Sheet1!$B:$B,[3]Sheet1!$B:$B)</f>
        <v>N077CS</v>
      </c>
      <c r="AT1687" t="e">
        <f>_xlfn.XLOOKUP(H1687,'Yield &amp; Time'!A:A,'Yield &amp; Time'!F:F)</f>
        <v>#N/A</v>
      </c>
    </row>
    <row r="1688" spans="1:46" x14ac:dyDescent="0.25">
      <c r="A1688" t="s">
        <v>4607</v>
      </c>
      <c r="B1688" s="2" t="s">
        <v>4377</v>
      </c>
      <c r="C1688" t="s">
        <v>4608</v>
      </c>
      <c r="D1688" s="2" t="s">
        <v>554</v>
      </c>
      <c r="E1688" s="63">
        <v>5</v>
      </c>
      <c r="F1688" s="1" t="str">
        <f>VLOOKUP(H1688,'RM Used'!A:B,2,0)</f>
        <v>032ACS</v>
      </c>
      <c r="G1688" s="1" t="str">
        <f>IFERROR(VLOOKUP(F1688,'RM Cost'!A:B,2,0),"")</f>
        <v>RM - LRG PROCESSING CARROT X 1000KG</v>
      </c>
      <c r="H1688" s="1" t="s">
        <v>1366</v>
      </c>
      <c r="I1688" s="1" t="str">
        <f>VLOOKUP(F1688,'RM Used'!B:D,3,0)</f>
        <v>RM-FOOD</v>
      </c>
      <c r="J1688" s="66">
        <v>1</v>
      </c>
      <c r="K1688" s="35">
        <f t="shared" si="530"/>
        <v>5</v>
      </c>
      <c r="L1688" s="35">
        <f t="shared" si="531"/>
        <v>5</v>
      </c>
      <c r="M1688" s="77" cm="1">
        <f t="array" ref="M1688">_xlfn.IFS(BOM!I1688="RM-PACKING","100%",B1688="Reynolds",VLOOKUP(H1688,'Yield &amp; Time'!A:V,22,0),BOM!B1688="Dnata",VLOOKUP(BOM!H1688,'Yield &amp; Time'!A:M,13,0),B1688="NK",VLOOKUP(H1688,'Yield &amp; Time'!A:X,24,0))</f>
        <v>0.71</v>
      </c>
      <c r="N1688" s="35">
        <f t="shared" si="518"/>
        <v>7.042253521126761</v>
      </c>
      <c r="O1688" s="1" t="str">
        <f>VLOOKUP(H1688,'RM Used'!A:E,5,0)</f>
        <v>KG</v>
      </c>
      <c r="P1688" s="11">
        <f>VLOOKUP(H1688,'RM Used'!A:F,6,0)</f>
        <v>0.38</v>
      </c>
      <c r="Q1688" s="11">
        <f t="shared" si="528"/>
        <v>2.676056338028169</v>
      </c>
      <c r="R1688" s="11" cm="1">
        <f t="array" ref="R1688">IFERROR(_xlfn.IFS(B1688="Reynolds",VLOOKUP(H1688,'Yield &amp; Time'!A:U,21,0),B1688="Dnata",VLOOKUP(H1688,'Yield &amp; Time'!A:L,12,0),B1688="NK",VLOOKUP(H1688,'Yield &amp; Time'!A:W,23,0)),0)</f>
        <v>1.25</v>
      </c>
      <c r="S1688" s="11">
        <f t="shared" si="532"/>
        <v>2.1156249999999996</v>
      </c>
      <c r="T1688" s="11">
        <f t="shared" si="533"/>
        <v>0.10416666666666667</v>
      </c>
      <c r="U1688" s="11">
        <f>IF(A1687=A1688,0,VLOOKUP(A1688,'Packing Time'!A:F,6,0))</f>
        <v>1.1850000000000001</v>
      </c>
      <c r="V1688" s="11">
        <f t="shared" si="513"/>
        <v>0.40112249999999999</v>
      </c>
      <c r="W1688" s="11">
        <f t="shared" si="514"/>
        <v>1.975E-2</v>
      </c>
      <c r="X1688" s="11">
        <f t="shared" si="522"/>
        <v>4.026796</v>
      </c>
      <c r="Y1688" s="11">
        <f t="shared" si="515"/>
        <v>4.026796</v>
      </c>
      <c r="Z1688" s="37">
        <v>1</v>
      </c>
      <c r="AA1688" s="36">
        <f t="shared" si="523"/>
        <v>7.042253521126761</v>
      </c>
      <c r="AB1688" s="11">
        <f t="shared" si="524"/>
        <v>2.676056338028169</v>
      </c>
      <c r="AC1688" s="11">
        <f t="shared" si="525"/>
        <v>0.1982666666666667</v>
      </c>
      <c r="AD1688" s="36">
        <f t="shared" si="516"/>
        <v>4.026796</v>
      </c>
      <c r="AE1688" s="36"/>
      <c r="AF1688" s="36">
        <f>IFERROR(VLOOKUP(AE1688,'Chemical Cost'!A:D,4,0),0)</f>
        <v>0</v>
      </c>
      <c r="AG1688" s="114">
        <f t="shared" si="526"/>
        <v>0</v>
      </c>
      <c r="AH1688" s="36">
        <f t="shared" si="512"/>
        <v>0</v>
      </c>
      <c r="AI1688" s="36">
        <f t="shared" si="521"/>
        <v>6.702852338028169</v>
      </c>
      <c r="AJ1688" s="36">
        <f>IFERROR(VLOOKUP(A1688,'All Products'!A:F,6,0),0)</f>
        <v>7.64</v>
      </c>
      <c r="AK1688" s="36"/>
      <c r="AL1688" s="23">
        <v>1</v>
      </c>
      <c r="AP1688" s="4">
        <v>1.6</v>
      </c>
      <c r="AQ1688" s="111">
        <f t="shared" si="527"/>
        <v>0.1982666666666667</v>
      </c>
      <c r="AR1688">
        <f>_xlfn.XLOOKUP(F1688,'RM Cost'!A:A,'RM Cost'!S:S)</f>
        <v>0</v>
      </c>
      <c r="AS1688" t="str">
        <f>_xlfn.XLOOKUP(A1688,[3]Sheet1!$B:$B,[3]Sheet1!$B:$B)</f>
        <v>N081CS</v>
      </c>
      <c r="AT1688">
        <f>_xlfn.XLOOKUP(H1688,'Yield &amp; Time'!A:A,'Yield &amp; Time'!F:F)</f>
        <v>0</v>
      </c>
    </row>
    <row r="1689" spans="1:46" x14ac:dyDescent="0.25">
      <c r="A1689" t="str">
        <f>A1688</f>
        <v>N081CS</v>
      </c>
      <c r="B1689" t="str">
        <f>B1688</f>
        <v>NK</v>
      </c>
      <c r="C1689" t="str">
        <f>C1688</f>
        <v>Carrot Diced 10mm</v>
      </c>
      <c r="D1689" t="s">
        <v>554</v>
      </c>
      <c r="E1689" s="63">
        <f>E1688</f>
        <v>5</v>
      </c>
      <c r="F1689" s="1" t="str">
        <f>VLOOKUP(H1689,'RM Used'!A:B,2,0)</f>
        <v>P0008</v>
      </c>
      <c r="G1689" s="1" t="str">
        <f>IFERROR(VLOOKUP(F1689,'RM Cost'!A:B,2,0),"")</f>
        <v>PALE BLUE BAG 470X750MM</v>
      </c>
      <c r="H1689" s="1" t="s">
        <v>1323</v>
      </c>
      <c r="I1689" s="1" t="str">
        <f>VLOOKUP(F1689,'RM Used'!B:D,3,0)</f>
        <v>RM-PACKING</v>
      </c>
      <c r="J1689" s="66">
        <v>1</v>
      </c>
      <c r="K1689" s="35" t="str">
        <f t="shared" si="530"/>
        <v/>
      </c>
      <c r="L1689" s="35">
        <f t="shared" si="531"/>
        <v>0</v>
      </c>
      <c r="M1689" s="77" t="str" cm="1">
        <f t="array" ref="M1689">_xlfn.IFS(BOM!I1689="RM-PACKING","100%",B1689="Reynolds",VLOOKUP(H1689,'Yield &amp; Time'!A:V,22,0),BOM!B1689="Dnata",VLOOKUP(BOM!H1689,'Yield &amp; Time'!A:M,13,0),B1689="NK",VLOOKUP(H1689,'Yield &amp; Time'!A:X,24,0))</f>
        <v>100%</v>
      </c>
      <c r="N1689" s="35">
        <f t="shared" si="518"/>
        <v>1</v>
      </c>
      <c r="O1689" s="1" t="str">
        <f>VLOOKUP(H1689,'RM Used'!A:E,5,0)</f>
        <v>Count</v>
      </c>
      <c r="P1689" s="11">
        <f>VLOOKUP(H1689,'RM Used'!A:F,6,0)</f>
        <v>0.14000000000000001</v>
      </c>
      <c r="Q1689" s="11">
        <f t="shared" si="528"/>
        <v>0.14000000000000001</v>
      </c>
      <c r="R1689" s="11" cm="1">
        <f t="array" ref="R1689">IFERROR(_xlfn.IFS(B1689="Reynolds",VLOOKUP(H1689,'Yield &amp; Time'!A:U,21,0),B1689="Dnata",VLOOKUP(H1689,'Yield &amp; Time'!A:L,12,0),B1689="NK",VLOOKUP(H1689,'Yield &amp; Time'!A:W,23,0)),0)</f>
        <v>0</v>
      </c>
      <c r="S1689" s="11">
        <f t="shared" si="532"/>
        <v>0</v>
      </c>
      <c r="T1689" s="11">
        <f t="shared" si="533"/>
        <v>0</v>
      </c>
      <c r="U1689" s="11">
        <f>IF(A1688=A1689,0,VLOOKUP(A1689,'Packing Time'!A:F,6,0))</f>
        <v>0</v>
      </c>
      <c r="V1689" s="11">
        <f t="shared" si="513"/>
        <v>0</v>
      </c>
      <c r="W1689" s="11">
        <f t="shared" si="514"/>
        <v>0</v>
      </c>
      <c r="X1689" s="11">
        <f t="shared" si="522"/>
        <v>0</v>
      </c>
      <c r="Y1689" s="11">
        <f t="shared" si="515"/>
        <v>0</v>
      </c>
      <c r="Z1689" s="37">
        <v>1</v>
      </c>
      <c r="AA1689" s="36">
        <f t="shared" si="523"/>
        <v>1</v>
      </c>
      <c r="AB1689" s="11">
        <f t="shared" si="524"/>
        <v>0.14000000000000001</v>
      </c>
      <c r="AC1689" s="11">
        <f t="shared" si="525"/>
        <v>0</v>
      </c>
      <c r="AD1689" s="36">
        <f t="shared" si="516"/>
        <v>0</v>
      </c>
      <c r="AE1689" s="36"/>
      <c r="AF1689" s="36">
        <f>IFERROR(VLOOKUP(AE1689,'Chemical Cost'!A:D,4,0),0)</f>
        <v>0</v>
      </c>
      <c r="AG1689" s="114">
        <f t="shared" si="526"/>
        <v>0</v>
      </c>
      <c r="AH1689" s="36">
        <f t="shared" si="512"/>
        <v>0</v>
      </c>
      <c r="AI1689" s="36">
        <f t="shared" si="521"/>
        <v>0.14000000000000001</v>
      </c>
      <c r="AJ1689" s="36">
        <f>IFERROR(VLOOKUP(A1689,'All Products'!A:F,6,0),0)</f>
        <v>7.64</v>
      </c>
      <c r="AK1689" s="36"/>
      <c r="AL1689" s="23">
        <v>1</v>
      </c>
      <c r="AP1689" s="4">
        <v>1.6</v>
      </c>
      <c r="AQ1689" s="111">
        <f t="shared" si="527"/>
        <v>0</v>
      </c>
      <c r="AR1689">
        <f>_xlfn.XLOOKUP(F1689,'RM Cost'!A:A,'RM Cost'!S:S)</f>
        <v>0</v>
      </c>
      <c r="AS1689" t="str">
        <f>_xlfn.XLOOKUP(A1689,[3]Sheet1!$B:$B,[3]Sheet1!$B:$B)</f>
        <v>N081CS</v>
      </c>
      <c r="AT1689" t="e">
        <f>_xlfn.XLOOKUP(H1689,'Yield &amp; Time'!A:A,'Yield &amp; Time'!F:F)</f>
        <v>#N/A</v>
      </c>
    </row>
    <row r="1690" spans="1:46" x14ac:dyDescent="0.25">
      <c r="A1690" t="s">
        <v>4609</v>
      </c>
      <c r="B1690" s="2" t="s">
        <v>4377</v>
      </c>
      <c r="C1690" t="s">
        <v>4610</v>
      </c>
      <c r="D1690" s="2" t="s">
        <v>554</v>
      </c>
      <c r="E1690" s="63">
        <v>2.5</v>
      </c>
      <c r="F1690" s="1" t="str">
        <f>VLOOKUP(H1690,'RM Used'!A:B,2,0)</f>
        <v>3566CS</v>
      </c>
      <c r="G1690" s="1" t="str">
        <f>IFERROR(VLOOKUP(F1690,'RM Cost'!A:B,2,0),"")</f>
        <v>PEPPERS RED X 5KG</v>
      </c>
      <c r="H1690" s="1" t="s">
        <v>1436</v>
      </c>
      <c r="I1690" s="1" t="str">
        <f>VLOOKUP(F1690,'RM Used'!B:D,3,0)</f>
        <v>RM-FOOD</v>
      </c>
      <c r="J1690" s="66">
        <v>1</v>
      </c>
      <c r="K1690" s="35">
        <f t="shared" si="530"/>
        <v>2.5</v>
      </c>
      <c r="L1690" s="35">
        <f t="shared" si="531"/>
        <v>2.5</v>
      </c>
      <c r="M1690" s="77" cm="1">
        <f t="array" ref="M1690">_xlfn.IFS(BOM!I1690="RM-PACKING","100%",B1690="Reynolds",VLOOKUP(H1690,'Yield &amp; Time'!A:V,22,0),BOM!B1690="Dnata",VLOOKUP(BOM!H1690,'Yield &amp; Time'!A:M,13,0),B1690="NK",VLOOKUP(H1690,'Yield &amp; Time'!A:X,24,0))</f>
        <v>0.7</v>
      </c>
      <c r="N1690" s="35">
        <f t="shared" si="518"/>
        <v>3.5714285714285716</v>
      </c>
      <c r="O1690" s="1" t="str">
        <f>VLOOKUP(H1690,'RM Used'!A:E,5,0)</f>
        <v>KG</v>
      </c>
      <c r="P1690" s="11">
        <f>VLOOKUP(H1690,'RM Used'!A:F,6,0)</f>
        <v>1.72</v>
      </c>
      <c r="Q1690" s="11">
        <f t="shared" si="528"/>
        <v>6.1428571428571432</v>
      </c>
      <c r="R1690" s="11" cm="1">
        <f t="array" ref="R1690">IFERROR(_xlfn.IFS(B1690="Reynolds",VLOOKUP(H1690,'Yield &amp; Time'!A:U,21,0),B1690="Dnata",VLOOKUP(H1690,'Yield &amp; Time'!A:L,12,0),B1690="NK",VLOOKUP(H1690,'Yield &amp; Time'!A:W,23,0)),0)</f>
        <v>1.03</v>
      </c>
      <c r="S1690" s="11">
        <f t="shared" si="532"/>
        <v>0.87163749999999995</v>
      </c>
      <c r="T1690" s="11">
        <f t="shared" si="533"/>
        <v>4.2916666666666672E-2</v>
      </c>
      <c r="U1690" s="11">
        <f>IF(A1689=A1690,0,VLOOKUP(A1690,'Packing Time'!A:F,6,0))</f>
        <v>0.875</v>
      </c>
      <c r="V1690" s="11">
        <f t="shared" si="513"/>
        <v>0.29618749999999999</v>
      </c>
      <c r="W1690" s="11">
        <f t="shared" si="514"/>
        <v>1.4583333333333334E-2</v>
      </c>
      <c r="X1690" s="11">
        <f t="shared" si="522"/>
        <v>1.86852</v>
      </c>
      <c r="Y1690" s="11">
        <f t="shared" si="515"/>
        <v>1.86852</v>
      </c>
      <c r="Z1690" s="37">
        <v>1</v>
      </c>
      <c r="AA1690" s="36">
        <f t="shared" si="523"/>
        <v>3.5714285714285716</v>
      </c>
      <c r="AB1690" s="11">
        <f t="shared" si="524"/>
        <v>6.1428571428571432</v>
      </c>
      <c r="AC1690" s="11">
        <f t="shared" si="525"/>
        <v>9.2000000000000012E-2</v>
      </c>
      <c r="AD1690" s="36">
        <f t="shared" si="516"/>
        <v>1.86852</v>
      </c>
      <c r="AE1690" s="36"/>
      <c r="AF1690" s="36">
        <f>IFERROR(VLOOKUP(AE1690,'Chemical Cost'!A:D,4,0),0)</f>
        <v>0</v>
      </c>
      <c r="AG1690" s="114">
        <f t="shared" si="526"/>
        <v>0</v>
      </c>
      <c r="AH1690" s="36">
        <f t="shared" si="512"/>
        <v>0</v>
      </c>
      <c r="AI1690" s="36">
        <f t="shared" si="521"/>
        <v>8.0113771428571425</v>
      </c>
      <c r="AJ1690" s="36">
        <f>IFERROR(VLOOKUP(A1690,'All Products'!A:F,6,0),0)</f>
        <v>17.95</v>
      </c>
      <c r="AK1690" s="36"/>
      <c r="AL1690" s="23">
        <v>1</v>
      </c>
      <c r="AP1690" s="4">
        <v>1.6</v>
      </c>
      <c r="AQ1690" s="111">
        <f t="shared" si="527"/>
        <v>9.2000000000000012E-2</v>
      </c>
      <c r="AR1690">
        <f>_xlfn.XLOOKUP(F1690,'RM Cost'!A:A,'RM Cost'!S:S)</f>
        <v>0</v>
      </c>
      <c r="AS1690" t="str">
        <f>_xlfn.XLOOKUP(A1690,[3]Sheet1!$B:$B,[3]Sheet1!$B:$B)</f>
        <v>N095CS</v>
      </c>
      <c r="AT1690" t="str">
        <f>_xlfn.XLOOKUP(H1690,'Yield &amp; Time'!A:A,'Yield &amp; Time'!O:O)</f>
        <v>Yes</v>
      </c>
    </row>
    <row r="1691" spans="1:46" x14ac:dyDescent="0.25">
      <c r="A1691" t="str">
        <f>A1690</f>
        <v>N095CS</v>
      </c>
      <c r="B1691" t="str">
        <f>B1690</f>
        <v>NK</v>
      </c>
      <c r="C1691" t="str">
        <f>C1690</f>
        <v>Red pepper Diced 10mm</v>
      </c>
      <c r="D1691" t="s">
        <v>554</v>
      </c>
      <c r="E1691" s="63">
        <f>E1690</f>
        <v>2.5</v>
      </c>
      <c r="F1691" s="1" t="str">
        <f>VLOOKUP(H1691,'RM Used'!A:B,2,0)</f>
        <v>P0008</v>
      </c>
      <c r="G1691" s="1" t="str">
        <f>IFERROR(VLOOKUP(F1691,'RM Cost'!A:B,2,0),"")</f>
        <v>PALE BLUE BAG 470X750MM</v>
      </c>
      <c r="H1691" s="1" t="s">
        <v>1323</v>
      </c>
      <c r="I1691" s="1" t="str">
        <f>VLOOKUP(F1691,'RM Used'!B:D,3,0)</f>
        <v>RM-PACKING</v>
      </c>
      <c r="J1691" s="66">
        <v>1</v>
      </c>
      <c r="K1691" s="35" t="str">
        <f t="shared" si="530"/>
        <v/>
      </c>
      <c r="L1691" s="35">
        <f t="shared" si="531"/>
        <v>0</v>
      </c>
      <c r="M1691" s="77" t="str" cm="1">
        <f t="array" ref="M1691">_xlfn.IFS(BOM!I1691="RM-PACKING","100%",B1691="Reynolds",VLOOKUP(H1691,'Yield &amp; Time'!A:V,22,0),BOM!B1691="Dnata",VLOOKUP(BOM!H1691,'Yield &amp; Time'!A:M,13,0),B1691="NK",VLOOKUP(H1691,'Yield &amp; Time'!A:X,24,0))</f>
        <v>100%</v>
      </c>
      <c r="N1691" s="35">
        <f t="shared" si="518"/>
        <v>1</v>
      </c>
      <c r="O1691" s="1" t="str">
        <f>VLOOKUP(H1691,'RM Used'!A:E,5,0)</f>
        <v>Count</v>
      </c>
      <c r="P1691" s="11">
        <f>VLOOKUP(H1691,'RM Used'!A:F,6,0)</f>
        <v>0.14000000000000001</v>
      </c>
      <c r="Q1691" s="11">
        <f t="shared" si="528"/>
        <v>0.14000000000000001</v>
      </c>
      <c r="R1691" s="11" cm="1">
        <f t="array" ref="R1691">IFERROR(_xlfn.IFS(B1691="Reynolds",VLOOKUP(H1691,'Yield &amp; Time'!A:U,21,0),B1691="Dnata",VLOOKUP(H1691,'Yield &amp; Time'!A:L,12,0),B1691="NK",VLOOKUP(H1691,'Yield &amp; Time'!A:W,23,0)),0)</f>
        <v>0</v>
      </c>
      <c r="S1691" s="11">
        <f t="shared" si="532"/>
        <v>0</v>
      </c>
      <c r="T1691" s="11">
        <f t="shared" si="533"/>
        <v>0</v>
      </c>
      <c r="U1691" s="11">
        <f>IF(A1690=A1691,0,VLOOKUP(A1691,'Packing Time'!A:F,6,0))</f>
        <v>0</v>
      </c>
      <c r="V1691" s="11">
        <f t="shared" si="513"/>
        <v>0</v>
      </c>
      <c r="W1691" s="11">
        <f t="shared" si="514"/>
        <v>0</v>
      </c>
      <c r="X1691" s="11">
        <f t="shared" si="522"/>
        <v>0</v>
      </c>
      <c r="Y1691" s="11">
        <f t="shared" si="515"/>
        <v>0</v>
      </c>
      <c r="Z1691" s="37">
        <v>1</v>
      </c>
      <c r="AA1691" s="36">
        <f t="shared" si="523"/>
        <v>1</v>
      </c>
      <c r="AB1691" s="11">
        <f t="shared" si="524"/>
        <v>0.14000000000000001</v>
      </c>
      <c r="AC1691" s="11">
        <f t="shared" si="525"/>
        <v>0</v>
      </c>
      <c r="AD1691" s="36">
        <f t="shared" si="516"/>
        <v>0</v>
      </c>
      <c r="AE1691" s="36"/>
      <c r="AF1691" s="36">
        <f>IFERROR(VLOOKUP(AE1691,'Chemical Cost'!A:D,4,0),0)</f>
        <v>0</v>
      </c>
      <c r="AG1691" s="114">
        <f t="shared" si="526"/>
        <v>0</v>
      </c>
      <c r="AH1691" s="36">
        <f t="shared" si="512"/>
        <v>0</v>
      </c>
      <c r="AI1691" s="36">
        <f t="shared" si="521"/>
        <v>0.14000000000000001</v>
      </c>
      <c r="AJ1691" s="36">
        <f>IFERROR(VLOOKUP(A1691,'All Products'!A:F,6,0),0)</f>
        <v>17.95</v>
      </c>
      <c r="AK1691" s="36"/>
      <c r="AL1691" s="23">
        <v>1</v>
      </c>
      <c r="AP1691" s="4">
        <v>1.6</v>
      </c>
      <c r="AQ1691" s="111">
        <f t="shared" si="527"/>
        <v>0</v>
      </c>
      <c r="AR1691">
        <f>_xlfn.XLOOKUP(F1691,'RM Cost'!A:A,'RM Cost'!S:S)</f>
        <v>0</v>
      </c>
      <c r="AS1691" t="str">
        <f>_xlfn.XLOOKUP(A1691,[3]Sheet1!$B:$B,[3]Sheet1!$B:$B)</f>
        <v>N095CS</v>
      </c>
      <c r="AT1691" t="e">
        <f>_xlfn.XLOOKUP(H1691,'Yield &amp; Time'!A:A,'Yield &amp; Time'!F:F)</f>
        <v>#N/A</v>
      </c>
    </row>
    <row r="1692" spans="1:46" x14ac:dyDescent="0.25">
      <c r="A1692" t="s">
        <v>4611</v>
      </c>
      <c r="B1692" s="2" t="s">
        <v>4377</v>
      </c>
      <c r="C1692" t="s">
        <v>4612</v>
      </c>
      <c r="D1692" s="2" t="s">
        <v>554</v>
      </c>
      <c r="E1692" s="63">
        <v>5</v>
      </c>
      <c r="F1692" s="1" t="str">
        <f>VLOOKUP(H1692,'RM Used'!A:B,2,0)</f>
        <v>032ACS</v>
      </c>
      <c r="G1692" s="1" t="str">
        <f>IFERROR(VLOOKUP(F1692,'RM Cost'!A:B,2,0),"")</f>
        <v>RM - LRG PROCESSING CARROT X 1000KG</v>
      </c>
      <c r="H1692" s="1" t="s">
        <v>1373</v>
      </c>
      <c r="I1692" s="1" t="str">
        <f>VLOOKUP(F1692,'RM Used'!B:D,3,0)</f>
        <v>RM-FOOD</v>
      </c>
      <c r="J1692" s="66">
        <v>1</v>
      </c>
      <c r="K1692" s="35">
        <f t="shared" si="530"/>
        <v>5</v>
      </c>
      <c r="L1692" s="35">
        <f t="shared" si="531"/>
        <v>5</v>
      </c>
      <c r="M1692" s="77" cm="1">
        <f t="array" ref="M1692">_xlfn.IFS(BOM!I1692="RM-PACKING","100%",B1692="Reynolds",VLOOKUP(H1692,'Yield &amp; Time'!A:V,22,0),BOM!B1692="Dnata",VLOOKUP(BOM!H1692,'Yield &amp; Time'!A:M,13,0),B1692="NK",VLOOKUP(H1692,'Yield &amp; Time'!A:X,24,0))</f>
        <v>0.72</v>
      </c>
      <c r="N1692" s="35">
        <f t="shared" si="518"/>
        <v>6.9444444444444446</v>
      </c>
      <c r="O1692" s="1" t="str">
        <f>VLOOKUP(H1692,'RM Used'!A:E,5,0)</f>
        <v>KG</v>
      </c>
      <c r="P1692" s="11">
        <f>VLOOKUP(H1692,'RM Used'!A:F,6,0)</f>
        <v>0.38</v>
      </c>
      <c r="Q1692" s="11">
        <f t="shared" si="528"/>
        <v>2.6388888888888888</v>
      </c>
      <c r="R1692" s="11" cm="1">
        <f t="array" ref="R1692">IFERROR(_xlfn.IFS(B1692="Reynolds",VLOOKUP(H1692,'Yield &amp; Time'!A:U,21,0),B1692="Dnata",VLOOKUP(H1692,'Yield &amp; Time'!A:L,12,0),B1692="NK",VLOOKUP(H1692,'Yield &amp; Time'!A:W,23,0)),0)</f>
        <v>1.25</v>
      </c>
      <c r="S1692" s="11">
        <f t="shared" si="532"/>
        <v>2.1156249999999996</v>
      </c>
      <c r="T1692" s="11">
        <f t="shared" si="533"/>
        <v>0.10416666666666667</v>
      </c>
      <c r="U1692" s="11">
        <f>IF(A1691=A1692,0,VLOOKUP(A1692,'Packing Time'!A:F,6,0))</f>
        <v>1.1850000000000001</v>
      </c>
      <c r="V1692" s="11">
        <f t="shared" si="513"/>
        <v>0.40112249999999999</v>
      </c>
      <c r="W1692" s="11">
        <f t="shared" si="514"/>
        <v>1.975E-2</v>
      </c>
      <c r="X1692" s="11">
        <f t="shared" si="522"/>
        <v>4.026796</v>
      </c>
      <c r="Y1692" s="11">
        <f t="shared" si="515"/>
        <v>4.026796</v>
      </c>
      <c r="Z1692" s="37">
        <v>1</v>
      </c>
      <c r="AA1692" s="36">
        <f t="shared" si="523"/>
        <v>6.9444444444444446</v>
      </c>
      <c r="AB1692" s="11">
        <f t="shared" si="524"/>
        <v>2.6388888888888888</v>
      </c>
      <c r="AC1692" s="11">
        <f t="shared" si="525"/>
        <v>0.1982666666666667</v>
      </c>
      <c r="AD1692" s="36">
        <f t="shared" si="516"/>
        <v>4.026796</v>
      </c>
      <c r="AE1692" s="36"/>
      <c r="AF1692" s="36">
        <f>IFERROR(VLOOKUP(AE1692,'Chemical Cost'!A:D,4,0),0)</f>
        <v>0</v>
      </c>
      <c r="AG1692" s="114">
        <f t="shared" si="526"/>
        <v>0</v>
      </c>
      <c r="AH1692" s="36">
        <f t="shared" si="512"/>
        <v>0</v>
      </c>
      <c r="AI1692" s="36">
        <f t="shared" si="521"/>
        <v>6.6656848888888884</v>
      </c>
      <c r="AJ1692" s="36">
        <f>IFERROR(VLOOKUP(A1692,'All Products'!A:F,6,0),0)</f>
        <v>12.34</v>
      </c>
      <c r="AK1692" s="36"/>
      <c r="AL1692" s="23">
        <v>1</v>
      </c>
      <c r="AP1692" s="4">
        <v>1.6</v>
      </c>
      <c r="AQ1692" s="111">
        <f t="shared" si="527"/>
        <v>0.1982666666666667</v>
      </c>
      <c r="AR1692">
        <f>_xlfn.XLOOKUP(F1692,'RM Cost'!A:A,'RM Cost'!S:S)</f>
        <v>0</v>
      </c>
      <c r="AS1692" t="e">
        <f>_xlfn.XLOOKUP(A1692,[3]Sheet1!$B:$B,[3]Sheet1!$B:$B)</f>
        <v>#N/A</v>
      </c>
    </row>
    <row r="1693" spans="1:46" x14ac:dyDescent="0.25">
      <c r="A1693" t="str">
        <f>A1692</f>
        <v>N082CS</v>
      </c>
      <c r="B1693" t="str">
        <f>B1692</f>
        <v>NK</v>
      </c>
      <c r="C1693" t="str">
        <f>C1692</f>
        <v>Diced Carrot 20mm</v>
      </c>
      <c r="D1693" t="s">
        <v>554</v>
      </c>
      <c r="E1693" s="63">
        <f>E1692</f>
        <v>5</v>
      </c>
      <c r="F1693" s="1" t="str">
        <f>VLOOKUP(H1693,'RM Used'!A:B,2,0)</f>
        <v>P0008</v>
      </c>
      <c r="G1693" s="1" t="str">
        <f>IFERROR(VLOOKUP(F1693,'RM Cost'!A:B,2,0),"")</f>
        <v>PALE BLUE BAG 470X750MM</v>
      </c>
      <c r="H1693" s="1" t="s">
        <v>1323</v>
      </c>
      <c r="I1693" s="1" t="str">
        <f>VLOOKUP(F1693,'RM Used'!B:D,3,0)</f>
        <v>RM-PACKING</v>
      </c>
      <c r="J1693" s="66">
        <v>1</v>
      </c>
      <c r="K1693" s="35" t="str">
        <f t="shared" si="530"/>
        <v/>
      </c>
      <c r="L1693" s="35">
        <f t="shared" si="531"/>
        <v>0</v>
      </c>
      <c r="M1693" s="77" t="str" cm="1">
        <f t="array" ref="M1693">_xlfn.IFS(BOM!I1693="RM-PACKING","100%",B1693="Reynolds",VLOOKUP(H1693,'Yield &amp; Time'!A:V,22,0),BOM!B1693="Dnata",VLOOKUP(BOM!H1693,'Yield &amp; Time'!A:M,13,0),B1693="NK",VLOOKUP(H1693,'Yield &amp; Time'!A:X,24,0))</f>
        <v>100%</v>
      </c>
      <c r="N1693" s="35">
        <f t="shared" si="518"/>
        <v>1</v>
      </c>
      <c r="O1693" s="1" t="str">
        <f>VLOOKUP(H1693,'RM Used'!A:E,5,0)</f>
        <v>Count</v>
      </c>
      <c r="P1693" s="11">
        <f>VLOOKUP(H1693,'RM Used'!A:F,6,0)</f>
        <v>0.14000000000000001</v>
      </c>
      <c r="Q1693" s="11">
        <f t="shared" si="528"/>
        <v>0.14000000000000001</v>
      </c>
      <c r="R1693" s="11" cm="1">
        <f t="array" ref="R1693">IFERROR(_xlfn.IFS(B1693="Reynolds",VLOOKUP(H1693,'Yield &amp; Time'!A:U,21,0),B1693="Dnata",VLOOKUP(H1693,'Yield &amp; Time'!A:L,12,0),B1693="NK",VLOOKUP(H1693,'Yield &amp; Time'!A:W,23,0)),0)</f>
        <v>0</v>
      </c>
      <c r="S1693" s="11">
        <f t="shared" si="532"/>
        <v>0</v>
      </c>
      <c r="T1693" s="11">
        <f t="shared" si="533"/>
        <v>0</v>
      </c>
      <c r="U1693" s="11">
        <f>IF(A1692=A1693,0,VLOOKUP(A1693,'Packing Time'!A:F,6,0))</f>
        <v>0</v>
      </c>
      <c r="V1693" s="11">
        <f t="shared" si="513"/>
        <v>0</v>
      </c>
      <c r="W1693" s="11">
        <f t="shared" si="514"/>
        <v>0</v>
      </c>
      <c r="X1693" s="11">
        <f t="shared" si="522"/>
        <v>0</v>
      </c>
      <c r="Y1693" s="11">
        <f t="shared" si="515"/>
        <v>0</v>
      </c>
      <c r="Z1693" s="37">
        <v>1</v>
      </c>
      <c r="AA1693" s="36">
        <f t="shared" si="523"/>
        <v>1</v>
      </c>
      <c r="AB1693" s="11">
        <f t="shared" si="524"/>
        <v>0.14000000000000001</v>
      </c>
      <c r="AC1693" s="11">
        <f t="shared" si="525"/>
        <v>0</v>
      </c>
      <c r="AD1693" s="36">
        <f t="shared" si="516"/>
        <v>0</v>
      </c>
      <c r="AE1693" s="36"/>
      <c r="AF1693" s="36">
        <f>IFERROR(VLOOKUP(AE1693,'Chemical Cost'!A:D,4,0),0)</f>
        <v>0</v>
      </c>
      <c r="AG1693" s="114">
        <f t="shared" si="526"/>
        <v>0</v>
      </c>
      <c r="AH1693" s="36">
        <f t="shared" si="512"/>
        <v>0</v>
      </c>
      <c r="AI1693" s="36">
        <f t="shared" si="521"/>
        <v>0.14000000000000001</v>
      </c>
      <c r="AJ1693" s="36">
        <f>IFERROR(VLOOKUP(A1693,'All Products'!A:F,6,0),0)</f>
        <v>12.34</v>
      </c>
      <c r="AK1693" s="36"/>
      <c r="AL1693" s="23">
        <v>1</v>
      </c>
      <c r="AP1693" s="4">
        <v>1.6</v>
      </c>
      <c r="AQ1693" s="111">
        <f t="shared" si="527"/>
        <v>0</v>
      </c>
      <c r="AR1693">
        <f>_xlfn.XLOOKUP(F1693,'RM Cost'!A:A,'RM Cost'!S:S)</f>
        <v>0</v>
      </c>
      <c r="AS1693" t="e">
        <f>_xlfn.XLOOKUP(A1693,[3]Sheet1!$B:$B,[3]Sheet1!$B:$B)</f>
        <v>#N/A</v>
      </c>
    </row>
    <row r="1694" spans="1:46" x14ac:dyDescent="0.25">
      <c r="A1694" t="s">
        <v>4613</v>
      </c>
      <c r="B1694" s="2" t="s">
        <v>4377</v>
      </c>
      <c r="C1694" t="s">
        <v>4614</v>
      </c>
      <c r="D1694" s="2" t="s">
        <v>554</v>
      </c>
      <c r="E1694" s="63">
        <v>2.5</v>
      </c>
      <c r="F1694" s="1" t="str">
        <f>VLOOKUP(H1694,'RM Used'!A:B,2,0)</f>
        <v>3389CS</v>
      </c>
      <c r="G1694" s="1" t="str">
        <f>IFERROR(VLOOKUP(F1694,'RM Cost'!A:B,2,0),"")</f>
        <v>RM - PAK CHOI X2KG</v>
      </c>
      <c r="H1694" s="1" t="s">
        <v>4625</v>
      </c>
      <c r="I1694" s="1" t="str">
        <f>VLOOKUP(F1694,'RM Used'!B:D,3,0)</f>
        <v>RM-FOOD</v>
      </c>
      <c r="J1694" s="66">
        <v>1</v>
      </c>
      <c r="K1694" s="35">
        <f t="shared" si="530"/>
        <v>2.5</v>
      </c>
      <c r="L1694" s="35">
        <f t="shared" si="531"/>
        <v>2.5</v>
      </c>
      <c r="M1694" s="77" cm="1">
        <f t="array" ref="M1694">_xlfn.IFS(BOM!I1694="RM-PACKING","100%",B1694="Reynolds",VLOOKUP(H1694,'Yield &amp; Time'!A:V,22,0),BOM!B1694="Dnata",VLOOKUP(BOM!H1694,'Yield &amp; Time'!A:M,13,0),B1694="NK",VLOOKUP(H1694,'Yield &amp; Time'!A:X,24,0))</f>
        <v>0.87804878048780499</v>
      </c>
      <c r="N1694" s="35">
        <f t="shared" si="518"/>
        <v>2.8472222222222219</v>
      </c>
      <c r="O1694" s="1" t="str">
        <f>VLOOKUP(H1694,'RM Used'!A:E,5,0)</f>
        <v>KG</v>
      </c>
      <c r="P1694" s="11">
        <f>VLOOKUP(H1694,'RM Used'!A:F,6,0)</f>
        <v>1.81</v>
      </c>
      <c r="Q1694" s="11">
        <f t="shared" si="528"/>
        <v>5.1534722222222218</v>
      </c>
      <c r="R1694" s="11" cm="1">
        <f t="array" ref="R1694">IFERROR(_xlfn.IFS(B1694="Reynolds",VLOOKUP(H1694,'Yield &amp; Time'!A:U,21,0),B1694="Dnata",VLOOKUP(H1694,'Yield &amp; Time'!A:L,12,0),B1694="NK",VLOOKUP(H1694,'Yield &amp; Time'!A:W,23,0)),0)</f>
        <v>1.3</v>
      </c>
      <c r="S1694" s="11">
        <f t="shared" si="532"/>
        <v>1.1001249999999998</v>
      </c>
      <c r="T1694" s="11">
        <f t="shared" si="533"/>
        <v>5.4166666666666669E-2</v>
      </c>
      <c r="U1694" s="11">
        <f>IF(A1693=A1694,0,VLOOKUP(A1694,'Packing Time'!A:F,6,0))</f>
        <v>0.875</v>
      </c>
      <c r="V1694" s="11">
        <f t="shared" si="513"/>
        <v>0.29618749999999999</v>
      </c>
      <c r="W1694" s="11">
        <f t="shared" si="514"/>
        <v>1.4583333333333334E-2</v>
      </c>
      <c r="X1694" s="11">
        <f t="shared" si="522"/>
        <v>2.2340999999999998</v>
      </c>
      <c r="Y1694" s="11">
        <f t="shared" si="515"/>
        <v>2.2340999999999998</v>
      </c>
      <c r="Z1694" s="37">
        <v>1</v>
      </c>
      <c r="AA1694" s="36">
        <f t="shared" si="523"/>
        <v>2.8472222222222219</v>
      </c>
      <c r="AB1694" s="11">
        <f t="shared" si="524"/>
        <v>5.1534722222222218</v>
      </c>
      <c r="AC1694" s="11">
        <f t="shared" si="525"/>
        <v>0.11000000000000001</v>
      </c>
      <c r="AD1694" s="36">
        <f t="shared" si="516"/>
        <v>2.2340999999999998</v>
      </c>
      <c r="AE1694" s="36"/>
      <c r="AF1694" s="36">
        <f>IFERROR(VLOOKUP(AE1694,'Chemical Cost'!A:D,4,0),0)</f>
        <v>0</v>
      </c>
      <c r="AG1694" s="114">
        <f t="shared" si="526"/>
        <v>0</v>
      </c>
      <c r="AH1694" s="36">
        <f t="shared" si="512"/>
        <v>0</v>
      </c>
      <c r="AI1694" s="36">
        <f t="shared" si="521"/>
        <v>7.3875722222222215</v>
      </c>
      <c r="AJ1694" s="36">
        <f>IFERROR(VLOOKUP(A1694,'All Products'!A:F,6,0),0)</f>
        <v>13.88</v>
      </c>
      <c r="AK1694" s="36"/>
      <c r="AL1694" s="23">
        <v>1</v>
      </c>
      <c r="AP1694" s="4">
        <v>1.6</v>
      </c>
      <c r="AQ1694" s="111">
        <f t="shared" si="527"/>
        <v>0.11000000000000001</v>
      </c>
      <c r="AR1694">
        <f>_xlfn.XLOOKUP(F1694,'RM Cost'!A:A,'RM Cost'!S:S)</f>
        <v>0</v>
      </c>
      <c r="AS1694" t="str">
        <f>_xlfn.XLOOKUP(A1694,[3]Sheet1!$B:$B,[3]Sheet1!$B:$B)</f>
        <v>N086CS</v>
      </c>
      <c r="AT1694">
        <f>_xlfn.XLOOKUP(H1694,'Yield &amp; Time'!A:A,'Yield &amp; Time'!F:F)</f>
        <v>0</v>
      </c>
    </row>
    <row r="1695" spans="1:46" x14ac:dyDescent="0.25">
      <c r="A1695" t="str">
        <f>A1694</f>
        <v>N086CS</v>
      </c>
      <c r="B1695" t="str">
        <f>B1694</f>
        <v>NK</v>
      </c>
      <c r="C1695" t="str">
        <f>C1694</f>
        <v>Pak choi</v>
      </c>
      <c r="D1695" t="s">
        <v>554</v>
      </c>
      <c r="E1695" s="63">
        <f>E1694</f>
        <v>2.5</v>
      </c>
      <c r="F1695" s="1" t="str">
        <f>VLOOKUP(H1695,'RM Used'!A:B,2,0)</f>
        <v>P0008</v>
      </c>
      <c r="G1695" s="1" t="str">
        <f>IFERROR(VLOOKUP(F1695,'RM Cost'!A:B,2,0),"")</f>
        <v>PALE BLUE BAG 470X750MM</v>
      </c>
      <c r="H1695" s="2" t="s">
        <v>1323</v>
      </c>
      <c r="I1695" s="1" t="str">
        <f>VLOOKUP(F1695,'RM Used'!B:D,3,0)</f>
        <v>RM-PACKING</v>
      </c>
      <c r="J1695" s="66">
        <v>1</v>
      </c>
      <c r="K1695" s="35" t="str">
        <f t="shared" si="530"/>
        <v/>
      </c>
      <c r="L1695" s="35">
        <f t="shared" si="531"/>
        <v>0</v>
      </c>
      <c r="M1695" s="77" t="str" cm="1">
        <f t="array" ref="M1695">_xlfn.IFS(BOM!I1695="RM-PACKING","100%",B1695="Reynolds",VLOOKUP(H1695,'Yield &amp; Time'!A:V,22,0),BOM!B1695="Dnata",VLOOKUP(BOM!H1695,'Yield &amp; Time'!A:M,13,0),B1695="NK",VLOOKUP(H1695,'Yield &amp; Time'!A:X,24,0))</f>
        <v>100%</v>
      </c>
      <c r="N1695" s="35">
        <f t="shared" si="518"/>
        <v>1</v>
      </c>
      <c r="O1695" s="1" t="str">
        <f>VLOOKUP(H1695,'RM Used'!A:E,5,0)</f>
        <v>Count</v>
      </c>
      <c r="P1695" s="11">
        <f>VLOOKUP(H1695,'RM Used'!A:F,6,0)</f>
        <v>0.14000000000000001</v>
      </c>
      <c r="Q1695" s="11">
        <f t="shared" si="528"/>
        <v>0.14000000000000001</v>
      </c>
      <c r="R1695" s="11" cm="1">
        <f t="array" ref="R1695">IFERROR(_xlfn.IFS(B1695="Reynolds",VLOOKUP(H1695,'Yield &amp; Time'!A:U,21,0),B1695="Dnata",VLOOKUP(H1695,'Yield &amp; Time'!A:L,12,0),B1695="NK",VLOOKUP(H1695,'Yield &amp; Time'!A:W,23,0)),0)</f>
        <v>0</v>
      </c>
      <c r="S1695" s="11">
        <f t="shared" si="532"/>
        <v>0</v>
      </c>
      <c r="T1695" s="11">
        <f t="shared" si="533"/>
        <v>0</v>
      </c>
      <c r="U1695" s="11">
        <f>IF(A1694=A1695,0,VLOOKUP(A1695,'Packing Time'!A:F,6,0))</f>
        <v>0</v>
      </c>
      <c r="V1695" s="11">
        <f t="shared" si="513"/>
        <v>0</v>
      </c>
      <c r="W1695" s="11">
        <f t="shared" si="514"/>
        <v>0</v>
      </c>
      <c r="X1695" s="11">
        <f t="shared" si="522"/>
        <v>0</v>
      </c>
      <c r="Y1695" s="11">
        <f t="shared" si="515"/>
        <v>0</v>
      </c>
      <c r="Z1695" s="37">
        <v>1</v>
      </c>
      <c r="AA1695" s="36">
        <f t="shared" si="523"/>
        <v>1</v>
      </c>
      <c r="AB1695" s="11">
        <f t="shared" si="524"/>
        <v>0.14000000000000001</v>
      </c>
      <c r="AC1695" s="11">
        <f t="shared" si="525"/>
        <v>0</v>
      </c>
      <c r="AD1695" s="36">
        <f t="shared" si="516"/>
        <v>0</v>
      </c>
      <c r="AE1695" s="36"/>
      <c r="AF1695" s="36">
        <f>IFERROR(VLOOKUP(AE1695,'Chemical Cost'!A:D,4,0),0)</f>
        <v>0</v>
      </c>
      <c r="AG1695" s="114">
        <f t="shared" si="526"/>
        <v>0</v>
      </c>
      <c r="AH1695" s="36">
        <f t="shared" si="512"/>
        <v>0</v>
      </c>
      <c r="AI1695" s="36">
        <f t="shared" si="521"/>
        <v>0.14000000000000001</v>
      </c>
      <c r="AJ1695" s="36">
        <f>IFERROR(VLOOKUP(A1695,'All Products'!A:F,6,0),0)</f>
        <v>13.88</v>
      </c>
      <c r="AK1695" s="36"/>
      <c r="AL1695" s="23">
        <v>1</v>
      </c>
      <c r="AP1695" s="4">
        <v>1.6</v>
      </c>
      <c r="AQ1695" s="111">
        <f t="shared" si="527"/>
        <v>0</v>
      </c>
      <c r="AR1695">
        <f>_xlfn.XLOOKUP(F1695,'RM Cost'!A:A,'RM Cost'!S:S)</f>
        <v>0</v>
      </c>
      <c r="AS1695" t="str">
        <f>_xlfn.XLOOKUP(A1695,[3]Sheet1!$B:$B,[3]Sheet1!$B:$B)</f>
        <v>N086CS</v>
      </c>
      <c r="AT1695" t="e">
        <f>_xlfn.XLOOKUP(H1695,'Yield &amp; Time'!A:A,'Yield &amp; Time'!F:F)</f>
        <v>#N/A</v>
      </c>
    </row>
    <row r="1696" spans="1:46" x14ac:dyDescent="0.25">
      <c r="A1696" t="s">
        <v>4615</v>
      </c>
      <c r="B1696" s="2" t="s">
        <v>4377</v>
      </c>
      <c r="C1696" t="s">
        <v>4616</v>
      </c>
      <c r="D1696" s="2" t="s">
        <v>554</v>
      </c>
      <c r="E1696" s="63">
        <v>2.5</v>
      </c>
      <c r="F1696" s="1" t="str">
        <f>VLOOKUP(H1696,'RM Used'!A:B,2,0)</f>
        <v>3112CS</v>
      </c>
      <c r="G1696" s="1" t="str">
        <f>IFERROR(VLOOKUP(F1696,'RM Cost'!A:B,2,0),"")</f>
        <v>WHOLE LEAF CURLY KALE 5X1KG</v>
      </c>
      <c r="H1696" s="1" t="s">
        <v>4486</v>
      </c>
      <c r="I1696" s="1" t="str">
        <f>VLOOKUP(F1696,'RM Used'!B:D,3,0)</f>
        <v>RM-FOOD</v>
      </c>
      <c r="J1696" s="66">
        <v>1</v>
      </c>
      <c r="K1696" s="35">
        <f t="shared" si="530"/>
        <v>2.5</v>
      </c>
      <c r="L1696" s="35">
        <f t="shared" si="531"/>
        <v>2.5</v>
      </c>
      <c r="M1696" s="77" cm="1">
        <f t="array" ref="M1696">_xlfn.IFS(BOM!I1696="RM-PACKING","100%",B1696="Reynolds",VLOOKUP(H1696,'Yield &amp; Time'!A:V,22,0),BOM!B1696="Dnata",VLOOKUP(BOM!H1696,'Yield &amp; Time'!A:M,13,0),B1696="NK",VLOOKUP(H1696,'Yield &amp; Time'!A:X,24,0))</f>
        <v>0.7</v>
      </c>
      <c r="N1696" s="35">
        <f t="shared" si="518"/>
        <v>3.5714285714285716</v>
      </c>
      <c r="O1696" s="1" t="str">
        <f>VLOOKUP(H1696,'RM Used'!A:E,5,0)</f>
        <v>KG</v>
      </c>
      <c r="P1696" s="11">
        <f>VLOOKUP(H1696,'RM Used'!A:F,6,0)</f>
        <v>1.45</v>
      </c>
      <c r="Q1696" s="11">
        <f t="shared" si="528"/>
        <v>5.1785714285714288</v>
      </c>
      <c r="R1696" s="11" cm="1">
        <f t="array" ref="R1696">IFERROR(_xlfn.IFS(B1696="Reynolds",VLOOKUP(H1696,'Yield &amp; Time'!A:U,21,0),B1696="Dnata",VLOOKUP(H1696,'Yield &amp; Time'!A:L,12,0),B1696="NK",VLOOKUP(H1696,'Yield &amp; Time'!A:W,23,0)),0)</f>
        <v>4.17</v>
      </c>
      <c r="S1696" s="11">
        <f t="shared" si="532"/>
        <v>3.5288624999999998</v>
      </c>
      <c r="T1696" s="11">
        <f t="shared" si="533"/>
        <v>0.17375000000000002</v>
      </c>
      <c r="U1696" s="11">
        <f>IF(A1695=A1696,0,VLOOKUP(A1696,'Packing Time'!A:F,6,0))</f>
        <v>0.875</v>
      </c>
      <c r="V1696" s="11">
        <f t="shared" si="513"/>
        <v>0.29618749999999999</v>
      </c>
      <c r="W1696" s="11">
        <f t="shared" si="514"/>
        <v>1.4583333333333334E-2</v>
      </c>
      <c r="X1696" s="11">
        <f t="shared" si="522"/>
        <v>6.1200800000000006</v>
      </c>
      <c r="Y1696" s="11">
        <f t="shared" si="515"/>
        <v>6.1200800000000006</v>
      </c>
      <c r="Z1696" s="37">
        <v>1</v>
      </c>
      <c r="AA1696" s="36">
        <f t="shared" si="523"/>
        <v>3.5714285714285716</v>
      </c>
      <c r="AB1696" s="11">
        <f t="shared" si="524"/>
        <v>5.1785714285714288</v>
      </c>
      <c r="AC1696" s="11">
        <f t="shared" si="525"/>
        <v>0.3013333333333334</v>
      </c>
      <c r="AD1696" s="36">
        <f t="shared" si="516"/>
        <v>6.1200800000000015</v>
      </c>
      <c r="AE1696" s="36"/>
      <c r="AF1696" s="36">
        <f>IFERROR(VLOOKUP(AE1696,'Chemical Cost'!A:D,4,0),0)</f>
        <v>0</v>
      </c>
      <c r="AG1696" s="114">
        <f t="shared" si="526"/>
        <v>0</v>
      </c>
      <c r="AH1696" s="36">
        <f t="shared" si="512"/>
        <v>0</v>
      </c>
      <c r="AI1696" s="36">
        <f t="shared" si="521"/>
        <v>11.298651428571429</v>
      </c>
      <c r="AJ1696" s="36">
        <f>IFERROR(VLOOKUP(A1696,'All Products'!A:F,6,0),0)</f>
        <v>10.5</v>
      </c>
      <c r="AK1696" s="36"/>
      <c r="AL1696" s="23">
        <v>1</v>
      </c>
      <c r="AP1696" s="4">
        <v>1.6</v>
      </c>
      <c r="AQ1696" s="111">
        <f t="shared" si="527"/>
        <v>0.3013333333333334</v>
      </c>
      <c r="AR1696">
        <f>_xlfn.XLOOKUP(F1696,'RM Cost'!A:A,'RM Cost'!S:S)</f>
        <v>0</v>
      </c>
      <c r="AS1696" t="str">
        <f>_xlfn.XLOOKUP(A1696,[3]Sheet1!$B:$B,[3]Sheet1!$B:$B)</f>
        <v>N087CS</v>
      </c>
      <c r="AT1696">
        <f>_xlfn.XLOOKUP(H1696,'Yield &amp; Time'!A:A,'Yield &amp; Time'!F:F)</f>
        <v>0</v>
      </c>
    </row>
    <row r="1697" spans="1:46" x14ac:dyDescent="0.25">
      <c r="A1697" t="str">
        <f>A1696</f>
        <v>N087CS</v>
      </c>
      <c r="B1697" t="str">
        <f>B1696</f>
        <v>NK</v>
      </c>
      <c r="C1697" t="str">
        <f>C1696</f>
        <v>Chopped Kale</v>
      </c>
      <c r="D1697" t="s">
        <v>554</v>
      </c>
      <c r="E1697" s="63">
        <f>E1696</f>
        <v>2.5</v>
      </c>
      <c r="F1697" s="1" t="str">
        <f>VLOOKUP(H1697,'RM Used'!A:B,2,0)</f>
        <v>P0008</v>
      </c>
      <c r="G1697" s="1" t="str">
        <f>IFERROR(VLOOKUP(F1697,'RM Cost'!A:B,2,0),"")</f>
        <v>PALE BLUE BAG 470X750MM</v>
      </c>
      <c r="H1697" s="1" t="s">
        <v>1323</v>
      </c>
      <c r="I1697" s="1" t="str">
        <f>VLOOKUP(F1697,'RM Used'!B:D,3,0)</f>
        <v>RM-PACKING</v>
      </c>
      <c r="J1697" s="66">
        <v>1</v>
      </c>
      <c r="K1697" s="35" t="str">
        <f t="shared" si="530"/>
        <v/>
      </c>
      <c r="L1697" s="35">
        <f t="shared" si="531"/>
        <v>0</v>
      </c>
      <c r="M1697" s="77" t="str" cm="1">
        <f t="array" ref="M1697">_xlfn.IFS(BOM!I1697="RM-PACKING","100%",B1697="Reynolds",VLOOKUP(H1697,'Yield &amp; Time'!A:V,22,0),BOM!B1697="Dnata",VLOOKUP(BOM!H1697,'Yield &amp; Time'!A:M,13,0),B1697="NK",VLOOKUP(H1697,'Yield &amp; Time'!A:X,24,0))</f>
        <v>100%</v>
      </c>
      <c r="N1697" s="35">
        <f t="shared" si="518"/>
        <v>1</v>
      </c>
      <c r="O1697" s="1" t="str">
        <f>VLOOKUP(H1697,'RM Used'!A:E,5,0)</f>
        <v>Count</v>
      </c>
      <c r="P1697" s="11">
        <f>VLOOKUP(H1697,'RM Used'!A:F,6,0)</f>
        <v>0.14000000000000001</v>
      </c>
      <c r="Q1697" s="11">
        <f t="shared" si="528"/>
        <v>0.14000000000000001</v>
      </c>
      <c r="R1697" s="11" cm="1">
        <f t="array" ref="R1697">IFERROR(_xlfn.IFS(B1697="Reynolds",VLOOKUP(H1697,'Yield &amp; Time'!A:U,21,0),B1697="Dnata",VLOOKUP(H1697,'Yield &amp; Time'!A:L,12,0),B1697="NK",VLOOKUP(H1697,'Yield &amp; Time'!A:W,23,0)),0)</f>
        <v>0</v>
      </c>
      <c r="S1697" s="11">
        <f t="shared" si="532"/>
        <v>0</v>
      </c>
      <c r="T1697" s="11">
        <f t="shared" si="533"/>
        <v>0</v>
      </c>
      <c r="U1697" s="11">
        <f>IF(A1696=A1697,0,VLOOKUP(A1697,'Packing Time'!A:F,6,0))</f>
        <v>0</v>
      </c>
      <c r="V1697" s="11">
        <f t="shared" si="513"/>
        <v>0</v>
      </c>
      <c r="W1697" s="11">
        <f t="shared" si="514"/>
        <v>0</v>
      </c>
      <c r="X1697" s="11">
        <f t="shared" si="522"/>
        <v>0</v>
      </c>
      <c r="Y1697" s="11">
        <f t="shared" si="515"/>
        <v>0</v>
      </c>
      <c r="Z1697" s="37">
        <v>1</v>
      </c>
      <c r="AA1697" s="36">
        <f t="shared" si="523"/>
        <v>1</v>
      </c>
      <c r="AB1697" s="11">
        <f t="shared" si="524"/>
        <v>0.14000000000000001</v>
      </c>
      <c r="AC1697" s="11">
        <f t="shared" si="525"/>
        <v>0</v>
      </c>
      <c r="AD1697" s="36">
        <f t="shared" si="516"/>
        <v>0</v>
      </c>
      <c r="AE1697" s="36"/>
      <c r="AF1697" s="36">
        <f>IFERROR(VLOOKUP(AE1697,'Chemical Cost'!A:D,4,0),0)</f>
        <v>0</v>
      </c>
      <c r="AG1697" s="114">
        <f t="shared" si="526"/>
        <v>0</v>
      </c>
      <c r="AH1697" s="36">
        <f t="shared" si="512"/>
        <v>0</v>
      </c>
      <c r="AI1697" s="36">
        <f t="shared" si="521"/>
        <v>0.14000000000000001</v>
      </c>
      <c r="AJ1697" s="36">
        <f>IFERROR(VLOOKUP(A1697,'All Products'!A:F,6,0),0)</f>
        <v>10.5</v>
      </c>
      <c r="AK1697" s="36"/>
      <c r="AL1697" s="23">
        <v>1</v>
      </c>
      <c r="AP1697" s="4">
        <v>1.6</v>
      </c>
      <c r="AQ1697" s="111">
        <f t="shared" si="527"/>
        <v>0</v>
      </c>
      <c r="AR1697">
        <f>_xlfn.XLOOKUP(F1697,'RM Cost'!A:A,'RM Cost'!S:S)</f>
        <v>0</v>
      </c>
      <c r="AS1697" t="str">
        <f>_xlfn.XLOOKUP(A1697,[3]Sheet1!$B:$B,[3]Sheet1!$B:$B)</f>
        <v>N087CS</v>
      </c>
      <c r="AT1697" t="e">
        <f>_xlfn.XLOOKUP(H1697,'Yield &amp; Time'!A:A,'Yield &amp; Time'!F:F)</f>
        <v>#N/A</v>
      </c>
    </row>
    <row r="1698" spans="1:46" x14ac:dyDescent="0.25">
      <c r="A1698" t="s">
        <v>4617</v>
      </c>
      <c r="B1698" s="2" t="s">
        <v>4377</v>
      </c>
      <c r="C1698" t="s">
        <v>4618</v>
      </c>
      <c r="D1698" s="2" t="s">
        <v>554</v>
      </c>
      <c r="E1698" s="63">
        <v>2.5</v>
      </c>
      <c r="F1698" s="1" t="str">
        <f>VLOOKUP(H1698,'RM Used'!A:B,2,0)</f>
        <v>032ACS</v>
      </c>
      <c r="G1698" s="1" t="str">
        <f>IFERROR(VLOOKUP(F1698,'RM Cost'!A:B,2,0),"")</f>
        <v>RM - LRG PROCESSING CARROT X 1000KG</v>
      </c>
      <c r="H1698" s="1" t="s">
        <v>1351</v>
      </c>
      <c r="I1698" s="1" t="str">
        <f>VLOOKUP(F1698,'RM Used'!B:D,3,0)</f>
        <v>RM-FOOD</v>
      </c>
      <c r="J1698" s="66">
        <v>1</v>
      </c>
      <c r="K1698" s="35">
        <f t="shared" si="530"/>
        <v>2.5</v>
      </c>
      <c r="L1698" s="35">
        <f t="shared" si="531"/>
        <v>2.5</v>
      </c>
      <c r="M1698" s="77" cm="1">
        <f t="array" ref="M1698">_xlfn.IFS(BOM!I1698="RM-PACKING","100%",B1698="Reynolds",VLOOKUP(H1698,'Yield &amp; Time'!A:V,22,0),BOM!B1698="Dnata",VLOOKUP(BOM!H1698,'Yield &amp; Time'!A:M,13,0),B1698="NK",VLOOKUP(H1698,'Yield &amp; Time'!A:X,24,0))</f>
        <v>0.75</v>
      </c>
      <c r="N1698" s="35">
        <f t="shared" si="518"/>
        <v>3.3333333333333335</v>
      </c>
      <c r="O1698" s="1" t="str">
        <f>VLOOKUP(H1698,'RM Used'!A:E,5,0)</f>
        <v>KG</v>
      </c>
      <c r="P1698" s="11">
        <f>VLOOKUP(H1698,'RM Used'!A:F,6,0)</f>
        <v>0.38</v>
      </c>
      <c r="Q1698" s="11">
        <f t="shared" si="528"/>
        <v>1.2666666666666668</v>
      </c>
      <c r="R1698" s="11" cm="1">
        <f t="array" ref="R1698">IFERROR(_xlfn.IFS(B1698="Reynolds",VLOOKUP(H1698,'Yield &amp; Time'!A:U,21,0),B1698="Dnata",VLOOKUP(H1698,'Yield &amp; Time'!A:L,12,0),B1698="NK",VLOOKUP(H1698,'Yield &amp; Time'!A:W,23,0)),0)</f>
        <v>0.91</v>
      </c>
      <c r="S1698" s="11">
        <f t="shared" si="532"/>
        <v>0.77008749999999992</v>
      </c>
      <c r="T1698" s="11">
        <f t="shared" si="533"/>
        <v>3.7916666666666668E-2</v>
      </c>
      <c r="U1698" s="11">
        <f>IF(A1697=A1698,0,VLOOKUP(A1698,'Packing Time'!A:F,6,0))</f>
        <v>0.875</v>
      </c>
      <c r="V1698" s="11">
        <f t="shared" si="513"/>
        <v>0.29618749999999999</v>
      </c>
      <c r="W1698" s="11">
        <f t="shared" si="514"/>
        <v>1.4583333333333334E-2</v>
      </c>
      <c r="X1698" s="11">
        <f t="shared" si="522"/>
        <v>1.7060399999999998</v>
      </c>
      <c r="Y1698" s="11">
        <f t="shared" si="515"/>
        <v>1.7060399999999998</v>
      </c>
      <c r="Z1698" s="37">
        <v>1</v>
      </c>
      <c r="AA1698" s="36">
        <f t="shared" si="523"/>
        <v>3.3333333333333335</v>
      </c>
      <c r="AB1698" s="11">
        <f t="shared" si="524"/>
        <v>1.2666666666666668</v>
      </c>
      <c r="AC1698" s="11">
        <f t="shared" si="525"/>
        <v>8.4000000000000005E-2</v>
      </c>
      <c r="AD1698" s="36">
        <f t="shared" si="516"/>
        <v>1.7060399999999998</v>
      </c>
      <c r="AE1698" s="36"/>
      <c r="AF1698" s="36">
        <f>IFERROR(VLOOKUP(AE1698,'Chemical Cost'!A:D,4,0),0)</f>
        <v>0</v>
      </c>
      <c r="AG1698" s="114">
        <f t="shared" si="526"/>
        <v>0</v>
      </c>
      <c r="AH1698" s="36">
        <f t="shared" ref="AH1698:AH1743" si="534">AF1698*AA1698/3</f>
        <v>0</v>
      </c>
      <c r="AI1698" s="36">
        <f t="shared" si="521"/>
        <v>2.9727066666666664</v>
      </c>
      <c r="AJ1698" s="36">
        <f>IFERROR(VLOOKUP(A1698,'All Products'!A:F,6,0),0)</f>
        <v>7</v>
      </c>
      <c r="AK1698" s="36"/>
      <c r="AL1698" s="23">
        <v>1</v>
      </c>
      <c r="AP1698" s="4">
        <v>1.6</v>
      </c>
      <c r="AQ1698" s="111">
        <f t="shared" si="527"/>
        <v>8.4000000000000005E-2</v>
      </c>
      <c r="AR1698">
        <f>_xlfn.XLOOKUP(F1698,'RM Cost'!A:A,'RM Cost'!S:S)</f>
        <v>0</v>
      </c>
      <c r="AS1698" t="str">
        <f>_xlfn.XLOOKUP(A1698,[3]Sheet1!$B:$B,[3]Sheet1!$B:$B)</f>
        <v>N083CS</v>
      </c>
      <c r="AT1698" t="str">
        <f>_xlfn.XLOOKUP(H1698,'Yield &amp; Time'!A:A,'Yield &amp; Time'!O:O)</f>
        <v>Yes</v>
      </c>
    </row>
    <row r="1699" spans="1:46" x14ac:dyDescent="0.25">
      <c r="A1699" t="str">
        <f>A1698</f>
        <v>N083CS</v>
      </c>
      <c r="B1699" t="str">
        <f>B1698</f>
        <v>NK</v>
      </c>
      <c r="C1699" t="str">
        <f>C1698</f>
        <v>Carrot grated</v>
      </c>
      <c r="D1699" t="s">
        <v>554</v>
      </c>
      <c r="E1699" s="63">
        <f>E1698</f>
        <v>2.5</v>
      </c>
      <c r="F1699" s="1" t="str">
        <f>VLOOKUP(H1699,'RM Used'!A:B,2,0)</f>
        <v>P0008</v>
      </c>
      <c r="G1699" s="1" t="str">
        <f>IFERROR(VLOOKUP(F1699,'RM Cost'!A:B,2,0),"")</f>
        <v>PALE BLUE BAG 470X750MM</v>
      </c>
      <c r="H1699" s="1" t="s">
        <v>1323</v>
      </c>
      <c r="I1699" s="1" t="str">
        <f>VLOOKUP(F1699,'RM Used'!B:D,3,0)</f>
        <v>RM-PACKING</v>
      </c>
      <c r="J1699" s="66">
        <v>1</v>
      </c>
      <c r="K1699" s="35" t="str">
        <f t="shared" si="530"/>
        <v/>
      </c>
      <c r="L1699" s="35">
        <f t="shared" si="531"/>
        <v>0</v>
      </c>
      <c r="M1699" s="77" t="str" cm="1">
        <f t="array" ref="M1699">_xlfn.IFS(BOM!I1699="RM-PACKING","100%",B1699="Reynolds",VLOOKUP(H1699,'Yield &amp; Time'!A:V,22,0),BOM!B1699="Dnata",VLOOKUP(BOM!H1699,'Yield &amp; Time'!A:M,13,0),B1699="NK",VLOOKUP(H1699,'Yield &amp; Time'!A:X,24,0))</f>
        <v>100%</v>
      </c>
      <c r="N1699" s="35">
        <f t="shared" si="518"/>
        <v>1</v>
      </c>
      <c r="O1699" s="1" t="str">
        <f>VLOOKUP(H1699,'RM Used'!A:E,5,0)</f>
        <v>Count</v>
      </c>
      <c r="P1699" s="11">
        <f>VLOOKUP(H1699,'RM Used'!A:F,6,0)</f>
        <v>0.14000000000000001</v>
      </c>
      <c r="Q1699" s="11">
        <f t="shared" si="528"/>
        <v>0.14000000000000001</v>
      </c>
      <c r="R1699" s="11" cm="1">
        <f t="array" ref="R1699">IFERROR(_xlfn.IFS(B1699="Reynolds",VLOOKUP(H1699,'Yield &amp; Time'!A:U,21,0),B1699="Dnata",VLOOKUP(H1699,'Yield &amp; Time'!A:L,12,0),B1699="NK",VLOOKUP(H1699,'Yield &amp; Time'!A:W,23,0)),0)</f>
        <v>0</v>
      </c>
      <c r="S1699" s="11">
        <f t="shared" si="532"/>
        <v>0</v>
      </c>
      <c r="T1699" s="11">
        <f t="shared" si="533"/>
        <v>0</v>
      </c>
      <c r="U1699" s="11">
        <f>IF(A1698=A1699,0,VLOOKUP(A1699,'Packing Time'!A:F,6,0))</f>
        <v>0</v>
      </c>
      <c r="V1699" s="11">
        <f t="shared" si="513"/>
        <v>0</v>
      </c>
      <c r="W1699" s="11">
        <f t="shared" si="514"/>
        <v>0</v>
      </c>
      <c r="X1699" s="11">
        <f t="shared" si="522"/>
        <v>0</v>
      </c>
      <c r="Y1699" s="11">
        <f t="shared" si="515"/>
        <v>0</v>
      </c>
      <c r="Z1699" s="37">
        <v>1</v>
      </c>
      <c r="AA1699" s="36">
        <f t="shared" si="523"/>
        <v>1</v>
      </c>
      <c r="AB1699" s="11">
        <f t="shared" si="524"/>
        <v>0.14000000000000001</v>
      </c>
      <c r="AC1699" s="11">
        <f t="shared" si="525"/>
        <v>0</v>
      </c>
      <c r="AD1699" s="36">
        <f t="shared" si="516"/>
        <v>0</v>
      </c>
      <c r="AE1699" s="36"/>
      <c r="AF1699" s="36">
        <f>IFERROR(VLOOKUP(AE1699,'Chemical Cost'!A:D,4,0),0)</f>
        <v>0</v>
      </c>
      <c r="AG1699" s="114">
        <f t="shared" si="526"/>
        <v>0</v>
      </c>
      <c r="AH1699" s="36">
        <f t="shared" si="534"/>
        <v>0</v>
      </c>
      <c r="AI1699" s="36">
        <f t="shared" si="521"/>
        <v>0.14000000000000001</v>
      </c>
      <c r="AJ1699" s="36">
        <f>IFERROR(VLOOKUP(A1699,'All Products'!A:F,6,0),0)</f>
        <v>7</v>
      </c>
      <c r="AK1699" s="36"/>
      <c r="AL1699" s="23">
        <v>1</v>
      </c>
      <c r="AP1699" s="4">
        <v>1.6</v>
      </c>
      <c r="AQ1699" s="111">
        <f t="shared" si="527"/>
        <v>0</v>
      </c>
      <c r="AR1699">
        <f>_xlfn.XLOOKUP(F1699,'RM Cost'!A:A,'RM Cost'!S:S)</f>
        <v>0</v>
      </c>
      <c r="AS1699" t="str">
        <f>_xlfn.XLOOKUP(A1699,[3]Sheet1!$B:$B,[3]Sheet1!$B:$B)</f>
        <v>N083CS</v>
      </c>
      <c r="AT1699" t="e">
        <f>_xlfn.XLOOKUP(H1699,'Yield &amp; Time'!A:A,'Yield &amp; Time'!F:F)</f>
        <v>#N/A</v>
      </c>
    </row>
    <row r="1700" spans="1:46" x14ac:dyDescent="0.25">
      <c r="A1700" t="s">
        <v>4619</v>
      </c>
      <c r="B1700" s="2" t="s">
        <v>4377</v>
      </c>
      <c r="C1700" t="s">
        <v>4487</v>
      </c>
      <c r="D1700" s="2" t="s">
        <v>554</v>
      </c>
      <c r="E1700" s="63">
        <v>2.5</v>
      </c>
      <c r="F1700" s="1" t="str">
        <f>VLOOKUP(H1700,'RM Used'!A:B,2,0)</f>
        <v>3106CS</v>
      </c>
      <c r="G1700" s="1" t="str">
        <f>IFERROR(VLOOKUP(F1700,'RM Cost'!A:B,2,0),"")</f>
        <v>RM - FENNEL X5KG</v>
      </c>
      <c r="H1700" s="1" t="s">
        <v>4487</v>
      </c>
      <c r="I1700" s="1" t="str">
        <f>VLOOKUP(F1700,'RM Used'!B:D,3,0)</f>
        <v>RM-FOOD</v>
      </c>
      <c r="J1700" s="66">
        <v>1</v>
      </c>
      <c r="K1700" s="35">
        <f t="shared" si="530"/>
        <v>2.5</v>
      </c>
      <c r="L1700" s="35">
        <f t="shared" si="531"/>
        <v>2.5</v>
      </c>
      <c r="M1700" s="77" cm="1">
        <f t="array" ref="M1700">_xlfn.IFS(BOM!I1700="RM-PACKING","100%",B1700="Reynolds",VLOOKUP(H1700,'Yield &amp; Time'!A:V,22,0),BOM!B1700="Dnata",VLOOKUP(BOM!H1700,'Yield &amp; Time'!A:M,13,0),B1700="NK",VLOOKUP(H1700,'Yield &amp; Time'!A:X,24,0))</f>
        <v>0.63</v>
      </c>
      <c r="N1700" s="35">
        <f t="shared" si="518"/>
        <v>3.9682539682539684</v>
      </c>
      <c r="O1700" s="1" t="str">
        <f>VLOOKUP(H1700,'RM Used'!A:E,5,0)</f>
        <v>KG</v>
      </c>
      <c r="P1700" s="11">
        <f>VLOOKUP(H1700,'RM Used'!A:F,6,0)</f>
        <v>1.41</v>
      </c>
      <c r="Q1700" s="11">
        <f t="shared" si="528"/>
        <v>5.5952380952380949</v>
      </c>
      <c r="R1700" s="11" cm="1">
        <f t="array" ref="R1700">IFERROR(_xlfn.IFS(B1700="Reynolds",VLOOKUP(H1700,'Yield &amp; Time'!A:U,21,0),B1700="Dnata",VLOOKUP(H1700,'Yield &amp; Time'!A:L,12,0),B1700="NK",VLOOKUP(H1700,'Yield &amp; Time'!A:W,23,0)),0)</f>
        <v>2.46</v>
      </c>
      <c r="S1700" s="11">
        <f t="shared" si="532"/>
        <v>2.0817749999999999</v>
      </c>
      <c r="T1700" s="11">
        <f t="shared" si="533"/>
        <v>0.10250000000000001</v>
      </c>
      <c r="U1700" s="11">
        <f>IF(A1699=A1700,0,VLOOKUP(A1700,'Packing Time'!A:F,6,0))</f>
        <v>0.875</v>
      </c>
      <c r="V1700" s="11">
        <f t="shared" si="513"/>
        <v>0.29618749999999999</v>
      </c>
      <c r="W1700" s="11">
        <f t="shared" si="514"/>
        <v>1.4583333333333334E-2</v>
      </c>
      <c r="X1700" s="11">
        <f t="shared" si="522"/>
        <v>3.8047399999999998</v>
      </c>
      <c r="Y1700" s="11">
        <f t="shared" si="515"/>
        <v>3.8047399999999998</v>
      </c>
      <c r="Z1700" s="37">
        <v>1</v>
      </c>
      <c r="AA1700" s="36">
        <f t="shared" si="523"/>
        <v>3.9682539682539684</v>
      </c>
      <c r="AB1700" s="11">
        <f t="shared" si="524"/>
        <v>5.5952380952380949</v>
      </c>
      <c r="AC1700" s="11">
        <f t="shared" si="525"/>
        <v>0.18733333333333335</v>
      </c>
      <c r="AD1700" s="36">
        <f t="shared" si="516"/>
        <v>3.8047400000000002</v>
      </c>
      <c r="AE1700" s="36"/>
      <c r="AF1700" s="36">
        <f>IFERROR(VLOOKUP(AE1700,'Chemical Cost'!A:D,4,0),0)</f>
        <v>0</v>
      </c>
      <c r="AG1700" s="114">
        <f t="shared" si="526"/>
        <v>0</v>
      </c>
      <c r="AH1700" s="36">
        <f t="shared" si="534"/>
        <v>0</v>
      </c>
      <c r="AI1700" s="36">
        <f t="shared" si="521"/>
        <v>9.3999780952380938</v>
      </c>
      <c r="AJ1700" s="36">
        <f>IFERROR(VLOOKUP(A1700,'All Products'!A:F,6,0),0)</f>
        <v>13.3</v>
      </c>
      <c r="AK1700" s="36"/>
      <c r="AL1700" s="23">
        <v>1</v>
      </c>
      <c r="AP1700" s="4">
        <v>1.6</v>
      </c>
      <c r="AQ1700" s="111">
        <f t="shared" si="527"/>
        <v>0.18733333333333335</v>
      </c>
      <c r="AR1700">
        <f>_xlfn.XLOOKUP(F1700,'RM Cost'!A:A,'RM Cost'!S:S)</f>
        <v>0</v>
      </c>
      <c r="AS1700" t="str">
        <f>_xlfn.XLOOKUP(A1700,[3]Sheet1!$B:$B,[3]Sheet1!$B:$B)</f>
        <v>N088CS</v>
      </c>
      <c r="AT1700">
        <f>_xlfn.XLOOKUP(H1700,'Yield &amp; Time'!A:A,'Yield &amp; Time'!F:F)</f>
        <v>0</v>
      </c>
    </row>
    <row r="1701" spans="1:46" x14ac:dyDescent="0.25">
      <c r="A1701" t="str">
        <f>A1700</f>
        <v>N088CS</v>
      </c>
      <c r="B1701" t="str">
        <f>B1700</f>
        <v>NK</v>
      </c>
      <c r="C1701" t="str">
        <f>C1700</f>
        <v>Diced fennel 5mm</v>
      </c>
      <c r="D1701" t="s">
        <v>554</v>
      </c>
      <c r="E1701" s="63">
        <f>E1700</f>
        <v>2.5</v>
      </c>
      <c r="F1701" s="1" t="str">
        <f>VLOOKUP(H1701,'RM Used'!A:B,2,0)</f>
        <v>P0008</v>
      </c>
      <c r="G1701" s="1" t="str">
        <f>IFERROR(VLOOKUP(F1701,'RM Cost'!A:B,2,0),"")</f>
        <v>PALE BLUE BAG 470X750MM</v>
      </c>
      <c r="H1701" s="1" t="s">
        <v>1323</v>
      </c>
      <c r="I1701" s="1" t="str">
        <f>VLOOKUP(F1701,'RM Used'!B:D,3,0)</f>
        <v>RM-PACKING</v>
      </c>
      <c r="J1701" s="66">
        <v>1</v>
      </c>
      <c r="K1701" s="35" t="str">
        <f t="shared" si="530"/>
        <v/>
      </c>
      <c r="L1701" s="35">
        <f t="shared" si="531"/>
        <v>0</v>
      </c>
      <c r="M1701" s="77" t="str" cm="1">
        <f t="array" ref="M1701">_xlfn.IFS(BOM!I1701="RM-PACKING","100%",B1701="Reynolds",VLOOKUP(H1701,'Yield &amp; Time'!A:V,22,0),BOM!B1701="Dnata",VLOOKUP(BOM!H1701,'Yield &amp; Time'!A:M,13,0),B1701="NK",VLOOKUP(H1701,'Yield &amp; Time'!A:X,24,0))</f>
        <v>100%</v>
      </c>
      <c r="N1701" s="35">
        <f t="shared" si="518"/>
        <v>1</v>
      </c>
      <c r="O1701" s="1" t="str">
        <f>VLOOKUP(H1701,'RM Used'!A:E,5,0)</f>
        <v>Count</v>
      </c>
      <c r="P1701" s="11">
        <f>VLOOKUP(H1701,'RM Used'!A:F,6,0)</f>
        <v>0.14000000000000001</v>
      </c>
      <c r="Q1701" s="11">
        <f t="shared" si="528"/>
        <v>0.14000000000000001</v>
      </c>
      <c r="R1701" s="11" cm="1">
        <f t="array" ref="R1701">IFERROR(_xlfn.IFS(B1701="Reynolds",VLOOKUP(H1701,'Yield &amp; Time'!A:U,21,0),B1701="Dnata",VLOOKUP(H1701,'Yield &amp; Time'!A:L,12,0),B1701="NK",VLOOKUP(H1701,'Yield &amp; Time'!A:W,23,0)),0)</f>
        <v>0</v>
      </c>
      <c r="S1701" s="11">
        <f t="shared" si="532"/>
        <v>0</v>
      </c>
      <c r="T1701" s="11">
        <f t="shared" si="533"/>
        <v>0</v>
      </c>
      <c r="U1701" s="11">
        <f>IF(A1700=A1701,0,VLOOKUP(A1701,'Packing Time'!A:F,6,0))</f>
        <v>0</v>
      </c>
      <c r="V1701" s="11">
        <f t="shared" si="513"/>
        <v>0</v>
      </c>
      <c r="W1701" s="11">
        <f t="shared" si="514"/>
        <v>0</v>
      </c>
      <c r="X1701" s="11">
        <f t="shared" si="522"/>
        <v>0</v>
      </c>
      <c r="Y1701" s="11">
        <f t="shared" si="515"/>
        <v>0</v>
      </c>
      <c r="Z1701" s="37">
        <v>1</v>
      </c>
      <c r="AA1701" s="36">
        <f t="shared" si="523"/>
        <v>1</v>
      </c>
      <c r="AB1701" s="11">
        <f t="shared" si="524"/>
        <v>0.14000000000000001</v>
      </c>
      <c r="AC1701" s="11">
        <f t="shared" si="525"/>
        <v>0</v>
      </c>
      <c r="AD1701" s="36">
        <f t="shared" si="516"/>
        <v>0</v>
      </c>
      <c r="AE1701" s="36"/>
      <c r="AF1701" s="36">
        <f>IFERROR(VLOOKUP(AE1701,'Chemical Cost'!A:D,4,0),0)</f>
        <v>0</v>
      </c>
      <c r="AG1701" s="114">
        <f t="shared" si="526"/>
        <v>0</v>
      </c>
      <c r="AH1701" s="36">
        <f t="shared" si="534"/>
        <v>0</v>
      </c>
      <c r="AI1701" s="36">
        <f t="shared" si="521"/>
        <v>0.14000000000000001</v>
      </c>
      <c r="AJ1701" s="36">
        <f>IFERROR(VLOOKUP(A1701,'All Products'!A:F,6,0),0)</f>
        <v>13.3</v>
      </c>
      <c r="AK1701" s="36"/>
      <c r="AL1701" s="23">
        <v>1</v>
      </c>
      <c r="AP1701" s="4">
        <v>1.6</v>
      </c>
      <c r="AQ1701" s="111">
        <f t="shared" si="527"/>
        <v>0</v>
      </c>
      <c r="AR1701">
        <f>_xlfn.XLOOKUP(F1701,'RM Cost'!A:A,'RM Cost'!S:S)</f>
        <v>0</v>
      </c>
      <c r="AS1701" t="str">
        <f>_xlfn.XLOOKUP(A1701,[3]Sheet1!$B:$B,[3]Sheet1!$B:$B)</f>
        <v>N088CS</v>
      </c>
      <c r="AT1701" t="e">
        <f>_xlfn.XLOOKUP(H1701,'Yield &amp; Time'!A:A,'Yield &amp; Time'!F:F)</f>
        <v>#N/A</v>
      </c>
    </row>
    <row r="1702" spans="1:46" x14ac:dyDescent="0.25">
      <c r="A1702" t="s">
        <v>4620</v>
      </c>
      <c r="B1702" s="2" t="s">
        <v>4377</v>
      </c>
      <c r="C1702" t="s">
        <v>4488</v>
      </c>
      <c r="D1702" s="2" t="s">
        <v>554</v>
      </c>
      <c r="E1702" s="63">
        <v>2.5</v>
      </c>
      <c r="F1702" s="1" t="str">
        <f>VLOOKUP(H1702,'RM Used'!A:B,2,0)</f>
        <v>3106CS</v>
      </c>
      <c r="G1702" s="1" t="str">
        <f>IFERROR(VLOOKUP(F1702,'RM Cost'!A:B,2,0),"")</f>
        <v>RM - FENNEL X5KG</v>
      </c>
      <c r="H1702" s="1" t="s">
        <v>4488</v>
      </c>
      <c r="I1702" s="1" t="str">
        <f>VLOOKUP(F1702,'RM Used'!B:D,3,0)</f>
        <v>RM-FOOD</v>
      </c>
      <c r="J1702" s="66">
        <v>1</v>
      </c>
      <c r="K1702" s="35">
        <f t="shared" si="530"/>
        <v>2.5</v>
      </c>
      <c r="L1702" s="35">
        <f t="shared" si="531"/>
        <v>2.5</v>
      </c>
      <c r="M1702" s="77" cm="1">
        <f t="array" ref="M1702">_xlfn.IFS(BOM!I1702="RM-PACKING","100%",B1702="Reynolds",VLOOKUP(H1702,'Yield &amp; Time'!A:V,22,0),BOM!B1702="Dnata",VLOOKUP(BOM!H1702,'Yield &amp; Time'!A:M,13,0),B1702="NK",VLOOKUP(H1702,'Yield &amp; Time'!A:X,24,0))</f>
        <v>0.54</v>
      </c>
      <c r="N1702" s="35">
        <f t="shared" si="518"/>
        <v>4.6296296296296298</v>
      </c>
      <c r="O1702" s="1" t="str">
        <f>VLOOKUP(H1702,'RM Used'!A:E,5,0)</f>
        <v>KG</v>
      </c>
      <c r="P1702" s="11">
        <f>VLOOKUP(H1702,'RM Used'!A:F,6,0)</f>
        <v>1.41</v>
      </c>
      <c r="Q1702" s="11">
        <f t="shared" si="528"/>
        <v>6.5277777777777777</v>
      </c>
      <c r="R1702" s="11" cm="1">
        <f t="array" ref="R1702">IFERROR(_xlfn.IFS(B1702="Reynolds",VLOOKUP(H1702,'Yield &amp; Time'!A:U,21,0),B1702="Dnata",VLOOKUP(H1702,'Yield &amp; Time'!A:L,12,0),B1702="NK",VLOOKUP(H1702,'Yield &amp; Time'!A:W,23,0)),0)</f>
        <v>8.9</v>
      </c>
      <c r="S1702" s="11">
        <f t="shared" si="532"/>
        <v>7.5316249999999991</v>
      </c>
      <c r="T1702" s="11">
        <f t="shared" si="533"/>
        <v>0.37083333333333335</v>
      </c>
      <c r="U1702" s="11">
        <f>IF(A1701=A1702,0,VLOOKUP(A1702,'Packing Time'!A:F,6,0))</f>
        <v>0.875</v>
      </c>
      <c r="V1702" s="11">
        <f t="shared" si="513"/>
        <v>0.29618749999999999</v>
      </c>
      <c r="W1702" s="11">
        <f t="shared" si="514"/>
        <v>1.4583333333333334E-2</v>
      </c>
      <c r="X1702" s="11">
        <f t="shared" si="522"/>
        <v>12.5245</v>
      </c>
      <c r="Y1702" s="11">
        <f t="shared" si="515"/>
        <v>12.5245</v>
      </c>
      <c r="Z1702" s="37">
        <v>1</v>
      </c>
      <c r="AA1702" s="36">
        <f t="shared" si="523"/>
        <v>4.6296296296296298</v>
      </c>
      <c r="AB1702" s="11">
        <f t="shared" si="524"/>
        <v>6.5277777777777777</v>
      </c>
      <c r="AC1702" s="11">
        <f t="shared" si="525"/>
        <v>0.6166666666666667</v>
      </c>
      <c r="AD1702" s="36">
        <f t="shared" si="516"/>
        <v>12.524499999999998</v>
      </c>
      <c r="AE1702" s="36"/>
      <c r="AF1702" s="36">
        <f>IFERROR(VLOOKUP(AE1702,'Chemical Cost'!A:D,4,0),0)</f>
        <v>0</v>
      </c>
      <c r="AG1702" s="114">
        <f t="shared" si="526"/>
        <v>0</v>
      </c>
      <c r="AH1702" s="36">
        <f t="shared" si="534"/>
        <v>0</v>
      </c>
      <c r="AI1702" s="36">
        <f t="shared" si="521"/>
        <v>19.052277777777778</v>
      </c>
      <c r="AJ1702" s="36">
        <f>IFERROR(VLOOKUP(A1702,'All Products'!A:F,6,0),0)</f>
        <v>15</v>
      </c>
      <c r="AK1702" s="36"/>
      <c r="AL1702" s="23">
        <v>1</v>
      </c>
      <c r="AP1702" s="4">
        <v>1.6</v>
      </c>
      <c r="AQ1702" s="111">
        <f t="shared" si="527"/>
        <v>0.6166666666666667</v>
      </c>
      <c r="AR1702">
        <f>_xlfn.XLOOKUP(F1702,'RM Cost'!A:A,'RM Cost'!S:S)</f>
        <v>0</v>
      </c>
      <c r="AS1702" t="str">
        <f>_xlfn.XLOOKUP(A1702,[3]Sheet1!$B:$B,[3]Sheet1!$B:$B)</f>
        <v>N089CS</v>
      </c>
      <c r="AT1702">
        <f>_xlfn.XLOOKUP(H1702,'Yield &amp; Time'!A:A,'Yield &amp; Time'!F:F)</f>
        <v>0</v>
      </c>
    </row>
    <row r="1703" spans="1:46" x14ac:dyDescent="0.25">
      <c r="A1703" t="str">
        <f>A1702</f>
        <v>N089CS</v>
      </c>
      <c r="B1703" t="str">
        <f>B1702</f>
        <v>NK</v>
      </c>
      <c r="C1703" t="str">
        <f>C1702</f>
        <v>Diced Fennel 12mm</v>
      </c>
      <c r="D1703" t="s">
        <v>554</v>
      </c>
      <c r="E1703" s="63">
        <f>E1702</f>
        <v>2.5</v>
      </c>
      <c r="F1703" s="1" t="str">
        <f>VLOOKUP(H1703,'RM Used'!A:B,2,0)</f>
        <v>P0008</v>
      </c>
      <c r="G1703" s="1" t="str">
        <f>IFERROR(VLOOKUP(F1703,'RM Cost'!A:B,2,0),"")</f>
        <v>PALE BLUE BAG 470X750MM</v>
      </c>
      <c r="H1703" s="1" t="s">
        <v>1323</v>
      </c>
      <c r="I1703" s="1" t="str">
        <f>VLOOKUP(F1703,'RM Used'!B:D,3,0)</f>
        <v>RM-PACKING</v>
      </c>
      <c r="J1703" s="66">
        <v>1</v>
      </c>
      <c r="K1703" s="35" t="str">
        <f t="shared" si="530"/>
        <v/>
      </c>
      <c r="L1703" s="35">
        <f t="shared" si="531"/>
        <v>0</v>
      </c>
      <c r="M1703" s="77" t="str" cm="1">
        <f t="array" ref="M1703">_xlfn.IFS(BOM!I1703="RM-PACKING","100%",B1703="Reynolds",VLOOKUP(H1703,'Yield &amp; Time'!A:V,22,0),BOM!B1703="Dnata",VLOOKUP(BOM!H1703,'Yield &amp; Time'!A:M,13,0),B1703="NK",VLOOKUP(H1703,'Yield &amp; Time'!A:X,24,0))</f>
        <v>100%</v>
      </c>
      <c r="N1703" s="35">
        <f t="shared" si="518"/>
        <v>1</v>
      </c>
      <c r="O1703" s="1" t="str">
        <f>VLOOKUP(H1703,'RM Used'!A:E,5,0)</f>
        <v>Count</v>
      </c>
      <c r="P1703" s="11">
        <f>VLOOKUP(H1703,'RM Used'!A:F,6,0)</f>
        <v>0.14000000000000001</v>
      </c>
      <c r="Q1703" s="11">
        <f t="shared" si="528"/>
        <v>0.14000000000000001</v>
      </c>
      <c r="R1703" s="11" cm="1">
        <f t="array" ref="R1703">IFERROR(_xlfn.IFS(B1703="Reynolds",VLOOKUP(H1703,'Yield &amp; Time'!A:U,21,0),B1703="Dnata",VLOOKUP(H1703,'Yield &amp; Time'!A:L,12,0),B1703="NK",VLOOKUP(H1703,'Yield &amp; Time'!A:W,23,0)),0)</f>
        <v>0</v>
      </c>
      <c r="S1703" s="11">
        <f t="shared" si="532"/>
        <v>0</v>
      </c>
      <c r="T1703" s="11">
        <f t="shared" si="533"/>
        <v>0</v>
      </c>
      <c r="U1703" s="11">
        <f>IF(A1702=A1703,0,VLOOKUP(A1703,'Packing Time'!A:F,6,0))</f>
        <v>0</v>
      </c>
      <c r="V1703" s="11">
        <f t="shared" si="513"/>
        <v>0</v>
      </c>
      <c r="W1703" s="11">
        <f t="shared" si="514"/>
        <v>0</v>
      </c>
      <c r="X1703" s="11">
        <f t="shared" si="522"/>
        <v>0</v>
      </c>
      <c r="Y1703" s="11">
        <f t="shared" si="515"/>
        <v>0</v>
      </c>
      <c r="Z1703" s="37">
        <v>1</v>
      </c>
      <c r="AA1703" s="36">
        <f t="shared" si="523"/>
        <v>1</v>
      </c>
      <c r="AB1703" s="11">
        <f t="shared" si="524"/>
        <v>0.14000000000000001</v>
      </c>
      <c r="AC1703" s="11">
        <f t="shared" si="525"/>
        <v>0</v>
      </c>
      <c r="AD1703" s="36">
        <f t="shared" si="516"/>
        <v>0</v>
      </c>
      <c r="AE1703" s="36"/>
      <c r="AF1703" s="36">
        <f>IFERROR(VLOOKUP(AE1703,'Chemical Cost'!A:D,4,0),0)</f>
        <v>0</v>
      </c>
      <c r="AG1703" s="114">
        <f t="shared" si="526"/>
        <v>0</v>
      </c>
      <c r="AH1703" s="36">
        <f t="shared" si="534"/>
        <v>0</v>
      </c>
      <c r="AI1703" s="36">
        <f t="shared" si="521"/>
        <v>0.14000000000000001</v>
      </c>
      <c r="AJ1703" s="36">
        <f>IFERROR(VLOOKUP(A1703,'All Products'!A:F,6,0),0)</f>
        <v>15</v>
      </c>
      <c r="AK1703" s="36"/>
      <c r="AL1703" s="23">
        <v>1</v>
      </c>
      <c r="AP1703" s="4">
        <v>1.6</v>
      </c>
      <c r="AQ1703" s="111">
        <f t="shared" si="527"/>
        <v>0</v>
      </c>
      <c r="AR1703">
        <f>_xlfn.XLOOKUP(F1703,'RM Cost'!A:A,'RM Cost'!S:S)</f>
        <v>0</v>
      </c>
      <c r="AS1703" t="str">
        <f>_xlfn.XLOOKUP(A1703,[3]Sheet1!$B:$B,[3]Sheet1!$B:$B)</f>
        <v>N089CS</v>
      </c>
      <c r="AT1703" t="e">
        <f>_xlfn.XLOOKUP(H1703,'Yield &amp; Time'!A:A,'Yield &amp; Time'!F:F)</f>
        <v>#N/A</v>
      </c>
    </row>
    <row r="1704" spans="1:46" x14ac:dyDescent="0.25">
      <c r="A1704" t="s">
        <v>4621</v>
      </c>
      <c r="B1704" s="2" t="s">
        <v>4377</v>
      </c>
      <c r="C1704" t="s">
        <v>4622</v>
      </c>
      <c r="D1704" s="2" t="s">
        <v>554</v>
      </c>
      <c r="E1704" s="63">
        <v>2.5</v>
      </c>
      <c r="F1704" s="1" t="str">
        <f>VLOOKUP(H1704,'RM Used'!A:B,2,0)</f>
        <v>3020CS</v>
      </c>
      <c r="G1704" s="1" t="str">
        <f>IFERROR(VLOOKUP(F1704,'RM Cost'!A:B,2,0),"")</f>
        <v>RM - CELERIAC 10KG</v>
      </c>
      <c r="H1704" s="1" t="s">
        <v>1500</v>
      </c>
      <c r="I1704" s="1" t="str">
        <f>VLOOKUP(F1704,'RM Used'!B:D,3,0)</f>
        <v>RM-FOOD</v>
      </c>
      <c r="J1704" s="66">
        <v>1</v>
      </c>
      <c r="K1704" s="35">
        <f t="shared" si="530"/>
        <v>2.5</v>
      </c>
      <c r="L1704" s="35">
        <f t="shared" si="531"/>
        <v>2.5</v>
      </c>
      <c r="M1704" s="77" cm="1">
        <f t="array" ref="M1704">_xlfn.IFS(BOM!I1704="RM-PACKING","100%",B1704="Reynolds",VLOOKUP(H1704,'Yield &amp; Time'!A:V,22,0),BOM!B1704="Dnata",VLOOKUP(BOM!H1704,'Yield &amp; Time'!A:M,13,0),B1704="NK",VLOOKUP(H1704,'Yield &amp; Time'!A:X,24,0))</f>
        <v>0.6</v>
      </c>
      <c r="N1704" s="35">
        <f t="shared" si="518"/>
        <v>4.166666666666667</v>
      </c>
      <c r="O1704" s="1" t="str">
        <f>VLOOKUP(H1704,'RM Used'!A:E,5,0)</f>
        <v>KG</v>
      </c>
      <c r="P1704" s="11">
        <f>VLOOKUP(H1704,'RM Used'!A:F,6,0)</f>
        <v>0.55000000000000004</v>
      </c>
      <c r="Q1704" s="11">
        <f t="shared" si="528"/>
        <v>2.291666666666667</v>
      </c>
      <c r="R1704" s="11" cm="1">
        <f t="array" ref="R1704">IFERROR(_xlfn.IFS(B1704="Reynolds",VLOOKUP(H1704,'Yield &amp; Time'!A:U,21,0),B1704="Dnata",VLOOKUP(H1704,'Yield &amp; Time'!A:L,12,0),B1704="NK",VLOOKUP(H1704,'Yield &amp; Time'!A:W,23,0)),0)</f>
        <v>2</v>
      </c>
      <c r="S1704" s="11">
        <f t="shared" si="532"/>
        <v>1.6924999999999999</v>
      </c>
      <c r="T1704" s="11">
        <f t="shared" si="533"/>
        <v>8.3333333333333329E-2</v>
      </c>
      <c r="U1704" s="11">
        <f>IF(A1703=A1704,0,VLOOKUP(A1704,'Packing Time'!A:F,6,0))</f>
        <v>0.875</v>
      </c>
      <c r="V1704" s="11">
        <f t="shared" si="513"/>
        <v>0.29618749999999999</v>
      </c>
      <c r="W1704" s="11">
        <f t="shared" si="514"/>
        <v>1.4583333333333334E-2</v>
      </c>
      <c r="X1704" s="11">
        <f t="shared" si="522"/>
        <v>3.1818999999999997</v>
      </c>
      <c r="Y1704" s="11">
        <f t="shared" si="515"/>
        <v>3.1818999999999997</v>
      </c>
      <c r="Z1704" s="37">
        <v>1</v>
      </c>
      <c r="AA1704" s="36">
        <f t="shared" si="523"/>
        <v>4.166666666666667</v>
      </c>
      <c r="AB1704" s="11">
        <f t="shared" si="524"/>
        <v>2.291666666666667</v>
      </c>
      <c r="AC1704" s="11">
        <f t="shared" si="525"/>
        <v>0.15666666666666668</v>
      </c>
      <c r="AD1704" s="36">
        <f t="shared" si="516"/>
        <v>3.1818999999999997</v>
      </c>
      <c r="AE1704" s="36"/>
      <c r="AF1704" s="36">
        <f>IFERROR(VLOOKUP(AE1704,'Chemical Cost'!A:D,4,0),0)</f>
        <v>0</v>
      </c>
      <c r="AG1704" s="114">
        <f t="shared" si="526"/>
        <v>0</v>
      </c>
      <c r="AH1704" s="36">
        <f t="shared" si="534"/>
        <v>0</v>
      </c>
      <c r="AI1704" s="36">
        <f t="shared" si="521"/>
        <v>5.4735666666666667</v>
      </c>
      <c r="AJ1704" s="36">
        <f>IFERROR(VLOOKUP(A1704,'All Products'!A:F,6,0),0)</f>
        <v>9.0299999999999994</v>
      </c>
      <c r="AK1704" s="36"/>
      <c r="AL1704" s="23">
        <v>1</v>
      </c>
      <c r="AP1704" s="4">
        <v>1.6</v>
      </c>
      <c r="AQ1704" s="111">
        <f t="shared" si="527"/>
        <v>0.15666666666666668</v>
      </c>
      <c r="AR1704">
        <f>_xlfn.XLOOKUP(F1704,'RM Cost'!A:A,'RM Cost'!S:S)</f>
        <v>0</v>
      </c>
      <c r="AS1704" t="str">
        <f>_xlfn.XLOOKUP(A1704,[3]Sheet1!$B:$B,[3]Sheet1!$B:$B)</f>
        <v>N090CS</v>
      </c>
      <c r="AT1704">
        <f>_xlfn.XLOOKUP(H1704,'Yield &amp; Time'!A:A,'Yield &amp; Time'!F:F)</f>
        <v>0</v>
      </c>
    </row>
    <row r="1705" spans="1:46" x14ac:dyDescent="0.25">
      <c r="A1705" t="str">
        <f>A1704</f>
        <v>N090CS</v>
      </c>
      <c r="B1705" t="str">
        <f>B1704</f>
        <v>NK</v>
      </c>
      <c r="C1705" t="str">
        <f>C1704</f>
        <v>Celeriac Diced 10mm</v>
      </c>
      <c r="D1705" t="s">
        <v>554</v>
      </c>
      <c r="E1705" s="63">
        <f>E1704</f>
        <v>2.5</v>
      </c>
      <c r="F1705" s="1" t="str">
        <f>VLOOKUP(H1705,'RM Used'!A:B,2,0)</f>
        <v>P0008</v>
      </c>
      <c r="G1705" s="1" t="str">
        <f>IFERROR(VLOOKUP(F1705,'RM Cost'!A:B,2,0),"")</f>
        <v>PALE BLUE BAG 470X750MM</v>
      </c>
      <c r="H1705" s="1" t="s">
        <v>1323</v>
      </c>
      <c r="I1705" s="1" t="str">
        <f>VLOOKUP(F1705,'RM Used'!B:D,3,0)</f>
        <v>RM-PACKING</v>
      </c>
      <c r="J1705" s="66">
        <v>1</v>
      </c>
      <c r="K1705" s="35" t="str">
        <f t="shared" si="530"/>
        <v/>
      </c>
      <c r="L1705" s="35">
        <f t="shared" si="531"/>
        <v>0</v>
      </c>
      <c r="M1705" s="77" t="str" cm="1">
        <f t="array" ref="M1705">_xlfn.IFS(BOM!I1705="RM-PACKING","100%",B1705="Reynolds",VLOOKUP(H1705,'Yield &amp; Time'!A:V,22,0),BOM!B1705="Dnata",VLOOKUP(BOM!H1705,'Yield &amp; Time'!A:M,13,0),B1705="NK",VLOOKUP(H1705,'Yield &amp; Time'!A:X,24,0))</f>
        <v>100%</v>
      </c>
      <c r="N1705" s="35">
        <f t="shared" si="518"/>
        <v>1</v>
      </c>
      <c r="O1705" s="1" t="str">
        <f>VLOOKUP(H1705,'RM Used'!A:E,5,0)</f>
        <v>Count</v>
      </c>
      <c r="P1705" s="11">
        <f>VLOOKUP(H1705,'RM Used'!A:F,6,0)</f>
        <v>0.14000000000000001</v>
      </c>
      <c r="Q1705" s="11">
        <f t="shared" si="528"/>
        <v>0.14000000000000001</v>
      </c>
      <c r="R1705" s="11" cm="1">
        <f t="array" ref="R1705">IFERROR(_xlfn.IFS(B1705="Reynolds",VLOOKUP(H1705,'Yield &amp; Time'!A:U,21,0),B1705="Dnata",VLOOKUP(H1705,'Yield &amp; Time'!A:L,12,0),B1705="NK",VLOOKUP(H1705,'Yield &amp; Time'!A:W,23,0)),0)</f>
        <v>0</v>
      </c>
      <c r="S1705" s="11">
        <f t="shared" si="532"/>
        <v>0</v>
      </c>
      <c r="T1705" s="11">
        <f t="shared" si="533"/>
        <v>0</v>
      </c>
      <c r="U1705" s="11">
        <f>IF(A1704=A1705,0,VLOOKUP(A1705,'Packing Time'!A:F,6,0))</f>
        <v>0</v>
      </c>
      <c r="V1705" s="11">
        <f t="shared" si="513"/>
        <v>0</v>
      </c>
      <c r="W1705" s="11">
        <f t="shared" si="514"/>
        <v>0</v>
      </c>
      <c r="X1705" s="11">
        <f t="shared" si="522"/>
        <v>0</v>
      </c>
      <c r="Y1705" s="11">
        <f t="shared" si="515"/>
        <v>0</v>
      </c>
      <c r="Z1705" s="37">
        <v>1</v>
      </c>
      <c r="AA1705" s="36">
        <f t="shared" si="523"/>
        <v>1</v>
      </c>
      <c r="AB1705" s="11">
        <f t="shared" si="524"/>
        <v>0.14000000000000001</v>
      </c>
      <c r="AC1705" s="11">
        <f t="shared" si="525"/>
        <v>0</v>
      </c>
      <c r="AD1705" s="36">
        <f t="shared" si="516"/>
        <v>0</v>
      </c>
      <c r="AE1705" s="36"/>
      <c r="AF1705" s="36">
        <f>IFERROR(VLOOKUP(AE1705,'Chemical Cost'!A:D,4,0),0)</f>
        <v>0</v>
      </c>
      <c r="AG1705" s="114">
        <f t="shared" si="526"/>
        <v>0</v>
      </c>
      <c r="AH1705" s="36">
        <f t="shared" si="534"/>
        <v>0</v>
      </c>
      <c r="AI1705" s="36">
        <f t="shared" si="521"/>
        <v>0.14000000000000001</v>
      </c>
      <c r="AJ1705" s="36">
        <f>IFERROR(VLOOKUP(A1705,'All Products'!A:F,6,0),0)</f>
        <v>9.0299999999999994</v>
      </c>
      <c r="AK1705" s="36"/>
      <c r="AL1705" s="23">
        <v>1</v>
      </c>
      <c r="AP1705" s="4">
        <v>1.6</v>
      </c>
      <c r="AQ1705" s="111">
        <f t="shared" si="527"/>
        <v>0</v>
      </c>
      <c r="AR1705">
        <f>_xlfn.XLOOKUP(F1705,'RM Cost'!A:A,'RM Cost'!S:S)</f>
        <v>0</v>
      </c>
      <c r="AS1705" t="str">
        <f>_xlfn.XLOOKUP(A1705,[3]Sheet1!$B:$B,[3]Sheet1!$B:$B)</f>
        <v>N090CS</v>
      </c>
      <c r="AT1705" t="e">
        <f>_xlfn.XLOOKUP(H1705,'Yield &amp; Time'!A:A,'Yield &amp; Time'!F:F)</f>
        <v>#N/A</v>
      </c>
    </row>
    <row r="1706" spans="1:46" x14ac:dyDescent="0.25">
      <c r="A1706" t="s">
        <v>4623</v>
      </c>
      <c r="B1706" s="2" t="s">
        <v>4377</v>
      </c>
      <c r="C1706" t="s">
        <v>4624</v>
      </c>
      <c r="D1706" s="2" t="s">
        <v>554</v>
      </c>
      <c r="E1706" s="63">
        <v>2.5</v>
      </c>
      <c r="F1706" s="1" t="str">
        <f>VLOOKUP(H1706,'RM Used'!A:B,2,0)</f>
        <v>3277CS</v>
      </c>
      <c r="G1706" s="1" t="str">
        <f>IFERROR(VLOOKUP(F1706,'RM Cost'!A:B,2,0),"")</f>
        <v>RM - SWEDE 12.5KG</v>
      </c>
      <c r="H1706" s="1" t="s">
        <v>1657</v>
      </c>
      <c r="I1706" s="1" t="str">
        <f>VLOOKUP(F1706,'RM Used'!B:D,3,0)</f>
        <v>RM-FOOD</v>
      </c>
      <c r="J1706" s="66">
        <v>1</v>
      </c>
      <c r="K1706" s="35">
        <f t="shared" si="530"/>
        <v>2.5</v>
      </c>
      <c r="L1706" s="35">
        <f t="shared" si="531"/>
        <v>2.5</v>
      </c>
      <c r="M1706" s="77" cm="1">
        <f t="array" ref="M1706">_xlfn.IFS(BOM!I1706="RM-PACKING","100%",B1706="Reynolds",VLOOKUP(H1706,'Yield &amp; Time'!A:V,22,0),BOM!B1706="Dnata",VLOOKUP(BOM!H1706,'Yield &amp; Time'!A:M,13,0),B1706="NK",VLOOKUP(H1706,'Yield &amp; Time'!A:X,24,0))</f>
        <v>0.83</v>
      </c>
      <c r="N1706" s="35">
        <f t="shared" si="518"/>
        <v>3.0120481927710845</v>
      </c>
      <c r="O1706" s="1" t="str">
        <f>VLOOKUP(H1706,'RM Used'!A:E,5,0)</f>
        <v>KG</v>
      </c>
      <c r="P1706" s="11">
        <f>VLOOKUP(H1706,'RM Used'!A:F,6,0)</f>
        <v>0.52</v>
      </c>
      <c r="Q1706" s="11">
        <f t="shared" si="528"/>
        <v>1.566265060240964</v>
      </c>
      <c r="R1706" s="11" cm="1">
        <f t="array" ref="R1706">IFERROR(_xlfn.IFS(B1706="Reynolds",VLOOKUP(H1706,'Yield &amp; Time'!A:U,21,0),B1706="Dnata",VLOOKUP(H1706,'Yield &amp; Time'!A:L,12,0),B1706="NK",VLOOKUP(H1706,'Yield &amp; Time'!A:W,23,0)),0)</f>
        <v>1.9</v>
      </c>
      <c r="S1706" s="11">
        <f t="shared" si="532"/>
        <v>1.6078749999999999</v>
      </c>
      <c r="T1706" s="11">
        <f t="shared" si="533"/>
        <v>7.9166666666666663E-2</v>
      </c>
      <c r="U1706" s="11">
        <f>IF(A1705=A1706,0,VLOOKUP(A1706,'Packing Time'!A:F,6,0))</f>
        <v>0.875</v>
      </c>
      <c r="V1706" s="11">
        <f t="shared" si="513"/>
        <v>0.29618749999999999</v>
      </c>
      <c r="W1706" s="11">
        <f t="shared" si="514"/>
        <v>1.4583333333333334E-2</v>
      </c>
      <c r="X1706" s="11">
        <f t="shared" si="522"/>
        <v>3.0465</v>
      </c>
      <c r="Y1706" s="11">
        <f t="shared" si="515"/>
        <v>3.0465</v>
      </c>
      <c r="Z1706" s="37">
        <v>1</v>
      </c>
      <c r="AA1706" s="36">
        <f t="shared" si="523"/>
        <v>3.0120481927710845</v>
      </c>
      <c r="AB1706" s="11">
        <f t="shared" si="524"/>
        <v>1.566265060240964</v>
      </c>
      <c r="AC1706" s="11">
        <f t="shared" si="525"/>
        <v>0.15000000000000002</v>
      </c>
      <c r="AD1706" s="36">
        <f t="shared" si="516"/>
        <v>3.0465000000000004</v>
      </c>
      <c r="AE1706" s="36"/>
      <c r="AF1706" s="36">
        <f>IFERROR(VLOOKUP(AE1706,'Chemical Cost'!A:D,4,0),0)</f>
        <v>0</v>
      </c>
      <c r="AG1706" s="114">
        <f t="shared" si="526"/>
        <v>0</v>
      </c>
      <c r="AH1706" s="36">
        <f t="shared" si="534"/>
        <v>0</v>
      </c>
      <c r="AI1706" s="36">
        <f t="shared" si="521"/>
        <v>4.6127650602409638</v>
      </c>
      <c r="AJ1706" s="36">
        <f>IFERROR(VLOOKUP(A1706,'All Products'!A:F,6,0),0)</f>
        <v>7.23</v>
      </c>
      <c r="AK1706" s="36"/>
      <c r="AL1706" s="23">
        <v>1</v>
      </c>
      <c r="AP1706" s="4">
        <v>1.6</v>
      </c>
      <c r="AQ1706" s="111">
        <f t="shared" si="527"/>
        <v>0.15000000000000002</v>
      </c>
      <c r="AR1706">
        <f>_xlfn.XLOOKUP(F1706,'RM Cost'!A:A,'RM Cost'!S:S)</f>
        <v>0</v>
      </c>
      <c r="AS1706" t="str">
        <f>_xlfn.XLOOKUP(A1706,[3]Sheet1!$B:$B,[3]Sheet1!$B:$B)</f>
        <v>N091CS</v>
      </c>
      <c r="AT1706">
        <f>_xlfn.XLOOKUP(H1706,'Yield &amp; Time'!A:A,'Yield &amp; Time'!F:F)</f>
        <v>0</v>
      </c>
    </row>
    <row r="1707" spans="1:46" x14ac:dyDescent="0.25">
      <c r="A1707" t="s">
        <v>4623</v>
      </c>
      <c r="B1707" s="2" t="s">
        <v>4377</v>
      </c>
      <c r="C1707" t="s">
        <v>4624</v>
      </c>
      <c r="D1707" s="2" t="s">
        <v>554</v>
      </c>
      <c r="E1707" s="63">
        <v>2.5</v>
      </c>
      <c r="F1707" s="1" t="str">
        <f>VLOOKUP(H1707,'RM Used'!A:B,2,0)</f>
        <v>P0008</v>
      </c>
      <c r="G1707" s="1" t="str">
        <f>IFERROR(VLOOKUP(F1707,'RM Cost'!A:B,2,0),"")</f>
        <v>PALE BLUE BAG 470X750MM</v>
      </c>
      <c r="H1707" s="1" t="s">
        <v>1323</v>
      </c>
      <c r="I1707" s="1" t="str">
        <f>VLOOKUP(F1707,'RM Used'!B:D,3,0)</f>
        <v>RM-PACKING</v>
      </c>
      <c r="J1707" s="66">
        <v>1</v>
      </c>
      <c r="K1707" s="35" t="str">
        <f t="shared" si="530"/>
        <v/>
      </c>
      <c r="L1707" s="35">
        <f t="shared" si="531"/>
        <v>0</v>
      </c>
      <c r="M1707" s="77" t="str" cm="1">
        <f t="array" ref="M1707">_xlfn.IFS(BOM!I1707="RM-PACKING","100%",B1707="Reynolds",VLOOKUP(H1707,'Yield &amp; Time'!A:V,22,0),BOM!B1707="Dnata",VLOOKUP(BOM!H1707,'Yield &amp; Time'!A:M,13,0),B1707="NK",VLOOKUP(H1707,'Yield &amp; Time'!A:X,24,0))</f>
        <v>100%</v>
      </c>
      <c r="N1707" s="35">
        <f t="shared" si="518"/>
        <v>1</v>
      </c>
      <c r="O1707" s="1" t="str">
        <f>VLOOKUP(H1707,'RM Used'!A:E,5,0)</f>
        <v>Count</v>
      </c>
      <c r="P1707" s="11">
        <f>VLOOKUP(H1707,'RM Used'!A:F,6,0)</f>
        <v>0.14000000000000001</v>
      </c>
      <c r="Q1707" s="11">
        <f t="shared" si="528"/>
        <v>0.14000000000000001</v>
      </c>
      <c r="R1707" s="11" cm="1">
        <f t="array" ref="R1707">IFERROR(_xlfn.IFS(B1707="Reynolds",VLOOKUP(H1707,'Yield &amp; Time'!A:U,21,0),B1707="Dnata",VLOOKUP(H1707,'Yield &amp; Time'!A:L,12,0),B1707="NK",VLOOKUP(H1707,'Yield &amp; Time'!A:W,23,0)),0)</f>
        <v>0</v>
      </c>
      <c r="S1707" s="11">
        <f t="shared" si="532"/>
        <v>0</v>
      </c>
      <c r="T1707" s="11">
        <f t="shared" si="533"/>
        <v>0</v>
      </c>
      <c r="U1707" s="11">
        <f>IF(A1706=A1707,0,VLOOKUP(A1707,'Packing Time'!A:F,6,0))</f>
        <v>0</v>
      </c>
      <c r="V1707" s="11">
        <f t="shared" si="513"/>
        <v>0</v>
      </c>
      <c r="W1707" s="11">
        <f t="shared" si="514"/>
        <v>0</v>
      </c>
      <c r="X1707" s="11">
        <f t="shared" si="522"/>
        <v>0</v>
      </c>
      <c r="Y1707" s="11">
        <f t="shared" si="515"/>
        <v>0</v>
      </c>
      <c r="Z1707" s="37">
        <v>1</v>
      </c>
      <c r="AA1707" s="36">
        <f t="shared" si="523"/>
        <v>1</v>
      </c>
      <c r="AB1707" s="11">
        <f t="shared" si="524"/>
        <v>0.14000000000000001</v>
      </c>
      <c r="AC1707" s="11">
        <f t="shared" si="525"/>
        <v>0</v>
      </c>
      <c r="AD1707" s="36">
        <f t="shared" si="516"/>
        <v>0</v>
      </c>
      <c r="AE1707" s="36"/>
      <c r="AF1707" s="36">
        <f>IFERROR(VLOOKUP(AE1707,'Chemical Cost'!A:D,4,0),0)</f>
        <v>0</v>
      </c>
      <c r="AG1707" s="114">
        <f t="shared" si="526"/>
        <v>0</v>
      </c>
      <c r="AH1707" s="36">
        <f t="shared" si="534"/>
        <v>0</v>
      </c>
      <c r="AI1707" s="36">
        <f t="shared" si="521"/>
        <v>0.14000000000000001</v>
      </c>
      <c r="AJ1707" s="36">
        <f>IFERROR(VLOOKUP(A1707,'All Products'!A:F,6,0),0)</f>
        <v>7.23</v>
      </c>
      <c r="AK1707" s="36"/>
      <c r="AL1707" s="23">
        <v>1</v>
      </c>
      <c r="AP1707" s="4">
        <v>1.6</v>
      </c>
      <c r="AQ1707" s="111">
        <f t="shared" si="527"/>
        <v>0</v>
      </c>
      <c r="AR1707">
        <f>_xlfn.XLOOKUP(F1707,'RM Cost'!A:A,'RM Cost'!S:S)</f>
        <v>0</v>
      </c>
      <c r="AS1707" t="str">
        <f>_xlfn.XLOOKUP(A1707,[3]Sheet1!$B:$B,[3]Sheet1!$B:$B)</f>
        <v>N091CS</v>
      </c>
      <c r="AT1707" t="e">
        <f>_xlfn.XLOOKUP(H1707,'Yield &amp; Time'!A:A,'Yield &amp; Time'!F:F)</f>
        <v>#N/A</v>
      </c>
    </row>
    <row r="1708" spans="1:46" x14ac:dyDescent="0.25">
      <c r="A1708" t="s">
        <v>4576</v>
      </c>
      <c r="B1708" s="2" t="s">
        <v>4377</v>
      </c>
      <c r="C1708" t="s">
        <v>4614</v>
      </c>
      <c r="D1708" s="2" t="s">
        <v>554</v>
      </c>
      <c r="E1708" s="63">
        <v>2.5</v>
      </c>
      <c r="F1708" s="1" t="str">
        <f>VLOOKUP(H1708,'RM Used'!A:B,2,0)</f>
        <v>3389CS</v>
      </c>
      <c r="G1708" s="1" t="str">
        <f>IFERROR(VLOOKUP(F1708,'RM Cost'!A:B,2,0),"")</f>
        <v>RM - PAK CHOI X2KG</v>
      </c>
      <c r="H1708" s="1" t="s">
        <v>4625</v>
      </c>
      <c r="I1708" s="1" t="str">
        <f>VLOOKUP(F1708,'RM Used'!B:D,3,0)</f>
        <v>RM-FOOD</v>
      </c>
      <c r="J1708" s="66">
        <v>1</v>
      </c>
      <c r="K1708" s="35">
        <f t="shared" si="530"/>
        <v>2.5</v>
      </c>
      <c r="L1708" s="35">
        <f t="shared" si="531"/>
        <v>2.5</v>
      </c>
      <c r="M1708" s="77" cm="1">
        <f t="array" ref="M1708">_xlfn.IFS(BOM!I1708="RM-PACKING","100%",B1708="Reynolds",VLOOKUP(H1708,'Yield &amp; Time'!A:V,22,0),BOM!B1708="Dnata",VLOOKUP(BOM!H1708,'Yield &amp; Time'!A:M,13,0),B1708="NK",VLOOKUP(H1708,'Yield &amp; Time'!A:X,24,0))</f>
        <v>0.87804878048780499</v>
      </c>
      <c r="N1708" s="35">
        <f t="shared" ref="N1708:N1727" si="535">IFERROR(IF(I1708="RM-FOOD",(E1708*J1708)/M1708,1),0)</f>
        <v>2.8472222222222219</v>
      </c>
      <c r="O1708" s="1" t="str">
        <f>VLOOKUP(H1708,'RM Used'!A:E,5,0)</f>
        <v>KG</v>
      </c>
      <c r="P1708" s="11">
        <f>VLOOKUP(H1708,'RM Used'!A:F,6,0)</f>
        <v>1.81</v>
      </c>
      <c r="Q1708" s="11">
        <f t="shared" si="528"/>
        <v>5.1534722222222218</v>
      </c>
      <c r="R1708" s="11" cm="1">
        <f t="array" ref="R1708">IFERROR(_xlfn.IFS(B1708="Reynolds",VLOOKUP(H1708,'Yield &amp; Time'!A:U,21,0),B1708="Dnata",VLOOKUP(H1708,'Yield &amp; Time'!A:L,12,0),B1708="NK",VLOOKUP(H1708,'Yield &amp; Time'!A:W,23,0)),0)</f>
        <v>1.3</v>
      </c>
      <c r="S1708" s="11">
        <f t="shared" si="532"/>
        <v>1.1001249999999998</v>
      </c>
      <c r="T1708" s="11">
        <f t="shared" si="533"/>
        <v>5.4166666666666669E-2</v>
      </c>
      <c r="U1708" s="11">
        <f>IF(A1707=A1708,0,VLOOKUP(A1708,'Packing Time'!A:F,6,0))</f>
        <v>0.875</v>
      </c>
      <c r="V1708" s="11">
        <f t="shared" si="513"/>
        <v>0.29618749999999999</v>
      </c>
      <c r="W1708" s="11">
        <f t="shared" si="514"/>
        <v>1.4583333333333334E-2</v>
      </c>
      <c r="X1708" s="11">
        <f t="shared" si="522"/>
        <v>2.2340999999999998</v>
      </c>
      <c r="Y1708" s="11">
        <f t="shared" si="515"/>
        <v>2.2340999999999998</v>
      </c>
      <c r="Z1708" s="37">
        <v>1</v>
      </c>
      <c r="AA1708" s="36">
        <f t="shared" si="523"/>
        <v>2.8472222222222219</v>
      </c>
      <c r="AB1708" s="11">
        <f t="shared" si="524"/>
        <v>5.1534722222222218</v>
      </c>
      <c r="AC1708" s="11">
        <f t="shared" si="525"/>
        <v>0.11000000000000001</v>
      </c>
      <c r="AD1708" s="36">
        <f t="shared" si="516"/>
        <v>2.2340999999999998</v>
      </c>
      <c r="AE1708" s="36"/>
      <c r="AF1708" s="36">
        <f>IFERROR(VLOOKUP(AE1708,'Chemical Cost'!A:D,4,0),0)</f>
        <v>0</v>
      </c>
      <c r="AG1708" s="114">
        <f t="shared" si="526"/>
        <v>0</v>
      </c>
      <c r="AH1708" s="36">
        <f t="shared" si="534"/>
        <v>0</v>
      </c>
      <c r="AI1708" s="36">
        <f t="shared" ref="AI1708:AI1727" si="536">IFERROR((Q1708*Z1708)+(Z1708*X1708)+AH1708,0)</f>
        <v>7.3875722222222215</v>
      </c>
      <c r="AJ1708" s="36">
        <f>IFERROR(VLOOKUP(A1708,'All Products'!A:F,6,0),0)</f>
        <v>13.88</v>
      </c>
      <c r="AK1708" s="36"/>
      <c r="AL1708" s="23">
        <v>1</v>
      </c>
      <c r="AP1708" s="4">
        <v>1.6</v>
      </c>
      <c r="AQ1708" s="111">
        <f t="shared" si="527"/>
        <v>0.11000000000000001</v>
      </c>
      <c r="AR1708">
        <f>_xlfn.XLOOKUP(F1708,'RM Cost'!A:A,'RM Cost'!S:S)</f>
        <v>0</v>
      </c>
      <c r="AS1708" t="e">
        <f>_xlfn.XLOOKUP(A1708,[3]Sheet1!$B:$B,[3]Sheet1!$B:$B)</f>
        <v>#N/A</v>
      </c>
    </row>
    <row r="1709" spans="1:46" x14ac:dyDescent="0.25">
      <c r="A1709" t="str">
        <f t="shared" ref="A1709:E1711" si="537">A1708</f>
        <v>N069CS</v>
      </c>
      <c r="B1709" t="str">
        <f t="shared" si="537"/>
        <v>NK</v>
      </c>
      <c r="C1709" t="str">
        <f t="shared" si="537"/>
        <v>Pak choi</v>
      </c>
      <c r="D1709" t="s">
        <v>554</v>
      </c>
      <c r="E1709" s="63">
        <f t="shared" si="537"/>
        <v>2.5</v>
      </c>
      <c r="F1709" s="1" t="str">
        <f>VLOOKUP(H1709,'RM Used'!A:B,2,0)</f>
        <v>P0008</v>
      </c>
      <c r="G1709" s="1" t="str">
        <f>IFERROR(VLOOKUP(F1709,'RM Cost'!A:B,2,0),"")</f>
        <v>PALE BLUE BAG 470X750MM</v>
      </c>
      <c r="H1709" s="2" t="s">
        <v>1323</v>
      </c>
      <c r="I1709" s="1" t="str">
        <f>VLOOKUP(F1709,'RM Used'!B:D,3,0)</f>
        <v>RM-PACKING</v>
      </c>
      <c r="J1709" s="66">
        <v>1</v>
      </c>
      <c r="K1709" s="35" t="str">
        <f t="shared" si="530"/>
        <v/>
      </c>
      <c r="L1709" s="35">
        <f t="shared" si="531"/>
        <v>0</v>
      </c>
      <c r="M1709" s="77" t="str" cm="1">
        <f t="array" ref="M1709">_xlfn.IFS(BOM!I1709="RM-PACKING","100%",B1709="Reynolds",VLOOKUP(H1709,'Yield &amp; Time'!A:V,22,0),BOM!B1709="Dnata",VLOOKUP(BOM!H1709,'Yield &amp; Time'!A:M,13,0),B1709="NK",VLOOKUP(H1709,'Yield &amp; Time'!A:X,24,0))</f>
        <v>100%</v>
      </c>
      <c r="N1709" s="35">
        <f t="shared" si="535"/>
        <v>1</v>
      </c>
      <c r="O1709" s="1" t="str">
        <f>VLOOKUP(H1709,'RM Used'!A:E,5,0)</f>
        <v>Count</v>
      </c>
      <c r="P1709" s="11">
        <f>VLOOKUP(H1709,'RM Used'!A:F,6,0)</f>
        <v>0.14000000000000001</v>
      </c>
      <c r="Q1709" s="11">
        <f t="shared" si="528"/>
        <v>0.14000000000000001</v>
      </c>
      <c r="R1709" s="11" cm="1">
        <f t="array" ref="R1709">IFERROR(_xlfn.IFS(B1709="Reynolds",VLOOKUP(H1709,'Yield &amp; Time'!A:U,21,0),B1709="Dnata",VLOOKUP(H1709,'Yield &amp; Time'!A:L,12,0),B1709="NK",VLOOKUP(H1709,'Yield &amp; Time'!A:W,23,0)),0)</f>
        <v>0</v>
      </c>
      <c r="S1709" s="11">
        <f t="shared" si="532"/>
        <v>0</v>
      </c>
      <c r="T1709" s="11">
        <f t="shared" si="533"/>
        <v>0</v>
      </c>
      <c r="U1709" s="11">
        <f>IF(A1708=A1709,0,VLOOKUP(A1709,'Packing Time'!A:F,6,0))</f>
        <v>0</v>
      </c>
      <c r="V1709" s="11">
        <f t="shared" si="513"/>
        <v>0</v>
      </c>
      <c r="W1709" s="11">
        <f t="shared" si="514"/>
        <v>0</v>
      </c>
      <c r="X1709" s="11">
        <f t="shared" si="522"/>
        <v>0</v>
      </c>
      <c r="Y1709" s="11">
        <f t="shared" si="515"/>
        <v>0</v>
      </c>
      <c r="Z1709" s="37">
        <v>1</v>
      </c>
      <c r="AA1709" s="36">
        <f t="shared" si="523"/>
        <v>1</v>
      </c>
      <c r="AB1709" s="11">
        <f t="shared" si="524"/>
        <v>0.14000000000000001</v>
      </c>
      <c r="AC1709" s="11">
        <f t="shared" si="525"/>
        <v>0</v>
      </c>
      <c r="AD1709" s="36">
        <f t="shared" si="516"/>
        <v>0</v>
      </c>
      <c r="AE1709" s="36"/>
      <c r="AF1709" s="36">
        <f>IFERROR(VLOOKUP(AE1709,'Chemical Cost'!A:D,4,0),0)</f>
        <v>0</v>
      </c>
      <c r="AG1709" s="114">
        <f t="shared" si="526"/>
        <v>0</v>
      </c>
      <c r="AH1709" s="36">
        <f t="shared" si="534"/>
        <v>0</v>
      </c>
      <c r="AI1709" s="36">
        <f t="shared" si="536"/>
        <v>0.14000000000000001</v>
      </c>
      <c r="AJ1709" s="36">
        <f>IFERROR(VLOOKUP(A1709,'All Products'!A:F,6,0),0)</f>
        <v>13.88</v>
      </c>
      <c r="AK1709" s="36"/>
      <c r="AL1709" s="23">
        <v>1</v>
      </c>
      <c r="AP1709" s="4">
        <v>1.6</v>
      </c>
      <c r="AQ1709" s="111">
        <f t="shared" si="527"/>
        <v>0</v>
      </c>
      <c r="AR1709">
        <f>_xlfn.XLOOKUP(F1709,'RM Cost'!A:A,'RM Cost'!S:S)</f>
        <v>0</v>
      </c>
      <c r="AS1709" t="e">
        <f>_xlfn.XLOOKUP(A1709,[3]Sheet1!$B:$B,[3]Sheet1!$B:$B)</f>
        <v>#N/A</v>
      </c>
    </row>
    <row r="1710" spans="1:46" x14ac:dyDescent="0.25">
      <c r="A1710" t="s">
        <v>4629</v>
      </c>
      <c r="B1710" t="str">
        <f t="shared" si="537"/>
        <v>NK</v>
      </c>
      <c r="C1710" t="s">
        <v>4630</v>
      </c>
      <c r="D1710" t="s">
        <v>554</v>
      </c>
      <c r="E1710" s="63">
        <f t="shared" si="537"/>
        <v>2.5</v>
      </c>
      <c r="F1710" s="1" t="str">
        <f>VLOOKUP(H1710,'RM Used'!A:B,2,0)</f>
        <v>3210CS</v>
      </c>
      <c r="G1710" s="1" t="str">
        <f>IFERROR(VLOOKUP(F1710,'RM Cost'!A:B,2,0),"")</f>
        <v>RM - POTATOES WARE 25KG</v>
      </c>
      <c r="H1710" t="s">
        <v>4631</v>
      </c>
      <c r="I1710" s="1" t="str">
        <f>VLOOKUP(F1710,'RM Used'!B:D,3,0)</f>
        <v>RM-FOOD</v>
      </c>
      <c r="J1710" s="66">
        <v>1</v>
      </c>
      <c r="K1710" s="35">
        <f t="shared" si="530"/>
        <v>2.5</v>
      </c>
      <c r="L1710" s="35">
        <f t="shared" si="531"/>
        <v>2.5</v>
      </c>
      <c r="M1710" s="77" cm="1">
        <f t="array" ref="M1710">_xlfn.IFS(BOM!I1710="RM-PACKING","100%",B1710="Reynolds",VLOOKUP(H1710,'Yield &amp; Time'!A:V,22,0),BOM!B1710="Dnata",VLOOKUP(BOM!H1710,'Yield &amp; Time'!A:M,13,0),B1710="NK",VLOOKUP(H1710,'Yield &amp; Time'!A:X,24,0))</f>
        <v>0.73</v>
      </c>
      <c r="N1710" s="35">
        <f t="shared" si="535"/>
        <v>3.4246575342465753</v>
      </c>
      <c r="O1710" s="1" t="str">
        <f>VLOOKUP(H1710,'RM Used'!A:E,5,0)</f>
        <v>KG</v>
      </c>
      <c r="P1710" s="11">
        <f>VLOOKUP(H1710,'RM Used'!A:F,6,0)</f>
        <v>0.27</v>
      </c>
      <c r="Q1710" s="11">
        <f t="shared" si="528"/>
        <v>0.92465753424657537</v>
      </c>
      <c r="R1710" s="11" cm="1">
        <f t="array" ref="R1710">IFERROR(_xlfn.IFS(B1710="Reynolds",VLOOKUP(H1710,'Yield &amp; Time'!A:U,21,0),B1710="Dnata",VLOOKUP(H1710,'Yield &amp; Time'!A:L,12,0),B1710="NK",VLOOKUP(H1710,'Yield &amp; Time'!A:W,23,0)),0)</f>
        <v>2.29</v>
      </c>
      <c r="S1710" s="11">
        <f t="shared" si="532"/>
        <v>1.9379124999999997</v>
      </c>
      <c r="T1710" s="11">
        <f t="shared" si="533"/>
        <v>9.5416666666666664E-2</v>
      </c>
      <c r="U1710" s="11">
        <f>IF(A1709=A1710,0,VLOOKUP(A1710,'Packing Time'!A:F,6,0))</f>
        <v>0.875</v>
      </c>
      <c r="V1710" s="11">
        <f t="shared" si="513"/>
        <v>0.29618749999999999</v>
      </c>
      <c r="W1710" s="11">
        <f t="shared" si="514"/>
        <v>1.4583333333333334E-2</v>
      </c>
      <c r="X1710" s="11">
        <f t="shared" si="522"/>
        <v>3.57456</v>
      </c>
      <c r="Y1710" s="11">
        <f t="shared" si="515"/>
        <v>3.57456</v>
      </c>
      <c r="Z1710" s="37">
        <v>1</v>
      </c>
      <c r="AA1710" s="36">
        <f t="shared" si="523"/>
        <v>3.4246575342465753</v>
      </c>
      <c r="AB1710" s="11">
        <f t="shared" si="524"/>
        <v>0.92465753424657537</v>
      </c>
      <c r="AC1710" s="11">
        <f t="shared" si="525"/>
        <v>0.17600000000000002</v>
      </c>
      <c r="AD1710" s="36">
        <f t="shared" si="516"/>
        <v>3.57456</v>
      </c>
      <c r="AE1710" s="36"/>
      <c r="AF1710" s="36">
        <f>IFERROR(VLOOKUP(AE1710,'Chemical Cost'!A:D,4,0),0)</f>
        <v>0</v>
      </c>
      <c r="AG1710" s="114">
        <f t="shared" si="526"/>
        <v>0</v>
      </c>
      <c r="AH1710" s="36">
        <f t="shared" si="534"/>
        <v>0</v>
      </c>
      <c r="AI1710" s="36">
        <f t="shared" si="536"/>
        <v>4.4992175342465757</v>
      </c>
      <c r="AJ1710" s="36">
        <f>IFERROR(VLOOKUP(A1710,'All Products'!A:F,6,0),0)</f>
        <v>6.53</v>
      </c>
      <c r="AK1710" s="36"/>
      <c r="AL1710" s="23">
        <v>1</v>
      </c>
      <c r="AP1710" s="4">
        <v>1.6</v>
      </c>
      <c r="AQ1710" s="111">
        <f t="shared" si="527"/>
        <v>0.17600000000000002</v>
      </c>
      <c r="AR1710">
        <f>_xlfn.XLOOKUP(F1710,'RM Cost'!A:A,'RM Cost'!S:S)</f>
        <v>0</v>
      </c>
      <c r="AS1710" t="e">
        <f>_xlfn.XLOOKUP(A1710,[3]Sheet1!$B:$B,[3]Sheet1!$B:$B)</f>
        <v>#N/A</v>
      </c>
    </row>
    <row r="1711" spans="1:46" x14ac:dyDescent="0.25">
      <c r="A1711" t="s">
        <v>4629</v>
      </c>
      <c r="B1711" t="str">
        <f t="shared" si="537"/>
        <v>NK</v>
      </c>
      <c r="C1711" t="s">
        <v>4630</v>
      </c>
      <c r="D1711" t="s">
        <v>554</v>
      </c>
      <c r="E1711" s="63">
        <f t="shared" si="537"/>
        <v>2.5</v>
      </c>
      <c r="F1711" s="1" t="str">
        <f>VLOOKUP(H1711,'RM Used'!A:B,2,0)</f>
        <v>P0008</v>
      </c>
      <c r="G1711" s="1" t="str">
        <f>IFERROR(VLOOKUP(F1711,'RM Cost'!A:B,2,0),"")</f>
        <v>PALE BLUE BAG 470X750MM</v>
      </c>
      <c r="H1711" s="2" t="s">
        <v>1323</v>
      </c>
      <c r="I1711" s="1" t="str">
        <f>VLOOKUP(F1711,'RM Used'!B:D,3,0)</f>
        <v>RM-PACKING</v>
      </c>
      <c r="J1711" s="66">
        <v>1</v>
      </c>
      <c r="K1711" s="35" t="str">
        <f t="shared" si="530"/>
        <v/>
      </c>
      <c r="L1711" s="35">
        <f t="shared" si="531"/>
        <v>0</v>
      </c>
      <c r="M1711" s="77" t="str" cm="1">
        <f t="array" ref="M1711">_xlfn.IFS(BOM!I1711="RM-PACKING","100%",B1711="Reynolds",VLOOKUP(H1711,'Yield &amp; Time'!A:V,22,0),BOM!B1711="Dnata",VLOOKUP(BOM!H1711,'Yield &amp; Time'!A:M,13,0),B1711="NK",VLOOKUP(H1711,'Yield &amp; Time'!A:X,24,0))</f>
        <v>100%</v>
      </c>
      <c r="N1711" s="35">
        <f t="shared" si="535"/>
        <v>1</v>
      </c>
      <c r="O1711" s="1" t="str">
        <f>VLOOKUP(H1711,'RM Used'!A:E,5,0)</f>
        <v>Count</v>
      </c>
      <c r="P1711" s="11">
        <f>VLOOKUP(H1711,'RM Used'!A:F,6,0)</f>
        <v>0.14000000000000001</v>
      </c>
      <c r="Q1711" s="11">
        <f t="shared" si="528"/>
        <v>0.14000000000000001</v>
      </c>
      <c r="R1711" s="11" cm="1">
        <f t="array" ref="R1711">IFERROR(_xlfn.IFS(B1711="Reynolds",VLOOKUP(H1711,'Yield &amp; Time'!A:U,21,0),B1711="Dnata",VLOOKUP(H1711,'Yield &amp; Time'!A:L,12,0),B1711="NK",VLOOKUP(H1711,'Yield &amp; Time'!A:W,23,0)),0)</f>
        <v>0</v>
      </c>
      <c r="S1711" s="11">
        <f t="shared" si="532"/>
        <v>0</v>
      </c>
      <c r="T1711" s="11">
        <f t="shared" si="533"/>
        <v>0</v>
      </c>
      <c r="U1711" s="11">
        <f>IF(A1710=A1711,0,VLOOKUP(A1711,'Packing Time'!A:F,6,0))</f>
        <v>0</v>
      </c>
      <c r="V1711" s="11">
        <f t="shared" ref="V1711:V1743" si="538">U1711*AO$1</f>
        <v>0</v>
      </c>
      <c r="W1711" s="11">
        <f t="shared" ref="W1711:W1743" si="539">(U1711*Z1711)/60</f>
        <v>0</v>
      </c>
      <c r="X1711" s="11">
        <f t="shared" si="522"/>
        <v>0</v>
      </c>
      <c r="Y1711" s="11">
        <f t="shared" ref="Y1711:Y1743" si="540">X1711*Z1711</f>
        <v>0</v>
      </c>
      <c r="Z1711" s="37">
        <v>1</v>
      </c>
      <c r="AA1711" s="36">
        <f t="shared" si="523"/>
        <v>1</v>
      </c>
      <c r="AB1711" s="11">
        <f t="shared" si="524"/>
        <v>0.14000000000000001</v>
      </c>
      <c r="AC1711" s="11">
        <f t="shared" si="525"/>
        <v>0</v>
      </c>
      <c r="AD1711" s="36">
        <f t="shared" ref="AD1711:AD1743" si="541">AC1711*60*AO$1</f>
        <v>0</v>
      </c>
      <c r="AE1711" s="36"/>
      <c r="AF1711" s="36">
        <f>IFERROR(VLOOKUP(AE1711,'Chemical Cost'!A:D,4,0),0)</f>
        <v>0</v>
      </c>
      <c r="AG1711" s="114">
        <f t="shared" si="526"/>
        <v>0</v>
      </c>
      <c r="AH1711" s="36">
        <f t="shared" si="534"/>
        <v>0</v>
      </c>
      <c r="AI1711" s="36">
        <f t="shared" si="536"/>
        <v>0.14000000000000001</v>
      </c>
      <c r="AJ1711" s="36">
        <f>IFERROR(VLOOKUP(A1711,'All Products'!A:F,6,0),0)</f>
        <v>6.53</v>
      </c>
      <c r="AK1711" s="36"/>
      <c r="AL1711" s="23">
        <v>1</v>
      </c>
      <c r="AP1711" s="4">
        <v>1.6</v>
      </c>
      <c r="AQ1711" s="111">
        <f t="shared" si="527"/>
        <v>0</v>
      </c>
      <c r="AR1711">
        <f>_xlfn.XLOOKUP(F1711,'RM Cost'!A:A,'RM Cost'!S:S)</f>
        <v>0</v>
      </c>
      <c r="AS1711" t="e">
        <f>_xlfn.XLOOKUP(A1711,[3]Sheet1!$B:$B,[3]Sheet1!$B:$B)</f>
        <v>#N/A</v>
      </c>
    </row>
    <row r="1712" spans="1:46" x14ac:dyDescent="0.25">
      <c r="A1712" t="s">
        <v>4635</v>
      </c>
      <c r="B1712" s="63" t="s">
        <v>656</v>
      </c>
      <c r="C1712" t="s">
        <v>4632</v>
      </c>
      <c r="D1712" t="s">
        <v>554</v>
      </c>
      <c r="E1712" s="63">
        <v>1</v>
      </c>
      <c r="F1712" s="1" t="str">
        <f>VLOOKUP(H1712,'RM Used'!A:B,2,0)</f>
        <v>2961CS</v>
      </c>
      <c r="G1712" s="1" t="str">
        <f>IFERROR(VLOOKUP(F1712,'RM Cost'!A:B,2,0),"")</f>
        <v>RM - ARTICHOKES JERUSALEM  X5KG</v>
      </c>
      <c r="H1712" t="s">
        <v>4636</v>
      </c>
      <c r="I1712" s="1" t="str">
        <f>VLOOKUP(F1712,'RM Used'!B:D,3,0)</f>
        <v>RM-FOOD</v>
      </c>
      <c r="J1712" s="66">
        <v>1</v>
      </c>
      <c r="K1712" s="35">
        <f t="shared" si="530"/>
        <v>1</v>
      </c>
      <c r="L1712" s="35">
        <f t="shared" si="531"/>
        <v>1</v>
      </c>
      <c r="M1712" s="77" cm="1">
        <f t="array" ref="M1712">_xlfn.IFS(BOM!I1712="RM-PACKING","100%",B1712="Reynolds",VLOOKUP(H1712,'Yield &amp; Time'!A:V,22,0),BOM!B1712="Dnata",VLOOKUP(BOM!H1712,'Yield &amp; Time'!A:M,13,0),B1712="NK",VLOOKUP(H1712,'Yield &amp; Time'!A:X,24,0))</f>
        <v>0.66</v>
      </c>
      <c r="N1712" s="35">
        <f t="shared" si="535"/>
        <v>1.5151515151515151</v>
      </c>
      <c r="O1712" s="1" t="str">
        <f>VLOOKUP(H1712,'RM Used'!A:E,5,0)</f>
        <v>KG</v>
      </c>
      <c r="P1712" s="11">
        <f>VLOOKUP(H1712,'RM Used'!A:F,6,0)</f>
        <v>1.57</v>
      </c>
      <c r="Q1712" s="11">
        <f t="shared" si="528"/>
        <v>2.3787878787878789</v>
      </c>
      <c r="R1712" s="11" cm="1">
        <f t="array" ref="R1712">IFERROR(_xlfn.IFS(B1712="Reynolds",VLOOKUP(H1712,'Yield &amp; Time'!A:U,21,0),B1712="Dnata",VLOOKUP(H1712,'Yield &amp; Time'!A:L,12,0),B1712="NK",VLOOKUP(H1712,'Yield &amp; Time'!A:W,23,0)),0)</f>
        <v>6.51</v>
      </c>
      <c r="S1712" s="11">
        <f t="shared" si="532"/>
        <v>2.2036349999999998</v>
      </c>
      <c r="T1712" s="11">
        <f t="shared" si="533"/>
        <v>0.1085</v>
      </c>
      <c r="U1712" s="11">
        <f>IF(A1711=A1712,0,VLOOKUP(A1712,'Packing Time'!A:F,6,0))</f>
        <v>0.64500000000000002</v>
      </c>
      <c r="V1712" s="11">
        <f t="shared" si="538"/>
        <v>0.21833249999999998</v>
      </c>
      <c r="W1712" s="11">
        <f t="shared" si="539"/>
        <v>1.0750000000000001E-2</v>
      </c>
      <c r="X1712" s="11">
        <f t="shared" si="522"/>
        <v>3.8751479999999994</v>
      </c>
      <c r="Y1712" s="11">
        <f t="shared" si="540"/>
        <v>3.8751479999999994</v>
      </c>
      <c r="Z1712" s="37">
        <v>1</v>
      </c>
      <c r="AA1712" s="36">
        <f t="shared" si="523"/>
        <v>1.5151515151515151</v>
      </c>
      <c r="AB1712" s="11">
        <f t="shared" si="524"/>
        <v>2.3787878787878789</v>
      </c>
      <c r="AC1712" s="11">
        <f t="shared" si="525"/>
        <v>0.1908</v>
      </c>
      <c r="AD1712" s="36">
        <f t="shared" si="541"/>
        <v>3.8751479999999998</v>
      </c>
      <c r="AE1712" s="36" t="str">
        <f>VLOOKUP(H1712,'Yield &amp; Time'!A:I,9,0)</f>
        <v>NATURE SEAL A5</v>
      </c>
      <c r="AF1712" s="36">
        <f>IFERROR(VLOOKUP(AE1712,'Chemical Cost'!A:D,4,0),0)</f>
        <v>0.51079223287545206</v>
      </c>
      <c r="AG1712" s="114">
        <f t="shared" si="526"/>
        <v>0.25797587518962223</v>
      </c>
      <c r="AH1712" s="36">
        <f t="shared" si="534"/>
        <v>0.25797587518962223</v>
      </c>
      <c r="AI1712" s="36">
        <f t="shared" si="536"/>
        <v>6.5119117539775004</v>
      </c>
      <c r="AJ1712" s="36">
        <f>IFERROR(VLOOKUP(A1712,'All Products'!A:F,6,0),0)</f>
        <v>19.149999999999999</v>
      </c>
      <c r="AK1712" s="36"/>
      <c r="AL1712" s="23">
        <v>1</v>
      </c>
      <c r="AP1712" s="4">
        <v>1.6</v>
      </c>
      <c r="AQ1712" s="111">
        <f t="shared" si="527"/>
        <v>0.1908</v>
      </c>
      <c r="AR1712">
        <f>_xlfn.XLOOKUP(F1712,'RM Cost'!A:A,'RM Cost'!S:S)</f>
        <v>0</v>
      </c>
      <c r="AS1712" t="e">
        <f>_xlfn.XLOOKUP(A1712,[3]Sheet1!$B:$B,[3]Sheet1!$B:$B)</f>
        <v>#N/A</v>
      </c>
    </row>
    <row r="1713" spans="1:45" x14ac:dyDescent="0.25">
      <c r="A1713" t="s">
        <v>4635</v>
      </c>
      <c r="B1713" s="63" t="s">
        <v>656</v>
      </c>
      <c r="C1713" t="s">
        <v>4632</v>
      </c>
      <c r="D1713" t="s">
        <v>554</v>
      </c>
      <c r="E1713" s="63">
        <v>1</v>
      </c>
      <c r="F1713" s="1" t="str">
        <f>VLOOKUP(H1713,'RM Used'!A:B,2,0)</f>
        <v>P0008</v>
      </c>
      <c r="G1713" s="1" t="str">
        <f>IFERROR(VLOOKUP(F1713,'RM Cost'!A:B,2,0),"")</f>
        <v>PALE BLUE BAG 470X750MM</v>
      </c>
      <c r="H1713" s="2" t="s">
        <v>1323</v>
      </c>
      <c r="I1713" s="1" t="str">
        <f>VLOOKUP(F1713,'RM Used'!B:D,3,0)</f>
        <v>RM-PACKING</v>
      </c>
      <c r="J1713" s="66">
        <v>1</v>
      </c>
      <c r="K1713" s="35" t="str">
        <f t="shared" si="530"/>
        <v/>
      </c>
      <c r="L1713" s="35">
        <f t="shared" ref="L1713:L1744" si="542">IFERROR(K1713*Z1713,0)</f>
        <v>0</v>
      </c>
      <c r="M1713" s="77" t="str" cm="1">
        <f t="array" ref="M1713">_xlfn.IFS(BOM!I1713="RM-PACKING","100%",B1713="Reynolds",VLOOKUP(H1713,'Yield &amp; Time'!A:V,22,0),BOM!B1713="Dnata",VLOOKUP(BOM!H1713,'Yield &amp; Time'!A:M,13,0),B1713="NK",VLOOKUP(H1713,'Yield &amp; Time'!A:X,24,0))</f>
        <v>100%</v>
      </c>
      <c r="N1713" s="35">
        <f t="shared" si="535"/>
        <v>1</v>
      </c>
      <c r="O1713" s="1" t="str">
        <f>VLOOKUP(H1713,'RM Used'!A:E,5,0)</f>
        <v>Count</v>
      </c>
      <c r="P1713" s="11">
        <f>VLOOKUP(H1713,'RM Used'!A:F,6,0)</f>
        <v>0.14000000000000001</v>
      </c>
      <c r="Q1713" s="11">
        <f t="shared" si="528"/>
        <v>0.14000000000000001</v>
      </c>
      <c r="R1713" s="11" cm="1">
        <f t="array" ref="R1713">IFERROR(_xlfn.IFS(B1713="Reynolds",VLOOKUP(H1713,'Yield &amp; Time'!A:U,21,0),B1713="Dnata",VLOOKUP(H1713,'Yield &amp; Time'!A:L,12,0),B1713="NK",VLOOKUP(H1713,'Yield &amp; Time'!A:W,23,0)),0)</f>
        <v>0</v>
      </c>
      <c r="S1713" s="11">
        <f t="shared" ref="S1713:S1744" si="543">R1713*J1713*E1713*AO$1</f>
        <v>0</v>
      </c>
      <c r="T1713" s="11">
        <f t="shared" ref="T1713:T1744" si="544">(R1713*Z1713*J1713*E1713)/60</f>
        <v>0</v>
      </c>
      <c r="U1713" s="11">
        <f>IF(A1712=A1713,0,VLOOKUP(A1713,'Packing Time'!A:F,6,0))</f>
        <v>0</v>
      </c>
      <c r="V1713" s="11">
        <f t="shared" si="538"/>
        <v>0</v>
      </c>
      <c r="W1713" s="11">
        <f t="shared" si="539"/>
        <v>0</v>
      </c>
      <c r="X1713" s="11">
        <f t="shared" si="522"/>
        <v>0</v>
      </c>
      <c r="Y1713" s="11">
        <f t="shared" si="540"/>
        <v>0</v>
      </c>
      <c r="Z1713" s="37">
        <v>1</v>
      </c>
      <c r="AA1713" s="36">
        <f t="shared" si="523"/>
        <v>1</v>
      </c>
      <c r="AB1713" s="11">
        <f t="shared" si="524"/>
        <v>0.14000000000000001</v>
      </c>
      <c r="AC1713" s="11">
        <f t="shared" si="525"/>
        <v>0</v>
      </c>
      <c r="AD1713" s="36">
        <f t="shared" si="541"/>
        <v>0</v>
      </c>
      <c r="AE1713" s="36"/>
      <c r="AF1713" s="36">
        <f>IFERROR(VLOOKUP(AE1713,'Chemical Cost'!A:D,4,0),0)</f>
        <v>0</v>
      </c>
      <c r="AG1713" s="114">
        <f t="shared" si="526"/>
        <v>0</v>
      </c>
      <c r="AH1713" s="36">
        <f t="shared" si="534"/>
        <v>0</v>
      </c>
      <c r="AI1713" s="36">
        <f t="shared" si="536"/>
        <v>0.14000000000000001</v>
      </c>
      <c r="AJ1713" s="36">
        <f>IFERROR(VLOOKUP(A1713,'All Products'!A:F,6,0),0)</f>
        <v>19.149999999999999</v>
      </c>
      <c r="AK1713" s="36"/>
      <c r="AL1713" s="23">
        <v>1</v>
      </c>
      <c r="AP1713" s="4">
        <v>1.6</v>
      </c>
      <c r="AQ1713" s="111">
        <f t="shared" si="527"/>
        <v>0</v>
      </c>
      <c r="AR1713">
        <f>_xlfn.XLOOKUP(F1713,'RM Cost'!A:A,'RM Cost'!S:S)</f>
        <v>0</v>
      </c>
      <c r="AS1713" t="e">
        <f>_xlfn.XLOOKUP(A1713,[3]Sheet1!$B:$B,[3]Sheet1!$B:$B)</f>
        <v>#N/A</v>
      </c>
    </row>
    <row r="1714" spans="1:45" x14ac:dyDescent="0.25">
      <c r="A1714" t="s">
        <v>4634</v>
      </c>
      <c r="B1714" s="63" t="s">
        <v>656</v>
      </c>
      <c r="C1714" t="s">
        <v>4633</v>
      </c>
      <c r="D1714" t="s">
        <v>554</v>
      </c>
      <c r="E1714" s="63">
        <v>2.5</v>
      </c>
      <c r="F1714" s="1" t="str">
        <f>VLOOKUP(H1714,'RM Used'!A:B,2,0)</f>
        <v>2961CS</v>
      </c>
      <c r="G1714" s="1" t="str">
        <f>IFERROR(VLOOKUP(F1714,'RM Cost'!A:B,2,0),"")</f>
        <v>RM - ARTICHOKES JERUSALEM  X5KG</v>
      </c>
      <c r="H1714" t="s">
        <v>4636</v>
      </c>
      <c r="I1714" s="1" t="str">
        <f>VLOOKUP(F1714,'RM Used'!B:D,3,0)</f>
        <v>RM-FOOD</v>
      </c>
      <c r="J1714" s="66">
        <v>1</v>
      </c>
      <c r="K1714" s="35">
        <f t="shared" si="530"/>
        <v>2.5</v>
      </c>
      <c r="L1714" s="35">
        <f t="shared" si="542"/>
        <v>2.5</v>
      </c>
      <c r="M1714" s="77" cm="1">
        <f t="array" ref="M1714">_xlfn.IFS(BOM!I1714="RM-PACKING","100%",B1714="Reynolds",VLOOKUP(H1714,'Yield &amp; Time'!A:V,22,0),BOM!B1714="Dnata",VLOOKUP(BOM!H1714,'Yield &amp; Time'!A:M,13,0),B1714="NK",VLOOKUP(H1714,'Yield &amp; Time'!A:X,24,0))</f>
        <v>0.66</v>
      </c>
      <c r="N1714" s="35">
        <f t="shared" si="535"/>
        <v>3.7878787878787876</v>
      </c>
      <c r="O1714" s="1" t="str">
        <f>VLOOKUP(H1714,'RM Used'!A:E,5,0)</f>
        <v>KG</v>
      </c>
      <c r="P1714" s="11">
        <f>VLOOKUP(H1714,'RM Used'!A:F,6,0)</f>
        <v>1.57</v>
      </c>
      <c r="Q1714" s="11">
        <f t="shared" si="528"/>
        <v>5.9469696969696972</v>
      </c>
      <c r="R1714" s="11" cm="1">
        <f t="array" ref="R1714">IFERROR(_xlfn.IFS(B1714="Reynolds",VLOOKUP(H1714,'Yield &amp; Time'!A:U,21,0),B1714="Dnata",VLOOKUP(H1714,'Yield &amp; Time'!A:L,12,0),B1714="NK",VLOOKUP(H1714,'Yield &amp; Time'!A:W,23,0)),0)</f>
        <v>6.51</v>
      </c>
      <c r="S1714" s="11">
        <f t="shared" si="543"/>
        <v>5.5090874999999988</v>
      </c>
      <c r="T1714" s="11">
        <f t="shared" si="544"/>
        <v>0.27124999999999999</v>
      </c>
      <c r="U1714" s="11">
        <f>IF(A1713=A1714,0,VLOOKUP(A1714,'Packing Time'!A:F,6,0))</f>
        <v>0.875</v>
      </c>
      <c r="V1714" s="11">
        <f t="shared" si="538"/>
        <v>0.29618749999999999</v>
      </c>
      <c r="W1714" s="11">
        <f t="shared" si="539"/>
        <v>1.4583333333333334E-2</v>
      </c>
      <c r="X1714" s="11">
        <f t="shared" si="522"/>
        <v>9.2884399999999996</v>
      </c>
      <c r="Y1714" s="11">
        <f t="shared" si="540"/>
        <v>9.2884399999999996</v>
      </c>
      <c r="Z1714" s="37">
        <v>1</v>
      </c>
      <c r="AA1714" s="36">
        <f t="shared" si="523"/>
        <v>3.7878787878787876</v>
      </c>
      <c r="AB1714" s="11">
        <f t="shared" si="524"/>
        <v>5.9469696969696972</v>
      </c>
      <c r="AC1714" s="11">
        <f t="shared" si="525"/>
        <v>0.45733333333333337</v>
      </c>
      <c r="AD1714" s="36">
        <f t="shared" si="541"/>
        <v>9.2884399999999996</v>
      </c>
      <c r="AE1714" s="36" t="str">
        <f>VLOOKUP(H1714,'Yield &amp; Time'!A:I,9,0)</f>
        <v>NATURE SEAL A5</v>
      </c>
      <c r="AF1714" s="36">
        <f>IFERROR(VLOOKUP(AE1714,'Chemical Cost'!A:D,4,0),0)</f>
        <v>0.51079223287545206</v>
      </c>
      <c r="AG1714" s="114">
        <f t="shared" si="526"/>
        <v>0.64493968797405554</v>
      </c>
      <c r="AH1714" s="36">
        <f t="shared" si="534"/>
        <v>0.64493968797405554</v>
      </c>
      <c r="AI1714" s="36">
        <f t="shared" si="536"/>
        <v>15.880349384943752</v>
      </c>
      <c r="AJ1714" s="36">
        <f>IFERROR(VLOOKUP(A1714,'All Products'!A:F,6,0),0)</f>
        <v>48.75</v>
      </c>
      <c r="AK1714" s="36"/>
      <c r="AL1714" s="23">
        <v>1</v>
      </c>
      <c r="AP1714" s="4">
        <v>1.6</v>
      </c>
      <c r="AQ1714" s="111">
        <f t="shared" si="527"/>
        <v>0.45733333333333337</v>
      </c>
      <c r="AR1714">
        <f>_xlfn.XLOOKUP(F1714,'RM Cost'!A:A,'RM Cost'!S:S)</f>
        <v>0</v>
      </c>
      <c r="AS1714" t="e">
        <f>_xlfn.XLOOKUP(A1714,[3]Sheet1!$B:$B,[3]Sheet1!$B:$B)</f>
        <v>#N/A</v>
      </c>
    </row>
    <row r="1715" spans="1:45" x14ac:dyDescent="0.25">
      <c r="A1715" t="s">
        <v>4634</v>
      </c>
      <c r="B1715" s="63" t="s">
        <v>656</v>
      </c>
      <c r="C1715" t="s">
        <v>4633</v>
      </c>
      <c r="D1715" t="s">
        <v>554</v>
      </c>
      <c r="E1715" s="63">
        <v>2.5</v>
      </c>
      <c r="F1715" s="1" t="str">
        <f>VLOOKUP(H1715,'RM Used'!A:B,2,0)</f>
        <v>P0008</v>
      </c>
      <c r="G1715" s="1" t="str">
        <f>IFERROR(VLOOKUP(F1715,'RM Cost'!A:B,2,0),"")</f>
        <v>PALE BLUE BAG 470X750MM</v>
      </c>
      <c r="H1715" s="2" t="s">
        <v>1323</v>
      </c>
      <c r="I1715" s="1" t="str">
        <f>VLOOKUP(F1715,'RM Used'!B:D,3,0)</f>
        <v>RM-PACKING</v>
      </c>
      <c r="J1715" s="66">
        <v>1</v>
      </c>
      <c r="K1715" s="35" t="str">
        <f t="shared" si="530"/>
        <v/>
      </c>
      <c r="L1715" s="35">
        <f t="shared" si="542"/>
        <v>0</v>
      </c>
      <c r="M1715" s="77" t="str" cm="1">
        <f t="array" ref="M1715">_xlfn.IFS(BOM!I1715="RM-PACKING","100%",B1715="Reynolds",VLOOKUP(H1715,'Yield &amp; Time'!A:V,22,0),BOM!B1715="Dnata",VLOOKUP(BOM!H1715,'Yield &amp; Time'!A:M,13,0),B1715="NK",VLOOKUP(H1715,'Yield &amp; Time'!A:X,24,0))</f>
        <v>100%</v>
      </c>
      <c r="N1715" s="35">
        <f t="shared" si="535"/>
        <v>1</v>
      </c>
      <c r="O1715" s="1" t="str">
        <f>VLOOKUP(H1715,'RM Used'!A:E,5,0)</f>
        <v>Count</v>
      </c>
      <c r="P1715" s="11">
        <f>VLOOKUP(H1715,'RM Used'!A:F,6,0)</f>
        <v>0.14000000000000001</v>
      </c>
      <c r="Q1715" s="11">
        <f t="shared" si="528"/>
        <v>0.14000000000000001</v>
      </c>
      <c r="R1715" s="11" cm="1">
        <f t="array" ref="R1715">IFERROR(_xlfn.IFS(B1715="Reynolds",VLOOKUP(H1715,'Yield &amp; Time'!A:U,21,0),B1715="Dnata",VLOOKUP(H1715,'Yield &amp; Time'!A:L,12,0),B1715="NK",VLOOKUP(H1715,'Yield &amp; Time'!A:W,23,0)),0)</f>
        <v>0</v>
      </c>
      <c r="S1715" s="11">
        <f t="shared" si="543"/>
        <v>0</v>
      </c>
      <c r="T1715" s="11">
        <f t="shared" si="544"/>
        <v>0</v>
      </c>
      <c r="U1715" s="11">
        <f>IF(A1714=A1715,0,VLOOKUP(A1715,'Packing Time'!A:F,6,0))</f>
        <v>0</v>
      </c>
      <c r="V1715" s="11">
        <f t="shared" si="538"/>
        <v>0</v>
      </c>
      <c r="W1715" s="11">
        <f t="shared" si="539"/>
        <v>0</v>
      </c>
      <c r="X1715" s="11">
        <f t="shared" si="522"/>
        <v>0</v>
      </c>
      <c r="Y1715" s="11">
        <f t="shared" si="540"/>
        <v>0</v>
      </c>
      <c r="Z1715" s="37">
        <v>1</v>
      </c>
      <c r="AA1715" s="36">
        <f t="shared" si="523"/>
        <v>1</v>
      </c>
      <c r="AB1715" s="11">
        <f t="shared" si="524"/>
        <v>0.14000000000000001</v>
      </c>
      <c r="AC1715" s="11">
        <f t="shared" si="525"/>
        <v>0</v>
      </c>
      <c r="AD1715" s="36">
        <f t="shared" si="541"/>
        <v>0</v>
      </c>
      <c r="AE1715" s="36"/>
      <c r="AF1715" s="36">
        <f>IFERROR(VLOOKUP(AE1715,'Chemical Cost'!A:D,4,0),0)</f>
        <v>0</v>
      </c>
      <c r="AG1715" s="114">
        <f t="shared" si="526"/>
        <v>0</v>
      </c>
      <c r="AH1715" s="36">
        <f t="shared" si="534"/>
        <v>0</v>
      </c>
      <c r="AI1715" s="36">
        <f t="shared" si="536"/>
        <v>0.14000000000000001</v>
      </c>
      <c r="AJ1715" s="36">
        <f>IFERROR(VLOOKUP(A1715,'All Products'!A:F,6,0),0)</f>
        <v>48.75</v>
      </c>
      <c r="AK1715" s="36"/>
      <c r="AL1715" s="23">
        <v>1</v>
      </c>
      <c r="AP1715" s="4">
        <v>1.6</v>
      </c>
      <c r="AQ1715" s="111">
        <f t="shared" si="527"/>
        <v>0</v>
      </c>
      <c r="AR1715">
        <f>_xlfn.XLOOKUP(F1715,'RM Cost'!A:A,'RM Cost'!S:S)</f>
        <v>0</v>
      </c>
      <c r="AS1715" t="e">
        <f>_xlfn.XLOOKUP(A1715,[3]Sheet1!$B:$B,[3]Sheet1!$B:$B)</f>
        <v>#N/A</v>
      </c>
    </row>
    <row r="1716" spans="1:45" x14ac:dyDescent="0.25">
      <c r="A1716" t="s">
        <v>4637</v>
      </c>
      <c r="B1716" s="63" t="s">
        <v>656</v>
      </c>
      <c r="C1716" t="s">
        <v>4643</v>
      </c>
      <c r="D1716" t="s">
        <v>554</v>
      </c>
      <c r="E1716" s="63">
        <v>1</v>
      </c>
      <c r="F1716" s="1" t="str">
        <f>VLOOKUP(H1716,'RM Used'!A:B,2,0)</f>
        <v>3136CS</v>
      </c>
      <c r="G1716" s="1" t="str">
        <f>IFERROR(VLOOKUP(F1716,'RM Cost'!A:B,2,0),"")</f>
        <v>RM - PROCESSING LEEKS 5KG</v>
      </c>
      <c r="H1716" t="s">
        <v>4647</v>
      </c>
      <c r="I1716" s="1" t="str">
        <f>VLOOKUP(F1716,'RM Used'!B:D,3,0)</f>
        <v>RM-FOOD</v>
      </c>
      <c r="J1716" s="66">
        <v>1</v>
      </c>
      <c r="K1716" s="35">
        <f t="shared" si="530"/>
        <v>1</v>
      </c>
      <c r="L1716" s="35">
        <f t="shared" si="542"/>
        <v>1</v>
      </c>
      <c r="M1716" s="77" cm="1">
        <f t="array" ref="M1716">_xlfn.IFS(BOM!I1716="RM-PACKING","100%",B1716="Reynolds",VLOOKUP(H1716,'Yield &amp; Time'!A:V,22,0),BOM!B1716="Dnata",VLOOKUP(BOM!H1716,'Yield &amp; Time'!A:M,13,0),B1716="NK",VLOOKUP(H1716,'Yield &amp; Time'!A:X,24,0))</f>
        <v>0.26</v>
      </c>
      <c r="N1716" s="35">
        <f t="shared" si="535"/>
        <v>3.8461538461538458</v>
      </c>
      <c r="O1716" s="1" t="str">
        <f>VLOOKUP(H1716,'RM Used'!A:E,5,0)</f>
        <v>KG</v>
      </c>
      <c r="P1716" s="11">
        <f>VLOOKUP(H1716,'RM Used'!A:F,6,0)</f>
        <v>1.05</v>
      </c>
      <c r="Q1716" s="11">
        <f t="shared" si="528"/>
        <v>4.0384615384615383</v>
      </c>
      <c r="R1716" s="11" cm="1">
        <f t="array" ref="R1716">IFERROR(_xlfn.IFS(B1716="Reynolds",VLOOKUP(H1716,'Yield &amp; Time'!A:U,21,0),B1716="Dnata",VLOOKUP(H1716,'Yield &amp; Time'!A:L,12,0),B1716="NK",VLOOKUP(H1716,'Yield &amp; Time'!A:W,23,0)),0)</f>
        <v>3.5185185185185182</v>
      </c>
      <c r="S1716" s="11">
        <f t="shared" si="543"/>
        <v>1.1910185185185183</v>
      </c>
      <c r="T1716" s="11">
        <f t="shared" si="544"/>
        <v>5.8641975308641972E-2</v>
      </c>
      <c r="U1716" s="11">
        <f>IF(A1715=A1716,0,VLOOKUP(A1716,'Packing Time'!A:F,6,0))</f>
        <v>0.64500000000000002</v>
      </c>
      <c r="V1716" s="11">
        <f t="shared" si="538"/>
        <v>0.21833249999999998</v>
      </c>
      <c r="W1716" s="11">
        <f t="shared" si="539"/>
        <v>1.0750000000000001E-2</v>
      </c>
      <c r="X1716" s="11">
        <f t="shared" si="522"/>
        <v>2.2549616296296295</v>
      </c>
      <c r="Y1716" s="11">
        <f t="shared" si="540"/>
        <v>2.2549616296296295</v>
      </c>
      <c r="Z1716" s="37">
        <v>1</v>
      </c>
      <c r="AA1716" s="36">
        <f t="shared" si="523"/>
        <v>3.8461538461538458</v>
      </c>
      <c r="AB1716" s="11">
        <f t="shared" si="524"/>
        <v>4.0384615384615383</v>
      </c>
      <c r="AC1716" s="11">
        <f t="shared" si="525"/>
        <v>0.11102716049382717</v>
      </c>
      <c r="AD1716" s="36">
        <f t="shared" si="541"/>
        <v>2.25496162962963</v>
      </c>
      <c r="AE1716" s="36"/>
      <c r="AF1716" s="36">
        <f>IFERROR(VLOOKUP(AE1716,'Chemical Cost'!A:D,4,0),0)</f>
        <v>0</v>
      </c>
      <c r="AG1716" s="114">
        <f t="shared" si="526"/>
        <v>0</v>
      </c>
      <c r="AH1716" s="36">
        <f t="shared" si="534"/>
        <v>0</v>
      </c>
      <c r="AI1716" s="36">
        <f t="shared" si="536"/>
        <v>6.2934231680911683</v>
      </c>
      <c r="AJ1716" s="36">
        <f>IFERROR(VLOOKUP(A1716,'All Products'!A:F,6,0),0)</f>
        <v>10.63</v>
      </c>
      <c r="AK1716" s="36"/>
      <c r="AL1716" s="23">
        <v>1</v>
      </c>
      <c r="AP1716" s="4">
        <v>1.6</v>
      </c>
      <c r="AQ1716" s="111">
        <f t="shared" si="527"/>
        <v>0.11102716049382717</v>
      </c>
      <c r="AR1716">
        <f>_xlfn.XLOOKUP(F1716,'RM Cost'!A:A,'RM Cost'!S:S)</f>
        <v>0</v>
      </c>
      <c r="AS1716" t="e">
        <f>_xlfn.XLOOKUP(A1716,[3]Sheet1!$B:$B,[3]Sheet1!$B:$B)</f>
        <v>#N/A</v>
      </c>
    </row>
    <row r="1717" spans="1:45" x14ac:dyDescent="0.25">
      <c r="A1717" t="s">
        <v>4637</v>
      </c>
      <c r="B1717" s="63" t="s">
        <v>656</v>
      </c>
      <c r="C1717" t="s">
        <v>4643</v>
      </c>
      <c r="D1717" t="s">
        <v>554</v>
      </c>
      <c r="E1717" s="63">
        <v>1</v>
      </c>
      <c r="F1717" s="1" t="str">
        <f>VLOOKUP(H1717,'RM Used'!A:B,2,0)</f>
        <v>P0008</v>
      </c>
      <c r="G1717" s="1" t="str">
        <f>IFERROR(VLOOKUP(F1717,'RM Cost'!A:B,2,0),"")</f>
        <v>PALE BLUE BAG 470X750MM</v>
      </c>
      <c r="H1717" s="2" t="s">
        <v>1323</v>
      </c>
      <c r="I1717" s="1" t="str">
        <f>VLOOKUP(F1717,'RM Used'!B:D,3,0)</f>
        <v>RM-PACKING</v>
      </c>
      <c r="J1717" s="66">
        <v>1</v>
      </c>
      <c r="K1717" s="35" t="str">
        <f t="shared" si="530"/>
        <v/>
      </c>
      <c r="L1717" s="35">
        <f t="shared" si="542"/>
        <v>0</v>
      </c>
      <c r="M1717" s="77" t="str" cm="1">
        <f t="array" ref="M1717">_xlfn.IFS(BOM!I1717="RM-PACKING","100%",B1717="Reynolds",VLOOKUP(H1717,'Yield &amp; Time'!A:V,22,0),BOM!B1717="Dnata",VLOOKUP(BOM!H1717,'Yield &amp; Time'!A:M,13,0),B1717="NK",VLOOKUP(H1717,'Yield &amp; Time'!A:X,24,0))</f>
        <v>100%</v>
      </c>
      <c r="N1717" s="35">
        <f t="shared" si="535"/>
        <v>1</v>
      </c>
      <c r="O1717" s="1" t="str">
        <f>VLOOKUP(H1717,'RM Used'!A:E,5,0)</f>
        <v>Count</v>
      </c>
      <c r="P1717" s="11">
        <f>VLOOKUP(H1717,'RM Used'!A:F,6,0)</f>
        <v>0.14000000000000001</v>
      </c>
      <c r="Q1717" s="11">
        <f t="shared" si="528"/>
        <v>0.14000000000000001</v>
      </c>
      <c r="R1717" s="11" cm="1">
        <f t="array" ref="R1717">IFERROR(_xlfn.IFS(B1717="Reynolds",VLOOKUP(H1717,'Yield &amp; Time'!A:U,21,0),B1717="Dnata",VLOOKUP(H1717,'Yield &amp; Time'!A:L,12,0),B1717="NK",VLOOKUP(H1717,'Yield &amp; Time'!A:W,23,0)),0)</f>
        <v>0</v>
      </c>
      <c r="S1717" s="11">
        <f t="shared" si="543"/>
        <v>0</v>
      </c>
      <c r="T1717" s="11">
        <f t="shared" si="544"/>
        <v>0</v>
      </c>
      <c r="U1717" s="11">
        <f>IF(A1716=A1717,0,VLOOKUP(A1717,'Packing Time'!A:F,6,0))</f>
        <v>0</v>
      </c>
      <c r="V1717" s="11">
        <f t="shared" si="538"/>
        <v>0</v>
      </c>
      <c r="W1717" s="11">
        <f t="shared" si="539"/>
        <v>0</v>
      </c>
      <c r="X1717" s="11">
        <f t="shared" si="522"/>
        <v>0</v>
      </c>
      <c r="Y1717" s="11">
        <f t="shared" si="540"/>
        <v>0</v>
      </c>
      <c r="Z1717" s="37">
        <v>1</v>
      </c>
      <c r="AA1717" s="36">
        <f t="shared" si="523"/>
        <v>1</v>
      </c>
      <c r="AB1717" s="11">
        <f t="shared" si="524"/>
        <v>0.14000000000000001</v>
      </c>
      <c r="AC1717" s="11">
        <f t="shared" si="525"/>
        <v>0</v>
      </c>
      <c r="AD1717" s="36">
        <f t="shared" si="541"/>
        <v>0</v>
      </c>
      <c r="AE1717" s="36"/>
      <c r="AF1717" s="36">
        <f>IFERROR(VLOOKUP(AE1717,'Chemical Cost'!A:D,4,0),0)</f>
        <v>0</v>
      </c>
      <c r="AG1717" s="114">
        <f t="shared" si="526"/>
        <v>0</v>
      </c>
      <c r="AH1717" s="36">
        <f t="shared" si="534"/>
        <v>0</v>
      </c>
      <c r="AI1717" s="36">
        <f t="shared" si="536"/>
        <v>0.14000000000000001</v>
      </c>
      <c r="AJ1717" s="36">
        <f>IFERROR(VLOOKUP(A1717,'All Products'!A:F,6,0),0)</f>
        <v>10.63</v>
      </c>
      <c r="AK1717" s="36"/>
      <c r="AL1717" s="23">
        <v>1</v>
      </c>
      <c r="AP1717" s="4">
        <v>1.6</v>
      </c>
      <c r="AQ1717" s="111">
        <f t="shared" si="527"/>
        <v>0</v>
      </c>
      <c r="AR1717">
        <f>_xlfn.XLOOKUP(F1717,'RM Cost'!A:A,'RM Cost'!S:S)</f>
        <v>0</v>
      </c>
      <c r="AS1717" t="e">
        <f>_xlfn.XLOOKUP(A1717,[3]Sheet1!$B:$B,[3]Sheet1!$B:$B)</f>
        <v>#N/A</v>
      </c>
    </row>
    <row r="1718" spans="1:45" x14ac:dyDescent="0.25">
      <c r="A1718" t="s">
        <v>4638</v>
      </c>
      <c r="B1718" s="63" t="s">
        <v>656</v>
      </c>
      <c r="C1718" t="s">
        <v>4644</v>
      </c>
      <c r="D1718" t="s">
        <v>554</v>
      </c>
      <c r="E1718" s="63">
        <v>2.5</v>
      </c>
      <c r="F1718" s="1" t="str">
        <f>VLOOKUP(H1718,'RM Used'!A:B,2,0)</f>
        <v>3136CS</v>
      </c>
      <c r="G1718" s="1" t="str">
        <f>IFERROR(VLOOKUP(F1718,'RM Cost'!A:B,2,0),"")</f>
        <v>RM - PROCESSING LEEKS 5KG</v>
      </c>
      <c r="H1718" t="s">
        <v>4647</v>
      </c>
      <c r="I1718" s="1" t="str">
        <f>VLOOKUP(F1718,'RM Used'!B:D,3,0)</f>
        <v>RM-FOOD</v>
      </c>
      <c r="J1718" s="66">
        <v>1</v>
      </c>
      <c r="K1718" s="35">
        <f t="shared" si="530"/>
        <v>2.5</v>
      </c>
      <c r="L1718" s="35">
        <f t="shared" si="542"/>
        <v>2.5</v>
      </c>
      <c r="M1718" s="77" cm="1">
        <f t="array" ref="M1718">_xlfn.IFS(BOM!I1718="RM-PACKING","100%",B1718="Reynolds",VLOOKUP(H1718,'Yield &amp; Time'!A:V,22,0),BOM!B1718="Dnata",VLOOKUP(BOM!H1718,'Yield &amp; Time'!A:M,13,0),B1718="NK",VLOOKUP(H1718,'Yield &amp; Time'!A:X,24,0))</f>
        <v>0.26</v>
      </c>
      <c r="N1718" s="35">
        <f t="shared" si="535"/>
        <v>9.615384615384615</v>
      </c>
      <c r="O1718" s="1" t="str">
        <f>VLOOKUP(H1718,'RM Used'!A:E,5,0)</f>
        <v>KG</v>
      </c>
      <c r="P1718" s="11">
        <f>VLOOKUP(H1718,'RM Used'!A:F,6,0)</f>
        <v>1.05</v>
      </c>
      <c r="Q1718" s="11">
        <f t="shared" si="528"/>
        <v>10.096153846153847</v>
      </c>
      <c r="R1718" s="11" cm="1">
        <f t="array" ref="R1718">IFERROR(_xlfn.IFS(B1718="Reynolds",VLOOKUP(H1718,'Yield &amp; Time'!A:U,21,0),B1718="Dnata",VLOOKUP(H1718,'Yield &amp; Time'!A:L,12,0),B1718="NK",VLOOKUP(H1718,'Yield &amp; Time'!A:W,23,0)),0)</f>
        <v>3.5185185185185182</v>
      </c>
      <c r="S1718" s="11">
        <f t="shared" si="543"/>
        <v>2.9775462962962957</v>
      </c>
      <c r="T1718" s="11">
        <f t="shared" si="544"/>
        <v>0.14660493827160492</v>
      </c>
      <c r="U1718" s="11">
        <f>IF(A1717=A1718,0,VLOOKUP(A1718,'Packing Time'!A:F,6,0))</f>
        <v>0.875</v>
      </c>
      <c r="V1718" s="11">
        <f t="shared" si="538"/>
        <v>0.29618749999999999</v>
      </c>
      <c r="W1718" s="11">
        <f t="shared" si="539"/>
        <v>1.4583333333333334E-2</v>
      </c>
      <c r="X1718" s="11">
        <f t="shared" si="522"/>
        <v>5.2379740740740743</v>
      </c>
      <c r="Y1718" s="11">
        <f t="shared" si="540"/>
        <v>5.2379740740740743</v>
      </c>
      <c r="Z1718" s="37">
        <v>1</v>
      </c>
      <c r="AA1718" s="36">
        <f t="shared" si="523"/>
        <v>9.615384615384615</v>
      </c>
      <c r="AB1718" s="11">
        <f t="shared" si="524"/>
        <v>10.096153846153847</v>
      </c>
      <c r="AC1718" s="11">
        <f t="shared" si="525"/>
        <v>0.25790123456790121</v>
      </c>
      <c r="AD1718" s="36">
        <f t="shared" si="541"/>
        <v>5.2379740740740734</v>
      </c>
      <c r="AE1718" s="36"/>
      <c r="AF1718" s="36">
        <f>IFERROR(VLOOKUP(AE1718,'Chemical Cost'!A:D,4,0),0)</f>
        <v>0</v>
      </c>
      <c r="AG1718" s="114">
        <f t="shared" si="526"/>
        <v>0</v>
      </c>
      <c r="AH1718" s="36">
        <f t="shared" si="534"/>
        <v>0</v>
      </c>
      <c r="AI1718" s="36">
        <f t="shared" si="536"/>
        <v>15.334127920227921</v>
      </c>
      <c r="AJ1718" s="36">
        <f>IFERROR(VLOOKUP(A1718,'All Products'!A:F,6,0),0)</f>
        <v>0</v>
      </c>
      <c r="AK1718" s="36"/>
      <c r="AL1718" s="23">
        <v>1</v>
      </c>
      <c r="AP1718" s="4">
        <v>1.6</v>
      </c>
      <c r="AQ1718" s="111">
        <f t="shared" si="527"/>
        <v>0.25790123456790121</v>
      </c>
      <c r="AR1718">
        <f>_xlfn.XLOOKUP(F1718,'RM Cost'!A:A,'RM Cost'!S:S)</f>
        <v>0</v>
      </c>
      <c r="AS1718" t="e">
        <f>_xlfn.XLOOKUP(A1718,[3]Sheet1!$B:$B,[3]Sheet1!$B:$B)</f>
        <v>#N/A</v>
      </c>
    </row>
    <row r="1719" spans="1:45" x14ac:dyDescent="0.25">
      <c r="A1719" t="s">
        <v>4638</v>
      </c>
      <c r="B1719" s="63" t="s">
        <v>656</v>
      </c>
      <c r="C1719" t="s">
        <v>4644</v>
      </c>
      <c r="D1719" t="s">
        <v>554</v>
      </c>
      <c r="E1719" s="63">
        <v>2.5</v>
      </c>
      <c r="F1719" s="1" t="str">
        <f>VLOOKUP(H1719,'RM Used'!A:B,2,0)</f>
        <v>P0008</v>
      </c>
      <c r="G1719" s="1" t="str">
        <f>IFERROR(VLOOKUP(F1719,'RM Cost'!A:B,2,0),"")</f>
        <v>PALE BLUE BAG 470X750MM</v>
      </c>
      <c r="H1719" s="2" t="s">
        <v>1323</v>
      </c>
      <c r="I1719" s="1" t="str">
        <f>VLOOKUP(F1719,'RM Used'!B:D,3,0)</f>
        <v>RM-PACKING</v>
      </c>
      <c r="J1719" s="66">
        <v>1</v>
      </c>
      <c r="K1719" s="35" t="str">
        <f t="shared" si="530"/>
        <v/>
      </c>
      <c r="L1719" s="35">
        <f t="shared" si="542"/>
        <v>0</v>
      </c>
      <c r="M1719" s="77" t="str" cm="1">
        <f t="array" ref="M1719">_xlfn.IFS(BOM!I1719="RM-PACKING","100%",B1719="Reynolds",VLOOKUP(H1719,'Yield &amp; Time'!A:V,22,0),BOM!B1719="Dnata",VLOOKUP(BOM!H1719,'Yield &amp; Time'!A:M,13,0),B1719="NK",VLOOKUP(H1719,'Yield &amp; Time'!A:X,24,0))</f>
        <v>100%</v>
      </c>
      <c r="N1719" s="35">
        <f t="shared" si="535"/>
        <v>1</v>
      </c>
      <c r="O1719" s="1" t="str">
        <f>VLOOKUP(H1719,'RM Used'!A:E,5,0)</f>
        <v>Count</v>
      </c>
      <c r="P1719" s="11">
        <f>VLOOKUP(H1719,'RM Used'!A:F,6,0)</f>
        <v>0.14000000000000001</v>
      </c>
      <c r="Q1719" s="11">
        <f t="shared" si="528"/>
        <v>0.14000000000000001</v>
      </c>
      <c r="R1719" s="11" cm="1">
        <f t="array" ref="R1719">IFERROR(_xlfn.IFS(B1719="Reynolds",VLOOKUP(H1719,'Yield &amp; Time'!A:U,21,0),B1719="Dnata",VLOOKUP(H1719,'Yield &amp; Time'!A:L,12,0),B1719="NK",VLOOKUP(H1719,'Yield &amp; Time'!A:W,23,0)),0)</f>
        <v>0</v>
      </c>
      <c r="S1719" s="11">
        <f t="shared" si="543"/>
        <v>0</v>
      </c>
      <c r="T1719" s="11">
        <f t="shared" si="544"/>
        <v>0</v>
      </c>
      <c r="U1719" s="11">
        <f>IF(A1718=A1719,0,VLOOKUP(A1719,'Packing Time'!A:F,6,0))</f>
        <v>0</v>
      </c>
      <c r="V1719" s="11">
        <f t="shared" si="538"/>
        <v>0</v>
      </c>
      <c r="W1719" s="11">
        <f t="shared" si="539"/>
        <v>0</v>
      </c>
      <c r="X1719" s="11">
        <f t="shared" si="522"/>
        <v>0</v>
      </c>
      <c r="Y1719" s="11">
        <f t="shared" si="540"/>
        <v>0</v>
      </c>
      <c r="Z1719" s="37">
        <v>1</v>
      </c>
      <c r="AA1719" s="36">
        <f t="shared" si="523"/>
        <v>1</v>
      </c>
      <c r="AB1719" s="11">
        <f t="shared" si="524"/>
        <v>0.14000000000000001</v>
      </c>
      <c r="AC1719" s="11">
        <f t="shared" si="525"/>
        <v>0</v>
      </c>
      <c r="AD1719" s="36">
        <f t="shared" si="541"/>
        <v>0</v>
      </c>
      <c r="AE1719" s="36"/>
      <c r="AF1719" s="36">
        <f>IFERROR(VLOOKUP(AE1719,'Chemical Cost'!A:D,4,0),0)</f>
        <v>0</v>
      </c>
      <c r="AG1719" s="114">
        <f t="shared" si="526"/>
        <v>0</v>
      </c>
      <c r="AH1719" s="36">
        <f t="shared" si="534"/>
        <v>0</v>
      </c>
      <c r="AI1719" s="36">
        <f t="shared" si="536"/>
        <v>0.14000000000000001</v>
      </c>
      <c r="AJ1719" s="36">
        <f>IFERROR(VLOOKUP(A1719,'All Products'!A:F,6,0),0)</f>
        <v>0</v>
      </c>
      <c r="AK1719" s="36"/>
      <c r="AL1719" s="23">
        <v>1</v>
      </c>
      <c r="AP1719" s="4">
        <v>1.6</v>
      </c>
      <c r="AQ1719" s="111">
        <f t="shared" si="527"/>
        <v>0</v>
      </c>
      <c r="AR1719">
        <f>_xlfn.XLOOKUP(F1719,'RM Cost'!A:A,'RM Cost'!S:S)</f>
        <v>0</v>
      </c>
      <c r="AS1719" t="e">
        <f>_xlfn.XLOOKUP(A1719,[3]Sheet1!$B:$B,[3]Sheet1!$B:$B)</f>
        <v>#N/A</v>
      </c>
    </row>
    <row r="1720" spans="1:45" x14ac:dyDescent="0.25">
      <c r="A1720" t="s">
        <v>4639</v>
      </c>
      <c r="B1720" s="63" t="s">
        <v>656</v>
      </c>
      <c r="C1720" t="s">
        <v>723</v>
      </c>
      <c r="D1720" t="s">
        <v>554</v>
      </c>
      <c r="E1720" s="63">
        <v>1</v>
      </c>
      <c r="F1720" s="1" t="str">
        <f>VLOOKUP(H1720,'RM Used'!A:B,2,0)</f>
        <v>032ACS</v>
      </c>
      <c r="G1720" s="1" t="str">
        <f>IFERROR(VLOOKUP(F1720,'RM Cost'!A:B,2,0),"")</f>
        <v>RM - LRG PROCESSING CARROT X 1000KG</v>
      </c>
      <c r="H1720" s="2" t="s">
        <v>1493</v>
      </c>
      <c r="I1720" s="1" t="str">
        <f>VLOOKUP(F1720,'RM Used'!B:D,3,0)</f>
        <v>RM-FOOD</v>
      </c>
      <c r="J1720" s="66">
        <v>1</v>
      </c>
      <c r="K1720" s="35">
        <f t="shared" si="530"/>
        <v>1</v>
      </c>
      <c r="L1720" s="35">
        <f t="shared" si="542"/>
        <v>1</v>
      </c>
      <c r="M1720" s="77" cm="1">
        <f t="array" ref="M1720">_xlfn.IFS(BOM!I1720="RM-PACKING","100%",B1720="Reynolds",VLOOKUP(H1720,'Yield &amp; Time'!A:V,22,0),BOM!B1720="Dnata",VLOOKUP(BOM!H1720,'Yield &amp; Time'!A:M,13,0),B1720="NK",VLOOKUP(H1720,'Yield &amp; Time'!A:X,24,0))</f>
        <v>0.53370277950915401</v>
      </c>
      <c r="N1720" s="35">
        <f t="shared" si="535"/>
        <v>1.8737020648828158</v>
      </c>
      <c r="O1720" s="1" t="str">
        <f>VLOOKUP(H1720,'RM Used'!A:E,5,0)</f>
        <v>KG</v>
      </c>
      <c r="P1720" s="11">
        <f>VLOOKUP(H1720,'RM Used'!A:F,6,0)</f>
        <v>0.38</v>
      </c>
      <c r="Q1720" s="11">
        <f t="shared" si="528"/>
        <v>0.71200678465546996</v>
      </c>
      <c r="R1720" s="11" cm="1">
        <f t="array" ref="R1720">IFERROR(_xlfn.IFS(B1720="Reynolds",VLOOKUP(H1720,'Yield &amp; Time'!A:U,21,0),B1720="Dnata",VLOOKUP(H1720,'Yield &amp; Time'!A:L,12,0),B1720="NK",VLOOKUP(H1720,'Yield &amp; Time'!A:W,23,0)),0)</f>
        <v>1.8318755501749584</v>
      </c>
      <c r="S1720" s="11">
        <f t="shared" si="543"/>
        <v>0.62008987373422331</v>
      </c>
      <c r="T1720" s="11">
        <f t="shared" si="544"/>
        <v>3.0531259169582641E-2</v>
      </c>
      <c r="U1720" s="11">
        <f>IF(A1719=A1720,0,VLOOKUP(A1720,'Packing Time'!A:F,6,0))</f>
        <v>0.64500000000000002</v>
      </c>
      <c r="V1720" s="11">
        <f t="shared" si="538"/>
        <v>0.21833249999999998</v>
      </c>
      <c r="W1720" s="11">
        <f t="shared" si="539"/>
        <v>1.0750000000000001E-2</v>
      </c>
      <c r="X1720" s="11">
        <f t="shared" si="522"/>
        <v>1.3414757979747576</v>
      </c>
      <c r="Y1720" s="11">
        <f t="shared" si="540"/>
        <v>1.3414757979747576</v>
      </c>
      <c r="Z1720" s="37">
        <v>1</v>
      </c>
      <c r="AA1720" s="36">
        <f t="shared" si="523"/>
        <v>1.8737020648828158</v>
      </c>
      <c r="AB1720" s="11">
        <f t="shared" si="524"/>
        <v>0.71200678465546996</v>
      </c>
      <c r="AC1720" s="11">
        <f t="shared" si="525"/>
        <v>6.6050014671332244E-2</v>
      </c>
      <c r="AD1720" s="36">
        <f t="shared" si="541"/>
        <v>1.3414757979747578</v>
      </c>
      <c r="AE1720" s="36"/>
      <c r="AF1720" s="36">
        <f>IFERROR(VLOOKUP(AE1720,'Chemical Cost'!A:D,4,0),0)</f>
        <v>0</v>
      </c>
      <c r="AG1720" s="114">
        <f t="shared" si="526"/>
        <v>0</v>
      </c>
      <c r="AH1720" s="36">
        <f t="shared" si="534"/>
        <v>0</v>
      </c>
      <c r="AI1720" s="36">
        <f t="shared" si="536"/>
        <v>2.0534825826302274</v>
      </c>
      <c r="AJ1720" s="36">
        <f>IFERROR(VLOOKUP(A1720,'All Products'!A:F,6,0),0)</f>
        <v>4.7699999999999996</v>
      </c>
      <c r="AK1720" s="36"/>
      <c r="AL1720" s="23">
        <v>1</v>
      </c>
      <c r="AP1720" s="4">
        <v>1.6</v>
      </c>
      <c r="AQ1720" s="111">
        <f t="shared" si="527"/>
        <v>6.6050014671332244E-2</v>
      </c>
      <c r="AR1720">
        <f>_xlfn.XLOOKUP(F1720,'RM Cost'!A:A,'RM Cost'!S:S)</f>
        <v>0</v>
      </c>
      <c r="AS1720" t="e">
        <f>_xlfn.XLOOKUP(A1720,[3]Sheet1!$B:$B,[3]Sheet1!$B:$B)</f>
        <v>#N/A</v>
      </c>
    </row>
    <row r="1721" spans="1:45" x14ac:dyDescent="0.25">
      <c r="A1721" t="s">
        <v>4639</v>
      </c>
      <c r="B1721" s="63" t="s">
        <v>656</v>
      </c>
      <c r="C1721" t="s">
        <v>723</v>
      </c>
      <c r="D1721" t="s">
        <v>554</v>
      </c>
      <c r="E1721" s="63">
        <v>1</v>
      </c>
      <c r="F1721" s="1" t="str">
        <f>VLOOKUP(H1721,'RM Used'!A:B,2,0)</f>
        <v>P0008</v>
      </c>
      <c r="G1721" s="1" t="str">
        <f>IFERROR(VLOOKUP(F1721,'RM Cost'!A:B,2,0),"")</f>
        <v>PALE BLUE BAG 470X750MM</v>
      </c>
      <c r="H1721" s="2" t="s">
        <v>1323</v>
      </c>
      <c r="I1721" s="1" t="str">
        <f>VLOOKUP(F1721,'RM Used'!B:D,3,0)</f>
        <v>RM-PACKING</v>
      </c>
      <c r="J1721" s="66">
        <v>1</v>
      </c>
      <c r="K1721" s="35" t="str">
        <f t="shared" si="530"/>
        <v/>
      </c>
      <c r="L1721" s="35">
        <f t="shared" si="542"/>
        <v>0</v>
      </c>
      <c r="M1721" s="77" t="str" cm="1">
        <f t="array" ref="M1721">_xlfn.IFS(BOM!I1721="RM-PACKING","100%",B1721="Reynolds",VLOOKUP(H1721,'Yield &amp; Time'!A:V,22,0),BOM!B1721="Dnata",VLOOKUP(BOM!H1721,'Yield &amp; Time'!A:M,13,0),B1721="NK",VLOOKUP(H1721,'Yield &amp; Time'!A:X,24,0))</f>
        <v>100%</v>
      </c>
      <c r="N1721" s="35">
        <f t="shared" si="535"/>
        <v>1</v>
      </c>
      <c r="O1721" s="1" t="str">
        <f>VLOOKUP(H1721,'RM Used'!A:E,5,0)</f>
        <v>Count</v>
      </c>
      <c r="P1721" s="11">
        <f>VLOOKUP(H1721,'RM Used'!A:F,6,0)</f>
        <v>0.14000000000000001</v>
      </c>
      <c r="Q1721" s="11">
        <f t="shared" si="528"/>
        <v>0.14000000000000001</v>
      </c>
      <c r="R1721" s="11" cm="1">
        <f t="array" ref="R1721">IFERROR(_xlfn.IFS(B1721="Reynolds",VLOOKUP(H1721,'Yield &amp; Time'!A:U,21,0),B1721="Dnata",VLOOKUP(H1721,'Yield &amp; Time'!A:L,12,0),B1721="NK",VLOOKUP(H1721,'Yield &amp; Time'!A:W,23,0)),0)</f>
        <v>0</v>
      </c>
      <c r="S1721" s="11">
        <f t="shared" si="543"/>
        <v>0</v>
      </c>
      <c r="T1721" s="11">
        <f t="shared" si="544"/>
        <v>0</v>
      </c>
      <c r="U1721" s="11">
        <f>IF(A1720=A1721,0,VLOOKUP(A1721,'Packing Time'!A:F,6,0))</f>
        <v>0</v>
      </c>
      <c r="V1721" s="11">
        <f t="shared" si="538"/>
        <v>0</v>
      </c>
      <c r="W1721" s="11">
        <f t="shared" si="539"/>
        <v>0</v>
      </c>
      <c r="X1721" s="11">
        <f t="shared" si="522"/>
        <v>0</v>
      </c>
      <c r="Y1721" s="11">
        <f t="shared" si="540"/>
        <v>0</v>
      </c>
      <c r="Z1721" s="37">
        <v>1</v>
      </c>
      <c r="AA1721" s="36">
        <f t="shared" si="523"/>
        <v>1</v>
      </c>
      <c r="AB1721" s="11">
        <f t="shared" si="524"/>
        <v>0.14000000000000001</v>
      </c>
      <c r="AC1721" s="11">
        <f t="shared" si="525"/>
        <v>0</v>
      </c>
      <c r="AD1721" s="36">
        <f t="shared" si="541"/>
        <v>0</v>
      </c>
      <c r="AE1721" s="36"/>
      <c r="AF1721" s="36">
        <f>IFERROR(VLOOKUP(AE1721,'Chemical Cost'!A:D,4,0),0)</f>
        <v>0</v>
      </c>
      <c r="AG1721" s="114">
        <f t="shared" si="526"/>
        <v>0</v>
      </c>
      <c r="AH1721" s="36">
        <f t="shared" si="534"/>
        <v>0</v>
      </c>
      <c r="AI1721" s="36">
        <f t="shared" si="536"/>
        <v>0.14000000000000001</v>
      </c>
      <c r="AJ1721" s="36">
        <f>IFERROR(VLOOKUP(A1721,'All Products'!A:F,6,0),0)</f>
        <v>4.7699999999999996</v>
      </c>
      <c r="AK1721" s="36"/>
      <c r="AL1721" s="23">
        <v>1</v>
      </c>
      <c r="AP1721" s="4">
        <v>1.6</v>
      </c>
      <c r="AQ1721" s="111">
        <f t="shared" si="527"/>
        <v>0</v>
      </c>
      <c r="AR1721">
        <f>_xlfn.XLOOKUP(F1721,'RM Cost'!A:A,'RM Cost'!S:S)</f>
        <v>0</v>
      </c>
      <c r="AS1721" t="e">
        <f>_xlfn.XLOOKUP(A1721,[3]Sheet1!$B:$B,[3]Sheet1!$B:$B)</f>
        <v>#N/A</v>
      </c>
    </row>
    <row r="1722" spans="1:45" x14ac:dyDescent="0.25">
      <c r="A1722" t="s">
        <v>4640</v>
      </c>
      <c r="B1722" s="63" t="s">
        <v>656</v>
      </c>
      <c r="C1722" t="s">
        <v>724</v>
      </c>
      <c r="D1722" t="s">
        <v>554</v>
      </c>
      <c r="E1722" s="63">
        <v>2.5</v>
      </c>
      <c r="F1722" s="1" t="str">
        <f>VLOOKUP(H1722,'RM Used'!A:B,2,0)</f>
        <v>032ACS</v>
      </c>
      <c r="G1722" s="1" t="str">
        <f>IFERROR(VLOOKUP(F1722,'RM Cost'!A:B,2,0),"")</f>
        <v>RM - LRG PROCESSING CARROT X 1000KG</v>
      </c>
      <c r="H1722" s="2" t="s">
        <v>1493</v>
      </c>
      <c r="I1722" s="1" t="str">
        <f>VLOOKUP(F1722,'RM Used'!B:D,3,0)</f>
        <v>RM-FOOD</v>
      </c>
      <c r="J1722" s="66">
        <v>1</v>
      </c>
      <c r="K1722" s="35">
        <f t="shared" si="530"/>
        <v>2.5</v>
      </c>
      <c r="L1722" s="35">
        <f t="shared" si="542"/>
        <v>2.5</v>
      </c>
      <c r="M1722" s="77" cm="1">
        <f t="array" ref="M1722">_xlfn.IFS(BOM!I1722="RM-PACKING","100%",B1722="Reynolds",VLOOKUP(H1722,'Yield &amp; Time'!A:V,22,0),BOM!B1722="Dnata",VLOOKUP(BOM!H1722,'Yield &amp; Time'!A:M,13,0),B1722="NK",VLOOKUP(H1722,'Yield &amp; Time'!A:X,24,0))</f>
        <v>0.53370277950915401</v>
      </c>
      <c r="N1722" s="35">
        <f t="shared" si="535"/>
        <v>4.6842551622070392</v>
      </c>
      <c r="O1722" s="1" t="str">
        <f>VLOOKUP(H1722,'RM Used'!A:E,5,0)</f>
        <v>KG</v>
      </c>
      <c r="P1722" s="11">
        <f>VLOOKUP(H1722,'RM Used'!A:F,6,0)</f>
        <v>0.38</v>
      </c>
      <c r="Q1722" s="11">
        <f t="shared" si="528"/>
        <v>1.780016961638675</v>
      </c>
      <c r="R1722" s="11" cm="1">
        <f t="array" ref="R1722">IFERROR(_xlfn.IFS(B1722="Reynolds",VLOOKUP(H1722,'Yield &amp; Time'!A:U,21,0),B1722="Dnata",VLOOKUP(H1722,'Yield &amp; Time'!A:L,12,0),B1722="NK",VLOOKUP(H1722,'Yield &amp; Time'!A:W,23,0)),0)</f>
        <v>1.8318755501749584</v>
      </c>
      <c r="S1722" s="11">
        <f t="shared" si="543"/>
        <v>1.5502246843355585</v>
      </c>
      <c r="T1722" s="11">
        <f t="shared" si="544"/>
        <v>7.6328147923956605E-2</v>
      </c>
      <c r="U1722" s="11">
        <f>IF(A1721=A1722,0,VLOOKUP(A1722,'Packing Time'!A:F,6,0))</f>
        <v>0.875</v>
      </c>
      <c r="V1722" s="11">
        <f t="shared" si="538"/>
        <v>0.29618749999999999</v>
      </c>
      <c r="W1722" s="11">
        <f t="shared" si="539"/>
        <v>1.4583333333333334E-2</v>
      </c>
      <c r="X1722" s="11">
        <f t="shared" si="522"/>
        <v>2.9542594949368937</v>
      </c>
      <c r="Y1722" s="11">
        <f t="shared" si="540"/>
        <v>2.9542594949368937</v>
      </c>
      <c r="Z1722" s="37">
        <v>1</v>
      </c>
      <c r="AA1722" s="36">
        <f t="shared" si="523"/>
        <v>4.6842551622070392</v>
      </c>
      <c r="AB1722" s="11">
        <f t="shared" si="524"/>
        <v>1.780016961638675</v>
      </c>
      <c r="AC1722" s="11">
        <f t="shared" si="525"/>
        <v>0.14545837001166392</v>
      </c>
      <c r="AD1722" s="36">
        <f t="shared" si="541"/>
        <v>2.9542594949368937</v>
      </c>
      <c r="AE1722" s="36"/>
      <c r="AF1722" s="36">
        <f>IFERROR(VLOOKUP(AE1722,'Chemical Cost'!A:D,4,0),0)</f>
        <v>0</v>
      </c>
      <c r="AG1722" s="114">
        <f t="shared" si="526"/>
        <v>0</v>
      </c>
      <c r="AH1722" s="36">
        <f t="shared" si="534"/>
        <v>0</v>
      </c>
      <c r="AI1722" s="36">
        <f t="shared" si="536"/>
        <v>4.7342764565755688</v>
      </c>
      <c r="AJ1722" s="36">
        <f>IFERROR(VLOOKUP(A1722,'All Products'!A:F,6,0),0)</f>
        <v>11.92</v>
      </c>
      <c r="AK1722" s="36"/>
      <c r="AL1722" s="23">
        <v>1</v>
      </c>
      <c r="AP1722" s="4">
        <v>1.6</v>
      </c>
      <c r="AQ1722" s="111">
        <f t="shared" si="527"/>
        <v>0.14545837001166392</v>
      </c>
      <c r="AR1722">
        <f>_xlfn.XLOOKUP(F1722,'RM Cost'!A:A,'RM Cost'!S:S)</f>
        <v>0</v>
      </c>
      <c r="AS1722" t="e">
        <f>_xlfn.XLOOKUP(A1722,[3]Sheet1!$B:$B,[3]Sheet1!$B:$B)</f>
        <v>#N/A</v>
      </c>
    </row>
    <row r="1723" spans="1:45" x14ac:dyDescent="0.25">
      <c r="A1723" t="s">
        <v>4640</v>
      </c>
      <c r="B1723" s="63" t="s">
        <v>656</v>
      </c>
      <c r="C1723" t="s">
        <v>724</v>
      </c>
      <c r="D1723" t="s">
        <v>554</v>
      </c>
      <c r="E1723" s="63">
        <v>2.5</v>
      </c>
      <c r="F1723" s="1" t="str">
        <f>VLOOKUP(H1723,'RM Used'!A:B,2,0)</f>
        <v>P0008</v>
      </c>
      <c r="G1723" s="1" t="str">
        <f>IFERROR(VLOOKUP(F1723,'RM Cost'!A:B,2,0),"")</f>
        <v>PALE BLUE BAG 470X750MM</v>
      </c>
      <c r="H1723" s="2" t="s">
        <v>1323</v>
      </c>
      <c r="I1723" s="1" t="str">
        <f>VLOOKUP(F1723,'RM Used'!B:D,3,0)</f>
        <v>RM-PACKING</v>
      </c>
      <c r="J1723" s="66">
        <v>1</v>
      </c>
      <c r="K1723" s="35" t="str">
        <f t="shared" si="530"/>
        <v/>
      </c>
      <c r="L1723" s="35">
        <f t="shared" si="542"/>
        <v>0</v>
      </c>
      <c r="M1723" s="77" t="str" cm="1">
        <f t="array" ref="M1723">_xlfn.IFS(BOM!I1723="RM-PACKING","100%",B1723="Reynolds",VLOOKUP(H1723,'Yield &amp; Time'!A:V,22,0),BOM!B1723="Dnata",VLOOKUP(BOM!H1723,'Yield &amp; Time'!A:M,13,0),B1723="NK",VLOOKUP(H1723,'Yield &amp; Time'!A:X,24,0))</f>
        <v>100%</v>
      </c>
      <c r="N1723" s="35">
        <f t="shared" si="535"/>
        <v>1</v>
      </c>
      <c r="O1723" s="1" t="str">
        <f>VLOOKUP(H1723,'RM Used'!A:E,5,0)</f>
        <v>Count</v>
      </c>
      <c r="P1723" s="11">
        <f>VLOOKUP(H1723,'RM Used'!A:F,6,0)</f>
        <v>0.14000000000000001</v>
      </c>
      <c r="Q1723" s="11">
        <f t="shared" si="528"/>
        <v>0.14000000000000001</v>
      </c>
      <c r="R1723" s="11" cm="1">
        <f t="array" ref="R1723">IFERROR(_xlfn.IFS(B1723="Reynolds",VLOOKUP(H1723,'Yield &amp; Time'!A:U,21,0),B1723="Dnata",VLOOKUP(H1723,'Yield &amp; Time'!A:L,12,0),B1723="NK",VLOOKUP(H1723,'Yield &amp; Time'!A:W,23,0)),0)</f>
        <v>0</v>
      </c>
      <c r="S1723" s="11">
        <f t="shared" si="543"/>
        <v>0</v>
      </c>
      <c r="T1723" s="11">
        <f t="shared" si="544"/>
        <v>0</v>
      </c>
      <c r="U1723" s="11">
        <f>IF(A1722=A1723,0,VLOOKUP(A1723,'Packing Time'!A:F,6,0))</f>
        <v>0</v>
      </c>
      <c r="V1723" s="11">
        <f t="shared" si="538"/>
        <v>0</v>
      </c>
      <c r="W1723" s="11">
        <f t="shared" si="539"/>
        <v>0</v>
      </c>
      <c r="X1723" s="11">
        <f t="shared" si="522"/>
        <v>0</v>
      </c>
      <c r="Y1723" s="11">
        <f t="shared" si="540"/>
        <v>0</v>
      </c>
      <c r="Z1723" s="37">
        <v>1</v>
      </c>
      <c r="AA1723" s="36">
        <f t="shared" si="523"/>
        <v>1</v>
      </c>
      <c r="AB1723" s="11">
        <f t="shared" si="524"/>
        <v>0.14000000000000001</v>
      </c>
      <c r="AC1723" s="11">
        <f t="shared" si="525"/>
        <v>0</v>
      </c>
      <c r="AD1723" s="36">
        <f t="shared" si="541"/>
        <v>0</v>
      </c>
      <c r="AE1723" s="36"/>
      <c r="AF1723" s="36">
        <f>IFERROR(VLOOKUP(AE1723,'Chemical Cost'!A:D,4,0),0)</f>
        <v>0</v>
      </c>
      <c r="AG1723" s="114">
        <f t="shared" si="526"/>
        <v>0</v>
      </c>
      <c r="AH1723" s="36">
        <f t="shared" si="534"/>
        <v>0</v>
      </c>
      <c r="AI1723" s="36">
        <f t="shared" si="536"/>
        <v>0.14000000000000001</v>
      </c>
      <c r="AJ1723" s="36">
        <f>IFERROR(VLOOKUP(A1723,'All Products'!A:F,6,0),0)</f>
        <v>11.92</v>
      </c>
      <c r="AK1723" s="36"/>
      <c r="AL1723" s="23">
        <v>1</v>
      </c>
      <c r="AP1723" s="4">
        <v>1.6</v>
      </c>
      <c r="AQ1723" s="111">
        <f t="shared" si="527"/>
        <v>0</v>
      </c>
      <c r="AR1723">
        <f>_xlfn.XLOOKUP(F1723,'RM Cost'!A:A,'RM Cost'!S:S)</f>
        <v>0</v>
      </c>
      <c r="AS1723" t="e">
        <f>_xlfn.XLOOKUP(A1723,[3]Sheet1!$B:$B,[3]Sheet1!$B:$B)</f>
        <v>#N/A</v>
      </c>
    </row>
    <row r="1724" spans="1:45" x14ac:dyDescent="0.25">
      <c r="A1724" t="s">
        <v>4641</v>
      </c>
      <c r="B1724" s="63" t="s">
        <v>656</v>
      </c>
      <c r="C1724" t="s">
        <v>4645</v>
      </c>
      <c r="D1724" t="str">
        <f t="shared" ref="D1724:D1729" si="545">D1723</f>
        <v>KG</v>
      </c>
      <c r="E1724" s="63">
        <v>1</v>
      </c>
      <c r="F1724" s="1" t="str">
        <f>VLOOKUP(H1724,'RM Used'!A:B,2,0)</f>
        <v>3221CS</v>
      </c>
      <c r="G1724" s="1" t="str">
        <f>IFERROR(VLOOKUP(F1724,'RM Cost'!A:B,2,0),"")</f>
        <v>BAKING POTATO X50 EA</v>
      </c>
      <c r="H1724" s="2" t="s">
        <v>1451</v>
      </c>
      <c r="I1724" s="1" t="str">
        <f>VLOOKUP(F1724,'RM Used'!B:D,3,0)</f>
        <v>RM-FOOD</v>
      </c>
      <c r="J1724" s="66">
        <v>1</v>
      </c>
      <c r="K1724" s="35">
        <f t="shared" si="530"/>
        <v>1</v>
      </c>
      <c r="L1724" s="35">
        <f t="shared" si="542"/>
        <v>1</v>
      </c>
      <c r="M1724" s="77" cm="1">
        <f t="array" ref="M1724">_xlfn.IFS(BOM!I1724="RM-PACKING","100%",B1724="Reynolds",VLOOKUP(H1724,'Yield &amp; Time'!A:V,22,0),BOM!B1724="Dnata",VLOOKUP(BOM!H1724,'Yield &amp; Time'!A:M,13,0),B1724="NK",VLOOKUP(H1724,'Yield &amp; Time'!A:X,24,0))</f>
        <v>0.49644549763033174</v>
      </c>
      <c r="N1724" s="35">
        <f t="shared" si="535"/>
        <v>2.0143198090692125</v>
      </c>
      <c r="O1724" s="1" t="str">
        <f>VLOOKUP(H1724,'RM Used'!A:E,5,0)</f>
        <v>KG</v>
      </c>
      <c r="P1724" s="11">
        <f>VLOOKUP(H1724,'RM Used'!A:F,6,0)</f>
        <v>0.57000000000000006</v>
      </c>
      <c r="Q1724" s="11">
        <f t="shared" si="528"/>
        <v>1.1481622911694513</v>
      </c>
      <c r="R1724" s="11" cm="1">
        <f t="array" ref="R1724">IFERROR(_xlfn.IFS(B1724="Reynolds",VLOOKUP(H1724,'Yield &amp; Time'!A:U,21,0),B1724="Dnata",VLOOKUP(H1724,'Yield &amp; Time'!A:L,12,0),B1724="NK",VLOOKUP(H1724,'Yield &amp; Time'!A:W,23,0)),0)</f>
        <v>3.0037390612569612</v>
      </c>
      <c r="S1724" s="11">
        <f t="shared" si="543"/>
        <v>1.0167656722354812</v>
      </c>
      <c r="T1724" s="11">
        <f t="shared" si="544"/>
        <v>5.0062317687616022E-2</v>
      </c>
      <c r="U1724" s="11">
        <f>IF(A1723=A1724,0,VLOOKUP(A1724,'Packing Time'!A:F,6,0))</f>
        <v>0.64500000000000002</v>
      </c>
      <c r="V1724" s="11">
        <f t="shared" si="538"/>
        <v>0.21833249999999998</v>
      </c>
      <c r="W1724" s="11">
        <f t="shared" si="539"/>
        <v>1.0750000000000001E-2</v>
      </c>
      <c r="X1724" s="11">
        <f t="shared" si="522"/>
        <v>1.9761570755767701</v>
      </c>
      <c r="Y1724" s="11">
        <f t="shared" si="540"/>
        <v>1.9761570755767701</v>
      </c>
      <c r="Z1724" s="37">
        <v>1</v>
      </c>
      <c r="AA1724" s="36">
        <f t="shared" si="523"/>
        <v>2.0143198090692125</v>
      </c>
      <c r="AB1724" s="11">
        <f t="shared" si="524"/>
        <v>1.1481622911694513</v>
      </c>
      <c r="AC1724" s="11">
        <f t="shared" si="525"/>
        <v>9.7299708300185639E-2</v>
      </c>
      <c r="AD1724" s="36">
        <f t="shared" si="541"/>
        <v>1.9761570755767701</v>
      </c>
      <c r="AE1724" s="36"/>
      <c r="AF1724" s="36">
        <f>IFERROR(VLOOKUP(AE1724,'Chemical Cost'!A:D,4,0),0)</f>
        <v>0</v>
      </c>
      <c r="AG1724" s="114">
        <f t="shared" si="526"/>
        <v>0</v>
      </c>
      <c r="AH1724" s="36">
        <f t="shared" si="534"/>
        <v>0</v>
      </c>
      <c r="AI1724" s="36">
        <f t="shared" si="536"/>
        <v>3.1243193667462217</v>
      </c>
      <c r="AJ1724" s="36">
        <f>IFERROR(VLOOKUP(A1724,'All Products'!A:F,6,0),0)</f>
        <v>4.09</v>
      </c>
      <c r="AK1724" s="36"/>
      <c r="AL1724" s="23">
        <v>1</v>
      </c>
      <c r="AP1724" s="4">
        <v>1.6</v>
      </c>
      <c r="AQ1724" s="111">
        <f t="shared" si="527"/>
        <v>9.7299708300185639E-2</v>
      </c>
      <c r="AR1724">
        <f>_xlfn.XLOOKUP(F1724,'RM Cost'!A:A,'RM Cost'!S:S)</f>
        <v>0</v>
      </c>
      <c r="AS1724" t="e">
        <f>_xlfn.XLOOKUP(A1724,[3]Sheet1!$B:$B,[3]Sheet1!$B:$B)</f>
        <v>#N/A</v>
      </c>
    </row>
    <row r="1725" spans="1:45" x14ac:dyDescent="0.25">
      <c r="A1725" t="s">
        <v>4641</v>
      </c>
      <c r="B1725" s="63" t="s">
        <v>656</v>
      </c>
      <c r="C1725" t="s">
        <v>4645</v>
      </c>
      <c r="D1725" t="str">
        <f t="shared" si="545"/>
        <v>KG</v>
      </c>
      <c r="E1725" s="63">
        <v>1</v>
      </c>
      <c r="F1725" s="1" t="str">
        <f>VLOOKUP(H1725,'RM Used'!A:B,2,0)</f>
        <v>P0008</v>
      </c>
      <c r="G1725" s="1" t="str">
        <f>IFERROR(VLOOKUP(F1725,'RM Cost'!A:B,2,0),"")</f>
        <v>PALE BLUE BAG 470X750MM</v>
      </c>
      <c r="H1725" s="2" t="s">
        <v>1323</v>
      </c>
      <c r="I1725" s="1" t="str">
        <f>VLOOKUP(F1725,'RM Used'!B:D,3,0)</f>
        <v>RM-PACKING</v>
      </c>
      <c r="J1725" s="66">
        <v>1</v>
      </c>
      <c r="K1725" s="35" t="str">
        <f t="shared" si="530"/>
        <v/>
      </c>
      <c r="L1725" s="35">
        <f t="shared" si="542"/>
        <v>0</v>
      </c>
      <c r="M1725" s="77" t="str" cm="1">
        <f t="array" ref="M1725">_xlfn.IFS(BOM!I1725="RM-PACKING","100%",B1725="Reynolds",VLOOKUP(H1725,'Yield &amp; Time'!A:V,22,0),BOM!B1725="Dnata",VLOOKUP(BOM!H1725,'Yield &amp; Time'!A:M,13,0),B1725="NK",VLOOKUP(H1725,'Yield &amp; Time'!A:X,24,0))</f>
        <v>100%</v>
      </c>
      <c r="N1725" s="35">
        <f t="shared" si="535"/>
        <v>1</v>
      </c>
      <c r="O1725" s="1" t="str">
        <f>VLOOKUP(H1725,'RM Used'!A:E,5,0)</f>
        <v>Count</v>
      </c>
      <c r="P1725" s="11">
        <f>VLOOKUP(H1725,'RM Used'!A:F,6,0)</f>
        <v>0.14000000000000001</v>
      </c>
      <c r="Q1725" s="11">
        <f t="shared" si="528"/>
        <v>0.14000000000000001</v>
      </c>
      <c r="R1725" s="11" cm="1">
        <f t="array" ref="R1725">IFERROR(_xlfn.IFS(B1725="Reynolds",VLOOKUP(H1725,'Yield &amp; Time'!A:U,21,0),B1725="Dnata",VLOOKUP(H1725,'Yield &amp; Time'!A:L,12,0),B1725="NK",VLOOKUP(H1725,'Yield &amp; Time'!A:W,23,0)),0)</f>
        <v>0</v>
      </c>
      <c r="S1725" s="11">
        <f t="shared" si="543"/>
        <v>0</v>
      </c>
      <c r="T1725" s="11">
        <f t="shared" si="544"/>
        <v>0</v>
      </c>
      <c r="U1725" s="11">
        <f>IF(A1724=A1725,0,VLOOKUP(A1725,'Packing Time'!A:F,6,0))</f>
        <v>0</v>
      </c>
      <c r="V1725" s="11">
        <f t="shared" si="538"/>
        <v>0</v>
      </c>
      <c r="W1725" s="11">
        <f t="shared" si="539"/>
        <v>0</v>
      </c>
      <c r="X1725" s="11">
        <f t="shared" si="522"/>
        <v>0</v>
      </c>
      <c r="Y1725" s="11">
        <f t="shared" si="540"/>
        <v>0</v>
      </c>
      <c r="Z1725" s="37">
        <v>1</v>
      </c>
      <c r="AA1725" s="36">
        <f t="shared" si="523"/>
        <v>1</v>
      </c>
      <c r="AB1725" s="11">
        <f t="shared" si="524"/>
        <v>0.14000000000000001</v>
      </c>
      <c r="AC1725" s="11">
        <f t="shared" si="525"/>
        <v>0</v>
      </c>
      <c r="AD1725" s="36">
        <f t="shared" si="541"/>
        <v>0</v>
      </c>
      <c r="AE1725" s="36"/>
      <c r="AF1725" s="36">
        <f>IFERROR(VLOOKUP(AE1725,'Chemical Cost'!A:D,4,0),0)</f>
        <v>0</v>
      </c>
      <c r="AG1725" s="114">
        <f t="shared" si="526"/>
        <v>0</v>
      </c>
      <c r="AH1725" s="36">
        <f t="shared" si="534"/>
        <v>0</v>
      </c>
      <c r="AI1725" s="36">
        <f t="shared" si="536"/>
        <v>0.14000000000000001</v>
      </c>
      <c r="AJ1725" s="36">
        <f>IFERROR(VLOOKUP(A1725,'All Products'!A:F,6,0),0)</f>
        <v>4.09</v>
      </c>
      <c r="AK1725" s="36"/>
      <c r="AL1725" s="23">
        <v>1</v>
      </c>
      <c r="AP1725" s="4">
        <v>1.6</v>
      </c>
      <c r="AQ1725" s="111">
        <f t="shared" si="527"/>
        <v>0</v>
      </c>
      <c r="AR1725">
        <f>_xlfn.XLOOKUP(F1725,'RM Cost'!A:A,'RM Cost'!S:S)</f>
        <v>0</v>
      </c>
      <c r="AS1725" t="e">
        <f>_xlfn.XLOOKUP(A1725,[3]Sheet1!$B:$B,[3]Sheet1!$B:$B)</f>
        <v>#N/A</v>
      </c>
    </row>
    <row r="1726" spans="1:45" x14ac:dyDescent="0.25">
      <c r="A1726" t="s">
        <v>4642</v>
      </c>
      <c r="B1726" s="63" t="s">
        <v>656</v>
      </c>
      <c r="C1726" t="s">
        <v>4646</v>
      </c>
      <c r="D1726" t="str">
        <f t="shared" si="545"/>
        <v>KG</v>
      </c>
      <c r="E1726" s="63">
        <v>2.5</v>
      </c>
      <c r="F1726" s="1" t="str">
        <f>VLOOKUP(H1726,'RM Used'!A:B,2,0)</f>
        <v>3221CS</v>
      </c>
      <c r="G1726" s="1" t="str">
        <f>IFERROR(VLOOKUP(F1726,'RM Cost'!A:B,2,0),"")</f>
        <v>BAKING POTATO X50 EA</v>
      </c>
      <c r="H1726" s="2" t="s">
        <v>1451</v>
      </c>
      <c r="I1726" s="1" t="str">
        <f>VLOOKUP(F1726,'RM Used'!B:D,3,0)</f>
        <v>RM-FOOD</v>
      </c>
      <c r="J1726" s="66">
        <v>1</v>
      </c>
      <c r="K1726" s="35">
        <f t="shared" si="530"/>
        <v>2.5</v>
      </c>
      <c r="L1726" s="35">
        <f t="shared" si="542"/>
        <v>2.5</v>
      </c>
      <c r="M1726" s="77" cm="1">
        <f t="array" ref="M1726">_xlfn.IFS(BOM!I1726="RM-PACKING","100%",B1726="Reynolds",VLOOKUP(H1726,'Yield &amp; Time'!A:V,22,0),BOM!B1726="Dnata",VLOOKUP(BOM!H1726,'Yield &amp; Time'!A:M,13,0),B1726="NK",VLOOKUP(H1726,'Yield &amp; Time'!A:X,24,0))</f>
        <v>0.49644549763033174</v>
      </c>
      <c r="N1726" s="35">
        <f t="shared" si="535"/>
        <v>5.035799522673031</v>
      </c>
      <c r="O1726" s="1" t="str">
        <f>VLOOKUP(H1726,'RM Used'!A:E,5,0)</f>
        <v>KG</v>
      </c>
      <c r="P1726" s="11">
        <f>VLOOKUP(H1726,'RM Used'!A:F,6,0)</f>
        <v>0.57000000000000006</v>
      </c>
      <c r="Q1726" s="11">
        <f t="shared" si="528"/>
        <v>2.8704057279236279</v>
      </c>
      <c r="R1726" s="11" cm="1">
        <f t="array" ref="R1726">IFERROR(_xlfn.IFS(B1726="Reynolds",VLOOKUP(H1726,'Yield &amp; Time'!A:U,21,0),B1726="Dnata",VLOOKUP(H1726,'Yield &amp; Time'!A:L,12,0),B1726="NK",VLOOKUP(H1726,'Yield &amp; Time'!A:W,23,0)),0)</f>
        <v>3.0037390612569612</v>
      </c>
      <c r="S1726" s="11">
        <f t="shared" si="543"/>
        <v>2.5419141805887033</v>
      </c>
      <c r="T1726" s="11">
        <f t="shared" si="544"/>
        <v>0.12515579421904005</v>
      </c>
      <c r="U1726" s="11">
        <f>IF(A1725=A1726,0,VLOOKUP(A1726,'Packing Time'!A:F,6,0))</f>
        <v>0.875</v>
      </c>
      <c r="V1726" s="11">
        <f t="shared" si="538"/>
        <v>0.29618749999999999</v>
      </c>
      <c r="W1726" s="11">
        <f t="shared" si="539"/>
        <v>1.4583333333333334E-2</v>
      </c>
      <c r="X1726" s="11">
        <f t="shared" si="522"/>
        <v>4.5409626889419243</v>
      </c>
      <c r="Y1726" s="11">
        <f t="shared" si="540"/>
        <v>4.5409626889419243</v>
      </c>
      <c r="Z1726" s="37">
        <v>1</v>
      </c>
      <c r="AA1726" s="36">
        <f t="shared" si="523"/>
        <v>5.035799522673031</v>
      </c>
      <c r="AB1726" s="11">
        <f t="shared" si="524"/>
        <v>2.8704057279236279</v>
      </c>
      <c r="AC1726" s="11">
        <f t="shared" si="525"/>
        <v>0.22358260408379738</v>
      </c>
      <c r="AD1726" s="36">
        <f t="shared" si="541"/>
        <v>4.5409626889419243</v>
      </c>
      <c r="AE1726" s="36"/>
      <c r="AF1726" s="36">
        <f>IFERROR(VLOOKUP(AE1726,'Chemical Cost'!A:D,4,0),0)</f>
        <v>0</v>
      </c>
      <c r="AG1726" s="114">
        <f t="shared" si="526"/>
        <v>0</v>
      </c>
      <c r="AH1726" s="36">
        <f t="shared" si="534"/>
        <v>0</v>
      </c>
      <c r="AI1726" s="36">
        <f t="shared" si="536"/>
        <v>7.4113684168655523</v>
      </c>
      <c r="AJ1726" s="36">
        <f>IFERROR(VLOOKUP(A1726,'All Products'!A:F,6,0),0)</f>
        <v>6.59</v>
      </c>
      <c r="AK1726" s="36"/>
      <c r="AL1726" s="23">
        <v>1</v>
      </c>
      <c r="AP1726" s="4">
        <v>1.6</v>
      </c>
      <c r="AQ1726" s="111">
        <f t="shared" si="527"/>
        <v>0.22358260408379738</v>
      </c>
      <c r="AR1726">
        <f>_xlfn.XLOOKUP(F1726,'RM Cost'!A:A,'RM Cost'!S:S)</f>
        <v>0</v>
      </c>
      <c r="AS1726" t="e">
        <f>_xlfn.XLOOKUP(A1726,[3]Sheet1!$B:$B,[3]Sheet1!$B:$B)</f>
        <v>#N/A</v>
      </c>
    </row>
    <row r="1727" spans="1:45" x14ac:dyDescent="0.25">
      <c r="A1727" t="s">
        <v>4642</v>
      </c>
      <c r="B1727" s="63" t="s">
        <v>656</v>
      </c>
      <c r="C1727" t="s">
        <v>4646</v>
      </c>
      <c r="D1727" t="str">
        <f t="shared" si="545"/>
        <v>KG</v>
      </c>
      <c r="E1727" s="63">
        <v>2.5</v>
      </c>
      <c r="F1727" s="1" t="str">
        <f>VLOOKUP(H1727,'RM Used'!A:B,2,0)</f>
        <v>P0008</v>
      </c>
      <c r="G1727" s="1" t="str">
        <f>IFERROR(VLOOKUP(F1727,'RM Cost'!A:B,2,0),"")</f>
        <v>PALE BLUE BAG 470X750MM</v>
      </c>
      <c r="H1727" s="2" t="s">
        <v>1323</v>
      </c>
      <c r="I1727" s="1" t="str">
        <f>VLOOKUP(F1727,'RM Used'!B:D,3,0)</f>
        <v>RM-PACKING</v>
      </c>
      <c r="J1727" s="66">
        <v>1</v>
      </c>
      <c r="K1727" s="35" t="str">
        <f t="shared" si="530"/>
        <v/>
      </c>
      <c r="L1727" s="35">
        <f t="shared" si="542"/>
        <v>0</v>
      </c>
      <c r="M1727" s="77" t="str" cm="1">
        <f t="array" ref="M1727">_xlfn.IFS(BOM!I1727="RM-PACKING","100%",B1727="Reynolds",VLOOKUP(H1727,'Yield &amp; Time'!A:V,22,0),BOM!B1727="Dnata",VLOOKUP(BOM!H1727,'Yield &amp; Time'!A:M,13,0),B1727="NK",VLOOKUP(H1727,'Yield &amp; Time'!A:X,24,0))</f>
        <v>100%</v>
      </c>
      <c r="N1727" s="35">
        <f t="shared" si="535"/>
        <v>1</v>
      </c>
      <c r="O1727" s="1" t="str">
        <f>VLOOKUP(H1727,'RM Used'!A:E,5,0)</f>
        <v>Count</v>
      </c>
      <c r="P1727" s="11">
        <f>VLOOKUP(H1727,'RM Used'!A:F,6,0)</f>
        <v>0.14000000000000001</v>
      </c>
      <c r="Q1727" s="11">
        <f t="shared" si="528"/>
        <v>0.14000000000000001</v>
      </c>
      <c r="R1727" s="11" cm="1">
        <f t="array" ref="R1727">IFERROR(_xlfn.IFS(B1727="Reynolds",VLOOKUP(H1727,'Yield &amp; Time'!A:U,21,0),B1727="Dnata",VLOOKUP(H1727,'Yield &amp; Time'!A:L,12,0),B1727="NK",VLOOKUP(H1727,'Yield &amp; Time'!A:W,23,0)),0)</f>
        <v>0</v>
      </c>
      <c r="S1727" s="11">
        <f t="shared" si="543"/>
        <v>0</v>
      </c>
      <c r="T1727" s="11">
        <f t="shared" si="544"/>
        <v>0</v>
      </c>
      <c r="U1727" s="11">
        <f>IF(A1726=A1727,0,VLOOKUP(A1727,'Packing Time'!A:F,6,0))</f>
        <v>0</v>
      </c>
      <c r="V1727" s="11">
        <f t="shared" si="538"/>
        <v>0</v>
      </c>
      <c r="W1727" s="11">
        <f t="shared" si="539"/>
        <v>0</v>
      </c>
      <c r="X1727" s="11">
        <f t="shared" si="522"/>
        <v>0</v>
      </c>
      <c r="Y1727" s="11">
        <f t="shared" si="540"/>
        <v>0</v>
      </c>
      <c r="Z1727" s="37">
        <v>1</v>
      </c>
      <c r="AA1727" s="36">
        <f t="shared" si="523"/>
        <v>1</v>
      </c>
      <c r="AB1727" s="11">
        <f t="shared" si="524"/>
        <v>0.14000000000000001</v>
      </c>
      <c r="AC1727" s="11">
        <f t="shared" si="525"/>
        <v>0</v>
      </c>
      <c r="AD1727" s="36">
        <f t="shared" si="541"/>
        <v>0</v>
      </c>
      <c r="AE1727" s="36"/>
      <c r="AF1727" s="36">
        <f>IFERROR(VLOOKUP(AE1727,'Chemical Cost'!A:D,4,0),0)</f>
        <v>0</v>
      </c>
      <c r="AG1727" s="114">
        <f t="shared" si="526"/>
        <v>0</v>
      </c>
      <c r="AH1727" s="36">
        <f t="shared" si="534"/>
        <v>0</v>
      </c>
      <c r="AI1727" s="36">
        <f t="shared" si="536"/>
        <v>0.14000000000000001</v>
      </c>
      <c r="AJ1727" s="36">
        <f>IFERROR(VLOOKUP(A1727,'All Products'!A:F,6,0),0)</f>
        <v>6.59</v>
      </c>
      <c r="AK1727" s="36"/>
      <c r="AL1727" s="23">
        <v>1</v>
      </c>
      <c r="AP1727" s="4">
        <v>1.6</v>
      </c>
      <c r="AQ1727" s="111">
        <f t="shared" si="527"/>
        <v>0</v>
      </c>
      <c r="AR1727">
        <f>_xlfn.XLOOKUP(F1727,'RM Cost'!A:A,'RM Cost'!S:S)</f>
        <v>0</v>
      </c>
      <c r="AS1727" t="e">
        <f>_xlfn.XLOOKUP(A1727,[3]Sheet1!$B:$B,[3]Sheet1!$B:$B)</f>
        <v>#N/A</v>
      </c>
    </row>
    <row r="1728" spans="1:45" x14ac:dyDescent="0.25">
      <c r="A1728" t="s">
        <v>4660</v>
      </c>
      <c r="B1728" s="63" t="s">
        <v>656</v>
      </c>
      <c r="C1728" t="s">
        <v>4648</v>
      </c>
      <c r="D1728" t="str">
        <f t="shared" si="545"/>
        <v>KG</v>
      </c>
      <c r="E1728" s="63">
        <v>1</v>
      </c>
      <c r="F1728" s="1" t="str">
        <f>VLOOKUP(H1728,'RM Used'!A:B,2,0)</f>
        <v>3001CS</v>
      </c>
      <c r="G1728" s="1" t="str">
        <f>IFERROR(VLOOKUP(F1728,'RM Cost'!A:B,2,0),"")</f>
        <v>RM - AUBERGINE 5KG</v>
      </c>
      <c r="H1728" t="s">
        <v>4656</v>
      </c>
      <c r="I1728" s="1" t="str">
        <f>VLOOKUP(F1728,'RM Used'!B:D,3,0)</f>
        <v>RM-FOOD</v>
      </c>
      <c r="J1728" s="66">
        <v>1</v>
      </c>
      <c r="K1728" s="35">
        <f t="shared" si="530"/>
        <v>1</v>
      </c>
      <c r="L1728" s="35">
        <f t="shared" si="542"/>
        <v>1</v>
      </c>
      <c r="M1728" s="77" cm="1">
        <f t="array" ref="M1728">_xlfn.IFS(BOM!I1728="RM-PACKING","100%",B1728="Reynolds",VLOOKUP(H1728,'Yield &amp; Time'!A:V,22,0),BOM!B1728="Dnata",VLOOKUP(BOM!H1728,'Yield &amp; Time'!A:M,13,0),B1728="NK",VLOOKUP(H1728,'Yield &amp; Time'!A:X,24,0))</f>
        <v>0.77852348993288589</v>
      </c>
      <c r="N1728" s="35">
        <f t="shared" ref="N1728:N1743" si="546">IFERROR(IF(I1728="RM-FOOD",(E1728*J1728)/M1728,1),0)</f>
        <v>1.2844827586206897</v>
      </c>
      <c r="O1728" s="1" t="str">
        <f>VLOOKUP(H1728,'RM Used'!A:E,5,0)</f>
        <v>KG</v>
      </c>
      <c r="P1728" s="11">
        <f>VLOOKUP(H1728,'RM Used'!A:F,6,0)</f>
        <v>1.34</v>
      </c>
      <c r="Q1728" s="11">
        <f t="shared" si="528"/>
        <v>1.7212068965517244</v>
      </c>
      <c r="R1728" s="11" cm="1">
        <f t="array" ref="R1728">IFERROR(_xlfn.IFS(B1728="Reynolds",VLOOKUP(H1728,'Yield &amp; Time'!A:U,21,0),B1728="Dnata",VLOOKUP(H1728,'Yield &amp; Time'!A:L,12,0),B1728="NK",VLOOKUP(H1728,'Yield &amp; Time'!A:W,23,0)),0)</f>
        <v>1.6086206896551727</v>
      </c>
      <c r="S1728" s="11">
        <f t="shared" si="543"/>
        <v>0.54451810344827589</v>
      </c>
      <c r="T1728" s="11">
        <f t="shared" si="544"/>
        <v>2.6810344827586211E-2</v>
      </c>
      <c r="U1728" s="11">
        <f>IF(A1727=A1728,0,VLOOKUP(A1728,'Packing Time'!A:F,6,0))</f>
        <v>0.64500000000000002</v>
      </c>
      <c r="V1728" s="11">
        <f t="shared" si="538"/>
        <v>0.21833249999999998</v>
      </c>
      <c r="W1728" s="11">
        <f t="shared" si="539"/>
        <v>1.0750000000000001E-2</v>
      </c>
      <c r="X1728" s="11">
        <f t="shared" si="522"/>
        <v>1.2205609655172416</v>
      </c>
      <c r="Y1728" s="11">
        <f t="shared" si="540"/>
        <v>1.2205609655172416</v>
      </c>
      <c r="Z1728" s="37">
        <v>1</v>
      </c>
      <c r="AA1728" s="36">
        <f t="shared" si="523"/>
        <v>1.2844827586206897</v>
      </c>
      <c r="AB1728" s="11">
        <f t="shared" si="524"/>
        <v>1.7212068965517244</v>
      </c>
      <c r="AC1728" s="11">
        <f t="shared" si="525"/>
        <v>6.0096551724137942E-2</v>
      </c>
      <c r="AD1728" s="36">
        <f t="shared" si="541"/>
        <v>1.2205609655172414</v>
      </c>
      <c r="AE1728" s="36"/>
      <c r="AF1728" s="36">
        <f>IFERROR(VLOOKUP(AE1728,'Chemical Cost'!A:D,4,0),0)</f>
        <v>0</v>
      </c>
      <c r="AG1728" s="114">
        <f t="shared" si="526"/>
        <v>0</v>
      </c>
      <c r="AH1728" s="36">
        <f t="shared" si="534"/>
        <v>0</v>
      </c>
      <c r="AI1728" s="36">
        <f t="shared" ref="AI1728:AI1743" si="547">IFERROR((Q1728*Z1728)+(Z1728*X1728)+AH1728,0)</f>
        <v>2.941767862068966</v>
      </c>
      <c r="AJ1728" s="36">
        <f>IFERROR(VLOOKUP(A1728,'All Products'!A:F,6,0),0)</f>
        <v>0</v>
      </c>
      <c r="AK1728" s="36"/>
      <c r="AL1728" s="23">
        <v>1</v>
      </c>
      <c r="AP1728" s="4">
        <v>1.6</v>
      </c>
      <c r="AQ1728" s="111">
        <f t="shared" si="527"/>
        <v>6.0096551724137942E-2</v>
      </c>
      <c r="AR1728">
        <f>_xlfn.XLOOKUP(F1728,'RM Cost'!A:A,'RM Cost'!S:S)</f>
        <v>0</v>
      </c>
      <c r="AS1728" t="e">
        <f>_xlfn.XLOOKUP(A1728,[3]Sheet1!$B:$B,[3]Sheet1!$B:$B)</f>
        <v>#N/A</v>
      </c>
    </row>
    <row r="1729" spans="1:46" x14ac:dyDescent="0.25">
      <c r="A1729" t="s">
        <v>4660</v>
      </c>
      <c r="B1729" s="63" t="s">
        <v>656</v>
      </c>
      <c r="C1729" t="s">
        <v>4648</v>
      </c>
      <c r="D1729" t="str">
        <f t="shared" si="545"/>
        <v>KG</v>
      </c>
      <c r="E1729" s="63">
        <v>1</v>
      </c>
      <c r="F1729" s="1" t="str">
        <f>VLOOKUP(H1729,'RM Used'!A:B,2,0)</f>
        <v>P0008</v>
      </c>
      <c r="G1729" s="1" t="str">
        <f>IFERROR(VLOOKUP(F1729,'RM Cost'!A:B,2,0),"")</f>
        <v>PALE BLUE BAG 470X750MM</v>
      </c>
      <c r="H1729" s="2" t="s">
        <v>1323</v>
      </c>
      <c r="I1729" s="1" t="str">
        <f>VLOOKUP(F1729,'RM Used'!B:D,3,0)</f>
        <v>RM-PACKING</v>
      </c>
      <c r="J1729" s="66">
        <v>1</v>
      </c>
      <c r="K1729" s="35" t="str">
        <f t="shared" si="530"/>
        <v/>
      </c>
      <c r="L1729" s="35">
        <f t="shared" si="542"/>
        <v>0</v>
      </c>
      <c r="M1729" s="77" t="str" cm="1">
        <f t="array" ref="M1729">_xlfn.IFS(BOM!I1729="RM-PACKING","100%",B1729="Reynolds",VLOOKUP(H1729,'Yield &amp; Time'!A:V,22,0),BOM!B1729="Dnata",VLOOKUP(BOM!H1729,'Yield &amp; Time'!A:M,13,0),B1729="NK",VLOOKUP(H1729,'Yield &amp; Time'!A:X,24,0))</f>
        <v>100%</v>
      </c>
      <c r="N1729" s="35">
        <f t="shared" si="546"/>
        <v>1</v>
      </c>
      <c r="O1729" s="1" t="str">
        <f>VLOOKUP(H1729,'RM Used'!A:E,5,0)</f>
        <v>Count</v>
      </c>
      <c r="P1729" s="11">
        <f>VLOOKUP(H1729,'RM Used'!A:F,6,0)</f>
        <v>0.14000000000000001</v>
      </c>
      <c r="Q1729" s="11">
        <f t="shared" si="528"/>
        <v>0.14000000000000001</v>
      </c>
      <c r="R1729" s="11" cm="1">
        <f t="array" ref="R1729">IFERROR(_xlfn.IFS(B1729="Reynolds",VLOOKUP(H1729,'Yield &amp; Time'!A:U,21,0),B1729="Dnata",VLOOKUP(H1729,'Yield &amp; Time'!A:L,12,0),B1729="NK",VLOOKUP(H1729,'Yield &amp; Time'!A:W,23,0)),0)</f>
        <v>0</v>
      </c>
      <c r="S1729" s="11">
        <f t="shared" si="543"/>
        <v>0</v>
      </c>
      <c r="T1729" s="11">
        <f t="shared" si="544"/>
        <v>0</v>
      </c>
      <c r="U1729" s="11">
        <f>IF(A1728=A1729,0,VLOOKUP(A1729,'Packing Time'!A:F,6,0))</f>
        <v>0</v>
      </c>
      <c r="V1729" s="11">
        <f t="shared" si="538"/>
        <v>0</v>
      </c>
      <c r="W1729" s="11">
        <f t="shared" si="539"/>
        <v>0</v>
      </c>
      <c r="X1729" s="11">
        <f t="shared" si="522"/>
        <v>0</v>
      </c>
      <c r="Y1729" s="11">
        <f t="shared" si="540"/>
        <v>0</v>
      </c>
      <c r="Z1729" s="37">
        <v>1</v>
      </c>
      <c r="AA1729" s="36">
        <f t="shared" si="523"/>
        <v>1</v>
      </c>
      <c r="AB1729" s="11">
        <f t="shared" si="524"/>
        <v>0.14000000000000001</v>
      </c>
      <c r="AC1729" s="11">
        <f t="shared" si="525"/>
        <v>0</v>
      </c>
      <c r="AD1729" s="36">
        <f t="shared" si="541"/>
        <v>0</v>
      </c>
      <c r="AE1729" s="36"/>
      <c r="AF1729" s="36">
        <f>IFERROR(VLOOKUP(AE1729,'Chemical Cost'!A:D,4,0),0)</f>
        <v>0</v>
      </c>
      <c r="AG1729" s="114">
        <f t="shared" si="526"/>
        <v>0</v>
      </c>
      <c r="AH1729" s="36">
        <f t="shared" si="534"/>
        <v>0</v>
      </c>
      <c r="AI1729" s="36">
        <f t="shared" si="547"/>
        <v>0.14000000000000001</v>
      </c>
      <c r="AJ1729" s="36">
        <f>IFERROR(VLOOKUP(A1729,'All Products'!A:F,6,0),0)</f>
        <v>0</v>
      </c>
      <c r="AK1729" s="36"/>
      <c r="AL1729" s="23">
        <v>1</v>
      </c>
      <c r="AP1729" s="4">
        <v>1.6</v>
      </c>
      <c r="AQ1729" s="111">
        <f t="shared" si="527"/>
        <v>0</v>
      </c>
      <c r="AR1729">
        <f>_xlfn.XLOOKUP(F1729,'RM Cost'!A:A,'RM Cost'!S:S)</f>
        <v>0</v>
      </c>
      <c r="AS1729" t="e">
        <f>_xlfn.XLOOKUP(A1729,[3]Sheet1!$B:$B,[3]Sheet1!$B:$B)</f>
        <v>#N/A</v>
      </c>
    </row>
    <row r="1730" spans="1:46" x14ac:dyDescent="0.25">
      <c r="A1730" t="s">
        <v>4660</v>
      </c>
      <c r="B1730" s="63" t="s">
        <v>656</v>
      </c>
      <c r="C1730" t="s">
        <v>4649</v>
      </c>
      <c r="D1730" t="str">
        <f t="shared" ref="D1730:D1743" si="548">D1728</f>
        <v>KG</v>
      </c>
      <c r="E1730" s="63">
        <v>2.5</v>
      </c>
      <c r="F1730" s="1" t="str">
        <f>VLOOKUP(H1730,'RM Used'!A:B,2,0)</f>
        <v>3001CS</v>
      </c>
      <c r="G1730" s="1" t="str">
        <f>IFERROR(VLOOKUP(F1730,'RM Cost'!A:B,2,0),"")</f>
        <v>RM - AUBERGINE 5KG</v>
      </c>
      <c r="H1730" t="s">
        <v>4656</v>
      </c>
      <c r="I1730" s="1" t="str">
        <f>VLOOKUP(F1730,'RM Used'!B:D,3,0)</f>
        <v>RM-FOOD</v>
      </c>
      <c r="J1730" s="66">
        <v>1</v>
      </c>
      <c r="K1730" s="35">
        <f t="shared" si="530"/>
        <v>2.5</v>
      </c>
      <c r="L1730" s="35">
        <f t="shared" si="542"/>
        <v>2.5</v>
      </c>
      <c r="M1730" s="77" cm="1">
        <f t="array" ref="M1730">_xlfn.IFS(BOM!I1730="RM-PACKING","100%",B1730="Reynolds",VLOOKUP(H1730,'Yield &amp; Time'!A:V,22,0),BOM!B1730="Dnata",VLOOKUP(BOM!H1730,'Yield &amp; Time'!A:M,13,0),B1730="NK",VLOOKUP(H1730,'Yield &amp; Time'!A:X,24,0))</f>
        <v>0.77852348993288589</v>
      </c>
      <c r="N1730" s="35">
        <f t="shared" si="546"/>
        <v>3.2112068965517242</v>
      </c>
      <c r="O1730" s="1" t="str">
        <f>VLOOKUP(H1730,'RM Used'!A:E,5,0)</f>
        <v>KG</v>
      </c>
      <c r="P1730" s="11">
        <f>VLOOKUP(H1730,'RM Used'!A:F,6,0)</f>
        <v>1.34</v>
      </c>
      <c r="Q1730" s="11">
        <f t="shared" si="528"/>
        <v>4.3030172413793109</v>
      </c>
      <c r="R1730" s="11" cm="1">
        <f t="array" ref="R1730">IFERROR(_xlfn.IFS(B1730="Reynolds",VLOOKUP(H1730,'Yield &amp; Time'!A:U,21,0),B1730="Dnata",VLOOKUP(H1730,'Yield &amp; Time'!A:L,12,0),B1730="NK",VLOOKUP(H1730,'Yield &amp; Time'!A:W,23,0)),0)</f>
        <v>1.6086206896551727</v>
      </c>
      <c r="S1730" s="11">
        <f t="shared" si="543"/>
        <v>1.3612952586206897</v>
      </c>
      <c r="T1730" s="11">
        <f t="shared" si="544"/>
        <v>6.7025862068965519E-2</v>
      </c>
      <c r="U1730" s="11">
        <f>IF(A1729=A1730,0,VLOOKUP(A1730,'Packing Time'!A:F,6,0))</f>
        <v>0</v>
      </c>
      <c r="V1730" s="11">
        <f t="shared" si="538"/>
        <v>0</v>
      </c>
      <c r="W1730" s="11">
        <f t="shared" si="539"/>
        <v>0</v>
      </c>
      <c r="X1730" s="11">
        <f t="shared" ref="X1730:X1797" si="549">((R1730*J1730*E1730)+U1730)*AO$1*AP1730</f>
        <v>2.1780724137931036</v>
      </c>
      <c r="Y1730" s="11">
        <f t="shared" si="540"/>
        <v>2.1780724137931036</v>
      </c>
      <c r="Z1730" s="37">
        <v>1</v>
      </c>
      <c r="AA1730" s="36">
        <f t="shared" ref="AA1730:AA1793" si="550">Z1730*N1730</f>
        <v>3.2112068965517242</v>
      </c>
      <c r="AB1730" s="11">
        <f t="shared" ref="AB1730:AB1793" si="551">AA1730*P1730</f>
        <v>4.3030172413793109</v>
      </c>
      <c r="AC1730" s="11">
        <f t="shared" ref="AC1730:AC1797" si="552">(((R1730*J1730*E1730)+U1730)/60)*Z1730*AP1730</f>
        <v>0.10724137931034483</v>
      </c>
      <c r="AD1730" s="36">
        <f t="shared" si="541"/>
        <v>2.1780724137931031</v>
      </c>
      <c r="AE1730" s="36"/>
      <c r="AF1730" s="36">
        <f>IFERROR(VLOOKUP(AE1730,'Chemical Cost'!A:D,4,0),0)</f>
        <v>0</v>
      </c>
      <c r="AG1730" s="114">
        <f t="shared" ref="AG1730:AG1793" si="553">AF1730*N1730/3</f>
        <v>0</v>
      </c>
      <c r="AH1730" s="36">
        <f t="shared" si="534"/>
        <v>0</v>
      </c>
      <c r="AI1730" s="36">
        <f t="shared" si="547"/>
        <v>6.4810896551724149</v>
      </c>
      <c r="AJ1730" s="36">
        <f>IFERROR(VLOOKUP(A1730,'All Products'!A:F,6,0),0)</f>
        <v>0</v>
      </c>
      <c r="AK1730" s="36"/>
      <c r="AL1730" s="23">
        <v>1</v>
      </c>
      <c r="AP1730" s="4">
        <v>1.6</v>
      </c>
      <c r="AQ1730" s="111">
        <f t="shared" ref="AQ1730:AQ1749" si="554">(((R1730*J1730*E1730)+U1730)/60)*AP1730</f>
        <v>0.10724137931034483</v>
      </c>
      <c r="AR1730">
        <f>_xlfn.XLOOKUP(F1730,'RM Cost'!A:A,'RM Cost'!S:S)</f>
        <v>0</v>
      </c>
      <c r="AS1730" t="e">
        <f>_xlfn.XLOOKUP(A1730,[3]Sheet1!$B:$B,[3]Sheet1!$B:$B)</f>
        <v>#N/A</v>
      </c>
    </row>
    <row r="1731" spans="1:46" x14ac:dyDescent="0.25">
      <c r="A1731" t="s">
        <v>4660</v>
      </c>
      <c r="B1731" s="63" t="s">
        <v>656</v>
      </c>
      <c r="C1731" t="s">
        <v>4649</v>
      </c>
      <c r="D1731" t="str">
        <f t="shared" si="548"/>
        <v>KG</v>
      </c>
      <c r="E1731" s="63">
        <v>2.5</v>
      </c>
      <c r="F1731" s="1" t="str">
        <f>VLOOKUP(H1731,'RM Used'!A:B,2,0)</f>
        <v>P0008</v>
      </c>
      <c r="G1731" s="1" t="str">
        <f>IFERROR(VLOOKUP(F1731,'RM Cost'!A:B,2,0),"")</f>
        <v>PALE BLUE BAG 470X750MM</v>
      </c>
      <c r="H1731" s="2" t="s">
        <v>1323</v>
      </c>
      <c r="I1731" s="1" t="str">
        <f>VLOOKUP(F1731,'RM Used'!B:D,3,0)</f>
        <v>RM-PACKING</v>
      </c>
      <c r="J1731" s="66">
        <v>1</v>
      </c>
      <c r="K1731" s="35" t="str">
        <f t="shared" si="530"/>
        <v/>
      </c>
      <c r="L1731" s="35">
        <f t="shared" si="542"/>
        <v>0</v>
      </c>
      <c r="M1731" s="77" t="str" cm="1">
        <f t="array" ref="M1731">_xlfn.IFS(BOM!I1731="RM-PACKING","100%",B1731="Reynolds",VLOOKUP(H1731,'Yield &amp; Time'!A:V,22,0),BOM!B1731="Dnata",VLOOKUP(BOM!H1731,'Yield &amp; Time'!A:M,13,0),B1731="NK",VLOOKUP(H1731,'Yield &amp; Time'!A:X,24,0))</f>
        <v>100%</v>
      </c>
      <c r="N1731" s="35">
        <f t="shared" si="546"/>
        <v>1</v>
      </c>
      <c r="O1731" s="1" t="str">
        <f>VLOOKUP(H1731,'RM Used'!A:E,5,0)</f>
        <v>Count</v>
      </c>
      <c r="P1731" s="11">
        <f>VLOOKUP(H1731,'RM Used'!A:F,6,0)</f>
        <v>0.14000000000000001</v>
      </c>
      <c r="Q1731" s="11">
        <f t="shared" ref="Q1731:Q1794" si="555">P1731*N1731</f>
        <v>0.14000000000000001</v>
      </c>
      <c r="R1731" s="11" cm="1">
        <f t="array" ref="R1731">IFERROR(_xlfn.IFS(B1731="Reynolds",VLOOKUP(H1731,'Yield &amp; Time'!A:U,21,0),B1731="Dnata",VLOOKUP(H1731,'Yield &amp; Time'!A:L,12,0),B1731="NK",VLOOKUP(H1731,'Yield &amp; Time'!A:W,23,0)),0)</f>
        <v>0</v>
      </c>
      <c r="S1731" s="11">
        <f t="shared" si="543"/>
        <v>0</v>
      </c>
      <c r="T1731" s="11">
        <f t="shared" si="544"/>
        <v>0</v>
      </c>
      <c r="U1731" s="11">
        <f>IF(A1730=A1731,0,VLOOKUP(A1731,'Packing Time'!A:F,6,0))</f>
        <v>0</v>
      </c>
      <c r="V1731" s="11">
        <f t="shared" si="538"/>
        <v>0</v>
      </c>
      <c r="W1731" s="11">
        <f t="shared" si="539"/>
        <v>0</v>
      </c>
      <c r="X1731" s="11">
        <f t="shared" si="549"/>
        <v>0</v>
      </c>
      <c r="Y1731" s="11">
        <f t="shared" si="540"/>
        <v>0</v>
      </c>
      <c r="Z1731" s="37">
        <v>1</v>
      </c>
      <c r="AA1731" s="36">
        <f t="shared" si="550"/>
        <v>1</v>
      </c>
      <c r="AB1731" s="11">
        <f t="shared" si="551"/>
        <v>0.14000000000000001</v>
      </c>
      <c r="AC1731" s="11">
        <f t="shared" si="552"/>
        <v>0</v>
      </c>
      <c r="AD1731" s="36">
        <f t="shared" si="541"/>
        <v>0</v>
      </c>
      <c r="AE1731" s="36"/>
      <c r="AF1731" s="36">
        <f>IFERROR(VLOOKUP(AE1731,'Chemical Cost'!A:D,4,0),0)</f>
        <v>0</v>
      </c>
      <c r="AG1731" s="114">
        <f t="shared" si="553"/>
        <v>0</v>
      </c>
      <c r="AH1731" s="36">
        <f t="shared" si="534"/>
        <v>0</v>
      </c>
      <c r="AI1731" s="36">
        <f t="shared" si="547"/>
        <v>0.14000000000000001</v>
      </c>
      <c r="AJ1731" s="36">
        <f>IFERROR(VLOOKUP(A1731,'All Products'!A:F,6,0),0)</f>
        <v>0</v>
      </c>
      <c r="AK1731" s="36"/>
      <c r="AL1731" s="23">
        <v>1</v>
      </c>
      <c r="AP1731" s="4">
        <v>1.6</v>
      </c>
      <c r="AQ1731" s="111">
        <f t="shared" si="554"/>
        <v>0</v>
      </c>
      <c r="AR1731">
        <f>_xlfn.XLOOKUP(F1731,'RM Cost'!A:A,'RM Cost'!S:S)</f>
        <v>0</v>
      </c>
      <c r="AS1731" t="e">
        <f>_xlfn.XLOOKUP(A1731,[3]Sheet1!$B:$B,[3]Sheet1!$B:$B)</f>
        <v>#N/A</v>
      </c>
    </row>
    <row r="1732" spans="1:46" x14ac:dyDescent="0.25">
      <c r="A1732" t="s">
        <v>4660</v>
      </c>
      <c r="B1732" s="63" t="s">
        <v>656</v>
      </c>
      <c r="C1732" t="s">
        <v>4650</v>
      </c>
      <c r="D1732" t="str">
        <f t="shared" si="548"/>
        <v>KG</v>
      </c>
      <c r="E1732" s="63">
        <v>1</v>
      </c>
      <c r="F1732" s="1" t="str">
        <f>VLOOKUP(H1732,'RM Used'!A:B,2,0)</f>
        <v>3020CS</v>
      </c>
      <c r="G1732" s="1" t="str">
        <f>IFERROR(VLOOKUP(F1732,'RM Cost'!A:B,2,0),"")</f>
        <v>RM - CELERIAC 10KG</v>
      </c>
      <c r="H1732" t="s">
        <v>4657</v>
      </c>
      <c r="I1732" s="1" t="str">
        <f>VLOOKUP(F1732,'RM Used'!B:D,3,0)</f>
        <v>RM-FOOD</v>
      </c>
      <c r="J1732" s="66">
        <v>1</v>
      </c>
      <c r="K1732" s="35">
        <f t="shared" si="530"/>
        <v>1</v>
      </c>
      <c r="L1732" s="35">
        <f t="shared" si="542"/>
        <v>1</v>
      </c>
      <c r="M1732" s="77" cm="1">
        <f t="array" ref="M1732">_xlfn.IFS(BOM!I1732="RM-PACKING","100%",B1732="Reynolds",VLOOKUP(H1732,'Yield &amp; Time'!A:V,22,0),BOM!B1732="Dnata",VLOOKUP(BOM!H1732,'Yield &amp; Time'!A:M,13,0),B1732="NK",VLOOKUP(H1732,'Yield &amp; Time'!A:X,24,0))</f>
        <v>0.56122448979591844</v>
      </c>
      <c r="N1732" s="35">
        <f t="shared" si="546"/>
        <v>1.7818181818181815</v>
      </c>
      <c r="O1732" s="1" t="str">
        <f>VLOOKUP(H1732,'RM Used'!A:E,5,0)</f>
        <v>KG</v>
      </c>
      <c r="P1732" s="11">
        <f>VLOOKUP(H1732,'RM Used'!A:F,6,0)</f>
        <v>0.55000000000000004</v>
      </c>
      <c r="Q1732" s="11">
        <f t="shared" si="555"/>
        <v>0.97999999999999987</v>
      </c>
      <c r="R1732" s="11" cm="1">
        <f t="array" ref="R1732">IFERROR(_xlfn.IFS(B1732="Reynolds",VLOOKUP(H1732,'Yield &amp; Time'!A:U,21,0),B1732="Dnata",VLOOKUP(H1732,'Yield &amp; Time'!A:L,12,0),B1732="NK",VLOOKUP(H1732,'Yield &amp; Time'!A:W,23,0)),0)</f>
        <v>3.7363636363636363</v>
      </c>
      <c r="S1732" s="11">
        <f t="shared" si="543"/>
        <v>1.2647590909090907</v>
      </c>
      <c r="T1732" s="11">
        <f t="shared" si="544"/>
        <v>6.2272727272727271E-2</v>
      </c>
      <c r="U1732" s="11">
        <f>IF(A1731=A1732,0,VLOOKUP(A1732,'Packing Time'!A:F,6,0))</f>
        <v>0</v>
      </c>
      <c r="V1732" s="11">
        <f t="shared" si="538"/>
        <v>0</v>
      </c>
      <c r="W1732" s="11">
        <f t="shared" si="539"/>
        <v>0</v>
      </c>
      <c r="X1732" s="11">
        <f t="shared" si="549"/>
        <v>2.0236145454545453</v>
      </c>
      <c r="Y1732" s="11">
        <f t="shared" si="540"/>
        <v>2.0236145454545453</v>
      </c>
      <c r="Z1732" s="37">
        <v>1</v>
      </c>
      <c r="AA1732" s="36">
        <f t="shared" si="550"/>
        <v>1.7818181818181815</v>
      </c>
      <c r="AB1732" s="11">
        <f t="shared" si="551"/>
        <v>0.97999999999999987</v>
      </c>
      <c r="AC1732" s="11">
        <f t="shared" si="552"/>
        <v>9.9636363636363634E-2</v>
      </c>
      <c r="AD1732" s="36">
        <f t="shared" si="541"/>
        <v>2.0236145454545453</v>
      </c>
      <c r="AE1732" s="36"/>
      <c r="AF1732" s="36">
        <f>IFERROR(VLOOKUP(AE1732,'Chemical Cost'!A:D,4,0),0)</f>
        <v>0</v>
      </c>
      <c r="AG1732" s="114">
        <f t="shared" si="553"/>
        <v>0</v>
      </c>
      <c r="AH1732" s="36">
        <f t="shared" si="534"/>
        <v>0</v>
      </c>
      <c r="AI1732" s="36">
        <f t="shared" si="547"/>
        <v>3.0036145454545453</v>
      </c>
      <c r="AJ1732" s="36">
        <f>IFERROR(VLOOKUP(A1732,'All Products'!A:F,6,0),0)</f>
        <v>0</v>
      </c>
      <c r="AK1732" s="36"/>
      <c r="AL1732" s="23">
        <v>1</v>
      </c>
      <c r="AP1732" s="4">
        <v>1.6</v>
      </c>
      <c r="AQ1732" s="111">
        <f t="shared" si="554"/>
        <v>9.9636363636363634E-2</v>
      </c>
      <c r="AR1732">
        <f>_xlfn.XLOOKUP(F1732,'RM Cost'!A:A,'RM Cost'!S:S)</f>
        <v>0</v>
      </c>
      <c r="AS1732" t="e">
        <f>_xlfn.XLOOKUP(A1732,[3]Sheet1!$B:$B,[3]Sheet1!$B:$B)</f>
        <v>#N/A</v>
      </c>
    </row>
    <row r="1733" spans="1:46" x14ac:dyDescent="0.25">
      <c r="A1733" t="s">
        <v>4660</v>
      </c>
      <c r="B1733" s="63" t="s">
        <v>656</v>
      </c>
      <c r="C1733" t="s">
        <v>4650</v>
      </c>
      <c r="D1733" t="str">
        <f t="shared" si="548"/>
        <v>KG</v>
      </c>
      <c r="E1733" s="63">
        <v>1</v>
      </c>
      <c r="F1733" s="1" t="str">
        <f>VLOOKUP(H1733,'RM Used'!A:B,2,0)</f>
        <v>P0008</v>
      </c>
      <c r="G1733" s="1" t="str">
        <f>IFERROR(VLOOKUP(F1733,'RM Cost'!A:B,2,0),"")</f>
        <v>PALE BLUE BAG 470X750MM</v>
      </c>
      <c r="H1733" s="2" t="s">
        <v>1323</v>
      </c>
      <c r="I1733" s="1" t="str">
        <f>VLOOKUP(F1733,'RM Used'!B:D,3,0)</f>
        <v>RM-PACKING</v>
      </c>
      <c r="J1733" s="66">
        <v>1</v>
      </c>
      <c r="K1733" s="35" t="str">
        <f t="shared" si="530"/>
        <v/>
      </c>
      <c r="L1733" s="35">
        <f t="shared" si="542"/>
        <v>0</v>
      </c>
      <c r="M1733" s="77" t="str" cm="1">
        <f t="array" ref="M1733">_xlfn.IFS(BOM!I1733="RM-PACKING","100%",B1733="Reynolds",VLOOKUP(H1733,'Yield &amp; Time'!A:V,22,0),BOM!B1733="Dnata",VLOOKUP(BOM!H1733,'Yield &amp; Time'!A:M,13,0),B1733="NK",VLOOKUP(H1733,'Yield &amp; Time'!A:X,24,0))</f>
        <v>100%</v>
      </c>
      <c r="N1733" s="35">
        <f t="shared" si="546"/>
        <v>1</v>
      </c>
      <c r="O1733" s="1" t="str">
        <f>VLOOKUP(H1733,'RM Used'!A:E,5,0)</f>
        <v>Count</v>
      </c>
      <c r="P1733" s="11">
        <f>VLOOKUP(H1733,'RM Used'!A:F,6,0)</f>
        <v>0.14000000000000001</v>
      </c>
      <c r="Q1733" s="11">
        <f t="shared" si="555"/>
        <v>0.14000000000000001</v>
      </c>
      <c r="R1733" s="11" cm="1">
        <f t="array" ref="R1733">IFERROR(_xlfn.IFS(B1733="Reynolds",VLOOKUP(H1733,'Yield &amp; Time'!A:U,21,0),B1733="Dnata",VLOOKUP(H1733,'Yield &amp; Time'!A:L,12,0),B1733="NK",VLOOKUP(H1733,'Yield &amp; Time'!A:W,23,0)),0)</f>
        <v>0</v>
      </c>
      <c r="S1733" s="11">
        <f t="shared" si="543"/>
        <v>0</v>
      </c>
      <c r="T1733" s="11">
        <f t="shared" si="544"/>
        <v>0</v>
      </c>
      <c r="U1733" s="11">
        <f>IF(A1732=A1733,0,VLOOKUP(A1733,'Packing Time'!A:F,6,0))</f>
        <v>0</v>
      </c>
      <c r="V1733" s="11">
        <f t="shared" si="538"/>
        <v>0</v>
      </c>
      <c r="W1733" s="11">
        <f t="shared" si="539"/>
        <v>0</v>
      </c>
      <c r="X1733" s="11">
        <f t="shared" si="549"/>
        <v>0</v>
      </c>
      <c r="Y1733" s="11">
        <f t="shared" si="540"/>
        <v>0</v>
      </c>
      <c r="Z1733" s="37">
        <v>1</v>
      </c>
      <c r="AA1733" s="36">
        <f t="shared" si="550"/>
        <v>1</v>
      </c>
      <c r="AB1733" s="11">
        <f t="shared" si="551"/>
        <v>0.14000000000000001</v>
      </c>
      <c r="AC1733" s="11">
        <f t="shared" si="552"/>
        <v>0</v>
      </c>
      <c r="AD1733" s="36">
        <f t="shared" si="541"/>
        <v>0</v>
      </c>
      <c r="AE1733" s="36"/>
      <c r="AF1733" s="36">
        <f>IFERROR(VLOOKUP(AE1733,'Chemical Cost'!A:D,4,0),0)</f>
        <v>0</v>
      </c>
      <c r="AG1733" s="114">
        <f t="shared" si="553"/>
        <v>0</v>
      </c>
      <c r="AH1733" s="36">
        <f t="shared" si="534"/>
        <v>0</v>
      </c>
      <c r="AI1733" s="36">
        <f t="shared" si="547"/>
        <v>0.14000000000000001</v>
      </c>
      <c r="AJ1733" s="36">
        <f>IFERROR(VLOOKUP(A1733,'All Products'!A:F,6,0),0)</f>
        <v>0</v>
      </c>
      <c r="AK1733" s="36"/>
      <c r="AL1733" s="23">
        <v>1</v>
      </c>
      <c r="AP1733" s="4">
        <v>1.6</v>
      </c>
      <c r="AQ1733" s="111">
        <f t="shared" si="554"/>
        <v>0</v>
      </c>
      <c r="AR1733">
        <f>_xlfn.XLOOKUP(F1733,'RM Cost'!A:A,'RM Cost'!S:S)</f>
        <v>0</v>
      </c>
      <c r="AS1733" t="e">
        <f>_xlfn.XLOOKUP(A1733,[3]Sheet1!$B:$B,[3]Sheet1!$B:$B)</f>
        <v>#N/A</v>
      </c>
    </row>
    <row r="1734" spans="1:46" x14ac:dyDescent="0.25">
      <c r="A1734" t="s">
        <v>4660</v>
      </c>
      <c r="B1734" s="63" t="s">
        <v>656</v>
      </c>
      <c r="C1734" t="s">
        <v>4651</v>
      </c>
      <c r="D1734" t="str">
        <f t="shared" si="548"/>
        <v>KG</v>
      </c>
      <c r="E1734" s="63">
        <v>2.5</v>
      </c>
      <c r="F1734" s="1" t="str">
        <f>VLOOKUP(H1734,'RM Used'!A:B,2,0)</f>
        <v>3020CS</v>
      </c>
      <c r="G1734" s="1" t="str">
        <f>IFERROR(VLOOKUP(F1734,'RM Cost'!A:B,2,0),"")</f>
        <v>RM - CELERIAC 10KG</v>
      </c>
      <c r="H1734" t="s">
        <v>4657</v>
      </c>
      <c r="I1734" s="1" t="str">
        <f>VLOOKUP(F1734,'RM Used'!B:D,3,0)</f>
        <v>RM-FOOD</v>
      </c>
      <c r="J1734" s="66">
        <v>1</v>
      </c>
      <c r="K1734" s="35">
        <f t="shared" si="530"/>
        <v>2.5</v>
      </c>
      <c r="L1734" s="35">
        <f t="shared" si="542"/>
        <v>2.5</v>
      </c>
      <c r="M1734" s="77" cm="1">
        <f t="array" ref="M1734">_xlfn.IFS(BOM!I1734="RM-PACKING","100%",B1734="Reynolds",VLOOKUP(H1734,'Yield &amp; Time'!A:V,22,0),BOM!B1734="Dnata",VLOOKUP(BOM!H1734,'Yield &amp; Time'!A:M,13,0),B1734="NK",VLOOKUP(H1734,'Yield &amp; Time'!A:X,24,0))</f>
        <v>0.56122448979591844</v>
      </c>
      <c r="N1734" s="35">
        <f t="shared" si="546"/>
        <v>4.4545454545454541</v>
      </c>
      <c r="O1734" s="1" t="str">
        <f>VLOOKUP(H1734,'RM Used'!A:E,5,0)</f>
        <v>KG</v>
      </c>
      <c r="P1734" s="11">
        <f>VLOOKUP(H1734,'RM Used'!A:F,6,0)</f>
        <v>0.55000000000000004</v>
      </c>
      <c r="Q1734" s="11">
        <f t="shared" si="555"/>
        <v>2.4500000000000002</v>
      </c>
      <c r="R1734" s="11" cm="1">
        <f t="array" ref="R1734">IFERROR(_xlfn.IFS(B1734="Reynolds",VLOOKUP(H1734,'Yield &amp; Time'!A:U,21,0),B1734="Dnata",VLOOKUP(H1734,'Yield &amp; Time'!A:L,12,0),B1734="NK",VLOOKUP(H1734,'Yield &amp; Time'!A:W,23,0)),0)</f>
        <v>3.7363636363636363</v>
      </c>
      <c r="S1734" s="11">
        <f t="shared" si="543"/>
        <v>3.1618977272727267</v>
      </c>
      <c r="T1734" s="11">
        <f t="shared" si="544"/>
        <v>0.15568181818181817</v>
      </c>
      <c r="U1734" s="11">
        <f>IF(A1733=A1734,0,VLOOKUP(A1734,'Packing Time'!A:F,6,0))</f>
        <v>0</v>
      </c>
      <c r="V1734" s="11">
        <f t="shared" si="538"/>
        <v>0</v>
      </c>
      <c r="W1734" s="11">
        <f t="shared" si="539"/>
        <v>0</v>
      </c>
      <c r="X1734" s="11">
        <f t="shared" si="549"/>
        <v>5.0590363636363627</v>
      </c>
      <c r="Y1734" s="11">
        <f t="shared" si="540"/>
        <v>5.0590363636363627</v>
      </c>
      <c r="Z1734" s="37">
        <v>1</v>
      </c>
      <c r="AA1734" s="36">
        <f t="shared" si="550"/>
        <v>4.4545454545454541</v>
      </c>
      <c r="AB1734" s="11">
        <f t="shared" si="551"/>
        <v>2.4500000000000002</v>
      </c>
      <c r="AC1734" s="11">
        <f t="shared" si="552"/>
        <v>0.24909090909090909</v>
      </c>
      <c r="AD1734" s="36">
        <f t="shared" si="541"/>
        <v>5.0590363636363627</v>
      </c>
      <c r="AE1734" s="36"/>
      <c r="AF1734" s="36">
        <f>IFERROR(VLOOKUP(AE1734,'Chemical Cost'!A:D,4,0),0)</f>
        <v>0</v>
      </c>
      <c r="AG1734" s="114">
        <f t="shared" si="553"/>
        <v>0</v>
      </c>
      <c r="AH1734" s="36">
        <f t="shared" si="534"/>
        <v>0</v>
      </c>
      <c r="AI1734" s="36">
        <f t="shared" si="547"/>
        <v>7.5090363636363628</v>
      </c>
      <c r="AJ1734" s="36">
        <f>IFERROR(VLOOKUP(A1734,'All Products'!A:F,6,0),0)</f>
        <v>0</v>
      </c>
      <c r="AK1734" s="36"/>
      <c r="AL1734" s="23">
        <v>1</v>
      </c>
      <c r="AP1734" s="4">
        <v>1.6</v>
      </c>
      <c r="AQ1734" s="111">
        <f t="shared" si="554"/>
        <v>0.24909090909090909</v>
      </c>
      <c r="AR1734">
        <f>_xlfn.XLOOKUP(F1734,'RM Cost'!A:A,'RM Cost'!S:S)</f>
        <v>0</v>
      </c>
      <c r="AS1734" t="e">
        <f>_xlfn.XLOOKUP(A1734,[3]Sheet1!$B:$B,[3]Sheet1!$B:$B)</f>
        <v>#N/A</v>
      </c>
    </row>
    <row r="1735" spans="1:46" x14ac:dyDescent="0.25">
      <c r="A1735" t="s">
        <v>4660</v>
      </c>
      <c r="B1735" s="63" t="s">
        <v>656</v>
      </c>
      <c r="C1735" t="s">
        <v>4651</v>
      </c>
      <c r="D1735" t="str">
        <f t="shared" si="548"/>
        <v>KG</v>
      </c>
      <c r="E1735" s="63">
        <v>2.5</v>
      </c>
      <c r="F1735" s="1" t="str">
        <f>VLOOKUP(H1735,'RM Used'!A:B,2,0)</f>
        <v>P0008</v>
      </c>
      <c r="G1735" s="1" t="str">
        <f>IFERROR(VLOOKUP(F1735,'RM Cost'!A:B,2,0),"")</f>
        <v>PALE BLUE BAG 470X750MM</v>
      </c>
      <c r="H1735" s="2" t="s">
        <v>1323</v>
      </c>
      <c r="I1735" s="1" t="str">
        <f>VLOOKUP(F1735,'RM Used'!B:D,3,0)</f>
        <v>RM-PACKING</v>
      </c>
      <c r="J1735" s="66">
        <v>1</v>
      </c>
      <c r="K1735" s="35" t="str">
        <f t="shared" si="530"/>
        <v/>
      </c>
      <c r="L1735" s="35">
        <f t="shared" si="542"/>
        <v>0</v>
      </c>
      <c r="M1735" s="77" t="str" cm="1">
        <f t="array" ref="M1735">_xlfn.IFS(BOM!I1735="RM-PACKING","100%",B1735="Reynolds",VLOOKUP(H1735,'Yield &amp; Time'!A:V,22,0),BOM!B1735="Dnata",VLOOKUP(BOM!H1735,'Yield &amp; Time'!A:M,13,0),B1735="NK",VLOOKUP(H1735,'Yield &amp; Time'!A:X,24,0))</f>
        <v>100%</v>
      </c>
      <c r="N1735" s="35">
        <f t="shared" si="546"/>
        <v>1</v>
      </c>
      <c r="O1735" s="1" t="str">
        <f>VLOOKUP(H1735,'RM Used'!A:E,5,0)</f>
        <v>Count</v>
      </c>
      <c r="P1735" s="11">
        <f>VLOOKUP(H1735,'RM Used'!A:F,6,0)</f>
        <v>0.14000000000000001</v>
      </c>
      <c r="Q1735" s="11">
        <f t="shared" si="555"/>
        <v>0.14000000000000001</v>
      </c>
      <c r="R1735" s="11" cm="1">
        <f t="array" ref="R1735">IFERROR(_xlfn.IFS(B1735="Reynolds",VLOOKUP(H1735,'Yield &amp; Time'!A:U,21,0),B1735="Dnata",VLOOKUP(H1735,'Yield &amp; Time'!A:L,12,0),B1735="NK",VLOOKUP(H1735,'Yield &amp; Time'!A:W,23,0)),0)</f>
        <v>0</v>
      </c>
      <c r="S1735" s="11">
        <f t="shared" si="543"/>
        <v>0</v>
      </c>
      <c r="T1735" s="11">
        <f t="shared" si="544"/>
        <v>0</v>
      </c>
      <c r="U1735" s="11">
        <f>IF(A1734=A1735,0,VLOOKUP(A1735,'Packing Time'!A:F,6,0))</f>
        <v>0</v>
      </c>
      <c r="V1735" s="11">
        <f t="shared" si="538"/>
        <v>0</v>
      </c>
      <c r="W1735" s="11">
        <f t="shared" si="539"/>
        <v>0</v>
      </c>
      <c r="X1735" s="11">
        <f t="shared" si="549"/>
        <v>0</v>
      </c>
      <c r="Y1735" s="11">
        <f t="shared" si="540"/>
        <v>0</v>
      </c>
      <c r="Z1735" s="37">
        <v>1</v>
      </c>
      <c r="AA1735" s="36">
        <f t="shared" si="550"/>
        <v>1</v>
      </c>
      <c r="AB1735" s="11">
        <f t="shared" si="551"/>
        <v>0.14000000000000001</v>
      </c>
      <c r="AC1735" s="11">
        <f t="shared" si="552"/>
        <v>0</v>
      </c>
      <c r="AD1735" s="36">
        <f t="shared" si="541"/>
        <v>0</v>
      </c>
      <c r="AE1735" s="36"/>
      <c r="AF1735" s="36">
        <f>IFERROR(VLOOKUP(AE1735,'Chemical Cost'!A:D,4,0),0)</f>
        <v>0</v>
      </c>
      <c r="AG1735" s="114">
        <f t="shared" si="553"/>
        <v>0</v>
      </c>
      <c r="AH1735" s="36">
        <f t="shared" si="534"/>
        <v>0</v>
      </c>
      <c r="AI1735" s="36">
        <f t="shared" si="547"/>
        <v>0.14000000000000001</v>
      </c>
      <c r="AJ1735" s="36">
        <f>IFERROR(VLOOKUP(A1735,'All Products'!A:F,6,0),0)</f>
        <v>0</v>
      </c>
      <c r="AK1735" s="36"/>
      <c r="AL1735" s="23">
        <v>1</v>
      </c>
      <c r="AP1735" s="4">
        <v>1.6</v>
      </c>
      <c r="AQ1735" s="111">
        <f t="shared" si="554"/>
        <v>0</v>
      </c>
      <c r="AR1735">
        <f>_xlfn.XLOOKUP(F1735,'RM Cost'!A:A,'RM Cost'!S:S)</f>
        <v>0</v>
      </c>
      <c r="AS1735" t="e">
        <f>_xlfn.XLOOKUP(A1735,[3]Sheet1!$B:$B,[3]Sheet1!$B:$B)</f>
        <v>#N/A</v>
      </c>
    </row>
    <row r="1736" spans="1:46" x14ac:dyDescent="0.25">
      <c r="A1736" t="s">
        <v>1029</v>
      </c>
      <c r="B1736" s="63" t="s">
        <v>656</v>
      </c>
      <c r="C1736" t="s">
        <v>4652</v>
      </c>
      <c r="D1736" t="str">
        <f t="shared" si="548"/>
        <v>KG</v>
      </c>
      <c r="E1736" s="63">
        <v>1</v>
      </c>
      <c r="F1736" s="1" t="str">
        <f>VLOOKUP(H1736,'RM Used'!A:B,2,0)</f>
        <v>0930CS</v>
      </c>
      <c r="G1736" s="1" t="str">
        <f>IFERROR(VLOOKUP(F1736,'RM Cost'!A:B,2,0),"")</f>
        <v>RM - COURGETTE STANDARD</v>
      </c>
      <c r="H1736" t="s">
        <v>4658</v>
      </c>
      <c r="I1736" s="1" t="str">
        <f>VLOOKUP(F1736,'RM Used'!B:D,3,0)</f>
        <v>RM-FOOD</v>
      </c>
      <c r="J1736" s="66">
        <v>1</v>
      </c>
      <c r="K1736" s="35">
        <f t="shared" si="530"/>
        <v>1</v>
      </c>
      <c r="L1736" s="35">
        <f t="shared" si="542"/>
        <v>1</v>
      </c>
      <c r="M1736" s="77" cm="1">
        <f t="array" ref="M1736">_xlfn.IFS(BOM!I1736="RM-PACKING","100%",B1736="Reynolds",VLOOKUP(H1736,'Yield &amp; Time'!A:V,22,0),BOM!B1736="Dnata",VLOOKUP(BOM!H1736,'Yield &amp; Time'!A:M,13,0),B1736="NK",VLOOKUP(H1736,'Yield &amp; Time'!A:X,24,0))</f>
        <v>0.34246575342465752</v>
      </c>
      <c r="N1736" s="35">
        <f t="shared" si="546"/>
        <v>2.9200000000000004</v>
      </c>
      <c r="O1736" s="1" t="str">
        <f>VLOOKUP(H1736,'RM Used'!A:E,5,0)</f>
        <v>KG</v>
      </c>
      <c r="P1736" s="11">
        <f>VLOOKUP(H1736,'RM Used'!A:F,6,0)</f>
        <v>1.1000000000000001</v>
      </c>
      <c r="Q1736" s="11">
        <f t="shared" si="555"/>
        <v>3.2120000000000006</v>
      </c>
      <c r="R1736" s="11" cm="1">
        <f t="array" ref="R1736">IFERROR(_xlfn.IFS(B1736="Reynolds",VLOOKUP(H1736,'Yield &amp; Time'!A:U,21,0),B1736="Dnata",VLOOKUP(H1736,'Yield &amp; Time'!A:L,12,0),B1736="NK",VLOOKUP(H1736,'Yield &amp; Time'!A:W,23,0)),0)</f>
        <v>8</v>
      </c>
      <c r="S1736" s="11">
        <f t="shared" si="543"/>
        <v>2.7079999999999997</v>
      </c>
      <c r="T1736" s="11">
        <f t="shared" si="544"/>
        <v>0.13333333333333333</v>
      </c>
      <c r="U1736" s="11">
        <f>IF(A1735=A1736,0,VLOOKUP(A1736,'Packing Time'!A:F,6,0))</f>
        <v>0.64166666666666661</v>
      </c>
      <c r="V1736" s="11">
        <f t="shared" si="538"/>
        <v>0.21720416666666661</v>
      </c>
      <c r="W1736" s="11">
        <f t="shared" si="539"/>
        <v>1.0694444444444444E-2</v>
      </c>
      <c r="X1736" s="11">
        <f t="shared" si="549"/>
        <v>4.6803266666666659</v>
      </c>
      <c r="Y1736" s="11">
        <f t="shared" si="540"/>
        <v>4.6803266666666659</v>
      </c>
      <c r="Z1736" s="37">
        <v>1</v>
      </c>
      <c r="AA1736" s="36">
        <f t="shared" si="550"/>
        <v>2.9200000000000004</v>
      </c>
      <c r="AB1736" s="11">
        <f t="shared" si="551"/>
        <v>3.2120000000000006</v>
      </c>
      <c r="AC1736" s="11">
        <f t="shared" si="552"/>
        <v>0.23044444444444442</v>
      </c>
      <c r="AD1736" s="36">
        <f t="shared" si="541"/>
        <v>4.6803266666666659</v>
      </c>
      <c r="AE1736" s="36"/>
      <c r="AF1736" s="36">
        <f>IFERROR(VLOOKUP(AE1736,'Chemical Cost'!A:D,4,0),0)</f>
        <v>0</v>
      </c>
      <c r="AG1736" s="114">
        <f t="shared" si="553"/>
        <v>0</v>
      </c>
      <c r="AH1736" s="36">
        <f t="shared" si="534"/>
        <v>0</v>
      </c>
      <c r="AI1736" s="36">
        <f t="shared" si="547"/>
        <v>7.8923266666666665</v>
      </c>
      <c r="AJ1736" s="36">
        <f>IFERROR(VLOOKUP(A1736,'All Products'!A:F,6,0),0)</f>
        <v>7.25</v>
      </c>
      <c r="AK1736" s="36"/>
      <c r="AL1736" s="23">
        <v>1</v>
      </c>
      <c r="AP1736" s="4">
        <v>1.6</v>
      </c>
      <c r="AQ1736" s="111">
        <f t="shared" si="554"/>
        <v>0.23044444444444442</v>
      </c>
      <c r="AR1736">
        <f>_xlfn.XLOOKUP(F1736,'RM Cost'!A:A,'RM Cost'!S:S)</f>
        <v>1.1644775886170367</v>
      </c>
      <c r="AS1736" t="e">
        <f>_xlfn.XLOOKUP(A1736,[3]Sheet1!$B:$B,[3]Sheet1!$B:$B)</f>
        <v>#N/A</v>
      </c>
    </row>
    <row r="1737" spans="1:46" x14ac:dyDescent="0.25">
      <c r="A1737" t="s">
        <v>1029</v>
      </c>
      <c r="B1737" s="63" t="s">
        <v>656</v>
      </c>
      <c r="C1737" t="s">
        <v>4652</v>
      </c>
      <c r="D1737" t="str">
        <f t="shared" si="548"/>
        <v>KG</v>
      </c>
      <c r="E1737" s="63">
        <v>1</v>
      </c>
      <c r="F1737" s="1" t="str">
        <f>VLOOKUP(H1737,'RM Used'!A:B,2,0)</f>
        <v>P0008</v>
      </c>
      <c r="G1737" s="1" t="str">
        <f>IFERROR(VLOOKUP(F1737,'RM Cost'!A:B,2,0),"")</f>
        <v>PALE BLUE BAG 470X750MM</v>
      </c>
      <c r="H1737" s="2" t="s">
        <v>1323</v>
      </c>
      <c r="I1737" s="1" t="str">
        <f>VLOOKUP(F1737,'RM Used'!B:D,3,0)</f>
        <v>RM-PACKING</v>
      </c>
      <c r="J1737" s="66">
        <v>1</v>
      </c>
      <c r="K1737" s="35" t="str">
        <f t="shared" si="530"/>
        <v/>
      </c>
      <c r="L1737" s="35">
        <f t="shared" si="542"/>
        <v>0</v>
      </c>
      <c r="M1737" s="77" t="str" cm="1">
        <f t="array" ref="M1737">_xlfn.IFS(BOM!I1737="RM-PACKING","100%",B1737="Reynolds",VLOOKUP(H1737,'Yield &amp; Time'!A:V,22,0),BOM!B1737="Dnata",VLOOKUP(BOM!H1737,'Yield &amp; Time'!A:M,13,0),B1737="NK",VLOOKUP(H1737,'Yield &amp; Time'!A:X,24,0))</f>
        <v>100%</v>
      </c>
      <c r="N1737" s="35">
        <f t="shared" si="546"/>
        <v>1</v>
      </c>
      <c r="O1737" s="1" t="str">
        <f>VLOOKUP(H1737,'RM Used'!A:E,5,0)</f>
        <v>Count</v>
      </c>
      <c r="P1737" s="11">
        <f>VLOOKUP(H1737,'RM Used'!A:F,6,0)</f>
        <v>0.14000000000000001</v>
      </c>
      <c r="Q1737" s="11">
        <f t="shared" si="555"/>
        <v>0.14000000000000001</v>
      </c>
      <c r="R1737" s="11" cm="1">
        <f t="array" ref="R1737">IFERROR(_xlfn.IFS(B1737="Reynolds",VLOOKUP(H1737,'Yield &amp; Time'!A:U,21,0),B1737="Dnata",VLOOKUP(H1737,'Yield &amp; Time'!A:L,12,0),B1737="NK",VLOOKUP(H1737,'Yield &amp; Time'!A:W,23,0)),0)</f>
        <v>0</v>
      </c>
      <c r="S1737" s="11">
        <f t="shared" si="543"/>
        <v>0</v>
      </c>
      <c r="T1737" s="11">
        <f t="shared" si="544"/>
        <v>0</v>
      </c>
      <c r="U1737" s="11">
        <f>IF(A1736=A1737,0,VLOOKUP(A1737,'Packing Time'!A:F,6,0))</f>
        <v>0</v>
      </c>
      <c r="V1737" s="11">
        <f t="shared" si="538"/>
        <v>0</v>
      </c>
      <c r="W1737" s="11">
        <f t="shared" si="539"/>
        <v>0</v>
      </c>
      <c r="X1737" s="11">
        <f t="shared" si="549"/>
        <v>0</v>
      </c>
      <c r="Y1737" s="11">
        <f t="shared" si="540"/>
        <v>0</v>
      </c>
      <c r="Z1737" s="37">
        <v>1</v>
      </c>
      <c r="AA1737" s="36">
        <f t="shared" si="550"/>
        <v>1</v>
      </c>
      <c r="AB1737" s="11">
        <f t="shared" si="551"/>
        <v>0.14000000000000001</v>
      </c>
      <c r="AC1737" s="11">
        <f t="shared" si="552"/>
        <v>0</v>
      </c>
      <c r="AD1737" s="36">
        <f t="shared" si="541"/>
        <v>0</v>
      </c>
      <c r="AE1737" s="36"/>
      <c r="AF1737" s="36">
        <f>IFERROR(VLOOKUP(AE1737,'Chemical Cost'!A:D,4,0),0)</f>
        <v>0</v>
      </c>
      <c r="AG1737" s="114">
        <f t="shared" si="553"/>
        <v>0</v>
      </c>
      <c r="AH1737" s="36">
        <f t="shared" si="534"/>
        <v>0</v>
      </c>
      <c r="AI1737" s="36">
        <f t="shared" si="547"/>
        <v>0.14000000000000001</v>
      </c>
      <c r="AJ1737" s="36">
        <f>IFERROR(VLOOKUP(A1737,'All Products'!A:F,6,0),0)</f>
        <v>7.25</v>
      </c>
      <c r="AK1737" s="36"/>
      <c r="AL1737" s="23">
        <v>1</v>
      </c>
      <c r="AP1737" s="4">
        <v>1.6</v>
      </c>
      <c r="AQ1737" s="111">
        <f t="shared" si="554"/>
        <v>0</v>
      </c>
      <c r="AR1737">
        <f>_xlfn.XLOOKUP(F1737,'RM Cost'!A:A,'RM Cost'!S:S)</f>
        <v>0</v>
      </c>
      <c r="AS1737" t="e">
        <f>_xlfn.XLOOKUP(A1737,[3]Sheet1!$B:$B,[3]Sheet1!$B:$B)</f>
        <v>#N/A</v>
      </c>
    </row>
    <row r="1738" spans="1:46" x14ac:dyDescent="0.25">
      <c r="A1738" t="s">
        <v>1031</v>
      </c>
      <c r="B1738" s="63" t="s">
        <v>656</v>
      </c>
      <c r="C1738" t="s">
        <v>4653</v>
      </c>
      <c r="D1738" t="str">
        <f t="shared" si="548"/>
        <v>KG</v>
      </c>
      <c r="E1738" s="63">
        <v>2.5</v>
      </c>
      <c r="F1738" s="1" t="str">
        <f>VLOOKUP(H1738,'RM Used'!A:B,2,0)</f>
        <v>0930CS</v>
      </c>
      <c r="G1738" s="1" t="str">
        <f>IFERROR(VLOOKUP(F1738,'RM Cost'!A:B,2,0),"")</f>
        <v>RM - COURGETTE STANDARD</v>
      </c>
      <c r="H1738" t="s">
        <v>4658</v>
      </c>
      <c r="I1738" s="1" t="str">
        <f>VLOOKUP(F1738,'RM Used'!B:D,3,0)</f>
        <v>RM-FOOD</v>
      </c>
      <c r="J1738" s="66">
        <v>1</v>
      </c>
      <c r="K1738" s="35">
        <f t="shared" si="530"/>
        <v>2.5</v>
      </c>
      <c r="L1738" s="35">
        <f t="shared" si="542"/>
        <v>2.5</v>
      </c>
      <c r="M1738" s="77" cm="1">
        <f t="array" ref="M1738">_xlfn.IFS(BOM!I1738="RM-PACKING","100%",B1738="Reynolds",VLOOKUP(H1738,'Yield &amp; Time'!A:V,22,0),BOM!B1738="Dnata",VLOOKUP(BOM!H1738,'Yield &amp; Time'!A:M,13,0),B1738="NK",VLOOKUP(H1738,'Yield &amp; Time'!A:X,24,0))</f>
        <v>0.34246575342465752</v>
      </c>
      <c r="N1738" s="35">
        <f t="shared" si="546"/>
        <v>7.3000000000000007</v>
      </c>
      <c r="O1738" s="1" t="str">
        <f>VLOOKUP(H1738,'RM Used'!A:E,5,0)</f>
        <v>KG</v>
      </c>
      <c r="P1738" s="11">
        <f>VLOOKUP(H1738,'RM Used'!A:F,6,0)</f>
        <v>1.1000000000000001</v>
      </c>
      <c r="Q1738" s="11">
        <f t="shared" si="555"/>
        <v>8.0300000000000011</v>
      </c>
      <c r="R1738" s="11" cm="1">
        <f t="array" ref="R1738">IFERROR(_xlfn.IFS(B1738="Reynolds",VLOOKUP(H1738,'Yield &amp; Time'!A:U,21,0),B1738="Dnata",VLOOKUP(H1738,'Yield &amp; Time'!A:L,12,0),B1738="NK",VLOOKUP(H1738,'Yield &amp; Time'!A:W,23,0)),0)</f>
        <v>8</v>
      </c>
      <c r="S1738" s="11">
        <f t="shared" si="543"/>
        <v>6.77</v>
      </c>
      <c r="T1738" s="11">
        <f t="shared" si="544"/>
        <v>0.33333333333333331</v>
      </c>
      <c r="U1738" s="11">
        <f>IF(A1737=A1738,0,VLOOKUP(A1738,'Packing Time'!A:F,6,0))</f>
        <v>0.875</v>
      </c>
      <c r="V1738" s="11">
        <f t="shared" si="538"/>
        <v>0.29618749999999999</v>
      </c>
      <c r="W1738" s="11">
        <f t="shared" si="539"/>
        <v>1.4583333333333334E-2</v>
      </c>
      <c r="X1738" s="11">
        <f t="shared" si="549"/>
        <v>11.305899999999999</v>
      </c>
      <c r="Y1738" s="11">
        <f t="shared" si="540"/>
        <v>11.305899999999999</v>
      </c>
      <c r="Z1738" s="37">
        <v>1</v>
      </c>
      <c r="AA1738" s="36">
        <f t="shared" si="550"/>
        <v>7.3000000000000007</v>
      </c>
      <c r="AB1738" s="11">
        <f t="shared" si="551"/>
        <v>8.0300000000000011</v>
      </c>
      <c r="AC1738" s="11">
        <f t="shared" si="552"/>
        <v>0.55666666666666664</v>
      </c>
      <c r="AD1738" s="36">
        <f t="shared" si="541"/>
        <v>11.305899999999998</v>
      </c>
      <c r="AE1738" s="36"/>
      <c r="AF1738" s="36">
        <f>IFERROR(VLOOKUP(AE1738,'Chemical Cost'!A:D,4,0),0)</f>
        <v>0</v>
      </c>
      <c r="AG1738" s="114">
        <f t="shared" si="553"/>
        <v>0</v>
      </c>
      <c r="AH1738" s="36">
        <f t="shared" si="534"/>
        <v>0</v>
      </c>
      <c r="AI1738" s="36">
        <f t="shared" si="547"/>
        <v>19.335900000000002</v>
      </c>
      <c r="AJ1738" s="36">
        <f>IFERROR(VLOOKUP(A1738,'All Products'!A:F,6,0),0)</f>
        <v>18.12</v>
      </c>
      <c r="AK1738" s="36"/>
      <c r="AL1738" s="23">
        <v>1</v>
      </c>
      <c r="AP1738" s="4">
        <v>1.6</v>
      </c>
      <c r="AQ1738" s="111">
        <f t="shared" si="554"/>
        <v>0.55666666666666664</v>
      </c>
      <c r="AR1738">
        <f>_xlfn.XLOOKUP(F1738,'RM Cost'!A:A,'RM Cost'!S:S)</f>
        <v>1.1644775886170367</v>
      </c>
      <c r="AS1738" t="e">
        <f>_xlfn.XLOOKUP(A1738,[3]Sheet1!$B:$B,[3]Sheet1!$B:$B)</f>
        <v>#N/A</v>
      </c>
    </row>
    <row r="1739" spans="1:46" x14ac:dyDescent="0.25">
      <c r="A1739" t="s">
        <v>1031</v>
      </c>
      <c r="B1739" s="63" t="s">
        <v>656</v>
      </c>
      <c r="C1739" t="s">
        <v>4653</v>
      </c>
      <c r="D1739" t="str">
        <f t="shared" si="548"/>
        <v>KG</v>
      </c>
      <c r="E1739" s="63">
        <v>2.5</v>
      </c>
      <c r="F1739" s="1" t="str">
        <f>VLOOKUP(H1739,'RM Used'!A:B,2,0)</f>
        <v>P0008</v>
      </c>
      <c r="G1739" s="1" t="str">
        <f>IFERROR(VLOOKUP(F1739,'RM Cost'!A:B,2,0),"")</f>
        <v>PALE BLUE BAG 470X750MM</v>
      </c>
      <c r="H1739" s="2" t="s">
        <v>1323</v>
      </c>
      <c r="I1739" s="1" t="str">
        <f>VLOOKUP(F1739,'RM Used'!B:D,3,0)</f>
        <v>RM-PACKING</v>
      </c>
      <c r="J1739" s="66">
        <v>1</v>
      </c>
      <c r="K1739" s="35" t="str">
        <f t="shared" ref="K1739:K1745" si="556">IF(I1739="RM-FOOD",J1739*E1739,"")</f>
        <v/>
      </c>
      <c r="L1739" s="35">
        <f t="shared" si="542"/>
        <v>0</v>
      </c>
      <c r="M1739" s="77" t="str" cm="1">
        <f t="array" ref="M1739">_xlfn.IFS(BOM!I1739="RM-PACKING","100%",B1739="Reynolds",VLOOKUP(H1739,'Yield &amp; Time'!A:V,22,0),BOM!B1739="Dnata",VLOOKUP(BOM!H1739,'Yield &amp; Time'!A:M,13,0),B1739="NK",VLOOKUP(H1739,'Yield &amp; Time'!A:X,24,0))</f>
        <v>100%</v>
      </c>
      <c r="N1739" s="35">
        <f t="shared" si="546"/>
        <v>1</v>
      </c>
      <c r="O1739" s="1" t="str">
        <f>VLOOKUP(H1739,'RM Used'!A:E,5,0)</f>
        <v>Count</v>
      </c>
      <c r="P1739" s="11">
        <f>VLOOKUP(H1739,'RM Used'!A:F,6,0)</f>
        <v>0.14000000000000001</v>
      </c>
      <c r="Q1739" s="11">
        <f t="shared" si="555"/>
        <v>0.14000000000000001</v>
      </c>
      <c r="R1739" s="11" cm="1">
        <f t="array" ref="R1739">IFERROR(_xlfn.IFS(B1739="Reynolds",VLOOKUP(H1739,'Yield &amp; Time'!A:U,21,0),B1739="Dnata",VLOOKUP(H1739,'Yield &amp; Time'!A:L,12,0),B1739="NK",VLOOKUP(H1739,'Yield &amp; Time'!A:W,23,0)),0)</f>
        <v>0</v>
      </c>
      <c r="S1739" s="11">
        <f t="shared" si="543"/>
        <v>0</v>
      </c>
      <c r="T1739" s="11">
        <f t="shared" si="544"/>
        <v>0</v>
      </c>
      <c r="U1739" s="11">
        <f>IF(A1738=A1739,0,VLOOKUP(A1739,'Packing Time'!A:F,6,0))</f>
        <v>0</v>
      </c>
      <c r="V1739" s="11">
        <f t="shared" si="538"/>
        <v>0</v>
      </c>
      <c r="W1739" s="11">
        <f t="shared" si="539"/>
        <v>0</v>
      </c>
      <c r="X1739" s="11">
        <f t="shared" si="549"/>
        <v>0</v>
      </c>
      <c r="Y1739" s="11">
        <f t="shared" si="540"/>
        <v>0</v>
      </c>
      <c r="Z1739" s="37">
        <v>1</v>
      </c>
      <c r="AA1739" s="36">
        <f t="shared" si="550"/>
        <v>1</v>
      </c>
      <c r="AB1739" s="11">
        <f t="shared" si="551"/>
        <v>0.14000000000000001</v>
      </c>
      <c r="AC1739" s="11">
        <f t="shared" si="552"/>
        <v>0</v>
      </c>
      <c r="AD1739" s="36">
        <f t="shared" si="541"/>
        <v>0</v>
      </c>
      <c r="AE1739" s="36"/>
      <c r="AF1739" s="36">
        <f>IFERROR(VLOOKUP(AE1739,'Chemical Cost'!A:D,4,0),0)</f>
        <v>0</v>
      </c>
      <c r="AG1739" s="114">
        <f t="shared" si="553"/>
        <v>0</v>
      </c>
      <c r="AH1739" s="36">
        <f t="shared" si="534"/>
        <v>0</v>
      </c>
      <c r="AI1739" s="36">
        <f t="shared" si="547"/>
        <v>0.14000000000000001</v>
      </c>
      <c r="AJ1739" s="36">
        <f>IFERROR(VLOOKUP(A1739,'All Products'!A:F,6,0),0)</f>
        <v>18.12</v>
      </c>
      <c r="AK1739" s="36"/>
      <c r="AL1739" s="23">
        <v>1</v>
      </c>
      <c r="AP1739" s="4">
        <v>1.6</v>
      </c>
      <c r="AQ1739" s="111">
        <f t="shared" si="554"/>
        <v>0</v>
      </c>
      <c r="AR1739">
        <f>_xlfn.XLOOKUP(F1739,'RM Cost'!A:A,'RM Cost'!S:S)</f>
        <v>0</v>
      </c>
      <c r="AS1739" t="e">
        <f>_xlfn.XLOOKUP(A1739,[3]Sheet1!$B:$B,[3]Sheet1!$B:$B)</f>
        <v>#N/A</v>
      </c>
    </row>
    <row r="1740" spans="1:46" x14ac:dyDescent="0.25">
      <c r="A1740" t="s">
        <v>4660</v>
      </c>
      <c r="B1740" s="63" t="s">
        <v>656</v>
      </c>
      <c r="C1740" t="s">
        <v>4654</v>
      </c>
      <c r="D1740" t="str">
        <f t="shared" si="548"/>
        <v>KG</v>
      </c>
      <c r="E1740" s="63">
        <v>1</v>
      </c>
      <c r="F1740" s="1" t="str">
        <f>VLOOKUP(H1740,'RM Used'!A:B,2,0)</f>
        <v>3106CS</v>
      </c>
      <c r="G1740" s="1" t="str">
        <f>IFERROR(VLOOKUP(F1740,'RM Cost'!A:B,2,0),"")</f>
        <v>RM - FENNEL X5KG</v>
      </c>
      <c r="H1740" t="s">
        <v>4659</v>
      </c>
      <c r="I1740" s="1" t="str">
        <f>VLOOKUP(F1740,'RM Used'!B:D,3,0)</f>
        <v>RM-FOOD</v>
      </c>
      <c r="J1740" s="66">
        <v>1</v>
      </c>
      <c r="K1740" s="35">
        <f t="shared" si="556"/>
        <v>1</v>
      </c>
      <c r="L1740" s="35">
        <f t="shared" si="542"/>
        <v>1</v>
      </c>
      <c r="M1740" s="77" cm="1">
        <f t="array" ref="M1740">_xlfn.IFS(BOM!I1740="RM-PACKING","100%",B1740="Reynolds",VLOOKUP(H1740,'Yield &amp; Time'!A:V,22,0),BOM!B1740="Dnata",VLOOKUP(BOM!H1740,'Yield &amp; Time'!A:M,13,0),B1740="NK",VLOOKUP(H1740,'Yield &amp; Time'!A:X,24,0))</f>
        <v>0.5780346820809249</v>
      </c>
      <c r="N1740" s="35">
        <f t="shared" si="546"/>
        <v>1.7299999999999998</v>
      </c>
      <c r="O1740" s="1" t="str">
        <f>VLOOKUP(H1740,'RM Used'!A:E,5,0)</f>
        <v>KG</v>
      </c>
      <c r="P1740" s="11">
        <f>VLOOKUP(H1740,'RM Used'!A:F,6,0)</f>
        <v>1.41</v>
      </c>
      <c r="Q1740" s="11">
        <f t="shared" si="555"/>
        <v>2.4392999999999994</v>
      </c>
      <c r="R1740" s="11" cm="1">
        <f t="array" ref="R1740">IFERROR(_xlfn.IFS(B1740="Reynolds",VLOOKUP(H1740,'Yield &amp; Time'!A:U,21,0),B1740="Dnata",VLOOKUP(H1740,'Yield &amp; Time'!A:L,12,0),B1740="NK",VLOOKUP(H1740,'Yield &amp; Time'!A:W,23,0)),0)</f>
        <v>2.5</v>
      </c>
      <c r="S1740" s="11">
        <f t="shared" si="543"/>
        <v>0.84624999999999995</v>
      </c>
      <c r="T1740" s="11">
        <f t="shared" si="544"/>
        <v>4.1666666666666664E-2</v>
      </c>
      <c r="U1740" s="11">
        <f>IF(A1739=A1740,0,VLOOKUP(A1740,'Packing Time'!A:F,6,0))</f>
        <v>0.64500000000000002</v>
      </c>
      <c r="V1740" s="11">
        <f t="shared" si="538"/>
        <v>0.21833249999999998</v>
      </c>
      <c r="W1740" s="11">
        <f t="shared" si="539"/>
        <v>1.0750000000000001E-2</v>
      </c>
      <c r="X1740" s="11">
        <f t="shared" si="549"/>
        <v>1.7033320000000001</v>
      </c>
      <c r="Y1740" s="11">
        <f t="shared" si="540"/>
        <v>1.7033320000000001</v>
      </c>
      <c r="Z1740" s="37">
        <v>1</v>
      </c>
      <c r="AA1740" s="36">
        <f t="shared" si="550"/>
        <v>1.7299999999999998</v>
      </c>
      <c r="AB1740" s="11">
        <f t="shared" si="551"/>
        <v>2.4392999999999994</v>
      </c>
      <c r="AC1740" s="11">
        <f t="shared" si="552"/>
        <v>8.3866666666666673E-2</v>
      </c>
      <c r="AD1740" s="36">
        <f t="shared" si="541"/>
        <v>1.7033319999999998</v>
      </c>
      <c r="AE1740" s="36"/>
      <c r="AF1740" s="36">
        <f>IFERROR(VLOOKUP(AE1740,'Chemical Cost'!A:D,4,0),0)</f>
        <v>0</v>
      </c>
      <c r="AG1740" s="114">
        <f t="shared" si="553"/>
        <v>0</v>
      </c>
      <c r="AH1740" s="36">
        <f t="shared" si="534"/>
        <v>0</v>
      </c>
      <c r="AI1740" s="36">
        <f t="shared" si="547"/>
        <v>4.142631999999999</v>
      </c>
      <c r="AJ1740" s="36">
        <f>IFERROR(VLOOKUP(A1740,'All Products'!A:F,6,0),0)</f>
        <v>0</v>
      </c>
      <c r="AK1740" s="36"/>
      <c r="AL1740" s="23">
        <v>1</v>
      </c>
      <c r="AP1740" s="4">
        <v>1.6</v>
      </c>
      <c r="AQ1740" s="111">
        <f t="shared" si="554"/>
        <v>8.3866666666666673E-2</v>
      </c>
      <c r="AR1740">
        <f>_xlfn.XLOOKUP(F1740,'RM Cost'!A:A,'RM Cost'!S:S)</f>
        <v>0</v>
      </c>
      <c r="AS1740" t="e">
        <f>_xlfn.XLOOKUP(A1740,[3]Sheet1!$B:$B,[3]Sheet1!$B:$B)</f>
        <v>#N/A</v>
      </c>
    </row>
    <row r="1741" spans="1:46" x14ac:dyDescent="0.25">
      <c r="A1741" t="s">
        <v>4660</v>
      </c>
      <c r="B1741" s="63" t="s">
        <v>656</v>
      </c>
      <c r="C1741" t="s">
        <v>4654</v>
      </c>
      <c r="D1741" t="str">
        <f t="shared" si="548"/>
        <v>KG</v>
      </c>
      <c r="E1741" s="63">
        <v>1</v>
      </c>
      <c r="F1741" s="1" t="str">
        <f>VLOOKUP(H1741,'RM Used'!A:B,2,0)</f>
        <v>P0008</v>
      </c>
      <c r="G1741" s="1" t="str">
        <f>IFERROR(VLOOKUP(F1741,'RM Cost'!A:B,2,0),"")</f>
        <v>PALE BLUE BAG 470X750MM</v>
      </c>
      <c r="H1741" s="2" t="s">
        <v>1323</v>
      </c>
      <c r="I1741" s="1" t="str">
        <f>VLOOKUP(F1741,'RM Used'!B:D,3,0)</f>
        <v>RM-PACKING</v>
      </c>
      <c r="J1741" s="66">
        <v>1</v>
      </c>
      <c r="K1741" s="35" t="str">
        <f t="shared" si="556"/>
        <v/>
      </c>
      <c r="L1741" s="35">
        <f t="shared" si="542"/>
        <v>0</v>
      </c>
      <c r="M1741" s="77" t="str" cm="1">
        <f t="array" ref="M1741">_xlfn.IFS(BOM!I1741="RM-PACKING","100%",B1741="Reynolds",VLOOKUP(H1741,'Yield &amp; Time'!A:V,22,0),BOM!B1741="Dnata",VLOOKUP(BOM!H1741,'Yield &amp; Time'!A:M,13,0),B1741="NK",VLOOKUP(H1741,'Yield &amp; Time'!A:X,24,0))</f>
        <v>100%</v>
      </c>
      <c r="N1741" s="35">
        <f t="shared" si="546"/>
        <v>1</v>
      </c>
      <c r="O1741" s="1" t="str">
        <f>VLOOKUP(H1741,'RM Used'!A:E,5,0)</f>
        <v>Count</v>
      </c>
      <c r="P1741" s="11">
        <f>VLOOKUP(H1741,'RM Used'!A:F,6,0)</f>
        <v>0.14000000000000001</v>
      </c>
      <c r="Q1741" s="11">
        <f t="shared" si="555"/>
        <v>0.14000000000000001</v>
      </c>
      <c r="R1741" s="11" cm="1">
        <f t="array" ref="R1741">IFERROR(_xlfn.IFS(B1741="Reynolds",VLOOKUP(H1741,'Yield &amp; Time'!A:U,21,0),B1741="Dnata",VLOOKUP(H1741,'Yield &amp; Time'!A:L,12,0),B1741="NK",VLOOKUP(H1741,'Yield &amp; Time'!A:W,23,0)),0)</f>
        <v>0</v>
      </c>
      <c r="S1741" s="11">
        <f t="shared" si="543"/>
        <v>0</v>
      </c>
      <c r="T1741" s="11">
        <f t="shared" si="544"/>
        <v>0</v>
      </c>
      <c r="U1741" s="11">
        <f>IF(A1740=A1741,0,VLOOKUP(A1741,'Packing Time'!A:F,6,0))</f>
        <v>0</v>
      </c>
      <c r="V1741" s="11">
        <f t="shared" si="538"/>
        <v>0</v>
      </c>
      <c r="W1741" s="11">
        <f t="shared" si="539"/>
        <v>0</v>
      </c>
      <c r="X1741" s="11">
        <f t="shared" si="549"/>
        <v>0</v>
      </c>
      <c r="Y1741" s="11">
        <f t="shared" si="540"/>
        <v>0</v>
      </c>
      <c r="Z1741" s="37">
        <v>1</v>
      </c>
      <c r="AA1741" s="36">
        <f t="shared" si="550"/>
        <v>1</v>
      </c>
      <c r="AB1741" s="11">
        <f t="shared" si="551"/>
        <v>0.14000000000000001</v>
      </c>
      <c r="AC1741" s="11">
        <f t="shared" si="552"/>
        <v>0</v>
      </c>
      <c r="AD1741" s="36">
        <f t="shared" si="541"/>
        <v>0</v>
      </c>
      <c r="AE1741" s="36"/>
      <c r="AF1741" s="36">
        <f>IFERROR(VLOOKUP(AE1741,'Chemical Cost'!A:D,4,0),0)</f>
        <v>0</v>
      </c>
      <c r="AG1741" s="114">
        <f t="shared" si="553"/>
        <v>0</v>
      </c>
      <c r="AH1741" s="36">
        <f t="shared" si="534"/>
        <v>0</v>
      </c>
      <c r="AI1741" s="36">
        <f t="shared" si="547"/>
        <v>0.14000000000000001</v>
      </c>
      <c r="AJ1741" s="36">
        <f>IFERROR(VLOOKUP(A1741,'All Products'!A:F,6,0),0)</f>
        <v>0</v>
      </c>
      <c r="AK1741" s="36"/>
      <c r="AL1741" s="23">
        <v>1</v>
      </c>
      <c r="AP1741" s="4">
        <v>1.6</v>
      </c>
      <c r="AQ1741" s="111">
        <f t="shared" si="554"/>
        <v>0</v>
      </c>
      <c r="AR1741">
        <f>_xlfn.XLOOKUP(F1741,'RM Cost'!A:A,'RM Cost'!S:S)</f>
        <v>0</v>
      </c>
      <c r="AS1741" t="e">
        <f>_xlfn.XLOOKUP(A1741,[3]Sheet1!$B:$B,[3]Sheet1!$B:$B)</f>
        <v>#N/A</v>
      </c>
    </row>
    <row r="1742" spans="1:46" x14ac:dyDescent="0.25">
      <c r="A1742" t="s">
        <v>4660</v>
      </c>
      <c r="B1742" s="63" t="s">
        <v>656</v>
      </c>
      <c r="C1742" t="s">
        <v>4655</v>
      </c>
      <c r="D1742" t="str">
        <f t="shared" si="548"/>
        <v>KG</v>
      </c>
      <c r="E1742" s="63">
        <v>2.5</v>
      </c>
      <c r="F1742" s="1" t="str">
        <f>VLOOKUP(H1742,'RM Used'!A:B,2,0)</f>
        <v>3106CS</v>
      </c>
      <c r="G1742" s="1" t="str">
        <f>IFERROR(VLOOKUP(F1742,'RM Cost'!A:B,2,0),"")</f>
        <v>RM - FENNEL X5KG</v>
      </c>
      <c r="H1742" t="s">
        <v>4659</v>
      </c>
      <c r="I1742" s="1" t="str">
        <f>VLOOKUP(F1742,'RM Used'!B:D,3,0)</f>
        <v>RM-FOOD</v>
      </c>
      <c r="J1742" s="66">
        <v>1</v>
      </c>
      <c r="K1742" s="35">
        <f t="shared" si="556"/>
        <v>2.5</v>
      </c>
      <c r="L1742" s="35">
        <f t="shared" si="542"/>
        <v>2.5</v>
      </c>
      <c r="M1742" s="77" cm="1">
        <f t="array" ref="M1742">_xlfn.IFS(BOM!I1742="RM-PACKING","100%",B1742="Reynolds",VLOOKUP(H1742,'Yield &amp; Time'!A:V,22,0),BOM!B1742="Dnata",VLOOKUP(BOM!H1742,'Yield &amp; Time'!A:M,13,0),B1742="NK",VLOOKUP(H1742,'Yield &amp; Time'!A:X,24,0))</f>
        <v>0.5780346820809249</v>
      </c>
      <c r="N1742" s="35">
        <f t="shared" si="546"/>
        <v>4.3249999999999993</v>
      </c>
      <c r="O1742" s="1" t="str">
        <f>VLOOKUP(H1742,'RM Used'!A:E,5,0)</f>
        <v>KG</v>
      </c>
      <c r="P1742" s="11">
        <f>VLOOKUP(H1742,'RM Used'!A:F,6,0)</f>
        <v>1.41</v>
      </c>
      <c r="Q1742" s="11">
        <f t="shared" si="555"/>
        <v>6.0982499999999984</v>
      </c>
      <c r="R1742" s="11" cm="1">
        <f t="array" ref="R1742">IFERROR(_xlfn.IFS(B1742="Reynolds",VLOOKUP(H1742,'Yield &amp; Time'!A:U,21,0),B1742="Dnata",VLOOKUP(H1742,'Yield &amp; Time'!A:L,12,0),B1742="NK",VLOOKUP(H1742,'Yield &amp; Time'!A:W,23,0)),0)</f>
        <v>2.5</v>
      </c>
      <c r="S1742" s="11">
        <f t="shared" si="543"/>
        <v>2.1156249999999996</v>
      </c>
      <c r="T1742" s="11">
        <f t="shared" si="544"/>
        <v>0.10416666666666667</v>
      </c>
      <c r="U1742" s="11">
        <f>IF(A1741=A1742,0,VLOOKUP(A1742,'Packing Time'!A:F,6,0))</f>
        <v>0</v>
      </c>
      <c r="V1742" s="11">
        <f t="shared" si="538"/>
        <v>0</v>
      </c>
      <c r="W1742" s="11">
        <f t="shared" si="539"/>
        <v>0</v>
      </c>
      <c r="X1742" s="11">
        <f t="shared" si="549"/>
        <v>3.3849999999999998</v>
      </c>
      <c r="Y1742" s="11">
        <f t="shared" si="540"/>
        <v>3.3849999999999998</v>
      </c>
      <c r="Z1742" s="37">
        <v>1</v>
      </c>
      <c r="AA1742" s="36">
        <f t="shared" si="550"/>
        <v>4.3249999999999993</v>
      </c>
      <c r="AB1742" s="11">
        <f t="shared" si="551"/>
        <v>6.0982499999999984</v>
      </c>
      <c r="AC1742" s="11">
        <f t="shared" si="552"/>
        <v>0.16666666666666669</v>
      </c>
      <c r="AD1742" s="36">
        <f t="shared" si="541"/>
        <v>3.3850000000000002</v>
      </c>
      <c r="AE1742" s="36"/>
      <c r="AF1742" s="36">
        <f>IFERROR(VLOOKUP(AE1742,'Chemical Cost'!A:D,4,0),0)</f>
        <v>0</v>
      </c>
      <c r="AG1742" s="114">
        <f t="shared" si="553"/>
        <v>0</v>
      </c>
      <c r="AH1742" s="36">
        <f t="shared" si="534"/>
        <v>0</v>
      </c>
      <c r="AI1742" s="36">
        <f t="shared" si="547"/>
        <v>9.4832499999999982</v>
      </c>
      <c r="AJ1742" s="36">
        <f>IFERROR(VLOOKUP(A1742,'All Products'!A:F,6,0),0)</f>
        <v>0</v>
      </c>
      <c r="AK1742" s="36"/>
      <c r="AL1742" s="23">
        <v>1</v>
      </c>
      <c r="AP1742" s="4">
        <v>1.6</v>
      </c>
      <c r="AQ1742" s="111">
        <f t="shared" si="554"/>
        <v>0.16666666666666669</v>
      </c>
      <c r="AR1742">
        <f>_xlfn.XLOOKUP(F1742,'RM Cost'!A:A,'RM Cost'!S:S)</f>
        <v>0</v>
      </c>
      <c r="AS1742" t="e">
        <f>_xlfn.XLOOKUP(A1742,[3]Sheet1!$B:$B,[3]Sheet1!$B:$B)</f>
        <v>#N/A</v>
      </c>
    </row>
    <row r="1743" spans="1:46" x14ac:dyDescent="0.25">
      <c r="A1743" t="s">
        <v>4660</v>
      </c>
      <c r="B1743" s="63" t="s">
        <v>656</v>
      </c>
      <c r="C1743" t="s">
        <v>4655</v>
      </c>
      <c r="D1743" t="str">
        <f t="shared" si="548"/>
        <v>KG</v>
      </c>
      <c r="E1743" s="63">
        <v>2.5</v>
      </c>
      <c r="F1743" s="1" t="str">
        <f>VLOOKUP(H1743,'RM Used'!A:B,2,0)</f>
        <v>P0008</v>
      </c>
      <c r="G1743" s="1" t="str">
        <f>IFERROR(VLOOKUP(F1743,'RM Cost'!A:B,2,0),"")</f>
        <v>PALE BLUE BAG 470X750MM</v>
      </c>
      <c r="H1743" s="2" t="s">
        <v>1323</v>
      </c>
      <c r="I1743" s="1" t="str">
        <f>VLOOKUP(F1743,'RM Used'!B:D,3,0)</f>
        <v>RM-PACKING</v>
      </c>
      <c r="J1743" s="66">
        <v>1</v>
      </c>
      <c r="K1743" s="35" t="str">
        <f t="shared" si="556"/>
        <v/>
      </c>
      <c r="L1743" s="35">
        <f t="shared" si="542"/>
        <v>0</v>
      </c>
      <c r="M1743" s="77" t="str" cm="1">
        <f t="array" ref="M1743">_xlfn.IFS(BOM!I1743="RM-PACKING","100%",B1743="Reynolds",VLOOKUP(H1743,'Yield &amp; Time'!A:V,22,0),BOM!B1743="Dnata",VLOOKUP(BOM!H1743,'Yield &amp; Time'!A:M,13,0),B1743="NK",VLOOKUP(H1743,'Yield &amp; Time'!A:X,24,0))</f>
        <v>100%</v>
      </c>
      <c r="N1743" s="35">
        <f t="shared" si="546"/>
        <v>1</v>
      </c>
      <c r="O1743" s="1" t="str">
        <f>VLOOKUP(H1743,'RM Used'!A:E,5,0)</f>
        <v>Count</v>
      </c>
      <c r="P1743" s="11">
        <f>VLOOKUP(H1743,'RM Used'!A:F,6,0)</f>
        <v>0.14000000000000001</v>
      </c>
      <c r="Q1743" s="11">
        <f t="shared" si="555"/>
        <v>0.14000000000000001</v>
      </c>
      <c r="R1743" s="11" cm="1">
        <f t="array" ref="R1743">IFERROR(_xlfn.IFS(B1743="Reynolds",VLOOKUP(H1743,'Yield &amp; Time'!A:U,21,0),B1743="Dnata",VLOOKUP(H1743,'Yield &amp; Time'!A:L,12,0),B1743="NK",VLOOKUP(H1743,'Yield &amp; Time'!A:W,23,0)),0)</f>
        <v>0</v>
      </c>
      <c r="S1743" s="11">
        <f t="shared" si="543"/>
        <v>0</v>
      </c>
      <c r="T1743" s="11">
        <f t="shared" si="544"/>
        <v>0</v>
      </c>
      <c r="U1743" s="11">
        <f>IF(A1742=A1743,0,VLOOKUP(A1743,'Packing Time'!A:F,6,0))</f>
        <v>0</v>
      </c>
      <c r="V1743" s="11">
        <f t="shared" si="538"/>
        <v>0</v>
      </c>
      <c r="W1743" s="11">
        <f t="shared" si="539"/>
        <v>0</v>
      </c>
      <c r="X1743" s="11">
        <f t="shared" si="549"/>
        <v>0</v>
      </c>
      <c r="Y1743" s="11">
        <f t="shared" si="540"/>
        <v>0</v>
      </c>
      <c r="Z1743" s="37">
        <v>1</v>
      </c>
      <c r="AA1743" s="36">
        <f t="shared" si="550"/>
        <v>1</v>
      </c>
      <c r="AB1743" s="11">
        <f t="shared" si="551"/>
        <v>0.14000000000000001</v>
      </c>
      <c r="AC1743" s="11">
        <f t="shared" si="552"/>
        <v>0</v>
      </c>
      <c r="AD1743" s="36">
        <f t="shared" si="541"/>
        <v>0</v>
      </c>
      <c r="AE1743" s="36"/>
      <c r="AF1743" s="36">
        <f>IFERROR(VLOOKUP(AE1743,'Chemical Cost'!A:D,4,0),0)</f>
        <v>0</v>
      </c>
      <c r="AG1743" s="114">
        <f t="shared" si="553"/>
        <v>0</v>
      </c>
      <c r="AH1743" s="36">
        <f t="shared" si="534"/>
        <v>0</v>
      </c>
      <c r="AI1743" s="36">
        <f t="shared" si="547"/>
        <v>0.14000000000000001</v>
      </c>
      <c r="AJ1743" s="36">
        <f>IFERROR(VLOOKUP(A1743,'All Products'!A:F,6,0),0)</f>
        <v>0</v>
      </c>
      <c r="AK1743" s="36"/>
      <c r="AL1743" s="23">
        <v>1</v>
      </c>
      <c r="AP1743" s="4">
        <v>1.6</v>
      </c>
      <c r="AQ1743" s="111">
        <f t="shared" si="554"/>
        <v>0</v>
      </c>
      <c r="AR1743">
        <f>_xlfn.XLOOKUP(F1743,'RM Cost'!A:A,'RM Cost'!S:S)</f>
        <v>0</v>
      </c>
      <c r="AS1743" t="e">
        <f>_xlfn.XLOOKUP(A1743,[3]Sheet1!$B:$B,[3]Sheet1!$B:$B)</f>
        <v>#N/A</v>
      </c>
    </row>
    <row r="1744" spans="1:46" x14ac:dyDescent="0.25">
      <c r="A1744" t="s">
        <v>4694</v>
      </c>
      <c r="B1744" t="s">
        <v>552</v>
      </c>
      <c r="C1744" t="s">
        <v>4696</v>
      </c>
      <c r="D1744" t="s">
        <v>554</v>
      </c>
      <c r="E1744" s="63">
        <v>2.5</v>
      </c>
      <c r="F1744" s="1" t="str">
        <f>VLOOKUP(H1744,'RM Used'!A:B,2,0)</f>
        <v>3112CS</v>
      </c>
      <c r="G1744" s="1" t="str">
        <f>IFERROR(VLOOKUP(F1744,'RM Cost'!A:B,2,0),"")</f>
        <v>WHOLE LEAF CURLY KALE 5X1KG</v>
      </c>
      <c r="H1744" t="s">
        <v>4698</v>
      </c>
      <c r="I1744" s="1" t="str">
        <f>VLOOKUP(F1744,'RM Used'!B:D,3,0)</f>
        <v>RM-FOOD</v>
      </c>
      <c r="J1744" s="66">
        <v>1</v>
      </c>
      <c r="K1744" s="35">
        <f t="shared" si="556"/>
        <v>2.5</v>
      </c>
      <c r="L1744" s="35">
        <f t="shared" si="542"/>
        <v>2.5</v>
      </c>
      <c r="M1744" s="77" cm="1">
        <f t="array" ref="M1744">_xlfn.IFS(BOM!I1744="RM-PACKING","100%",B1744="Reynolds",VLOOKUP(H1744,'Yield &amp; Time'!A:V,22,0),BOM!B1744="Dnata",VLOOKUP(BOM!H1744,'Yield &amp; Time'!A:M,13,0),B1744="NK",VLOOKUP(H1744,'Yield &amp; Time'!A:X,24,0))</f>
        <v>0.79</v>
      </c>
      <c r="N1744" s="35">
        <f>IFERROR(IF(I1744="RM-FOOD",(E1744*J1744)/M1744,1),0)</f>
        <v>3.1645569620253164</v>
      </c>
      <c r="O1744" s="1" t="str">
        <f>VLOOKUP(H1744,'RM Used'!A:E,5,0)</f>
        <v>KG</v>
      </c>
      <c r="P1744" s="11">
        <f>VLOOKUP(H1744,'RM Used'!A:F,6,0)</f>
        <v>1.45</v>
      </c>
      <c r="Q1744" s="11">
        <f t="shared" si="555"/>
        <v>4.5886075949367084</v>
      </c>
      <c r="R1744" s="11" cm="1">
        <f t="array" ref="R1744">IFERROR(_xlfn.IFS(B1744="Reynolds",VLOOKUP(H1744,'Yield &amp; Time'!A:U,21,0),B1744="Dnata",VLOOKUP(H1744,'Yield &amp; Time'!A:L,12,0),B1744="NK",VLOOKUP(H1744,'Yield &amp; Time'!A:W,23,0)),0)</f>
        <v>4.71</v>
      </c>
      <c r="S1744" s="11">
        <f t="shared" si="543"/>
        <v>3.9858374999999997</v>
      </c>
      <c r="T1744" s="11">
        <f t="shared" si="544"/>
        <v>0.19625000000000001</v>
      </c>
      <c r="U1744" s="11">
        <f>IF(A1743=A1744,0,VLOOKUP(A1744,'Packing Time'!A:F,6,0))</f>
        <v>0.875</v>
      </c>
      <c r="V1744" s="11">
        <f>U1744*AO$1</f>
        <v>0.29618749999999999</v>
      </c>
      <c r="W1744" s="11">
        <f>(U1744*Z1744)/60</f>
        <v>1.4583333333333334E-2</v>
      </c>
      <c r="X1744" s="11">
        <f t="shared" si="549"/>
        <v>11.133265</v>
      </c>
      <c r="Y1744" s="11">
        <f>X1744*Z1744</f>
        <v>11.133265</v>
      </c>
      <c r="Z1744" s="37">
        <v>1</v>
      </c>
      <c r="AA1744" s="36">
        <f t="shared" si="550"/>
        <v>3.1645569620253164</v>
      </c>
      <c r="AB1744" s="11">
        <f t="shared" si="551"/>
        <v>4.5886075949367084</v>
      </c>
      <c r="AC1744" s="11">
        <f t="shared" si="552"/>
        <v>0.54816666666666669</v>
      </c>
      <c r="AD1744" s="36">
        <f>AC1744*60*AO$1</f>
        <v>11.133265</v>
      </c>
      <c r="AE1744" s="36"/>
      <c r="AF1744" s="36">
        <f>IFERROR(VLOOKUP(AE1744,'Chemical Cost'!A:D,4,0),0)</f>
        <v>0</v>
      </c>
      <c r="AG1744" s="114">
        <f t="shared" si="553"/>
        <v>0</v>
      </c>
      <c r="AH1744" s="36">
        <f>AF1744*AA1744/3</f>
        <v>0</v>
      </c>
      <c r="AI1744" s="36">
        <f>IFERROR((Q1744*Z1744)+(Z1744*X1744)+AH1744,0)</f>
        <v>15.721872594936709</v>
      </c>
      <c r="AJ1744" s="36">
        <f>IFERROR(VLOOKUP(A1744,'All Products'!A:F,6,0),0)</f>
        <v>0</v>
      </c>
      <c r="AK1744" s="36"/>
      <c r="AL1744" s="23">
        <v>1</v>
      </c>
      <c r="AP1744" s="4">
        <v>2.6</v>
      </c>
      <c r="AQ1744" s="111">
        <f t="shared" si="554"/>
        <v>0.54816666666666669</v>
      </c>
      <c r="AR1744">
        <f>_xlfn.XLOOKUP(F1744,'RM Cost'!A:A,'RM Cost'!S:S)</f>
        <v>0</v>
      </c>
      <c r="AS1744" t="str">
        <f>_xlfn.XLOOKUP(A1744,[3]Sheet1!$B:$B,[3]Sheet1!$B:$B)</f>
        <v>567BCS</v>
      </c>
      <c r="AT1744">
        <f>_xlfn.XLOOKUP(H1744,'Yield &amp; Time'!A:A,'Yield &amp; Time'!F:F)</f>
        <v>0</v>
      </c>
    </row>
    <row r="1745" spans="1:46" x14ac:dyDescent="0.25">
      <c r="A1745" t="s">
        <v>4694</v>
      </c>
      <c r="B1745" t="s">
        <v>552</v>
      </c>
      <c r="C1745" t="s">
        <v>4696</v>
      </c>
      <c r="D1745" t="s">
        <v>554</v>
      </c>
      <c r="E1745" s="63">
        <v>2.5</v>
      </c>
      <c r="F1745" s="1" t="str">
        <f>VLOOKUP(H1745,'RM Used'!A:B,2,0)</f>
        <v>P0008</v>
      </c>
      <c r="G1745" s="1" t="str">
        <f>IFERROR(VLOOKUP(F1745,'RM Cost'!A:B,2,0),"")</f>
        <v>PALE BLUE BAG 470X750MM</v>
      </c>
      <c r="H1745" s="2" t="s">
        <v>1323</v>
      </c>
      <c r="I1745" s="1" t="str">
        <f>VLOOKUP(F1745,'RM Used'!B:D,3,0)</f>
        <v>RM-PACKING</v>
      </c>
      <c r="J1745" s="66">
        <v>1</v>
      </c>
      <c r="K1745" s="35" t="str">
        <f t="shared" si="556"/>
        <v/>
      </c>
      <c r="L1745" s="35">
        <f t="shared" ref="L1745:L1776" si="557">IFERROR(K1745*Z1745,0)</f>
        <v>0</v>
      </c>
      <c r="M1745" s="77" t="str" cm="1">
        <f t="array" ref="M1745">_xlfn.IFS(BOM!I1745="RM-PACKING","100%",B1745="Reynolds",VLOOKUP(H1745,'Yield &amp; Time'!A:V,22,0),BOM!B1745="Dnata",VLOOKUP(BOM!H1745,'Yield &amp; Time'!A:M,13,0),B1745="NK",VLOOKUP(H1745,'Yield &amp; Time'!A:X,24,0))</f>
        <v>100%</v>
      </c>
      <c r="N1745" s="35">
        <f>IFERROR(IF(I1745="RM-FOOD",(E1745*J1745)/M1745,1),0)</f>
        <v>1</v>
      </c>
      <c r="O1745" s="1" t="str">
        <f>VLOOKUP(H1745,'RM Used'!A:E,5,0)</f>
        <v>Count</v>
      </c>
      <c r="P1745" s="11">
        <f>VLOOKUP(H1745,'RM Used'!A:F,6,0)</f>
        <v>0.14000000000000001</v>
      </c>
      <c r="Q1745" s="11">
        <f t="shared" si="555"/>
        <v>0.14000000000000001</v>
      </c>
      <c r="R1745" s="11" cm="1">
        <f t="array" ref="R1745">IFERROR(_xlfn.IFS(B1745="Reynolds",VLOOKUP(H1745,'Yield &amp; Time'!A:U,21,0),B1745="Dnata",VLOOKUP(H1745,'Yield &amp; Time'!A:L,12,0),B1745="NK",VLOOKUP(H1745,'Yield &amp; Time'!A:W,23,0)),0)</f>
        <v>0</v>
      </c>
      <c r="S1745" s="11">
        <f t="shared" ref="S1745:S1776" si="558">R1745*J1745*E1745*AO$1</f>
        <v>0</v>
      </c>
      <c r="T1745" s="11">
        <f t="shared" ref="T1745:T1776" si="559">(R1745*Z1745*J1745*E1745)/60</f>
        <v>0</v>
      </c>
      <c r="U1745" s="11">
        <f>IF(A1744=A1745,0,VLOOKUP(A1745,'Packing Time'!A:F,6,0))</f>
        <v>0</v>
      </c>
      <c r="V1745" s="11">
        <f>U1745*AO$1</f>
        <v>0</v>
      </c>
      <c r="W1745" s="11">
        <f>(U1745*Z1745)/60</f>
        <v>0</v>
      </c>
      <c r="X1745" s="11">
        <f t="shared" si="549"/>
        <v>0</v>
      </c>
      <c r="Y1745" s="11">
        <f>X1745*Z1745</f>
        <v>0</v>
      </c>
      <c r="Z1745" s="37">
        <v>1</v>
      </c>
      <c r="AA1745" s="36">
        <f t="shared" si="550"/>
        <v>1</v>
      </c>
      <c r="AB1745" s="11">
        <f t="shared" si="551"/>
        <v>0.14000000000000001</v>
      </c>
      <c r="AC1745" s="11">
        <f t="shared" si="552"/>
        <v>0</v>
      </c>
      <c r="AD1745" s="36">
        <f>AC1745*60*AO$1</f>
        <v>0</v>
      </c>
      <c r="AE1745" s="36"/>
      <c r="AF1745" s="36">
        <f>IFERROR(VLOOKUP(AE1745,'Chemical Cost'!A:D,4,0),0)</f>
        <v>0</v>
      </c>
      <c r="AG1745" s="114">
        <f t="shared" si="553"/>
        <v>0</v>
      </c>
      <c r="AH1745" s="36">
        <f>AF1745*AA1745/3</f>
        <v>0</v>
      </c>
      <c r="AI1745" s="36">
        <f>IFERROR((Q1745*Z1745)+(Z1745*X1745)+AH1745,0)</f>
        <v>0.14000000000000001</v>
      </c>
      <c r="AJ1745" s="36">
        <f>IFERROR(VLOOKUP(A1745,'All Products'!A:F,6,0),0)</f>
        <v>0</v>
      </c>
      <c r="AK1745" s="36"/>
      <c r="AL1745" s="23">
        <v>1</v>
      </c>
      <c r="AP1745" s="4">
        <v>3.6</v>
      </c>
      <c r="AQ1745" s="111">
        <f t="shared" si="554"/>
        <v>0</v>
      </c>
      <c r="AR1745">
        <f>_xlfn.XLOOKUP(F1745,'RM Cost'!A:A,'RM Cost'!S:S)</f>
        <v>0</v>
      </c>
      <c r="AS1745" t="str">
        <f>_xlfn.XLOOKUP(A1745,[3]Sheet1!$B:$B,[3]Sheet1!$B:$B)</f>
        <v>567BCS</v>
      </c>
      <c r="AT1745" t="e">
        <f>_xlfn.XLOOKUP(H1745,'Yield &amp; Time'!A:A,'Yield &amp; Time'!F:F)</f>
        <v>#N/A</v>
      </c>
    </row>
    <row r="1746" spans="1:46" x14ac:dyDescent="0.25">
      <c r="A1746" t="s">
        <v>4694</v>
      </c>
      <c r="B1746" t="s">
        <v>552</v>
      </c>
      <c r="C1746" t="s">
        <v>4696</v>
      </c>
      <c r="D1746" t="s">
        <v>554</v>
      </c>
      <c r="E1746" s="63">
        <v>2.5</v>
      </c>
      <c r="F1746" s="1" t="str">
        <f>VLOOKUP(H1746,'RM Used'!A:B,2,0)</f>
        <v>P0016</v>
      </c>
      <c r="G1746" s="1" t="str">
        <f>IFERROR(VLOOKUP(F1746,'RM Cost'!A:B,2,0),"")</f>
        <v>REY 40 30 BOX</v>
      </c>
      <c r="H1746" s="1" t="s">
        <v>1332</v>
      </c>
      <c r="I1746" s="1" t="str">
        <f>VLOOKUP(F1746,'RM Used'!B:D,3,0)</f>
        <v>RM-PACKING</v>
      </c>
      <c r="J1746" s="66">
        <v>1</v>
      </c>
      <c r="K1746" s="35" t="str">
        <f>IF(I1746="RM-FOOD",J1746*E1746,"")</f>
        <v/>
      </c>
      <c r="L1746" s="35">
        <f t="shared" si="557"/>
        <v>0</v>
      </c>
      <c r="M1746" s="77" t="str" cm="1">
        <f t="array" ref="M1746">_xlfn.IFS(BOM!I1746="RM-PACKING","100%",B1746="Reynolds",VLOOKUP(H1746,'Yield &amp; Time'!A:V,22,0),BOM!B1746="Dnata",VLOOKUP(BOM!H1746,'Yield &amp; Time'!A:M,13,0),B1746="NK",VLOOKUP(H1746,'Yield &amp; Time'!A:X,24,0))</f>
        <v>100%</v>
      </c>
      <c r="N1746" s="35">
        <f>IFERROR(IF(I1746="RM-FOOD",(E1746*J1746)/M1746,1),0)</f>
        <v>1</v>
      </c>
      <c r="O1746" s="1" t="str">
        <f>VLOOKUP(H1746,'RM Used'!A:E,5,0)</f>
        <v>Count</v>
      </c>
      <c r="P1746" s="11">
        <f>VLOOKUP(H1746,'RM Used'!A:F,6,0)</f>
        <v>0.28000000000000003</v>
      </c>
      <c r="Q1746" s="11">
        <f t="shared" si="555"/>
        <v>0.28000000000000003</v>
      </c>
      <c r="R1746" s="11" cm="1">
        <f t="array" ref="R1746">IFERROR(_xlfn.IFS(B1746="Reynolds",VLOOKUP(H1746,'Yield &amp; Time'!A:U,21,0),B1746="Dnata",VLOOKUP(H1746,'Yield &amp; Time'!A:L,12,0),B1746="NK",VLOOKUP(H1746,'Yield &amp; Time'!A:W,23,0)),0)</f>
        <v>0</v>
      </c>
      <c r="S1746" s="11">
        <f t="shared" si="558"/>
        <v>0</v>
      </c>
      <c r="T1746" s="11">
        <f t="shared" si="559"/>
        <v>0</v>
      </c>
      <c r="U1746" s="11">
        <f>IF(A1745=A1746,0,VLOOKUP(A1746,'Packing Time'!A:F,6,0))</f>
        <v>0</v>
      </c>
      <c r="V1746" s="11">
        <f>U1746*AO$1</f>
        <v>0</v>
      </c>
      <c r="W1746" s="11">
        <f>(U1746*Z1746)/60</f>
        <v>0</v>
      </c>
      <c r="X1746" s="11">
        <f t="shared" si="549"/>
        <v>0</v>
      </c>
      <c r="Y1746" s="11">
        <f>X1746*Z1746</f>
        <v>0</v>
      </c>
      <c r="Z1746" s="37">
        <v>1</v>
      </c>
      <c r="AA1746" s="36">
        <f t="shared" si="550"/>
        <v>1</v>
      </c>
      <c r="AB1746" s="11">
        <f t="shared" si="551"/>
        <v>0.28000000000000003</v>
      </c>
      <c r="AC1746" s="11">
        <f t="shared" si="552"/>
        <v>0</v>
      </c>
      <c r="AD1746" s="36">
        <f>AC1746*60*AO$1</f>
        <v>0</v>
      </c>
      <c r="AE1746" s="36"/>
      <c r="AF1746" s="36">
        <f>IFERROR(VLOOKUP(AE1746,'Chemical Cost'!A:D,4,0),0)</f>
        <v>0</v>
      </c>
      <c r="AG1746" s="114">
        <f t="shared" si="553"/>
        <v>0</v>
      </c>
      <c r="AH1746" s="36">
        <f>AF1746*AA1746/3</f>
        <v>0</v>
      </c>
      <c r="AI1746" s="36">
        <f>IFERROR((Q1746*Z1746)+(Z1746*X1746)+AH1746,0)</f>
        <v>0.28000000000000003</v>
      </c>
      <c r="AJ1746" s="36">
        <f>IFERROR(VLOOKUP(A1746,'All Products'!A:F,6,0),0)</f>
        <v>0</v>
      </c>
      <c r="AK1746" s="36"/>
      <c r="AL1746" s="23">
        <v>1</v>
      </c>
      <c r="AP1746" s="4">
        <v>4.5999999999999996</v>
      </c>
      <c r="AQ1746" s="111">
        <f t="shared" si="554"/>
        <v>0</v>
      </c>
      <c r="AR1746">
        <f>_xlfn.XLOOKUP(F1746,'RM Cost'!A:A,'RM Cost'!S:S)</f>
        <v>0</v>
      </c>
      <c r="AS1746" t="str">
        <f>_xlfn.XLOOKUP(A1746,[3]Sheet1!$B:$B,[3]Sheet1!$B:$B)</f>
        <v>567BCS</v>
      </c>
      <c r="AT1746" t="e">
        <f>_xlfn.XLOOKUP(H1746,'Yield &amp; Time'!A:A,'Yield &amp; Time'!F:F)</f>
        <v>#N/A</v>
      </c>
    </row>
    <row r="1747" spans="1:46" x14ac:dyDescent="0.25">
      <c r="A1747" t="s">
        <v>4695</v>
      </c>
      <c r="B1747" s="63" t="s">
        <v>552</v>
      </c>
      <c r="C1747" t="s">
        <v>4697</v>
      </c>
      <c r="D1747" t="str">
        <f>D1746</f>
        <v>KG</v>
      </c>
      <c r="E1747" s="63">
        <v>1</v>
      </c>
      <c r="F1747" s="1" t="str">
        <f>VLOOKUP(H1747,'RM Used'!A:B,2,0)</f>
        <v>3166CS</v>
      </c>
      <c r="G1747" s="1" t="str">
        <f>IFERROR(VLOOKUP(F1747,'RM Cost'!A:B,2,0),"")</f>
        <v>MUSHROOMS FLAT LARGE 1.81KG</v>
      </c>
      <c r="H1747" t="s">
        <v>4699</v>
      </c>
      <c r="I1747" s="1" t="str">
        <f>VLOOKUP(F1747,'RM Used'!B:D,3,0)</f>
        <v>RM-FOOD</v>
      </c>
      <c r="J1747" s="66">
        <v>1</v>
      </c>
      <c r="K1747" s="35">
        <f t="shared" ref="K1747:K1758" si="560">IF(I1747="RM-FOOD",J1747*E1747,"")</f>
        <v>1</v>
      </c>
      <c r="L1747" s="35">
        <f t="shared" si="557"/>
        <v>1</v>
      </c>
      <c r="M1747" s="77" cm="1">
        <f t="array" ref="M1747">_xlfn.IFS(BOM!I1747="RM-PACKING","100%",B1747="Reynolds",VLOOKUP(H1747,'Yield &amp; Time'!A:V,22,0),BOM!B1747="Dnata",VLOOKUP(BOM!H1747,'Yield &amp; Time'!A:M,13,0),B1747="NK",VLOOKUP(H1747,'Yield &amp; Time'!A:X,24,0))</f>
        <v>0.92</v>
      </c>
      <c r="N1747" s="35">
        <f t="shared" ref="N1747:N1755" si="561">IFERROR(IF(I1747="RM-FOOD",(E1747*J1747)/M1747,1),0)</f>
        <v>1.0869565217391304</v>
      </c>
      <c r="O1747" s="1" t="str">
        <f>VLOOKUP(H1747,'RM Used'!A:E,5,0)</f>
        <v>KG</v>
      </c>
      <c r="P1747" s="11">
        <f>VLOOKUP(H1747,'RM Used'!A:F,6,0)</f>
        <v>1.97</v>
      </c>
      <c r="Q1747" s="11">
        <f t="shared" si="555"/>
        <v>2.1413043478260869</v>
      </c>
      <c r="R1747" s="11" cm="1">
        <f t="array" ref="R1747">IFERROR(_xlfn.IFS(B1747="Reynolds",VLOOKUP(H1747,'Yield &amp; Time'!A:U,21,0),B1747="Dnata",VLOOKUP(H1747,'Yield &amp; Time'!A:L,12,0),B1747="NK",VLOOKUP(H1747,'Yield &amp; Time'!A:W,23,0)),0)</f>
        <v>1</v>
      </c>
      <c r="S1747" s="11">
        <f t="shared" si="558"/>
        <v>0.33849999999999997</v>
      </c>
      <c r="T1747" s="11">
        <f t="shared" si="559"/>
        <v>1.6666666666666666E-2</v>
      </c>
      <c r="U1747" s="11">
        <f>IF(A1746=A1747,0,VLOOKUP(A1747,'Packing Time'!A:F,6,0))</f>
        <v>0.64500000000000002</v>
      </c>
      <c r="V1747" s="11">
        <f t="shared" ref="V1747:V1755" si="562">U1747*AO$1</f>
        <v>0.21833249999999998</v>
      </c>
      <c r="W1747" s="11">
        <f t="shared" ref="W1747:W1755" si="563">(U1747*Z1747)/60</f>
        <v>1.0750000000000001E-2</v>
      </c>
      <c r="X1747" s="11">
        <f t="shared" si="549"/>
        <v>3.1182619999999996</v>
      </c>
      <c r="Y1747" s="11">
        <f t="shared" ref="Y1747:Y1755" si="564">X1747*Z1747</f>
        <v>3.1182619999999996</v>
      </c>
      <c r="Z1747" s="37">
        <v>1</v>
      </c>
      <c r="AA1747" s="36">
        <f t="shared" si="550"/>
        <v>1.0869565217391304</v>
      </c>
      <c r="AB1747" s="11">
        <f t="shared" si="551"/>
        <v>2.1413043478260869</v>
      </c>
      <c r="AC1747" s="11">
        <f t="shared" si="552"/>
        <v>0.15353333333333333</v>
      </c>
      <c r="AD1747" s="36">
        <f t="shared" ref="AD1747:AD1755" si="565">AC1747*60*AO$1</f>
        <v>3.1182619999999996</v>
      </c>
      <c r="AE1747" s="36"/>
      <c r="AF1747" s="36">
        <f>IFERROR(VLOOKUP(AE1747,'Chemical Cost'!A:D,4,0),0)</f>
        <v>0</v>
      </c>
      <c r="AG1747" s="114">
        <f t="shared" si="553"/>
        <v>0</v>
      </c>
      <c r="AH1747" s="36">
        <f t="shared" ref="AH1747:AH1755" si="566">AF1747*AA1747/3</f>
        <v>0</v>
      </c>
      <c r="AI1747" s="36">
        <f t="shared" ref="AI1747:AI1755" si="567">IFERROR((Q1747*Z1747)+(Z1747*X1747)+AH1747,0)</f>
        <v>5.2595663478260866</v>
      </c>
      <c r="AJ1747" s="36">
        <f>IFERROR(VLOOKUP(A1747,'All Products'!A:F,6,0),0)</f>
        <v>0</v>
      </c>
      <c r="AK1747" s="36"/>
      <c r="AL1747" s="23">
        <v>1</v>
      </c>
      <c r="AP1747" s="4">
        <v>5.6</v>
      </c>
      <c r="AQ1747" s="111">
        <f t="shared" si="554"/>
        <v>0.15353333333333333</v>
      </c>
      <c r="AR1747">
        <f>_xlfn.XLOOKUP(F1747,'RM Cost'!A:A,'RM Cost'!S:S)</f>
        <v>0</v>
      </c>
      <c r="AS1747" t="str">
        <f>_xlfn.XLOOKUP(A1747,[3]Sheet1!$B:$B,[3]Sheet1!$B:$B)</f>
        <v>568BCS</v>
      </c>
      <c r="AT1747">
        <f>_xlfn.XLOOKUP(H1747,'Yield &amp; Time'!A:A,'Yield &amp; Time'!F:F)</f>
        <v>0</v>
      </c>
    </row>
    <row r="1748" spans="1:46" x14ac:dyDescent="0.25">
      <c r="A1748" t="s">
        <v>4695</v>
      </c>
      <c r="B1748" s="63" t="s">
        <v>552</v>
      </c>
      <c r="C1748" t="s">
        <v>4697</v>
      </c>
      <c r="D1748" t="str">
        <f>D1747</f>
        <v>KG</v>
      </c>
      <c r="E1748" s="63">
        <v>1</v>
      </c>
      <c r="F1748" s="1" t="str">
        <f>VLOOKUP(H1748,'RM Used'!A:B,2,0)</f>
        <v>P0008</v>
      </c>
      <c r="G1748" s="1" t="str">
        <f>IFERROR(VLOOKUP(F1748,'RM Cost'!A:B,2,0),"")</f>
        <v>PALE BLUE BAG 470X750MM</v>
      </c>
      <c r="H1748" s="2" t="s">
        <v>1323</v>
      </c>
      <c r="I1748" s="1" t="str">
        <f>VLOOKUP(F1748,'RM Used'!B:D,3,0)</f>
        <v>RM-PACKING</v>
      </c>
      <c r="J1748" s="66">
        <v>1</v>
      </c>
      <c r="K1748" s="35" t="str">
        <f t="shared" si="560"/>
        <v/>
      </c>
      <c r="L1748" s="35">
        <f t="shared" si="557"/>
        <v>0</v>
      </c>
      <c r="M1748" s="77" t="str" cm="1">
        <f t="array" ref="M1748">_xlfn.IFS(BOM!I1748="RM-PACKING","100%",B1748="Reynolds",VLOOKUP(H1748,'Yield &amp; Time'!A:V,22,0),BOM!B1748="Dnata",VLOOKUP(BOM!H1748,'Yield &amp; Time'!A:M,13,0),B1748="NK",VLOOKUP(H1748,'Yield &amp; Time'!A:X,24,0))</f>
        <v>100%</v>
      </c>
      <c r="N1748" s="35">
        <f t="shared" si="561"/>
        <v>1</v>
      </c>
      <c r="O1748" s="1" t="str">
        <f>VLOOKUP(H1748,'RM Used'!A:E,5,0)</f>
        <v>Count</v>
      </c>
      <c r="P1748" s="11">
        <f>VLOOKUP(H1748,'RM Used'!A:F,6,0)</f>
        <v>0.14000000000000001</v>
      </c>
      <c r="Q1748" s="11">
        <f t="shared" si="555"/>
        <v>0.14000000000000001</v>
      </c>
      <c r="R1748" s="11" cm="1">
        <f t="array" ref="R1748">IFERROR(_xlfn.IFS(B1748="Reynolds",VLOOKUP(H1748,'Yield &amp; Time'!A:U,21,0),B1748="Dnata",VLOOKUP(H1748,'Yield &amp; Time'!A:L,12,0),B1748="NK",VLOOKUP(H1748,'Yield &amp; Time'!A:W,23,0)),0)</f>
        <v>0</v>
      </c>
      <c r="S1748" s="11">
        <f t="shared" si="558"/>
        <v>0</v>
      </c>
      <c r="T1748" s="11">
        <f t="shared" si="559"/>
        <v>0</v>
      </c>
      <c r="U1748" s="11">
        <f>IF(A1747=A1748,0,VLOOKUP(A1748,'Packing Time'!A:F,6,0))</f>
        <v>0</v>
      </c>
      <c r="V1748" s="11">
        <f t="shared" si="562"/>
        <v>0</v>
      </c>
      <c r="W1748" s="11">
        <f t="shared" si="563"/>
        <v>0</v>
      </c>
      <c r="X1748" s="11">
        <f t="shared" si="549"/>
        <v>0</v>
      </c>
      <c r="Y1748" s="11">
        <f t="shared" si="564"/>
        <v>0</v>
      </c>
      <c r="Z1748" s="37">
        <v>1</v>
      </c>
      <c r="AA1748" s="36">
        <f t="shared" si="550"/>
        <v>1</v>
      </c>
      <c r="AB1748" s="11">
        <f t="shared" si="551"/>
        <v>0.14000000000000001</v>
      </c>
      <c r="AC1748" s="11">
        <f t="shared" si="552"/>
        <v>0</v>
      </c>
      <c r="AD1748" s="36">
        <f t="shared" si="565"/>
        <v>0</v>
      </c>
      <c r="AE1748" s="36"/>
      <c r="AF1748" s="36">
        <f>IFERROR(VLOOKUP(AE1748,'Chemical Cost'!A:D,4,0),0)</f>
        <v>0</v>
      </c>
      <c r="AG1748" s="114">
        <f t="shared" si="553"/>
        <v>0</v>
      </c>
      <c r="AH1748" s="36">
        <f t="shared" si="566"/>
        <v>0</v>
      </c>
      <c r="AI1748" s="36">
        <f t="shared" si="567"/>
        <v>0.14000000000000001</v>
      </c>
      <c r="AJ1748" s="36">
        <f>IFERROR(VLOOKUP(A1748,'All Products'!A:F,6,0),0)</f>
        <v>0</v>
      </c>
      <c r="AK1748" s="36"/>
      <c r="AL1748" s="23">
        <v>1</v>
      </c>
      <c r="AP1748" s="4">
        <v>6.6</v>
      </c>
      <c r="AQ1748" s="111">
        <f t="shared" si="554"/>
        <v>0</v>
      </c>
      <c r="AR1748">
        <f>_xlfn.XLOOKUP(F1748,'RM Cost'!A:A,'RM Cost'!S:S)</f>
        <v>0</v>
      </c>
      <c r="AS1748" t="str">
        <f>_xlfn.XLOOKUP(A1748,[3]Sheet1!$B:$B,[3]Sheet1!$B:$B)</f>
        <v>568BCS</v>
      </c>
      <c r="AT1748" t="e">
        <f>_xlfn.XLOOKUP(H1748,'Yield &amp; Time'!A:A,'Yield &amp; Time'!F:F)</f>
        <v>#N/A</v>
      </c>
    </row>
    <row r="1749" spans="1:46" x14ac:dyDescent="0.25">
      <c r="A1749" t="s">
        <v>4695</v>
      </c>
      <c r="B1749" s="63" t="s">
        <v>552</v>
      </c>
      <c r="C1749" t="s">
        <v>4697</v>
      </c>
      <c r="D1749" t="str">
        <f>D1748</f>
        <v>KG</v>
      </c>
      <c r="E1749" s="63">
        <v>1</v>
      </c>
      <c r="F1749" s="1" t="str">
        <f>VLOOKUP(H1749,'RM Used'!A:B,2,0)</f>
        <v>P0016</v>
      </c>
      <c r="G1749" s="1" t="str">
        <f>IFERROR(VLOOKUP(F1749,'RM Cost'!A:B,2,0),"")</f>
        <v>REY 40 30 BOX</v>
      </c>
      <c r="H1749" s="1" t="s">
        <v>1332</v>
      </c>
      <c r="I1749" s="1" t="str">
        <f>VLOOKUP(F1749,'RM Used'!B:D,3,0)</f>
        <v>RM-PACKING</v>
      </c>
      <c r="J1749" s="66">
        <v>1</v>
      </c>
      <c r="K1749" s="35" t="str">
        <f t="shared" si="560"/>
        <v/>
      </c>
      <c r="L1749" s="35">
        <f t="shared" si="557"/>
        <v>0</v>
      </c>
      <c r="M1749" s="77" t="str" cm="1">
        <f t="array" ref="M1749">_xlfn.IFS(BOM!I1749="RM-PACKING","100%",B1749="Reynolds",VLOOKUP(H1749,'Yield &amp; Time'!A:V,22,0),BOM!B1749="Dnata",VLOOKUP(BOM!H1749,'Yield &amp; Time'!A:M,13,0),B1749="NK",VLOOKUP(H1749,'Yield &amp; Time'!A:X,24,0))</f>
        <v>100%</v>
      </c>
      <c r="N1749" s="35">
        <f t="shared" si="561"/>
        <v>1</v>
      </c>
      <c r="O1749" s="1" t="str">
        <f>VLOOKUP(H1749,'RM Used'!A:E,5,0)</f>
        <v>Count</v>
      </c>
      <c r="P1749" s="11">
        <f>VLOOKUP(H1749,'RM Used'!A:F,6,0)</f>
        <v>0.28000000000000003</v>
      </c>
      <c r="Q1749" s="11">
        <f t="shared" si="555"/>
        <v>0.28000000000000003</v>
      </c>
      <c r="R1749" s="11" cm="1">
        <f t="array" ref="R1749">IFERROR(_xlfn.IFS(B1749="Reynolds",VLOOKUP(H1749,'Yield &amp; Time'!A:U,21,0),B1749="Dnata",VLOOKUP(H1749,'Yield &amp; Time'!A:L,12,0),B1749="NK",VLOOKUP(H1749,'Yield &amp; Time'!A:W,23,0)),0)</f>
        <v>0</v>
      </c>
      <c r="S1749" s="11">
        <f t="shared" si="558"/>
        <v>0</v>
      </c>
      <c r="T1749" s="11">
        <f t="shared" si="559"/>
        <v>0</v>
      </c>
      <c r="U1749" s="11">
        <f>IF(A1748=A1749,0,VLOOKUP(A1749,'Packing Time'!A:F,6,0))</f>
        <v>0</v>
      </c>
      <c r="V1749" s="11">
        <f t="shared" si="562"/>
        <v>0</v>
      </c>
      <c r="W1749" s="11">
        <f t="shared" si="563"/>
        <v>0</v>
      </c>
      <c r="X1749" s="11">
        <f t="shared" si="549"/>
        <v>0</v>
      </c>
      <c r="Y1749" s="11">
        <f t="shared" si="564"/>
        <v>0</v>
      </c>
      <c r="Z1749" s="37">
        <v>1</v>
      </c>
      <c r="AA1749" s="36">
        <f t="shared" si="550"/>
        <v>1</v>
      </c>
      <c r="AB1749" s="11">
        <f t="shared" si="551"/>
        <v>0.28000000000000003</v>
      </c>
      <c r="AC1749" s="11">
        <f t="shared" si="552"/>
        <v>0</v>
      </c>
      <c r="AD1749" s="36">
        <f t="shared" si="565"/>
        <v>0</v>
      </c>
      <c r="AE1749" s="36"/>
      <c r="AF1749" s="36">
        <f>IFERROR(VLOOKUP(AE1749,'Chemical Cost'!A:D,4,0),0)</f>
        <v>0</v>
      </c>
      <c r="AG1749" s="114">
        <f t="shared" si="553"/>
        <v>0</v>
      </c>
      <c r="AH1749" s="36">
        <f t="shared" si="566"/>
        <v>0</v>
      </c>
      <c r="AI1749" s="36">
        <f t="shared" si="567"/>
        <v>0.28000000000000003</v>
      </c>
      <c r="AJ1749" s="36">
        <f>IFERROR(VLOOKUP(A1749,'All Products'!A:F,6,0),0)</f>
        <v>0</v>
      </c>
      <c r="AK1749" s="36"/>
      <c r="AL1749" s="23">
        <v>1</v>
      </c>
      <c r="AP1749" s="4">
        <v>7.6</v>
      </c>
      <c r="AQ1749" s="111">
        <f t="shared" si="554"/>
        <v>0</v>
      </c>
      <c r="AR1749">
        <f>_xlfn.XLOOKUP(F1749,'RM Cost'!A:A,'RM Cost'!S:S)</f>
        <v>0</v>
      </c>
      <c r="AS1749" t="str">
        <f>_xlfn.XLOOKUP(A1749,[3]Sheet1!$B:$B,[3]Sheet1!$B:$B)</f>
        <v>568BCS</v>
      </c>
      <c r="AT1749" t="e">
        <f>_xlfn.XLOOKUP(H1749,'Yield &amp; Time'!A:A,'Yield &amp; Time'!F:F)</f>
        <v>#N/A</v>
      </c>
    </row>
    <row r="1750" spans="1:46" x14ac:dyDescent="0.25">
      <c r="A1750" s="94" t="s">
        <v>4700</v>
      </c>
      <c r="B1750" s="94" t="s">
        <v>4377</v>
      </c>
      <c r="C1750" s="94" t="s">
        <v>546</v>
      </c>
      <c r="D1750" s="2" t="s">
        <v>554</v>
      </c>
      <c r="E1750" s="2">
        <v>2.5</v>
      </c>
      <c r="F1750" s="1" t="str">
        <f>VLOOKUP(H1750,'RM Used'!A:B,2,0)</f>
        <v>206ACS</v>
      </c>
      <c r="G1750" s="1" t="str">
        <f>IFERROR(VLOOKUP(F1750,'RM Cost'!A:B,2,0),"")</f>
        <v>RM - PREP ONION WHOLE 10KG</v>
      </c>
      <c r="H1750" s="2" t="s">
        <v>1435</v>
      </c>
      <c r="I1750" s="1" t="str">
        <f>VLOOKUP(F1750,'RM Used'!B:D,3,0)</f>
        <v>RM-FOOD</v>
      </c>
      <c r="J1750" s="66">
        <v>1</v>
      </c>
      <c r="K1750" s="35">
        <f t="shared" si="560"/>
        <v>2.5</v>
      </c>
      <c r="L1750" s="35">
        <f t="shared" si="557"/>
        <v>2.5</v>
      </c>
      <c r="M1750" s="77" cm="1">
        <f t="array" ref="M1750">_xlfn.IFS(BOM!I1750="RM-PACKING","100%",B1750="Reynolds",VLOOKUP(H1750,'Yield &amp; Time'!A:V,22,0),BOM!B1750="Dnata",VLOOKUP(BOM!H1750,'Yield &amp; Time'!A:M,13,0),B1750="NK",VLOOKUP(H1750,'Yield &amp; Time'!A:X,24,0))</f>
        <v>0.84</v>
      </c>
      <c r="N1750" s="35">
        <f t="shared" si="561"/>
        <v>2.9761904761904763</v>
      </c>
      <c r="O1750" s="1" t="str">
        <f>VLOOKUP(H1750,'RM Used'!A:E,5,0)</f>
        <v>KG</v>
      </c>
      <c r="P1750" s="11">
        <f>VLOOKUP(H1750,'RM Used'!A:F,6,0)</f>
        <v>0.87</v>
      </c>
      <c r="Q1750" s="11">
        <f t="shared" si="555"/>
        <v>2.5892857142857144</v>
      </c>
      <c r="R1750" s="11">
        <f>IFERROR(IF(B1750="Reynolds",VLOOKUP(H1750,'Yield &amp; Time'!A:U,21,0),VLOOKUP(H1750,'Yield &amp; Time'!A:L,12,0)),0)</f>
        <v>0.52</v>
      </c>
      <c r="S1750" s="11">
        <f t="shared" si="558"/>
        <v>0.44005</v>
      </c>
      <c r="T1750" s="11">
        <f t="shared" si="559"/>
        <v>2.1666666666666667E-2</v>
      </c>
      <c r="U1750" s="11">
        <f>IF(A1749=A1750,0,VLOOKUP(A1750,'Packing Time'!A:F,6,0))</f>
        <v>0.875</v>
      </c>
      <c r="V1750" s="11">
        <f t="shared" si="562"/>
        <v>0.29618749999999999</v>
      </c>
      <c r="W1750" s="11">
        <f t="shared" si="563"/>
        <v>1.4583333333333334E-2</v>
      </c>
      <c r="X1750" s="11">
        <f t="shared" si="549"/>
        <v>0.80986124999999998</v>
      </c>
      <c r="Y1750" s="11">
        <f t="shared" si="564"/>
        <v>0.80986124999999998</v>
      </c>
      <c r="Z1750" s="37">
        <v>1</v>
      </c>
      <c r="AA1750" s="36">
        <f t="shared" si="550"/>
        <v>2.9761904761904763</v>
      </c>
      <c r="AB1750" s="36">
        <f t="shared" si="551"/>
        <v>2.5892857142857144</v>
      </c>
      <c r="AC1750" s="11">
        <f t="shared" si="552"/>
        <v>3.9875000000000001E-2</v>
      </c>
      <c r="AD1750" s="36">
        <f t="shared" si="565"/>
        <v>0.80986124999999998</v>
      </c>
      <c r="AE1750" s="36"/>
      <c r="AF1750" s="36">
        <f>IFERROR(VLOOKUP(AE1750,'Chemical Cost'!A:D,4,0),0)</f>
        <v>0</v>
      </c>
      <c r="AG1750" s="114">
        <f t="shared" si="553"/>
        <v>0</v>
      </c>
      <c r="AH1750" s="36">
        <f t="shared" si="566"/>
        <v>0</v>
      </c>
      <c r="AI1750" s="36">
        <f t="shared" si="567"/>
        <v>3.3991469642857144</v>
      </c>
      <c r="AJ1750" s="36">
        <f>IFERROR(VLOOKUP(A1750,'All Products'!A:F,6,0),0)</f>
        <v>0</v>
      </c>
      <c r="AK1750" s="36"/>
      <c r="AL1750" s="23">
        <v>0.8</v>
      </c>
      <c r="AM1750" s="23">
        <v>0.2</v>
      </c>
      <c r="AP1750" s="4">
        <v>1.1000000000000001</v>
      </c>
      <c r="AR1750">
        <f>_xlfn.XLOOKUP(F1750,'RM Cost'!A:A,'RM Cost'!S:S)</f>
        <v>0</v>
      </c>
      <c r="AS1750" t="str">
        <f>_xlfn.XLOOKUP(A1750,[3]Sheet1!$B:$B,[3]Sheet1!$B:$B)</f>
        <v>N100CS</v>
      </c>
      <c r="AT1750" t="str">
        <f>_xlfn.XLOOKUP(H1750,'Yield &amp; Time'!A:A,'Yield &amp; Time'!O:O)</f>
        <v>Yes</v>
      </c>
    </row>
    <row r="1751" spans="1:46" x14ac:dyDescent="0.25">
      <c r="A1751" s="94" t="s">
        <v>4700</v>
      </c>
      <c r="B1751" s="94" t="s">
        <v>4377</v>
      </c>
      <c r="C1751" s="94" t="s">
        <v>546</v>
      </c>
      <c r="D1751" s="2" t="s">
        <v>554</v>
      </c>
      <c r="E1751" s="2">
        <v>2.5</v>
      </c>
      <c r="F1751" s="1" t="str">
        <f>VLOOKUP(H1751,'RM Used'!A:B,2,0)</f>
        <v>P0008</v>
      </c>
      <c r="G1751" s="1" t="str">
        <f>IFERROR(VLOOKUP(F1751,'RM Cost'!A:B,2,0),"")</f>
        <v>PALE BLUE BAG 470X750MM</v>
      </c>
      <c r="H1751" s="2" t="s">
        <v>1323</v>
      </c>
      <c r="I1751" s="1" t="str">
        <f>VLOOKUP(F1751,'RM Used'!B:D,3,0)</f>
        <v>RM-PACKING</v>
      </c>
      <c r="J1751" s="66">
        <v>1</v>
      </c>
      <c r="K1751" s="35" t="str">
        <f t="shared" si="560"/>
        <v/>
      </c>
      <c r="L1751" s="35">
        <f t="shared" si="557"/>
        <v>0</v>
      </c>
      <c r="M1751" s="77" t="str" cm="1">
        <f t="array" ref="M1751">_xlfn.IFS(BOM!I1751="RM-PACKING","100%",B1751="Reynolds",VLOOKUP(H1751,'Yield &amp; Time'!A:V,22,0),BOM!B1751="Dnata",VLOOKUP(BOM!H1751,'Yield &amp; Time'!A:M,13,0),B1751="NK",VLOOKUP(H1751,'Yield &amp; Time'!A:X,24,0))</f>
        <v>100%</v>
      </c>
      <c r="N1751" s="35">
        <f t="shared" si="561"/>
        <v>1</v>
      </c>
      <c r="O1751" s="1" t="str">
        <f>VLOOKUP(H1751,'RM Used'!A:E,5,0)</f>
        <v>Count</v>
      </c>
      <c r="P1751" s="11">
        <f>VLOOKUP(H1751,'RM Used'!A:F,6,0)</f>
        <v>0.14000000000000001</v>
      </c>
      <c r="Q1751" s="11">
        <f t="shared" si="555"/>
        <v>0.14000000000000001</v>
      </c>
      <c r="R1751" s="11">
        <f>IFERROR(IF(B1751="Reynolds",VLOOKUP(H1751,'Yield &amp; Time'!A:U,21,0),VLOOKUP(H1751,'Yield &amp; Time'!A:L,12,0)),0)</f>
        <v>0</v>
      </c>
      <c r="S1751" s="11">
        <f t="shared" si="558"/>
        <v>0</v>
      </c>
      <c r="T1751" s="11">
        <f t="shared" si="559"/>
        <v>0</v>
      </c>
      <c r="U1751" s="11">
        <f>IF(A1750=A1751,0,VLOOKUP(A1751,'Packing Time'!A:F,6,0))</f>
        <v>0</v>
      </c>
      <c r="V1751" s="11">
        <f t="shared" si="562"/>
        <v>0</v>
      </c>
      <c r="W1751" s="11">
        <f t="shared" si="563"/>
        <v>0</v>
      </c>
      <c r="X1751" s="11">
        <f t="shared" si="549"/>
        <v>0</v>
      </c>
      <c r="Y1751" s="11">
        <f t="shared" si="564"/>
        <v>0</v>
      </c>
      <c r="Z1751" s="37">
        <v>1</v>
      </c>
      <c r="AA1751" s="36">
        <f t="shared" si="550"/>
        <v>1</v>
      </c>
      <c r="AB1751" s="36">
        <f t="shared" si="551"/>
        <v>0.14000000000000001</v>
      </c>
      <c r="AC1751" s="11">
        <f t="shared" si="552"/>
        <v>0</v>
      </c>
      <c r="AD1751" s="36">
        <f t="shared" si="565"/>
        <v>0</v>
      </c>
      <c r="AE1751" s="36"/>
      <c r="AF1751" s="36">
        <f>IFERROR(VLOOKUP(AE1751,'Chemical Cost'!A:D,4,0),0)</f>
        <v>0</v>
      </c>
      <c r="AG1751" s="114">
        <f t="shared" si="553"/>
        <v>0</v>
      </c>
      <c r="AH1751" s="36">
        <f t="shared" si="566"/>
        <v>0</v>
      </c>
      <c r="AI1751" s="36">
        <f t="shared" si="567"/>
        <v>0.14000000000000001</v>
      </c>
      <c r="AJ1751" s="36">
        <f>IFERROR(VLOOKUP(A1751,'All Products'!A:F,6,0),0)</f>
        <v>0</v>
      </c>
      <c r="AK1751" s="36"/>
      <c r="AL1751" s="23">
        <v>0.8</v>
      </c>
      <c r="AM1751" s="23">
        <v>0.2</v>
      </c>
      <c r="AP1751" s="4">
        <v>1.1000000000000001</v>
      </c>
      <c r="AR1751">
        <f>_xlfn.XLOOKUP(F1751,'RM Cost'!A:A,'RM Cost'!S:S)</f>
        <v>0</v>
      </c>
      <c r="AS1751" t="str">
        <f>_xlfn.XLOOKUP(A1751,[3]Sheet1!$B:$B,[3]Sheet1!$B:$B)</f>
        <v>N100CS</v>
      </c>
      <c r="AT1751" t="e">
        <f>_xlfn.XLOOKUP(H1751,'Yield &amp; Time'!A:A,'Yield &amp; Time'!F:F)</f>
        <v>#N/A</v>
      </c>
    </row>
    <row r="1752" spans="1:46" x14ac:dyDescent="0.25">
      <c r="A1752" t="s">
        <v>4701</v>
      </c>
      <c r="B1752" s="94" t="s">
        <v>4377</v>
      </c>
      <c r="C1752" t="s">
        <v>155</v>
      </c>
      <c r="D1752" t="s">
        <v>554</v>
      </c>
      <c r="E1752" s="63">
        <v>2.5</v>
      </c>
      <c r="F1752" s="1" t="str">
        <f>VLOOKUP(H1752,'RM Used'!A:B,2,0)</f>
        <v>026BCS</v>
      </c>
      <c r="G1752" s="1" t="str">
        <f>IFERROR(VLOOKUP(F1752,'RM Cost'!A:B,2,0),"")</f>
        <v>RM - POTATO - MIDS 35-45MM X 10KG</v>
      </c>
      <c r="H1752" s="2" t="s">
        <v>1559</v>
      </c>
      <c r="I1752" s="1" t="str">
        <f>VLOOKUP(F1752,'RM Used'!B:D,3,0)</f>
        <v>RM-FOOD</v>
      </c>
      <c r="J1752" s="66">
        <v>1</v>
      </c>
      <c r="K1752" s="35">
        <f t="shared" si="560"/>
        <v>2.5</v>
      </c>
      <c r="L1752" s="35">
        <f t="shared" si="557"/>
        <v>2.5</v>
      </c>
      <c r="M1752" s="77" cm="1">
        <f t="array" ref="M1752">_xlfn.IFS(BOM!I1752="RM-PACKING","100%",B1752="Reynolds",VLOOKUP(H1752,'Yield &amp; Time'!A:V,22,0),BOM!B1752="Dnata",VLOOKUP(BOM!H1752,'Yield &amp; Time'!A:M,13,0),B1752="NK",VLOOKUP(H1752,'Yield &amp; Time'!A:X,24,0))</f>
        <v>1</v>
      </c>
      <c r="N1752" s="35">
        <f t="shared" si="561"/>
        <v>2.5</v>
      </c>
      <c r="O1752" s="1" t="str">
        <f>VLOOKUP(H1752,'RM Used'!A:E,5,0)</f>
        <v>KG</v>
      </c>
      <c r="P1752" s="11">
        <f>VLOOKUP(H1752,'RM Used'!A:F,6,0)</f>
        <v>0.94</v>
      </c>
      <c r="Q1752" s="11">
        <f t="shared" si="555"/>
        <v>2.3499999999999996</v>
      </c>
      <c r="R1752" s="11">
        <f>IFERROR(IF(B1752="Reynolds",VLOOKUP(H1752,'Yield &amp; Time'!A:U,21,0),VLOOKUP(H1752,'Yield &amp; Time'!A:L,12,0)),0)</f>
        <v>1.1000000000000001</v>
      </c>
      <c r="S1752" s="11">
        <f t="shared" si="558"/>
        <v>0.9308749999999999</v>
      </c>
      <c r="T1752" s="11">
        <f t="shared" si="559"/>
        <v>4.583333333333333E-2</v>
      </c>
      <c r="U1752" s="11">
        <f>IF(A1751=A1752,0,VLOOKUP(A1752,'Packing Time'!A:F,6,0))</f>
        <v>0.875</v>
      </c>
      <c r="V1752" s="11">
        <f t="shared" si="562"/>
        <v>0.29618749999999999</v>
      </c>
      <c r="W1752" s="11">
        <f t="shared" si="563"/>
        <v>1.4583333333333334E-2</v>
      </c>
      <c r="X1752" s="11">
        <f t="shared" si="549"/>
        <v>1.34976875</v>
      </c>
      <c r="Y1752" s="11">
        <f t="shared" si="564"/>
        <v>1.34976875</v>
      </c>
      <c r="Z1752" s="37">
        <v>1</v>
      </c>
      <c r="AA1752" s="36">
        <f t="shared" si="550"/>
        <v>2.5</v>
      </c>
      <c r="AB1752" s="36">
        <f t="shared" si="551"/>
        <v>2.3499999999999996</v>
      </c>
      <c r="AC1752" s="11">
        <f t="shared" si="552"/>
        <v>6.6458333333333341E-2</v>
      </c>
      <c r="AD1752" s="36">
        <f t="shared" si="565"/>
        <v>1.3497687500000002</v>
      </c>
      <c r="AE1752" s="36"/>
      <c r="AF1752" s="36">
        <f>IFERROR(VLOOKUP(AE1752,'Chemical Cost'!A:D,4,0),0)</f>
        <v>0</v>
      </c>
      <c r="AG1752" s="114">
        <f t="shared" si="553"/>
        <v>0</v>
      </c>
      <c r="AH1752" s="36">
        <f t="shared" si="566"/>
        <v>0</v>
      </c>
      <c r="AI1752" s="36">
        <f t="shared" si="567"/>
        <v>3.6997687499999996</v>
      </c>
      <c r="AJ1752" s="36">
        <f>IFERROR(VLOOKUP(A1752,'All Products'!A:F,6,0),0)</f>
        <v>0</v>
      </c>
      <c r="AK1752" s="36"/>
      <c r="AL1752" s="23">
        <v>1</v>
      </c>
      <c r="AP1752" s="4">
        <v>1.1000000000000001</v>
      </c>
      <c r="AQ1752" s="111">
        <f>(((R1752*J1752*E1752)+U1752)/60)*AP1752</f>
        <v>6.6458333333333341E-2</v>
      </c>
      <c r="AR1752">
        <f>_xlfn.XLOOKUP(F1752,'RM Cost'!A:A,'RM Cost'!S:S)</f>
        <v>0</v>
      </c>
      <c r="AS1752" t="e">
        <f>_xlfn.XLOOKUP(A1752,[3]Sheet1!$B:$B,[3]Sheet1!$B:$B)</f>
        <v>#N/A</v>
      </c>
    </row>
    <row r="1753" spans="1:46" x14ac:dyDescent="0.25">
      <c r="A1753" t="s">
        <v>4701</v>
      </c>
      <c r="B1753" s="94" t="s">
        <v>4377</v>
      </c>
      <c r="C1753" t="s">
        <v>155</v>
      </c>
      <c r="D1753" t="s">
        <v>554</v>
      </c>
      <c r="E1753" s="63">
        <v>2.5</v>
      </c>
      <c r="F1753" s="1" t="str">
        <f>VLOOKUP(H1753,'RM Used'!A:B,2,0)</f>
        <v>P0008</v>
      </c>
      <c r="G1753" s="1" t="str">
        <f>IFERROR(VLOOKUP(F1753,'RM Cost'!A:B,2,0),"")</f>
        <v>PALE BLUE BAG 470X750MM</v>
      </c>
      <c r="H1753" s="2" t="s">
        <v>1323</v>
      </c>
      <c r="I1753" s="1" t="str">
        <f>VLOOKUP(F1753,'RM Used'!B:D,3,0)</f>
        <v>RM-PACKING</v>
      </c>
      <c r="J1753" s="66">
        <v>1</v>
      </c>
      <c r="K1753" s="35" t="str">
        <f t="shared" si="560"/>
        <v/>
      </c>
      <c r="L1753" s="35">
        <f t="shared" si="557"/>
        <v>0</v>
      </c>
      <c r="M1753" s="77" t="str" cm="1">
        <f t="array" ref="M1753">_xlfn.IFS(BOM!I1753="RM-PACKING","100%",B1753="Reynolds",VLOOKUP(H1753,'Yield &amp; Time'!A:V,22,0),BOM!B1753="Dnata",VLOOKUP(BOM!H1753,'Yield &amp; Time'!A:M,13,0),B1753="NK",VLOOKUP(H1753,'Yield &amp; Time'!A:X,24,0))</f>
        <v>100%</v>
      </c>
      <c r="N1753" s="35">
        <f t="shared" si="561"/>
        <v>1</v>
      </c>
      <c r="O1753" s="1" t="str">
        <f>VLOOKUP(H1753,'RM Used'!A:E,5,0)</f>
        <v>Count</v>
      </c>
      <c r="P1753" s="11">
        <f>VLOOKUP(H1753,'RM Used'!A:F,6,0)</f>
        <v>0.14000000000000001</v>
      </c>
      <c r="Q1753" s="11">
        <f t="shared" si="555"/>
        <v>0.14000000000000001</v>
      </c>
      <c r="R1753" s="11">
        <f>IFERROR(IF(B1753="Reynolds",VLOOKUP(H1753,'Yield &amp; Time'!A:U,21,0),VLOOKUP(H1753,'Yield &amp; Time'!A:L,12,0)),0)</f>
        <v>0</v>
      </c>
      <c r="S1753" s="11">
        <f t="shared" si="558"/>
        <v>0</v>
      </c>
      <c r="T1753" s="11">
        <f t="shared" si="559"/>
        <v>0</v>
      </c>
      <c r="U1753" s="11">
        <f>IF(A1752=A1753,0,VLOOKUP(A1753,'Packing Time'!A:F,6,0))</f>
        <v>0</v>
      </c>
      <c r="V1753" s="11">
        <f t="shared" si="562"/>
        <v>0</v>
      </c>
      <c r="W1753" s="11">
        <f t="shared" si="563"/>
        <v>0</v>
      </c>
      <c r="X1753" s="11">
        <f t="shared" si="549"/>
        <v>0</v>
      </c>
      <c r="Y1753" s="11">
        <f t="shared" si="564"/>
        <v>0</v>
      </c>
      <c r="Z1753" s="37">
        <v>1</v>
      </c>
      <c r="AA1753" s="36">
        <f t="shared" si="550"/>
        <v>1</v>
      </c>
      <c r="AB1753" s="36">
        <f t="shared" si="551"/>
        <v>0.14000000000000001</v>
      </c>
      <c r="AC1753" s="11">
        <f t="shared" si="552"/>
        <v>0</v>
      </c>
      <c r="AD1753" s="36">
        <f t="shared" si="565"/>
        <v>0</v>
      </c>
      <c r="AE1753" s="36"/>
      <c r="AF1753" s="36">
        <f>IFERROR(VLOOKUP(AE1753,'Chemical Cost'!A:D,4,0),0)</f>
        <v>0</v>
      </c>
      <c r="AG1753" s="114">
        <f t="shared" si="553"/>
        <v>0</v>
      </c>
      <c r="AH1753" s="36">
        <f t="shared" si="566"/>
        <v>0</v>
      </c>
      <c r="AI1753" s="36">
        <f t="shared" si="567"/>
        <v>0.14000000000000001</v>
      </c>
      <c r="AJ1753" s="36">
        <f>IFERROR(VLOOKUP(A1753,'All Products'!A:F,6,0),0)</f>
        <v>0</v>
      </c>
      <c r="AK1753" s="36"/>
      <c r="AL1753" s="23">
        <v>1</v>
      </c>
      <c r="AP1753" s="4">
        <v>1.1000000000000001</v>
      </c>
      <c r="AQ1753" s="111">
        <f>(((R1753*J1753*E1753)+U1753)/60)*AP1753</f>
        <v>0</v>
      </c>
      <c r="AR1753">
        <f>_xlfn.XLOOKUP(F1753,'RM Cost'!A:A,'RM Cost'!S:S)</f>
        <v>0</v>
      </c>
      <c r="AS1753" t="e">
        <f>_xlfn.XLOOKUP(A1753,[3]Sheet1!$B:$B,[3]Sheet1!$B:$B)</f>
        <v>#N/A</v>
      </c>
    </row>
    <row r="1754" spans="1:46" x14ac:dyDescent="0.25">
      <c r="A1754" t="s">
        <v>4702</v>
      </c>
      <c r="B1754" s="94" t="s">
        <v>4377</v>
      </c>
      <c r="C1754" t="s">
        <v>143</v>
      </c>
      <c r="D1754" t="s">
        <v>554</v>
      </c>
      <c r="E1754" s="63">
        <v>2.5</v>
      </c>
      <c r="F1754" s="1" t="str">
        <f>VLOOKUP(H1754,'RM Used'!A:B,2,0)</f>
        <v>026BCS</v>
      </c>
      <c r="G1754" s="1" t="str">
        <f>IFERROR(VLOOKUP(F1754,'RM Cost'!A:B,2,0),"")</f>
        <v>RM - POTATO - MIDS 35-45MM X 10KG</v>
      </c>
      <c r="H1754" s="2" t="s">
        <v>1562</v>
      </c>
      <c r="I1754" s="1" t="str">
        <f>VLOOKUP(F1754,'RM Used'!B:D,3,0)</f>
        <v>RM-FOOD</v>
      </c>
      <c r="J1754" s="66">
        <v>1</v>
      </c>
      <c r="K1754" s="35">
        <f t="shared" si="560"/>
        <v>2.5</v>
      </c>
      <c r="L1754" s="35">
        <f t="shared" si="557"/>
        <v>2.5</v>
      </c>
      <c r="M1754" s="77" cm="1">
        <f t="array" ref="M1754">_xlfn.IFS(BOM!I1754="RM-PACKING","100%",B1754="Reynolds",VLOOKUP(H1754,'Yield &amp; Time'!A:V,22,0),BOM!B1754="Dnata",VLOOKUP(BOM!H1754,'Yield &amp; Time'!A:M,13,0),B1754="NK",VLOOKUP(H1754,'Yield &amp; Time'!A:X,24,0))</f>
        <v>0.75</v>
      </c>
      <c r="N1754" s="35">
        <f t="shared" si="561"/>
        <v>3.3333333333333335</v>
      </c>
      <c r="O1754" s="1" t="str">
        <f>VLOOKUP(H1754,'RM Used'!A:E,5,0)</f>
        <v>KG</v>
      </c>
      <c r="P1754" s="11">
        <f>VLOOKUP(H1754,'RM Used'!A:F,6,0)</f>
        <v>0.94</v>
      </c>
      <c r="Q1754" s="11">
        <f t="shared" si="555"/>
        <v>3.1333333333333333</v>
      </c>
      <c r="R1754" s="11">
        <v>4.5</v>
      </c>
      <c r="S1754" s="11">
        <f t="shared" si="558"/>
        <v>3.8081249999999995</v>
      </c>
      <c r="T1754" s="11">
        <f t="shared" si="559"/>
        <v>0.1875</v>
      </c>
      <c r="U1754" s="11">
        <f>IF(A1753=A1754,0,VLOOKUP(A1754,'Packing Time'!A:F,6,0))</f>
        <v>0.875</v>
      </c>
      <c r="V1754" s="11">
        <f t="shared" si="562"/>
        <v>0.29618749999999999</v>
      </c>
      <c r="W1754" s="11">
        <f t="shared" si="563"/>
        <v>1.4583333333333334E-2</v>
      </c>
      <c r="X1754" s="11">
        <f t="shared" si="549"/>
        <v>5.746037499999999</v>
      </c>
      <c r="Y1754" s="11">
        <f t="shared" si="564"/>
        <v>5.746037499999999</v>
      </c>
      <c r="Z1754" s="37">
        <v>1</v>
      </c>
      <c r="AA1754" s="36">
        <f t="shared" si="550"/>
        <v>3.3333333333333335</v>
      </c>
      <c r="AB1754" s="36">
        <f t="shared" si="551"/>
        <v>3.1333333333333333</v>
      </c>
      <c r="AC1754" s="11">
        <f t="shared" si="552"/>
        <v>0.28291666666666665</v>
      </c>
      <c r="AD1754" s="36">
        <f t="shared" si="565"/>
        <v>5.746037499999999</v>
      </c>
      <c r="AE1754" s="36"/>
      <c r="AF1754" s="36">
        <f>IFERROR(VLOOKUP(AE1754,'Chemical Cost'!A:D,4,0),0)</f>
        <v>0</v>
      </c>
      <c r="AG1754" s="114">
        <f t="shared" si="553"/>
        <v>0</v>
      </c>
      <c r="AH1754" s="36">
        <f t="shared" si="566"/>
        <v>0</v>
      </c>
      <c r="AI1754" s="36">
        <f t="shared" si="567"/>
        <v>8.8793708333333328</v>
      </c>
      <c r="AJ1754" s="36">
        <f>IFERROR(VLOOKUP(A1754,'All Products'!A:F,6,0),0)</f>
        <v>0</v>
      </c>
      <c r="AK1754" s="36"/>
      <c r="AL1754" s="23">
        <v>1</v>
      </c>
      <c r="AM1754" s="23"/>
      <c r="AN1754" s="54" t="e">
        <v>#N/A</v>
      </c>
      <c r="AO1754" s="47"/>
      <c r="AP1754" s="4">
        <v>1.4</v>
      </c>
      <c r="AQ1754" s="111">
        <f>(((R1754*J1754*E1754)+U1754)/60)*AP1754</f>
        <v>0.28291666666666665</v>
      </c>
      <c r="AR1754">
        <f>_xlfn.XLOOKUP(F1754,'RM Cost'!A:A,'RM Cost'!S:S)</f>
        <v>0</v>
      </c>
      <c r="AS1754" t="str">
        <f>_xlfn.XLOOKUP(A1754,[3]Sheet1!$B:$B,[3]Sheet1!$B:$B)</f>
        <v>N099CS</v>
      </c>
      <c r="AT1754">
        <f>_xlfn.XLOOKUP(H1754,'Yield &amp; Time'!A:A,'Yield &amp; Time'!F:F)</f>
        <v>0</v>
      </c>
    </row>
    <row r="1755" spans="1:46" x14ac:dyDescent="0.25">
      <c r="A1755" t="s">
        <v>4702</v>
      </c>
      <c r="B1755" s="94" t="s">
        <v>4377</v>
      </c>
      <c r="C1755" t="s">
        <v>143</v>
      </c>
      <c r="D1755" t="s">
        <v>554</v>
      </c>
      <c r="E1755" s="63">
        <v>2.5</v>
      </c>
      <c r="F1755" s="1" t="str">
        <f>VLOOKUP(H1755,'RM Used'!A:B,2,0)</f>
        <v>P0008</v>
      </c>
      <c r="G1755" s="1" t="str">
        <f>IFERROR(VLOOKUP(F1755,'RM Cost'!A:B,2,0),"")</f>
        <v>PALE BLUE BAG 470X750MM</v>
      </c>
      <c r="H1755" s="2" t="s">
        <v>1323</v>
      </c>
      <c r="I1755" s="1" t="str">
        <f>VLOOKUP(F1755,'RM Used'!B:D,3,0)</f>
        <v>RM-PACKING</v>
      </c>
      <c r="J1755" s="66">
        <v>1</v>
      </c>
      <c r="K1755" s="35" t="str">
        <f t="shared" si="560"/>
        <v/>
      </c>
      <c r="L1755" s="35">
        <f t="shared" si="557"/>
        <v>0</v>
      </c>
      <c r="M1755" s="77" t="str" cm="1">
        <f t="array" ref="M1755">_xlfn.IFS(BOM!I1755="RM-PACKING","100%",B1755="Reynolds",VLOOKUP(H1755,'Yield &amp; Time'!A:V,22,0),BOM!B1755="Dnata",VLOOKUP(BOM!H1755,'Yield &amp; Time'!A:M,13,0),B1755="NK",VLOOKUP(H1755,'Yield &amp; Time'!A:X,24,0))</f>
        <v>100%</v>
      </c>
      <c r="N1755" s="35">
        <f t="shared" si="561"/>
        <v>1</v>
      </c>
      <c r="O1755" s="1" t="str">
        <f>VLOOKUP(H1755,'RM Used'!A:E,5,0)</f>
        <v>Count</v>
      </c>
      <c r="P1755" s="11">
        <f>VLOOKUP(H1755,'RM Used'!A:F,6,0)</f>
        <v>0.14000000000000001</v>
      </c>
      <c r="Q1755" s="11">
        <f t="shared" si="555"/>
        <v>0.14000000000000001</v>
      </c>
      <c r="R1755" s="11">
        <f>IFERROR(IF(B1755="Reynolds",VLOOKUP(H1755,'Yield &amp; Time'!A:U,21,0),VLOOKUP(H1755,'Yield &amp; Time'!A:L,12,0)),0)</f>
        <v>0</v>
      </c>
      <c r="S1755" s="11">
        <f t="shared" si="558"/>
        <v>0</v>
      </c>
      <c r="T1755" s="11">
        <f t="shared" si="559"/>
        <v>0</v>
      </c>
      <c r="U1755" s="11">
        <f>IF(A1754=A1755,0,VLOOKUP(A1755,'Packing Time'!A:F,6,0))</f>
        <v>0</v>
      </c>
      <c r="V1755" s="11">
        <f t="shared" si="562"/>
        <v>0</v>
      </c>
      <c r="W1755" s="11">
        <f t="shared" si="563"/>
        <v>0</v>
      </c>
      <c r="X1755" s="11">
        <f t="shared" si="549"/>
        <v>0</v>
      </c>
      <c r="Y1755" s="11">
        <f t="shared" si="564"/>
        <v>0</v>
      </c>
      <c r="Z1755" s="37">
        <v>1</v>
      </c>
      <c r="AA1755" s="36">
        <f t="shared" si="550"/>
        <v>1</v>
      </c>
      <c r="AB1755" s="36">
        <f t="shared" si="551"/>
        <v>0.14000000000000001</v>
      </c>
      <c r="AC1755" s="11">
        <f t="shared" si="552"/>
        <v>0</v>
      </c>
      <c r="AD1755" s="36">
        <f t="shared" si="565"/>
        <v>0</v>
      </c>
      <c r="AE1755" s="36"/>
      <c r="AF1755" s="36">
        <f>IFERROR(VLOOKUP(AE1755,'Chemical Cost'!A:D,4,0),0)</f>
        <v>0</v>
      </c>
      <c r="AG1755" s="114">
        <f t="shared" si="553"/>
        <v>0</v>
      </c>
      <c r="AH1755" s="36">
        <f t="shared" si="566"/>
        <v>0</v>
      </c>
      <c r="AI1755" s="36">
        <f t="shared" si="567"/>
        <v>0.14000000000000001</v>
      </c>
      <c r="AJ1755" s="36">
        <f>IFERROR(VLOOKUP(A1755,'All Products'!A:F,6,0),0)</f>
        <v>0</v>
      </c>
      <c r="AK1755" s="36"/>
      <c r="AL1755" s="23">
        <v>1</v>
      </c>
      <c r="AM1755" s="23"/>
      <c r="AN1755" s="54" t="e">
        <v>#N/A</v>
      </c>
      <c r="AO1755" s="47"/>
      <c r="AP1755" s="4">
        <v>1.4</v>
      </c>
      <c r="AQ1755" s="111">
        <f>(((R1755*J1755*E1755)+U1755)/60)*AP1755</f>
        <v>0</v>
      </c>
      <c r="AR1755">
        <f>_xlfn.XLOOKUP(F1755,'RM Cost'!A:A,'RM Cost'!S:S)</f>
        <v>0</v>
      </c>
      <c r="AS1755" t="str">
        <f>_xlfn.XLOOKUP(A1755,[3]Sheet1!$B:$B,[3]Sheet1!$B:$B)</f>
        <v>N099CS</v>
      </c>
      <c r="AT1755" t="e">
        <f>_xlfn.XLOOKUP(H1755,'Yield &amp; Time'!A:A,'Yield &amp; Time'!F:F)</f>
        <v>#N/A</v>
      </c>
    </row>
    <row r="1756" spans="1:46" x14ac:dyDescent="0.25">
      <c r="A1756" s="101" t="s">
        <v>4706</v>
      </c>
      <c r="B1756" s="2" t="s">
        <v>552</v>
      </c>
      <c r="C1756" s="101" t="s">
        <v>4709</v>
      </c>
      <c r="D1756" s="1" t="s">
        <v>554</v>
      </c>
      <c r="E1756" s="63">
        <v>2.5</v>
      </c>
      <c r="F1756" s="1" t="str">
        <f>VLOOKUP(H1756,'RM Used'!A:B,2,0)</f>
        <v>3191CS</v>
      </c>
      <c r="G1756" s="1" t="str">
        <f>IFERROR(VLOOKUP(F1756,'RM Cost'!A:B,2,0),"")</f>
        <v>RM - PARSNIPS 10KG</v>
      </c>
      <c r="H1756" s="94" t="s">
        <v>4710</v>
      </c>
      <c r="I1756" s="1" t="str">
        <f>VLOOKUP(F1756,'RM Used'!B:D,3,0)</f>
        <v>RM-FOOD</v>
      </c>
      <c r="J1756" s="66">
        <v>1</v>
      </c>
      <c r="K1756" s="35">
        <f t="shared" si="560"/>
        <v>2.5</v>
      </c>
      <c r="L1756" s="35">
        <f t="shared" si="557"/>
        <v>2.5</v>
      </c>
      <c r="M1756" s="124" cm="1">
        <f t="array" ref="M1756">_xlfn.IFS(BOM!I1756="RM-PACKING","100%",B1756="Reynolds",VLOOKUP(H1756,'Yield &amp; Time'!A:V,22,0),BOM!B1756="Dnata",VLOOKUP(BOM!H1756,'Yield &amp; Time'!A:M,13,0),B1756="NK",VLOOKUP(H1756,'Yield &amp; Time'!A:X,24,0))</f>
        <v>0.62</v>
      </c>
      <c r="N1756" s="35">
        <f>IFERROR(IF(I1756="RM-FOOD",(E1756*J1756)/M1756,1),0)</f>
        <v>4.032258064516129</v>
      </c>
      <c r="O1756" s="1" t="str">
        <f>VLOOKUP(H1756,'RM Used'!A:E,5,0)</f>
        <v>KG</v>
      </c>
      <c r="P1756" s="11">
        <f>VLOOKUP(H1756,'RM Used'!A:F,6,0)</f>
        <v>0.76</v>
      </c>
      <c r="Q1756" s="11">
        <f t="shared" si="555"/>
        <v>3.064516129032258</v>
      </c>
      <c r="R1756" s="11">
        <f>IFERROR(IF(B1756="Reynolds",VLOOKUP(H1756,'Yield &amp; Time'!A:U,21,0),VLOOKUP(H1756,'Yield &amp; Time'!A:L,12,0)),0)</f>
        <v>3.9</v>
      </c>
      <c r="S1756" s="11">
        <f t="shared" si="558"/>
        <v>3.3003749999999998</v>
      </c>
      <c r="T1756" s="11">
        <f t="shared" si="559"/>
        <v>0.16250000000000001</v>
      </c>
      <c r="U1756" s="11">
        <f>IF(A1755=A1756,0,VLOOKUP(A1756,'Packing Time'!A:F,6,0))</f>
        <v>0.875</v>
      </c>
      <c r="V1756" s="11">
        <f t="shared" ref="V1756:V1761" si="568">U1756*AO$1</f>
        <v>0.29618749999999999</v>
      </c>
      <c r="W1756" s="11">
        <f t="shared" ref="W1756:W1761" si="569">(U1756*Z1756)/60</f>
        <v>1.4583333333333334E-2</v>
      </c>
      <c r="X1756" s="11">
        <f t="shared" si="549"/>
        <v>5.0351874999999993</v>
      </c>
      <c r="Y1756" s="11">
        <f t="shared" ref="Y1756:Y1761" si="570">X1756*Z1756</f>
        <v>5.0351874999999993</v>
      </c>
      <c r="Z1756" s="37">
        <v>1</v>
      </c>
      <c r="AA1756" s="36">
        <f t="shared" si="550"/>
        <v>4.032258064516129</v>
      </c>
      <c r="AB1756" s="36">
        <f t="shared" si="551"/>
        <v>3.064516129032258</v>
      </c>
      <c r="AC1756" s="11">
        <f t="shared" si="552"/>
        <v>0.24791666666666667</v>
      </c>
      <c r="AD1756" s="36">
        <f t="shared" ref="AD1756:AD1761" si="571">AC1756*60*AO$1</f>
        <v>5.0351874999999993</v>
      </c>
      <c r="AE1756" s="36"/>
      <c r="AF1756" s="36">
        <f>IFERROR(VLOOKUP(AE1756,'Chemical Cost'!A:D,4,0),0)</f>
        <v>0</v>
      </c>
      <c r="AG1756" s="114">
        <f t="shared" si="553"/>
        <v>0</v>
      </c>
      <c r="AH1756" s="36">
        <f t="shared" ref="AH1756:AH1761" si="572">AF1756*AA1756/3</f>
        <v>0</v>
      </c>
      <c r="AI1756" s="36">
        <f t="shared" ref="AI1756:AI1761" si="573">IFERROR((Q1756*Z1756)+(Z1756*X1756)+AH1756,0)</f>
        <v>8.0997036290322573</v>
      </c>
      <c r="AJ1756" s="36">
        <f>IFERROR(VLOOKUP(A1756,'All Products'!A:F,6,0),0)</f>
        <v>0</v>
      </c>
      <c r="AK1756" s="36"/>
      <c r="AL1756" s="23">
        <v>1</v>
      </c>
      <c r="AM1756" s="23"/>
      <c r="AN1756" s="54" t="e">
        <v>#N/A</v>
      </c>
      <c r="AO1756" s="47"/>
      <c r="AP1756" s="4">
        <v>1.4</v>
      </c>
      <c r="AR1756">
        <f>_xlfn.XLOOKUP(F1756,'RM Cost'!A:A,'RM Cost'!S:S)</f>
        <v>0</v>
      </c>
      <c r="AS1756" t="e">
        <f>_xlfn.XLOOKUP(A1756,[3]Sheet1!$B:$B,[3]Sheet1!$B:$B)</f>
        <v>#N/A</v>
      </c>
    </row>
    <row r="1757" spans="1:46" x14ac:dyDescent="0.25">
      <c r="A1757" s="101" t="s">
        <v>4706</v>
      </c>
      <c r="B1757" s="2" t="s">
        <v>552</v>
      </c>
      <c r="C1757" s="101" t="s">
        <v>4709</v>
      </c>
      <c r="D1757" s="1" t="s">
        <v>554</v>
      </c>
      <c r="E1757" s="63">
        <v>2.5</v>
      </c>
      <c r="F1757" s="1" t="str">
        <f>VLOOKUP(H1757,'RM Used'!A:B,2,0)</f>
        <v>P0008</v>
      </c>
      <c r="G1757" s="1" t="str">
        <f>IFERROR(VLOOKUP(F1757,'RM Cost'!A:B,2,0),"")</f>
        <v>PALE BLUE BAG 470X750MM</v>
      </c>
      <c r="H1757" s="2" t="s">
        <v>1323</v>
      </c>
      <c r="I1757" s="1" t="str">
        <f>VLOOKUP(F1757,'RM Used'!B:D,3,0)</f>
        <v>RM-PACKING</v>
      </c>
      <c r="J1757" s="66">
        <v>1</v>
      </c>
      <c r="K1757" s="35" t="str">
        <f t="shared" si="560"/>
        <v/>
      </c>
      <c r="L1757" s="35">
        <f t="shared" si="557"/>
        <v>0</v>
      </c>
      <c r="M1757" s="124" t="str" cm="1">
        <f t="array" ref="M1757">_xlfn.IFS(BOM!I1757="RM-PACKING","100%",B1757="Reynolds",VLOOKUP(H1757,'Yield &amp; Time'!A:V,22,0),BOM!B1757="Dnata",VLOOKUP(BOM!H1757,'Yield &amp; Time'!A:M,13,0),B1757="NK",VLOOKUP(H1757,'Yield &amp; Time'!A:X,24,0))</f>
        <v>100%</v>
      </c>
      <c r="N1757" s="35">
        <f>IFERROR(IF(I1757="RM-FOOD",(E1757*J1757)/M1757,1),0)</f>
        <v>1</v>
      </c>
      <c r="O1757" s="1" t="str">
        <f>VLOOKUP(H1757,'RM Used'!A:E,5,0)</f>
        <v>Count</v>
      </c>
      <c r="P1757" s="11">
        <f>VLOOKUP(H1757,'RM Used'!A:F,6,0)</f>
        <v>0.14000000000000001</v>
      </c>
      <c r="Q1757" s="11">
        <f t="shared" si="555"/>
        <v>0.14000000000000001</v>
      </c>
      <c r="R1757" s="11">
        <f>IFERROR(IF(B1757="Reynolds",VLOOKUP(H1757,'Yield &amp; Time'!A:U,21,0),VLOOKUP(H1757,'Yield &amp; Time'!A:L,12,0)),0)</f>
        <v>0</v>
      </c>
      <c r="S1757" s="11">
        <f t="shared" si="558"/>
        <v>0</v>
      </c>
      <c r="T1757" s="11">
        <f t="shared" si="559"/>
        <v>0</v>
      </c>
      <c r="U1757" s="11">
        <f>IF(A1756=A1757,0,VLOOKUP(A1757,'Packing Time'!A:F,6,0))</f>
        <v>0</v>
      </c>
      <c r="V1757" s="11">
        <f t="shared" si="568"/>
        <v>0</v>
      </c>
      <c r="W1757" s="11">
        <f t="shared" si="569"/>
        <v>0</v>
      </c>
      <c r="X1757" s="11">
        <f t="shared" si="549"/>
        <v>0</v>
      </c>
      <c r="Y1757" s="11">
        <f t="shared" si="570"/>
        <v>0</v>
      </c>
      <c r="Z1757" s="37">
        <v>1</v>
      </c>
      <c r="AA1757" s="36">
        <f t="shared" si="550"/>
        <v>1</v>
      </c>
      <c r="AB1757" s="36">
        <f t="shared" si="551"/>
        <v>0.14000000000000001</v>
      </c>
      <c r="AC1757" s="11">
        <f t="shared" si="552"/>
        <v>0</v>
      </c>
      <c r="AD1757" s="36">
        <f t="shared" si="571"/>
        <v>0</v>
      </c>
      <c r="AE1757" s="36"/>
      <c r="AF1757" s="36">
        <f>IFERROR(VLOOKUP(AE1757,'Chemical Cost'!A:D,4,0),0)</f>
        <v>0</v>
      </c>
      <c r="AG1757" s="114">
        <f t="shared" si="553"/>
        <v>0</v>
      </c>
      <c r="AH1757" s="36">
        <f t="shared" si="572"/>
        <v>0</v>
      </c>
      <c r="AI1757" s="36">
        <f t="shared" si="573"/>
        <v>0.14000000000000001</v>
      </c>
      <c r="AJ1757" s="36">
        <f>IFERROR(VLOOKUP(A1757,'All Products'!A:F,6,0),0)</f>
        <v>0</v>
      </c>
      <c r="AK1757" s="36"/>
      <c r="AL1757" s="23">
        <v>1</v>
      </c>
      <c r="AM1757" s="23"/>
      <c r="AN1757" s="54" t="e">
        <v>#N/A</v>
      </c>
      <c r="AO1757" s="47"/>
      <c r="AP1757" s="4">
        <v>1.4</v>
      </c>
      <c r="AR1757">
        <f>_xlfn.XLOOKUP(F1757,'RM Cost'!A:A,'RM Cost'!S:S)</f>
        <v>0</v>
      </c>
      <c r="AS1757" t="e">
        <f>_xlfn.XLOOKUP(A1757,[3]Sheet1!$B:$B,[3]Sheet1!$B:$B)</f>
        <v>#N/A</v>
      </c>
    </row>
    <row r="1758" spans="1:46" x14ac:dyDescent="0.25">
      <c r="A1758" s="101" t="s">
        <v>4706</v>
      </c>
      <c r="B1758" s="2" t="s">
        <v>552</v>
      </c>
      <c r="C1758" s="101" t="s">
        <v>4709</v>
      </c>
      <c r="D1758" s="1" t="s">
        <v>554</v>
      </c>
      <c r="E1758" s="63">
        <v>2.5</v>
      </c>
      <c r="F1758" s="1" t="str">
        <f>VLOOKUP(H1758,'RM Used'!A:B,2,0)</f>
        <v>P0016</v>
      </c>
      <c r="G1758" s="1" t="str">
        <f>IFERROR(VLOOKUP(F1758,'RM Cost'!A:B,2,0),"")</f>
        <v>REY 40 30 BOX</v>
      </c>
      <c r="H1758" s="1" t="s">
        <v>1332</v>
      </c>
      <c r="I1758" s="1" t="str">
        <f>VLOOKUP(F1758,'RM Used'!B:D,3,0)</f>
        <v>RM-PACKING</v>
      </c>
      <c r="J1758" s="66">
        <v>1</v>
      </c>
      <c r="K1758" s="35" t="str">
        <f t="shared" si="560"/>
        <v/>
      </c>
      <c r="L1758" s="35">
        <f t="shared" si="557"/>
        <v>0</v>
      </c>
      <c r="M1758" s="124" t="str" cm="1">
        <f t="array" ref="M1758">_xlfn.IFS(BOM!I1758="RM-PACKING","100%",B1758="Reynolds",VLOOKUP(H1758,'Yield &amp; Time'!A:V,22,0),BOM!B1758="Dnata",VLOOKUP(BOM!H1758,'Yield &amp; Time'!A:M,13,0),B1758="NK",VLOOKUP(H1758,'Yield &amp; Time'!A:X,24,0))</f>
        <v>100%</v>
      </c>
      <c r="N1758" s="35">
        <f>IFERROR(IF(I1758="RM-FOOD",(E1758*J1758)/M1758,1),0)</f>
        <v>1</v>
      </c>
      <c r="O1758" s="1" t="str">
        <f>VLOOKUP(H1758,'RM Used'!A:E,5,0)</f>
        <v>Count</v>
      </c>
      <c r="P1758" s="11">
        <f>VLOOKUP(H1758,'RM Used'!A:F,6,0)</f>
        <v>0.28000000000000003</v>
      </c>
      <c r="Q1758" s="11">
        <f t="shared" si="555"/>
        <v>0.28000000000000003</v>
      </c>
      <c r="R1758" s="11">
        <f>IFERROR(IF(B1758="Reynolds",VLOOKUP(H1758,'Yield &amp; Time'!A:U,21,0),VLOOKUP(H1758,'Yield &amp; Time'!A:L,12,0)),0)</f>
        <v>0</v>
      </c>
      <c r="S1758" s="11">
        <f t="shared" si="558"/>
        <v>0</v>
      </c>
      <c r="T1758" s="11">
        <f t="shared" si="559"/>
        <v>0</v>
      </c>
      <c r="U1758" s="11">
        <f>IF(A1757=A1758,0,VLOOKUP(A1758,'Packing Time'!A:F,6,0))</f>
        <v>0</v>
      </c>
      <c r="V1758" s="11">
        <f t="shared" si="568"/>
        <v>0</v>
      </c>
      <c r="W1758" s="11">
        <f t="shared" si="569"/>
        <v>0</v>
      </c>
      <c r="X1758" s="11">
        <f t="shared" si="549"/>
        <v>0</v>
      </c>
      <c r="Y1758" s="11">
        <f t="shared" si="570"/>
        <v>0</v>
      </c>
      <c r="Z1758" s="37">
        <v>1</v>
      </c>
      <c r="AA1758" s="36">
        <f t="shared" si="550"/>
        <v>1</v>
      </c>
      <c r="AB1758" s="36">
        <f t="shared" si="551"/>
        <v>0.28000000000000003</v>
      </c>
      <c r="AC1758" s="11">
        <f t="shared" si="552"/>
        <v>0</v>
      </c>
      <c r="AD1758" s="36">
        <f t="shared" si="571"/>
        <v>0</v>
      </c>
      <c r="AE1758" s="36"/>
      <c r="AF1758" s="36">
        <f>IFERROR(VLOOKUP(AE1758,'Chemical Cost'!A:D,4,0),0)</f>
        <v>0</v>
      </c>
      <c r="AG1758" s="114">
        <f t="shared" si="553"/>
        <v>0</v>
      </c>
      <c r="AH1758" s="36">
        <f t="shared" si="572"/>
        <v>0</v>
      </c>
      <c r="AI1758" s="36">
        <f t="shared" si="573"/>
        <v>0.28000000000000003</v>
      </c>
      <c r="AJ1758" s="36">
        <f>IFERROR(VLOOKUP(A1758,'All Products'!A:F,6,0),0)</f>
        <v>0</v>
      </c>
      <c r="AK1758" s="36"/>
      <c r="AL1758" s="23">
        <v>1</v>
      </c>
      <c r="AM1758" s="23"/>
      <c r="AN1758" s="54" t="e">
        <v>#N/A</v>
      </c>
      <c r="AO1758" s="47"/>
      <c r="AP1758" s="4">
        <v>1.4</v>
      </c>
      <c r="AR1758">
        <f>_xlfn.XLOOKUP(F1758,'RM Cost'!A:A,'RM Cost'!S:S)</f>
        <v>0</v>
      </c>
      <c r="AS1758" t="e">
        <f>_xlfn.XLOOKUP(A1758,[3]Sheet1!$B:$B,[3]Sheet1!$B:$B)</f>
        <v>#N/A</v>
      </c>
    </row>
    <row r="1759" spans="1:46" x14ac:dyDescent="0.25">
      <c r="A1759" s="101" t="s">
        <v>4707</v>
      </c>
      <c r="B1759" s="2" t="s">
        <v>552</v>
      </c>
      <c r="C1759" t="s">
        <v>4708</v>
      </c>
      <c r="D1759" s="1" t="s">
        <v>554</v>
      </c>
      <c r="E1759" s="63">
        <v>2.5</v>
      </c>
      <c r="F1759" s="1" t="str">
        <f>VLOOKUP(H1759,'RM Used'!A:B,2,0)</f>
        <v>3020CS</v>
      </c>
      <c r="G1759" s="1" t="str">
        <f>IFERROR(VLOOKUP(F1759,'RM Cost'!A:B,2,0),"")</f>
        <v>RM - CELERIAC 10KG</v>
      </c>
      <c r="H1759" s="94" t="s">
        <v>1501</v>
      </c>
      <c r="I1759" s="1" t="str">
        <f>VLOOKUP(F1759,'RM Used'!B:D,3,0)</f>
        <v>RM-FOOD</v>
      </c>
      <c r="J1759" s="66">
        <v>1</v>
      </c>
      <c r="K1759" s="35">
        <f t="shared" ref="K1759:K1767" si="574">IF(I1759="RM-FOOD",J1759*E1759,"")</f>
        <v>2.5</v>
      </c>
      <c r="L1759" s="35">
        <f t="shared" si="557"/>
        <v>2.5</v>
      </c>
      <c r="M1759" s="124" cm="1">
        <f t="array" ref="M1759">_xlfn.IFS(BOM!I1759="RM-PACKING","100%",B1759="Reynolds",VLOOKUP(H1759,'Yield &amp; Time'!A:V,22,0),BOM!B1759="Dnata",VLOOKUP(BOM!H1759,'Yield &amp; Time'!A:M,13,0),B1759="NK",VLOOKUP(H1759,'Yield &amp; Time'!A:X,24,0))</f>
        <v>0.51557890855457233</v>
      </c>
      <c r="N1759" s="35">
        <f t="shared" ref="N1759:N1767" si="575">IFERROR(IF(I1759="RM-FOOD",(E1759*J1759)/M1759,1),0)</f>
        <v>4.848918290720543</v>
      </c>
      <c r="O1759" s="1" t="str">
        <f>VLOOKUP(H1759,'RM Used'!A:E,5,0)</f>
        <v>KG</v>
      </c>
      <c r="P1759" s="11">
        <f>VLOOKUP(H1759,'RM Used'!A:F,6,0)</f>
        <v>0.55000000000000004</v>
      </c>
      <c r="Q1759" s="11">
        <f t="shared" si="555"/>
        <v>2.6669050598962989</v>
      </c>
      <c r="R1759" s="11">
        <f>IFERROR(IF(B1759="Reynolds",VLOOKUP(H1759,'Yield &amp; Time'!A:U,21,0),VLOOKUP(H1759,'Yield &amp; Time'!A:L,12,0)),0)</f>
        <v>1.8072829131652661</v>
      </c>
      <c r="S1759" s="11">
        <f t="shared" si="558"/>
        <v>1.5294131652661063</v>
      </c>
      <c r="T1759" s="11">
        <f t="shared" si="559"/>
        <v>7.5303454715219417E-2</v>
      </c>
      <c r="U1759" s="11">
        <f>IF(A1758=A1759,0,VLOOKUP(A1759,'Packing Time'!A:F,6,0))</f>
        <v>0.875</v>
      </c>
      <c r="V1759" s="11">
        <f t="shared" si="568"/>
        <v>0.29618749999999999</v>
      </c>
      <c r="W1759" s="11">
        <f t="shared" si="569"/>
        <v>1.4583333333333334E-2</v>
      </c>
      <c r="X1759" s="11">
        <f t="shared" si="549"/>
        <v>2.5558409313725488</v>
      </c>
      <c r="Y1759" s="11">
        <f t="shared" si="570"/>
        <v>2.5558409313725488</v>
      </c>
      <c r="Z1759" s="37">
        <v>1</v>
      </c>
      <c r="AA1759" s="36">
        <f t="shared" si="550"/>
        <v>4.848918290720543</v>
      </c>
      <c r="AB1759" s="36">
        <f t="shared" si="551"/>
        <v>2.6669050598962989</v>
      </c>
      <c r="AC1759" s="11">
        <f t="shared" si="552"/>
        <v>0.12584150326797386</v>
      </c>
      <c r="AD1759" s="36">
        <f t="shared" si="571"/>
        <v>2.5558409313725488</v>
      </c>
      <c r="AE1759" s="36"/>
      <c r="AF1759" s="36">
        <f>IFERROR(VLOOKUP(AE1759,'Chemical Cost'!A:D,4,0),0)</f>
        <v>0</v>
      </c>
      <c r="AG1759" s="114">
        <f t="shared" si="553"/>
        <v>0</v>
      </c>
      <c r="AH1759" s="36">
        <f t="shared" si="572"/>
        <v>0</v>
      </c>
      <c r="AI1759" s="36">
        <f t="shared" si="573"/>
        <v>5.2227459912688481</v>
      </c>
      <c r="AJ1759" s="36">
        <f>IFERROR(VLOOKUP(A1759,'All Products'!A:F,6,0),0)</f>
        <v>0</v>
      </c>
      <c r="AK1759" s="36"/>
      <c r="AL1759" s="23">
        <v>1</v>
      </c>
      <c r="AM1759" s="23"/>
      <c r="AN1759" s="54" t="e">
        <v>#N/A</v>
      </c>
      <c r="AO1759" s="47"/>
      <c r="AP1759" s="4">
        <v>1.4</v>
      </c>
      <c r="AR1759">
        <f>_xlfn.XLOOKUP(F1759,'RM Cost'!A:A,'RM Cost'!S:S)</f>
        <v>0</v>
      </c>
      <c r="AS1759" t="e">
        <f>_xlfn.XLOOKUP(A1759,[3]Sheet1!$B:$B,[3]Sheet1!$B:$B)</f>
        <v>#N/A</v>
      </c>
    </row>
    <row r="1760" spans="1:46" x14ac:dyDescent="0.25">
      <c r="A1760" s="101" t="s">
        <v>4707</v>
      </c>
      <c r="B1760" s="2" t="s">
        <v>552</v>
      </c>
      <c r="C1760" t="s">
        <v>4708</v>
      </c>
      <c r="D1760" s="1" t="s">
        <v>554</v>
      </c>
      <c r="E1760" s="63">
        <v>2.5</v>
      </c>
      <c r="F1760" s="1" t="str">
        <f>VLOOKUP(H1760,'RM Used'!A:B,2,0)</f>
        <v>P0008</v>
      </c>
      <c r="G1760" s="1" t="str">
        <f>IFERROR(VLOOKUP(F1760,'RM Cost'!A:B,2,0),"")</f>
        <v>PALE BLUE BAG 470X750MM</v>
      </c>
      <c r="H1760" s="2" t="s">
        <v>1323</v>
      </c>
      <c r="I1760" s="1" t="str">
        <f>VLOOKUP(F1760,'RM Used'!B:D,3,0)</f>
        <v>RM-PACKING</v>
      </c>
      <c r="J1760" s="66">
        <v>1</v>
      </c>
      <c r="K1760" s="35" t="str">
        <f t="shared" si="574"/>
        <v/>
      </c>
      <c r="L1760" s="35">
        <f t="shared" si="557"/>
        <v>0</v>
      </c>
      <c r="M1760" s="124" t="str" cm="1">
        <f t="array" ref="M1760">_xlfn.IFS(BOM!I1760="RM-PACKING","100%",B1760="Reynolds",VLOOKUP(H1760,'Yield &amp; Time'!A:V,22,0),BOM!B1760="Dnata",VLOOKUP(BOM!H1760,'Yield &amp; Time'!A:M,13,0),B1760="NK",VLOOKUP(H1760,'Yield &amp; Time'!A:X,24,0))</f>
        <v>100%</v>
      </c>
      <c r="N1760" s="35">
        <f t="shared" si="575"/>
        <v>1</v>
      </c>
      <c r="O1760" s="1" t="str">
        <f>VLOOKUP(H1760,'RM Used'!A:E,5,0)</f>
        <v>Count</v>
      </c>
      <c r="P1760" s="11">
        <f>VLOOKUP(H1760,'RM Used'!A:F,6,0)</f>
        <v>0.14000000000000001</v>
      </c>
      <c r="Q1760" s="11">
        <f t="shared" si="555"/>
        <v>0.14000000000000001</v>
      </c>
      <c r="R1760" s="11">
        <f>IFERROR(IF(B1760="Reynolds",VLOOKUP(H1760,'Yield &amp; Time'!A:U,21,0),VLOOKUP(H1760,'Yield &amp; Time'!A:L,12,0)),0)</f>
        <v>0</v>
      </c>
      <c r="S1760" s="11">
        <f t="shared" si="558"/>
        <v>0</v>
      </c>
      <c r="T1760" s="11">
        <f t="shared" si="559"/>
        <v>0</v>
      </c>
      <c r="U1760" s="11">
        <f>IF(A1759=A1760,0,VLOOKUP(A1760,'Packing Time'!A:F,6,0))</f>
        <v>0</v>
      </c>
      <c r="V1760" s="11">
        <f t="shared" si="568"/>
        <v>0</v>
      </c>
      <c r="W1760" s="11">
        <f t="shared" si="569"/>
        <v>0</v>
      </c>
      <c r="X1760" s="11">
        <f t="shared" si="549"/>
        <v>0</v>
      </c>
      <c r="Y1760" s="11">
        <f t="shared" si="570"/>
        <v>0</v>
      </c>
      <c r="Z1760" s="37">
        <v>1</v>
      </c>
      <c r="AA1760" s="36">
        <f t="shared" si="550"/>
        <v>1</v>
      </c>
      <c r="AB1760" s="36">
        <f t="shared" si="551"/>
        <v>0.14000000000000001</v>
      </c>
      <c r="AC1760" s="11">
        <f t="shared" si="552"/>
        <v>0</v>
      </c>
      <c r="AD1760" s="36">
        <f t="shared" si="571"/>
        <v>0</v>
      </c>
      <c r="AE1760" s="36"/>
      <c r="AF1760" s="36">
        <f>IFERROR(VLOOKUP(AE1760,'Chemical Cost'!A:D,4,0),0)</f>
        <v>0</v>
      </c>
      <c r="AG1760" s="114">
        <f t="shared" si="553"/>
        <v>0</v>
      </c>
      <c r="AH1760" s="36">
        <f t="shared" si="572"/>
        <v>0</v>
      </c>
      <c r="AI1760" s="36">
        <f t="shared" si="573"/>
        <v>0.14000000000000001</v>
      </c>
      <c r="AJ1760" s="36">
        <f>IFERROR(VLOOKUP(A1760,'All Products'!A:F,6,0),0)</f>
        <v>0</v>
      </c>
      <c r="AK1760" s="36"/>
      <c r="AL1760" s="23">
        <v>1</v>
      </c>
      <c r="AM1760" s="23"/>
      <c r="AN1760" s="54" t="e">
        <v>#N/A</v>
      </c>
      <c r="AO1760" s="47"/>
      <c r="AP1760" s="4">
        <v>1.4</v>
      </c>
      <c r="AR1760">
        <f>_xlfn.XLOOKUP(F1760,'RM Cost'!A:A,'RM Cost'!S:S)</f>
        <v>0</v>
      </c>
      <c r="AS1760" t="e">
        <f>_xlfn.XLOOKUP(A1760,[3]Sheet1!$B:$B,[3]Sheet1!$B:$B)</f>
        <v>#N/A</v>
      </c>
    </row>
    <row r="1761" spans="1:46" x14ac:dyDescent="0.25">
      <c r="A1761" s="101" t="s">
        <v>4707</v>
      </c>
      <c r="B1761" s="2" t="s">
        <v>552</v>
      </c>
      <c r="C1761" t="s">
        <v>4708</v>
      </c>
      <c r="D1761" s="1" t="s">
        <v>554</v>
      </c>
      <c r="E1761" s="63">
        <v>2.5</v>
      </c>
      <c r="F1761" s="1" t="str">
        <f>VLOOKUP(H1761,'RM Used'!A:B,2,0)</f>
        <v>P0016</v>
      </c>
      <c r="G1761" s="1" t="str">
        <f>IFERROR(VLOOKUP(F1761,'RM Cost'!A:B,2,0),"")</f>
        <v>REY 40 30 BOX</v>
      </c>
      <c r="H1761" s="1" t="s">
        <v>1332</v>
      </c>
      <c r="I1761" s="1" t="str">
        <f>VLOOKUP(F1761,'RM Used'!B:D,3,0)</f>
        <v>RM-PACKING</v>
      </c>
      <c r="J1761" s="66">
        <v>1</v>
      </c>
      <c r="K1761" s="35" t="str">
        <f t="shared" si="574"/>
        <v/>
      </c>
      <c r="L1761" s="35">
        <f t="shared" si="557"/>
        <v>0</v>
      </c>
      <c r="M1761" s="124" t="str" cm="1">
        <f t="array" ref="M1761">_xlfn.IFS(BOM!I1761="RM-PACKING","100%",B1761="Reynolds",VLOOKUP(H1761,'Yield &amp; Time'!A:V,22,0),BOM!B1761="Dnata",VLOOKUP(BOM!H1761,'Yield &amp; Time'!A:M,13,0),B1761="NK",VLOOKUP(H1761,'Yield &amp; Time'!A:X,24,0))</f>
        <v>100%</v>
      </c>
      <c r="N1761" s="35">
        <f t="shared" si="575"/>
        <v>1</v>
      </c>
      <c r="O1761" s="1" t="str">
        <f>VLOOKUP(H1761,'RM Used'!A:E,5,0)</f>
        <v>Count</v>
      </c>
      <c r="P1761" s="11">
        <f>VLOOKUP(H1761,'RM Used'!A:F,6,0)</f>
        <v>0.28000000000000003</v>
      </c>
      <c r="Q1761" s="11">
        <f t="shared" si="555"/>
        <v>0.28000000000000003</v>
      </c>
      <c r="R1761" s="11">
        <f>IFERROR(IF(B1761="Reynolds",VLOOKUP(H1761,'Yield &amp; Time'!A:U,21,0),VLOOKUP(H1761,'Yield &amp; Time'!A:L,12,0)),0)</f>
        <v>0</v>
      </c>
      <c r="S1761" s="11">
        <f t="shared" si="558"/>
        <v>0</v>
      </c>
      <c r="T1761" s="11">
        <f t="shared" si="559"/>
        <v>0</v>
      </c>
      <c r="U1761" s="11">
        <f>IF(A1760=A1761,0,VLOOKUP(A1761,'Packing Time'!A:F,6,0))</f>
        <v>0</v>
      </c>
      <c r="V1761" s="11">
        <f t="shared" si="568"/>
        <v>0</v>
      </c>
      <c r="W1761" s="11">
        <f t="shared" si="569"/>
        <v>0</v>
      </c>
      <c r="X1761" s="11">
        <f t="shared" si="549"/>
        <v>0</v>
      </c>
      <c r="Y1761" s="11">
        <f t="shared" si="570"/>
        <v>0</v>
      </c>
      <c r="Z1761" s="37">
        <v>1</v>
      </c>
      <c r="AA1761" s="36">
        <f t="shared" si="550"/>
        <v>1</v>
      </c>
      <c r="AB1761" s="36">
        <f t="shared" si="551"/>
        <v>0.28000000000000003</v>
      </c>
      <c r="AC1761" s="11">
        <f t="shared" si="552"/>
        <v>0</v>
      </c>
      <c r="AD1761" s="36">
        <f t="shared" si="571"/>
        <v>0</v>
      </c>
      <c r="AE1761" s="36"/>
      <c r="AF1761" s="36">
        <f>IFERROR(VLOOKUP(AE1761,'Chemical Cost'!A:D,4,0),0)</f>
        <v>0</v>
      </c>
      <c r="AG1761" s="114">
        <f t="shared" si="553"/>
        <v>0</v>
      </c>
      <c r="AH1761" s="36">
        <f t="shared" si="572"/>
        <v>0</v>
      </c>
      <c r="AI1761" s="36">
        <f t="shared" si="573"/>
        <v>0.28000000000000003</v>
      </c>
      <c r="AJ1761" s="36">
        <f>IFERROR(VLOOKUP(A1761,'All Products'!A:F,6,0),0)</f>
        <v>0</v>
      </c>
      <c r="AK1761" s="36"/>
      <c r="AL1761" s="23">
        <v>1</v>
      </c>
      <c r="AM1761" s="23"/>
      <c r="AN1761" s="54" t="e">
        <v>#N/A</v>
      </c>
      <c r="AO1761" s="47"/>
      <c r="AP1761" s="4">
        <v>1.4</v>
      </c>
      <c r="AR1761">
        <f>_xlfn.XLOOKUP(F1761,'RM Cost'!A:A,'RM Cost'!S:S)</f>
        <v>0</v>
      </c>
      <c r="AS1761" t="e">
        <f>_xlfn.XLOOKUP(A1761,[3]Sheet1!$B:$B,[3]Sheet1!$B:$B)</f>
        <v>#N/A</v>
      </c>
    </row>
    <row r="1762" spans="1:46" x14ac:dyDescent="0.25">
      <c r="A1762" s="1" t="s">
        <v>4728</v>
      </c>
      <c r="B1762" s="2" t="s">
        <v>552</v>
      </c>
      <c r="C1762" s="1" t="s">
        <v>4711</v>
      </c>
      <c r="D1762" s="1" t="s">
        <v>554</v>
      </c>
      <c r="E1762" s="2">
        <v>2</v>
      </c>
      <c r="F1762" s="1" t="str">
        <f>VLOOKUP(H1762,'RM Used'!A:B,2,0)</f>
        <v>S3998CS</v>
      </c>
      <c r="G1762" s="1" t="str">
        <f>IFERROR(VLOOKUP(F1762,'RM Cost'!A:B,2,0),"")</f>
        <v>RM - DECORED RED CABBAGE 1/3 1200KG</v>
      </c>
      <c r="H1762" s="1" t="s">
        <v>1349</v>
      </c>
      <c r="I1762" s="1" t="str">
        <f>VLOOKUP(F1762,'RM Used'!B:D,3,0)</f>
        <v>RM-FOOD</v>
      </c>
      <c r="J1762" s="66">
        <v>0.39</v>
      </c>
      <c r="K1762" s="35">
        <f t="shared" si="574"/>
        <v>0.78</v>
      </c>
      <c r="L1762" s="35">
        <f t="shared" si="557"/>
        <v>0.78</v>
      </c>
      <c r="M1762" s="124" cm="1">
        <f t="array" ref="M1762">_xlfn.IFS(BOM!I1762="RM-PACKING","100%",B1762="Reynolds",VLOOKUP(H1762,'Yield &amp; Time'!A:V,22,0),BOM!B1762="Dnata",VLOOKUP(BOM!H1762,'Yield &amp; Time'!A:M,13,0),B1762="NK",VLOOKUP(H1762,'Yield &amp; Time'!A:X,24,0))</f>
        <v>0.75138040345821322</v>
      </c>
      <c r="N1762" s="35">
        <f t="shared" si="575"/>
        <v>1.0380893571486103</v>
      </c>
      <c r="O1762" s="1" t="str">
        <f>VLOOKUP(H1762,'RM Used'!A:E,5,0)</f>
        <v>KG</v>
      </c>
      <c r="P1762" s="11">
        <f>VLOOKUP(H1762,'RM Used'!A:F,6,0)</f>
        <v>0.38</v>
      </c>
      <c r="Q1762" s="11">
        <f t="shared" si="555"/>
        <v>0.39447395571647192</v>
      </c>
      <c r="R1762" s="11">
        <f>IFERROR(IF(B1762="Reynolds",VLOOKUP(H1762,'Yield &amp; Time'!A:U,21,0),VLOOKUP(H1762,'Yield &amp; Time'!A:L,12,0)),0)</f>
        <v>0.76261570798735501</v>
      </c>
      <c r="S1762" s="11">
        <f t="shared" si="558"/>
        <v>0.20135342537990134</v>
      </c>
      <c r="T1762" s="11">
        <f t="shared" si="559"/>
        <v>9.9140042038356156E-3</v>
      </c>
      <c r="U1762" s="11">
        <f>IF(A1761=A1762,0,VLOOKUP(A1762,'Packing Time'!A:F,6,0))</f>
        <v>0.875</v>
      </c>
      <c r="V1762" s="11">
        <f t="shared" ref="V1762:V1767" si="576">U1762*AO$1</f>
        <v>0.29618749999999999</v>
      </c>
      <c r="W1762" s="11">
        <f t="shared" ref="W1762:W1767" si="577">(U1762*Z1762)/60</f>
        <v>1.4583333333333334E-2</v>
      </c>
      <c r="X1762" s="11">
        <f t="shared" si="549"/>
        <v>0.69655729553186174</v>
      </c>
      <c r="Y1762" s="11">
        <f t="shared" ref="Y1762:Y1767" si="578">X1762*Z1762</f>
        <v>0.69655729553186174</v>
      </c>
      <c r="Z1762" s="37">
        <v>1</v>
      </c>
      <c r="AA1762" s="36">
        <f t="shared" si="550"/>
        <v>1.0380893571486103</v>
      </c>
      <c r="AB1762" s="36">
        <f t="shared" si="551"/>
        <v>0.39447395571647192</v>
      </c>
      <c r="AC1762" s="11">
        <f t="shared" si="552"/>
        <v>3.4296272552036523E-2</v>
      </c>
      <c r="AD1762" s="36">
        <f t="shared" ref="AD1762:AD1767" si="579">AC1762*60*AO$1</f>
        <v>0.69655729553186174</v>
      </c>
      <c r="AE1762" s="36"/>
      <c r="AF1762" s="36">
        <f>IFERROR(VLOOKUP(AE1762,'Chemical Cost'!A:D,4,0),0)</f>
        <v>0</v>
      </c>
      <c r="AG1762" s="114">
        <f t="shared" si="553"/>
        <v>0</v>
      </c>
      <c r="AH1762" s="36">
        <f t="shared" ref="AH1762:AH1767" si="580">AF1762*AA1762/3</f>
        <v>0</v>
      </c>
      <c r="AI1762" s="36">
        <f t="shared" ref="AI1762:AI1767" si="581">IFERROR((Q1762*Z1762)+(Z1762*X1762)+AH1762,0)</f>
        <v>1.0910312512483338</v>
      </c>
      <c r="AJ1762" s="36">
        <f>IFERROR(VLOOKUP(A1762,'All Products'!A:F,6,0),0)</f>
        <v>0</v>
      </c>
      <c r="AK1762" s="36"/>
      <c r="AL1762" s="23">
        <v>1</v>
      </c>
      <c r="AP1762" s="4">
        <v>1.4</v>
      </c>
      <c r="AR1762">
        <f>_xlfn.XLOOKUP(F1762,'RM Cost'!A:A,'RM Cost'!S:S)</f>
        <v>0.29914853989077506</v>
      </c>
      <c r="AS1762" t="str">
        <f>_xlfn.XLOOKUP(A1762,[3]Sheet1!$B:$B,[3]Sheet1!$B:$B)</f>
        <v>243CCS</v>
      </c>
      <c r="AT1762" t="str">
        <f>_xlfn.XLOOKUP(H1762,'Yield &amp; Time'!A:A,'Yield &amp; Time'!O:O)</f>
        <v>Yes</v>
      </c>
    </row>
    <row r="1763" spans="1:46" x14ac:dyDescent="0.25">
      <c r="A1763" s="1" t="s">
        <v>4728</v>
      </c>
      <c r="B1763" s="2" t="s">
        <v>552</v>
      </c>
      <c r="C1763" s="1" t="s">
        <v>4711</v>
      </c>
      <c r="D1763" s="1" t="s">
        <v>554</v>
      </c>
      <c r="E1763" s="2">
        <v>2</v>
      </c>
      <c r="F1763" s="1" t="str">
        <f>VLOOKUP(H1763,'RM Used'!A:B,2,0)</f>
        <v>032ACS</v>
      </c>
      <c r="G1763" s="1" t="str">
        <f>IFERROR(VLOOKUP(F1763,'RM Cost'!A:B,2,0),"")</f>
        <v>RM - LRG PROCESSING CARROT X 1000KG</v>
      </c>
      <c r="H1763" s="2" t="s">
        <v>1351</v>
      </c>
      <c r="I1763" s="1" t="str">
        <f>VLOOKUP(F1763,'RM Used'!B:D,3,0)</f>
        <v>RM-FOOD</v>
      </c>
      <c r="J1763" s="66">
        <v>0.38</v>
      </c>
      <c r="K1763" s="35">
        <f t="shared" si="574"/>
        <v>0.76</v>
      </c>
      <c r="L1763" s="35">
        <f t="shared" si="557"/>
        <v>0.76</v>
      </c>
      <c r="M1763" s="124" cm="1">
        <f t="array" ref="M1763">_xlfn.IFS(BOM!I1763="RM-PACKING","100%",B1763="Reynolds",VLOOKUP(H1763,'Yield &amp; Time'!A:V,22,0),BOM!B1763="Dnata",VLOOKUP(BOM!H1763,'Yield &amp; Time'!A:M,13,0),B1763="NK",VLOOKUP(H1763,'Yield &amp; Time'!A:X,24,0))</f>
        <v>0.75330000000000008</v>
      </c>
      <c r="N1763" s="35">
        <f t="shared" si="575"/>
        <v>1.0088941988583564</v>
      </c>
      <c r="O1763" s="1" t="str">
        <f>VLOOKUP(H1763,'RM Used'!A:E,5,0)</f>
        <v>KG</v>
      </c>
      <c r="P1763" s="11">
        <f>VLOOKUP(H1763,'RM Used'!A:F,6,0)</f>
        <v>0.38</v>
      </c>
      <c r="Q1763" s="11">
        <f t="shared" si="555"/>
        <v>0.38337979556617546</v>
      </c>
      <c r="R1763" s="11">
        <f>IFERROR(IF(B1763="Reynolds",VLOOKUP(H1763,'Yield &amp; Time'!A:U,21,0),VLOOKUP(H1763,'Yield &amp; Time'!A:L,12,0)),0)</f>
        <v>0.90531914893617027</v>
      </c>
      <c r="S1763" s="11">
        <f t="shared" si="558"/>
        <v>0.23290240425531916</v>
      </c>
      <c r="T1763" s="11">
        <f t="shared" si="559"/>
        <v>1.1467375886524824E-2</v>
      </c>
      <c r="U1763" s="11">
        <f>IF(A1762=A1763,0,VLOOKUP(A1763,'Packing Time'!A:F,6,0))</f>
        <v>0</v>
      </c>
      <c r="V1763" s="11">
        <f t="shared" si="576"/>
        <v>0</v>
      </c>
      <c r="W1763" s="11">
        <f t="shared" si="577"/>
        <v>0</v>
      </c>
      <c r="X1763" s="11">
        <f t="shared" si="549"/>
        <v>0.32606336595744678</v>
      </c>
      <c r="Y1763" s="11">
        <f t="shared" si="578"/>
        <v>0.32606336595744678</v>
      </c>
      <c r="Z1763" s="37">
        <v>1</v>
      </c>
      <c r="AA1763" s="36">
        <f t="shared" si="550"/>
        <v>1.0088941988583564</v>
      </c>
      <c r="AB1763" s="36">
        <f t="shared" si="551"/>
        <v>0.38337979556617546</v>
      </c>
      <c r="AC1763" s="11">
        <f t="shared" si="552"/>
        <v>1.6054326241134752E-2</v>
      </c>
      <c r="AD1763" s="36">
        <f t="shared" si="579"/>
        <v>0.32606336595744678</v>
      </c>
      <c r="AE1763" s="36"/>
      <c r="AF1763" s="36">
        <f>IFERROR(VLOOKUP(AE1763,'Chemical Cost'!A:D,4,0),0)</f>
        <v>0</v>
      </c>
      <c r="AG1763" s="114">
        <f t="shared" si="553"/>
        <v>0</v>
      </c>
      <c r="AH1763" s="36">
        <f t="shared" si="580"/>
        <v>0</v>
      </c>
      <c r="AI1763" s="36">
        <f t="shared" si="581"/>
        <v>0.7094431615236223</v>
      </c>
      <c r="AJ1763" s="36">
        <f>IFERROR(VLOOKUP(A1763,'All Products'!A:F,6,0),0)</f>
        <v>0</v>
      </c>
      <c r="AK1763" s="36"/>
      <c r="AL1763" s="23">
        <v>1</v>
      </c>
      <c r="AP1763" s="4">
        <v>1.4</v>
      </c>
      <c r="AR1763">
        <f>_xlfn.XLOOKUP(F1763,'RM Cost'!A:A,'RM Cost'!S:S)</f>
        <v>0</v>
      </c>
      <c r="AS1763" t="str">
        <f>_xlfn.XLOOKUP(A1763,[3]Sheet1!$B:$B,[3]Sheet1!$B:$B)</f>
        <v>243CCS</v>
      </c>
      <c r="AT1763" t="str">
        <f>_xlfn.XLOOKUP(H1763,'Yield &amp; Time'!A:A,'Yield &amp; Time'!O:O)</f>
        <v>Yes</v>
      </c>
    </row>
    <row r="1764" spans="1:46" x14ac:dyDescent="0.25">
      <c r="A1764" s="1" t="s">
        <v>4728</v>
      </c>
      <c r="B1764" s="2" t="s">
        <v>552</v>
      </c>
      <c r="C1764" s="1" t="s">
        <v>4711</v>
      </c>
      <c r="D1764" s="1" t="s">
        <v>554</v>
      </c>
      <c r="E1764" s="2">
        <v>2</v>
      </c>
      <c r="F1764" s="1" t="str">
        <f>VLOOKUP(H1764,'RM Used'!A:B,2,0)</f>
        <v>1318CS</v>
      </c>
      <c r="G1764" s="1" t="str">
        <f>IFERROR(VLOOKUP(F1764,'RM Cost'!A:B,2,0),"")</f>
        <v>RM - PREP ONION RED WHOLE 2.5KG</v>
      </c>
      <c r="H1764" s="2" t="s">
        <v>1365</v>
      </c>
      <c r="I1764" s="1" t="str">
        <f>VLOOKUP(F1764,'RM Used'!B:D,3,0)</f>
        <v>RM-FOOD</v>
      </c>
      <c r="J1764" s="66">
        <v>0.19</v>
      </c>
      <c r="K1764" s="35">
        <f t="shared" si="574"/>
        <v>0.38</v>
      </c>
      <c r="L1764" s="35">
        <f t="shared" si="557"/>
        <v>0.38</v>
      </c>
      <c r="M1764" s="124" cm="1">
        <f t="array" ref="M1764">_xlfn.IFS(BOM!I1764="RM-PACKING","100%",B1764="Reynolds",VLOOKUP(H1764,'Yield &amp; Time'!A:V,22,0),BOM!B1764="Dnata",VLOOKUP(BOM!H1764,'Yield &amp; Time'!A:M,13,0),B1764="NK",VLOOKUP(H1764,'Yield &amp; Time'!A:X,24,0))</f>
        <v>0.86943999999999999</v>
      </c>
      <c r="N1764" s="35">
        <f t="shared" si="575"/>
        <v>0.43706293706293708</v>
      </c>
      <c r="O1764" s="1" t="str">
        <f>VLOOKUP(H1764,'RM Used'!A:E,5,0)</f>
        <v>KG</v>
      </c>
      <c r="P1764" s="11">
        <f>VLOOKUP(H1764,'RM Used'!A:F,6,0)</f>
        <v>1.08</v>
      </c>
      <c r="Q1764" s="11">
        <f t="shared" si="555"/>
        <v>0.47202797202797209</v>
      </c>
      <c r="R1764" s="11">
        <f>IFERROR(IF(B1764="Reynolds",VLOOKUP(H1764,'Yield &amp; Time'!A:U,21,0),VLOOKUP(H1764,'Yield &amp; Time'!A:L,12,0)),0)</f>
        <v>0.91999999999999993</v>
      </c>
      <c r="S1764" s="11">
        <f t="shared" si="558"/>
        <v>0.11833959999999998</v>
      </c>
      <c r="T1764" s="11">
        <f t="shared" si="559"/>
        <v>5.8266666666666658E-3</v>
      </c>
      <c r="U1764" s="11">
        <f>IF(A1763=A1764,0,VLOOKUP(A1764,'Packing Time'!A:F,6,0))</f>
        <v>0</v>
      </c>
      <c r="V1764" s="11">
        <f t="shared" si="576"/>
        <v>0</v>
      </c>
      <c r="W1764" s="11">
        <f t="shared" si="577"/>
        <v>0</v>
      </c>
      <c r="X1764" s="11">
        <f t="shared" si="549"/>
        <v>0.16567543999999995</v>
      </c>
      <c r="Y1764" s="11">
        <f t="shared" si="578"/>
        <v>0.16567543999999995</v>
      </c>
      <c r="Z1764" s="37">
        <v>1</v>
      </c>
      <c r="AA1764" s="36">
        <f t="shared" si="550"/>
        <v>0.43706293706293708</v>
      </c>
      <c r="AB1764" s="36">
        <f t="shared" si="551"/>
        <v>0.47202797202797209</v>
      </c>
      <c r="AC1764" s="11">
        <f t="shared" si="552"/>
        <v>8.1573333333333324E-3</v>
      </c>
      <c r="AD1764" s="36">
        <f t="shared" si="579"/>
        <v>0.16567543999999995</v>
      </c>
      <c r="AE1764" s="36"/>
      <c r="AF1764" s="36">
        <f>IFERROR(VLOOKUP(AE1764,'Chemical Cost'!A:D,4,0),0)</f>
        <v>0</v>
      </c>
      <c r="AG1764" s="114">
        <f t="shared" si="553"/>
        <v>0</v>
      </c>
      <c r="AH1764" s="36">
        <f t="shared" si="580"/>
        <v>0</v>
      </c>
      <c r="AI1764" s="36">
        <f t="shared" si="581"/>
        <v>0.63770341202797209</v>
      </c>
      <c r="AJ1764" s="36">
        <f>IFERROR(VLOOKUP(A1764,'All Products'!A:F,6,0),0)</f>
        <v>0</v>
      </c>
      <c r="AK1764" s="36"/>
      <c r="AL1764" s="23">
        <v>1</v>
      </c>
      <c r="AP1764" s="4">
        <v>1.4</v>
      </c>
      <c r="AR1764">
        <f>_xlfn.XLOOKUP(F1764,'RM Cost'!A:A,'RM Cost'!S:S)</f>
        <v>0</v>
      </c>
      <c r="AS1764" t="str">
        <f>_xlfn.XLOOKUP(A1764,[3]Sheet1!$B:$B,[3]Sheet1!$B:$B)</f>
        <v>243CCS</v>
      </c>
      <c r="AT1764" t="str">
        <f>_xlfn.XLOOKUP(H1764,'Yield &amp; Time'!A:A,'Yield &amp; Time'!O:O)</f>
        <v>Yes</v>
      </c>
    </row>
    <row r="1765" spans="1:46" x14ac:dyDescent="0.25">
      <c r="A1765" s="1" t="s">
        <v>4728</v>
      </c>
      <c r="B1765" s="2" t="s">
        <v>552</v>
      </c>
      <c r="C1765" s="1" t="s">
        <v>4711</v>
      </c>
      <c r="D1765" s="1" t="s">
        <v>554</v>
      </c>
      <c r="E1765" s="2">
        <v>2</v>
      </c>
      <c r="F1765" s="1" t="str">
        <f>VLOOKUP(H1765,'RM Used'!A:B,2,0)</f>
        <v>3587CS</v>
      </c>
      <c r="G1765" s="1" t="str">
        <f>IFERROR(VLOOKUP(F1765,'RM Cost'!A:B,2,0),"")</f>
        <v>RM - CHILLIES JALAPENO GREEN  X2KG</v>
      </c>
      <c r="H1765" s="101" t="s">
        <v>4714</v>
      </c>
      <c r="I1765" s="1" t="str">
        <f>VLOOKUP(F1765,'RM Used'!B:D,3,0)</f>
        <v>RM-FOOD</v>
      </c>
      <c r="J1765" s="66">
        <v>0.04</v>
      </c>
      <c r="K1765" s="35">
        <f t="shared" si="574"/>
        <v>0.08</v>
      </c>
      <c r="L1765" s="35">
        <f t="shared" si="557"/>
        <v>0.08</v>
      </c>
      <c r="M1765" s="124" cm="1">
        <f t="array" ref="M1765">_xlfn.IFS(BOM!I1765="RM-PACKING","100%",B1765="Reynolds",VLOOKUP(H1765,'Yield &amp; Time'!A:V,22,0),BOM!B1765="Dnata",VLOOKUP(BOM!H1765,'Yield &amp; Time'!A:M,13,0),B1765="NK",VLOOKUP(H1765,'Yield &amp; Time'!A:X,24,0))</f>
        <v>0.91</v>
      </c>
      <c r="N1765" s="35">
        <f t="shared" si="575"/>
        <v>8.7912087912087905E-2</v>
      </c>
      <c r="O1765" s="1" t="str">
        <f>VLOOKUP(H1765,'RM Used'!A:E,5,0)</f>
        <v>KG</v>
      </c>
      <c r="P1765" s="11">
        <f>VLOOKUP(H1765,'RM Used'!A:F,6,0)</f>
        <v>3.9</v>
      </c>
      <c r="Q1765" s="11">
        <f t="shared" si="555"/>
        <v>0.3428571428571428</v>
      </c>
      <c r="R1765" s="11">
        <f>IFERROR(IF(B1765="Reynolds",VLOOKUP(H1765,'Yield &amp; Time'!A:U,21,0),VLOOKUP(H1765,'Yield &amp; Time'!A:L,12,0)),0)</f>
        <v>1.6</v>
      </c>
      <c r="S1765" s="11">
        <f t="shared" si="558"/>
        <v>4.3327999999999998E-2</v>
      </c>
      <c r="T1765" s="11">
        <f t="shared" si="559"/>
        <v>2.1333333333333334E-3</v>
      </c>
      <c r="U1765" s="11">
        <f>IF(A1764=A1765,0,VLOOKUP(A1765,'Packing Time'!A:F,6,0))</f>
        <v>0</v>
      </c>
      <c r="V1765" s="11">
        <f t="shared" si="576"/>
        <v>0</v>
      </c>
      <c r="W1765" s="11">
        <f t="shared" si="577"/>
        <v>0</v>
      </c>
      <c r="X1765" s="11">
        <f t="shared" si="549"/>
        <v>6.0659199999999996E-2</v>
      </c>
      <c r="Y1765" s="11">
        <f t="shared" si="578"/>
        <v>6.0659199999999996E-2</v>
      </c>
      <c r="Z1765" s="37">
        <v>1</v>
      </c>
      <c r="AA1765" s="36">
        <f t="shared" si="550"/>
        <v>8.7912087912087905E-2</v>
      </c>
      <c r="AB1765" s="36">
        <f t="shared" si="551"/>
        <v>0.3428571428571428</v>
      </c>
      <c r="AC1765" s="11">
        <f t="shared" si="552"/>
        <v>2.9866666666666665E-3</v>
      </c>
      <c r="AD1765" s="36">
        <f t="shared" si="579"/>
        <v>6.0659199999999996E-2</v>
      </c>
      <c r="AE1765" s="36"/>
      <c r="AF1765" s="36">
        <f>IFERROR(VLOOKUP(AE1765,'Chemical Cost'!A:D,4,0),0)</f>
        <v>0</v>
      </c>
      <c r="AG1765" s="114">
        <f t="shared" si="553"/>
        <v>0</v>
      </c>
      <c r="AH1765" s="36">
        <f t="shared" si="580"/>
        <v>0</v>
      </c>
      <c r="AI1765" s="36">
        <f t="shared" si="581"/>
        <v>0.40351634285714277</v>
      </c>
      <c r="AJ1765" s="36">
        <f>IFERROR(VLOOKUP(A1765,'All Products'!A:F,6,0),0)</f>
        <v>0</v>
      </c>
      <c r="AK1765" s="36"/>
      <c r="AL1765" s="23">
        <v>1</v>
      </c>
      <c r="AP1765" s="4">
        <v>1.4</v>
      </c>
      <c r="AR1765">
        <f>_xlfn.XLOOKUP(F1765,'RM Cost'!A:A,'RM Cost'!S:S)</f>
        <v>0</v>
      </c>
      <c r="AS1765" t="str">
        <f>_xlfn.XLOOKUP(A1765,[3]Sheet1!$B:$B,[3]Sheet1!$B:$B)</f>
        <v>243CCS</v>
      </c>
      <c r="AT1765">
        <f>_xlfn.XLOOKUP(H1765,'Yield &amp; Time'!A:A,'Yield &amp; Time'!F:F)</f>
        <v>0</v>
      </c>
    </row>
    <row r="1766" spans="1:46" x14ac:dyDescent="0.25">
      <c r="A1766" s="1" t="s">
        <v>4728</v>
      </c>
      <c r="B1766" s="2" t="s">
        <v>552</v>
      </c>
      <c r="C1766" s="1" t="s">
        <v>4711</v>
      </c>
      <c r="D1766" s="1" t="s">
        <v>554</v>
      </c>
      <c r="E1766" s="2">
        <v>2</v>
      </c>
      <c r="F1766" s="1" t="str">
        <f>VLOOKUP(H1766,'RM Used'!A:B,2,0)</f>
        <v>P0008</v>
      </c>
      <c r="G1766" s="1" t="str">
        <f>IFERROR(VLOOKUP(F1766,'RM Cost'!A:B,2,0),"")</f>
        <v>PALE BLUE BAG 470X750MM</v>
      </c>
      <c r="H1766" s="1" t="s">
        <v>1323</v>
      </c>
      <c r="I1766" s="1" t="str">
        <f>VLOOKUP(F1766,'RM Used'!B:D,3,0)</f>
        <v>RM-PACKING</v>
      </c>
      <c r="J1766" s="66">
        <v>1</v>
      </c>
      <c r="K1766" s="35" t="str">
        <f t="shared" si="574"/>
        <v/>
      </c>
      <c r="L1766" s="35">
        <f t="shared" si="557"/>
        <v>0</v>
      </c>
      <c r="M1766" s="124" t="str" cm="1">
        <f t="array" ref="M1766">_xlfn.IFS(BOM!I1766="RM-PACKING","100%",B1766="Reynolds",VLOOKUP(H1766,'Yield &amp; Time'!A:V,22,0),BOM!B1766="Dnata",VLOOKUP(BOM!H1766,'Yield &amp; Time'!A:M,13,0),B1766="NK",VLOOKUP(H1766,'Yield &amp; Time'!A:X,24,0))</f>
        <v>100%</v>
      </c>
      <c r="N1766" s="35">
        <v>2</v>
      </c>
      <c r="O1766" s="1" t="str">
        <f>VLOOKUP(H1766,'RM Used'!A:E,5,0)</f>
        <v>Count</v>
      </c>
      <c r="P1766" s="11">
        <f>VLOOKUP(H1766,'RM Used'!A:F,6,0)</f>
        <v>0.14000000000000001</v>
      </c>
      <c r="Q1766" s="11">
        <f t="shared" si="555"/>
        <v>0.28000000000000003</v>
      </c>
      <c r="R1766" s="11">
        <f>IFERROR(IF(B1766="Reynolds",VLOOKUP(H1766,'Yield &amp; Time'!A:U,21,0),VLOOKUP(H1766,'Yield &amp; Time'!A:L,12,0)),0)</f>
        <v>0</v>
      </c>
      <c r="S1766" s="11">
        <f t="shared" si="558"/>
        <v>0</v>
      </c>
      <c r="T1766" s="11">
        <f t="shared" si="559"/>
        <v>0</v>
      </c>
      <c r="U1766" s="11">
        <f>IF(A1765=A1766,0,VLOOKUP(A1766,'Packing Time'!A:F,6,0))</f>
        <v>0</v>
      </c>
      <c r="V1766" s="11">
        <f t="shared" si="576"/>
        <v>0</v>
      </c>
      <c r="W1766" s="11">
        <f t="shared" si="577"/>
        <v>0</v>
      </c>
      <c r="X1766" s="11">
        <f t="shared" si="549"/>
        <v>0</v>
      </c>
      <c r="Y1766" s="11">
        <f t="shared" si="578"/>
        <v>0</v>
      </c>
      <c r="Z1766" s="37">
        <v>1</v>
      </c>
      <c r="AA1766" s="36">
        <f t="shared" si="550"/>
        <v>2</v>
      </c>
      <c r="AB1766" s="36">
        <f t="shared" si="551"/>
        <v>0.28000000000000003</v>
      </c>
      <c r="AC1766" s="11">
        <f t="shared" si="552"/>
        <v>0</v>
      </c>
      <c r="AD1766" s="36">
        <f t="shared" si="579"/>
        <v>0</v>
      </c>
      <c r="AE1766" s="36"/>
      <c r="AF1766" s="36">
        <f>IFERROR(VLOOKUP(AE1766,'Chemical Cost'!A:D,4,0),0)</f>
        <v>0</v>
      </c>
      <c r="AG1766" s="114">
        <f t="shared" si="553"/>
        <v>0</v>
      </c>
      <c r="AH1766" s="36">
        <f t="shared" si="580"/>
        <v>0</v>
      </c>
      <c r="AI1766" s="36">
        <f t="shared" si="581"/>
        <v>0.28000000000000003</v>
      </c>
      <c r="AJ1766" s="36">
        <f>IFERROR(VLOOKUP(A1766,'All Products'!A:F,6,0),0)</f>
        <v>0</v>
      </c>
      <c r="AK1766" s="36"/>
      <c r="AL1766" s="23">
        <v>1</v>
      </c>
      <c r="AP1766" s="4">
        <v>1.4</v>
      </c>
      <c r="AR1766">
        <f>_xlfn.XLOOKUP(F1766,'RM Cost'!A:A,'RM Cost'!S:S)</f>
        <v>0</v>
      </c>
      <c r="AS1766" t="str">
        <f>_xlfn.XLOOKUP(A1766,[3]Sheet1!$B:$B,[3]Sheet1!$B:$B)</f>
        <v>243CCS</v>
      </c>
      <c r="AT1766" t="e">
        <f>_xlfn.XLOOKUP(H1766,'Yield &amp; Time'!A:A,'Yield &amp; Time'!F:F)</f>
        <v>#N/A</v>
      </c>
    </row>
    <row r="1767" spans="1:46" x14ac:dyDescent="0.25">
      <c r="A1767" s="1" t="s">
        <v>4728</v>
      </c>
      <c r="B1767" s="2" t="s">
        <v>552</v>
      </c>
      <c r="C1767" s="1" t="s">
        <v>4711</v>
      </c>
      <c r="D1767" s="1" t="s">
        <v>554</v>
      </c>
      <c r="E1767" s="2">
        <v>2</v>
      </c>
      <c r="F1767" s="1" t="str">
        <f>VLOOKUP(H1767,'RM Used'!A:B,2,0)</f>
        <v>P0016</v>
      </c>
      <c r="G1767" s="1" t="str">
        <f>IFERROR(VLOOKUP(F1767,'RM Cost'!A:B,2,0),"")</f>
        <v>REY 40 30 BOX</v>
      </c>
      <c r="H1767" s="2" t="s">
        <v>1332</v>
      </c>
      <c r="I1767" s="1" t="str">
        <f>VLOOKUP(F1767,'RM Used'!B:D,3,0)</f>
        <v>RM-PACKING</v>
      </c>
      <c r="J1767" s="66">
        <v>1</v>
      </c>
      <c r="K1767" s="35" t="str">
        <f t="shared" si="574"/>
        <v/>
      </c>
      <c r="L1767" s="35">
        <f t="shared" si="557"/>
        <v>0</v>
      </c>
      <c r="M1767" s="124" t="str" cm="1">
        <f t="array" ref="M1767">_xlfn.IFS(BOM!I1767="RM-PACKING","100%",B1767="Reynolds",VLOOKUP(H1767,'Yield &amp; Time'!A:V,22,0),BOM!B1767="Dnata",VLOOKUP(BOM!H1767,'Yield &amp; Time'!A:M,13,0),B1767="NK",VLOOKUP(H1767,'Yield &amp; Time'!A:X,24,0))</f>
        <v>100%</v>
      </c>
      <c r="N1767" s="35">
        <f t="shared" si="575"/>
        <v>1</v>
      </c>
      <c r="O1767" s="1" t="str">
        <f>VLOOKUP(H1767,'RM Used'!A:E,5,0)</f>
        <v>Count</v>
      </c>
      <c r="P1767" s="11">
        <f>VLOOKUP(H1767,'RM Used'!A:F,6,0)</f>
        <v>0.28000000000000003</v>
      </c>
      <c r="Q1767" s="11">
        <f t="shared" si="555"/>
        <v>0.28000000000000003</v>
      </c>
      <c r="R1767" s="11">
        <f>IFERROR(IF(B1767="Reynolds",VLOOKUP(H1767,'Yield &amp; Time'!A:U,21,0),VLOOKUP(H1767,'Yield &amp; Time'!A:L,12,0)),0)</f>
        <v>0</v>
      </c>
      <c r="S1767" s="11">
        <f t="shared" si="558"/>
        <v>0</v>
      </c>
      <c r="T1767" s="11">
        <f t="shared" si="559"/>
        <v>0</v>
      </c>
      <c r="U1767" s="11">
        <f>IF(A1766=A1767,0,VLOOKUP(A1767,'Packing Time'!A:F,6,0))</f>
        <v>0</v>
      </c>
      <c r="V1767" s="11">
        <f t="shared" si="576"/>
        <v>0</v>
      </c>
      <c r="W1767" s="11">
        <f t="shared" si="577"/>
        <v>0</v>
      </c>
      <c r="X1767" s="11">
        <f t="shared" si="549"/>
        <v>0</v>
      </c>
      <c r="Y1767" s="11">
        <f t="shared" si="578"/>
        <v>0</v>
      </c>
      <c r="Z1767" s="37">
        <v>1</v>
      </c>
      <c r="AA1767" s="36">
        <f t="shared" si="550"/>
        <v>1</v>
      </c>
      <c r="AB1767" s="36">
        <f t="shared" si="551"/>
        <v>0.28000000000000003</v>
      </c>
      <c r="AC1767" s="11">
        <f t="shared" si="552"/>
        <v>0</v>
      </c>
      <c r="AD1767" s="36">
        <f t="shared" si="579"/>
        <v>0</v>
      </c>
      <c r="AE1767" s="36"/>
      <c r="AF1767" s="36">
        <f>IFERROR(VLOOKUP(AE1767,'Chemical Cost'!A:D,4,0),0)</f>
        <v>0</v>
      </c>
      <c r="AG1767" s="114">
        <f t="shared" si="553"/>
        <v>0</v>
      </c>
      <c r="AH1767" s="36">
        <f t="shared" si="580"/>
        <v>0</v>
      </c>
      <c r="AI1767" s="36">
        <f t="shared" si="581"/>
        <v>0.28000000000000003</v>
      </c>
      <c r="AJ1767" s="36">
        <f>IFERROR(VLOOKUP(A1767,'All Products'!A:F,6,0),0)</f>
        <v>0</v>
      </c>
      <c r="AK1767" s="36"/>
      <c r="AL1767" s="23">
        <v>1</v>
      </c>
      <c r="AP1767" s="4">
        <v>1.4</v>
      </c>
      <c r="AR1767">
        <f>_xlfn.XLOOKUP(F1767,'RM Cost'!A:A,'RM Cost'!S:S)</f>
        <v>0</v>
      </c>
      <c r="AS1767" t="str">
        <f>_xlfn.XLOOKUP(A1767,[3]Sheet1!$B:$B,[3]Sheet1!$B:$B)</f>
        <v>243CCS</v>
      </c>
      <c r="AT1767" t="e">
        <f>_xlfn.XLOOKUP(H1767,'Yield &amp; Time'!A:A,'Yield &amp; Time'!F:F)</f>
        <v>#N/A</v>
      </c>
    </row>
    <row r="1768" spans="1:46" x14ac:dyDescent="0.25">
      <c r="A1768" s="1" t="s">
        <v>4712</v>
      </c>
      <c r="B1768" s="2" t="s">
        <v>552</v>
      </c>
      <c r="C1768" s="1" t="s">
        <v>4713</v>
      </c>
      <c r="D1768" s="1" t="s">
        <v>554</v>
      </c>
      <c r="E1768" s="2">
        <v>1</v>
      </c>
      <c r="F1768" s="1" t="str">
        <f>VLOOKUP(H1768,'RM Used'!A:B,2,0)</f>
        <v>024BCS</v>
      </c>
      <c r="G1768" s="1" t="str">
        <f>IFERROR(VLOOKUP(F1768,'RM Cost'!A:B,2,0),"")</f>
        <v>RM - MUSHROOM BUTTON 30-40M 3KG</v>
      </c>
      <c r="H1768" s="2" t="s">
        <v>4716</v>
      </c>
      <c r="I1768" s="1" t="str">
        <f>VLOOKUP(F1768,'RM Used'!B:D,3,0)</f>
        <v>RM-FOOD</v>
      </c>
      <c r="J1768" s="126">
        <v>0.5</v>
      </c>
      <c r="K1768" s="35">
        <f t="shared" ref="K1768:K1777" si="582">IF(I1768="RM-FOOD",J1768*E1768,"")</f>
        <v>0.5</v>
      </c>
      <c r="L1768" s="35">
        <f t="shared" si="557"/>
        <v>0.5</v>
      </c>
      <c r="M1768" s="124" cm="1">
        <f t="array" ref="M1768">_xlfn.IFS(BOM!I1768="RM-PACKING","100%",B1768="Reynolds",VLOOKUP(H1768,'Yield &amp; Time'!A:V,22,0),BOM!B1768="Dnata",VLOOKUP(BOM!H1768,'Yield &amp; Time'!A:M,13,0),B1768="NK",VLOOKUP(H1768,'Yield &amp; Time'!A:X,24,0))</f>
        <v>0.95</v>
      </c>
      <c r="N1768" s="35">
        <f t="shared" ref="N1768:N1777" si="583">IFERROR(IF(I1768="RM-FOOD",(E1768*J1768)/M1768,1),0)</f>
        <v>0.52631578947368418</v>
      </c>
      <c r="O1768" s="1" t="str">
        <f>VLOOKUP(H1768,'RM Used'!A:E,5,0)</f>
        <v>KG</v>
      </c>
      <c r="P1768" s="11">
        <f>VLOOKUP(H1768,'RM Used'!A:F,6,0)</f>
        <v>1.85</v>
      </c>
      <c r="Q1768" s="11">
        <f t="shared" si="555"/>
        <v>0.97368421052631582</v>
      </c>
      <c r="R1768" s="11">
        <f>IFERROR(IF(B1768="Reynolds",VLOOKUP(H1768,'Yield &amp; Time'!A:U,21,0),VLOOKUP(H1768,'Yield &amp; Time'!A:L,12,0)),0)</f>
        <v>0.83</v>
      </c>
      <c r="S1768" s="11">
        <f t="shared" si="558"/>
        <v>0.14047749999999998</v>
      </c>
      <c r="T1768" s="11">
        <f t="shared" si="559"/>
        <v>6.9166666666666664E-3</v>
      </c>
      <c r="U1768" s="11">
        <f>IF(A1767=A1768,0,VLOOKUP(A1768,'Packing Time'!A:F,6,0))</f>
        <v>0.64166666666666661</v>
      </c>
      <c r="V1768" s="11">
        <f t="shared" ref="V1768:V1777" si="584">U1768*AO$1</f>
        <v>0.21720416666666661</v>
      </c>
      <c r="W1768" s="11">
        <f t="shared" ref="W1768:W1777" si="585">(U1768*Z1768)/60</f>
        <v>1.0694444444444444E-2</v>
      </c>
      <c r="X1768" s="11">
        <f t="shared" si="549"/>
        <v>0.50075433333333319</v>
      </c>
      <c r="Y1768" s="11">
        <f t="shared" ref="Y1768:Y1777" si="586">X1768*Z1768</f>
        <v>0.50075433333333319</v>
      </c>
      <c r="Z1768" s="37">
        <v>1</v>
      </c>
      <c r="AA1768" s="36">
        <f t="shared" si="550"/>
        <v>0.52631578947368418</v>
      </c>
      <c r="AB1768" s="36">
        <f t="shared" si="551"/>
        <v>0.97368421052631582</v>
      </c>
      <c r="AC1768" s="11">
        <f t="shared" si="552"/>
        <v>2.4655555555555556E-2</v>
      </c>
      <c r="AD1768" s="36">
        <f t="shared" ref="AD1768:AD1777" si="587">AC1768*60*AO$1</f>
        <v>0.5007543333333333</v>
      </c>
      <c r="AE1768" s="36"/>
      <c r="AF1768" s="36">
        <f>IFERROR(VLOOKUP(AE1768,'Chemical Cost'!A:D,4,0),0)</f>
        <v>0</v>
      </c>
      <c r="AG1768" s="114">
        <f t="shared" si="553"/>
        <v>0</v>
      </c>
      <c r="AH1768" s="36">
        <f t="shared" ref="AH1768:AH1777" si="588">AF1768*AA1768/3</f>
        <v>0</v>
      </c>
      <c r="AI1768" s="36">
        <f t="shared" ref="AI1768:AI1777" si="589">IFERROR((Q1768*Z1768)+(Z1768*X1768)+AH1768,0)</f>
        <v>1.474438543859649</v>
      </c>
      <c r="AJ1768" s="36">
        <f>IFERROR(VLOOKUP(A1768,'All Products'!A:F,6,0),0)</f>
        <v>0</v>
      </c>
      <c r="AK1768" s="36"/>
      <c r="AL1768" s="23">
        <v>1</v>
      </c>
      <c r="AP1768" s="4">
        <v>1.4</v>
      </c>
      <c r="AR1768">
        <f>_xlfn.XLOOKUP(F1768,'RM Cost'!A:A,'RM Cost'!S:S)</f>
        <v>0</v>
      </c>
      <c r="AS1768" t="str">
        <f>_xlfn.XLOOKUP(A1768,[3]Sheet1!$B:$B,[3]Sheet1!$B:$B)</f>
        <v>241CCS</v>
      </c>
      <c r="AT1768">
        <f>_xlfn.XLOOKUP(H1768,'Yield &amp; Time'!A:A,'Yield &amp; Time'!F:F)</f>
        <v>0</v>
      </c>
    </row>
    <row r="1769" spans="1:46" x14ac:dyDescent="0.25">
      <c r="A1769" s="1" t="s">
        <v>4712</v>
      </c>
      <c r="B1769" s="2" t="s">
        <v>552</v>
      </c>
      <c r="C1769" s="1" t="s">
        <v>4713</v>
      </c>
      <c r="D1769" s="1" t="s">
        <v>554</v>
      </c>
      <c r="E1769" s="2">
        <v>1</v>
      </c>
      <c r="F1769" s="1" t="str">
        <f>VLOOKUP(H1769,'RM Used'!A:B,2,0)</f>
        <v>025BCS</v>
      </c>
      <c r="G1769" s="1" t="str">
        <f>IFERROR(VLOOKUP(F1769,'RM Cost'!A:B,2,0),"")</f>
        <v>RM - MUSHROOM CHESTNUT 35-40M 3KG</v>
      </c>
      <c r="H1769" t="s">
        <v>4717</v>
      </c>
      <c r="I1769" s="1" t="str">
        <f>VLOOKUP(F1769,'RM Used'!B:D,3,0)</f>
        <v>RM-FOOD</v>
      </c>
      <c r="J1769" s="126">
        <v>0.5</v>
      </c>
      <c r="K1769" s="35">
        <f t="shared" si="582"/>
        <v>0.5</v>
      </c>
      <c r="L1769" s="35">
        <f t="shared" si="557"/>
        <v>0.5</v>
      </c>
      <c r="M1769" s="124" cm="1">
        <f t="array" ref="M1769">_xlfn.IFS(BOM!I1769="RM-PACKING","100%",B1769="Reynolds",VLOOKUP(H1769,'Yield &amp; Time'!A:V,22,0),BOM!B1769="Dnata",VLOOKUP(BOM!H1769,'Yield &amp; Time'!A:M,13,0),B1769="NK",VLOOKUP(H1769,'Yield &amp; Time'!A:X,24,0))</f>
        <v>0.94</v>
      </c>
      <c r="N1769" s="35">
        <f t="shared" si="583"/>
        <v>0.53191489361702127</v>
      </c>
      <c r="O1769" s="1" t="str">
        <f>VLOOKUP(H1769,'RM Used'!A:E,5,0)</f>
        <v>KG</v>
      </c>
      <c r="P1769" s="11">
        <f>VLOOKUP(H1769,'RM Used'!A:F,6,0)</f>
        <v>2</v>
      </c>
      <c r="Q1769" s="11">
        <f t="shared" si="555"/>
        <v>1.0638297872340425</v>
      </c>
      <c r="R1769" s="11">
        <f>IFERROR(IF(B1769="Reynolds",VLOOKUP(H1769,'Yield &amp; Time'!A:U,21,0),VLOOKUP(H1769,'Yield &amp; Time'!A:L,12,0)),0)</f>
        <v>0.71</v>
      </c>
      <c r="S1769" s="11">
        <f t="shared" si="558"/>
        <v>0.12016749999999998</v>
      </c>
      <c r="T1769" s="11">
        <f t="shared" si="559"/>
        <v>5.9166666666666664E-3</v>
      </c>
      <c r="U1769" s="11">
        <f>IF(A1768=A1769,0,VLOOKUP(A1769,'Packing Time'!A:F,6,0))</f>
        <v>0</v>
      </c>
      <c r="V1769" s="11">
        <f t="shared" si="584"/>
        <v>0</v>
      </c>
      <c r="W1769" s="11">
        <f t="shared" si="585"/>
        <v>0</v>
      </c>
      <c r="X1769" s="11">
        <f t="shared" si="549"/>
        <v>0.16823449999999995</v>
      </c>
      <c r="Y1769" s="11">
        <f t="shared" si="586"/>
        <v>0.16823449999999995</v>
      </c>
      <c r="Z1769" s="37">
        <v>1</v>
      </c>
      <c r="AA1769" s="36">
        <f t="shared" si="550"/>
        <v>0.53191489361702127</v>
      </c>
      <c r="AB1769" s="36">
        <f t="shared" si="551"/>
        <v>1.0638297872340425</v>
      </c>
      <c r="AC1769" s="11">
        <f t="shared" si="552"/>
        <v>8.2833333333333318E-3</v>
      </c>
      <c r="AD1769" s="36">
        <f t="shared" si="587"/>
        <v>0.16823449999999995</v>
      </c>
      <c r="AE1769" s="36"/>
      <c r="AF1769" s="36">
        <f>IFERROR(VLOOKUP(AE1769,'Chemical Cost'!A:D,4,0),0)</f>
        <v>0</v>
      </c>
      <c r="AG1769" s="114">
        <f t="shared" si="553"/>
        <v>0</v>
      </c>
      <c r="AH1769" s="36">
        <f t="shared" si="588"/>
        <v>0</v>
      </c>
      <c r="AI1769" s="36">
        <f t="shared" si="589"/>
        <v>1.2320642872340426</v>
      </c>
      <c r="AJ1769" s="36">
        <f>IFERROR(VLOOKUP(A1769,'All Products'!A:F,6,0),0)</f>
        <v>0</v>
      </c>
      <c r="AK1769" s="36"/>
      <c r="AL1769" s="23">
        <v>1</v>
      </c>
      <c r="AP1769" s="4">
        <v>1.4</v>
      </c>
      <c r="AR1769">
        <f>_xlfn.XLOOKUP(F1769,'RM Cost'!A:A,'RM Cost'!S:S)</f>
        <v>0</v>
      </c>
      <c r="AS1769" t="str">
        <f>_xlfn.XLOOKUP(A1769,[3]Sheet1!$B:$B,[3]Sheet1!$B:$B)</f>
        <v>241CCS</v>
      </c>
      <c r="AT1769">
        <f>_xlfn.XLOOKUP(H1769,'Yield &amp; Time'!A:A,'Yield &amp; Time'!F:F)</f>
        <v>0</v>
      </c>
    </row>
    <row r="1770" spans="1:46" x14ac:dyDescent="0.25">
      <c r="A1770" s="1" t="s">
        <v>4712</v>
      </c>
      <c r="B1770" s="2" t="s">
        <v>552</v>
      </c>
      <c r="C1770" s="1" t="s">
        <v>4713</v>
      </c>
      <c r="D1770" s="1" t="s">
        <v>554</v>
      </c>
      <c r="E1770" s="2">
        <v>1</v>
      </c>
      <c r="F1770" s="1" t="str">
        <f>VLOOKUP(H1770,'RM Used'!A:B,2,0)</f>
        <v>P0008</v>
      </c>
      <c r="G1770" s="1" t="str">
        <f>IFERROR(VLOOKUP(F1770,'RM Cost'!A:B,2,0),"")</f>
        <v>PALE BLUE BAG 470X750MM</v>
      </c>
      <c r="H1770" s="1" t="s">
        <v>1323</v>
      </c>
      <c r="I1770" s="1" t="str">
        <f>VLOOKUP(F1770,'RM Used'!B:D,3,0)</f>
        <v>RM-PACKING</v>
      </c>
      <c r="J1770" s="66">
        <v>1</v>
      </c>
      <c r="K1770" s="35" t="str">
        <f t="shared" si="582"/>
        <v/>
      </c>
      <c r="L1770" s="35">
        <f t="shared" si="557"/>
        <v>0</v>
      </c>
      <c r="M1770" s="124" t="str" cm="1">
        <f t="array" ref="M1770">_xlfn.IFS(BOM!I1770="RM-PACKING","100%",B1770="Reynolds",VLOOKUP(H1770,'Yield &amp; Time'!A:V,22,0),BOM!B1770="Dnata",VLOOKUP(BOM!H1770,'Yield &amp; Time'!A:M,13,0),B1770="NK",VLOOKUP(H1770,'Yield &amp; Time'!A:X,24,0))</f>
        <v>100%</v>
      </c>
      <c r="N1770" s="35">
        <f t="shared" si="583"/>
        <v>1</v>
      </c>
      <c r="O1770" s="1" t="str">
        <f>VLOOKUP(H1770,'RM Used'!A:E,5,0)</f>
        <v>Count</v>
      </c>
      <c r="P1770" s="11">
        <f>VLOOKUP(H1770,'RM Used'!A:F,6,0)</f>
        <v>0.14000000000000001</v>
      </c>
      <c r="Q1770" s="11">
        <f t="shared" si="555"/>
        <v>0.14000000000000001</v>
      </c>
      <c r="R1770" s="11">
        <f>IFERROR(IF(B1770="Reynolds",VLOOKUP(H1770,'Yield &amp; Time'!A:U,21,0),VLOOKUP(H1770,'Yield &amp; Time'!A:L,12,0)),0)</f>
        <v>0</v>
      </c>
      <c r="S1770" s="11">
        <f t="shared" si="558"/>
        <v>0</v>
      </c>
      <c r="T1770" s="11">
        <f t="shared" si="559"/>
        <v>0</v>
      </c>
      <c r="U1770" s="11">
        <f>IF(A1769=A1770,0,VLOOKUP(A1770,'Packing Time'!A:F,6,0))</f>
        <v>0</v>
      </c>
      <c r="V1770" s="11">
        <f t="shared" si="584"/>
        <v>0</v>
      </c>
      <c r="W1770" s="11">
        <f t="shared" si="585"/>
        <v>0</v>
      </c>
      <c r="X1770" s="11">
        <f t="shared" si="549"/>
        <v>0</v>
      </c>
      <c r="Y1770" s="11">
        <f t="shared" si="586"/>
        <v>0</v>
      </c>
      <c r="Z1770" s="37">
        <v>1</v>
      </c>
      <c r="AA1770" s="36">
        <f t="shared" si="550"/>
        <v>1</v>
      </c>
      <c r="AB1770" s="36">
        <f t="shared" si="551"/>
        <v>0.14000000000000001</v>
      </c>
      <c r="AC1770" s="11">
        <f t="shared" si="552"/>
        <v>0</v>
      </c>
      <c r="AD1770" s="36">
        <f t="shared" si="587"/>
        <v>0</v>
      </c>
      <c r="AE1770" s="36"/>
      <c r="AF1770" s="36">
        <f>IFERROR(VLOOKUP(AE1770,'Chemical Cost'!A:D,4,0),0)</f>
        <v>0</v>
      </c>
      <c r="AG1770" s="114">
        <f t="shared" si="553"/>
        <v>0</v>
      </c>
      <c r="AH1770" s="36">
        <f t="shared" si="588"/>
        <v>0</v>
      </c>
      <c r="AI1770" s="36">
        <f t="shared" si="589"/>
        <v>0.14000000000000001</v>
      </c>
      <c r="AJ1770" s="36">
        <f>IFERROR(VLOOKUP(A1770,'All Products'!A:F,6,0),0)</f>
        <v>0</v>
      </c>
      <c r="AK1770" s="36"/>
      <c r="AL1770" s="23">
        <v>1</v>
      </c>
      <c r="AP1770" s="4">
        <v>1.4</v>
      </c>
      <c r="AR1770">
        <f>_xlfn.XLOOKUP(F1770,'RM Cost'!A:A,'RM Cost'!S:S)</f>
        <v>0</v>
      </c>
      <c r="AS1770" t="str">
        <f>_xlfn.XLOOKUP(A1770,[3]Sheet1!$B:$B,[3]Sheet1!$B:$B)</f>
        <v>241CCS</v>
      </c>
      <c r="AT1770" t="e">
        <f>_xlfn.XLOOKUP(H1770,'Yield &amp; Time'!A:A,'Yield &amp; Time'!F:F)</f>
        <v>#N/A</v>
      </c>
    </row>
    <row r="1771" spans="1:46" x14ac:dyDescent="0.25">
      <c r="A1771" s="1" t="s">
        <v>4712</v>
      </c>
      <c r="B1771" s="2" t="s">
        <v>552</v>
      </c>
      <c r="C1771" s="1" t="s">
        <v>4713</v>
      </c>
      <c r="D1771" s="1" t="s">
        <v>554</v>
      </c>
      <c r="E1771" s="2">
        <v>1</v>
      </c>
      <c r="F1771" s="1" t="str">
        <f>VLOOKUP(H1771,'RM Used'!A:B,2,0)</f>
        <v>P0016</v>
      </c>
      <c r="G1771" s="1" t="str">
        <f>IFERROR(VLOOKUP(F1771,'RM Cost'!A:B,2,0),"")</f>
        <v>REY 40 30 BOX</v>
      </c>
      <c r="H1771" s="2" t="s">
        <v>1332</v>
      </c>
      <c r="I1771" s="1" t="str">
        <f>VLOOKUP(F1771,'RM Used'!B:D,3,0)</f>
        <v>RM-PACKING</v>
      </c>
      <c r="J1771" s="66">
        <v>1</v>
      </c>
      <c r="K1771" s="35" t="str">
        <f t="shared" si="582"/>
        <v/>
      </c>
      <c r="L1771" s="35">
        <f t="shared" si="557"/>
        <v>0</v>
      </c>
      <c r="M1771" s="124" t="str" cm="1">
        <f t="array" ref="M1771">_xlfn.IFS(BOM!I1771="RM-PACKING","100%",B1771="Reynolds",VLOOKUP(H1771,'Yield &amp; Time'!A:V,22,0),BOM!B1771="Dnata",VLOOKUP(BOM!H1771,'Yield &amp; Time'!A:M,13,0),B1771="NK",VLOOKUP(H1771,'Yield &amp; Time'!A:X,24,0))</f>
        <v>100%</v>
      </c>
      <c r="N1771" s="35">
        <f t="shared" si="583"/>
        <v>1</v>
      </c>
      <c r="O1771" s="1" t="str">
        <f>VLOOKUP(H1771,'RM Used'!A:E,5,0)</f>
        <v>Count</v>
      </c>
      <c r="P1771" s="11">
        <f>VLOOKUP(H1771,'RM Used'!A:F,6,0)</f>
        <v>0.28000000000000003</v>
      </c>
      <c r="Q1771" s="11">
        <f t="shared" si="555"/>
        <v>0.28000000000000003</v>
      </c>
      <c r="R1771" s="11">
        <f>IFERROR(IF(B1771="Reynolds",VLOOKUP(H1771,'Yield &amp; Time'!A:U,21,0),VLOOKUP(H1771,'Yield &amp; Time'!A:L,12,0)),0)</f>
        <v>0</v>
      </c>
      <c r="S1771" s="11">
        <f t="shared" si="558"/>
        <v>0</v>
      </c>
      <c r="T1771" s="11">
        <f t="shared" si="559"/>
        <v>0</v>
      </c>
      <c r="U1771" s="11">
        <f>IF(A1770=A1771,0,VLOOKUP(A1771,'Packing Time'!A:F,6,0))</f>
        <v>0</v>
      </c>
      <c r="V1771" s="11">
        <f t="shared" si="584"/>
        <v>0</v>
      </c>
      <c r="W1771" s="11">
        <f t="shared" si="585"/>
        <v>0</v>
      </c>
      <c r="X1771" s="11">
        <f t="shared" si="549"/>
        <v>0</v>
      </c>
      <c r="Y1771" s="11">
        <f t="shared" si="586"/>
        <v>0</v>
      </c>
      <c r="Z1771" s="37">
        <v>1</v>
      </c>
      <c r="AA1771" s="36">
        <f t="shared" si="550"/>
        <v>1</v>
      </c>
      <c r="AB1771" s="36">
        <f t="shared" si="551"/>
        <v>0.28000000000000003</v>
      </c>
      <c r="AC1771" s="11">
        <f t="shared" si="552"/>
        <v>0</v>
      </c>
      <c r="AD1771" s="36">
        <f t="shared" si="587"/>
        <v>0</v>
      </c>
      <c r="AE1771" s="36"/>
      <c r="AF1771" s="36">
        <f>IFERROR(VLOOKUP(AE1771,'Chemical Cost'!A:D,4,0),0)</f>
        <v>0</v>
      </c>
      <c r="AG1771" s="114">
        <f t="shared" si="553"/>
        <v>0</v>
      </c>
      <c r="AH1771" s="36">
        <f t="shared" si="588"/>
        <v>0</v>
      </c>
      <c r="AI1771" s="36">
        <f t="shared" si="589"/>
        <v>0.28000000000000003</v>
      </c>
      <c r="AJ1771" s="36">
        <f>IFERROR(VLOOKUP(A1771,'All Products'!A:F,6,0),0)</f>
        <v>0</v>
      </c>
      <c r="AK1771" s="36"/>
      <c r="AL1771" s="23">
        <v>1</v>
      </c>
      <c r="AP1771" s="4">
        <v>1.4</v>
      </c>
      <c r="AR1771">
        <f>_xlfn.XLOOKUP(F1771,'RM Cost'!A:A,'RM Cost'!S:S)</f>
        <v>0</v>
      </c>
      <c r="AS1771" t="str">
        <f>_xlfn.XLOOKUP(A1771,[3]Sheet1!$B:$B,[3]Sheet1!$B:$B)</f>
        <v>241CCS</v>
      </c>
      <c r="AT1771" t="e">
        <f>_xlfn.XLOOKUP(H1771,'Yield &amp; Time'!A:A,'Yield &amp; Time'!F:F)</f>
        <v>#N/A</v>
      </c>
    </row>
    <row r="1772" spans="1:46" x14ac:dyDescent="0.25">
      <c r="A1772" s="94" t="s">
        <v>4719</v>
      </c>
      <c r="B1772" s="2" t="s">
        <v>552</v>
      </c>
      <c r="C1772" s="94" t="s">
        <v>4718</v>
      </c>
      <c r="D1772" s="2" t="s">
        <v>554</v>
      </c>
      <c r="E1772" s="2">
        <v>1</v>
      </c>
      <c r="F1772" s="1" t="str">
        <f>VLOOKUP(H1772,'RM Used'!A:B,2,0)</f>
        <v>3210CS</v>
      </c>
      <c r="G1772" s="1" t="str">
        <f>IFERROR(VLOOKUP(F1772,'RM Cost'!A:B,2,0),"")</f>
        <v>RM - POTATOES WARE 25KG</v>
      </c>
      <c r="H1772" s="94" t="s">
        <v>1463</v>
      </c>
      <c r="I1772" s="1" t="str">
        <f>VLOOKUP(F1772,'RM Used'!B:D,3,0)</f>
        <v>RM-FOOD</v>
      </c>
      <c r="J1772" s="66">
        <v>1</v>
      </c>
      <c r="K1772" s="35">
        <f t="shared" si="582"/>
        <v>1</v>
      </c>
      <c r="L1772" s="35">
        <f t="shared" si="557"/>
        <v>1</v>
      </c>
      <c r="M1772" s="124" cm="1">
        <f t="array" ref="M1772">_xlfn.IFS(BOM!I1772="RM-PACKING","100%",B1772="Reynolds",VLOOKUP(H1772,'Yield &amp; Time'!A:V,22,0),BOM!B1772="Dnata",VLOOKUP(BOM!H1772,'Yield &amp; Time'!A:M,13,0),B1772="NK",VLOOKUP(H1772,'Yield &amp; Time'!A:X,24,0))</f>
        <v>0.53546453546453554</v>
      </c>
      <c r="N1772" s="35">
        <f t="shared" si="583"/>
        <v>1.8675373134328355</v>
      </c>
      <c r="O1772" s="1" t="str">
        <f>VLOOKUP(H1772,'RM Used'!A:E,5,0)</f>
        <v>KG</v>
      </c>
      <c r="P1772" s="11">
        <f>VLOOKUP(H1772,'RM Used'!A:F,6,0)</f>
        <v>0.27</v>
      </c>
      <c r="Q1772" s="11">
        <f t="shared" si="555"/>
        <v>0.50423507462686556</v>
      </c>
      <c r="R1772" s="11">
        <f>IFERROR(IF(B1772="Reynolds",VLOOKUP(H1772,'Yield &amp; Time'!A:U,21,0),VLOOKUP(H1772,'Yield &amp; Time'!A:L,12,0)),0)</f>
        <v>3.6069651741293529</v>
      </c>
      <c r="S1772" s="11">
        <f t="shared" si="558"/>
        <v>1.2209577114427859</v>
      </c>
      <c r="T1772" s="11">
        <f t="shared" si="559"/>
        <v>6.0116086235489218E-2</v>
      </c>
      <c r="U1772" s="11">
        <f>IF(A1771=A1772,0,VLOOKUP(A1772,'Packing Time'!A:F,6,0))</f>
        <v>0.64166666666666661</v>
      </c>
      <c r="V1772" s="11">
        <f t="shared" si="584"/>
        <v>0.21720416666666661</v>
      </c>
      <c r="W1772" s="11">
        <f t="shared" si="585"/>
        <v>1.0694444444444444E-2</v>
      </c>
      <c r="X1772" s="11">
        <f t="shared" si="549"/>
        <v>1.5819780659203977</v>
      </c>
      <c r="Y1772" s="11">
        <f t="shared" si="586"/>
        <v>1.5819780659203977</v>
      </c>
      <c r="Z1772" s="37">
        <v>1</v>
      </c>
      <c r="AA1772" s="36">
        <f t="shared" si="550"/>
        <v>1.8675373134328355</v>
      </c>
      <c r="AB1772" s="36">
        <f t="shared" si="551"/>
        <v>0.50423507462686556</v>
      </c>
      <c r="AC1772" s="11">
        <f t="shared" si="552"/>
        <v>7.7891583747927012E-2</v>
      </c>
      <c r="AD1772" s="36">
        <f t="shared" si="587"/>
        <v>1.5819780659203975</v>
      </c>
      <c r="AE1772" s="36"/>
      <c r="AF1772" s="36">
        <f>IFERROR(VLOOKUP(AE1772,'Chemical Cost'!A:D,4,0),0)</f>
        <v>0</v>
      </c>
      <c r="AG1772" s="114">
        <f t="shared" si="553"/>
        <v>0</v>
      </c>
      <c r="AH1772" s="36">
        <f t="shared" si="588"/>
        <v>0</v>
      </c>
      <c r="AI1772" s="36">
        <f t="shared" si="589"/>
        <v>2.0862131405472635</v>
      </c>
      <c r="AJ1772" s="36">
        <f>IFERROR(VLOOKUP(A1772,'All Products'!A:F,6,0),0)</f>
        <v>0</v>
      </c>
      <c r="AK1772" s="36"/>
      <c r="AL1772" s="23">
        <v>1</v>
      </c>
      <c r="AP1772" s="4">
        <v>1.1000000000000001</v>
      </c>
      <c r="AR1772">
        <f>_xlfn.XLOOKUP(F1772,'RM Cost'!A:A,'RM Cost'!S:S)</f>
        <v>0</v>
      </c>
      <c r="AS1772" t="str">
        <f>_xlfn.XLOOKUP(A1772,[3]Sheet1!$B:$B,[3]Sheet1!$B:$B)</f>
        <v>304CCS</v>
      </c>
      <c r="AT1772">
        <f>_xlfn.XLOOKUP(H1772,'Yield &amp; Time'!A:A,'Yield &amp; Time'!F:F)</f>
        <v>0</v>
      </c>
    </row>
    <row r="1773" spans="1:46" x14ac:dyDescent="0.25">
      <c r="A1773" s="94" t="s">
        <v>4719</v>
      </c>
      <c r="B1773" s="2" t="s">
        <v>552</v>
      </c>
      <c r="C1773" s="94" t="s">
        <v>4718</v>
      </c>
      <c r="D1773" s="2" t="s">
        <v>554</v>
      </c>
      <c r="E1773" s="2">
        <v>1</v>
      </c>
      <c r="F1773" s="1" t="str">
        <f>VLOOKUP(H1773,'RM Used'!A:B,2,0)</f>
        <v>P0008</v>
      </c>
      <c r="G1773" s="1" t="str">
        <f>IFERROR(VLOOKUP(F1773,'RM Cost'!A:B,2,0),"")</f>
        <v>PALE BLUE BAG 470X750MM</v>
      </c>
      <c r="H1773" s="1" t="s">
        <v>1323</v>
      </c>
      <c r="I1773" s="1" t="str">
        <f>VLOOKUP(F1773,'RM Used'!B:D,3,0)</f>
        <v>RM-PACKING</v>
      </c>
      <c r="J1773" s="66">
        <v>1</v>
      </c>
      <c r="K1773" s="35" t="str">
        <f t="shared" si="582"/>
        <v/>
      </c>
      <c r="L1773" s="35">
        <f t="shared" si="557"/>
        <v>0</v>
      </c>
      <c r="M1773" s="124" t="str" cm="1">
        <f t="array" ref="M1773">_xlfn.IFS(BOM!I1773="RM-PACKING","100%",B1773="Reynolds",VLOOKUP(H1773,'Yield &amp; Time'!A:V,22,0),BOM!B1773="Dnata",VLOOKUP(BOM!H1773,'Yield &amp; Time'!A:M,13,0),B1773="NK",VLOOKUP(H1773,'Yield &amp; Time'!A:X,24,0))</f>
        <v>100%</v>
      </c>
      <c r="N1773" s="35">
        <f t="shared" si="583"/>
        <v>1</v>
      </c>
      <c r="O1773" s="1" t="str">
        <f>VLOOKUP(H1773,'RM Used'!A:E,5,0)</f>
        <v>Count</v>
      </c>
      <c r="P1773" s="11">
        <f>VLOOKUP(H1773,'RM Used'!A:F,6,0)</f>
        <v>0.14000000000000001</v>
      </c>
      <c r="Q1773" s="11">
        <f t="shared" si="555"/>
        <v>0.14000000000000001</v>
      </c>
      <c r="R1773" s="11">
        <f>IFERROR(IF(B1773="Reynolds",VLOOKUP(H1773,'Yield &amp; Time'!A:U,21,0),VLOOKUP(H1773,'Yield &amp; Time'!A:L,12,0)),0)</f>
        <v>0</v>
      </c>
      <c r="S1773" s="11">
        <f t="shared" si="558"/>
        <v>0</v>
      </c>
      <c r="T1773" s="11">
        <f t="shared" si="559"/>
        <v>0</v>
      </c>
      <c r="U1773" s="11">
        <f>IF(A1772=A1773,0,VLOOKUP(A1773,'Packing Time'!A:F,6,0))</f>
        <v>0</v>
      </c>
      <c r="V1773" s="11">
        <f t="shared" si="584"/>
        <v>0</v>
      </c>
      <c r="W1773" s="11">
        <f t="shared" si="585"/>
        <v>0</v>
      </c>
      <c r="X1773" s="11">
        <f t="shared" si="549"/>
        <v>0</v>
      </c>
      <c r="Y1773" s="11">
        <f t="shared" si="586"/>
        <v>0</v>
      </c>
      <c r="Z1773" s="37">
        <v>1</v>
      </c>
      <c r="AA1773" s="36">
        <f t="shared" si="550"/>
        <v>1</v>
      </c>
      <c r="AB1773" s="36">
        <f t="shared" si="551"/>
        <v>0.14000000000000001</v>
      </c>
      <c r="AC1773" s="11">
        <f t="shared" si="552"/>
        <v>0</v>
      </c>
      <c r="AD1773" s="36">
        <f t="shared" si="587"/>
        <v>0</v>
      </c>
      <c r="AE1773" s="36"/>
      <c r="AF1773" s="36">
        <f>IFERROR(VLOOKUP(AE1773,'Chemical Cost'!A:D,4,0),0)</f>
        <v>0</v>
      </c>
      <c r="AG1773" s="114">
        <f t="shared" si="553"/>
        <v>0</v>
      </c>
      <c r="AH1773" s="36">
        <f t="shared" si="588"/>
        <v>0</v>
      </c>
      <c r="AI1773" s="36">
        <f t="shared" si="589"/>
        <v>0.14000000000000001</v>
      </c>
      <c r="AJ1773" s="36">
        <f>IFERROR(VLOOKUP(A1773,'All Products'!A:F,6,0),0)</f>
        <v>0</v>
      </c>
      <c r="AK1773" s="36"/>
      <c r="AL1773" s="23">
        <v>1</v>
      </c>
      <c r="AP1773" s="4">
        <v>1.1000000000000001</v>
      </c>
      <c r="AR1773">
        <f>_xlfn.XLOOKUP(F1773,'RM Cost'!A:A,'RM Cost'!S:S)</f>
        <v>0</v>
      </c>
      <c r="AS1773" t="str">
        <f>_xlfn.XLOOKUP(A1773,[3]Sheet1!$B:$B,[3]Sheet1!$B:$B)</f>
        <v>304CCS</v>
      </c>
      <c r="AT1773" t="e">
        <f>_xlfn.XLOOKUP(H1773,'Yield &amp; Time'!A:A,'Yield &amp; Time'!F:F)</f>
        <v>#N/A</v>
      </c>
    </row>
    <row r="1774" spans="1:46" x14ac:dyDescent="0.25">
      <c r="A1774" s="94" t="s">
        <v>4719</v>
      </c>
      <c r="B1774" s="64" t="s">
        <v>552</v>
      </c>
      <c r="C1774" s="94" t="s">
        <v>4718</v>
      </c>
      <c r="D1774" s="64" t="s">
        <v>554</v>
      </c>
      <c r="E1774" s="64">
        <v>1</v>
      </c>
      <c r="F1774" s="1" t="str">
        <f>VLOOKUP(H1774,'RM Used'!A:B,2,0)</f>
        <v>P0016</v>
      </c>
      <c r="G1774" s="1" t="str">
        <f>IFERROR(VLOOKUP(F1774,'RM Cost'!A:B,2,0),"")</f>
        <v>REY 40 30 BOX</v>
      </c>
      <c r="H1774" s="2" t="s">
        <v>1332</v>
      </c>
      <c r="I1774" s="1" t="str">
        <f>VLOOKUP(F1774,'RM Used'!B:D,3,0)</f>
        <v>RM-PACKING</v>
      </c>
      <c r="J1774" s="66">
        <v>1</v>
      </c>
      <c r="K1774" s="35" t="str">
        <f t="shared" si="582"/>
        <v/>
      </c>
      <c r="L1774" s="35">
        <f t="shared" si="557"/>
        <v>0</v>
      </c>
      <c r="M1774" s="124" t="str" cm="1">
        <f t="array" ref="M1774">_xlfn.IFS(BOM!I1774="RM-PACKING","100%",B1774="Reynolds",VLOOKUP(H1774,'Yield &amp; Time'!A:V,22,0),BOM!B1774="Dnata",VLOOKUP(BOM!H1774,'Yield &amp; Time'!A:M,13,0),B1774="NK",VLOOKUP(H1774,'Yield &amp; Time'!A:X,24,0))</f>
        <v>100%</v>
      </c>
      <c r="N1774" s="35">
        <f t="shared" si="583"/>
        <v>1</v>
      </c>
      <c r="O1774" s="1" t="str">
        <f>VLOOKUP(H1774,'RM Used'!A:E,5,0)</f>
        <v>Count</v>
      </c>
      <c r="P1774" s="11">
        <f>VLOOKUP(H1774,'RM Used'!A:F,6,0)</f>
        <v>0.28000000000000003</v>
      </c>
      <c r="Q1774" s="11">
        <f t="shared" si="555"/>
        <v>0.28000000000000003</v>
      </c>
      <c r="R1774" s="11">
        <f>IFERROR(IF(B1774="Reynolds",VLOOKUP(H1774,'Yield &amp; Time'!A:U,21,0),VLOOKUP(H1774,'Yield &amp; Time'!A:L,12,0)),0)</f>
        <v>0</v>
      </c>
      <c r="S1774" s="11">
        <f t="shared" si="558"/>
        <v>0</v>
      </c>
      <c r="T1774" s="11">
        <f t="shared" si="559"/>
        <v>0</v>
      </c>
      <c r="U1774" s="11">
        <f>IF(A1773=A1774,0,VLOOKUP(A1774,'Packing Time'!A:F,6,0))</f>
        <v>0</v>
      </c>
      <c r="V1774" s="11">
        <f t="shared" si="584"/>
        <v>0</v>
      </c>
      <c r="W1774" s="11">
        <f t="shared" si="585"/>
        <v>0</v>
      </c>
      <c r="X1774" s="11">
        <f t="shared" si="549"/>
        <v>0</v>
      </c>
      <c r="Y1774" s="11">
        <f t="shared" si="586"/>
        <v>0</v>
      </c>
      <c r="Z1774" s="37">
        <v>1</v>
      </c>
      <c r="AA1774" s="36">
        <f t="shared" si="550"/>
        <v>1</v>
      </c>
      <c r="AB1774" s="36">
        <f t="shared" si="551"/>
        <v>0.28000000000000003</v>
      </c>
      <c r="AC1774" s="11">
        <f t="shared" si="552"/>
        <v>0</v>
      </c>
      <c r="AD1774" s="36">
        <f t="shared" si="587"/>
        <v>0</v>
      </c>
      <c r="AE1774" s="36"/>
      <c r="AF1774" s="36">
        <f>IFERROR(VLOOKUP(AE1774,'Chemical Cost'!A:D,4,0),0)</f>
        <v>0</v>
      </c>
      <c r="AG1774" s="114">
        <f t="shared" si="553"/>
        <v>0</v>
      </c>
      <c r="AH1774" s="36">
        <f t="shared" si="588"/>
        <v>0</v>
      </c>
      <c r="AI1774" s="36">
        <f t="shared" si="589"/>
        <v>0.28000000000000003</v>
      </c>
      <c r="AJ1774" s="36">
        <f>IFERROR(VLOOKUP(A1774,'All Products'!A:F,6,0),0)</f>
        <v>0</v>
      </c>
      <c r="AK1774" s="36"/>
      <c r="AL1774" s="23">
        <v>1</v>
      </c>
      <c r="AP1774" s="4">
        <v>1.1000000000000001</v>
      </c>
      <c r="AR1774">
        <f>_xlfn.XLOOKUP(F1774,'RM Cost'!A:A,'RM Cost'!S:S)</f>
        <v>0</v>
      </c>
      <c r="AS1774" t="str">
        <f>_xlfn.XLOOKUP(A1774,[3]Sheet1!$B:$B,[3]Sheet1!$B:$B)</f>
        <v>304CCS</v>
      </c>
      <c r="AT1774" t="e">
        <f>_xlfn.XLOOKUP(H1774,'Yield &amp; Time'!A:A,'Yield &amp; Time'!F:F)</f>
        <v>#N/A</v>
      </c>
    </row>
    <row r="1775" spans="1:46" x14ac:dyDescent="0.25">
      <c r="A1775" s="1" t="s">
        <v>4723</v>
      </c>
      <c r="B1775" s="1" t="s">
        <v>552</v>
      </c>
      <c r="C1775" s="1" t="s">
        <v>4724</v>
      </c>
      <c r="D1775" s="1" t="s">
        <v>554</v>
      </c>
      <c r="E1775" s="2">
        <v>1</v>
      </c>
      <c r="F1775" s="1" t="str">
        <f>VLOOKUP(H1775,'RM Used'!A:B,2,0)</f>
        <v>3184CS</v>
      </c>
      <c r="G1775" s="1" t="str">
        <f>IFERROR(VLOOKUP(F1775,'RM Cost'!A:B,2,0),"")</f>
        <v>RM - ONIONS LARGE 20KG</v>
      </c>
      <c r="H1775" s="94" t="s">
        <v>4725</v>
      </c>
      <c r="I1775" s="1" t="str">
        <f>VLOOKUP(F1775,'RM Used'!B:D,3,0)</f>
        <v>RM-FOOD</v>
      </c>
      <c r="J1775" s="66">
        <v>1</v>
      </c>
      <c r="K1775" s="35">
        <f t="shared" si="582"/>
        <v>1</v>
      </c>
      <c r="L1775" s="35">
        <f t="shared" si="557"/>
        <v>1</v>
      </c>
      <c r="M1775" s="124" cm="1">
        <f t="array" ref="M1775">_xlfn.IFS(BOM!I1775="RM-PACKING","100%",B1775="Reynolds",VLOOKUP(H1775,'Yield &amp; Time'!A:V,22,0),BOM!B1775="Dnata",VLOOKUP(BOM!H1775,'Yield &amp; Time'!A:M,13,0),B1775="NK",VLOOKUP(H1775,'Yield &amp; Time'!A:X,24,0))</f>
        <v>0.35</v>
      </c>
      <c r="N1775" s="35">
        <f t="shared" si="583"/>
        <v>2.8571428571428572</v>
      </c>
      <c r="O1775" s="1" t="str">
        <f>VLOOKUP(H1775,'RM Used'!A:E,5,0)</f>
        <v>KG</v>
      </c>
      <c r="P1775" s="11">
        <f>VLOOKUP(H1775,'RM Used'!A:F,6,0)</f>
        <v>0.39</v>
      </c>
      <c r="Q1775" s="11">
        <f t="shared" si="555"/>
        <v>1.1142857142857143</v>
      </c>
      <c r="R1775" s="11">
        <f>IFERROR(IF(B1775="Reynolds",VLOOKUP(H1775,'Yield &amp; Time'!A:U,21,0),VLOOKUP(H1775,'Yield &amp; Time'!A:L,12,0)),0)</f>
        <v>9.58</v>
      </c>
      <c r="S1775" s="11">
        <f t="shared" si="558"/>
        <v>3.2428299999999997</v>
      </c>
      <c r="T1775" s="11">
        <f t="shared" si="559"/>
        <v>0.15966666666666668</v>
      </c>
      <c r="U1775" s="11">
        <f>IF(A1774=A1775,0,VLOOKUP(A1775,'Packing Time'!A:F,6,0))</f>
        <v>0.64166666666666661</v>
      </c>
      <c r="V1775" s="11">
        <f t="shared" si="584"/>
        <v>0.21720416666666661</v>
      </c>
      <c r="W1775" s="11">
        <f t="shared" si="585"/>
        <v>1.0694444444444444E-2</v>
      </c>
      <c r="X1775" s="11">
        <f t="shared" si="549"/>
        <v>3.8060375833333335</v>
      </c>
      <c r="Y1775" s="11">
        <f t="shared" si="586"/>
        <v>3.8060375833333335</v>
      </c>
      <c r="Z1775" s="37">
        <v>1</v>
      </c>
      <c r="AA1775" s="36">
        <f t="shared" si="550"/>
        <v>2.8571428571428572</v>
      </c>
      <c r="AB1775" s="36">
        <f t="shared" si="551"/>
        <v>1.1142857142857143</v>
      </c>
      <c r="AC1775" s="11">
        <f t="shared" si="552"/>
        <v>0.18739722222222227</v>
      </c>
      <c r="AD1775" s="36">
        <f t="shared" si="587"/>
        <v>3.806037583333334</v>
      </c>
      <c r="AE1775" s="36"/>
      <c r="AF1775" s="36">
        <f>IFERROR(VLOOKUP(AE1775,'Chemical Cost'!A:D,4,0),0)</f>
        <v>0</v>
      </c>
      <c r="AG1775" s="114">
        <f t="shared" si="553"/>
        <v>0</v>
      </c>
      <c r="AH1775" s="36">
        <f t="shared" si="588"/>
        <v>0</v>
      </c>
      <c r="AI1775" s="36">
        <f t="shared" si="589"/>
        <v>4.9203232976190474</v>
      </c>
      <c r="AJ1775" s="36">
        <f>IFERROR(VLOOKUP(A1775,'All Products'!A:F,6,0),0)</f>
        <v>0</v>
      </c>
      <c r="AK1775" s="36"/>
      <c r="AL1775" s="23">
        <v>1</v>
      </c>
      <c r="AP1775" s="4">
        <v>1.1000000000000001</v>
      </c>
      <c r="AR1775">
        <f>_xlfn.XLOOKUP(F1775,'RM Cost'!A:A,'RM Cost'!S:S)</f>
        <v>0</v>
      </c>
      <c r="AS1775" t="str">
        <f>_xlfn.XLOOKUP(A1775,[3]Sheet1!$B:$B,[3]Sheet1!$B:$B)</f>
        <v>303CCS</v>
      </c>
      <c r="AT1775">
        <f>_xlfn.XLOOKUP(H1775,'Yield &amp; Time'!A:A,'Yield &amp; Time'!F:F)</f>
        <v>0</v>
      </c>
    </row>
    <row r="1776" spans="1:46" x14ac:dyDescent="0.25">
      <c r="A1776" s="1" t="s">
        <v>4723</v>
      </c>
      <c r="B1776" s="1" t="s">
        <v>552</v>
      </c>
      <c r="C1776" s="1" t="s">
        <v>4724</v>
      </c>
      <c r="D1776" s="1" t="s">
        <v>554</v>
      </c>
      <c r="E1776" s="2">
        <v>1</v>
      </c>
      <c r="F1776" s="1" t="str">
        <f>VLOOKUP(H1776,'RM Used'!A:B,2,0)</f>
        <v>P0008</v>
      </c>
      <c r="G1776" s="1" t="str">
        <f>IFERROR(VLOOKUP(F1776,'RM Cost'!A:B,2,0),"")</f>
        <v>PALE BLUE BAG 470X750MM</v>
      </c>
      <c r="H1776" s="1" t="s">
        <v>1323</v>
      </c>
      <c r="I1776" s="1" t="str">
        <f>VLOOKUP(F1776,'RM Used'!B:D,3,0)</f>
        <v>RM-PACKING</v>
      </c>
      <c r="J1776" s="66">
        <v>1</v>
      </c>
      <c r="K1776" s="35" t="str">
        <f t="shared" si="582"/>
        <v/>
      </c>
      <c r="L1776" s="35">
        <f t="shared" si="557"/>
        <v>0</v>
      </c>
      <c r="M1776" s="124" t="str" cm="1">
        <f t="array" ref="M1776">_xlfn.IFS(BOM!I1776="RM-PACKING","100%",B1776="Reynolds",VLOOKUP(H1776,'Yield &amp; Time'!A:V,22,0),BOM!B1776="Dnata",VLOOKUP(BOM!H1776,'Yield &amp; Time'!A:M,13,0),B1776="NK",VLOOKUP(H1776,'Yield &amp; Time'!A:X,24,0))</f>
        <v>100%</v>
      </c>
      <c r="N1776" s="35">
        <f t="shared" si="583"/>
        <v>1</v>
      </c>
      <c r="O1776" s="1" t="str">
        <f>VLOOKUP(H1776,'RM Used'!A:E,5,0)</f>
        <v>Count</v>
      </c>
      <c r="P1776" s="11">
        <f>VLOOKUP(H1776,'RM Used'!A:F,6,0)</f>
        <v>0.14000000000000001</v>
      </c>
      <c r="Q1776" s="11">
        <f t="shared" si="555"/>
        <v>0.14000000000000001</v>
      </c>
      <c r="R1776" s="11">
        <f>IFERROR(IF(B1776="Reynolds",VLOOKUP(H1776,'Yield &amp; Time'!A:U,21,0),VLOOKUP(H1776,'Yield &amp; Time'!A:L,12,0)),0)</f>
        <v>0</v>
      </c>
      <c r="S1776" s="11">
        <f t="shared" si="558"/>
        <v>0</v>
      </c>
      <c r="T1776" s="11">
        <f t="shared" si="559"/>
        <v>0</v>
      </c>
      <c r="U1776" s="11">
        <f>IF(A1775=A1776,0,VLOOKUP(A1776,'Packing Time'!A:F,6,0))</f>
        <v>0</v>
      </c>
      <c r="V1776" s="11">
        <f t="shared" si="584"/>
        <v>0</v>
      </c>
      <c r="W1776" s="11">
        <f t="shared" si="585"/>
        <v>0</v>
      </c>
      <c r="X1776" s="11">
        <f t="shared" si="549"/>
        <v>0</v>
      </c>
      <c r="Y1776" s="11">
        <f t="shared" si="586"/>
        <v>0</v>
      </c>
      <c r="Z1776" s="37">
        <v>1</v>
      </c>
      <c r="AA1776" s="36">
        <f t="shared" si="550"/>
        <v>1</v>
      </c>
      <c r="AB1776" s="36">
        <f t="shared" si="551"/>
        <v>0.14000000000000001</v>
      </c>
      <c r="AC1776" s="11">
        <f t="shared" si="552"/>
        <v>0</v>
      </c>
      <c r="AD1776" s="36">
        <f t="shared" si="587"/>
        <v>0</v>
      </c>
      <c r="AE1776" s="36"/>
      <c r="AF1776" s="36">
        <f>IFERROR(VLOOKUP(AE1776,'Chemical Cost'!A:D,4,0),0)</f>
        <v>0</v>
      </c>
      <c r="AG1776" s="114">
        <f t="shared" si="553"/>
        <v>0</v>
      </c>
      <c r="AH1776" s="36">
        <f t="shared" si="588"/>
        <v>0</v>
      </c>
      <c r="AI1776" s="36">
        <f t="shared" si="589"/>
        <v>0.14000000000000001</v>
      </c>
      <c r="AJ1776" s="36">
        <f>IFERROR(VLOOKUP(A1776,'All Products'!A:F,6,0),0)</f>
        <v>0</v>
      </c>
      <c r="AK1776" s="36"/>
      <c r="AL1776" s="23">
        <v>1</v>
      </c>
      <c r="AP1776" s="4">
        <v>1.1000000000000001</v>
      </c>
      <c r="AR1776">
        <f>_xlfn.XLOOKUP(F1776,'RM Cost'!A:A,'RM Cost'!S:S)</f>
        <v>0</v>
      </c>
      <c r="AS1776" t="str">
        <f>_xlfn.XLOOKUP(A1776,[3]Sheet1!$B:$B,[3]Sheet1!$B:$B)</f>
        <v>303CCS</v>
      </c>
      <c r="AT1776" t="e">
        <f>_xlfn.XLOOKUP(H1776,'Yield &amp; Time'!A:A,'Yield &amp; Time'!F:F)</f>
        <v>#N/A</v>
      </c>
    </row>
    <row r="1777" spans="1:46" x14ac:dyDescent="0.25">
      <c r="A1777" s="1" t="s">
        <v>4723</v>
      </c>
      <c r="B1777" s="1" t="s">
        <v>552</v>
      </c>
      <c r="C1777" s="1" t="s">
        <v>4724</v>
      </c>
      <c r="D1777" s="1" t="s">
        <v>554</v>
      </c>
      <c r="E1777" s="2">
        <v>1</v>
      </c>
      <c r="F1777" s="1" t="str">
        <f>VLOOKUP(H1777,'RM Used'!A:B,2,0)</f>
        <v>P0016</v>
      </c>
      <c r="G1777" s="1" t="str">
        <f>IFERROR(VLOOKUP(F1777,'RM Cost'!A:B,2,0),"")</f>
        <v>REY 40 30 BOX</v>
      </c>
      <c r="H1777" s="2" t="s">
        <v>1332</v>
      </c>
      <c r="I1777" s="1" t="str">
        <f>VLOOKUP(F1777,'RM Used'!B:D,3,0)</f>
        <v>RM-PACKING</v>
      </c>
      <c r="J1777" s="66">
        <v>1</v>
      </c>
      <c r="K1777" s="35" t="str">
        <f t="shared" si="582"/>
        <v/>
      </c>
      <c r="L1777" s="35">
        <f t="shared" ref="L1777:L1800" si="590">IFERROR(K1777*Z1777,0)</f>
        <v>0</v>
      </c>
      <c r="M1777" s="124" t="str" cm="1">
        <f t="array" ref="M1777">_xlfn.IFS(BOM!I1777="RM-PACKING","100%",B1777="Reynolds",VLOOKUP(H1777,'Yield &amp; Time'!A:V,22,0),BOM!B1777="Dnata",VLOOKUP(BOM!H1777,'Yield &amp; Time'!A:M,13,0),B1777="NK",VLOOKUP(H1777,'Yield &amp; Time'!A:X,24,0))</f>
        <v>100%</v>
      </c>
      <c r="N1777" s="35">
        <f t="shared" si="583"/>
        <v>1</v>
      </c>
      <c r="O1777" s="1" t="str">
        <f>VLOOKUP(H1777,'RM Used'!A:E,5,0)</f>
        <v>Count</v>
      </c>
      <c r="P1777" s="11">
        <f>VLOOKUP(H1777,'RM Used'!A:F,6,0)</f>
        <v>0.28000000000000003</v>
      </c>
      <c r="Q1777" s="11">
        <f t="shared" si="555"/>
        <v>0.28000000000000003</v>
      </c>
      <c r="R1777" s="11">
        <f>IFERROR(IF(B1777="Reynolds",VLOOKUP(H1777,'Yield &amp; Time'!A:U,21,0),VLOOKUP(H1777,'Yield &amp; Time'!A:L,12,0)),0)</f>
        <v>0</v>
      </c>
      <c r="S1777" s="11">
        <f t="shared" ref="S1777:S1800" si="591">R1777*J1777*E1777*AO$1</f>
        <v>0</v>
      </c>
      <c r="T1777" s="11">
        <f t="shared" ref="T1777:T1800" si="592">(R1777*Z1777*J1777*E1777)/60</f>
        <v>0</v>
      </c>
      <c r="U1777" s="11">
        <f>IF(A1776=A1777,0,VLOOKUP(A1777,'Packing Time'!A:F,6,0))</f>
        <v>0</v>
      </c>
      <c r="V1777" s="11">
        <f t="shared" si="584"/>
        <v>0</v>
      </c>
      <c r="W1777" s="11">
        <f t="shared" si="585"/>
        <v>0</v>
      </c>
      <c r="X1777" s="11">
        <f t="shared" si="549"/>
        <v>0</v>
      </c>
      <c r="Y1777" s="11">
        <f t="shared" si="586"/>
        <v>0</v>
      </c>
      <c r="Z1777" s="37">
        <v>1</v>
      </c>
      <c r="AA1777" s="36">
        <f t="shared" si="550"/>
        <v>1</v>
      </c>
      <c r="AB1777" s="36">
        <f t="shared" si="551"/>
        <v>0.28000000000000003</v>
      </c>
      <c r="AC1777" s="11">
        <f t="shared" si="552"/>
        <v>0</v>
      </c>
      <c r="AD1777" s="36">
        <f t="shared" si="587"/>
        <v>0</v>
      </c>
      <c r="AE1777" s="36"/>
      <c r="AF1777" s="36">
        <f>IFERROR(VLOOKUP(AE1777,'Chemical Cost'!A:D,4,0),0)</f>
        <v>0</v>
      </c>
      <c r="AG1777" s="114">
        <f t="shared" si="553"/>
        <v>0</v>
      </c>
      <c r="AH1777" s="36">
        <f t="shared" si="588"/>
        <v>0</v>
      </c>
      <c r="AI1777" s="36">
        <f t="shared" si="589"/>
        <v>0.28000000000000003</v>
      </c>
      <c r="AJ1777" s="36">
        <f>IFERROR(VLOOKUP(A1777,'All Products'!A:F,6,0),0)</f>
        <v>0</v>
      </c>
      <c r="AK1777" s="36"/>
      <c r="AL1777" s="23">
        <v>1</v>
      </c>
      <c r="AP1777" s="4">
        <v>1.1000000000000001</v>
      </c>
      <c r="AR1777">
        <f>_xlfn.XLOOKUP(F1777,'RM Cost'!A:A,'RM Cost'!S:S)</f>
        <v>0</v>
      </c>
      <c r="AS1777" t="str">
        <f>_xlfn.XLOOKUP(A1777,[3]Sheet1!$B:$B,[3]Sheet1!$B:$B)</f>
        <v>303CCS</v>
      </c>
      <c r="AT1777" t="e">
        <f>_xlfn.XLOOKUP(H1777,'Yield &amp; Time'!A:A,'Yield &amp; Time'!F:F)</f>
        <v>#N/A</v>
      </c>
    </row>
    <row r="1778" spans="1:46" x14ac:dyDescent="0.25">
      <c r="A1778" s="63" t="s">
        <v>4720</v>
      </c>
      <c r="B1778" s="127" t="s">
        <v>552</v>
      </c>
      <c r="C1778" s="63" t="s">
        <v>4721</v>
      </c>
      <c r="D1778" s="127" t="s">
        <v>554</v>
      </c>
      <c r="E1778" s="127">
        <v>1</v>
      </c>
      <c r="F1778" s="1" t="str">
        <f>VLOOKUP(H1778,'RM Used'!A:B,2,0)</f>
        <v>3198CS</v>
      </c>
      <c r="G1778" s="1" t="str">
        <f>IFERROR(VLOOKUP(F1778,'RM Cost'!A:B,2,0),"")</f>
        <v>RM - ONIONS RED LARGE 10KG</v>
      </c>
      <c r="H1778" s="94" t="s">
        <v>4722</v>
      </c>
      <c r="I1778" s="1" t="str">
        <f>VLOOKUP(F1778,'RM Used'!B:D,3,0)</f>
        <v>RM-FOOD</v>
      </c>
      <c r="J1778" s="66">
        <v>1</v>
      </c>
      <c r="K1778" s="35">
        <f t="shared" ref="K1778:K1783" si="593">IF(I1778="RM-FOOD",J1778*E1778,"")</f>
        <v>1</v>
      </c>
      <c r="L1778" s="35">
        <f t="shared" si="590"/>
        <v>1</v>
      </c>
      <c r="M1778" s="124" cm="1">
        <f t="array" ref="M1778">_xlfn.IFS(BOM!I1778="RM-PACKING","100%",B1778="Reynolds",VLOOKUP(H1778,'Yield &amp; Time'!A:V,22,0),BOM!B1778="Dnata",VLOOKUP(BOM!H1778,'Yield &amp; Time'!A:M,13,0),B1778="NK",VLOOKUP(H1778,'Yield &amp; Time'!A:X,24,0))</f>
        <v>0.77</v>
      </c>
      <c r="N1778" s="35">
        <f t="shared" ref="N1778:N1783" si="594">IFERROR(IF(I1778="RM-FOOD",(E1778*J1778)/M1778,1),0)</f>
        <v>1.2987012987012987</v>
      </c>
      <c r="O1778" s="1" t="str">
        <f>VLOOKUP(H1778,'RM Used'!A:E,5,0)</f>
        <v>KG</v>
      </c>
      <c r="P1778" s="11">
        <f>VLOOKUP(H1778,'RM Used'!A:F,6,0)</f>
        <v>0.54</v>
      </c>
      <c r="Q1778" s="11">
        <f t="shared" si="555"/>
        <v>0.70129870129870131</v>
      </c>
      <c r="R1778" s="11">
        <f>IFERROR(IF(B1778="Reynolds",VLOOKUP(H1778,'Yield &amp; Time'!A:U,21,0),VLOOKUP(H1778,'Yield &amp; Time'!A:L,12,0)),0)</f>
        <v>3.81</v>
      </c>
      <c r="S1778" s="11">
        <f t="shared" si="591"/>
        <v>1.289685</v>
      </c>
      <c r="T1778" s="11">
        <f t="shared" si="592"/>
        <v>6.3500000000000001E-2</v>
      </c>
      <c r="U1778" s="11">
        <f>IF(A1777=A1778,0,VLOOKUP(A1778,'Packing Time'!A:F,6,0))</f>
        <v>0.64166666666666661</v>
      </c>
      <c r="V1778" s="11">
        <f t="shared" ref="V1778:V1783" si="595">U1778*AO$1</f>
        <v>0.21720416666666661</v>
      </c>
      <c r="W1778" s="11">
        <f t="shared" ref="W1778:W1783" si="596">(U1778*Z1778)/60</f>
        <v>1.0694444444444444E-2</v>
      </c>
      <c r="X1778" s="11">
        <f t="shared" si="549"/>
        <v>1.6575780833333331</v>
      </c>
      <c r="Y1778" s="11">
        <f t="shared" ref="Y1778:Y1783" si="597">X1778*Z1778</f>
        <v>1.6575780833333331</v>
      </c>
      <c r="Z1778" s="37">
        <v>1</v>
      </c>
      <c r="AA1778" s="36">
        <f t="shared" si="550"/>
        <v>1.2987012987012987</v>
      </c>
      <c r="AB1778" s="36">
        <f t="shared" si="551"/>
        <v>0.70129870129870131</v>
      </c>
      <c r="AC1778" s="11">
        <f t="shared" si="552"/>
        <v>8.1613888888888889E-2</v>
      </c>
      <c r="AD1778" s="36">
        <f t="shared" ref="AD1778:AD1783" si="598">AC1778*60*AO$1</f>
        <v>1.6575780833333331</v>
      </c>
      <c r="AE1778" s="36"/>
      <c r="AF1778" s="36">
        <f>IFERROR(VLOOKUP(AE1778,'Chemical Cost'!A:D,4,0),0)</f>
        <v>0</v>
      </c>
      <c r="AG1778" s="114">
        <f t="shared" si="553"/>
        <v>0</v>
      </c>
      <c r="AH1778" s="36">
        <f t="shared" ref="AH1778:AH1783" si="599">AF1778*AA1778/3</f>
        <v>0</v>
      </c>
      <c r="AI1778" s="36">
        <f t="shared" ref="AI1778:AI1783" si="600">IFERROR((Q1778*Z1778)+(Z1778*X1778)+AH1778,0)</f>
        <v>2.3588767846320344</v>
      </c>
      <c r="AJ1778" s="36">
        <f>IFERROR(VLOOKUP(A1778,'All Products'!A:F,6,0),0)</f>
        <v>0</v>
      </c>
      <c r="AK1778" s="36"/>
      <c r="AL1778" s="23">
        <v>1</v>
      </c>
      <c r="AP1778" s="4">
        <v>1.1000000000000001</v>
      </c>
      <c r="AR1778">
        <f>_xlfn.XLOOKUP(F1778,'RM Cost'!A:A,'RM Cost'!S:S)</f>
        <v>0</v>
      </c>
      <c r="AS1778" t="e">
        <f>_xlfn.XLOOKUP(A1778,[3]Sheet1!$B:$B,[3]Sheet1!$B:$B)</f>
        <v>#N/A</v>
      </c>
    </row>
    <row r="1779" spans="1:46" x14ac:dyDescent="0.25">
      <c r="A1779" s="63" t="s">
        <v>4720</v>
      </c>
      <c r="B1779" s="2" t="s">
        <v>552</v>
      </c>
      <c r="C1779" s="63" t="s">
        <v>4721</v>
      </c>
      <c r="D1779" s="2" t="s">
        <v>554</v>
      </c>
      <c r="E1779" s="2">
        <v>1</v>
      </c>
      <c r="F1779" s="1" t="str">
        <f>VLOOKUP(H1779,'RM Used'!A:B,2,0)</f>
        <v>P0008</v>
      </c>
      <c r="G1779" s="1" t="str">
        <f>IFERROR(VLOOKUP(F1779,'RM Cost'!A:B,2,0),"")</f>
        <v>PALE BLUE BAG 470X750MM</v>
      </c>
      <c r="H1779" s="1" t="s">
        <v>1323</v>
      </c>
      <c r="I1779" s="1" t="str">
        <f>VLOOKUP(F1779,'RM Used'!B:D,3,0)</f>
        <v>RM-PACKING</v>
      </c>
      <c r="J1779" s="66">
        <v>1</v>
      </c>
      <c r="K1779" s="35" t="str">
        <f t="shared" si="593"/>
        <v/>
      </c>
      <c r="L1779" s="35">
        <f t="shared" si="590"/>
        <v>0</v>
      </c>
      <c r="M1779" s="124" t="str" cm="1">
        <f t="array" ref="M1779">_xlfn.IFS(BOM!I1779="RM-PACKING","100%",B1779="Reynolds",VLOOKUP(H1779,'Yield &amp; Time'!A:V,22,0),BOM!B1779="Dnata",VLOOKUP(BOM!H1779,'Yield &amp; Time'!A:M,13,0),B1779="NK",VLOOKUP(H1779,'Yield &amp; Time'!A:X,24,0))</f>
        <v>100%</v>
      </c>
      <c r="N1779" s="35">
        <f t="shared" si="594"/>
        <v>1</v>
      </c>
      <c r="O1779" s="1" t="str">
        <f>VLOOKUP(H1779,'RM Used'!A:E,5,0)</f>
        <v>Count</v>
      </c>
      <c r="P1779" s="11">
        <f>VLOOKUP(H1779,'RM Used'!A:F,6,0)</f>
        <v>0.14000000000000001</v>
      </c>
      <c r="Q1779" s="11">
        <f t="shared" si="555"/>
        <v>0.14000000000000001</v>
      </c>
      <c r="R1779" s="11">
        <f>IFERROR(IF(B1779="Reynolds",VLOOKUP(H1779,'Yield &amp; Time'!A:U,21,0),VLOOKUP(H1779,'Yield &amp; Time'!A:L,12,0)),0)</f>
        <v>0</v>
      </c>
      <c r="S1779" s="11">
        <f t="shared" si="591"/>
        <v>0</v>
      </c>
      <c r="T1779" s="11">
        <f t="shared" si="592"/>
        <v>0</v>
      </c>
      <c r="U1779" s="11">
        <f>IF(A1778=A1779,0,VLOOKUP(A1779,'Packing Time'!A:F,6,0))</f>
        <v>0</v>
      </c>
      <c r="V1779" s="11">
        <f t="shared" si="595"/>
        <v>0</v>
      </c>
      <c r="W1779" s="11">
        <f t="shared" si="596"/>
        <v>0</v>
      </c>
      <c r="X1779" s="11">
        <f t="shared" si="549"/>
        <v>0</v>
      </c>
      <c r="Y1779" s="11">
        <f t="shared" si="597"/>
        <v>0</v>
      </c>
      <c r="Z1779" s="37">
        <v>1</v>
      </c>
      <c r="AA1779" s="36">
        <f t="shared" si="550"/>
        <v>1</v>
      </c>
      <c r="AB1779" s="36">
        <f t="shared" si="551"/>
        <v>0.14000000000000001</v>
      </c>
      <c r="AC1779" s="11">
        <f t="shared" si="552"/>
        <v>0</v>
      </c>
      <c r="AD1779" s="36">
        <f t="shared" si="598"/>
        <v>0</v>
      </c>
      <c r="AE1779" s="36"/>
      <c r="AF1779" s="36">
        <f>IFERROR(VLOOKUP(AE1779,'Chemical Cost'!A:D,4,0),0)</f>
        <v>0</v>
      </c>
      <c r="AG1779" s="114">
        <f t="shared" si="553"/>
        <v>0</v>
      </c>
      <c r="AH1779" s="36">
        <f t="shared" si="599"/>
        <v>0</v>
      </c>
      <c r="AI1779" s="36">
        <f t="shared" si="600"/>
        <v>0.14000000000000001</v>
      </c>
      <c r="AJ1779" s="36">
        <f>IFERROR(VLOOKUP(A1779,'All Products'!A:F,6,0),0)</f>
        <v>0</v>
      </c>
      <c r="AK1779" s="36"/>
      <c r="AL1779" s="23">
        <v>1</v>
      </c>
      <c r="AP1779" s="4">
        <v>1.1000000000000001</v>
      </c>
      <c r="AR1779">
        <f>_xlfn.XLOOKUP(F1779,'RM Cost'!A:A,'RM Cost'!S:S)</f>
        <v>0</v>
      </c>
      <c r="AS1779" t="e">
        <f>_xlfn.XLOOKUP(A1779,[3]Sheet1!$B:$B,[3]Sheet1!$B:$B)</f>
        <v>#N/A</v>
      </c>
    </row>
    <row r="1780" spans="1:46" x14ac:dyDescent="0.25">
      <c r="A1780" s="63" t="s">
        <v>4720</v>
      </c>
      <c r="B1780" s="2" t="s">
        <v>552</v>
      </c>
      <c r="C1780" s="63" t="s">
        <v>4721</v>
      </c>
      <c r="D1780" s="2" t="s">
        <v>554</v>
      </c>
      <c r="E1780" s="2">
        <v>1</v>
      </c>
      <c r="F1780" s="1" t="str">
        <f>VLOOKUP(H1780,'RM Used'!A:B,2,0)</f>
        <v>P0016</v>
      </c>
      <c r="G1780" s="1" t="str">
        <f>IFERROR(VLOOKUP(F1780,'RM Cost'!A:B,2,0),"")</f>
        <v>REY 40 30 BOX</v>
      </c>
      <c r="H1780" s="2" t="s">
        <v>1332</v>
      </c>
      <c r="I1780" s="1" t="str">
        <f>VLOOKUP(F1780,'RM Used'!B:D,3,0)</f>
        <v>RM-PACKING</v>
      </c>
      <c r="J1780" s="66">
        <v>1</v>
      </c>
      <c r="K1780" s="35" t="str">
        <f t="shared" si="593"/>
        <v/>
      </c>
      <c r="L1780" s="35">
        <f t="shared" si="590"/>
        <v>0</v>
      </c>
      <c r="M1780" s="124" t="str" cm="1">
        <f t="array" ref="M1780">_xlfn.IFS(BOM!I1780="RM-PACKING","100%",B1780="Reynolds",VLOOKUP(H1780,'Yield &amp; Time'!A:V,22,0),BOM!B1780="Dnata",VLOOKUP(BOM!H1780,'Yield &amp; Time'!A:M,13,0),B1780="NK",VLOOKUP(H1780,'Yield &amp; Time'!A:X,24,0))</f>
        <v>100%</v>
      </c>
      <c r="N1780" s="35">
        <f t="shared" si="594"/>
        <v>1</v>
      </c>
      <c r="O1780" s="1" t="str">
        <f>VLOOKUP(H1780,'RM Used'!A:E,5,0)</f>
        <v>Count</v>
      </c>
      <c r="P1780" s="11">
        <f>VLOOKUP(H1780,'RM Used'!A:F,6,0)</f>
        <v>0.28000000000000003</v>
      </c>
      <c r="Q1780" s="11">
        <f t="shared" si="555"/>
        <v>0.28000000000000003</v>
      </c>
      <c r="R1780" s="11">
        <f>IFERROR(IF(B1780="Reynolds",VLOOKUP(H1780,'Yield &amp; Time'!A:U,21,0),VLOOKUP(H1780,'Yield &amp; Time'!A:L,12,0)),0)</f>
        <v>0</v>
      </c>
      <c r="S1780" s="11">
        <f t="shared" si="591"/>
        <v>0</v>
      </c>
      <c r="T1780" s="11">
        <f t="shared" si="592"/>
        <v>0</v>
      </c>
      <c r="U1780" s="11">
        <f>IF(A1779=A1780,0,VLOOKUP(A1780,'Packing Time'!A:F,6,0))</f>
        <v>0</v>
      </c>
      <c r="V1780" s="11">
        <f t="shared" si="595"/>
        <v>0</v>
      </c>
      <c r="W1780" s="11">
        <f t="shared" si="596"/>
        <v>0</v>
      </c>
      <c r="X1780" s="11">
        <f t="shared" si="549"/>
        <v>0</v>
      </c>
      <c r="Y1780" s="11">
        <f t="shared" si="597"/>
        <v>0</v>
      </c>
      <c r="Z1780" s="37">
        <v>1</v>
      </c>
      <c r="AA1780" s="36">
        <f t="shared" si="550"/>
        <v>1</v>
      </c>
      <c r="AB1780" s="36">
        <f t="shared" si="551"/>
        <v>0.28000000000000003</v>
      </c>
      <c r="AC1780" s="11">
        <f t="shared" si="552"/>
        <v>0</v>
      </c>
      <c r="AD1780" s="36">
        <f t="shared" si="598"/>
        <v>0</v>
      </c>
      <c r="AE1780" s="36"/>
      <c r="AF1780" s="36">
        <f>IFERROR(VLOOKUP(AE1780,'Chemical Cost'!A:D,4,0),0)</f>
        <v>0</v>
      </c>
      <c r="AG1780" s="114">
        <f t="shared" si="553"/>
        <v>0</v>
      </c>
      <c r="AH1780" s="36">
        <f t="shared" si="599"/>
        <v>0</v>
      </c>
      <c r="AI1780" s="36">
        <f t="shared" si="600"/>
        <v>0.28000000000000003</v>
      </c>
      <c r="AJ1780" s="36">
        <f>IFERROR(VLOOKUP(A1780,'All Products'!A:F,6,0),0)</f>
        <v>0</v>
      </c>
      <c r="AK1780" s="36"/>
      <c r="AL1780" s="23">
        <v>1</v>
      </c>
      <c r="AP1780" s="4">
        <v>1.1000000000000001</v>
      </c>
      <c r="AR1780">
        <f>_xlfn.XLOOKUP(F1780,'RM Cost'!A:A,'RM Cost'!S:S)</f>
        <v>0</v>
      </c>
      <c r="AS1780" t="e">
        <f>_xlfn.XLOOKUP(A1780,[3]Sheet1!$B:$B,[3]Sheet1!$B:$B)</f>
        <v>#N/A</v>
      </c>
    </row>
    <row r="1781" spans="1:46" x14ac:dyDescent="0.25">
      <c r="A1781" t="s">
        <v>4726</v>
      </c>
      <c r="B1781" s="2" t="s">
        <v>552</v>
      </c>
      <c r="C1781" t="s">
        <v>4727</v>
      </c>
      <c r="D1781" s="1" t="s">
        <v>554</v>
      </c>
      <c r="E1781" s="2">
        <v>1</v>
      </c>
      <c r="F1781" s="1" t="str">
        <f>VLOOKUP(H1781,'RM Used'!A:B,2,0)</f>
        <v>3689CS</v>
      </c>
      <c r="G1781" s="1" t="str">
        <f>IFERROR(VLOOKUP(F1781,'RM Cost'!A:B,2,0),"")</f>
        <v>RM - BEEF TOMATO 1 X 7KG</v>
      </c>
      <c r="H1781" s="2" t="s">
        <v>1458</v>
      </c>
      <c r="I1781" s="1" t="str">
        <f>VLOOKUP(F1781,'RM Used'!B:D,3,0)</f>
        <v>RM-FOOD</v>
      </c>
      <c r="J1781" s="66">
        <v>1</v>
      </c>
      <c r="K1781" s="35">
        <f t="shared" si="593"/>
        <v>1</v>
      </c>
      <c r="L1781" s="35">
        <f t="shared" si="590"/>
        <v>1</v>
      </c>
      <c r="M1781" s="77" cm="1">
        <f t="array" ref="M1781">_xlfn.IFS(BOM!I1781="RM-PACKING","100%",B1781="Reynolds",VLOOKUP(H1781,'Yield &amp; Time'!A:V,22,0),BOM!B1781="Dnata",VLOOKUP(BOM!H1781,'Yield &amp; Time'!A:M,13,0),B1781="NK",VLOOKUP(H1781,'Yield &amp; Time'!A:X,24,0))</f>
        <v>0.76</v>
      </c>
      <c r="N1781" s="35">
        <f t="shared" si="594"/>
        <v>1.3157894736842106</v>
      </c>
      <c r="O1781" s="1" t="str">
        <f>VLOOKUP(H1781,'RM Used'!A:E,5,0)</f>
        <v>KG</v>
      </c>
      <c r="P1781" s="11">
        <f>VLOOKUP(H1781,'RM Used'!A:F,6,0)</f>
        <v>1.32</v>
      </c>
      <c r="Q1781" s="11">
        <f t="shared" si="555"/>
        <v>1.7368421052631582</v>
      </c>
      <c r="R1781" s="11">
        <f>IFERROR(IF(B1781="Reynolds",VLOOKUP(H1781,'Yield &amp; Time'!A:U,21,0),VLOOKUP(H1781,'Yield &amp; Time'!A:L,12,0)),0)</f>
        <v>1.4626834381551361</v>
      </c>
      <c r="S1781" s="11">
        <f t="shared" si="591"/>
        <v>0.49511834381551351</v>
      </c>
      <c r="T1781" s="11">
        <f t="shared" si="592"/>
        <v>2.4378057302585601E-2</v>
      </c>
      <c r="U1781" s="11">
        <f>IF(A1780=A1781,0,VLOOKUP(A1781,'Packing Time'!A:F,6,0))</f>
        <v>0.64500000000000002</v>
      </c>
      <c r="V1781" s="11">
        <f t="shared" si="595"/>
        <v>0.21833249999999998</v>
      </c>
      <c r="W1781" s="11">
        <f t="shared" si="596"/>
        <v>1.0750000000000001E-2</v>
      </c>
      <c r="X1781" s="11">
        <f t="shared" si="549"/>
        <v>1.1415213501048216</v>
      </c>
      <c r="Y1781" s="11">
        <f t="shared" si="597"/>
        <v>1.1415213501048216</v>
      </c>
      <c r="Z1781" s="37">
        <v>1</v>
      </c>
      <c r="AA1781" s="36">
        <f t="shared" si="550"/>
        <v>1.3157894736842106</v>
      </c>
      <c r="AB1781" s="36">
        <f t="shared" si="551"/>
        <v>1.7368421052631582</v>
      </c>
      <c r="AC1781" s="11">
        <f t="shared" si="552"/>
        <v>5.6204891684136962E-2</v>
      </c>
      <c r="AD1781" s="36">
        <f t="shared" si="598"/>
        <v>1.1415213501048216</v>
      </c>
      <c r="AE1781" s="36"/>
      <c r="AF1781" s="36">
        <f>IFERROR(VLOOKUP(AE1781,'Chemical Cost'!A:D,4,0),0)</f>
        <v>0</v>
      </c>
      <c r="AG1781" s="114">
        <f t="shared" si="553"/>
        <v>0</v>
      </c>
      <c r="AH1781" s="36">
        <f t="shared" si="599"/>
        <v>0</v>
      </c>
      <c r="AI1781" s="36">
        <f t="shared" si="600"/>
        <v>2.87836345536798</v>
      </c>
      <c r="AJ1781" s="36">
        <f>IFERROR(VLOOKUP(A1781,'All Products'!A:F,6,0),0)</f>
        <v>0</v>
      </c>
      <c r="AK1781" s="36"/>
      <c r="AL1781" s="23"/>
      <c r="AM1781" s="23">
        <v>1</v>
      </c>
      <c r="AN1781" s="54" t="e">
        <v>#N/A</v>
      </c>
      <c r="AO1781" s="47"/>
      <c r="AP1781" s="4">
        <v>1.6</v>
      </c>
      <c r="AQ1781" s="111">
        <f t="shared" ref="AQ1781:AQ1800" si="601">(((R1781*J1781*E1781)+U1781)/60)*AP1781</f>
        <v>5.6204891684136962E-2</v>
      </c>
      <c r="AR1781">
        <f>_xlfn.XLOOKUP(F1781,'RM Cost'!A:A,'RM Cost'!S:S)</f>
        <v>0</v>
      </c>
      <c r="AS1781" t="str">
        <f>_xlfn.XLOOKUP(A1781,[3]Sheet1!$B:$B,[3]Sheet1!$B:$B)</f>
        <v>305CCS</v>
      </c>
      <c r="AT1781">
        <f>_xlfn.XLOOKUP(H1781,'Yield &amp; Time'!A:A,'Yield &amp; Time'!F:F)</f>
        <v>0</v>
      </c>
    </row>
    <row r="1782" spans="1:46" x14ac:dyDescent="0.25">
      <c r="A1782" t="s">
        <v>4726</v>
      </c>
      <c r="B1782" s="2" t="s">
        <v>552</v>
      </c>
      <c r="C1782" t="s">
        <v>4727</v>
      </c>
      <c r="D1782" s="1" t="s">
        <v>554</v>
      </c>
      <c r="E1782" s="2">
        <v>1</v>
      </c>
      <c r="F1782" s="1" t="str">
        <f>VLOOKUP(H1782,'RM Used'!A:B,2,0)</f>
        <v>P0006</v>
      </c>
      <c r="G1782" s="1" t="str">
        <f>IFERROR(VLOOKUP(F1782,'RM Cost'!A:B,2,0),"")</f>
        <v>HDPE TRAY 573</v>
      </c>
      <c r="H1782" s="2" t="s">
        <v>4666</v>
      </c>
      <c r="I1782" s="1" t="str">
        <f>VLOOKUP(F1782,'RM Used'!B:D,3,0)</f>
        <v>RM-PACKING</v>
      </c>
      <c r="J1782" s="66">
        <v>1</v>
      </c>
      <c r="K1782" s="35" t="str">
        <f t="shared" si="593"/>
        <v/>
      </c>
      <c r="L1782" s="35">
        <f t="shared" si="590"/>
        <v>0</v>
      </c>
      <c r="M1782" s="77" t="str" cm="1">
        <f t="array" ref="M1782">_xlfn.IFS(BOM!I1782="RM-PACKING","100%",B1782="Reynolds",VLOOKUP(H1782,'Yield &amp; Time'!A:V,22,0),BOM!B1782="Dnata",VLOOKUP(BOM!H1782,'Yield &amp; Time'!A:M,13,0),B1782="NK",VLOOKUP(H1782,'Yield &amp; Time'!A:X,24,0))</f>
        <v>100%</v>
      </c>
      <c r="N1782" s="35">
        <f t="shared" si="594"/>
        <v>1</v>
      </c>
      <c r="O1782" s="1" t="str">
        <f>VLOOKUP(H1782,'RM Used'!A:E,5,0)</f>
        <v>Count</v>
      </c>
      <c r="P1782" s="11">
        <f>VLOOKUP(H1782,'RM Used'!A:F,6,0)</f>
        <v>0.57999999999999996</v>
      </c>
      <c r="Q1782" s="11">
        <f t="shared" si="555"/>
        <v>0.57999999999999996</v>
      </c>
      <c r="R1782" s="11">
        <f>IFERROR(IF(B1782="Reynolds",VLOOKUP(H1782,'Yield &amp; Time'!A:U,21,0),VLOOKUP(H1782,'Yield &amp; Time'!A:L,12,0)),0)</f>
        <v>0</v>
      </c>
      <c r="S1782" s="11">
        <f t="shared" si="591"/>
        <v>0</v>
      </c>
      <c r="T1782" s="11">
        <f t="shared" si="592"/>
        <v>0</v>
      </c>
      <c r="U1782" s="11">
        <f>IF(A1781=A1782,0,VLOOKUP(A1782,'Packing Time'!A:F,6,0))</f>
        <v>0</v>
      </c>
      <c r="V1782" s="11">
        <f t="shared" si="595"/>
        <v>0</v>
      </c>
      <c r="W1782" s="11">
        <f t="shared" si="596"/>
        <v>0</v>
      </c>
      <c r="X1782" s="11">
        <f t="shared" si="549"/>
        <v>0</v>
      </c>
      <c r="Y1782" s="11">
        <f t="shared" si="597"/>
        <v>0</v>
      </c>
      <c r="Z1782" s="37">
        <v>1</v>
      </c>
      <c r="AA1782" s="36">
        <f t="shared" si="550"/>
        <v>1</v>
      </c>
      <c r="AB1782" s="36">
        <f t="shared" si="551"/>
        <v>0.57999999999999996</v>
      </c>
      <c r="AC1782" s="11">
        <f t="shared" si="552"/>
        <v>0</v>
      </c>
      <c r="AD1782" s="36">
        <f t="shared" si="598"/>
        <v>0</v>
      </c>
      <c r="AE1782" s="36"/>
      <c r="AF1782" s="36">
        <f>IFERROR(VLOOKUP(AE1782,'Chemical Cost'!A:D,4,0),0)</f>
        <v>0</v>
      </c>
      <c r="AG1782" s="114">
        <f t="shared" si="553"/>
        <v>0</v>
      </c>
      <c r="AH1782" s="36">
        <f t="shared" si="599"/>
        <v>0</v>
      </c>
      <c r="AI1782" s="36">
        <f t="shared" si="600"/>
        <v>0.57999999999999996</v>
      </c>
      <c r="AJ1782" s="36">
        <f>IFERROR(VLOOKUP(A1782,'All Products'!A:F,6,0),0)</f>
        <v>0</v>
      </c>
      <c r="AK1782" s="36"/>
      <c r="AL1782" s="23"/>
      <c r="AM1782" s="23">
        <v>1</v>
      </c>
      <c r="AN1782" s="54" t="e">
        <v>#N/A</v>
      </c>
      <c r="AO1782" s="47"/>
      <c r="AP1782" s="4">
        <v>1.6</v>
      </c>
      <c r="AQ1782" s="111">
        <f t="shared" si="601"/>
        <v>0</v>
      </c>
      <c r="AR1782">
        <f>_xlfn.XLOOKUP(F1782,'RM Cost'!A:A,'RM Cost'!S:S)</f>
        <v>0</v>
      </c>
      <c r="AS1782" t="str">
        <f>_xlfn.XLOOKUP(A1782,[3]Sheet1!$B:$B,[3]Sheet1!$B:$B)</f>
        <v>305CCS</v>
      </c>
      <c r="AT1782" t="e">
        <f>_xlfn.XLOOKUP(H1782,'Yield &amp; Time'!A:A,'Yield &amp; Time'!F:F)</f>
        <v>#N/A</v>
      </c>
    </row>
    <row r="1783" spans="1:46" x14ac:dyDescent="0.25">
      <c r="A1783" t="s">
        <v>4726</v>
      </c>
      <c r="B1783" s="2" t="s">
        <v>552</v>
      </c>
      <c r="C1783" t="s">
        <v>4727</v>
      </c>
      <c r="D1783" s="1" t="s">
        <v>554</v>
      </c>
      <c r="E1783" s="2">
        <v>1</v>
      </c>
      <c r="F1783" s="1" t="str">
        <f>VLOOKUP(H1783,'RM Used'!A:B,2,0)</f>
        <v>P0022</v>
      </c>
      <c r="G1783" s="1" t="str">
        <f>IFERROR(VLOOKUP(F1783,'RM Cost'!A:B,2,0),"")</f>
        <v>FILM FOR HDPE TRAY 573</v>
      </c>
      <c r="H1783" s="2" t="s">
        <v>4667</v>
      </c>
      <c r="I1783" s="1" t="str">
        <f>VLOOKUP(F1783,'RM Used'!B:D,3,0)</f>
        <v>RM-PACKING</v>
      </c>
      <c r="J1783" s="66">
        <v>1</v>
      </c>
      <c r="K1783" s="35" t="str">
        <f t="shared" si="593"/>
        <v/>
      </c>
      <c r="L1783" s="35">
        <f t="shared" si="590"/>
        <v>0</v>
      </c>
      <c r="M1783" s="77" t="str" cm="1">
        <f t="array" ref="M1783">_xlfn.IFS(BOM!I1783="RM-PACKING","100%",B1783="Reynolds",VLOOKUP(H1783,'Yield &amp; Time'!A:V,22,0),BOM!B1783="Dnata",VLOOKUP(BOM!H1783,'Yield &amp; Time'!A:M,13,0),B1783="NK",VLOOKUP(H1783,'Yield &amp; Time'!A:X,24,0))</f>
        <v>100%</v>
      </c>
      <c r="N1783" s="35">
        <f t="shared" si="594"/>
        <v>1</v>
      </c>
      <c r="O1783" s="1" t="str">
        <f>VLOOKUP(H1783,'RM Used'!A:E,5,0)</f>
        <v>Count</v>
      </c>
      <c r="P1783" s="11">
        <f>VLOOKUP(H1783,'RM Used'!A:F,6,0)</f>
        <v>0.05</v>
      </c>
      <c r="Q1783" s="11">
        <f t="shared" si="555"/>
        <v>0.05</v>
      </c>
      <c r="R1783" s="11">
        <f>IFERROR(IF(B1783="Reynolds",VLOOKUP(H1783,'Yield &amp; Time'!A:U,21,0),VLOOKUP(H1783,'Yield &amp; Time'!A:L,12,0)),0)</f>
        <v>0</v>
      </c>
      <c r="S1783" s="11">
        <f t="shared" si="591"/>
        <v>0</v>
      </c>
      <c r="T1783" s="11">
        <f t="shared" si="592"/>
        <v>0</v>
      </c>
      <c r="U1783" s="11">
        <f>IF(A1782=A1783,0,VLOOKUP(A1783,'Packing Time'!A:F,6,0))</f>
        <v>0</v>
      </c>
      <c r="V1783" s="11">
        <f t="shared" si="595"/>
        <v>0</v>
      </c>
      <c r="W1783" s="11">
        <f t="shared" si="596"/>
        <v>0</v>
      </c>
      <c r="X1783" s="11">
        <f t="shared" si="549"/>
        <v>0</v>
      </c>
      <c r="Y1783" s="11">
        <f t="shared" si="597"/>
        <v>0</v>
      </c>
      <c r="Z1783" s="37">
        <v>1</v>
      </c>
      <c r="AA1783" s="36">
        <f t="shared" si="550"/>
        <v>1</v>
      </c>
      <c r="AB1783" s="36">
        <f t="shared" si="551"/>
        <v>0.05</v>
      </c>
      <c r="AC1783" s="11">
        <f t="shared" si="552"/>
        <v>0</v>
      </c>
      <c r="AD1783" s="36">
        <f t="shared" si="598"/>
        <v>0</v>
      </c>
      <c r="AE1783" s="36"/>
      <c r="AF1783" s="36">
        <f>IFERROR(VLOOKUP(AE1783,'Chemical Cost'!A:D,4,0),0)</f>
        <v>0</v>
      </c>
      <c r="AG1783" s="114">
        <f t="shared" si="553"/>
        <v>0</v>
      </c>
      <c r="AH1783" s="36">
        <f t="shared" si="599"/>
        <v>0</v>
      </c>
      <c r="AI1783" s="36">
        <f t="shared" si="600"/>
        <v>0.05</v>
      </c>
      <c r="AJ1783" s="36">
        <f>IFERROR(VLOOKUP(A1783,'All Products'!A:F,6,0),0)</f>
        <v>0</v>
      </c>
      <c r="AK1783" s="36"/>
      <c r="AL1783" s="23"/>
      <c r="AM1783" s="23">
        <v>1</v>
      </c>
      <c r="AN1783" s="54" t="e">
        <v>#N/A</v>
      </c>
      <c r="AO1783" s="47"/>
      <c r="AP1783" s="4">
        <v>1.6</v>
      </c>
      <c r="AQ1783" s="111">
        <f t="shared" si="601"/>
        <v>0</v>
      </c>
      <c r="AR1783">
        <f>_xlfn.XLOOKUP(F1783,'RM Cost'!A:A,'RM Cost'!S:S)</f>
        <v>0</v>
      </c>
      <c r="AS1783" t="str">
        <f>_xlfn.XLOOKUP(A1783,[3]Sheet1!$B:$B,[3]Sheet1!$B:$B)</f>
        <v>305CCS</v>
      </c>
      <c r="AT1783" t="e">
        <f>_xlfn.XLOOKUP(H1783,'Yield &amp; Time'!A:A,'Yield &amp; Time'!F:F)</f>
        <v>#N/A</v>
      </c>
    </row>
    <row r="1784" spans="1:46" x14ac:dyDescent="0.25">
      <c r="A1784" t="s">
        <v>4726</v>
      </c>
      <c r="B1784" s="2" t="s">
        <v>552</v>
      </c>
      <c r="C1784" t="s">
        <v>4727</v>
      </c>
      <c r="D1784" s="1" t="s">
        <v>554</v>
      </c>
      <c r="E1784" s="2">
        <v>1</v>
      </c>
      <c r="F1784" s="1" t="str">
        <f>VLOOKUP(H1784,'RM Used'!A:B,2,0)</f>
        <v>P0016</v>
      </c>
      <c r="G1784" s="1" t="str">
        <f>IFERROR(VLOOKUP(F1784,'RM Cost'!A:B,2,0),"")</f>
        <v>REY 40 30 BOX</v>
      </c>
      <c r="H1784" s="2" t="s">
        <v>1332</v>
      </c>
      <c r="I1784" s="1" t="str">
        <f>VLOOKUP(F1784,'RM Used'!B:D,3,0)</f>
        <v>RM-PACKING</v>
      </c>
      <c r="J1784" s="66">
        <v>1</v>
      </c>
      <c r="K1784" s="35" t="str">
        <f t="shared" ref="K1784:K1800" si="602">IF(I1784="RM-FOOD",J1784*E1784,"")</f>
        <v/>
      </c>
      <c r="L1784" s="35">
        <f t="shared" si="590"/>
        <v>0</v>
      </c>
      <c r="M1784" s="77" t="str" cm="1">
        <f t="array" ref="M1784">_xlfn.IFS(BOM!I1784="RM-PACKING","100%",B1784="Reynolds",VLOOKUP(H1784,'Yield &amp; Time'!A:V,22,0),BOM!B1784="Dnata",VLOOKUP(BOM!H1784,'Yield &amp; Time'!A:M,13,0),B1784="NK",VLOOKUP(H1784,'Yield &amp; Time'!A:X,24,0))</f>
        <v>100%</v>
      </c>
      <c r="N1784" s="35">
        <f t="shared" ref="N1784:N1790" si="603">IFERROR(IF(I1784="RM-FOOD",(E1784*J1784)/M1784,1),0)</f>
        <v>1</v>
      </c>
      <c r="O1784" s="1" t="str">
        <f>VLOOKUP(H1784,'RM Used'!A:E,5,0)</f>
        <v>Count</v>
      </c>
      <c r="P1784" s="11">
        <f>VLOOKUP(H1784,'RM Used'!A:F,6,0)</f>
        <v>0.28000000000000003</v>
      </c>
      <c r="Q1784" s="11">
        <f t="shared" si="555"/>
        <v>0.28000000000000003</v>
      </c>
      <c r="R1784" s="11">
        <f>IFERROR(IF(B1784="Reynolds",VLOOKUP(H1784,'Yield &amp; Time'!A:U,21,0),VLOOKUP(H1784,'Yield &amp; Time'!A:L,12,0)),0)</f>
        <v>0</v>
      </c>
      <c r="S1784" s="11">
        <f t="shared" si="591"/>
        <v>0</v>
      </c>
      <c r="T1784" s="11">
        <f t="shared" si="592"/>
        <v>0</v>
      </c>
      <c r="U1784" s="11">
        <f>IF(A1783=A1784,0,VLOOKUP(A1784,'Packing Time'!A:F,6,0))</f>
        <v>0</v>
      </c>
      <c r="V1784" s="11">
        <f t="shared" ref="V1784:V1800" si="604">U1784*AO$1</f>
        <v>0</v>
      </c>
      <c r="W1784" s="11">
        <f t="shared" ref="W1784:W1800" si="605">(U1784*Z1784)/60</f>
        <v>0</v>
      </c>
      <c r="X1784" s="11">
        <f t="shared" si="549"/>
        <v>0</v>
      </c>
      <c r="Y1784" s="11">
        <f t="shared" ref="Y1784:Y1800" si="606">X1784*Z1784</f>
        <v>0</v>
      </c>
      <c r="Z1784" s="37">
        <v>1</v>
      </c>
      <c r="AA1784" s="36">
        <f t="shared" si="550"/>
        <v>1</v>
      </c>
      <c r="AB1784" s="36">
        <f t="shared" si="551"/>
        <v>0.28000000000000003</v>
      </c>
      <c r="AC1784" s="11">
        <f t="shared" si="552"/>
        <v>0</v>
      </c>
      <c r="AD1784" s="36">
        <f t="shared" ref="AD1784:AD1800" si="607">AC1784*60*AO$1</f>
        <v>0</v>
      </c>
      <c r="AE1784" s="36"/>
      <c r="AF1784" s="36">
        <f>IFERROR(VLOOKUP(AE1784,'Chemical Cost'!A:D,4,0),0)</f>
        <v>0</v>
      </c>
      <c r="AG1784" s="114">
        <f t="shared" si="553"/>
        <v>0</v>
      </c>
      <c r="AH1784" s="36">
        <f t="shared" ref="AH1784:AH1800" si="608">AF1784*AA1784/3</f>
        <v>0</v>
      </c>
      <c r="AI1784" s="36">
        <f t="shared" ref="AI1784:AI1800" si="609">IFERROR((Q1784*Z1784)+(Z1784*X1784)+AH1784,0)</f>
        <v>0.28000000000000003</v>
      </c>
      <c r="AJ1784" s="36">
        <f>IFERROR(VLOOKUP(A1784,'All Products'!A:F,6,0),0)</f>
        <v>0</v>
      </c>
      <c r="AK1784" s="36"/>
      <c r="AL1784" s="23"/>
      <c r="AM1784" s="23">
        <v>1</v>
      </c>
      <c r="AN1784" s="54" t="e">
        <v>#N/A</v>
      </c>
      <c r="AO1784" s="47"/>
      <c r="AP1784" s="4">
        <v>1.6</v>
      </c>
      <c r="AQ1784" s="111">
        <f t="shared" si="601"/>
        <v>0</v>
      </c>
      <c r="AR1784">
        <f>_xlfn.XLOOKUP(F1784,'RM Cost'!A:A,'RM Cost'!S:S)</f>
        <v>0</v>
      </c>
      <c r="AS1784" t="str">
        <f>_xlfn.XLOOKUP(A1784,[3]Sheet1!$B:$B,[3]Sheet1!$B:$B)</f>
        <v>305CCS</v>
      </c>
      <c r="AT1784" t="e">
        <f>_xlfn.XLOOKUP(H1784,'Yield &amp; Time'!A:A,'Yield &amp; Time'!F:F)</f>
        <v>#N/A</v>
      </c>
    </row>
    <row r="1785" spans="1:46" x14ac:dyDescent="0.25">
      <c r="A1785" s="101" t="s">
        <v>4729</v>
      </c>
      <c r="B1785" s="2" t="s">
        <v>552</v>
      </c>
      <c r="C1785" s="2" t="s">
        <v>105</v>
      </c>
      <c r="D1785" s="2" t="s">
        <v>554</v>
      </c>
      <c r="E1785" s="2">
        <v>2.7</v>
      </c>
      <c r="F1785" s="1" t="str">
        <f>VLOOKUP(H1785,'RM Used'!A:B,2,0)</f>
        <v>2792CS</v>
      </c>
      <c r="G1785" s="1" t="str">
        <f>IFERROR(VLOOKUP(F1785,'RM Cost'!A:B,2,0),"")</f>
        <v>RM - MELON ORANGE FLESH X 6</v>
      </c>
      <c r="H1785" s="2" t="s">
        <v>1461</v>
      </c>
      <c r="I1785" s="1" t="str">
        <f>VLOOKUP(F1785,'RM Used'!B:D,3,0)</f>
        <v>RM-FOOD</v>
      </c>
      <c r="J1785" s="66">
        <v>0.7407407407407407</v>
      </c>
      <c r="K1785" s="35">
        <f t="shared" si="602"/>
        <v>2</v>
      </c>
      <c r="L1785" s="35">
        <f t="shared" si="590"/>
        <v>2</v>
      </c>
      <c r="M1785" s="77" cm="1">
        <f t="array" ref="M1785">_xlfn.IFS(BOM!I1785="RM-PACKING","100%",B1785="Reynolds",VLOOKUP(H1785,'Yield &amp; Time'!A:V,22,0),BOM!B1785="Dnata",VLOOKUP(BOM!H1785,'Yield &amp; Time'!A:M,13,0),B1785="NK",VLOOKUP(H1785,'Yield &amp; Time'!A:X,24,0))</f>
        <v>0.42430939226519337</v>
      </c>
      <c r="N1785" s="35">
        <f t="shared" si="603"/>
        <v>4.713541666666667</v>
      </c>
      <c r="O1785" s="1" t="str">
        <f>VLOOKUP(H1785,'RM Used'!A:E,5,0)</f>
        <v>KG</v>
      </c>
      <c r="P1785" s="11">
        <f>VLOOKUP(H1785,'RM Used'!A:F,6,0)</f>
        <v>1.32</v>
      </c>
      <c r="Q1785" s="11">
        <f t="shared" si="555"/>
        <v>6.2218750000000007</v>
      </c>
      <c r="R1785" s="11">
        <f>IFERROR(IF(B1785="Reynolds",VLOOKUP(H1785,'Yield &amp; Time'!A:U,21,0),VLOOKUP(H1785,'Yield &amp; Time'!A:L,12,0)),0)</f>
        <v>3.3527777777777779</v>
      </c>
      <c r="S1785" s="11">
        <f t="shared" si="591"/>
        <v>2.2698305555555556</v>
      </c>
      <c r="T1785" s="11">
        <f t="shared" si="592"/>
        <v>0.11175925925925928</v>
      </c>
      <c r="U1785" s="11">
        <f>IF(A1784=A1785,0,VLOOKUP(A1785,'Packing Time'!A:F,6,0))</f>
        <v>0.8</v>
      </c>
      <c r="V1785" s="11">
        <f t="shared" si="604"/>
        <v>0.27079999999999999</v>
      </c>
      <c r="W1785" s="11">
        <f t="shared" si="605"/>
        <v>1.3333333333333334E-2</v>
      </c>
      <c r="X1785" s="11">
        <f t="shared" si="549"/>
        <v>4.0650088888888893</v>
      </c>
      <c r="Y1785" s="11">
        <f t="shared" si="606"/>
        <v>4.0650088888888893</v>
      </c>
      <c r="Z1785" s="37">
        <v>1</v>
      </c>
      <c r="AA1785" s="36">
        <f t="shared" si="550"/>
        <v>4.713541666666667</v>
      </c>
      <c r="AB1785" s="36">
        <f t="shared" si="551"/>
        <v>6.2218750000000007</v>
      </c>
      <c r="AC1785" s="11">
        <f t="shared" si="552"/>
        <v>0.20014814814814819</v>
      </c>
      <c r="AD1785" s="36">
        <f t="shared" si="607"/>
        <v>4.0650088888888893</v>
      </c>
      <c r="AE1785" s="36"/>
      <c r="AF1785" s="36">
        <f>IFERROR(VLOOKUP(AE1785,'Chemical Cost'!A:D,4,0),0)</f>
        <v>0</v>
      </c>
      <c r="AG1785" s="114">
        <f t="shared" si="553"/>
        <v>0</v>
      </c>
      <c r="AH1785" s="36">
        <f t="shared" si="608"/>
        <v>0</v>
      </c>
      <c r="AI1785" s="36">
        <f t="shared" si="609"/>
        <v>10.286883888888891</v>
      </c>
      <c r="AJ1785" s="36">
        <f>IFERROR(VLOOKUP(A1785,'All Products'!A:F,6,0),0)</f>
        <v>16.3</v>
      </c>
      <c r="AK1785" s="36"/>
      <c r="AL1785" s="23"/>
      <c r="AM1785" s="23">
        <v>1</v>
      </c>
      <c r="AN1785" s="54" t="e">
        <v>#N/A</v>
      </c>
      <c r="AO1785" s="47"/>
      <c r="AP1785" s="4">
        <v>1.6</v>
      </c>
      <c r="AQ1785" s="111">
        <f t="shared" si="601"/>
        <v>0.20014814814814819</v>
      </c>
      <c r="AR1785">
        <f>_xlfn.XLOOKUP(F1785,'RM Cost'!A:A,'RM Cost'!S:S)</f>
        <v>0</v>
      </c>
      <c r="AS1785" t="str">
        <f>_xlfn.XLOOKUP(A1785,[3]Sheet1!$B:$B,[3]Sheet1!$B:$B)</f>
        <v>P1865CS</v>
      </c>
      <c r="AT1785" t="str">
        <f>_xlfn.XLOOKUP(H1785,'Yield &amp; Time'!A:A,'Yield &amp; Time'!O:O)</f>
        <v>Yes</v>
      </c>
    </row>
    <row r="1786" spans="1:46" x14ac:dyDescent="0.25">
      <c r="A1786" s="101" t="s">
        <v>4729</v>
      </c>
      <c r="B1786" s="2" t="s">
        <v>552</v>
      </c>
      <c r="C1786" s="2" t="s">
        <v>105</v>
      </c>
      <c r="D1786" s="2" t="s">
        <v>554</v>
      </c>
      <c r="E1786" s="2">
        <v>2.7</v>
      </c>
      <c r="F1786" s="1" t="str">
        <f>VLOOKUP(H1786,'RM Used'!A:B,2,0)</f>
        <v>8929CS</v>
      </c>
      <c r="G1786" s="1" t="str">
        <f>IFERROR(VLOOKUP(F1786,'RM Cost'!A:B,2,0),"")</f>
        <v>GRANULATED SUGAR 1 X 25K</v>
      </c>
      <c r="H1786" s="2" t="s">
        <v>1757</v>
      </c>
      <c r="I1786" s="1" t="str">
        <f>VLOOKUP(F1786,'RM Used'!B:D,3,0)</f>
        <v>RM-FOOD</v>
      </c>
      <c r="J1786" s="66">
        <v>0.25925925925925924</v>
      </c>
      <c r="K1786" s="35">
        <f t="shared" si="602"/>
        <v>0.7</v>
      </c>
      <c r="L1786" s="35">
        <f t="shared" si="590"/>
        <v>0.7</v>
      </c>
      <c r="M1786" s="77" cm="1">
        <f t="array" ref="M1786">_xlfn.IFS(BOM!I1786="RM-PACKING","100%",B1786="Reynolds",VLOOKUP(H1786,'Yield &amp; Time'!A:V,22,0),BOM!B1786="Dnata",VLOOKUP(BOM!H1786,'Yield &amp; Time'!A:M,13,0),B1786="NK",VLOOKUP(H1786,'Yield &amp; Time'!A:X,24,0))</f>
        <v>1</v>
      </c>
      <c r="N1786" s="35">
        <f t="shared" si="603"/>
        <v>0.7</v>
      </c>
      <c r="O1786" s="1" t="str">
        <f>VLOOKUP(H1786,'RM Used'!A:E,5,0)</f>
        <v>KG</v>
      </c>
      <c r="P1786" s="11">
        <f>VLOOKUP(H1786,'RM Used'!A:F,6,0)</f>
        <v>6.3E-2</v>
      </c>
      <c r="Q1786" s="11">
        <f t="shared" si="555"/>
        <v>4.41E-2</v>
      </c>
      <c r="R1786" s="11">
        <f>IFERROR(IF(B1786="Reynolds",VLOOKUP(H1786,'Yield &amp; Time'!A:U,21,0),VLOOKUP(H1786,'Yield &amp; Time'!A:L,12,0)),0)</f>
        <v>0.16666666666666666</v>
      </c>
      <c r="S1786" s="11">
        <f t="shared" si="591"/>
        <v>3.9491666666666661E-2</v>
      </c>
      <c r="T1786" s="11">
        <f t="shared" si="592"/>
        <v>1.9444444444444444E-3</v>
      </c>
      <c r="U1786" s="11">
        <f>IF(A1785=A1786,0,VLOOKUP(A1786,'Packing Time'!A:F,6,0))</f>
        <v>0</v>
      </c>
      <c r="V1786" s="11">
        <f t="shared" si="604"/>
        <v>0</v>
      </c>
      <c r="W1786" s="11">
        <f t="shared" si="605"/>
        <v>0</v>
      </c>
      <c r="X1786" s="11">
        <f t="shared" si="549"/>
        <v>6.3186666666666655E-2</v>
      </c>
      <c r="Y1786" s="11">
        <f t="shared" si="606"/>
        <v>6.3186666666666655E-2</v>
      </c>
      <c r="Z1786" s="37">
        <v>1</v>
      </c>
      <c r="AA1786" s="36">
        <f t="shared" si="550"/>
        <v>0.7</v>
      </c>
      <c r="AB1786" s="36">
        <f t="shared" si="551"/>
        <v>4.41E-2</v>
      </c>
      <c r="AC1786" s="11">
        <f t="shared" si="552"/>
        <v>3.1111111111111114E-3</v>
      </c>
      <c r="AD1786" s="36">
        <f t="shared" si="607"/>
        <v>6.3186666666666669E-2</v>
      </c>
      <c r="AE1786" s="36"/>
      <c r="AF1786" s="36">
        <f>IFERROR(VLOOKUP(AE1786,'Chemical Cost'!A:D,4,0),0)</f>
        <v>0</v>
      </c>
      <c r="AG1786" s="114">
        <f t="shared" si="553"/>
        <v>0</v>
      </c>
      <c r="AH1786" s="36">
        <f t="shared" si="608"/>
        <v>0</v>
      </c>
      <c r="AI1786" s="36">
        <f t="shared" si="609"/>
        <v>0.10728666666666666</v>
      </c>
      <c r="AJ1786" s="36">
        <f>IFERROR(VLOOKUP(A1786,'All Products'!A:F,6,0),0)</f>
        <v>16.3</v>
      </c>
      <c r="AK1786" s="36"/>
      <c r="AL1786" s="23"/>
      <c r="AM1786" s="23">
        <v>1</v>
      </c>
      <c r="AN1786" s="54" t="e">
        <v>#N/A</v>
      </c>
      <c r="AO1786" s="47"/>
      <c r="AP1786" s="4">
        <v>1.6</v>
      </c>
      <c r="AQ1786" s="111">
        <f t="shared" si="601"/>
        <v>3.1111111111111114E-3</v>
      </c>
      <c r="AR1786">
        <f>_xlfn.XLOOKUP(F1786,'RM Cost'!A:A,'RM Cost'!S:S)</f>
        <v>0</v>
      </c>
      <c r="AS1786" t="str">
        <f>_xlfn.XLOOKUP(A1786,[3]Sheet1!$B:$B,[3]Sheet1!$B:$B)</f>
        <v>P1865CS</v>
      </c>
      <c r="AT1786">
        <f>_xlfn.XLOOKUP(H1786,'Yield &amp; Time'!A:A,'Yield &amp; Time'!F:F)</f>
        <v>0</v>
      </c>
    </row>
    <row r="1787" spans="1:46" x14ac:dyDescent="0.25">
      <c r="A1787" s="101" t="s">
        <v>4729</v>
      </c>
      <c r="B1787" s="2" t="s">
        <v>552</v>
      </c>
      <c r="C1787" s="2" t="s">
        <v>105</v>
      </c>
      <c r="D1787" s="2" t="s">
        <v>554</v>
      </c>
      <c r="E1787" s="2">
        <v>2.7</v>
      </c>
      <c r="F1787" s="1" t="str">
        <f>VLOOKUP(H1787,'RM Used'!A:B,2,0)</f>
        <v>P0010</v>
      </c>
      <c r="G1787" s="1" t="str">
        <f>IFERROR(VLOOKUP(F1787,'RM Cost'!A:B,2,0),"")</f>
        <v>BUCKET 3L PJET</v>
      </c>
      <c r="H1787" s="2" t="s">
        <v>4672</v>
      </c>
      <c r="I1787" s="1" t="str">
        <f>VLOOKUP(F1787,'RM Used'!B:D,3,0)</f>
        <v>RM-PACKING</v>
      </c>
      <c r="J1787" s="66">
        <v>1</v>
      </c>
      <c r="K1787" s="35" t="str">
        <f t="shared" si="602"/>
        <v/>
      </c>
      <c r="L1787" s="35">
        <f t="shared" si="590"/>
        <v>0</v>
      </c>
      <c r="M1787" s="77" t="str" cm="1">
        <f t="array" ref="M1787">_xlfn.IFS(BOM!I1787="RM-PACKING","100%",B1787="Reynolds",VLOOKUP(H1787,'Yield &amp; Time'!A:V,22,0),BOM!B1787="Dnata",VLOOKUP(BOM!H1787,'Yield &amp; Time'!A:M,13,0),B1787="NK",VLOOKUP(H1787,'Yield &amp; Time'!A:X,24,0))</f>
        <v>100%</v>
      </c>
      <c r="N1787" s="35">
        <f t="shared" si="603"/>
        <v>1</v>
      </c>
      <c r="O1787" s="1" t="str">
        <f>VLOOKUP(H1787,'RM Used'!A:E,5,0)</f>
        <v>Count</v>
      </c>
      <c r="P1787" s="11">
        <f>VLOOKUP(H1787,'RM Used'!A:F,6,0)</f>
        <v>0.56000000000000005</v>
      </c>
      <c r="Q1787" s="11">
        <f t="shared" si="555"/>
        <v>0.56000000000000005</v>
      </c>
      <c r="R1787" s="11">
        <f>IFERROR(IF(B1787="Reynolds",VLOOKUP(H1787,'Yield &amp; Time'!A:U,21,0),VLOOKUP(H1787,'Yield &amp; Time'!A:L,12,0)),0)</f>
        <v>0</v>
      </c>
      <c r="S1787" s="11">
        <f t="shared" si="591"/>
        <v>0</v>
      </c>
      <c r="T1787" s="11">
        <f t="shared" si="592"/>
        <v>0</v>
      </c>
      <c r="U1787" s="11">
        <f>IF(A1786=A1787,0,VLOOKUP(A1787,'Packing Time'!A:F,6,0))</f>
        <v>0</v>
      </c>
      <c r="V1787" s="11">
        <f t="shared" si="604"/>
        <v>0</v>
      </c>
      <c r="W1787" s="11">
        <f t="shared" si="605"/>
        <v>0</v>
      </c>
      <c r="X1787" s="11">
        <f t="shared" si="549"/>
        <v>0</v>
      </c>
      <c r="Y1787" s="11">
        <f t="shared" si="606"/>
        <v>0</v>
      </c>
      <c r="Z1787" s="37">
        <v>1</v>
      </c>
      <c r="AA1787" s="36">
        <f t="shared" si="550"/>
        <v>1</v>
      </c>
      <c r="AB1787" s="36">
        <f t="shared" si="551"/>
        <v>0.56000000000000005</v>
      </c>
      <c r="AC1787" s="11">
        <f t="shared" si="552"/>
        <v>0</v>
      </c>
      <c r="AD1787" s="36">
        <f t="shared" si="607"/>
        <v>0</v>
      </c>
      <c r="AE1787" s="36"/>
      <c r="AF1787" s="36">
        <f>IFERROR(VLOOKUP(AE1787,'Chemical Cost'!A:D,4,0),0)</f>
        <v>0</v>
      </c>
      <c r="AG1787" s="114">
        <f t="shared" si="553"/>
        <v>0</v>
      </c>
      <c r="AH1787" s="36">
        <f t="shared" si="608"/>
        <v>0</v>
      </c>
      <c r="AI1787" s="36">
        <f t="shared" si="609"/>
        <v>0.56000000000000005</v>
      </c>
      <c r="AJ1787" s="36">
        <f>IFERROR(VLOOKUP(A1787,'All Products'!A:F,6,0),0)</f>
        <v>16.3</v>
      </c>
      <c r="AK1787" s="36"/>
      <c r="AL1787" s="23"/>
      <c r="AM1787" s="23">
        <v>1</v>
      </c>
      <c r="AN1787" s="54" t="e">
        <v>#N/A</v>
      </c>
      <c r="AO1787" s="47"/>
      <c r="AP1787" s="4">
        <v>1.6</v>
      </c>
      <c r="AQ1787" s="111">
        <f t="shared" si="601"/>
        <v>0</v>
      </c>
      <c r="AR1787">
        <f>_xlfn.XLOOKUP(F1787,'RM Cost'!A:A,'RM Cost'!S:S)</f>
        <v>0</v>
      </c>
      <c r="AS1787" t="str">
        <f>_xlfn.XLOOKUP(A1787,[3]Sheet1!$B:$B,[3]Sheet1!$B:$B)</f>
        <v>P1865CS</v>
      </c>
      <c r="AT1787" t="e">
        <f>_xlfn.XLOOKUP(H1787,'Yield &amp; Time'!A:A,'Yield &amp; Time'!F:F)</f>
        <v>#N/A</v>
      </c>
    </row>
    <row r="1788" spans="1:46" x14ac:dyDescent="0.25">
      <c r="A1788" s="101" t="s">
        <v>4729</v>
      </c>
      <c r="B1788" s="2" t="s">
        <v>552</v>
      </c>
      <c r="C1788" s="2" t="s">
        <v>105</v>
      </c>
      <c r="D1788" s="2" t="s">
        <v>554</v>
      </c>
      <c r="E1788" s="2">
        <v>2.7</v>
      </c>
      <c r="F1788" s="1" t="str">
        <f>VLOOKUP(H1788,'RM Used'!A:B,2,0)</f>
        <v>P0026</v>
      </c>
      <c r="G1788" s="1" t="str">
        <f>IFERROR(VLOOKUP(F1788,'RM Cost'!A:B,2,0),"")</f>
        <v>LID 2.2L PJET 2.2L-3.8L</v>
      </c>
      <c r="H1788" s="2" t="s">
        <v>4673</v>
      </c>
      <c r="I1788" s="1" t="str">
        <f>VLOOKUP(F1788,'RM Used'!B:D,3,0)</f>
        <v>RM-PACKING</v>
      </c>
      <c r="J1788" s="66">
        <v>1</v>
      </c>
      <c r="K1788" s="35" t="str">
        <f t="shared" si="602"/>
        <v/>
      </c>
      <c r="L1788" s="35">
        <f t="shared" si="590"/>
        <v>0</v>
      </c>
      <c r="M1788" s="77" t="str" cm="1">
        <f t="array" ref="M1788">_xlfn.IFS(BOM!I1788="RM-PACKING","100%",B1788="Reynolds",VLOOKUP(H1788,'Yield &amp; Time'!A:V,22,0),BOM!B1788="Dnata",VLOOKUP(BOM!H1788,'Yield &amp; Time'!A:M,13,0),B1788="NK",VLOOKUP(H1788,'Yield &amp; Time'!A:X,24,0))</f>
        <v>100%</v>
      </c>
      <c r="N1788" s="35">
        <f t="shared" si="603"/>
        <v>1</v>
      </c>
      <c r="O1788" s="1" t="str">
        <f>VLOOKUP(H1788,'RM Used'!A:E,5,0)</f>
        <v>Count</v>
      </c>
      <c r="P1788" s="11">
        <f>VLOOKUP(H1788,'RM Used'!A:F,6,0)</f>
        <v>0.16</v>
      </c>
      <c r="Q1788" s="11">
        <f t="shared" si="555"/>
        <v>0.16</v>
      </c>
      <c r="R1788" s="11">
        <f>IFERROR(IF(B1788="Reynolds",VLOOKUP(H1788,'Yield &amp; Time'!A:U,21,0),VLOOKUP(H1788,'Yield &amp; Time'!A:L,12,0)),0)</f>
        <v>0</v>
      </c>
      <c r="S1788" s="11">
        <f t="shared" si="591"/>
        <v>0</v>
      </c>
      <c r="T1788" s="11">
        <f t="shared" si="592"/>
        <v>0</v>
      </c>
      <c r="U1788" s="11">
        <f>IF(A1787=A1788,0,VLOOKUP(A1788,'Packing Time'!A:F,6,0))</f>
        <v>0</v>
      </c>
      <c r="V1788" s="11">
        <f t="shared" si="604"/>
        <v>0</v>
      </c>
      <c r="W1788" s="11">
        <f t="shared" si="605"/>
        <v>0</v>
      </c>
      <c r="X1788" s="11">
        <f t="shared" si="549"/>
        <v>0</v>
      </c>
      <c r="Y1788" s="11">
        <f t="shared" si="606"/>
        <v>0</v>
      </c>
      <c r="Z1788" s="37">
        <v>1</v>
      </c>
      <c r="AA1788" s="36">
        <f t="shared" si="550"/>
        <v>1</v>
      </c>
      <c r="AB1788" s="36">
        <f t="shared" si="551"/>
        <v>0.16</v>
      </c>
      <c r="AC1788" s="11">
        <f t="shared" si="552"/>
        <v>0</v>
      </c>
      <c r="AD1788" s="36">
        <f t="shared" si="607"/>
        <v>0</v>
      </c>
      <c r="AE1788" s="36"/>
      <c r="AF1788" s="36">
        <f>IFERROR(VLOOKUP(AE1788,'Chemical Cost'!A:D,4,0),0)</f>
        <v>0</v>
      </c>
      <c r="AG1788" s="114">
        <f t="shared" si="553"/>
        <v>0</v>
      </c>
      <c r="AH1788" s="36">
        <f t="shared" si="608"/>
        <v>0</v>
      </c>
      <c r="AI1788" s="36">
        <f t="shared" si="609"/>
        <v>0.16</v>
      </c>
      <c r="AJ1788" s="36">
        <f>IFERROR(VLOOKUP(A1788,'All Products'!A:F,6,0),0)</f>
        <v>16.3</v>
      </c>
      <c r="AK1788" s="36"/>
      <c r="AL1788" s="23"/>
      <c r="AM1788" s="23">
        <v>1</v>
      </c>
      <c r="AN1788" s="54" t="e">
        <v>#N/A</v>
      </c>
      <c r="AO1788" s="47"/>
      <c r="AP1788" s="4">
        <v>1.6</v>
      </c>
      <c r="AQ1788" s="111">
        <f t="shared" si="601"/>
        <v>0</v>
      </c>
      <c r="AR1788">
        <f>_xlfn.XLOOKUP(F1788,'RM Cost'!A:A,'RM Cost'!S:S)</f>
        <v>0</v>
      </c>
      <c r="AS1788" t="str">
        <f>_xlfn.XLOOKUP(A1788,[3]Sheet1!$B:$B,[3]Sheet1!$B:$B)</f>
        <v>P1865CS</v>
      </c>
      <c r="AT1788" t="e">
        <f>_xlfn.XLOOKUP(H1788,'Yield &amp; Time'!A:A,'Yield &amp; Time'!F:F)</f>
        <v>#N/A</v>
      </c>
    </row>
    <row r="1789" spans="1:46" x14ac:dyDescent="0.25">
      <c r="A1789" s="2" t="s">
        <v>4730</v>
      </c>
      <c r="B1789" s="2" t="s">
        <v>552</v>
      </c>
      <c r="C1789" s="2" t="s">
        <v>570</v>
      </c>
      <c r="D1789" s="2" t="s">
        <v>554</v>
      </c>
      <c r="E1789" s="2">
        <v>2</v>
      </c>
      <c r="F1789" s="1" t="str">
        <f>VLOOKUP(H1789,'RM Used'!A:B,2,0)</f>
        <v>S3998CS</v>
      </c>
      <c r="G1789" s="1" t="str">
        <f>IFERROR(VLOOKUP(F1789,'RM Cost'!A:B,2,0),"")</f>
        <v>RM - DECORED RED CABBAGE 1/3 1200KG</v>
      </c>
      <c r="H1789" s="2" t="s">
        <v>1360</v>
      </c>
      <c r="I1789" s="1" t="str">
        <f>VLOOKUP(F1789,'RM Used'!B:D,3,0)</f>
        <v>RM-FOOD</v>
      </c>
      <c r="J1789" s="66">
        <v>0.8</v>
      </c>
      <c r="K1789" s="35">
        <f t="shared" si="602"/>
        <v>1.6</v>
      </c>
      <c r="L1789" s="35">
        <f t="shared" si="590"/>
        <v>1.6</v>
      </c>
      <c r="M1789" s="77" cm="1">
        <f t="array" ref="M1789">_xlfn.IFS(BOM!I1789="RM-PACKING","100%",B1789="Reynolds",VLOOKUP(H1789,'Yield &amp; Time'!A:V,22,0),BOM!B1789="Dnata",VLOOKUP(BOM!H1789,'Yield &amp; Time'!A:M,13,0),B1789="NK",VLOOKUP(H1789,'Yield &amp; Time'!A:X,24,0))</f>
        <v>0.70079999999999998</v>
      </c>
      <c r="N1789" s="35">
        <f t="shared" si="603"/>
        <v>2.2831050228310503</v>
      </c>
      <c r="O1789" s="1" t="str">
        <f>VLOOKUP(H1789,'RM Used'!A:E,5,0)</f>
        <v>KG</v>
      </c>
      <c r="P1789" s="11">
        <f>VLOOKUP(H1789,'RM Used'!A:F,6,0)</f>
        <v>0.38</v>
      </c>
      <c r="Q1789" s="11">
        <f t="shared" si="555"/>
        <v>0.86757990867579915</v>
      </c>
      <c r="R1789" s="11">
        <f>IFERROR(IF(B1789="Reynolds",VLOOKUP(H1789,'Yield &amp; Time'!A:U,21,0),VLOOKUP(H1789,'Yield &amp; Time'!A:L,12,0)),0)</f>
        <v>0.89425536255080118</v>
      </c>
      <c r="S1789" s="11">
        <f t="shared" si="591"/>
        <v>0.48432870435751391</v>
      </c>
      <c r="T1789" s="11">
        <f t="shared" si="592"/>
        <v>2.3846809668021367E-2</v>
      </c>
      <c r="U1789" s="11">
        <f>IF(A1788=A1789,0,VLOOKUP(A1789,'Packing Time'!A:F,6,0))</f>
        <v>0.8</v>
      </c>
      <c r="V1789" s="11">
        <f t="shared" si="604"/>
        <v>0.27079999999999999</v>
      </c>
      <c r="W1789" s="11">
        <f t="shared" si="605"/>
        <v>1.3333333333333334E-2</v>
      </c>
      <c r="X1789" s="11">
        <f t="shared" si="549"/>
        <v>0.8306415747932655</v>
      </c>
      <c r="Y1789" s="11">
        <f t="shared" si="606"/>
        <v>0.8306415747932655</v>
      </c>
      <c r="Z1789" s="37">
        <v>1</v>
      </c>
      <c r="AA1789" s="36">
        <f t="shared" si="550"/>
        <v>2.2831050228310503</v>
      </c>
      <c r="AB1789" s="36">
        <f t="shared" si="551"/>
        <v>0.86757990867579915</v>
      </c>
      <c r="AC1789" s="11">
        <f t="shared" si="552"/>
        <v>4.0898157301490178E-2</v>
      </c>
      <c r="AD1789" s="36">
        <f t="shared" si="607"/>
        <v>0.8306415747932655</v>
      </c>
      <c r="AE1789" s="36" t="str">
        <f>VLOOKUP(H1789,'Yield &amp; Time'!A:R,18,0)</f>
        <v>CHLORINE</v>
      </c>
      <c r="AF1789" s="36">
        <f>IFERROR(VLOOKUP(AE1789,'Chemical Cost'!A:D,4,0),0)</f>
        <v>2.7756518066439469E-2</v>
      </c>
      <c r="AG1789" s="114">
        <f t="shared" si="553"/>
        <v>2.1123681937929583E-2</v>
      </c>
      <c r="AH1789" s="36">
        <f t="shared" si="608"/>
        <v>2.1123681937929583E-2</v>
      </c>
      <c r="AI1789" s="36">
        <f t="shared" si="609"/>
        <v>1.7193451654069942</v>
      </c>
      <c r="AJ1789" s="36">
        <f>IFERROR(VLOOKUP(A1789,'All Products'!A:F,6,0),0)</f>
        <v>2.17</v>
      </c>
      <c r="AK1789" s="36">
        <f>AJ1789*Z1789*J1789</f>
        <v>1.736</v>
      </c>
      <c r="AL1789" s="23">
        <v>0.8</v>
      </c>
      <c r="AM1789" s="23">
        <v>0.2</v>
      </c>
      <c r="AN1789" s="54" t="e">
        <v>#N/A</v>
      </c>
      <c r="AO1789" s="47"/>
      <c r="AP1789" s="4">
        <v>1.1000000000000001</v>
      </c>
      <c r="AQ1789" s="111">
        <f t="shared" si="601"/>
        <v>4.0898157301490178E-2</v>
      </c>
      <c r="AR1789">
        <f>_xlfn.XLOOKUP(F1789,'RM Cost'!A:A,'RM Cost'!S:S)</f>
        <v>0.29914853989077506</v>
      </c>
      <c r="AS1789" t="e">
        <f>_xlfn.XLOOKUP(A1789,[3]Sheet1!$B:$B,[3]Sheet1!$B:$B)</f>
        <v>#N/A</v>
      </c>
    </row>
    <row r="1790" spans="1:46" x14ac:dyDescent="0.25">
      <c r="A1790" s="2" t="s">
        <v>4730</v>
      </c>
      <c r="B1790" s="2" t="s">
        <v>552</v>
      </c>
      <c r="C1790" s="2" t="s">
        <v>570</v>
      </c>
      <c r="D1790" s="2" t="s">
        <v>554</v>
      </c>
      <c r="E1790" s="2">
        <v>2</v>
      </c>
      <c r="F1790" s="1" t="str">
        <f>VLOOKUP(H1790,'RM Used'!A:B,2,0)</f>
        <v>032ACS</v>
      </c>
      <c r="G1790" s="1" t="str">
        <f>IFERROR(VLOOKUP(F1790,'RM Cost'!A:B,2,0),"")</f>
        <v>RM - LRG PROCESSING CARROT X 1000KG</v>
      </c>
      <c r="H1790" s="2" t="s">
        <v>1351</v>
      </c>
      <c r="I1790" s="1" t="str">
        <f>VLOOKUP(F1790,'RM Used'!B:D,3,0)</f>
        <v>RM-FOOD</v>
      </c>
      <c r="J1790" s="66">
        <v>0.2</v>
      </c>
      <c r="K1790" s="35">
        <f t="shared" si="602"/>
        <v>0.4</v>
      </c>
      <c r="L1790" s="35">
        <f t="shared" si="590"/>
        <v>0.4</v>
      </c>
      <c r="M1790" s="77" cm="1">
        <f t="array" ref="M1790">_xlfn.IFS(BOM!I1790="RM-PACKING","100%",B1790="Reynolds",VLOOKUP(H1790,'Yield &amp; Time'!A:V,22,0),BOM!B1790="Dnata",VLOOKUP(BOM!H1790,'Yield &amp; Time'!A:M,13,0),B1790="NK",VLOOKUP(H1790,'Yield &amp; Time'!A:X,24,0))</f>
        <v>0.75330000000000008</v>
      </c>
      <c r="N1790" s="35">
        <f t="shared" si="603"/>
        <v>0.53099694676755604</v>
      </c>
      <c r="O1790" s="1" t="str">
        <f>VLOOKUP(H1790,'RM Used'!A:E,5,0)</f>
        <v>KG</v>
      </c>
      <c r="P1790" s="11">
        <f>VLOOKUP(H1790,'RM Used'!A:F,6,0)</f>
        <v>0.38</v>
      </c>
      <c r="Q1790" s="11">
        <f t="shared" si="555"/>
        <v>0.2017788397716713</v>
      </c>
      <c r="R1790" s="11">
        <f>IFERROR(IF(B1790="Reynolds",VLOOKUP(H1790,'Yield &amp; Time'!A:U,21,0),VLOOKUP(H1790,'Yield &amp; Time'!A:L,12,0)),0)</f>
        <v>0.90531914893617027</v>
      </c>
      <c r="S1790" s="11">
        <f t="shared" si="591"/>
        <v>0.12258021276595744</v>
      </c>
      <c r="T1790" s="11">
        <f t="shared" si="592"/>
        <v>6.0354609929078023E-3</v>
      </c>
      <c r="U1790" s="11">
        <f>IF(A1789=A1790,0,VLOOKUP(A1790,'Packing Time'!A:F,6,0))</f>
        <v>0</v>
      </c>
      <c r="V1790" s="11">
        <f t="shared" si="604"/>
        <v>0</v>
      </c>
      <c r="W1790" s="11">
        <f t="shared" si="605"/>
        <v>0</v>
      </c>
      <c r="X1790" s="11">
        <f t="shared" si="549"/>
        <v>0.13483823404255321</v>
      </c>
      <c r="Y1790" s="11">
        <f t="shared" si="606"/>
        <v>0.13483823404255321</v>
      </c>
      <c r="Z1790" s="37">
        <v>1</v>
      </c>
      <c r="AA1790" s="36">
        <f t="shared" si="550"/>
        <v>0.53099694676755604</v>
      </c>
      <c r="AB1790" s="36">
        <f t="shared" si="551"/>
        <v>0.2017788397716713</v>
      </c>
      <c r="AC1790" s="11">
        <f t="shared" si="552"/>
        <v>6.6390070921985827E-3</v>
      </c>
      <c r="AD1790" s="36">
        <f t="shared" si="607"/>
        <v>0.13483823404255321</v>
      </c>
      <c r="AE1790" s="36" t="str">
        <f>VLOOKUP(H1790,'Yield &amp; Time'!A:R,18,0)</f>
        <v>CHLORINE</v>
      </c>
      <c r="AF1790" s="36">
        <f>IFERROR(VLOOKUP(AE1790,'Chemical Cost'!A:D,4,0),0)</f>
        <v>2.7756518066439469E-2</v>
      </c>
      <c r="AG1790" s="114">
        <f t="shared" si="553"/>
        <v>4.9128754487259554E-3</v>
      </c>
      <c r="AH1790" s="36">
        <f t="shared" si="608"/>
        <v>4.9128754487259554E-3</v>
      </c>
      <c r="AI1790" s="36">
        <f t="shared" si="609"/>
        <v>0.34152994926295044</v>
      </c>
      <c r="AJ1790" s="36">
        <f>IFERROR(VLOOKUP(A1790,'All Products'!A:F,6,0),0)</f>
        <v>2.17</v>
      </c>
      <c r="AK1790" s="36">
        <f>AJ1790*Z1790*J1790</f>
        <v>0.434</v>
      </c>
      <c r="AL1790" s="23">
        <v>0.8</v>
      </c>
      <c r="AM1790" s="23">
        <v>0.2</v>
      </c>
      <c r="AN1790" s="54" t="e">
        <v>#N/A</v>
      </c>
      <c r="AO1790" s="47"/>
      <c r="AP1790" s="4">
        <v>1.1000000000000001</v>
      </c>
      <c r="AQ1790" s="111">
        <f t="shared" si="601"/>
        <v>6.6390070921985827E-3</v>
      </c>
      <c r="AR1790">
        <f>_xlfn.XLOOKUP(F1790,'RM Cost'!A:A,'RM Cost'!S:S)</f>
        <v>0</v>
      </c>
      <c r="AS1790" t="e">
        <f>_xlfn.XLOOKUP(A1790,[3]Sheet1!$B:$B,[3]Sheet1!$B:$B)</f>
        <v>#N/A</v>
      </c>
    </row>
    <row r="1791" spans="1:46" x14ac:dyDescent="0.25">
      <c r="A1791" s="2" t="s">
        <v>4730</v>
      </c>
      <c r="B1791" s="2" t="s">
        <v>552</v>
      </c>
      <c r="C1791" s="2" t="s">
        <v>570</v>
      </c>
      <c r="D1791" s="2" t="s">
        <v>554</v>
      </c>
      <c r="E1791" s="2">
        <v>2</v>
      </c>
      <c r="F1791" s="1" t="str">
        <f>VLOOKUP(H1791,'RM Used'!A:B,2,0)</f>
        <v>P0001</v>
      </c>
      <c r="G1791" s="1" t="str">
        <f>IFERROR(VLOOKUP(F1791,'RM Cost'!A:B,2,0),"")</f>
        <v>SOL 30EL # PPLUS 630x1000 BLUE -1</v>
      </c>
      <c r="H1791" s="2" t="s">
        <v>4678</v>
      </c>
      <c r="I1791" s="1" t="str">
        <f>VLOOKUP(F1791,'RM Used'!B:D,3,0)</f>
        <v>RM-PACKING</v>
      </c>
      <c r="J1791" s="66">
        <v>1</v>
      </c>
      <c r="K1791" s="35" t="str">
        <f t="shared" si="602"/>
        <v/>
      </c>
      <c r="L1791" s="35">
        <f t="shared" si="590"/>
        <v>0</v>
      </c>
      <c r="M1791" s="77" t="str" cm="1">
        <f t="array" ref="M1791">_xlfn.IFS(BOM!I1791="RM-PACKING","100%",B1791="Reynolds",VLOOKUP(H1791,'Yield &amp; Time'!A:V,22,0),BOM!B1791="Dnata",VLOOKUP(BOM!H1791,'Yield &amp; Time'!A:M,13,0),B1791="NK",VLOOKUP(H1791,'Yield &amp; Time'!A:X,24,0))</f>
        <v>100%</v>
      </c>
      <c r="N1791" s="35">
        <v>2</v>
      </c>
      <c r="O1791" s="1" t="str">
        <f>VLOOKUP(H1791,'RM Used'!A:E,5,0)</f>
        <v>Count</v>
      </c>
      <c r="P1791" s="11">
        <f>VLOOKUP(H1791,'RM Used'!A:F,6,0)</f>
        <v>0.08</v>
      </c>
      <c r="Q1791" s="11">
        <f t="shared" si="555"/>
        <v>0.16</v>
      </c>
      <c r="R1791" s="11">
        <f>IFERROR(IF(B1791="Reynolds",VLOOKUP(H1791,'Yield &amp; Time'!A:U,21,0),VLOOKUP(H1791,'Yield &amp; Time'!A:L,12,0)),0)</f>
        <v>0</v>
      </c>
      <c r="S1791" s="11">
        <f t="shared" si="591"/>
        <v>0</v>
      </c>
      <c r="T1791" s="11">
        <f t="shared" si="592"/>
        <v>0</v>
      </c>
      <c r="U1791" s="11">
        <f>IF(A1790=A1791,0,VLOOKUP(A1791,'Packing Time'!A:F,6,0))</f>
        <v>0</v>
      </c>
      <c r="V1791" s="11">
        <f t="shared" si="604"/>
        <v>0</v>
      </c>
      <c r="W1791" s="11">
        <f t="shared" si="605"/>
        <v>0</v>
      </c>
      <c r="X1791" s="11">
        <f t="shared" si="549"/>
        <v>0</v>
      </c>
      <c r="Y1791" s="11">
        <f t="shared" si="606"/>
        <v>0</v>
      </c>
      <c r="Z1791" s="37">
        <v>1</v>
      </c>
      <c r="AA1791" s="36">
        <f t="shared" si="550"/>
        <v>2</v>
      </c>
      <c r="AB1791" s="36">
        <f t="shared" si="551"/>
        <v>0.16</v>
      </c>
      <c r="AC1791" s="11">
        <f t="shared" si="552"/>
        <v>0</v>
      </c>
      <c r="AD1791" s="36">
        <f t="shared" si="607"/>
        <v>0</v>
      </c>
      <c r="AE1791" s="36"/>
      <c r="AF1791" s="36">
        <f>IFERROR(VLOOKUP(AE1791,'Chemical Cost'!A:D,4,0),0)</f>
        <v>0</v>
      </c>
      <c r="AG1791" s="114">
        <f t="shared" si="553"/>
        <v>0</v>
      </c>
      <c r="AH1791" s="36">
        <f t="shared" si="608"/>
        <v>0</v>
      </c>
      <c r="AI1791" s="36">
        <f t="shared" si="609"/>
        <v>0.16</v>
      </c>
      <c r="AJ1791" s="36">
        <f>IFERROR(VLOOKUP(A1791,'All Products'!A:F,6,0),0)</f>
        <v>2.17</v>
      </c>
      <c r="AK1791" s="36"/>
      <c r="AL1791" s="23">
        <v>0.8</v>
      </c>
      <c r="AM1791" s="23">
        <v>0.2</v>
      </c>
      <c r="AN1791" s="54" t="e">
        <v>#N/A</v>
      </c>
      <c r="AO1791" s="47"/>
      <c r="AP1791" s="4">
        <v>1.1000000000000001</v>
      </c>
      <c r="AQ1791" s="111">
        <f t="shared" si="601"/>
        <v>0</v>
      </c>
      <c r="AR1791">
        <f>_xlfn.XLOOKUP(F1791,'RM Cost'!A:A,'RM Cost'!S:S)</f>
        <v>0</v>
      </c>
      <c r="AS1791" t="e">
        <f>_xlfn.XLOOKUP(A1791,[3]Sheet1!$B:$B,[3]Sheet1!$B:$B)</f>
        <v>#N/A</v>
      </c>
    </row>
    <row r="1792" spans="1:46" x14ac:dyDescent="0.25">
      <c r="A1792" s="2" t="s">
        <v>4730</v>
      </c>
      <c r="B1792" s="2" t="s">
        <v>552</v>
      </c>
      <c r="C1792" s="2" t="s">
        <v>570</v>
      </c>
      <c r="D1792" s="2" t="s">
        <v>554</v>
      </c>
      <c r="E1792" s="2">
        <v>2</v>
      </c>
      <c r="F1792" s="1" t="str">
        <f>VLOOKUP(H1792,'RM Used'!A:B,2,0)</f>
        <v>P0016</v>
      </c>
      <c r="G1792" s="1" t="str">
        <f>IFERROR(VLOOKUP(F1792,'RM Cost'!A:B,2,0),"")</f>
        <v>REY 40 30 BOX</v>
      </c>
      <c r="H1792" s="2" t="s">
        <v>1332</v>
      </c>
      <c r="I1792" s="1" t="str">
        <f>VLOOKUP(F1792,'RM Used'!B:D,3,0)</f>
        <v>RM-PACKING</v>
      </c>
      <c r="J1792" s="66">
        <v>1</v>
      </c>
      <c r="K1792" s="35" t="str">
        <f t="shared" si="602"/>
        <v/>
      </c>
      <c r="L1792" s="35">
        <f t="shared" si="590"/>
        <v>0</v>
      </c>
      <c r="M1792" s="77" t="str" cm="1">
        <f t="array" ref="M1792">_xlfn.IFS(BOM!I1792="RM-PACKING","100%",B1792="Reynolds",VLOOKUP(H1792,'Yield &amp; Time'!A:V,22,0),BOM!B1792="Dnata",VLOOKUP(BOM!H1792,'Yield &amp; Time'!A:M,13,0),B1792="NK",VLOOKUP(H1792,'Yield &amp; Time'!A:X,24,0))</f>
        <v>100%</v>
      </c>
      <c r="N1792" s="35">
        <f t="shared" ref="N1792:N1800" si="610">IFERROR(IF(I1792="RM-FOOD",(E1792*J1792)/M1792,1),0)</f>
        <v>1</v>
      </c>
      <c r="O1792" s="1" t="str">
        <f>VLOOKUP(H1792,'RM Used'!A:E,5,0)</f>
        <v>Count</v>
      </c>
      <c r="P1792" s="11">
        <f>VLOOKUP(H1792,'RM Used'!A:F,6,0)</f>
        <v>0.28000000000000003</v>
      </c>
      <c r="Q1792" s="11">
        <f t="shared" si="555"/>
        <v>0.28000000000000003</v>
      </c>
      <c r="R1792" s="11">
        <f>IFERROR(IF(B1792="Reynolds",VLOOKUP(H1792,'Yield &amp; Time'!A:U,21,0),VLOOKUP(H1792,'Yield &amp; Time'!A:L,12,0)),0)</f>
        <v>0</v>
      </c>
      <c r="S1792" s="11">
        <f t="shared" si="591"/>
        <v>0</v>
      </c>
      <c r="T1792" s="11">
        <f t="shared" si="592"/>
        <v>0</v>
      </c>
      <c r="U1792" s="11">
        <f>IF(A1791=A1792,0,VLOOKUP(A1792,'Packing Time'!A:F,6,0))</f>
        <v>0</v>
      </c>
      <c r="V1792" s="11">
        <f t="shared" si="604"/>
        <v>0</v>
      </c>
      <c r="W1792" s="11">
        <f t="shared" si="605"/>
        <v>0</v>
      </c>
      <c r="X1792" s="11">
        <f t="shared" si="549"/>
        <v>0</v>
      </c>
      <c r="Y1792" s="11">
        <f t="shared" si="606"/>
        <v>0</v>
      </c>
      <c r="Z1792" s="37">
        <v>1</v>
      </c>
      <c r="AA1792" s="36">
        <f t="shared" si="550"/>
        <v>1</v>
      </c>
      <c r="AB1792" s="36">
        <f t="shared" si="551"/>
        <v>0.28000000000000003</v>
      </c>
      <c r="AC1792" s="11">
        <f t="shared" si="552"/>
        <v>0</v>
      </c>
      <c r="AD1792" s="36">
        <f t="shared" si="607"/>
        <v>0</v>
      </c>
      <c r="AE1792" s="36"/>
      <c r="AF1792" s="36">
        <f>IFERROR(VLOOKUP(AE1792,'Chemical Cost'!A:D,4,0),0)</f>
        <v>0</v>
      </c>
      <c r="AG1792" s="114">
        <f t="shared" si="553"/>
        <v>0</v>
      </c>
      <c r="AH1792" s="36">
        <f t="shared" si="608"/>
        <v>0</v>
      </c>
      <c r="AI1792" s="36">
        <f t="shared" si="609"/>
        <v>0.28000000000000003</v>
      </c>
      <c r="AJ1792" s="36">
        <f>IFERROR(VLOOKUP(A1792,'All Products'!A:F,6,0),0)</f>
        <v>2.17</v>
      </c>
      <c r="AK1792" s="36"/>
      <c r="AL1792" s="23">
        <v>0.8</v>
      </c>
      <c r="AM1792" s="23">
        <v>0.2</v>
      </c>
      <c r="AN1792" s="54" t="e">
        <v>#N/A</v>
      </c>
      <c r="AO1792" s="47"/>
      <c r="AP1792" s="4">
        <v>1.1000000000000001</v>
      </c>
      <c r="AQ1792" s="111">
        <f t="shared" si="601"/>
        <v>0</v>
      </c>
      <c r="AR1792">
        <f>_xlfn.XLOOKUP(F1792,'RM Cost'!A:A,'RM Cost'!S:S)</f>
        <v>0</v>
      </c>
      <c r="AS1792" t="e">
        <f>_xlfn.XLOOKUP(A1792,[3]Sheet1!$B:$B,[3]Sheet1!$B:$B)</f>
        <v>#N/A</v>
      </c>
    </row>
    <row r="1793" spans="1:46" x14ac:dyDescent="0.25">
      <c r="A1793" s="63" t="s">
        <v>4743</v>
      </c>
      <c r="B1793" s="2" t="s">
        <v>552</v>
      </c>
      <c r="C1793" s="63" t="s">
        <v>4744</v>
      </c>
      <c r="D1793" s="2" t="s">
        <v>554</v>
      </c>
      <c r="E1793" s="63">
        <v>0.5</v>
      </c>
      <c r="F1793" s="1" t="str">
        <f>VLOOKUP(H1793,'RM Used'!A:B,2,0)</f>
        <v>S3998CS</v>
      </c>
      <c r="G1793" s="1" t="str">
        <f>IFERROR(VLOOKUP(F1793,'RM Cost'!A:B,2,0),"")</f>
        <v>RM - DECORED RED CABBAGE 1/3 1200KG</v>
      </c>
      <c r="H1793" s="1" t="s">
        <v>1349</v>
      </c>
      <c r="I1793" s="1" t="str">
        <f>VLOOKUP(F1793,'RM Used'!B:D,3,0)</f>
        <v>RM-FOOD</v>
      </c>
      <c r="J1793" s="66">
        <v>0.3</v>
      </c>
      <c r="K1793" s="35">
        <f t="shared" si="602"/>
        <v>0.15</v>
      </c>
      <c r="L1793" s="35">
        <f t="shared" si="590"/>
        <v>0.15</v>
      </c>
      <c r="M1793" s="77" cm="1">
        <f t="array" ref="M1793">_xlfn.IFS(BOM!I1793="RM-PACKING","100%",B1793="Reynolds",VLOOKUP(H1793,'Yield &amp; Time'!A:V,22,0),BOM!B1793="Dnata",VLOOKUP(BOM!H1793,'Yield &amp; Time'!A:M,13,0),B1793="NK",VLOOKUP(H1793,'Yield &amp; Time'!A:X,24,0))</f>
        <v>0.75138040345821322</v>
      </c>
      <c r="N1793" s="35">
        <f t="shared" si="610"/>
        <v>0.19963256868242504</v>
      </c>
      <c r="O1793" s="1" t="str">
        <f>VLOOKUP(H1793,'RM Used'!A:E,5,0)</f>
        <v>KG</v>
      </c>
      <c r="P1793" s="11">
        <f>VLOOKUP(H1793,'RM Used'!A:F,6,0)</f>
        <v>0.38</v>
      </c>
      <c r="Q1793" s="11">
        <f t="shared" si="555"/>
        <v>7.5860376099321516E-2</v>
      </c>
      <c r="R1793" s="11" cm="1">
        <f t="array" ref="R1793">IFERROR(_xlfn.IFS(B1793="Reynolds",VLOOKUP(H1793,'Yield &amp; Time'!A:U,21,0),B1793="Dnata",VLOOKUP(H1793,'Yield &amp; Time'!A:L,12,0),B1793="NK",VLOOKUP(H1793,'Yield &amp; Time'!A:W,23,0)),0)</f>
        <v>0.76261570798735501</v>
      </c>
      <c r="S1793" s="11">
        <f t="shared" si="591"/>
        <v>3.8721812573057943E-2</v>
      </c>
      <c r="T1793" s="11">
        <f t="shared" si="592"/>
        <v>1.9065392699683873E-3</v>
      </c>
      <c r="U1793" s="11">
        <f>IF(A1792=A1793,0,VLOOKUP(A1793,'Packing Time'!A:F,6,0))</f>
        <v>0.45</v>
      </c>
      <c r="V1793" s="11">
        <f t="shared" si="604"/>
        <v>0.15232499999999999</v>
      </c>
      <c r="W1793" s="11">
        <f t="shared" si="605"/>
        <v>7.5000000000000006E-3</v>
      </c>
      <c r="X1793" s="11">
        <f t="shared" si="549"/>
        <v>0.21015149383036372</v>
      </c>
      <c r="Y1793" s="11">
        <f t="shared" si="606"/>
        <v>0.21015149383036372</v>
      </c>
      <c r="Z1793" s="37">
        <v>1</v>
      </c>
      <c r="AA1793" s="36">
        <f t="shared" si="550"/>
        <v>0.19963256868242504</v>
      </c>
      <c r="AB1793" s="11">
        <f t="shared" si="551"/>
        <v>7.5860376099321516E-2</v>
      </c>
      <c r="AC1793" s="11">
        <f t="shared" si="552"/>
        <v>1.0347193196965228E-2</v>
      </c>
      <c r="AD1793" s="36">
        <f t="shared" si="607"/>
        <v>0.21015149383036377</v>
      </c>
      <c r="AE1793" s="36"/>
      <c r="AF1793" s="36">
        <f>IFERROR(VLOOKUP(AE1793,'Chemical Cost'!A:D,4,0),0)</f>
        <v>0</v>
      </c>
      <c r="AG1793" s="114">
        <f t="shared" si="553"/>
        <v>0</v>
      </c>
      <c r="AH1793" s="36">
        <f t="shared" si="608"/>
        <v>0</v>
      </c>
      <c r="AI1793" s="36">
        <f t="shared" si="609"/>
        <v>0.28601186992968525</v>
      </c>
      <c r="AJ1793" s="36">
        <f>IFERROR(VLOOKUP(A1793,'All Products'!A:F,6,0),0)</f>
        <v>0</v>
      </c>
      <c r="AK1793" s="1"/>
      <c r="AL1793" s="1"/>
      <c r="AM1793" s="1"/>
      <c r="AN1793" s="54" t="e">
        <v>#N/A</v>
      </c>
      <c r="AP1793" s="4">
        <v>1.1000000000000001</v>
      </c>
      <c r="AQ1793" s="111">
        <f t="shared" si="601"/>
        <v>1.0347193196965228E-2</v>
      </c>
      <c r="AR1793">
        <f>_xlfn.XLOOKUP(F1793,'RM Cost'!A:A,'RM Cost'!S:S)</f>
        <v>0.29914853989077506</v>
      </c>
      <c r="AS1793" t="str">
        <f>_xlfn.XLOOKUP(A1793,[3]Sheet1!$B:$B,[3]Sheet1!$B:$B)</f>
        <v>165CCS</v>
      </c>
      <c r="AT1793" t="str">
        <f>_xlfn.XLOOKUP(H1793,'Yield &amp; Time'!A:A,'Yield &amp; Time'!O:O)</f>
        <v>Yes</v>
      </c>
    </row>
    <row r="1794" spans="1:46" x14ac:dyDescent="0.25">
      <c r="A1794" s="63" t="s">
        <v>4743</v>
      </c>
      <c r="B1794" s="2" t="s">
        <v>552</v>
      </c>
      <c r="C1794" s="63" t="s">
        <v>4744</v>
      </c>
      <c r="D1794" s="2" t="s">
        <v>554</v>
      </c>
      <c r="E1794" s="63">
        <v>0.5</v>
      </c>
      <c r="F1794" s="1" t="str">
        <f>VLOOKUP(H1794,'RM Used'!A:B,2,0)</f>
        <v>S3997CS</v>
      </c>
      <c r="G1794" s="1" t="str">
        <f>IFERROR(VLOOKUP(F1794,'RM Cost'!A:B,2,0),"")</f>
        <v>RM - DECORE WHITE CABBAGE 1/3 1200KG</v>
      </c>
      <c r="H1794" s="1" t="s">
        <v>1352</v>
      </c>
      <c r="I1794" s="1" t="str">
        <f>VLOOKUP(F1794,'RM Used'!B:D,3,0)</f>
        <v>RM-FOOD</v>
      </c>
      <c r="J1794" s="66">
        <v>0.56000000000000005</v>
      </c>
      <c r="K1794" s="35">
        <f t="shared" si="602"/>
        <v>0.28000000000000003</v>
      </c>
      <c r="L1794" s="35">
        <f t="shared" si="590"/>
        <v>0.28000000000000003</v>
      </c>
      <c r="M1794" s="77" cm="1">
        <f t="array" ref="M1794">_xlfn.IFS(BOM!I1794="RM-PACKING","100%",B1794="Reynolds",VLOOKUP(H1794,'Yield &amp; Time'!A:V,22,0),BOM!B1794="Dnata",VLOOKUP(BOM!H1794,'Yield &amp; Time'!A:M,13,0),B1794="NK",VLOOKUP(H1794,'Yield &amp; Time'!A:X,24,0))</f>
        <v>0.74345249999999996</v>
      </c>
      <c r="N1794" s="35">
        <f t="shared" si="610"/>
        <v>0.37662123672998615</v>
      </c>
      <c r="O1794" s="1" t="str">
        <f>VLOOKUP(H1794,'RM Used'!A:E,5,0)</f>
        <v>KG</v>
      </c>
      <c r="P1794" s="11">
        <f>VLOOKUP(H1794,'RM Used'!A:F,6,0)</f>
        <v>0.34</v>
      </c>
      <c r="Q1794" s="11">
        <f t="shared" si="555"/>
        <v>0.12805122048819531</v>
      </c>
      <c r="R1794" s="11" cm="1">
        <f t="array" ref="R1794">IFERROR(_xlfn.IFS(B1794="Reynolds",VLOOKUP(H1794,'Yield &amp; Time'!A:U,21,0),B1794="Dnata",VLOOKUP(H1794,'Yield &amp; Time'!A:L,12,0),B1794="NK",VLOOKUP(H1794,'Yield &amp; Time'!A:W,23,0)),0)</f>
        <v>0.79828721807060099</v>
      </c>
      <c r="S1794" s="11">
        <f t="shared" si="591"/>
        <v>7.5661662528731563E-2</v>
      </c>
      <c r="T1794" s="11">
        <f t="shared" si="592"/>
        <v>3.7253403509961381E-3</v>
      </c>
      <c r="U1794" s="11">
        <f>IF(A1793=A1794,0,VLOOKUP(A1794,'Packing Time'!A:F,6,0))</f>
        <v>0</v>
      </c>
      <c r="V1794" s="11">
        <f t="shared" si="604"/>
        <v>0</v>
      </c>
      <c r="W1794" s="11">
        <f t="shared" si="605"/>
        <v>0</v>
      </c>
      <c r="X1794" s="11">
        <f t="shared" si="549"/>
        <v>8.3227828781604729E-2</v>
      </c>
      <c r="Y1794" s="11">
        <f t="shared" si="606"/>
        <v>8.3227828781604729E-2</v>
      </c>
      <c r="Z1794" s="37">
        <v>1</v>
      </c>
      <c r="AA1794" s="36">
        <f t="shared" ref="AA1794:AA1800" si="611">Z1794*N1794</f>
        <v>0.37662123672998615</v>
      </c>
      <c r="AB1794" s="11">
        <f t="shared" ref="AB1794:AB1800" si="612">AA1794*P1794</f>
        <v>0.12805122048819531</v>
      </c>
      <c r="AC1794" s="11">
        <f t="shared" si="552"/>
        <v>4.0978743860957522E-3</v>
      </c>
      <c r="AD1794" s="36">
        <f t="shared" si="607"/>
        <v>8.3227828781604715E-2</v>
      </c>
      <c r="AE1794" s="36"/>
      <c r="AF1794" s="36">
        <f>IFERROR(VLOOKUP(AE1794,'Chemical Cost'!A:D,4,0),0)</f>
        <v>0</v>
      </c>
      <c r="AG1794" s="114">
        <f t="shared" ref="AG1794:AG1800" si="613">AF1794*N1794/3</f>
        <v>0</v>
      </c>
      <c r="AH1794" s="36">
        <f t="shared" si="608"/>
        <v>0</v>
      </c>
      <c r="AI1794" s="36">
        <f t="shared" si="609"/>
        <v>0.21127904926980004</v>
      </c>
      <c r="AJ1794" s="36">
        <f>IFERROR(VLOOKUP(A1794,'All Products'!A:F,6,0),0)</f>
        <v>0</v>
      </c>
      <c r="AK1794" s="1"/>
      <c r="AL1794" s="1"/>
      <c r="AM1794" s="1"/>
      <c r="AN1794" s="54" t="e">
        <v>#N/A</v>
      </c>
      <c r="AP1794" s="4">
        <v>1.1000000000000001</v>
      </c>
      <c r="AQ1794" s="111">
        <f t="shared" si="601"/>
        <v>4.0978743860957522E-3</v>
      </c>
      <c r="AR1794">
        <f>_xlfn.XLOOKUP(F1794,'RM Cost'!A:A,'RM Cost'!S:S)</f>
        <v>0.29914853989077506</v>
      </c>
      <c r="AS1794" t="str">
        <f>_xlfn.XLOOKUP(A1794,[3]Sheet1!$B:$B,[3]Sheet1!$B:$B)</f>
        <v>165CCS</v>
      </c>
      <c r="AT1794" t="str">
        <f>_xlfn.XLOOKUP(H1794,'Yield &amp; Time'!A:A,'Yield &amp; Time'!O:O)</f>
        <v>Yes</v>
      </c>
    </row>
    <row r="1795" spans="1:46" x14ac:dyDescent="0.25">
      <c r="A1795" s="63" t="s">
        <v>4743</v>
      </c>
      <c r="B1795" s="2" t="s">
        <v>552</v>
      </c>
      <c r="C1795" s="63" t="s">
        <v>4744</v>
      </c>
      <c r="D1795" s="2" t="s">
        <v>554</v>
      </c>
      <c r="E1795" s="63">
        <v>0.5</v>
      </c>
      <c r="F1795" s="1" t="str">
        <f>VLOOKUP(H1795,'RM Used'!A:B,2,0)</f>
        <v>3112CS</v>
      </c>
      <c r="G1795" s="1" t="str">
        <f>IFERROR(VLOOKUP(F1795,'RM Cost'!A:B,2,0),"")</f>
        <v>WHOLE LEAF CURLY KALE 5X1KG</v>
      </c>
      <c r="H1795" s="1" t="s">
        <v>1354</v>
      </c>
      <c r="I1795" s="1" t="str">
        <f>VLOOKUP(F1795,'RM Used'!B:D,3,0)</f>
        <v>RM-FOOD</v>
      </c>
      <c r="J1795" s="66">
        <v>0.14000000000000001</v>
      </c>
      <c r="K1795" s="35">
        <f t="shared" si="602"/>
        <v>7.0000000000000007E-2</v>
      </c>
      <c r="L1795" s="35">
        <f t="shared" si="590"/>
        <v>7.0000000000000007E-2</v>
      </c>
      <c r="M1795" s="77" cm="1">
        <f t="array" ref="M1795">_xlfn.IFS(BOM!I1795="RM-PACKING","100%",B1795="Reynolds",VLOOKUP(H1795,'Yield &amp; Time'!A:V,22,0),BOM!B1795="Dnata",VLOOKUP(BOM!H1795,'Yield &amp; Time'!A:M,13,0),B1795="NK",VLOOKUP(H1795,'Yield &amp; Time'!A:X,24,0))</f>
        <v>0.73052362707535112</v>
      </c>
      <c r="N1795" s="35">
        <f t="shared" si="610"/>
        <v>9.5821678321678344E-2</v>
      </c>
      <c r="O1795" s="1" t="str">
        <f>VLOOKUP(H1795,'RM Used'!A:E,5,0)</f>
        <v>KG</v>
      </c>
      <c r="P1795" s="11">
        <f>VLOOKUP(H1795,'RM Used'!A:F,6,0)</f>
        <v>1.45</v>
      </c>
      <c r="Q1795" s="11">
        <f t="shared" ref="Q1795:Q1800" si="614">P1795*N1795</f>
        <v>0.1389414335664336</v>
      </c>
      <c r="R1795" s="11" cm="1">
        <f t="array" ref="R1795">IFERROR(_xlfn.IFS(B1795="Reynolds",VLOOKUP(H1795,'Yield &amp; Time'!A:U,21,0),B1795="Dnata",VLOOKUP(H1795,'Yield &amp; Time'!A:L,12,0),B1795="NK",VLOOKUP(H1795,'Yield &amp; Time'!A:W,23,0)),0)</f>
        <v>3.3216783216783217</v>
      </c>
      <c r="S1795" s="11">
        <f t="shared" si="591"/>
        <v>7.8707167832167829E-2</v>
      </c>
      <c r="T1795" s="11">
        <f t="shared" si="592"/>
        <v>3.8752913752913756E-3</v>
      </c>
      <c r="U1795" s="11">
        <f>IF(A1794=A1795,0,VLOOKUP(A1795,'Packing Time'!A:F,6,0))</f>
        <v>0</v>
      </c>
      <c r="V1795" s="11">
        <f t="shared" si="604"/>
        <v>0</v>
      </c>
      <c r="W1795" s="11">
        <f t="shared" si="605"/>
        <v>0</v>
      </c>
      <c r="X1795" s="11">
        <f t="shared" si="549"/>
        <v>8.6577884615384626E-2</v>
      </c>
      <c r="Y1795" s="11">
        <f t="shared" si="606"/>
        <v>8.6577884615384626E-2</v>
      </c>
      <c r="Z1795" s="37">
        <v>1</v>
      </c>
      <c r="AA1795" s="36">
        <f t="shared" si="611"/>
        <v>9.5821678321678344E-2</v>
      </c>
      <c r="AB1795" s="11">
        <f t="shared" si="612"/>
        <v>0.1389414335664336</v>
      </c>
      <c r="AC1795" s="11">
        <f t="shared" si="552"/>
        <v>4.2628205128205131E-3</v>
      </c>
      <c r="AD1795" s="36">
        <f t="shared" si="607"/>
        <v>8.6577884615384612E-2</v>
      </c>
      <c r="AE1795" s="36"/>
      <c r="AF1795" s="36">
        <f>IFERROR(VLOOKUP(AE1795,'Chemical Cost'!A:D,4,0),0)</f>
        <v>0</v>
      </c>
      <c r="AG1795" s="114">
        <f t="shared" si="613"/>
        <v>0</v>
      </c>
      <c r="AH1795" s="36">
        <f t="shared" si="608"/>
        <v>0</v>
      </c>
      <c r="AI1795" s="36">
        <f t="shared" si="609"/>
        <v>0.22551931818181822</v>
      </c>
      <c r="AJ1795" s="36">
        <f>IFERROR(VLOOKUP(A1795,'All Products'!A:F,6,0),0)</f>
        <v>0</v>
      </c>
      <c r="AK1795" s="1"/>
      <c r="AL1795" s="1"/>
      <c r="AM1795" s="1"/>
      <c r="AN1795" s="54" t="e">
        <v>#N/A</v>
      </c>
      <c r="AP1795" s="4">
        <v>1.1000000000000001</v>
      </c>
      <c r="AQ1795" s="111">
        <f t="shared" si="601"/>
        <v>4.2628205128205131E-3</v>
      </c>
      <c r="AR1795">
        <f>_xlfn.XLOOKUP(F1795,'RM Cost'!A:A,'RM Cost'!S:S)</f>
        <v>0</v>
      </c>
      <c r="AS1795" t="str">
        <f>_xlfn.XLOOKUP(A1795,[3]Sheet1!$B:$B,[3]Sheet1!$B:$B)</f>
        <v>165CCS</v>
      </c>
      <c r="AT1795" t="str">
        <f>_xlfn.XLOOKUP(H1795,'Yield &amp; Time'!A:A,'Yield &amp; Time'!O:O)</f>
        <v>Yes</v>
      </c>
    </row>
    <row r="1796" spans="1:46" x14ac:dyDescent="0.25">
      <c r="A1796" s="63" t="s">
        <v>4743</v>
      </c>
      <c r="B1796" s="2" t="s">
        <v>552</v>
      </c>
      <c r="C1796" s="63" t="s">
        <v>4744</v>
      </c>
      <c r="D1796" s="2" t="s">
        <v>554</v>
      </c>
      <c r="E1796" s="63">
        <v>0.5</v>
      </c>
      <c r="F1796" s="1" t="str">
        <f>VLOOKUP(H1796,'RM Used'!A:B,2,0)</f>
        <v>P0008</v>
      </c>
      <c r="G1796" s="1" t="str">
        <f>IFERROR(VLOOKUP(F1796,'RM Cost'!A:B,2,0),"")</f>
        <v>PALE BLUE BAG 470X750MM</v>
      </c>
      <c r="H1796" s="1" t="s">
        <v>1323</v>
      </c>
      <c r="I1796" s="1" t="str">
        <f>VLOOKUP(F1796,'RM Used'!B:D,3,0)</f>
        <v>RM-PACKING</v>
      </c>
      <c r="J1796" s="66">
        <v>1</v>
      </c>
      <c r="K1796" s="35" t="str">
        <f t="shared" si="602"/>
        <v/>
      </c>
      <c r="L1796" s="35">
        <f t="shared" si="590"/>
        <v>0</v>
      </c>
      <c r="M1796" s="77" t="str" cm="1">
        <f t="array" ref="M1796">_xlfn.IFS(BOM!I1796="RM-PACKING","100%",B1796="Reynolds",VLOOKUP(H1796,'Yield &amp; Time'!A:V,22,0),BOM!B1796="Dnata",VLOOKUP(BOM!H1796,'Yield &amp; Time'!A:M,13,0),B1796="NK",VLOOKUP(H1796,'Yield &amp; Time'!A:X,24,0))</f>
        <v>100%</v>
      </c>
      <c r="N1796" s="35">
        <f t="shared" si="610"/>
        <v>1</v>
      </c>
      <c r="O1796" s="1" t="str">
        <f>VLOOKUP(H1796,'RM Used'!A:E,5,0)</f>
        <v>Count</v>
      </c>
      <c r="P1796" s="11">
        <f>VLOOKUP(H1796,'RM Used'!A:F,6,0)</f>
        <v>0.14000000000000001</v>
      </c>
      <c r="Q1796" s="11">
        <f t="shared" si="614"/>
        <v>0.14000000000000001</v>
      </c>
      <c r="R1796" s="11" cm="1">
        <f t="array" ref="R1796">IFERROR(_xlfn.IFS(B1796="Reynolds",VLOOKUP(H1796,'Yield &amp; Time'!A:U,21,0),B1796="Dnata",VLOOKUP(H1796,'Yield &amp; Time'!A:L,12,0),B1796="NK",VLOOKUP(H1796,'Yield &amp; Time'!A:W,23,0)),0)</f>
        <v>0</v>
      </c>
      <c r="S1796" s="11">
        <f t="shared" si="591"/>
        <v>0</v>
      </c>
      <c r="T1796" s="11">
        <f t="shared" si="592"/>
        <v>0</v>
      </c>
      <c r="U1796" s="11">
        <f>IF(A1795=A1796,0,VLOOKUP(A1796,'Packing Time'!A:F,6,0))</f>
        <v>0</v>
      </c>
      <c r="V1796" s="11">
        <f t="shared" si="604"/>
        <v>0</v>
      </c>
      <c r="W1796" s="11">
        <f t="shared" si="605"/>
        <v>0</v>
      </c>
      <c r="X1796" s="11">
        <f t="shared" si="549"/>
        <v>0</v>
      </c>
      <c r="Y1796" s="11">
        <f t="shared" si="606"/>
        <v>0</v>
      </c>
      <c r="Z1796" s="37">
        <v>1</v>
      </c>
      <c r="AA1796" s="36">
        <f t="shared" si="611"/>
        <v>1</v>
      </c>
      <c r="AB1796" s="11">
        <f t="shared" si="612"/>
        <v>0.14000000000000001</v>
      </c>
      <c r="AC1796" s="11">
        <f t="shared" si="552"/>
        <v>0</v>
      </c>
      <c r="AD1796" s="36">
        <f t="shared" si="607"/>
        <v>0</v>
      </c>
      <c r="AE1796" s="36"/>
      <c r="AF1796" s="36">
        <f>IFERROR(VLOOKUP(AE1796,'Chemical Cost'!A:D,4,0),0)</f>
        <v>0</v>
      </c>
      <c r="AG1796" s="114">
        <f t="shared" si="613"/>
        <v>0</v>
      </c>
      <c r="AH1796" s="36">
        <f t="shared" si="608"/>
        <v>0</v>
      </c>
      <c r="AI1796" s="36">
        <f t="shared" si="609"/>
        <v>0.14000000000000001</v>
      </c>
      <c r="AJ1796" s="36">
        <f>IFERROR(VLOOKUP(A1796,'All Products'!A:F,6,0),0)</f>
        <v>0</v>
      </c>
      <c r="AK1796" s="1"/>
      <c r="AL1796" s="1"/>
      <c r="AM1796" s="1"/>
      <c r="AN1796" s="54" t="e">
        <v>#N/A</v>
      </c>
      <c r="AP1796" s="4">
        <v>1.1000000000000001</v>
      </c>
      <c r="AQ1796" s="111">
        <f t="shared" si="601"/>
        <v>0</v>
      </c>
      <c r="AR1796">
        <f>_xlfn.XLOOKUP(F1796,'RM Cost'!A:A,'RM Cost'!S:S)</f>
        <v>0</v>
      </c>
      <c r="AS1796" t="str">
        <f>_xlfn.XLOOKUP(A1796,[3]Sheet1!$B:$B,[3]Sheet1!$B:$B)</f>
        <v>165CCS</v>
      </c>
      <c r="AT1796" t="e">
        <f>_xlfn.XLOOKUP(H1796,'Yield &amp; Time'!A:A,'Yield &amp; Time'!F:F)</f>
        <v>#N/A</v>
      </c>
    </row>
    <row r="1797" spans="1:46" x14ac:dyDescent="0.25">
      <c r="A1797" s="63" t="s">
        <v>4743</v>
      </c>
      <c r="B1797" s="2" t="s">
        <v>552</v>
      </c>
      <c r="C1797" s="63" t="s">
        <v>4744</v>
      </c>
      <c r="D1797" s="2" t="s">
        <v>554</v>
      </c>
      <c r="E1797" s="63">
        <v>0.5</v>
      </c>
      <c r="F1797" s="1" t="str">
        <f>VLOOKUP(H1797,'RM Used'!A:B,2,0)</f>
        <v>P0016A</v>
      </c>
      <c r="G1797" s="1" t="str">
        <f>IFERROR(VLOOKUP(F1797,'RM Cost'!A:B,2,0),"")</f>
        <v>REY 40 30 BOX 4 in 1</v>
      </c>
      <c r="H1797" s="2" t="s">
        <v>4747</v>
      </c>
      <c r="I1797" s="1" t="str">
        <f>VLOOKUP(F1797,'RM Used'!B:D,3,0)</f>
        <v>RM-PACKING</v>
      </c>
      <c r="J1797" s="66">
        <v>1</v>
      </c>
      <c r="K1797" s="35" t="str">
        <f t="shared" si="602"/>
        <v/>
      </c>
      <c r="L1797" s="35">
        <f t="shared" si="590"/>
        <v>0</v>
      </c>
      <c r="M1797" s="77" t="str" cm="1">
        <f t="array" ref="M1797">_xlfn.IFS(BOM!I1797="RM-PACKING","100%",B1797="Reynolds",VLOOKUP(H1797,'Yield &amp; Time'!A:V,22,0),BOM!B1797="Dnata",VLOOKUP(BOM!H1797,'Yield &amp; Time'!A:M,13,0),B1797="NK",VLOOKUP(H1797,'Yield &amp; Time'!A:X,24,0))</f>
        <v>100%</v>
      </c>
      <c r="N1797" s="35">
        <f t="shared" si="610"/>
        <v>1</v>
      </c>
      <c r="O1797" s="1" t="str">
        <f>VLOOKUP(H1797,'RM Used'!A:E,5,0)</f>
        <v>Count</v>
      </c>
      <c r="P1797" s="11">
        <f>VLOOKUP(H1797,'RM Used'!A:F,6,0)</f>
        <v>7.0000000000000007E-2</v>
      </c>
      <c r="Q1797" s="11">
        <f t="shared" si="614"/>
        <v>7.0000000000000007E-2</v>
      </c>
      <c r="R1797" s="11" cm="1">
        <f t="array" ref="R1797">IFERROR(_xlfn.IFS(B1797="Reynolds",VLOOKUP(H1797,'Yield &amp; Time'!A:U,21,0),B1797="Dnata",VLOOKUP(H1797,'Yield &amp; Time'!A:L,12,0),B1797="NK",VLOOKUP(H1797,'Yield &amp; Time'!A:W,23,0)),0)</f>
        <v>0</v>
      </c>
      <c r="S1797" s="11">
        <f t="shared" si="591"/>
        <v>0</v>
      </c>
      <c r="T1797" s="11">
        <f t="shared" si="592"/>
        <v>0</v>
      </c>
      <c r="U1797" s="11">
        <f>IF(A1796=A1797,0,VLOOKUP(A1797,'Packing Time'!A:F,6,0))</f>
        <v>0</v>
      </c>
      <c r="V1797" s="11">
        <f t="shared" si="604"/>
        <v>0</v>
      </c>
      <c r="W1797" s="11">
        <f t="shared" si="605"/>
        <v>0</v>
      </c>
      <c r="X1797" s="11">
        <f t="shared" si="549"/>
        <v>0</v>
      </c>
      <c r="Y1797" s="11">
        <f t="shared" si="606"/>
        <v>0</v>
      </c>
      <c r="Z1797" s="37">
        <v>1</v>
      </c>
      <c r="AA1797" s="36">
        <f t="shared" si="611"/>
        <v>1</v>
      </c>
      <c r="AB1797" s="11">
        <f t="shared" si="612"/>
        <v>7.0000000000000007E-2</v>
      </c>
      <c r="AC1797" s="11">
        <f t="shared" si="552"/>
        <v>0</v>
      </c>
      <c r="AD1797" s="36">
        <f t="shared" si="607"/>
        <v>0</v>
      </c>
      <c r="AE1797" s="36"/>
      <c r="AF1797" s="36">
        <f>IFERROR(VLOOKUP(AE1797,'Chemical Cost'!A:D,4,0),0)</f>
        <v>0</v>
      </c>
      <c r="AG1797" s="114">
        <f t="shared" si="613"/>
        <v>0</v>
      </c>
      <c r="AH1797" s="36">
        <f t="shared" si="608"/>
        <v>0</v>
      </c>
      <c r="AI1797" s="36">
        <f t="shared" si="609"/>
        <v>7.0000000000000007E-2</v>
      </c>
      <c r="AJ1797" s="36">
        <f>IFERROR(VLOOKUP(A1797,'All Products'!A:F,6,0),0)</f>
        <v>0</v>
      </c>
      <c r="AK1797" s="1"/>
      <c r="AL1797" s="1"/>
      <c r="AM1797" s="1"/>
      <c r="AN1797" s="54" t="e">
        <v>#N/A</v>
      </c>
      <c r="AP1797" s="4">
        <v>1.1000000000000001</v>
      </c>
      <c r="AQ1797" s="111">
        <f t="shared" si="601"/>
        <v>0</v>
      </c>
      <c r="AR1797">
        <f>_xlfn.XLOOKUP(F1797,'RM Cost'!A:A,'RM Cost'!S:S)</f>
        <v>0</v>
      </c>
      <c r="AS1797" t="str">
        <f>_xlfn.XLOOKUP(A1797,[3]Sheet1!$B:$B,[3]Sheet1!$B:$B)</f>
        <v>165CCS</v>
      </c>
      <c r="AT1797" t="e">
        <f>_xlfn.XLOOKUP(H1797,'Yield &amp; Time'!A:A,'Yield &amp; Time'!F:F)</f>
        <v>#N/A</v>
      </c>
    </row>
    <row r="1798" spans="1:46" x14ac:dyDescent="0.25">
      <c r="A1798" t="s">
        <v>4751</v>
      </c>
      <c r="B1798" s="2" t="s">
        <v>552</v>
      </c>
      <c r="C1798" s="2" t="s">
        <v>608</v>
      </c>
      <c r="D1798" s="2" t="s">
        <v>554</v>
      </c>
      <c r="E1798" s="2">
        <v>1</v>
      </c>
      <c r="F1798" s="1" t="str">
        <f>VLOOKUP(H1798,'RM Used'!A:B,2,0)</f>
        <v>1318CS</v>
      </c>
      <c r="G1798" s="1" t="str">
        <f>IFERROR(VLOOKUP(F1798,'RM Cost'!A:B,2,0),"")</f>
        <v>RM - PREP ONION RED WHOLE 2.5KG</v>
      </c>
      <c r="H1798" s="2" t="s">
        <v>1365</v>
      </c>
      <c r="I1798" s="1" t="str">
        <f>VLOOKUP(F1798,'RM Used'!B:D,3,0)</f>
        <v>RM-FOOD</v>
      </c>
      <c r="J1798" s="66">
        <v>1</v>
      </c>
      <c r="K1798" s="35">
        <f t="shared" si="602"/>
        <v>1</v>
      </c>
      <c r="L1798" s="35">
        <f t="shared" si="590"/>
        <v>1</v>
      </c>
      <c r="M1798" s="77" cm="1">
        <f t="array" ref="M1798">_xlfn.IFS(BOM!I1798="RM-PACKING","100%",B1798="Reynolds",VLOOKUP(H1798,'Yield &amp; Time'!A:V,22,0),BOM!B1798="Dnata",VLOOKUP(BOM!H1798,'Yield &amp; Time'!A:M,13,0),B1798="NK",VLOOKUP(H1798,'Yield &amp; Time'!A:X,24,0))</f>
        <v>0.86943999999999999</v>
      </c>
      <c r="N1798" s="35">
        <f t="shared" si="610"/>
        <v>1.1501656238498343</v>
      </c>
      <c r="O1798" s="1" t="str">
        <f>VLOOKUP(H1798,'RM Used'!A:E,5,0)</f>
        <v>KG</v>
      </c>
      <c r="P1798" s="11">
        <f>VLOOKUP(H1798,'RM Used'!A:F,6,0)</f>
        <v>1.08</v>
      </c>
      <c r="Q1798" s="11">
        <f t="shared" si="614"/>
        <v>1.2421788737578212</v>
      </c>
      <c r="R1798" s="11">
        <f>IFERROR(IF(B1798="Reynolds",VLOOKUP(H1798,'Yield &amp; Time'!A:U,21,0),VLOOKUP(H1798,'Yield &amp; Time'!A:L,12,0)),0)</f>
        <v>0.91999999999999993</v>
      </c>
      <c r="S1798" s="11">
        <f t="shared" si="591"/>
        <v>0.31141999999999992</v>
      </c>
      <c r="T1798" s="11">
        <f t="shared" si="592"/>
        <v>1.5333333333333332E-2</v>
      </c>
      <c r="U1798" s="11">
        <f>IF(A1797=A1798,0,VLOOKUP(A1798,'Packing Time'!A:F,6,0))</f>
        <v>0.64500000000000002</v>
      </c>
      <c r="V1798" s="11">
        <f t="shared" si="604"/>
        <v>0.21833249999999998</v>
      </c>
      <c r="W1798" s="11">
        <f t="shared" si="605"/>
        <v>1.0750000000000001E-2</v>
      </c>
      <c r="X1798" s="11">
        <f t="shared" ref="X1798:X1807" si="615">((R1798*J1798*E1798)+U1798)*AO$1*AP1798</f>
        <v>0.66219062499999992</v>
      </c>
      <c r="Y1798" s="11">
        <f t="shared" si="606"/>
        <v>0.66219062499999992</v>
      </c>
      <c r="Z1798" s="37">
        <v>1</v>
      </c>
      <c r="AA1798" s="36">
        <f t="shared" si="611"/>
        <v>1.1501656238498343</v>
      </c>
      <c r="AB1798" s="36">
        <f t="shared" si="612"/>
        <v>1.2421788737578212</v>
      </c>
      <c r="AC1798" s="11">
        <f t="shared" ref="AC1798:AC1807" si="616">(((R1798*J1798*E1798)+U1798)/60)*Z1798*AP1798</f>
        <v>3.260416666666667E-2</v>
      </c>
      <c r="AD1798" s="36">
        <f t="shared" si="607"/>
        <v>0.66219062500000003</v>
      </c>
      <c r="AE1798" s="36"/>
      <c r="AF1798" s="36">
        <f>IFERROR(VLOOKUP(AE1798,'Chemical Cost'!A:D,4,0),0)</f>
        <v>0</v>
      </c>
      <c r="AG1798" s="114">
        <f t="shared" si="613"/>
        <v>0</v>
      </c>
      <c r="AH1798" s="36">
        <f t="shared" si="608"/>
        <v>0</v>
      </c>
      <c r="AI1798" s="36">
        <f t="shared" si="609"/>
        <v>1.9043694987578212</v>
      </c>
      <c r="AJ1798" s="36">
        <f>IFERROR(VLOOKUP(A1798,'All Products'!A:F,6,0),0)</f>
        <v>0</v>
      </c>
      <c r="AK1798" s="36"/>
      <c r="AL1798" s="23">
        <v>0.8</v>
      </c>
      <c r="AM1798" s="23">
        <v>0.2</v>
      </c>
      <c r="AN1798" s="54" t="e">
        <v>#N/A</v>
      </c>
      <c r="AO1798" s="47"/>
      <c r="AP1798" s="4">
        <v>1.25</v>
      </c>
      <c r="AQ1798" s="111">
        <f t="shared" si="601"/>
        <v>3.260416666666667E-2</v>
      </c>
      <c r="AR1798">
        <f>_xlfn.XLOOKUP(F1798,'RM Cost'!A:A,'RM Cost'!S:S)</f>
        <v>0</v>
      </c>
      <c r="AS1798" t="str">
        <f>_xlfn.XLOOKUP(A1798,[3]Sheet1!$B:$B,[3]Sheet1!$B:$B)</f>
        <v>1081CS</v>
      </c>
      <c r="AT1798" t="str">
        <f>_xlfn.XLOOKUP(H1798,'Yield &amp; Time'!A:A,'Yield &amp; Time'!O:O)</f>
        <v>Yes</v>
      </c>
    </row>
    <row r="1799" spans="1:46" x14ac:dyDescent="0.25">
      <c r="A1799" t="s">
        <v>4751</v>
      </c>
      <c r="B1799" s="2" t="s">
        <v>552</v>
      </c>
      <c r="C1799" s="2" t="s">
        <v>608</v>
      </c>
      <c r="D1799" s="2" t="s">
        <v>554</v>
      </c>
      <c r="E1799" s="2">
        <v>1</v>
      </c>
      <c r="F1799" s="1" t="str">
        <f>VLOOKUP(H1799,'RM Used'!A:B,2,0)</f>
        <v>P0017</v>
      </c>
      <c r="G1799" s="1" t="str">
        <f>IFERROR(VLOOKUP(F1799,'RM Cost'!A:B,2,0),"")</f>
        <v>PALE BLUE BAG 250X300MM</v>
      </c>
      <c r="H1799" s="2" t="s">
        <v>1334</v>
      </c>
      <c r="I1799" s="1" t="str">
        <f>VLOOKUP(F1799,'RM Used'!B:D,3,0)</f>
        <v>RM-PACKING</v>
      </c>
      <c r="J1799" s="66">
        <v>1</v>
      </c>
      <c r="K1799" s="35" t="str">
        <f t="shared" si="602"/>
        <v/>
      </c>
      <c r="L1799" s="35">
        <f t="shared" si="590"/>
        <v>0</v>
      </c>
      <c r="M1799" s="77" t="str" cm="1">
        <f t="array" ref="M1799">_xlfn.IFS(BOM!I1799="RM-PACKING","100%",B1799="Reynolds",VLOOKUP(H1799,'Yield &amp; Time'!A:V,22,0),BOM!B1799="Dnata",VLOOKUP(BOM!H1799,'Yield &amp; Time'!A:M,13,0),B1799="NK",VLOOKUP(H1799,'Yield &amp; Time'!A:X,24,0))</f>
        <v>100%</v>
      </c>
      <c r="N1799" s="35">
        <v>4</v>
      </c>
      <c r="O1799" s="1" t="str">
        <f>VLOOKUP(H1799,'RM Used'!A:E,5,0)</f>
        <v>Count</v>
      </c>
      <c r="P1799" s="11">
        <f>VLOOKUP(H1799,'RM Used'!A:F,6,0)</f>
        <v>0.05</v>
      </c>
      <c r="Q1799" s="11">
        <f t="shared" si="614"/>
        <v>0.2</v>
      </c>
      <c r="R1799" s="11">
        <f>IFERROR(IF(B1799="Reynolds",VLOOKUP(H1799,'Yield &amp; Time'!A:U,21,0),VLOOKUP(H1799,'Yield &amp; Time'!A:L,12,0)),0)</f>
        <v>0</v>
      </c>
      <c r="S1799" s="11">
        <f t="shared" si="591"/>
        <v>0</v>
      </c>
      <c r="T1799" s="11">
        <f t="shared" si="592"/>
        <v>0</v>
      </c>
      <c r="U1799" s="11">
        <f>IF(A1798=A1799,0,VLOOKUP(A1799,'Packing Time'!A:F,6,0))</f>
        <v>0</v>
      </c>
      <c r="V1799" s="11">
        <f t="shared" si="604"/>
        <v>0</v>
      </c>
      <c r="W1799" s="11">
        <f t="shared" si="605"/>
        <v>0</v>
      </c>
      <c r="X1799" s="11">
        <f t="shared" si="615"/>
        <v>0</v>
      </c>
      <c r="Y1799" s="11">
        <f t="shared" si="606"/>
        <v>0</v>
      </c>
      <c r="Z1799" s="37">
        <v>1</v>
      </c>
      <c r="AA1799" s="36">
        <f t="shared" si="611"/>
        <v>4</v>
      </c>
      <c r="AB1799" s="36">
        <f t="shared" si="612"/>
        <v>0.2</v>
      </c>
      <c r="AC1799" s="11">
        <f t="shared" si="616"/>
        <v>0</v>
      </c>
      <c r="AD1799" s="36">
        <f t="shared" si="607"/>
        <v>0</v>
      </c>
      <c r="AE1799" s="36"/>
      <c r="AF1799" s="36">
        <f>IFERROR(VLOOKUP(AE1799,'Chemical Cost'!A:D,4,0),0)</f>
        <v>0</v>
      </c>
      <c r="AG1799" s="114">
        <f t="shared" si="613"/>
        <v>0</v>
      </c>
      <c r="AH1799" s="36">
        <f t="shared" si="608"/>
        <v>0</v>
      </c>
      <c r="AI1799" s="36">
        <f t="shared" si="609"/>
        <v>0.2</v>
      </c>
      <c r="AJ1799" s="36">
        <f>IFERROR(VLOOKUP(A1799,'All Products'!A:F,6,0),0)</f>
        <v>0</v>
      </c>
      <c r="AK1799" s="36"/>
      <c r="AL1799" s="23">
        <v>0.8</v>
      </c>
      <c r="AM1799" s="23">
        <v>0.2</v>
      </c>
      <c r="AN1799" s="54" t="e">
        <v>#N/A</v>
      </c>
      <c r="AO1799" s="47"/>
      <c r="AP1799" s="4">
        <v>1.25</v>
      </c>
      <c r="AQ1799" s="111">
        <f t="shared" si="601"/>
        <v>0</v>
      </c>
      <c r="AR1799">
        <f>_xlfn.XLOOKUP(F1799,'RM Cost'!A:A,'RM Cost'!S:S)</f>
        <v>0</v>
      </c>
      <c r="AS1799" t="str">
        <f>_xlfn.XLOOKUP(A1799,[3]Sheet1!$B:$B,[3]Sheet1!$B:$B)</f>
        <v>1081CS</v>
      </c>
      <c r="AT1799" t="e">
        <f>_xlfn.XLOOKUP(H1799,'Yield &amp; Time'!A:A,'Yield &amp; Time'!F:F)</f>
        <v>#N/A</v>
      </c>
    </row>
    <row r="1800" spans="1:46" x14ac:dyDescent="0.25">
      <c r="A1800" t="s">
        <v>4751</v>
      </c>
      <c r="B1800" s="2" t="s">
        <v>552</v>
      </c>
      <c r="C1800" s="2" t="s">
        <v>608</v>
      </c>
      <c r="D1800" s="2" t="s">
        <v>554</v>
      </c>
      <c r="E1800" s="2">
        <v>1</v>
      </c>
      <c r="F1800" s="1" t="str">
        <f>VLOOKUP(H1800,'RM Used'!A:B,2,0)</f>
        <v>P0016</v>
      </c>
      <c r="G1800" s="1" t="str">
        <f>IFERROR(VLOOKUP(F1800,'RM Cost'!A:B,2,0),"")</f>
        <v>REY 40 30 BOX</v>
      </c>
      <c r="H1800" s="2" t="s">
        <v>1332</v>
      </c>
      <c r="I1800" s="1" t="str">
        <f>VLOOKUP(F1800,'RM Used'!B:D,3,0)</f>
        <v>RM-PACKING</v>
      </c>
      <c r="J1800" s="66">
        <v>1</v>
      </c>
      <c r="K1800" s="35" t="str">
        <f t="shared" si="602"/>
        <v/>
      </c>
      <c r="L1800" s="35">
        <f t="shared" si="590"/>
        <v>0</v>
      </c>
      <c r="M1800" s="77" t="str" cm="1">
        <f t="array" ref="M1800">_xlfn.IFS(BOM!I1800="RM-PACKING","100%",B1800="Reynolds",VLOOKUP(H1800,'Yield &amp; Time'!A:V,22,0),BOM!B1800="Dnata",VLOOKUP(BOM!H1800,'Yield &amp; Time'!A:M,13,0),B1800="NK",VLOOKUP(H1800,'Yield &amp; Time'!A:X,24,0))</f>
        <v>100%</v>
      </c>
      <c r="N1800" s="35">
        <f t="shared" si="610"/>
        <v>1</v>
      </c>
      <c r="O1800" s="1" t="str">
        <f>VLOOKUP(H1800,'RM Used'!A:E,5,0)</f>
        <v>Count</v>
      </c>
      <c r="P1800" s="11">
        <f>VLOOKUP(H1800,'RM Used'!A:F,6,0)</f>
        <v>0.28000000000000003</v>
      </c>
      <c r="Q1800" s="11">
        <f t="shared" si="614"/>
        <v>0.28000000000000003</v>
      </c>
      <c r="R1800" s="11">
        <f>IFERROR(IF(B1800="Reynolds",VLOOKUP(H1800,'Yield &amp; Time'!A:U,21,0),VLOOKUP(H1800,'Yield &amp; Time'!A:L,12,0)),0)</f>
        <v>0</v>
      </c>
      <c r="S1800" s="11">
        <f t="shared" si="591"/>
        <v>0</v>
      </c>
      <c r="T1800" s="11">
        <f t="shared" si="592"/>
        <v>0</v>
      </c>
      <c r="U1800" s="11">
        <f>IF(A1799=A1800,0,VLOOKUP(A1800,'Packing Time'!A:F,6,0))</f>
        <v>0</v>
      </c>
      <c r="V1800" s="11">
        <f t="shared" si="604"/>
        <v>0</v>
      </c>
      <c r="W1800" s="11">
        <f t="shared" si="605"/>
        <v>0</v>
      </c>
      <c r="X1800" s="11">
        <f t="shared" si="615"/>
        <v>0</v>
      </c>
      <c r="Y1800" s="11">
        <f t="shared" si="606"/>
        <v>0</v>
      </c>
      <c r="Z1800" s="37">
        <v>1</v>
      </c>
      <c r="AA1800" s="36">
        <f t="shared" si="611"/>
        <v>1</v>
      </c>
      <c r="AB1800" s="36">
        <f t="shared" si="612"/>
        <v>0.28000000000000003</v>
      </c>
      <c r="AC1800" s="11">
        <f t="shared" si="616"/>
        <v>0</v>
      </c>
      <c r="AD1800" s="36">
        <f t="shared" si="607"/>
        <v>0</v>
      </c>
      <c r="AE1800" s="36"/>
      <c r="AF1800" s="36">
        <f>IFERROR(VLOOKUP(AE1800,'Chemical Cost'!A:D,4,0),0)</f>
        <v>0</v>
      </c>
      <c r="AG1800" s="114">
        <f t="shared" si="613"/>
        <v>0</v>
      </c>
      <c r="AH1800" s="36">
        <f t="shared" si="608"/>
        <v>0</v>
      </c>
      <c r="AI1800" s="36">
        <f t="shared" si="609"/>
        <v>0.28000000000000003</v>
      </c>
      <c r="AJ1800" s="36">
        <f>IFERROR(VLOOKUP(A1800,'All Products'!A:F,6,0),0)</f>
        <v>0</v>
      </c>
      <c r="AK1800" s="36"/>
      <c r="AL1800" s="23">
        <v>0.8</v>
      </c>
      <c r="AM1800" s="23">
        <v>0.2</v>
      </c>
      <c r="AN1800" s="54" t="e">
        <v>#N/A</v>
      </c>
      <c r="AO1800" s="47"/>
      <c r="AP1800" s="4">
        <v>1.25</v>
      </c>
      <c r="AQ1800" s="111">
        <f t="shared" si="601"/>
        <v>0</v>
      </c>
      <c r="AR1800">
        <f>_xlfn.XLOOKUP(F1800,'RM Cost'!A:A,'RM Cost'!S:S)</f>
        <v>0</v>
      </c>
      <c r="AS1800" t="str">
        <f>_xlfn.XLOOKUP(A1800,[3]Sheet1!$B:$B,[3]Sheet1!$B:$B)</f>
        <v>1081CS</v>
      </c>
      <c r="AT1800" t="e">
        <f>_xlfn.XLOOKUP(H1800,'Yield &amp; Time'!A:A,'Yield &amp; Time'!F:F)</f>
        <v>#N/A</v>
      </c>
    </row>
    <row r="1801" spans="1:46" x14ac:dyDescent="0.25">
      <c r="A1801" t="s">
        <v>4752</v>
      </c>
      <c r="B1801" s="2" t="s">
        <v>552</v>
      </c>
      <c r="C1801" t="s">
        <v>4753</v>
      </c>
      <c r="D1801" s="2" t="s">
        <v>554</v>
      </c>
      <c r="E1801" s="63">
        <v>0.5</v>
      </c>
      <c r="F1801" s="1" t="str">
        <f>VLOOKUP(H1801,'RM Used'!A:B,2,0)</f>
        <v>3034CS</v>
      </c>
      <c r="G1801" s="1" t="str">
        <f>IFERROR(VLOOKUP(F1801,'RM Cost'!A:B,2,0),"")</f>
        <v>RM - BROCCOLI 6KG</v>
      </c>
      <c r="H1801" s="94" t="s">
        <v>4754</v>
      </c>
      <c r="I1801" s="1" t="str">
        <f>VLOOKUP(F1801,'RM Used'!B:D,3,0)</f>
        <v>RM-FOOD</v>
      </c>
      <c r="J1801" s="66">
        <v>1</v>
      </c>
      <c r="K1801" s="35">
        <f t="shared" ref="K1801:K1807" si="617">IF(I1801="RM-FOOD",J1801*E1801,"")</f>
        <v>0.5</v>
      </c>
      <c r="L1801" s="35">
        <f t="shared" ref="L1801:L1807" si="618">IFERROR(K1801*Z1801,0)</f>
        <v>0.5</v>
      </c>
      <c r="M1801" s="77" cm="1">
        <f t="array" ref="M1801">_xlfn.IFS(BOM!I1801="RM-PACKING","100%",B1801="Reynolds",VLOOKUP(H1801,'Yield &amp; Time'!A:V,22,0),BOM!B1801="Dnata",VLOOKUP(BOM!H1801,'Yield &amp; Time'!A:M,13,0),B1801="NK",VLOOKUP(H1801,'Yield &amp; Time'!A:X,24,0))</f>
        <v>0.68</v>
      </c>
      <c r="N1801" s="35">
        <f t="shared" ref="N1801:N1807" si="619">IFERROR(IF(I1801="RM-FOOD",(E1801*J1801)/M1801,1),0)</f>
        <v>0.73529411764705876</v>
      </c>
      <c r="O1801" s="1" t="str">
        <f>VLOOKUP(H1801,'RM Used'!A:E,5,0)</f>
        <v>KG</v>
      </c>
      <c r="P1801" s="11">
        <f>VLOOKUP(H1801,'RM Used'!A:F,6,0)</f>
        <v>1.02</v>
      </c>
      <c r="Q1801" s="11">
        <f t="shared" ref="Q1801:Q1807" si="620">P1801*N1801</f>
        <v>0.75</v>
      </c>
      <c r="R1801" s="11">
        <f>IFERROR(IF(B1801="Reynolds",VLOOKUP(H1801,'Yield &amp; Time'!A:U,21,0),VLOOKUP(H1801,'Yield &amp; Time'!A:L,12,0)),0)</f>
        <v>3.5</v>
      </c>
      <c r="S1801" s="11">
        <f t="shared" ref="S1801:S1807" si="621">R1801*J1801*E1801*AO$1</f>
        <v>0.59237499999999998</v>
      </c>
      <c r="T1801" s="11">
        <f t="shared" ref="T1801:T1807" si="622">(R1801*Z1801*J1801*E1801)/60</f>
        <v>2.9166666666666667E-2</v>
      </c>
      <c r="U1801" s="11">
        <f>IF(A1800=A1801,0,VLOOKUP(A1801,'Packing Time'!A:F,6,0))</f>
        <v>0.45</v>
      </c>
      <c r="V1801" s="11">
        <f t="shared" ref="V1801:V1807" si="623">U1801*AO$1</f>
        <v>0.15232499999999999</v>
      </c>
      <c r="W1801" s="11">
        <f t="shared" ref="W1801:W1807" si="624">(U1801*Z1801)/60</f>
        <v>7.5000000000000006E-3</v>
      </c>
      <c r="X1801" s="11">
        <f t="shared" si="615"/>
        <v>0.93087500000000001</v>
      </c>
      <c r="Y1801" s="11">
        <f t="shared" ref="Y1801:Y1807" si="625">X1801*Z1801</f>
        <v>0.93087500000000001</v>
      </c>
      <c r="Z1801" s="37">
        <v>1</v>
      </c>
      <c r="AA1801" s="36">
        <f t="shared" ref="AA1801:AA1807" si="626">Z1801*N1801</f>
        <v>0.73529411764705876</v>
      </c>
      <c r="AB1801" s="36">
        <f t="shared" ref="AB1801:AB1807" si="627">AA1801*P1801</f>
        <v>0.75</v>
      </c>
      <c r="AC1801" s="11">
        <f t="shared" si="616"/>
        <v>4.5833333333333337E-2</v>
      </c>
      <c r="AD1801" s="36">
        <f t="shared" ref="AD1801:AD1807" si="628">AC1801*60*AO$1</f>
        <v>0.9308749999999999</v>
      </c>
      <c r="AE1801" s="36"/>
      <c r="AF1801" s="36">
        <f>IFERROR(VLOOKUP(AE1801,'Chemical Cost'!A:D,4,0),0)</f>
        <v>0</v>
      </c>
      <c r="AG1801" s="114">
        <f t="shared" ref="AG1801:AG1807" si="629">AF1801*N1801/3</f>
        <v>0</v>
      </c>
      <c r="AH1801" s="36">
        <f t="shared" ref="AH1801:AH1807" si="630">AF1801*AA1801/3</f>
        <v>0</v>
      </c>
      <c r="AI1801" s="36">
        <f t="shared" ref="AI1801:AI1807" si="631">IFERROR((Q1801*Z1801)+(Z1801*X1801)+AH1801,0)</f>
        <v>1.6808749999999999</v>
      </c>
      <c r="AJ1801" s="36">
        <f>IFERROR(VLOOKUP(A1801,'All Products'!A:F,6,0),0)</f>
        <v>0</v>
      </c>
      <c r="AK1801" s="36"/>
      <c r="AL1801" s="23">
        <v>0.8</v>
      </c>
      <c r="AM1801" s="23">
        <v>0.2</v>
      </c>
      <c r="AN1801" s="54" t="e">
        <v>#N/A</v>
      </c>
      <c r="AO1801" s="47"/>
      <c r="AP1801" s="4">
        <v>1.25</v>
      </c>
      <c r="AQ1801" s="111">
        <f t="shared" ref="AQ1801:AQ1807" si="632">(((R1801*J1801*E1801)+U1801)/60)*AP1801</f>
        <v>4.5833333333333337E-2</v>
      </c>
      <c r="AR1801">
        <f>_xlfn.XLOOKUP(F1801,'RM Cost'!A:A,'RM Cost'!S:S)</f>
        <v>0</v>
      </c>
      <c r="AS1801" t="str">
        <f>_xlfn.XLOOKUP(A1801,[3]Sheet1!$B:$B,[3]Sheet1!$B:$B)</f>
        <v>166CCS</v>
      </c>
      <c r="AT1801">
        <f>_xlfn.XLOOKUP(H1801,'Yield &amp; Time'!A:A,'Yield &amp; Time'!F:F)</f>
        <v>0</v>
      </c>
    </row>
    <row r="1802" spans="1:46" x14ac:dyDescent="0.25">
      <c r="A1802" t="s">
        <v>4752</v>
      </c>
      <c r="B1802" s="2" t="s">
        <v>552</v>
      </c>
      <c r="C1802" t="s">
        <v>4753</v>
      </c>
      <c r="D1802" s="2" t="s">
        <v>554</v>
      </c>
      <c r="E1802" s="63">
        <v>0.5</v>
      </c>
      <c r="F1802" s="1" t="str">
        <f>VLOOKUP(H1802,'RM Used'!A:B,2,0)</f>
        <v>P0017</v>
      </c>
      <c r="G1802" s="1" t="str">
        <f>IFERROR(VLOOKUP(F1802,'RM Cost'!A:B,2,0),"")</f>
        <v>PALE BLUE BAG 250X300MM</v>
      </c>
      <c r="H1802" s="2" t="s">
        <v>1334</v>
      </c>
      <c r="I1802" s="1" t="str">
        <f>VLOOKUP(F1802,'RM Used'!B:D,3,0)</f>
        <v>RM-PACKING</v>
      </c>
      <c r="J1802" s="66">
        <v>1</v>
      </c>
      <c r="K1802" s="35" t="str">
        <f t="shared" si="617"/>
        <v/>
      </c>
      <c r="L1802" s="35">
        <f t="shared" si="618"/>
        <v>0</v>
      </c>
      <c r="M1802" s="77" t="str" cm="1">
        <f t="array" ref="M1802">_xlfn.IFS(BOM!I1802="RM-PACKING","100%",B1802="Reynolds",VLOOKUP(H1802,'Yield &amp; Time'!A:V,22,0),BOM!B1802="Dnata",VLOOKUP(BOM!H1802,'Yield &amp; Time'!A:M,13,0),B1802="NK",VLOOKUP(H1802,'Yield &amp; Time'!A:X,24,0))</f>
        <v>100%</v>
      </c>
      <c r="N1802" s="35">
        <f t="shared" si="619"/>
        <v>1</v>
      </c>
      <c r="O1802" s="1" t="str">
        <f>VLOOKUP(H1802,'RM Used'!A:E,5,0)</f>
        <v>Count</v>
      </c>
      <c r="P1802" s="11">
        <f>VLOOKUP(H1802,'RM Used'!A:F,6,0)</f>
        <v>0.05</v>
      </c>
      <c r="Q1802" s="11">
        <f t="shared" si="620"/>
        <v>0.05</v>
      </c>
      <c r="R1802" s="11">
        <f>IFERROR(IF(B1802="Reynolds",VLOOKUP(H1802,'Yield &amp; Time'!A:U,21,0),VLOOKUP(H1802,'Yield &amp; Time'!A:L,12,0)),0)</f>
        <v>0</v>
      </c>
      <c r="S1802" s="11">
        <f t="shared" si="621"/>
        <v>0</v>
      </c>
      <c r="T1802" s="11">
        <f t="shared" si="622"/>
        <v>0</v>
      </c>
      <c r="U1802" s="11">
        <f>IF(A1801=A1802,0,VLOOKUP(A1802,'Packing Time'!A:F,6,0))</f>
        <v>0</v>
      </c>
      <c r="V1802" s="11">
        <f t="shared" si="623"/>
        <v>0</v>
      </c>
      <c r="W1802" s="11">
        <f t="shared" si="624"/>
        <v>0</v>
      </c>
      <c r="X1802" s="11">
        <f t="shared" si="615"/>
        <v>0</v>
      </c>
      <c r="Y1802" s="11">
        <f t="shared" si="625"/>
        <v>0</v>
      </c>
      <c r="Z1802" s="37">
        <v>1</v>
      </c>
      <c r="AA1802" s="36">
        <f t="shared" si="626"/>
        <v>1</v>
      </c>
      <c r="AB1802" s="36">
        <f t="shared" si="627"/>
        <v>0.05</v>
      </c>
      <c r="AC1802" s="11">
        <f t="shared" si="616"/>
        <v>0</v>
      </c>
      <c r="AD1802" s="36">
        <f t="shared" si="628"/>
        <v>0</v>
      </c>
      <c r="AE1802" s="36"/>
      <c r="AF1802" s="36">
        <f>IFERROR(VLOOKUP(AE1802,'Chemical Cost'!A:D,4,0),0)</f>
        <v>0</v>
      </c>
      <c r="AG1802" s="114">
        <f t="shared" si="629"/>
        <v>0</v>
      </c>
      <c r="AH1802" s="36">
        <f t="shared" si="630"/>
        <v>0</v>
      </c>
      <c r="AI1802" s="36">
        <f t="shared" si="631"/>
        <v>0.05</v>
      </c>
      <c r="AJ1802" s="36">
        <f>IFERROR(VLOOKUP(A1802,'All Products'!A:F,6,0),0)</f>
        <v>0</v>
      </c>
      <c r="AK1802" s="36"/>
      <c r="AL1802" s="23">
        <v>0.8</v>
      </c>
      <c r="AM1802" s="23">
        <v>0.2</v>
      </c>
      <c r="AN1802" s="54" t="e">
        <v>#N/A</v>
      </c>
      <c r="AO1802" s="47"/>
      <c r="AP1802" s="4">
        <v>1.25</v>
      </c>
      <c r="AQ1802" s="111">
        <f t="shared" si="632"/>
        <v>0</v>
      </c>
      <c r="AR1802">
        <f>_xlfn.XLOOKUP(F1802,'RM Cost'!A:A,'RM Cost'!S:S)</f>
        <v>0</v>
      </c>
      <c r="AS1802" t="str">
        <f>_xlfn.XLOOKUP(A1802,[3]Sheet1!$B:$B,[3]Sheet1!$B:$B)</f>
        <v>166CCS</v>
      </c>
      <c r="AT1802" t="e">
        <f>_xlfn.XLOOKUP(H1802,'Yield &amp; Time'!A:A,'Yield &amp; Time'!F:F)</f>
        <v>#N/A</v>
      </c>
    </row>
    <row r="1803" spans="1:46" x14ac:dyDescent="0.25">
      <c r="A1803" t="s">
        <v>4752</v>
      </c>
      <c r="B1803" s="2" t="s">
        <v>552</v>
      </c>
      <c r="C1803" t="s">
        <v>4753</v>
      </c>
      <c r="D1803" s="2" t="s">
        <v>554</v>
      </c>
      <c r="E1803" s="63">
        <v>0.5</v>
      </c>
      <c r="F1803" s="1" t="str">
        <f>VLOOKUP(H1803,'RM Used'!A:B,2,0)</f>
        <v>P0016A</v>
      </c>
      <c r="G1803" s="1" t="str">
        <f>IFERROR(VLOOKUP(F1803,'RM Cost'!A:B,2,0),"")</f>
        <v>REY 40 30 BOX 4 in 1</v>
      </c>
      <c r="H1803" s="2" t="s">
        <v>4747</v>
      </c>
      <c r="I1803" s="1" t="str">
        <f>VLOOKUP(F1803,'RM Used'!B:D,3,0)</f>
        <v>RM-PACKING</v>
      </c>
      <c r="J1803" s="66">
        <v>1</v>
      </c>
      <c r="K1803" s="35" t="str">
        <f t="shared" si="617"/>
        <v/>
      </c>
      <c r="L1803" s="35">
        <f t="shared" si="618"/>
        <v>0</v>
      </c>
      <c r="M1803" s="77" t="str" cm="1">
        <f t="array" ref="M1803">_xlfn.IFS(BOM!I1803="RM-PACKING","100%",B1803="Reynolds",VLOOKUP(H1803,'Yield &amp; Time'!A:V,22,0),BOM!B1803="Dnata",VLOOKUP(BOM!H1803,'Yield &amp; Time'!A:M,13,0),B1803="NK",VLOOKUP(H1803,'Yield &amp; Time'!A:X,24,0))</f>
        <v>100%</v>
      </c>
      <c r="N1803" s="35">
        <f t="shared" si="619"/>
        <v>1</v>
      </c>
      <c r="O1803" s="1" t="str">
        <f>VLOOKUP(H1803,'RM Used'!A:E,5,0)</f>
        <v>Count</v>
      </c>
      <c r="P1803" s="11">
        <f>VLOOKUP(H1803,'RM Used'!A:F,6,0)</f>
        <v>7.0000000000000007E-2</v>
      </c>
      <c r="Q1803" s="11">
        <f t="shared" si="620"/>
        <v>7.0000000000000007E-2</v>
      </c>
      <c r="R1803" s="11">
        <f>IFERROR(IF(B1803="Reynolds",VLOOKUP(H1803,'Yield &amp; Time'!A:U,21,0),VLOOKUP(H1803,'Yield &amp; Time'!A:L,12,0)),0)</f>
        <v>0</v>
      </c>
      <c r="S1803" s="11">
        <f t="shared" si="621"/>
        <v>0</v>
      </c>
      <c r="T1803" s="11">
        <f t="shared" si="622"/>
        <v>0</v>
      </c>
      <c r="U1803" s="11">
        <f>IF(A1802=A1803,0,VLOOKUP(A1803,'Packing Time'!A:F,6,0))</f>
        <v>0</v>
      </c>
      <c r="V1803" s="11">
        <f t="shared" si="623"/>
        <v>0</v>
      </c>
      <c r="W1803" s="11">
        <f t="shared" si="624"/>
        <v>0</v>
      </c>
      <c r="X1803" s="11">
        <f t="shared" si="615"/>
        <v>0</v>
      </c>
      <c r="Y1803" s="11">
        <f t="shared" si="625"/>
        <v>0</v>
      </c>
      <c r="Z1803" s="37">
        <v>1</v>
      </c>
      <c r="AA1803" s="36">
        <f t="shared" si="626"/>
        <v>1</v>
      </c>
      <c r="AB1803" s="36">
        <f t="shared" si="627"/>
        <v>7.0000000000000007E-2</v>
      </c>
      <c r="AC1803" s="11">
        <f t="shared" si="616"/>
        <v>0</v>
      </c>
      <c r="AD1803" s="36">
        <f t="shared" si="628"/>
        <v>0</v>
      </c>
      <c r="AE1803" s="36"/>
      <c r="AF1803" s="36">
        <f>IFERROR(VLOOKUP(AE1803,'Chemical Cost'!A:D,4,0),0)</f>
        <v>0</v>
      </c>
      <c r="AG1803" s="114">
        <f t="shared" si="629"/>
        <v>0</v>
      </c>
      <c r="AH1803" s="36">
        <f t="shared" si="630"/>
        <v>0</v>
      </c>
      <c r="AI1803" s="36">
        <f t="shared" si="631"/>
        <v>7.0000000000000007E-2</v>
      </c>
      <c r="AJ1803" s="36">
        <f>IFERROR(VLOOKUP(A1803,'All Products'!A:F,6,0),0)</f>
        <v>0</v>
      </c>
      <c r="AK1803" s="36"/>
      <c r="AL1803" s="23">
        <v>0.8</v>
      </c>
      <c r="AM1803" s="23">
        <v>0.2</v>
      </c>
      <c r="AN1803" s="54" t="e">
        <v>#N/A</v>
      </c>
      <c r="AO1803" s="47"/>
      <c r="AP1803" s="4">
        <v>1.25</v>
      </c>
      <c r="AQ1803" s="111">
        <f t="shared" si="632"/>
        <v>0</v>
      </c>
      <c r="AR1803">
        <f>_xlfn.XLOOKUP(F1803,'RM Cost'!A:A,'RM Cost'!S:S)</f>
        <v>0</v>
      </c>
      <c r="AS1803" t="str">
        <f>_xlfn.XLOOKUP(A1803,[3]Sheet1!$B:$B,[3]Sheet1!$B:$B)</f>
        <v>166CCS</v>
      </c>
      <c r="AT1803" t="e">
        <f>_xlfn.XLOOKUP(H1803,'Yield &amp; Time'!A:A,'Yield &amp; Time'!F:F)</f>
        <v>#N/A</v>
      </c>
    </row>
    <row r="1804" spans="1:46" x14ac:dyDescent="0.25">
      <c r="A1804" t="s">
        <v>4755</v>
      </c>
      <c r="B1804" s="2" t="s">
        <v>552</v>
      </c>
      <c r="C1804" t="s">
        <v>4756</v>
      </c>
      <c r="D1804" s="2" t="s">
        <v>554</v>
      </c>
      <c r="E1804" s="63">
        <v>0.65</v>
      </c>
      <c r="F1804" s="1" t="str">
        <f>VLOOKUP(H1804,'RM Used'!A:B,2,0)</f>
        <v>S3998CS</v>
      </c>
      <c r="G1804" s="1" t="str">
        <f>IFERROR(VLOOKUP(F1804,'RM Cost'!A:B,2,0),"")</f>
        <v>RM - DECORED RED CABBAGE 1/3 1200KG</v>
      </c>
      <c r="H1804" s="94" t="s">
        <v>1349</v>
      </c>
      <c r="I1804" s="1" t="str">
        <f>VLOOKUP(F1804,'RM Used'!B:D,3,0)</f>
        <v>RM-FOOD</v>
      </c>
      <c r="J1804" s="66">
        <v>0.7</v>
      </c>
      <c r="K1804" s="35">
        <f t="shared" si="617"/>
        <v>0.45499999999999996</v>
      </c>
      <c r="L1804" s="35">
        <f t="shared" si="618"/>
        <v>0.45499999999999996</v>
      </c>
      <c r="M1804" s="77" cm="1">
        <f t="array" ref="M1804">_xlfn.IFS(BOM!I1804="RM-PACKING","100%",B1804="Reynolds",VLOOKUP(H1804,'Yield &amp; Time'!A:V,22,0),BOM!B1804="Dnata",VLOOKUP(BOM!H1804,'Yield &amp; Time'!A:M,13,0),B1804="NK",VLOOKUP(H1804,'Yield &amp; Time'!A:X,24,0))</f>
        <v>0.75138040345821322</v>
      </c>
      <c r="N1804" s="35">
        <f t="shared" si="619"/>
        <v>0.60555212500335598</v>
      </c>
      <c r="O1804" s="1" t="str">
        <f>VLOOKUP(H1804,'RM Used'!A:E,5,0)</f>
        <v>KG</v>
      </c>
      <c r="P1804" s="11">
        <f>VLOOKUP(H1804,'RM Used'!A:F,6,0)</f>
        <v>0.38</v>
      </c>
      <c r="Q1804" s="11">
        <f t="shared" si="620"/>
        <v>0.23010980750127527</v>
      </c>
      <c r="R1804" s="11">
        <f>IFERROR(IF(B1804="Reynolds",VLOOKUP(H1804,'Yield &amp; Time'!A:U,21,0),VLOOKUP(H1804,'Yield &amp; Time'!A:L,12,0)),0)</f>
        <v>0.76261570798735501</v>
      </c>
      <c r="S1804" s="11">
        <f t="shared" si="621"/>
        <v>0.11745616480494242</v>
      </c>
      <c r="T1804" s="11">
        <f t="shared" si="622"/>
        <v>5.7831691189041082E-3</v>
      </c>
      <c r="U1804" s="11">
        <f>IF(A1803=A1804,0,VLOOKUP(A1804,'Packing Time'!A:F,6,0))</f>
        <v>0.5</v>
      </c>
      <c r="V1804" s="11">
        <f t="shared" si="623"/>
        <v>0.16924999999999998</v>
      </c>
      <c r="W1804" s="11">
        <f t="shared" si="624"/>
        <v>8.3333333333333332E-3</v>
      </c>
      <c r="X1804" s="11">
        <f t="shared" si="615"/>
        <v>0.35838270600617805</v>
      </c>
      <c r="Y1804" s="11">
        <f t="shared" si="625"/>
        <v>0.35838270600617805</v>
      </c>
      <c r="Z1804" s="37">
        <v>1</v>
      </c>
      <c r="AA1804" s="36">
        <f t="shared" si="626"/>
        <v>0.60555212500335598</v>
      </c>
      <c r="AB1804" s="36">
        <f t="shared" si="627"/>
        <v>0.23010980750127527</v>
      </c>
      <c r="AC1804" s="11">
        <f t="shared" si="616"/>
        <v>1.7645628065296803E-2</v>
      </c>
      <c r="AD1804" s="36">
        <f t="shared" si="628"/>
        <v>0.35838270600617805</v>
      </c>
      <c r="AE1804" s="36"/>
      <c r="AF1804" s="36">
        <f>IFERROR(VLOOKUP(AE1804,'Chemical Cost'!A:D,4,0),0)</f>
        <v>0</v>
      </c>
      <c r="AG1804" s="114">
        <f t="shared" si="629"/>
        <v>0</v>
      </c>
      <c r="AH1804" s="36">
        <f t="shared" si="630"/>
        <v>0</v>
      </c>
      <c r="AI1804" s="36">
        <f t="shared" si="631"/>
        <v>0.58849251350745335</v>
      </c>
      <c r="AJ1804" s="36">
        <f>IFERROR(VLOOKUP(A1804,'All Products'!A:F,6,0),0)</f>
        <v>0</v>
      </c>
      <c r="AK1804" s="36"/>
      <c r="AL1804" s="23">
        <v>0.8</v>
      </c>
      <c r="AM1804" s="23">
        <v>0.2</v>
      </c>
      <c r="AN1804" s="54" t="e">
        <v>#N/A</v>
      </c>
      <c r="AO1804" s="47"/>
      <c r="AP1804" s="4">
        <v>1.25</v>
      </c>
      <c r="AQ1804" s="111">
        <f t="shared" si="632"/>
        <v>1.7645628065296803E-2</v>
      </c>
      <c r="AR1804">
        <f>_xlfn.XLOOKUP(F1804,'RM Cost'!A:A,'RM Cost'!S:S)</f>
        <v>0.29914853989077506</v>
      </c>
      <c r="AS1804" t="str">
        <f>_xlfn.XLOOKUP(A1804,[3]Sheet1!$B:$B,[3]Sheet1!$B:$B)</f>
        <v>167CCS</v>
      </c>
      <c r="AT1804" t="str">
        <f>_xlfn.XLOOKUP(H1804,'Yield &amp; Time'!A:A,'Yield &amp; Time'!O:O)</f>
        <v>Yes</v>
      </c>
    </row>
    <row r="1805" spans="1:46" x14ac:dyDescent="0.25">
      <c r="A1805" t="s">
        <v>4755</v>
      </c>
      <c r="B1805" s="2" t="s">
        <v>552</v>
      </c>
      <c r="C1805" t="s">
        <v>4756</v>
      </c>
      <c r="D1805" s="2" t="s">
        <v>554</v>
      </c>
      <c r="E1805" s="63">
        <v>0.65</v>
      </c>
      <c r="F1805" s="1" t="str">
        <f>VLOOKUP(H1805,'RM Used'!A:B,2,0)</f>
        <v>HS685</v>
      </c>
      <c r="G1805" s="1" t="str">
        <f>IFERROR(VLOOKUP(F1805,'RM Cost'!A:B,2,0),"")</f>
        <v>RM - TIC AMAZU PICKLING VINEGAR 5KG</v>
      </c>
      <c r="H1805" s="94" t="s">
        <v>1386</v>
      </c>
      <c r="I1805" s="1" t="str">
        <f>VLOOKUP(F1805,'RM Used'!B:D,3,0)</f>
        <v>RM-FOOD</v>
      </c>
      <c r="J1805" s="66">
        <v>0.3</v>
      </c>
      <c r="K1805" s="35">
        <f t="shared" si="617"/>
        <v>0.19500000000000001</v>
      </c>
      <c r="L1805" s="35">
        <f t="shared" si="618"/>
        <v>0.19500000000000001</v>
      </c>
      <c r="M1805" s="77" cm="1">
        <f t="array" ref="M1805">_xlfn.IFS(BOM!I1805="RM-PACKING","100%",B1805="Reynolds",VLOOKUP(H1805,'Yield &amp; Time'!A:V,22,0),BOM!B1805="Dnata",VLOOKUP(BOM!H1805,'Yield &amp; Time'!A:M,13,0),B1805="NK",VLOOKUP(H1805,'Yield &amp; Time'!A:X,24,0))</f>
        <v>1</v>
      </c>
      <c r="N1805" s="35">
        <f t="shared" si="619"/>
        <v>0.19500000000000001</v>
      </c>
      <c r="O1805" s="1" t="str">
        <f>VLOOKUP(H1805,'RM Used'!A:E,5,0)</f>
        <v>KG</v>
      </c>
      <c r="P1805" s="11">
        <f>VLOOKUP(H1805,'RM Used'!A:F,6,0)</f>
        <v>3.6</v>
      </c>
      <c r="Q1805" s="11">
        <f t="shared" si="620"/>
        <v>0.70200000000000007</v>
      </c>
      <c r="R1805" s="11">
        <f>IFERROR(IF(B1805="Reynolds",VLOOKUP(H1805,'Yield &amp; Time'!A:U,21,0),VLOOKUP(H1805,'Yield &amp; Time'!A:L,12,0)),0)</f>
        <v>0</v>
      </c>
      <c r="S1805" s="11">
        <f t="shared" si="621"/>
        <v>0</v>
      </c>
      <c r="T1805" s="11">
        <f t="shared" si="622"/>
        <v>0</v>
      </c>
      <c r="U1805" s="11">
        <f>IF(A1804=A1805,0,VLOOKUP(A1805,'Packing Time'!A:F,6,0))</f>
        <v>0</v>
      </c>
      <c r="V1805" s="11">
        <f t="shared" si="623"/>
        <v>0</v>
      </c>
      <c r="W1805" s="11">
        <f t="shared" si="624"/>
        <v>0</v>
      </c>
      <c r="X1805" s="11">
        <f t="shared" si="615"/>
        <v>0</v>
      </c>
      <c r="Y1805" s="11">
        <f t="shared" si="625"/>
        <v>0</v>
      </c>
      <c r="Z1805" s="37">
        <v>1</v>
      </c>
      <c r="AA1805" s="36">
        <f t="shared" si="626"/>
        <v>0.19500000000000001</v>
      </c>
      <c r="AB1805" s="36">
        <f t="shared" si="627"/>
        <v>0.70200000000000007</v>
      </c>
      <c r="AC1805" s="11">
        <f t="shared" si="616"/>
        <v>0</v>
      </c>
      <c r="AD1805" s="36">
        <f t="shared" si="628"/>
        <v>0</v>
      </c>
      <c r="AE1805" s="36"/>
      <c r="AF1805" s="36">
        <f>IFERROR(VLOOKUP(AE1805,'Chemical Cost'!A:D,4,0),0)</f>
        <v>0</v>
      </c>
      <c r="AG1805" s="114">
        <f t="shared" si="629"/>
        <v>0</v>
      </c>
      <c r="AH1805" s="36">
        <f t="shared" si="630"/>
        <v>0</v>
      </c>
      <c r="AI1805" s="36">
        <f t="shared" si="631"/>
        <v>0.70200000000000007</v>
      </c>
      <c r="AJ1805" s="36">
        <f>IFERROR(VLOOKUP(A1805,'All Products'!A:F,6,0),0)</f>
        <v>0</v>
      </c>
      <c r="AK1805" s="36"/>
      <c r="AL1805" s="23">
        <v>0.8</v>
      </c>
      <c r="AM1805" s="23">
        <v>0.2</v>
      </c>
      <c r="AN1805" s="54" t="e">
        <v>#N/A</v>
      </c>
      <c r="AO1805" s="47"/>
      <c r="AP1805" s="4">
        <v>1.25</v>
      </c>
      <c r="AQ1805" s="111">
        <f t="shared" si="632"/>
        <v>0</v>
      </c>
      <c r="AR1805">
        <f>_xlfn.XLOOKUP(F1805,'RM Cost'!A:A,'RM Cost'!S:S)</f>
        <v>0</v>
      </c>
      <c r="AS1805" t="str">
        <f>_xlfn.XLOOKUP(A1805,[3]Sheet1!$B:$B,[3]Sheet1!$B:$B)</f>
        <v>167CCS</v>
      </c>
      <c r="AT1805">
        <f>_xlfn.XLOOKUP(H1805,'Yield &amp; Time'!A:A,'Yield &amp; Time'!F:F)</f>
        <v>0</v>
      </c>
    </row>
    <row r="1806" spans="1:46" x14ac:dyDescent="0.25">
      <c r="A1806" t="s">
        <v>4755</v>
      </c>
      <c r="B1806" s="2" t="s">
        <v>552</v>
      </c>
      <c r="C1806" t="s">
        <v>4756</v>
      </c>
      <c r="D1806" s="2" t="s">
        <v>554</v>
      </c>
      <c r="E1806" s="63">
        <v>0.65</v>
      </c>
      <c r="F1806" s="1" t="str">
        <f>VLOOKUP(H1806,'RM Used'!A:B,2,0)</f>
        <v>P0011</v>
      </c>
      <c r="G1806" s="1" t="str">
        <f>IFERROR(VLOOKUP(F1806,'RM Cost'!A:B,2,0),"")</f>
        <v>VACK PACK 300x400</v>
      </c>
      <c r="H1806" s="1" t="s">
        <v>1326</v>
      </c>
      <c r="I1806" s="1" t="str">
        <f>VLOOKUP(F1806,'RM Used'!B:D,3,0)</f>
        <v>RM-PACKING</v>
      </c>
      <c r="J1806" s="66">
        <v>1</v>
      </c>
      <c r="K1806" s="35" t="str">
        <f t="shared" si="617"/>
        <v/>
      </c>
      <c r="L1806" s="35">
        <f t="shared" si="618"/>
        <v>0</v>
      </c>
      <c r="M1806" s="77" t="str" cm="1">
        <f t="array" ref="M1806">_xlfn.IFS(BOM!I1806="RM-PACKING","100%",B1806="Reynolds",VLOOKUP(H1806,'Yield &amp; Time'!A:V,22,0),BOM!B1806="Dnata",VLOOKUP(BOM!H1806,'Yield &amp; Time'!A:M,13,0),B1806="NK",VLOOKUP(H1806,'Yield &amp; Time'!A:X,24,0))</f>
        <v>100%</v>
      </c>
      <c r="N1806" s="35">
        <f t="shared" si="619"/>
        <v>1</v>
      </c>
      <c r="O1806" s="1" t="str">
        <f>VLOOKUP(H1806,'RM Used'!A:E,5,0)</f>
        <v>Count</v>
      </c>
      <c r="P1806" s="11">
        <f>VLOOKUP(H1806,'RM Used'!A:F,6,0)</f>
        <v>0.1</v>
      </c>
      <c r="Q1806" s="11">
        <f t="shared" si="620"/>
        <v>0.1</v>
      </c>
      <c r="R1806" s="11">
        <f>IFERROR(IF(B1806="Reynolds",VLOOKUP(H1806,'Yield &amp; Time'!A:U,21,0),VLOOKUP(H1806,'Yield &amp; Time'!A:L,12,0)),0)</f>
        <v>0</v>
      </c>
      <c r="S1806" s="11">
        <f t="shared" si="621"/>
        <v>0</v>
      </c>
      <c r="T1806" s="11">
        <f t="shared" si="622"/>
        <v>0</v>
      </c>
      <c r="U1806" s="11">
        <f>IF(A1805=A1806,0,VLOOKUP(A1806,'Packing Time'!A:F,6,0))</f>
        <v>0</v>
      </c>
      <c r="V1806" s="11">
        <f t="shared" si="623"/>
        <v>0</v>
      </c>
      <c r="W1806" s="11">
        <f t="shared" si="624"/>
        <v>0</v>
      </c>
      <c r="X1806" s="11">
        <f t="shared" si="615"/>
        <v>0</v>
      </c>
      <c r="Y1806" s="11">
        <f t="shared" si="625"/>
        <v>0</v>
      </c>
      <c r="Z1806" s="37">
        <v>1</v>
      </c>
      <c r="AA1806" s="36">
        <f t="shared" si="626"/>
        <v>1</v>
      </c>
      <c r="AB1806" s="36">
        <f t="shared" si="627"/>
        <v>0.1</v>
      </c>
      <c r="AC1806" s="11">
        <f t="shared" si="616"/>
        <v>0</v>
      </c>
      <c r="AD1806" s="36">
        <f t="shared" si="628"/>
        <v>0</v>
      </c>
      <c r="AE1806" s="36"/>
      <c r="AF1806" s="36">
        <f>IFERROR(VLOOKUP(AE1806,'Chemical Cost'!A:D,4,0),0)</f>
        <v>0</v>
      </c>
      <c r="AG1806" s="114">
        <f t="shared" si="629"/>
        <v>0</v>
      </c>
      <c r="AH1806" s="36">
        <f t="shared" si="630"/>
        <v>0</v>
      </c>
      <c r="AI1806" s="36">
        <f t="shared" si="631"/>
        <v>0.1</v>
      </c>
      <c r="AJ1806" s="36">
        <f>IFERROR(VLOOKUP(A1806,'All Products'!A:F,6,0),0)</f>
        <v>0</v>
      </c>
      <c r="AK1806" s="36"/>
      <c r="AL1806" s="23">
        <v>0.8</v>
      </c>
      <c r="AM1806" s="23">
        <v>0.2</v>
      </c>
      <c r="AN1806" s="54" t="e">
        <v>#N/A</v>
      </c>
      <c r="AO1806" s="47"/>
      <c r="AP1806" s="4">
        <v>1.25</v>
      </c>
      <c r="AQ1806" s="111">
        <f t="shared" si="632"/>
        <v>0</v>
      </c>
      <c r="AR1806">
        <f>_xlfn.XLOOKUP(F1806,'RM Cost'!A:A,'RM Cost'!S:S)</f>
        <v>0</v>
      </c>
      <c r="AS1806" t="str">
        <f>_xlfn.XLOOKUP(A1806,[3]Sheet1!$B:$B,[3]Sheet1!$B:$B)</f>
        <v>167CCS</v>
      </c>
      <c r="AT1806" t="e">
        <f>_xlfn.XLOOKUP(H1806,'Yield &amp; Time'!A:A,'Yield &amp; Time'!F:F)</f>
        <v>#N/A</v>
      </c>
    </row>
    <row r="1807" spans="1:46" x14ac:dyDescent="0.25">
      <c r="A1807" t="s">
        <v>4755</v>
      </c>
      <c r="B1807" s="2" t="s">
        <v>552</v>
      </c>
      <c r="C1807" t="s">
        <v>4756</v>
      </c>
      <c r="D1807" s="2" t="s">
        <v>554</v>
      </c>
      <c r="E1807" s="63">
        <v>0.65</v>
      </c>
      <c r="F1807" s="1" t="str">
        <f>VLOOKUP(H1807,'RM Used'!A:B,2,0)</f>
        <v>P0016A</v>
      </c>
      <c r="G1807" s="1" t="str">
        <f>IFERROR(VLOOKUP(F1807,'RM Cost'!A:B,2,0),"")</f>
        <v>REY 40 30 BOX 4 in 1</v>
      </c>
      <c r="H1807" s="2" t="s">
        <v>4747</v>
      </c>
      <c r="I1807" s="1" t="str">
        <f>VLOOKUP(F1807,'RM Used'!B:D,3,0)</f>
        <v>RM-PACKING</v>
      </c>
      <c r="J1807" s="66">
        <v>1</v>
      </c>
      <c r="K1807" s="35" t="str">
        <f t="shared" si="617"/>
        <v/>
      </c>
      <c r="L1807" s="35">
        <f t="shared" si="618"/>
        <v>0</v>
      </c>
      <c r="M1807" s="77" t="str" cm="1">
        <f t="array" ref="M1807">_xlfn.IFS(BOM!I1807="RM-PACKING","100%",B1807="Reynolds",VLOOKUP(H1807,'Yield &amp; Time'!A:V,22,0),BOM!B1807="Dnata",VLOOKUP(BOM!H1807,'Yield &amp; Time'!A:M,13,0),B1807="NK",VLOOKUP(H1807,'Yield &amp; Time'!A:X,24,0))</f>
        <v>100%</v>
      </c>
      <c r="N1807" s="35">
        <f t="shared" si="619"/>
        <v>1</v>
      </c>
      <c r="O1807" s="1" t="str">
        <f>VLOOKUP(H1807,'RM Used'!A:E,5,0)</f>
        <v>Count</v>
      </c>
      <c r="P1807" s="11">
        <f>VLOOKUP(H1807,'RM Used'!A:F,6,0)</f>
        <v>7.0000000000000007E-2</v>
      </c>
      <c r="Q1807" s="11">
        <f t="shared" si="620"/>
        <v>7.0000000000000007E-2</v>
      </c>
      <c r="R1807" s="11">
        <f>IFERROR(IF(B1807="Reynolds",VLOOKUP(H1807,'Yield &amp; Time'!A:U,21,0),VLOOKUP(H1807,'Yield &amp; Time'!A:L,12,0)),0)</f>
        <v>0</v>
      </c>
      <c r="S1807" s="11">
        <f t="shared" si="621"/>
        <v>0</v>
      </c>
      <c r="T1807" s="11">
        <f t="shared" si="622"/>
        <v>0</v>
      </c>
      <c r="U1807" s="11">
        <f>IF(A1806=A1807,0,VLOOKUP(A1807,'Packing Time'!A:F,6,0))</f>
        <v>0</v>
      </c>
      <c r="V1807" s="11">
        <f t="shared" si="623"/>
        <v>0</v>
      </c>
      <c r="W1807" s="11">
        <f t="shared" si="624"/>
        <v>0</v>
      </c>
      <c r="X1807" s="11">
        <f t="shared" si="615"/>
        <v>0</v>
      </c>
      <c r="Y1807" s="11">
        <f t="shared" si="625"/>
        <v>0</v>
      </c>
      <c r="Z1807" s="37">
        <v>1</v>
      </c>
      <c r="AA1807" s="36">
        <f t="shared" si="626"/>
        <v>1</v>
      </c>
      <c r="AB1807" s="36">
        <f t="shared" si="627"/>
        <v>7.0000000000000007E-2</v>
      </c>
      <c r="AC1807" s="11">
        <f t="shared" si="616"/>
        <v>0</v>
      </c>
      <c r="AD1807" s="36">
        <f t="shared" si="628"/>
        <v>0</v>
      </c>
      <c r="AE1807" s="36"/>
      <c r="AF1807" s="36">
        <f>IFERROR(VLOOKUP(AE1807,'Chemical Cost'!A:D,4,0),0)</f>
        <v>0</v>
      </c>
      <c r="AG1807" s="114">
        <f t="shared" si="629"/>
        <v>0</v>
      </c>
      <c r="AH1807" s="36">
        <f t="shared" si="630"/>
        <v>0</v>
      </c>
      <c r="AI1807" s="36">
        <f t="shared" si="631"/>
        <v>7.0000000000000007E-2</v>
      </c>
      <c r="AJ1807" s="36">
        <f>IFERROR(VLOOKUP(A1807,'All Products'!A:F,6,0),0)</f>
        <v>0</v>
      </c>
      <c r="AK1807" s="36"/>
      <c r="AL1807" s="23">
        <v>0.8</v>
      </c>
      <c r="AM1807" s="23">
        <v>0.2</v>
      </c>
      <c r="AN1807" s="54" t="e">
        <v>#N/A</v>
      </c>
      <c r="AO1807" s="47"/>
      <c r="AP1807" s="4">
        <v>1.25</v>
      </c>
      <c r="AQ1807" s="111">
        <f t="shared" si="632"/>
        <v>0</v>
      </c>
      <c r="AR1807">
        <f>_xlfn.XLOOKUP(F1807,'RM Cost'!A:A,'RM Cost'!S:S)</f>
        <v>0</v>
      </c>
      <c r="AS1807" t="str">
        <f>_xlfn.XLOOKUP(A1807,[3]Sheet1!$B:$B,[3]Sheet1!$B:$B)</f>
        <v>167CCS</v>
      </c>
      <c r="AT1807" t="e">
        <f>_xlfn.XLOOKUP(H1807,'Yield &amp; Time'!A:A,'Yield &amp; Time'!F:F)</f>
        <v>#N/A</v>
      </c>
    </row>
    <row r="1808" spans="1:46" x14ac:dyDescent="0.25">
      <c r="A1808" s="63" t="s">
        <v>4764</v>
      </c>
      <c r="B1808" s="2" t="s">
        <v>552</v>
      </c>
      <c r="C1808" s="63" t="s">
        <v>4765</v>
      </c>
      <c r="D1808" s="2" t="s">
        <v>554</v>
      </c>
      <c r="E1808" s="63">
        <v>2</v>
      </c>
      <c r="F1808" s="1" t="str">
        <f>VLOOKUP(H1808,'RM Used'!A:B,2,0)</f>
        <v>2515CS</v>
      </c>
      <c r="G1808" s="1" t="str">
        <f>IFERROR(VLOOKUP(F1808,'RM Cost'!A:B,2,0),"")</f>
        <v>RM - APPLES GOLDEN DEL X 12 KG</v>
      </c>
      <c r="H1808" s="142" t="s">
        <v>4770</v>
      </c>
      <c r="I1808" s="1" t="str">
        <f>VLOOKUP(F1808,'RM Used'!B:D,3,0)</f>
        <v>RM-FOOD</v>
      </c>
      <c r="J1808" s="66">
        <v>0.5</v>
      </c>
      <c r="K1808" s="35">
        <f t="shared" ref="K1808:K1827" si="633">IF(I1808="RM-FOOD",J1808*E1808,"")</f>
        <v>1</v>
      </c>
      <c r="L1808" s="35">
        <f t="shared" ref="L1808:L1827" si="634">IFERROR(K1808*Z1808,0)</f>
        <v>1</v>
      </c>
      <c r="M1808" s="77" cm="1">
        <f t="array" ref="M1808">_xlfn.IFS(BOM!I1808="RM-PACKING","100%",B1808="Reynolds",VLOOKUP(H1808,'Yield &amp; Time'!A:V,22,0),BOM!B1808="Dnata",VLOOKUP(BOM!H1808,'Yield &amp; Time'!A:M,13,0),B1808="NK",VLOOKUP(H1808,'Yield &amp; Time'!A:X,24,0))</f>
        <v>0.73</v>
      </c>
      <c r="N1808" s="35">
        <f t="shared" ref="N1808:N1825" si="635">IFERROR(IF(I1808="RM-FOOD",(E1808*J1808)/M1808,1),0)</f>
        <v>1.3698630136986301</v>
      </c>
      <c r="O1808" s="1" t="str">
        <f>VLOOKUP(H1808,'RM Used'!A:E,5,0)</f>
        <v>KG</v>
      </c>
      <c r="P1808" s="11">
        <f>VLOOKUP(H1808,'RM Used'!A:F,6,0)</f>
        <v>0</v>
      </c>
      <c r="Q1808" s="11">
        <f t="shared" ref="Q1808:Q1827" si="636">P1808*N1808</f>
        <v>0</v>
      </c>
      <c r="R1808" s="11">
        <f>IFERROR(IF(B1808="Reynolds",VLOOKUP(H1808,'Yield &amp; Time'!A:U,21,0),VLOOKUP(H1808,'Yield &amp; Time'!A:L,12,0)),0)</f>
        <v>4.3499999999999996</v>
      </c>
      <c r="S1808" s="11">
        <f t="shared" ref="S1808:S1827" si="637">R1808*J1808*E1808*AO$1</f>
        <v>1.4724749999999998</v>
      </c>
      <c r="T1808" s="11">
        <f t="shared" ref="T1808:T1827" si="638">(R1808*Z1808*J1808*E1808)/60</f>
        <v>7.2499999999999995E-2</v>
      </c>
      <c r="U1808" s="11">
        <f>IF(A1807=A1808,0,VLOOKUP(A1808,'Packing Time'!A:F,6,0))</f>
        <v>0.8</v>
      </c>
      <c r="V1808" s="11">
        <f t="shared" ref="V1808:V1827" si="639">U1808*AO$1</f>
        <v>0.27079999999999999</v>
      </c>
      <c r="W1808" s="11">
        <f t="shared" ref="W1808:W1827" si="640">(U1808*Z1808)/60</f>
        <v>1.3333333333333334E-2</v>
      </c>
      <c r="X1808" s="11">
        <f t="shared" ref="X1808:X1827" si="641">((R1808*J1808*E1808)+U1808)*AO$1*AP1808</f>
        <v>2.1790937499999998</v>
      </c>
      <c r="Y1808" s="11">
        <f t="shared" ref="Y1808:Y1827" si="642">X1808*Z1808</f>
        <v>2.1790937499999998</v>
      </c>
      <c r="Z1808" s="37">
        <v>1</v>
      </c>
      <c r="AA1808" s="36">
        <f t="shared" ref="AA1808:AA1827" si="643">Z1808*N1808</f>
        <v>1.3698630136986301</v>
      </c>
      <c r="AB1808" s="36">
        <f t="shared" ref="AB1808:AB1827" si="644">AA1808*P1808</f>
        <v>0</v>
      </c>
      <c r="AC1808" s="11">
        <f t="shared" ref="AC1808:AC1827" si="645">(((R1808*J1808*E1808)+U1808)/60)*Z1808*AP1808</f>
        <v>0.10729166666666666</v>
      </c>
      <c r="AD1808" s="36">
        <f t="shared" ref="AD1808:AD1827" si="646">AC1808*60*AO$1</f>
        <v>2.1790937499999998</v>
      </c>
      <c r="AE1808" s="36"/>
      <c r="AF1808" s="36">
        <f>IFERROR(VLOOKUP(AE1808,'Chemical Cost'!A:D,4,0),0)</f>
        <v>0</v>
      </c>
      <c r="AG1808" s="114">
        <f t="shared" ref="AG1808:AG1827" si="647">AF1808*N1808/3</f>
        <v>0</v>
      </c>
      <c r="AH1808" s="36">
        <f t="shared" ref="AH1808:AH1827" si="648">AF1808*AA1808/3</f>
        <v>0</v>
      </c>
      <c r="AI1808" s="36">
        <f t="shared" ref="AI1808:AI1827" si="649">IFERROR((Q1808*Z1808)+(Z1808*X1808)+AH1808,0)</f>
        <v>2.1790937499999998</v>
      </c>
      <c r="AJ1808" s="36">
        <f>IFERROR(VLOOKUP(A1808,'All Products'!A:F,6,0),0)</f>
        <v>0</v>
      </c>
      <c r="AK1808" s="36"/>
      <c r="AL1808" s="23">
        <v>0.8</v>
      </c>
      <c r="AM1808" s="23">
        <v>0.2</v>
      </c>
      <c r="AN1808" s="54" t="e">
        <v>#N/A</v>
      </c>
      <c r="AO1808" s="47"/>
      <c r="AP1808" s="4">
        <v>1.25</v>
      </c>
      <c r="AQ1808" s="111">
        <f t="shared" ref="AQ1808:AQ1833" si="650">(((R1808*J1808*E1808)+U1808)/60)*AP1808</f>
        <v>0.10729166666666666</v>
      </c>
      <c r="AR1808">
        <f>_xlfn.XLOOKUP(F1808,'RM Cost'!A:A,'RM Cost'!S:S)</f>
        <v>0</v>
      </c>
      <c r="AS1808" t="str">
        <f>_xlfn.XLOOKUP(A1808,[3]Sheet1!$B:$B,[3]Sheet1!$B:$B)</f>
        <v>CF02CS</v>
      </c>
      <c r="AT1808" t="str">
        <f>_xlfn.XLOOKUP(H1808,'Yield &amp; Time'!A:A,'Yield &amp; Time'!O:O)</f>
        <v>Yes</v>
      </c>
    </row>
    <row r="1809" spans="1:46" x14ac:dyDescent="0.25">
      <c r="A1809" s="63" t="s">
        <v>4764</v>
      </c>
      <c r="B1809" s="2" t="s">
        <v>552</v>
      </c>
      <c r="C1809" s="63" t="s">
        <v>4765</v>
      </c>
      <c r="D1809" s="2" t="s">
        <v>554</v>
      </c>
      <c r="E1809" s="63">
        <v>2</v>
      </c>
      <c r="F1809" s="1" t="str">
        <f>VLOOKUP(H1809,'RM Used'!A:B,2,0)</f>
        <v>2519CS</v>
      </c>
      <c r="G1809" s="1" t="str">
        <f>IFERROR(VLOOKUP(F1809,'RM Cost'!A:B,2,0),"")</f>
        <v>RM - APPLES RED X 125/138</v>
      </c>
      <c r="H1809" s="1" t="s">
        <v>4771</v>
      </c>
      <c r="I1809" s="1" t="str">
        <f>VLOOKUP(F1809,'RM Used'!B:D,3,0)</f>
        <v>RM-FOOD</v>
      </c>
      <c r="J1809" s="66">
        <v>0.5</v>
      </c>
      <c r="K1809" s="35">
        <f t="shared" si="633"/>
        <v>1</v>
      </c>
      <c r="L1809" s="35">
        <f t="shared" si="634"/>
        <v>1</v>
      </c>
      <c r="M1809" s="77" cm="1">
        <f t="array" ref="M1809">_xlfn.IFS(BOM!I1809="RM-PACKING","100%",B1809="Reynolds",VLOOKUP(H1809,'Yield &amp; Time'!A:V,22,0),BOM!B1809="Dnata",VLOOKUP(BOM!H1809,'Yield &amp; Time'!A:M,13,0),B1809="NK",VLOOKUP(H1809,'Yield &amp; Time'!A:X,24,0))</f>
        <v>0.73</v>
      </c>
      <c r="N1809" s="35">
        <f t="shared" si="635"/>
        <v>1.3698630136986301</v>
      </c>
      <c r="O1809" s="1" t="str">
        <f>VLOOKUP(H1809,'RM Used'!A:E,5,0)</f>
        <v>KG</v>
      </c>
      <c r="P1809" s="11">
        <f>VLOOKUP(H1809,'RM Used'!A:F,6,0)</f>
        <v>1.1200000000000001</v>
      </c>
      <c r="Q1809" s="11">
        <f t="shared" si="636"/>
        <v>1.5342465753424659</v>
      </c>
      <c r="R1809" s="11">
        <f>IFERROR(IF(B1809="Reynolds",VLOOKUP(H1809,'Yield &amp; Time'!A:U,21,0),VLOOKUP(H1809,'Yield &amp; Time'!A:L,12,0)),0)</f>
        <v>4.3499999999999996</v>
      </c>
      <c r="S1809" s="11">
        <f t="shared" si="637"/>
        <v>1.4724749999999998</v>
      </c>
      <c r="T1809" s="11">
        <f t="shared" si="638"/>
        <v>7.2499999999999995E-2</v>
      </c>
      <c r="U1809" s="11">
        <f>IF(A1808=A1809,0,VLOOKUP(A1809,'Packing Time'!A:F,6,0))</f>
        <v>0</v>
      </c>
      <c r="V1809" s="11">
        <f t="shared" si="639"/>
        <v>0</v>
      </c>
      <c r="W1809" s="11">
        <f t="shared" si="640"/>
        <v>0</v>
      </c>
      <c r="X1809" s="11">
        <f t="shared" si="641"/>
        <v>1.8405937499999996</v>
      </c>
      <c r="Y1809" s="11">
        <f t="shared" si="642"/>
        <v>1.8405937499999996</v>
      </c>
      <c r="Z1809" s="37">
        <v>1</v>
      </c>
      <c r="AA1809" s="36">
        <f t="shared" si="643"/>
        <v>1.3698630136986301</v>
      </c>
      <c r="AB1809" s="36">
        <f t="shared" si="644"/>
        <v>1.5342465753424659</v>
      </c>
      <c r="AC1809" s="11">
        <f t="shared" si="645"/>
        <v>9.0624999999999997E-2</v>
      </c>
      <c r="AD1809" s="36">
        <f t="shared" si="646"/>
        <v>1.8405937499999998</v>
      </c>
      <c r="AE1809" s="36"/>
      <c r="AF1809" s="36">
        <f>IFERROR(VLOOKUP(AE1809,'Chemical Cost'!A:D,4,0),0)</f>
        <v>0</v>
      </c>
      <c r="AG1809" s="114">
        <f t="shared" si="647"/>
        <v>0</v>
      </c>
      <c r="AH1809" s="36">
        <f t="shared" si="648"/>
        <v>0</v>
      </c>
      <c r="AI1809" s="36">
        <f t="shared" si="649"/>
        <v>3.3748403253424657</v>
      </c>
      <c r="AJ1809" s="36">
        <f>IFERROR(VLOOKUP(A1809,'All Products'!A:F,6,0),0)</f>
        <v>0</v>
      </c>
      <c r="AK1809" s="36"/>
      <c r="AL1809" s="23">
        <v>0.8</v>
      </c>
      <c r="AM1809" s="23">
        <v>0.2</v>
      </c>
      <c r="AN1809" s="54" t="e">
        <v>#N/A</v>
      </c>
      <c r="AO1809" s="47"/>
      <c r="AP1809" s="4">
        <v>1.25</v>
      </c>
      <c r="AQ1809" s="111">
        <f t="shared" si="650"/>
        <v>9.0624999999999997E-2</v>
      </c>
      <c r="AR1809">
        <f>_xlfn.XLOOKUP(F1809,'RM Cost'!A:A,'RM Cost'!S:S)</f>
        <v>0</v>
      </c>
      <c r="AS1809" t="str">
        <f>_xlfn.XLOOKUP(A1809,[3]Sheet1!$B:$B,[3]Sheet1!$B:$B)</f>
        <v>CF02CS</v>
      </c>
      <c r="AT1809" t="str">
        <f>_xlfn.XLOOKUP(H1809,'Yield &amp; Time'!A:A,'Yield &amp; Time'!O:O)</f>
        <v>Yes</v>
      </c>
    </row>
    <row r="1810" spans="1:46" x14ac:dyDescent="0.25">
      <c r="A1810" s="63" t="s">
        <v>4764</v>
      </c>
      <c r="B1810" s="2" t="s">
        <v>552</v>
      </c>
      <c r="C1810" s="63" t="s">
        <v>4765</v>
      </c>
      <c r="D1810" s="2" t="s">
        <v>554</v>
      </c>
      <c r="E1810" s="63">
        <v>2</v>
      </c>
      <c r="F1810" s="1" t="str">
        <f>VLOOKUP(H1810,'RM Used'!A:B,2,0)</f>
        <v>P0010</v>
      </c>
      <c r="G1810" s="1" t="str">
        <f>IFERROR(VLOOKUP(F1810,'RM Cost'!A:B,2,0),"")</f>
        <v>BUCKET 3L PJET</v>
      </c>
      <c r="H1810" s="1" t="s">
        <v>4672</v>
      </c>
      <c r="I1810" s="1" t="str">
        <f>VLOOKUP(F1810,'RM Used'!B:D,3,0)</f>
        <v>RM-PACKING</v>
      </c>
      <c r="J1810" s="66">
        <v>1</v>
      </c>
      <c r="K1810" s="35" t="str">
        <f t="shared" si="633"/>
        <v/>
      </c>
      <c r="L1810" s="35">
        <f t="shared" si="634"/>
        <v>0</v>
      </c>
      <c r="M1810" s="77" t="str" cm="1">
        <f t="array" ref="M1810">_xlfn.IFS(BOM!I1810="RM-PACKING","100%",B1810="Reynolds",VLOOKUP(H1810,'Yield &amp; Time'!A:V,22,0),BOM!B1810="Dnata",VLOOKUP(BOM!H1810,'Yield &amp; Time'!A:M,13,0),B1810="NK",VLOOKUP(H1810,'Yield &amp; Time'!A:X,24,0))</f>
        <v>100%</v>
      </c>
      <c r="N1810" s="35">
        <f t="shared" si="635"/>
        <v>1</v>
      </c>
      <c r="O1810" s="1" t="str">
        <f>VLOOKUP(H1810,'RM Used'!A:E,5,0)</f>
        <v>Count</v>
      </c>
      <c r="P1810" s="11">
        <f>VLOOKUP(H1810,'RM Used'!A:F,6,0)</f>
        <v>0.56000000000000005</v>
      </c>
      <c r="Q1810" s="11">
        <f t="shared" si="636"/>
        <v>0.56000000000000005</v>
      </c>
      <c r="R1810" s="11">
        <f>IFERROR(IF(B1810="Reynolds",VLOOKUP(H1810,'Yield &amp; Time'!A:U,21,0),VLOOKUP(H1810,'Yield &amp; Time'!A:L,12,0)),0)</f>
        <v>0</v>
      </c>
      <c r="S1810" s="11">
        <f t="shared" si="637"/>
        <v>0</v>
      </c>
      <c r="T1810" s="11">
        <f t="shared" si="638"/>
        <v>0</v>
      </c>
      <c r="U1810" s="11">
        <f>IF(A1809=A1810,0,VLOOKUP(A1810,'Packing Time'!A:F,6,0))</f>
        <v>0</v>
      </c>
      <c r="V1810" s="11">
        <f t="shared" si="639"/>
        <v>0</v>
      </c>
      <c r="W1810" s="11">
        <f t="shared" si="640"/>
        <v>0</v>
      </c>
      <c r="X1810" s="11">
        <f t="shared" si="641"/>
        <v>0</v>
      </c>
      <c r="Y1810" s="11">
        <f t="shared" si="642"/>
        <v>0</v>
      </c>
      <c r="Z1810" s="37">
        <v>1</v>
      </c>
      <c r="AA1810" s="36">
        <f t="shared" si="643"/>
        <v>1</v>
      </c>
      <c r="AB1810" s="36">
        <f t="shared" si="644"/>
        <v>0.56000000000000005</v>
      </c>
      <c r="AC1810" s="11">
        <f t="shared" si="645"/>
        <v>0</v>
      </c>
      <c r="AD1810" s="36">
        <f t="shared" si="646"/>
        <v>0</v>
      </c>
      <c r="AE1810" s="36"/>
      <c r="AF1810" s="36">
        <f>IFERROR(VLOOKUP(AE1810,'Chemical Cost'!A:D,4,0),0)</f>
        <v>0</v>
      </c>
      <c r="AG1810" s="114">
        <f t="shared" si="647"/>
        <v>0</v>
      </c>
      <c r="AH1810" s="36">
        <f t="shared" si="648"/>
        <v>0</v>
      </c>
      <c r="AI1810" s="36">
        <f t="shared" si="649"/>
        <v>0.56000000000000005</v>
      </c>
      <c r="AJ1810" s="36">
        <f>IFERROR(VLOOKUP(A1810,'All Products'!A:F,6,0),0)</f>
        <v>0</v>
      </c>
      <c r="AK1810" s="36"/>
      <c r="AL1810" s="23">
        <v>0.8</v>
      </c>
      <c r="AM1810" s="23">
        <v>0.2</v>
      </c>
      <c r="AN1810" s="54" t="e">
        <v>#N/A</v>
      </c>
      <c r="AO1810" s="47"/>
      <c r="AP1810" s="4">
        <v>1.25</v>
      </c>
      <c r="AQ1810" s="111">
        <f t="shared" si="650"/>
        <v>0</v>
      </c>
      <c r="AR1810">
        <f>_xlfn.XLOOKUP(F1810,'RM Cost'!A:A,'RM Cost'!S:S)</f>
        <v>0</v>
      </c>
      <c r="AS1810" t="str">
        <f>_xlfn.XLOOKUP(A1810,[3]Sheet1!$B:$B,[3]Sheet1!$B:$B)</f>
        <v>CF02CS</v>
      </c>
      <c r="AT1810" t="e">
        <f>_xlfn.XLOOKUP(H1810,'Yield &amp; Time'!A:A,'Yield &amp; Time'!F:F)</f>
        <v>#N/A</v>
      </c>
    </row>
    <row r="1811" spans="1:46" x14ac:dyDescent="0.25">
      <c r="A1811" s="63" t="s">
        <v>4764</v>
      </c>
      <c r="B1811" s="64" t="s">
        <v>552</v>
      </c>
      <c r="C1811" s="63" t="s">
        <v>4765</v>
      </c>
      <c r="D1811" s="64" t="s">
        <v>554</v>
      </c>
      <c r="E1811" s="63">
        <v>2</v>
      </c>
      <c r="F1811" s="1" t="str">
        <f>VLOOKUP(H1811,'RM Used'!A:B,2,0)</f>
        <v>P0026</v>
      </c>
      <c r="G1811" s="1" t="str">
        <f>IFERROR(VLOOKUP(F1811,'RM Cost'!A:B,2,0),"")</f>
        <v>LID 2.2L PJET 2.2L-3.8L</v>
      </c>
      <c r="H1811" s="2" t="s">
        <v>4673</v>
      </c>
      <c r="I1811" s="1" t="str">
        <f>VLOOKUP(F1811,'RM Used'!B:D,3,0)</f>
        <v>RM-PACKING</v>
      </c>
      <c r="J1811" s="66">
        <v>1</v>
      </c>
      <c r="K1811" s="35" t="str">
        <f t="shared" si="633"/>
        <v/>
      </c>
      <c r="L1811" s="35">
        <f t="shared" si="634"/>
        <v>0</v>
      </c>
      <c r="M1811" s="77" t="str" cm="1">
        <f t="array" ref="M1811">_xlfn.IFS(BOM!I1811="RM-PACKING","100%",B1811="Reynolds",VLOOKUP(H1811,'Yield &amp; Time'!A:V,22,0),BOM!B1811="Dnata",VLOOKUP(BOM!H1811,'Yield &amp; Time'!A:M,13,0),B1811="NK",VLOOKUP(H1811,'Yield &amp; Time'!A:X,24,0))</f>
        <v>100%</v>
      </c>
      <c r="N1811" s="35">
        <f t="shared" si="635"/>
        <v>1</v>
      </c>
      <c r="O1811" s="1" t="str">
        <f>VLOOKUP(H1811,'RM Used'!A:E,5,0)</f>
        <v>Count</v>
      </c>
      <c r="P1811" s="11">
        <f>VLOOKUP(H1811,'RM Used'!A:F,6,0)</f>
        <v>0.16</v>
      </c>
      <c r="Q1811" s="11">
        <f t="shared" si="636"/>
        <v>0.16</v>
      </c>
      <c r="R1811" s="11">
        <f>IFERROR(IF(B1811="Reynolds",VLOOKUP(H1811,'Yield &amp; Time'!A:U,21,0),VLOOKUP(H1811,'Yield &amp; Time'!A:L,12,0)),0)</f>
        <v>0</v>
      </c>
      <c r="S1811" s="11">
        <f t="shared" si="637"/>
        <v>0</v>
      </c>
      <c r="T1811" s="11">
        <f t="shared" si="638"/>
        <v>0</v>
      </c>
      <c r="U1811" s="11">
        <f>IF(A1810=A1811,0,VLOOKUP(A1811,'Packing Time'!A:F,6,0))</f>
        <v>0</v>
      </c>
      <c r="V1811" s="11">
        <f t="shared" si="639"/>
        <v>0</v>
      </c>
      <c r="W1811" s="11">
        <f t="shared" si="640"/>
        <v>0</v>
      </c>
      <c r="X1811" s="11">
        <f t="shared" si="641"/>
        <v>0</v>
      </c>
      <c r="Y1811" s="11">
        <f t="shared" si="642"/>
        <v>0</v>
      </c>
      <c r="Z1811" s="37">
        <v>1</v>
      </c>
      <c r="AA1811" s="36">
        <f t="shared" si="643"/>
        <v>1</v>
      </c>
      <c r="AB1811" s="36">
        <f t="shared" si="644"/>
        <v>0.16</v>
      </c>
      <c r="AC1811" s="11">
        <f t="shared" si="645"/>
        <v>0</v>
      </c>
      <c r="AD1811" s="36">
        <f t="shared" si="646"/>
        <v>0</v>
      </c>
      <c r="AE1811" s="36"/>
      <c r="AF1811" s="36">
        <f>IFERROR(VLOOKUP(AE1811,'Chemical Cost'!A:D,4,0),0)</f>
        <v>0</v>
      </c>
      <c r="AG1811" s="114">
        <f t="shared" si="647"/>
        <v>0</v>
      </c>
      <c r="AH1811" s="36">
        <f t="shared" si="648"/>
        <v>0</v>
      </c>
      <c r="AI1811" s="36">
        <f t="shared" si="649"/>
        <v>0.16</v>
      </c>
      <c r="AJ1811" s="36">
        <f>IFERROR(VLOOKUP(A1811,'All Products'!A:F,6,0),0)</f>
        <v>0</v>
      </c>
      <c r="AK1811" s="36"/>
      <c r="AL1811" s="23">
        <v>0.8</v>
      </c>
      <c r="AM1811" s="23">
        <v>0.2</v>
      </c>
      <c r="AN1811" s="54" t="e">
        <v>#N/A</v>
      </c>
      <c r="AO1811" s="47"/>
      <c r="AP1811" s="4">
        <v>1.25</v>
      </c>
      <c r="AQ1811" s="111">
        <f t="shared" si="650"/>
        <v>0</v>
      </c>
      <c r="AR1811">
        <f>_xlfn.XLOOKUP(F1811,'RM Cost'!A:A,'RM Cost'!S:S)</f>
        <v>0</v>
      </c>
      <c r="AS1811" t="str">
        <f>_xlfn.XLOOKUP(A1811,[3]Sheet1!$B:$B,[3]Sheet1!$B:$B)</f>
        <v>CF02CS</v>
      </c>
      <c r="AT1811" t="e">
        <f>_xlfn.XLOOKUP(H1811,'Yield &amp; Time'!A:A,'Yield &amp; Time'!F:F)</f>
        <v>#N/A</v>
      </c>
    </row>
    <row r="1812" spans="1:46" x14ac:dyDescent="0.25">
      <c r="A1812" s="2" t="s">
        <v>4766</v>
      </c>
      <c r="B1812" s="2" t="s">
        <v>552</v>
      </c>
      <c r="C1812" s="2" t="s">
        <v>4780</v>
      </c>
      <c r="D1812" s="2" t="s">
        <v>554</v>
      </c>
      <c r="E1812" s="2">
        <v>2</v>
      </c>
      <c r="F1812" s="1" t="str">
        <f>VLOOKUP(H1812,'RM Used'!A:B,2,0)</f>
        <v>S3998CS</v>
      </c>
      <c r="G1812" s="1" t="str">
        <f>IFERROR(VLOOKUP(F1812,'RM Cost'!A:B,2,0),"")</f>
        <v>RM - DECORED RED CABBAGE 1/3 1200KG</v>
      </c>
      <c r="H1812" s="2" t="s">
        <v>1360</v>
      </c>
      <c r="I1812" s="1" t="str">
        <f>VLOOKUP(F1812,'RM Used'!B:D,3,0)</f>
        <v>RM-FOOD</v>
      </c>
      <c r="J1812" s="66">
        <v>0.8</v>
      </c>
      <c r="K1812" s="35">
        <f t="shared" si="633"/>
        <v>1.6</v>
      </c>
      <c r="L1812" s="35">
        <f t="shared" si="634"/>
        <v>1.6</v>
      </c>
      <c r="M1812" s="77" cm="1">
        <f t="array" ref="M1812">_xlfn.IFS(BOM!I1812="RM-PACKING","100%",B1812="Reynolds",VLOOKUP(H1812,'Yield &amp; Time'!A:V,22,0),BOM!B1812="Dnata",VLOOKUP(BOM!H1812,'Yield &amp; Time'!A:M,13,0),B1812="NK",VLOOKUP(H1812,'Yield &amp; Time'!A:X,24,0))</f>
        <v>0.70079999999999998</v>
      </c>
      <c r="N1812" s="35">
        <f t="shared" si="635"/>
        <v>2.2831050228310503</v>
      </c>
      <c r="O1812" s="1" t="str">
        <f>VLOOKUP(H1812,'RM Used'!A:E,5,0)</f>
        <v>KG</v>
      </c>
      <c r="P1812" s="11">
        <f>VLOOKUP(H1812,'RM Used'!A:F,6,0)</f>
        <v>0.38</v>
      </c>
      <c r="Q1812" s="11">
        <f t="shared" si="636"/>
        <v>0.86757990867579915</v>
      </c>
      <c r="R1812" s="11">
        <f>IFERROR(IF(B1812="Reynolds",VLOOKUP(H1812,'Yield &amp; Time'!A:U,21,0),VLOOKUP(H1812,'Yield &amp; Time'!A:L,12,0)),0)</f>
        <v>0.89425536255080118</v>
      </c>
      <c r="S1812" s="11">
        <f t="shared" si="637"/>
        <v>0.48432870435751391</v>
      </c>
      <c r="T1812" s="11">
        <f t="shared" si="638"/>
        <v>2.3846809668021367E-2</v>
      </c>
      <c r="U1812" s="11">
        <f>IF(A1811=A1812,0,VLOOKUP(A1812,'Packing Time'!A:F,6,0))</f>
        <v>0.8</v>
      </c>
      <c r="V1812" s="11">
        <f t="shared" si="639"/>
        <v>0.27079999999999999</v>
      </c>
      <c r="W1812" s="11">
        <f t="shared" si="640"/>
        <v>1.3333333333333334E-2</v>
      </c>
      <c r="X1812" s="11">
        <f t="shared" si="641"/>
        <v>0.94391088044689253</v>
      </c>
      <c r="Y1812" s="11">
        <f t="shared" si="642"/>
        <v>0.94391088044689253</v>
      </c>
      <c r="Z1812" s="37">
        <v>1</v>
      </c>
      <c r="AA1812" s="36">
        <f t="shared" si="643"/>
        <v>2.2831050228310503</v>
      </c>
      <c r="AB1812" s="36">
        <f t="shared" si="644"/>
        <v>0.86757990867579915</v>
      </c>
      <c r="AC1812" s="11">
        <f t="shared" si="645"/>
        <v>4.647517875169338E-2</v>
      </c>
      <c r="AD1812" s="36">
        <f t="shared" si="646"/>
        <v>0.94391088044689242</v>
      </c>
      <c r="AE1812" s="36"/>
      <c r="AF1812" s="36">
        <f>IFERROR(VLOOKUP(AE1812,'Chemical Cost'!A:D,4,0),0)</f>
        <v>0</v>
      </c>
      <c r="AG1812" s="114">
        <f t="shared" si="647"/>
        <v>0</v>
      </c>
      <c r="AH1812" s="36">
        <f t="shared" si="648"/>
        <v>0</v>
      </c>
      <c r="AI1812" s="36">
        <f t="shared" si="649"/>
        <v>1.8114907891226917</v>
      </c>
      <c r="AJ1812" s="36">
        <f>IFERROR(VLOOKUP(A1812,'All Products'!A:F,6,0),0)</f>
        <v>0</v>
      </c>
      <c r="AK1812" s="36"/>
      <c r="AL1812" s="23">
        <v>0.8</v>
      </c>
      <c r="AM1812" s="23">
        <v>0.2</v>
      </c>
      <c r="AN1812" s="54" t="e">
        <v>#N/A</v>
      </c>
      <c r="AO1812" s="47"/>
      <c r="AP1812" s="4">
        <v>1.25</v>
      </c>
      <c r="AQ1812" s="111">
        <f t="shared" si="650"/>
        <v>4.647517875169338E-2</v>
      </c>
      <c r="AR1812">
        <f>_xlfn.XLOOKUP(F1812,'RM Cost'!A:A,'RM Cost'!S:S)</f>
        <v>0.29914853989077506</v>
      </c>
      <c r="AS1812" t="e">
        <f>_xlfn.XLOOKUP(A1812,[3]Sheet1!$B:$B,[3]Sheet1!$B:$B)</f>
        <v>#N/A</v>
      </c>
    </row>
    <row r="1813" spans="1:46" x14ac:dyDescent="0.25">
      <c r="A1813" s="2" t="s">
        <v>4766</v>
      </c>
      <c r="B1813" s="2" t="s">
        <v>552</v>
      </c>
      <c r="C1813" s="2" t="s">
        <v>4767</v>
      </c>
      <c r="D1813" s="2" t="s">
        <v>554</v>
      </c>
      <c r="E1813" s="2">
        <v>2</v>
      </c>
      <c r="F1813" s="1" t="str">
        <f>VLOOKUP(H1813,'RM Used'!A:B,2,0)</f>
        <v>032ACS</v>
      </c>
      <c r="G1813" s="1" t="str">
        <f>IFERROR(VLOOKUP(F1813,'RM Cost'!A:B,2,0),"")</f>
        <v>RM - LRG PROCESSING CARROT X 1000KG</v>
      </c>
      <c r="H1813" s="2" t="s">
        <v>1351</v>
      </c>
      <c r="I1813" s="1" t="str">
        <f>VLOOKUP(F1813,'RM Used'!B:D,3,0)</f>
        <v>RM-FOOD</v>
      </c>
      <c r="J1813" s="66">
        <v>0.2</v>
      </c>
      <c r="K1813" s="35">
        <f t="shared" si="633"/>
        <v>0.4</v>
      </c>
      <c r="L1813" s="35">
        <f t="shared" si="634"/>
        <v>0.4</v>
      </c>
      <c r="M1813" s="77" cm="1">
        <f t="array" ref="M1813">_xlfn.IFS(BOM!I1813="RM-PACKING","100%",B1813="Reynolds",VLOOKUP(H1813,'Yield &amp; Time'!A:V,22,0),BOM!B1813="Dnata",VLOOKUP(BOM!H1813,'Yield &amp; Time'!A:M,13,0),B1813="NK",VLOOKUP(H1813,'Yield &amp; Time'!A:X,24,0))</f>
        <v>0.75330000000000008</v>
      </c>
      <c r="N1813" s="35">
        <f t="shared" si="635"/>
        <v>0.53099694676755604</v>
      </c>
      <c r="O1813" s="1" t="str">
        <f>VLOOKUP(H1813,'RM Used'!A:E,5,0)</f>
        <v>KG</v>
      </c>
      <c r="P1813" s="11">
        <f>VLOOKUP(H1813,'RM Used'!A:F,6,0)</f>
        <v>0.38</v>
      </c>
      <c r="Q1813" s="11">
        <f t="shared" si="636"/>
        <v>0.2017788397716713</v>
      </c>
      <c r="R1813" s="11">
        <f>IFERROR(IF(B1813="Reynolds",VLOOKUP(H1813,'Yield &amp; Time'!A:U,21,0),VLOOKUP(H1813,'Yield &amp; Time'!A:L,12,0)),0)</f>
        <v>0.90531914893617027</v>
      </c>
      <c r="S1813" s="11">
        <f t="shared" si="637"/>
        <v>0.12258021276595744</v>
      </c>
      <c r="T1813" s="11">
        <f t="shared" si="638"/>
        <v>6.0354609929078023E-3</v>
      </c>
      <c r="U1813" s="11">
        <f>IF(A1812=A1813,0,VLOOKUP(A1813,'Packing Time'!A:F,6,0))</f>
        <v>0</v>
      </c>
      <c r="V1813" s="11">
        <f t="shared" si="639"/>
        <v>0</v>
      </c>
      <c r="W1813" s="11">
        <f t="shared" si="640"/>
        <v>0</v>
      </c>
      <c r="X1813" s="11">
        <f t="shared" si="641"/>
        <v>0.15322526595744682</v>
      </c>
      <c r="Y1813" s="11">
        <f t="shared" si="642"/>
        <v>0.15322526595744682</v>
      </c>
      <c r="Z1813" s="37">
        <v>1</v>
      </c>
      <c r="AA1813" s="36">
        <f t="shared" si="643"/>
        <v>0.53099694676755604</v>
      </c>
      <c r="AB1813" s="36">
        <f t="shared" si="644"/>
        <v>0.2017788397716713</v>
      </c>
      <c r="AC1813" s="11">
        <f t="shared" si="645"/>
        <v>7.5443262411347533E-3</v>
      </c>
      <c r="AD1813" s="36">
        <f t="shared" si="646"/>
        <v>0.15322526595744682</v>
      </c>
      <c r="AE1813" s="36"/>
      <c r="AF1813" s="36">
        <f>IFERROR(VLOOKUP(AE1813,'Chemical Cost'!A:D,4,0),0)</f>
        <v>0</v>
      </c>
      <c r="AG1813" s="114">
        <f t="shared" si="647"/>
        <v>0</v>
      </c>
      <c r="AH1813" s="36">
        <f t="shared" si="648"/>
        <v>0</v>
      </c>
      <c r="AI1813" s="36">
        <f t="shared" si="649"/>
        <v>0.35500410572911811</v>
      </c>
      <c r="AJ1813" s="36">
        <f>IFERROR(VLOOKUP(A1813,'All Products'!A:F,6,0),0)</f>
        <v>0</v>
      </c>
      <c r="AK1813" s="36"/>
      <c r="AL1813" s="23">
        <v>0.8</v>
      </c>
      <c r="AM1813" s="23">
        <v>0.2</v>
      </c>
      <c r="AN1813" s="54" t="e">
        <v>#N/A</v>
      </c>
      <c r="AO1813" s="47"/>
      <c r="AP1813" s="4">
        <v>1.25</v>
      </c>
      <c r="AQ1813" s="111">
        <f t="shared" si="650"/>
        <v>7.5443262411347533E-3</v>
      </c>
      <c r="AR1813">
        <f>_xlfn.XLOOKUP(F1813,'RM Cost'!A:A,'RM Cost'!S:S)</f>
        <v>0</v>
      </c>
      <c r="AS1813" t="e">
        <f>_xlfn.XLOOKUP(A1813,[3]Sheet1!$B:$B,[3]Sheet1!$B:$B)</f>
        <v>#N/A</v>
      </c>
    </row>
    <row r="1814" spans="1:46" x14ac:dyDescent="0.25">
      <c r="A1814" s="2" t="s">
        <v>4766</v>
      </c>
      <c r="B1814" s="2" t="s">
        <v>552</v>
      </c>
      <c r="C1814" s="2" t="s">
        <v>4767</v>
      </c>
      <c r="D1814" s="2" t="s">
        <v>554</v>
      </c>
      <c r="E1814" s="2">
        <v>2</v>
      </c>
      <c r="F1814" s="1" t="str">
        <f>VLOOKUP(H1814,'RM Used'!A:B,2,0)</f>
        <v>P0001</v>
      </c>
      <c r="G1814" s="1" t="str">
        <f>IFERROR(VLOOKUP(F1814,'RM Cost'!A:B,2,0),"")</f>
        <v>SOL 30EL # PPLUS 630x1000 BLUE -1</v>
      </c>
      <c r="H1814" s="2" t="s">
        <v>4678</v>
      </c>
      <c r="I1814" s="1" t="str">
        <f>VLOOKUP(F1814,'RM Used'!B:D,3,0)</f>
        <v>RM-PACKING</v>
      </c>
      <c r="J1814" s="66">
        <v>1</v>
      </c>
      <c r="K1814" s="35" t="str">
        <f t="shared" si="633"/>
        <v/>
      </c>
      <c r="L1814" s="35">
        <f t="shared" si="634"/>
        <v>0</v>
      </c>
      <c r="M1814" s="77" t="str" cm="1">
        <f t="array" ref="M1814">_xlfn.IFS(BOM!I1814="RM-PACKING","100%",B1814="Reynolds",VLOOKUP(H1814,'Yield &amp; Time'!A:V,22,0),BOM!B1814="Dnata",VLOOKUP(BOM!H1814,'Yield &amp; Time'!A:M,13,0),B1814="NK",VLOOKUP(H1814,'Yield &amp; Time'!A:X,24,0))</f>
        <v>100%</v>
      </c>
      <c r="N1814" s="35">
        <v>2</v>
      </c>
      <c r="O1814" s="1" t="str">
        <f>VLOOKUP(H1814,'RM Used'!A:E,5,0)</f>
        <v>Count</v>
      </c>
      <c r="P1814" s="11">
        <f>VLOOKUP(H1814,'RM Used'!A:F,6,0)</f>
        <v>0.08</v>
      </c>
      <c r="Q1814" s="11">
        <f t="shared" si="636"/>
        <v>0.16</v>
      </c>
      <c r="R1814" s="11">
        <f>IFERROR(IF(B1814="Reynolds",VLOOKUP(H1814,'Yield &amp; Time'!A:U,21,0),VLOOKUP(H1814,'Yield &amp; Time'!A:L,12,0)),0)</f>
        <v>0</v>
      </c>
      <c r="S1814" s="11">
        <f t="shared" si="637"/>
        <v>0</v>
      </c>
      <c r="T1814" s="11">
        <f t="shared" si="638"/>
        <v>0</v>
      </c>
      <c r="U1814" s="11">
        <f>IF(A1813=A1814,0,VLOOKUP(A1814,'Packing Time'!A:F,6,0))</f>
        <v>0</v>
      </c>
      <c r="V1814" s="11">
        <f t="shared" si="639"/>
        <v>0</v>
      </c>
      <c r="W1814" s="11">
        <f t="shared" si="640"/>
        <v>0</v>
      </c>
      <c r="X1814" s="11">
        <f t="shared" si="641"/>
        <v>0</v>
      </c>
      <c r="Y1814" s="11">
        <f t="shared" si="642"/>
        <v>0</v>
      </c>
      <c r="Z1814" s="37">
        <v>1</v>
      </c>
      <c r="AA1814" s="36">
        <f t="shared" si="643"/>
        <v>2</v>
      </c>
      <c r="AB1814" s="36">
        <f t="shared" si="644"/>
        <v>0.16</v>
      </c>
      <c r="AC1814" s="11">
        <f t="shared" si="645"/>
        <v>0</v>
      </c>
      <c r="AD1814" s="36">
        <f t="shared" si="646"/>
        <v>0</v>
      </c>
      <c r="AE1814" s="36"/>
      <c r="AF1814" s="36">
        <f>IFERROR(VLOOKUP(AE1814,'Chemical Cost'!A:D,4,0),0)</f>
        <v>0</v>
      </c>
      <c r="AG1814" s="114">
        <f t="shared" si="647"/>
        <v>0</v>
      </c>
      <c r="AH1814" s="36">
        <f t="shared" si="648"/>
        <v>0</v>
      </c>
      <c r="AI1814" s="36">
        <f t="shared" si="649"/>
        <v>0.16</v>
      </c>
      <c r="AJ1814" s="36">
        <f>IFERROR(VLOOKUP(A1814,'All Products'!A:F,6,0),0)</f>
        <v>0</v>
      </c>
      <c r="AK1814" s="36"/>
      <c r="AL1814" s="23">
        <v>0.8</v>
      </c>
      <c r="AM1814" s="23">
        <v>0.2</v>
      </c>
      <c r="AN1814" s="54" t="e">
        <v>#N/A</v>
      </c>
      <c r="AO1814" s="47"/>
      <c r="AP1814" s="4">
        <v>1.25</v>
      </c>
      <c r="AQ1814" s="111">
        <f t="shared" si="650"/>
        <v>0</v>
      </c>
      <c r="AR1814">
        <f>_xlfn.XLOOKUP(F1814,'RM Cost'!A:A,'RM Cost'!S:S)</f>
        <v>0</v>
      </c>
      <c r="AS1814" t="e">
        <f>_xlfn.XLOOKUP(A1814,[3]Sheet1!$B:$B,[3]Sheet1!$B:$B)</f>
        <v>#N/A</v>
      </c>
    </row>
    <row r="1815" spans="1:46" x14ac:dyDescent="0.25">
      <c r="A1815" s="2" t="s">
        <v>4766</v>
      </c>
      <c r="B1815" s="2" t="s">
        <v>552</v>
      </c>
      <c r="C1815" s="2" t="s">
        <v>4767</v>
      </c>
      <c r="D1815" s="2" t="s">
        <v>554</v>
      </c>
      <c r="E1815" s="2">
        <v>2</v>
      </c>
      <c r="F1815" s="1" t="str">
        <f>VLOOKUP(H1815,'RM Used'!A:B,2,0)</f>
        <v>P0016</v>
      </c>
      <c r="G1815" s="1" t="str">
        <f>IFERROR(VLOOKUP(F1815,'RM Cost'!A:B,2,0),"")</f>
        <v>REY 40 30 BOX</v>
      </c>
      <c r="H1815" s="2" t="s">
        <v>1332</v>
      </c>
      <c r="I1815" s="1" t="str">
        <f>VLOOKUP(F1815,'RM Used'!B:D,3,0)</f>
        <v>RM-PACKING</v>
      </c>
      <c r="J1815" s="66">
        <v>1</v>
      </c>
      <c r="K1815" s="35" t="str">
        <f t="shared" si="633"/>
        <v/>
      </c>
      <c r="L1815" s="35">
        <f t="shared" si="634"/>
        <v>0</v>
      </c>
      <c r="M1815" s="77" t="str" cm="1">
        <f t="array" ref="M1815">_xlfn.IFS(BOM!I1815="RM-PACKING","100%",B1815="Reynolds",VLOOKUP(H1815,'Yield &amp; Time'!A:V,22,0),BOM!B1815="Dnata",VLOOKUP(BOM!H1815,'Yield &amp; Time'!A:M,13,0),B1815="NK",VLOOKUP(H1815,'Yield &amp; Time'!A:X,24,0))</f>
        <v>100%</v>
      </c>
      <c r="N1815" s="35">
        <f t="shared" si="635"/>
        <v>1</v>
      </c>
      <c r="O1815" s="1" t="str">
        <f>VLOOKUP(H1815,'RM Used'!A:E,5,0)</f>
        <v>Count</v>
      </c>
      <c r="P1815" s="11">
        <f>VLOOKUP(H1815,'RM Used'!A:F,6,0)</f>
        <v>0.28000000000000003</v>
      </c>
      <c r="Q1815" s="11">
        <f t="shared" si="636"/>
        <v>0.28000000000000003</v>
      </c>
      <c r="R1815" s="11">
        <f>IFERROR(IF(B1815="Reynolds",VLOOKUP(H1815,'Yield &amp; Time'!A:U,21,0),VLOOKUP(H1815,'Yield &amp; Time'!A:L,12,0)),0)</f>
        <v>0</v>
      </c>
      <c r="S1815" s="11">
        <f t="shared" si="637"/>
        <v>0</v>
      </c>
      <c r="T1815" s="11">
        <f t="shared" si="638"/>
        <v>0</v>
      </c>
      <c r="U1815" s="11">
        <f>IF(A1814=A1815,0,VLOOKUP(A1815,'Packing Time'!A:F,6,0))</f>
        <v>0</v>
      </c>
      <c r="V1815" s="11">
        <f t="shared" si="639"/>
        <v>0</v>
      </c>
      <c r="W1815" s="11">
        <f t="shared" si="640"/>
        <v>0</v>
      </c>
      <c r="X1815" s="11">
        <f t="shared" si="641"/>
        <v>0</v>
      </c>
      <c r="Y1815" s="11">
        <f t="shared" si="642"/>
        <v>0</v>
      </c>
      <c r="Z1815" s="37">
        <v>1</v>
      </c>
      <c r="AA1815" s="36">
        <f t="shared" si="643"/>
        <v>1</v>
      </c>
      <c r="AB1815" s="36">
        <f t="shared" si="644"/>
        <v>0.28000000000000003</v>
      </c>
      <c r="AC1815" s="11">
        <f t="shared" si="645"/>
        <v>0</v>
      </c>
      <c r="AD1815" s="36">
        <f t="shared" si="646"/>
        <v>0</v>
      </c>
      <c r="AE1815" s="36"/>
      <c r="AF1815" s="36">
        <f>IFERROR(VLOOKUP(AE1815,'Chemical Cost'!A:D,4,0),0)</f>
        <v>0</v>
      </c>
      <c r="AG1815" s="114">
        <f t="shared" si="647"/>
        <v>0</v>
      </c>
      <c r="AH1815" s="36">
        <f t="shared" si="648"/>
        <v>0</v>
      </c>
      <c r="AI1815" s="36">
        <f t="shared" si="649"/>
        <v>0.28000000000000003</v>
      </c>
      <c r="AJ1815" s="36">
        <f>IFERROR(VLOOKUP(A1815,'All Products'!A:F,6,0),0)</f>
        <v>0</v>
      </c>
      <c r="AK1815" s="36"/>
      <c r="AL1815" s="23">
        <v>0.8</v>
      </c>
      <c r="AM1815" s="23">
        <v>0.2</v>
      </c>
      <c r="AN1815" s="54" t="e">
        <v>#N/A</v>
      </c>
      <c r="AO1815" s="47"/>
      <c r="AP1815" s="4">
        <v>1.25</v>
      </c>
      <c r="AQ1815" s="111">
        <f t="shared" si="650"/>
        <v>0</v>
      </c>
      <c r="AR1815">
        <f>_xlfn.XLOOKUP(F1815,'RM Cost'!A:A,'RM Cost'!S:S)</f>
        <v>0</v>
      </c>
      <c r="AS1815" t="e">
        <f>_xlfn.XLOOKUP(A1815,[3]Sheet1!$B:$B,[3]Sheet1!$B:$B)</f>
        <v>#N/A</v>
      </c>
    </row>
    <row r="1816" spans="1:46" x14ac:dyDescent="0.25">
      <c r="A1816" s="1" t="s">
        <v>4762</v>
      </c>
      <c r="B1816" s="2" t="s">
        <v>552</v>
      </c>
      <c r="C1816" t="s">
        <v>4763</v>
      </c>
      <c r="D1816" s="2" t="s">
        <v>554</v>
      </c>
      <c r="E1816" s="63">
        <v>1</v>
      </c>
      <c r="F1816" s="1" t="str">
        <f>VLOOKUP(H1816,'RM Used'!A:B,2,0)</f>
        <v>3595EA</v>
      </c>
      <c r="G1816" s="1" t="str">
        <f>IFERROR(VLOOKUP(F1816,'RM Cost'!A:B,2,0),"")</f>
        <v>RM – CHILLIES RED BULLET 250G</v>
      </c>
      <c r="H1816" s="143" t="s">
        <v>4772</v>
      </c>
      <c r="I1816" s="1" t="str">
        <f>VLOOKUP(F1816,'RM Used'!B:D,3,0)</f>
        <v>RM-FOOD</v>
      </c>
      <c r="J1816" s="66">
        <v>0.01</v>
      </c>
      <c r="K1816" s="35">
        <f t="shared" si="633"/>
        <v>0.01</v>
      </c>
      <c r="L1816" s="35">
        <f t="shared" si="634"/>
        <v>0.01</v>
      </c>
      <c r="M1816" s="77" cm="1">
        <f t="array" ref="M1816">_xlfn.IFS(BOM!I1816="RM-PACKING","100%",B1816="Reynolds",VLOOKUP(H1816,'Yield &amp; Time'!A:V,22,0),BOM!B1816="Dnata",VLOOKUP(BOM!H1816,'Yield &amp; Time'!A:M,13,0),B1816="NK",VLOOKUP(H1816,'Yield &amp; Time'!A:X,24,0))</f>
        <v>0.3</v>
      </c>
      <c r="N1816" s="35">
        <f t="shared" si="635"/>
        <v>3.3333333333333333E-2</v>
      </c>
      <c r="O1816" s="1" t="str">
        <f>VLOOKUP(H1816,'RM Used'!A:E,5,0)</f>
        <v>KG</v>
      </c>
      <c r="P1816" s="11">
        <f>VLOOKUP(H1816,'RM Used'!A:F,6,0)</f>
        <v>0</v>
      </c>
      <c r="Q1816" s="11">
        <f t="shared" si="636"/>
        <v>0</v>
      </c>
      <c r="R1816" s="11">
        <f>IFERROR(IF(B1816="Reynolds",VLOOKUP(H1816,'Yield &amp; Time'!A:U,21,0),VLOOKUP(H1816,'Yield &amp; Time'!A:L,12,0)),0)</f>
        <v>27</v>
      </c>
      <c r="S1816" s="11">
        <f t="shared" si="637"/>
        <v>9.1395000000000004E-2</v>
      </c>
      <c r="T1816" s="11">
        <f t="shared" si="638"/>
        <v>4.5000000000000005E-3</v>
      </c>
      <c r="U1816" s="11">
        <f>IF(A1815=A1816,0,VLOOKUP(A1816,'Packing Time'!A:F,6,0))</f>
        <v>2.25</v>
      </c>
      <c r="V1816" s="11">
        <f t="shared" si="639"/>
        <v>0.76162499999999989</v>
      </c>
      <c r="W1816" s="11">
        <f t="shared" si="640"/>
        <v>3.7499999999999999E-2</v>
      </c>
      <c r="X1816" s="11">
        <f t="shared" si="641"/>
        <v>1.0662749999999999</v>
      </c>
      <c r="Y1816" s="11">
        <f t="shared" si="642"/>
        <v>1.0662749999999999</v>
      </c>
      <c r="Z1816" s="37">
        <v>1</v>
      </c>
      <c r="AA1816" s="36">
        <f t="shared" si="643"/>
        <v>3.3333333333333333E-2</v>
      </c>
      <c r="AB1816" s="36">
        <f t="shared" si="644"/>
        <v>0</v>
      </c>
      <c r="AC1816" s="11">
        <f t="shared" si="645"/>
        <v>5.2500000000000005E-2</v>
      </c>
      <c r="AD1816" s="36">
        <f t="shared" si="646"/>
        <v>1.0662750000000001</v>
      </c>
      <c r="AE1816" s="36"/>
      <c r="AF1816" s="36">
        <f>IFERROR(VLOOKUP(AE1816,'Chemical Cost'!A:D,4,0),0)</f>
        <v>0</v>
      </c>
      <c r="AG1816" s="114">
        <f t="shared" si="647"/>
        <v>0</v>
      </c>
      <c r="AH1816" s="36">
        <f t="shared" si="648"/>
        <v>0</v>
      </c>
      <c r="AI1816" s="36">
        <f t="shared" si="649"/>
        <v>1.0662749999999999</v>
      </c>
      <c r="AJ1816" s="36">
        <f>IFERROR(VLOOKUP(A1816,'All Products'!A:F,6,0),0)</f>
        <v>0</v>
      </c>
      <c r="AK1816" s="36"/>
      <c r="AL1816" s="23">
        <v>0.8</v>
      </c>
      <c r="AM1816" s="23">
        <v>0.2</v>
      </c>
      <c r="AN1816" s="54" t="e">
        <v>#N/A</v>
      </c>
      <c r="AO1816" s="47"/>
      <c r="AP1816" s="4">
        <v>1.25</v>
      </c>
      <c r="AQ1816" s="111">
        <f t="shared" si="650"/>
        <v>5.2500000000000005E-2</v>
      </c>
      <c r="AR1816">
        <f>_xlfn.XLOOKUP(F1816,'RM Cost'!A:A,'RM Cost'!S:S)</f>
        <v>0</v>
      </c>
      <c r="AS1816" t="e">
        <f>_xlfn.XLOOKUP(A1816,[3]Sheet1!$B:$B,[3]Sheet1!$B:$B)</f>
        <v>#N/A</v>
      </c>
    </row>
    <row r="1817" spans="1:46" x14ac:dyDescent="0.25">
      <c r="A1817" s="1" t="s">
        <v>4762</v>
      </c>
      <c r="B1817" s="2" t="s">
        <v>552</v>
      </c>
      <c r="C1817" t="s">
        <v>4763</v>
      </c>
      <c r="D1817" s="2" t="s">
        <v>554</v>
      </c>
      <c r="E1817" s="63">
        <v>1</v>
      </c>
      <c r="F1817" s="1" t="str">
        <f>VLOOKUP(H1817,'RM Used'!A:B,2,0)</f>
        <v>3587CS</v>
      </c>
      <c r="G1817" s="1" t="str">
        <f>IFERROR(VLOOKUP(F1817,'RM Cost'!A:B,2,0),"")</f>
        <v>RM - CHILLIES JALAPENO GREEN  X2KG</v>
      </c>
      <c r="H1817" s="143" t="s">
        <v>4773</v>
      </c>
      <c r="I1817" s="1" t="str">
        <f>VLOOKUP(F1817,'RM Used'!B:D,3,0)</f>
        <v>RM-FOOD</v>
      </c>
      <c r="J1817" s="66">
        <v>0.01</v>
      </c>
      <c r="K1817" s="35">
        <f t="shared" si="633"/>
        <v>0.01</v>
      </c>
      <c r="L1817" s="35">
        <f t="shared" si="634"/>
        <v>0.01</v>
      </c>
      <c r="M1817" s="77" cm="1">
        <f t="array" ref="M1817">_xlfn.IFS(BOM!I1817="RM-PACKING","100%",B1817="Reynolds",VLOOKUP(H1817,'Yield &amp; Time'!A:V,22,0),BOM!B1817="Dnata",VLOOKUP(BOM!H1817,'Yield &amp; Time'!A:M,13,0),B1817="NK",VLOOKUP(H1817,'Yield &amp; Time'!A:X,24,0))</f>
        <v>0.35</v>
      </c>
      <c r="N1817" s="35">
        <f t="shared" si="635"/>
        <v>2.8571428571428574E-2</v>
      </c>
      <c r="O1817" s="1" t="str">
        <f>VLOOKUP(H1817,'RM Used'!A:E,5,0)</f>
        <v>KG</v>
      </c>
      <c r="P1817" s="11">
        <f>VLOOKUP(H1817,'RM Used'!A:F,6,0)</f>
        <v>3.9</v>
      </c>
      <c r="Q1817" s="11">
        <f t="shared" si="636"/>
        <v>0.11142857142857143</v>
      </c>
      <c r="R1817" s="11">
        <f>IFERROR(IF(B1817="Reynolds",VLOOKUP(H1817,'Yield &amp; Time'!A:U,21,0),VLOOKUP(H1817,'Yield &amp; Time'!A:L,12,0)),0)</f>
        <v>10.57</v>
      </c>
      <c r="S1817" s="11">
        <f t="shared" si="637"/>
        <v>3.5779449999999997E-2</v>
      </c>
      <c r="T1817" s="11">
        <f t="shared" si="638"/>
        <v>1.7616666666666668E-3</v>
      </c>
      <c r="U1817" s="11">
        <f>IF(A1816=A1817,0,VLOOKUP(A1817,'Packing Time'!A:F,6,0))</f>
        <v>0</v>
      </c>
      <c r="V1817" s="11">
        <f t="shared" si="639"/>
        <v>0</v>
      </c>
      <c r="W1817" s="11">
        <f t="shared" si="640"/>
        <v>0</v>
      </c>
      <c r="X1817" s="11">
        <f t="shared" si="641"/>
        <v>4.4724312499999995E-2</v>
      </c>
      <c r="Y1817" s="11">
        <f t="shared" si="642"/>
        <v>4.4724312499999995E-2</v>
      </c>
      <c r="Z1817" s="37">
        <v>1</v>
      </c>
      <c r="AA1817" s="36">
        <f t="shared" si="643"/>
        <v>2.8571428571428574E-2</v>
      </c>
      <c r="AB1817" s="36">
        <f t="shared" si="644"/>
        <v>0.11142857142857143</v>
      </c>
      <c r="AC1817" s="11">
        <f t="shared" si="645"/>
        <v>2.2020833333333337E-3</v>
      </c>
      <c r="AD1817" s="36">
        <f t="shared" si="646"/>
        <v>4.4724312500000002E-2</v>
      </c>
      <c r="AE1817" s="36"/>
      <c r="AF1817" s="36">
        <f>IFERROR(VLOOKUP(AE1817,'Chemical Cost'!A:D,4,0),0)</f>
        <v>0</v>
      </c>
      <c r="AG1817" s="114">
        <f t="shared" si="647"/>
        <v>0</v>
      </c>
      <c r="AH1817" s="36">
        <f t="shared" si="648"/>
        <v>0</v>
      </c>
      <c r="AI1817" s="36">
        <f t="shared" si="649"/>
        <v>0.15615288392857143</v>
      </c>
      <c r="AJ1817" s="36">
        <f>IFERROR(VLOOKUP(A1817,'All Products'!A:F,6,0),0)</f>
        <v>0</v>
      </c>
      <c r="AK1817" s="36"/>
      <c r="AL1817" s="23">
        <v>0.8</v>
      </c>
      <c r="AM1817" s="23">
        <v>0.2</v>
      </c>
      <c r="AN1817" s="54" t="e">
        <v>#N/A</v>
      </c>
      <c r="AO1817" s="47"/>
      <c r="AP1817" s="4">
        <v>1.25</v>
      </c>
      <c r="AQ1817" s="111">
        <f t="shared" si="650"/>
        <v>2.2020833333333337E-3</v>
      </c>
      <c r="AR1817">
        <f>_xlfn.XLOOKUP(F1817,'RM Cost'!A:A,'RM Cost'!S:S)</f>
        <v>0</v>
      </c>
      <c r="AS1817" t="e">
        <f>_xlfn.XLOOKUP(A1817,[3]Sheet1!$B:$B,[3]Sheet1!$B:$B)</f>
        <v>#N/A</v>
      </c>
    </row>
    <row r="1818" spans="1:46" x14ac:dyDescent="0.25">
      <c r="A1818" s="1" t="s">
        <v>4762</v>
      </c>
      <c r="B1818" s="2" t="s">
        <v>552</v>
      </c>
      <c r="C1818" t="s">
        <v>4763</v>
      </c>
      <c r="D1818" s="2" t="s">
        <v>554</v>
      </c>
      <c r="E1818" s="63">
        <v>1</v>
      </c>
      <c r="F1818" s="1" t="str">
        <f>VLOOKUP(H1818,'RM Used'!A:B,2,0)</f>
        <v>932BCS</v>
      </c>
      <c r="G1818" s="1" t="str">
        <f>IFERROR(VLOOKUP(F1818,'RM Cost'!A:B,2,0),"")</f>
        <v>RM - TINNED SWEETCORN</v>
      </c>
      <c r="H1818" s="143" t="s">
        <v>4774</v>
      </c>
      <c r="I1818" s="1" t="str">
        <f>VLOOKUP(F1818,'RM Used'!B:D,3,0)</f>
        <v>RM-FOOD</v>
      </c>
      <c r="J1818" s="66">
        <v>0.91</v>
      </c>
      <c r="K1818" s="35">
        <f t="shared" si="633"/>
        <v>0.91</v>
      </c>
      <c r="L1818" s="35">
        <f t="shared" si="634"/>
        <v>0.91</v>
      </c>
      <c r="M1818" s="77" cm="1">
        <f t="array" ref="M1818">_xlfn.IFS(BOM!I1818="RM-PACKING","100%",B1818="Reynolds",VLOOKUP(H1818,'Yield &amp; Time'!A:V,22,0),BOM!B1818="Dnata",VLOOKUP(BOM!H1818,'Yield &amp; Time'!A:M,13,0),B1818="NK",VLOOKUP(H1818,'Yield &amp; Time'!A:X,24,0))</f>
        <v>0.87</v>
      </c>
      <c r="N1818" s="35">
        <f t="shared" si="635"/>
        <v>1.0459770114942528</v>
      </c>
      <c r="O1818" s="1" t="str">
        <f>VLOOKUP(H1818,'RM Used'!A:E,5,0)</f>
        <v>KG</v>
      </c>
      <c r="P1818" s="11">
        <f>VLOOKUP(H1818,'RM Used'!A:F,6,0)</f>
        <v>1.31</v>
      </c>
      <c r="Q1818" s="11">
        <f t="shared" si="636"/>
        <v>1.3702298850574712</v>
      </c>
      <c r="R1818" s="11">
        <f>IFERROR(IF(B1818="Reynolds",VLOOKUP(H1818,'Yield &amp; Time'!A:U,21,0),VLOOKUP(H1818,'Yield &amp; Time'!A:L,12,0)),0)</f>
        <v>1.1200000000000001</v>
      </c>
      <c r="S1818" s="11">
        <f t="shared" si="637"/>
        <v>0.34499920000000001</v>
      </c>
      <c r="T1818" s="11">
        <f t="shared" si="638"/>
        <v>1.6986666666666667E-2</v>
      </c>
      <c r="U1818" s="11">
        <f>IF(A1817=A1818,0,VLOOKUP(A1818,'Packing Time'!A:F,6,0))</f>
        <v>0</v>
      </c>
      <c r="V1818" s="11">
        <f t="shared" si="639"/>
        <v>0</v>
      </c>
      <c r="W1818" s="11">
        <f t="shared" si="640"/>
        <v>0</v>
      </c>
      <c r="X1818" s="11">
        <f t="shared" si="641"/>
        <v>0.43124899999999999</v>
      </c>
      <c r="Y1818" s="11">
        <f t="shared" si="642"/>
        <v>0.43124899999999999</v>
      </c>
      <c r="Z1818" s="37">
        <v>1</v>
      </c>
      <c r="AA1818" s="36">
        <f t="shared" si="643"/>
        <v>1.0459770114942528</v>
      </c>
      <c r="AB1818" s="36">
        <f t="shared" si="644"/>
        <v>1.3702298850574712</v>
      </c>
      <c r="AC1818" s="11">
        <f t="shared" si="645"/>
        <v>2.1233333333333333E-2</v>
      </c>
      <c r="AD1818" s="36">
        <f t="shared" si="646"/>
        <v>0.43124899999999999</v>
      </c>
      <c r="AE1818" s="36"/>
      <c r="AF1818" s="36">
        <f>IFERROR(VLOOKUP(AE1818,'Chemical Cost'!A:D,4,0),0)</f>
        <v>0</v>
      </c>
      <c r="AG1818" s="114">
        <f t="shared" si="647"/>
        <v>0</v>
      </c>
      <c r="AH1818" s="36">
        <f t="shared" si="648"/>
        <v>0</v>
      </c>
      <c r="AI1818" s="36">
        <f t="shared" si="649"/>
        <v>1.8014788850574712</v>
      </c>
      <c r="AJ1818" s="36">
        <f>IFERROR(VLOOKUP(A1818,'All Products'!A:F,6,0),0)</f>
        <v>0</v>
      </c>
      <c r="AK1818" s="36"/>
      <c r="AL1818" s="23">
        <v>0.8</v>
      </c>
      <c r="AM1818" s="23">
        <v>0.2</v>
      </c>
      <c r="AN1818" s="54" t="e">
        <v>#N/A</v>
      </c>
      <c r="AO1818" s="47"/>
      <c r="AP1818" s="4">
        <v>1.25</v>
      </c>
      <c r="AQ1818" s="111">
        <f t="shared" si="650"/>
        <v>2.1233333333333333E-2</v>
      </c>
      <c r="AR1818">
        <f>_xlfn.XLOOKUP(F1818,'RM Cost'!A:A,'RM Cost'!S:S)</f>
        <v>0</v>
      </c>
      <c r="AS1818" t="e">
        <f>_xlfn.XLOOKUP(A1818,[3]Sheet1!$B:$B,[3]Sheet1!$B:$B)</f>
        <v>#N/A</v>
      </c>
    </row>
    <row r="1819" spans="1:46" x14ac:dyDescent="0.25">
      <c r="A1819" s="1" t="s">
        <v>4762</v>
      </c>
      <c r="B1819" s="2" t="s">
        <v>552</v>
      </c>
      <c r="C1819" t="s">
        <v>4763</v>
      </c>
      <c r="D1819" s="2" t="s">
        <v>554</v>
      </c>
      <c r="E1819" s="63">
        <v>1</v>
      </c>
      <c r="F1819" s="1" t="str">
        <f>VLOOKUP(H1819,'RM Used'!A:B,2,0)</f>
        <v>173AEA</v>
      </c>
      <c r="G1819" s="1" t="str">
        <f>IFERROR(VLOOKUP(F1819,'RM Cost'!A:B,2,0),"")</f>
        <v>LEMON JUICE HPP 1 X 1LT</v>
      </c>
      <c r="H1819" s="143" t="s">
        <v>4775</v>
      </c>
      <c r="I1819" s="1" t="str">
        <f>VLOOKUP(F1819,'RM Used'!B:D,3,0)</f>
        <v>RM-FOOD</v>
      </c>
      <c r="J1819" s="66">
        <v>7.0000000000000007E-2</v>
      </c>
      <c r="K1819" s="35">
        <f t="shared" si="633"/>
        <v>7.0000000000000007E-2</v>
      </c>
      <c r="L1819" s="35">
        <f t="shared" si="634"/>
        <v>7.0000000000000007E-2</v>
      </c>
      <c r="M1819" s="77" cm="1">
        <f t="array" ref="M1819">_xlfn.IFS(BOM!I1819="RM-PACKING","100%",B1819="Reynolds",VLOOKUP(H1819,'Yield &amp; Time'!A:V,22,0),BOM!B1819="Dnata",VLOOKUP(BOM!H1819,'Yield &amp; Time'!A:M,13,0),B1819="NK",VLOOKUP(H1819,'Yield &amp; Time'!A:X,24,0))</f>
        <v>1</v>
      </c>
      <c r="N1819" s="35">
        <f t="shared" si="635"/>
        <v>7.0000000000000007E-2</v>
      </c>
      <c r="O1819" s="1" t="str">
        <f>VLOOKUP(H1819,'RM Used'!A:E,5,0)</f>
        <v>LTR</v>
      </c>
      <c r="P1819" s="11">
        <f>VLOOKUP(H1819,'RM Used'!A:F,6,0)</f>
        <v>0</v>
      </c>
      <c r="Q1819" s="11">
        <f t="shared" si="636"/>
        <v>0</v>
      </c>
      <c r="R1819" s="11">
        <f>IFERROR(IF(B1819="Reynolds",VLOOKUP(H1819,'Yield &amp; Time'!A:U,21,0),VLOOKUP(H1819,'Yield &amp; Time'!A:L,12,0)),0)</f>
        <v>0.75</v>
      </c>
      <c r="S1819" s="11">
        <f t="shared" si="637"/>
        <v>1.7771249999999999E-2</v>
      </c>
      <c r="T1819" s="11">
        <f t="shared" si="638"/>
        <v>8.7500000000000013E-4</v>
      </c>
      <c r="U1819" s="11">
        <f>IF(A1818=A1819,0,VLOOKUP(A1819,'Packing Time'!A:F,6,0))</f>
        <v>0</v>
      </c>
      <c r="V1819" s="11">
        <f t="shared" si="639"/>
        <v>0</v>
      </c>
      <c r="W1819" s="11">
        <f t="shared" si="640"/>
        <v>0</v>
      </c>
      <c r="X1819" s="11">
        <f t="shared" si="641"/>
        <v>2.2214062499999999E-2</v>
      </c>
      <c r="Y1819" s="11">
        <f t="shared" si="642"/>
        <v>2.2214062499999999E-2</v>
      </c>
      <c r="Z1819" s="37">
        <v>1</v>
      </c>
      <c r="AA1819" s="36">
        <f t="shared" si="643"/>
        <v>7.0000000000000007E-2</v>
      </c>
      <c r="AB1819" s="36">
        <f t="shared" si="644"/>
        <v>0</v>
      </c>
      <c r="AC1819" s="11">
        <f t="shared" si="645"/>
        <v>1.0937500000000001E-3</v>
      </c>
      <c r="AD1819" s="36">
        <f t="shared" si="646"/>
        <v>2.2214062499999999E-2</v>
      </c>
      <c r="AE1819" s="36"/>
      <c r="AF1819" s="36">
        <f>IFERROR(VLOOKUP(AE1819,'Chemical Cost'!A:D,4,0),0)</f>
        <v>0</v>
      </c>
      <c r="AG1819" s="114">
        <f t="shared" si="647"/>
        <v>0</v>
      </c>
      <c r="AH1819" s="36">
        <f t="shared" si="648"/>
        <v>0</v>
      </c>
      <c r="AI1819" s="36">
        <f t="shared" si="649"/>
        <v>2.2214062499999999E-2</v>
      </c>
      <c r="AJ1819" s="36">
        <f>IFERROR(VLOOKUP(A1819,'All Products'!A:F,6,0),0)</f>
        <v>0</v>
      </c>
      <c r="AK1819" s="36"/>
      <c r="AL1819" s="23">
        <v>0.8</v>
      </c>
      <c r="AM1819" s="23">
        <v>0.2</v>
      </c>
      <c r="AN1819" s="54" t="e">
        <v>#N/A</v>
      </c>
      <c r="AO1819" s="47"/>
      <c r="AP1819" s="4">
        <v>1.25</v>
      </c>
      <c r="AQ1819" s="111">
        <f t="shared" si="650"/>
        <v>1.0937500000000001E-3</v>
      </c>
      <c r="AR1819">
        <f>_xlfn.XLOOKUP(F1819,'RM Cost'!A:A,'RM Cost'!S:S)</f>
        <v>0</v>
      </c>
      <c r="AS1819" t="e">
        <f>_xlfn.XLOOKUP(A1819,[3]Sheet1!$B:$B,[3]Sheet1!$B:$B)</f>
        <v>#N/A</v>
      </c>
    </row>
    <row r="1820" spans="1:46" x14ac:dyDescent="0.25">
      <c r="A1820" s="1" t="s">
        <v>4762</v>
      </c>
      <c r="B1820" s="2" t="s">
        <v>552</v>
      </c>
      <c r="C1820" t="s">
        <v>4763</v>
      </c>
      <c r="D1820" s="2" t="s">
        <v>554</v>
      </c>
      <c r="E1820" s="63">
        <v>1</v>
      </c>
      <c r="F1820" s="1" t="str">
        <f>VLOOKUP(H1820,'RM Used'!A:B,2,0)</f>
        <v>P0008</v>
      </c>
      <c r="G1820" s="1" t="str">
        <f>IFERROR(VLOOKUP(F1820,'RM Cost'!A:B,2,0),"")</f>
        <v>PALE BLUE BAG 470X750MM</v>
      </c>
      <c r="H1820" s="1" t="s">
        <v>1323</v>
      </c>
      <c r="I1820" s="1" t="str">
        <f>VLOOKUP(F1820,'RM Used'!B:D,3,0)</f>
        <v>RM-PACKING</v>
      </c>
      <c r="J1820" s="66">
        <v>1</v>
      </c>
      <c r="K1820" s="35" t="str">
        <f t="shared" si="633"/>
        <v/>
      </c>
      <c r="L1820" s="35">
        <f t="shared" si="634"/>
        <v>0</v>
      </c>
      <c r="M1820" s="77" t="str" cm="1">
        <f t="array" ref="M1820">_xlfn.IFS(BOM!I1820="RM-PACKING","100%",B1820="Reynolds",VLOOKUP(H1820,'Yield &amp; Time'!A:V,22,0),BOM!B1820="Dnata",VLOOKUP(BOM!H1820,'Yield &amp; Time'!A:M,13,0),B1820="NK",VLOOKUP(H1820,'Yield &amp; Time'!A:X,24,0))</f>
        <v>100%</v>
      </c>
      <c r="N1820" s="35">
        <f t="shared" si="635"/>
        <v>1</v>
      </c>
      <c r="O1820" s="1" t="str">
        <f>VLOOKUP(H1820,'RM Used'!A:E,5,0)</f>
        <v>Count</v>
      </c>
      <c r="P1820" s="11">
        <f>VLOOKUP(H1820,'RM Used'!A:F,6,0)</f>
        <v>0.14000000000000001</v>
      </c>
      <c r="Q1820" s="11">
        <f t="shared" si="636"/>
        <v>0.14000000000000001</v>
      </c>
      <c r="R1820" s="11">
        <f>IFERROR(IF(B1820="Reynolds",VLOOKUP(H1820,'Yield &amp; Time'!A:U,21,0),VLOOKUP(H1820,'Yield &amp; Time'!A:L,12,0)),0)</f>
        <v>0</v>
      </c>
      <c r="S1820" s="11">
        <f t="shared" si="637"/>
        <v>0</v>
      </c>
      <c r="T1820" s="11">
        <f t="shared" si="638"/>
        <v>0</v>
      </c>
      <c r="U1820" s="11">
        <f>IF(A1819=A1820,0,VLOOKUP(A1820,'Packing Time'!A:F,6,0))</f>
        <v>0</v>
      </c>
      <c r="V1820" s="11">
        <f t="shared" si="639"/>
        <v>0</v>
      </c>
      <c r="W1820" s="11">
        <f t="shared" si="640"/>
        <v>0</v>
      </c>
      <c r="X1820" s="11">
        <f t="shared" si="641"/>
        <v>0</v>
      </c>
      <c r="Y1820" s="11">
        <f t="shared" si="642"/>
        <v>0</v>
      </c>
      <c r="Z1820" s="37">
        <v>1</v>
      </c>
      <c r="AA1820" s="36">
        <f t="shared" si="643"/>
        <v>1</v>
      </c>
      <c r="AB1820" s="36">
        <f t="shared" si="644"/>
        <v>0.14000000000000001</v>
      </c>
      <c r="AC1820" s="11">
        <f t="shared" si="645"/>
        <v>0</v>
      </c>
      <c r="AD1820" s="36">
        <f t="shared" si="646"/>
        <v>0</v>
      </c>
      <c r="AE1820" s="36"/>
      <c r="AF1820" s="36">
        <f>IFERROR(VLOOKUP(AE1820,'Chemical Cost'!A:D,4,0),0)</f>
        <v>0</v>
      </c>
      <c r="AG1820" s="114">
        <f t="shared" si="647"/>
        <v>0</v>
      </c>
      <c r="AH1820" s="36">
        <f t="shared" si="648"/>
        <v>0</v>
      </c>
      <c r="AI1820" s="36">
        <f t="shared" si="649"/>
        <v>0.14000000000000001</v>
      </c>
      <c r="AJ1820" s="36">
        <f>IFERROR(VLOOKUP(A1820,'All Products'!A:F,6,0),0)</f>
        <v>0</v>
      </c>
      <c r="AK1820" s="36"/>
      <c r="AL1820" s="23">
        <v>0.8</v>
      </c>
      <c r="AM1820" s="23">
        <v>0.2</v>
      </c>
      <c r="AN1820" s="54" t="e">
        <v>#N/A</v>
      </c>
      <c r="AO1820" s="47"/>
      <c r="AP1820" s="4">
        <v>1.25</v>
      </c>
      <c r="AQ1820" s="111">
        <f t="shared" si="650"/>
        <v>0</v>
      </c>
      <c r="AR1820">
        <f>_xlfn.XLOOKUP(F1820,'RM Cost'!A:A,'RM Cost'!S:S)</f>
        <v>0</v>
      </c>
      <c r="AS1820" t="e">
        <f>_xlfn.XLOOKUP(A1820,[3]Sheet1!$B:$B,[3]Sheet1!$B:$B)</f>
        <v>#N/A</v>
      </c>
    </row>
    <row r="1821" spans="1:46" x14ac:dyDescent="0.25">
      <c r="A1821" s="1" t="s">
        <v>4762</v>
      </c>
      <c r="B1821" s="2" t="s">
        <v>552</v>
      </c>
      <c r="C1821" t="s">
        <v>4763</v>
      </c>
      <c r="D1821" s="2" t="s">
        <v>554</v>
      </c>
      <c r="E1821" s="63">
        <v>1</v>
      </c>
      <c r="F1821" s="1" t="str">
        <f>VLOOKUP(H1821,'RM Used'!A:B,2,0)</f>
        <v>P0016</v>
      </c>
      <c r="G1821" s="1" t="str">
        <f>IFERROR(VLOOKUP(F1821,'RM Cost'!A:B,2,0),"")</f>
        <v>REY 40 30 BOX</v>
      </c>
      <c r="H1821" s="2" t="s">
        <v>1332</v>
      </c>
      <c r="I1821" s="1" t="str">
        <f>VLOOKUP(F1821,'RM Used'!B:D,3,0)</f>
        <v>RM-PACKING</v>
      </c>
      <c r="J1821" s="66">
        <v>1</v>
      </c>
      <c r="K1821" s="35" t="str">
        <f t="shared" si="633"/>
        <v/>
      </c>
      <c r="L1821" s="35">
        <f t="shared" si="634"/>
        <v>0</v>
      </c>
      <c r="M1821" s="77" t="str" cm="1">
        <f t="array" ref="M1821">_xlfn.IFS(BOM!I1821="RM-PACKING","100%",B1821="Reynolds",VLOOKUP(H1821,'Yield &amp; Time'!A:V,22,0),BOM!B1821="Dnata",VLOOKUP(BOM!H1821,'Yield &amp; Time'!A:M,13,0),B1821="NK",VLOOKUP(H1821,'Yield &amp; Time'!A:X,24,0))</f>
        <v>100%</v>
      </c>
      <c r="N1821" s="35">
        <f t="shared" si="635"/>
        <v>1</v>
      </c>
      <c r="O1821" s="1" t="str">
        <f>VLOOKUP(H1821,'RM Used'!A:E,5,0)</f>
        <v>Count</v>
      </c>
      <c r="P1821" s="11">
        <f>VLOOKUP(H1821,'RM Used'!A:F,6,0)</f>
        <v>0.28000000000000003</v>
      </c>
      <c r="Q1821" s="11">
        <f t="shared" si="636"/>
        <v>0.28000000000000003</v>
      </c>
      <c r="R1821" s="11">
        <f>IFERROR(IF(B1821="Reynolds",VLOOKUP(H1821,'Yield &amp; Time'!A:U,21,0),VLOOKUP(H1821,'Yield &amp; Time'!A:L,12,0)),0)</f>
        <v>0</v>
      </c>
      <c r="S1821" s="11">
        <f t="shared" si="637"/>
        <v>0</v>
      </c>
      <c r="T1821" s="11">
        <f t="shared" si="638"/>
        <v>0</v>
      </c>
      <c r="U1821" s="11">
        <f>IF(A1820=A1821,0,VLOOKUP(A1821,'Packing Time'!A:F,6,0))</f>
        <v>0</v>
      </c>
      <c r="V1821" s="11">
        <f t="shared" si="639"/>
        <v>0</v>
      </c>
      <c r="W1821" s="11">
        <f t="shared" si="640"/>
        <v>0</v>
      </c>
      <c r="X1821" s="11">
        <f t="shared" si="641"/>
        <v>0</v>
      </c>
      <c r="Y1821" s="11">
        <f t="shared" si="642"/>
        <v>0</v>
      </c>
      <c r="Z1821" s="37">
        <v>1</v>
      </c>
      <c r="AA1821" s="36">
        <f t="shared" si="643"/>
        <v>1</v>
      </c>
      <c r="AB1821" s="36">
        <f t="shared" si="644"/>
        <v>0.28000000000000003</v>
      </c>
      <c r="AC1821" s="11">
        <f t="shared" si="645"/>
        <v>0</v>
      </c>
      <c r="AD1821" s="36">
        <f t="shared" si="646"/>
        <v>0</v>
      </c>
      <c r="AE1821" s="36"/>
      <c r="AF1821" s="36">
        <f>IFERROR(VLOOKUP(AE1821,'Chemical Cost'!A:D,4,0),0)</f>
        <v>0</v>
      </c>
      <c r="AG1821" s="114">
        <f t="shared" si="647"/>
        <v>0</v>
      </c>
      <c r="AH1821" s="36">
        <f t="shared" si="648"/>
        <v>0</v>
      </c>
      <c r="AI1821" s="36">
        <f t="shared" si="649"/>
        <v>0.28000000000000003</v>
      </c>
      <c r="AJ1821" s="36">
        <f>IFERROR(VLOOKUP(A1821,'All Products'!A:F,6,0),0)</f>
        <v>0</v>
      </c>
      <c r="AK1821" s="36"/>
      <c r="AL1821" s="23">
        <v>0.8</v>
      </c>
      <c r="AM1821" s="23">
        <v>0.2</v>
      </c>
      <c r="AN1821" s="54" t="e">
        <v>#N/A</v>
      </c>
      <c r="AO1821" s="47"/>
      <c r="AP1821" s="4">
        <v>1.25</v>
      </c>
      <c r="AQ1821" s="111">
        <f t="shared" si="650"/>
        <v>0</v>
      </c>
      <c r="AR1821">
        <f>_xlfn.XLOOKUP(F1821,'RM Cost'!A:A,'RM Cost'!S:S)</f>
        <v>0</v>
      </c>
      <c r="AS1821" t="e">
        <f>_xlfn.XLOOKUP(A1821,[3]Sheet1!$B:$B,[3]Sheet1!$B:$B)</f>
        <v>#N/A</v>
      </c>
    </row>
    <row r="1822" spans="1:46" x14ac:dyDescent="0.25">
      <c r="A1822" s="1" t="s">
        <v>4768</v>
      </c>
      <c r="B1822" s="2" t="s">
        <v>552</v>
      </c>
      <c r="C1822" s="1" t="s">
        <v>4769</v>
      </c>
      <c r="D1822" s="2" t="s">
        <v>554</v>
      </c>
      <c r="E1822" s="63">
        <v>4</v>
      </c>
      <c r="F1822" s="1" t="str">
        <f>VLOOKUP(H1822,'RM Used'!A:B,2,0)</f>
        <v>3595EA</v>
      </c>
      <c r="G1822" s="1" t="str">
        <f>IFERROR(VLOOKUP(F1822,'RM Cost'!A:B,2,0),"")</f>
        <v>RM – CHILLIES RED BULLET 250G</v>
      </c>
      <c r="H1822" s="143" t="s">
        <v>4772</v>
      </c>
      <c r="I1822" s="1" t="str">
        <f>VLOOKUP(F1822,'RM Used'!B:D,3,0)</f>
        <v>RM-FOOD</v>
      </c>
      <c r="J1822" s="66">
        <v>0.01</v>
      </c>
      <c r="K1822" s="35">
        <f t="shared" si="633"/>
        <v>0.04</v>
      </c>
      <c r="L1822" s="35">
        <f t="shared" si="634"/>
        <v>0.04</v>
      </c>
      <c r="M1822" s="77" cm="1">
        <f t="array" ref="M1822">_xlfn.IFS(BOM!I1822="RM-PACKING","100%",B1822="Reynolds",VLOOKUP(H1822,'Yield &amp; Time'!A:V,22,0),BOM!B1822="Dnata",VLOOKUP(BOM!H1822,'Yield &amp; Time'!A:M,13,0),B1822="NK",VLOOKUP(H1822,'Yield &amp; Time'!A:X,24,0))</f>
        <v>0.3</v>
      </c>
      <c r="N1822" s="35">
        <f t="shared" si="635"/>
        <v>0.13333333333333333</v>
      </c>
      <c r="O1822" s="1" t="str">
        <f>VLOOKUP(H1822,'RM Used'!A:E,5,0)</f>
        <v>KG</v>
      </c>
      <c r="P1822" s="11">
        <f>VLOOKUP(H1822,'RM Used'!A:F,6,0)</f>
        <v>0</v>
      </c>
      <c r="Q1822" s="11">
        <f t="shared" si="636"/>
        <v>0</v>
      </c>
      <c r="R1822" s="11">
        <f>IFERROR(IF(B1822="Reynolds",VLOOKUP(H1822,'Yield &amp; Time'!A:U,21,0),VLOOKUP(H1822,'Yield &amp; Time'!A:L,12,0)),0)</f>
        <v>27</v>
      </c>
      <c r="S1822" s="11">
        <f t="shared" si="637"/>
        <v>0.36558000000000002</v>
      </c>
      <c r="T1822" s="11">
        <f t="shared" si="638"/>
        <v>1.8000000000000002E-2</v>
      </c>
      <c r="U1822" s="11">
        <f>IF(A1821=A1822,0,VLOOKUP(A1822,'Packing Time'!A:F,6,0))</f>
        <v>9</v>
      </c>
      <c r="V1822" s="11">
        <f t="shared" si="639"/>
        <v>3.0464999999999995</v>
      </c>
      <c r="W1822" s="11">
        <f t="shared" si="640"/>
        <v>0.15</v>
      </c>
      <c r="X1822" s="11">
        <f t="shared" si="641"/>
        <v>4.2650999999999994</v>
      </c>
      <c r="Y1822" s="11">
        <f t="shared" si="642"/>
        <v>4.2650999999999994</v>
      </c>
      <c r="Z1822" s="37">
        <v>1</v>
      </c>
      <c r="AA1822" s="36">
        <f t="shared" si="643"/>
        <v>0.13333333333333333</v>
      </c>
      <c r="AB1822" s="36">
        <f t="shared" si="644"/>
        <v>0</v>
      </c>
      <c r="AC1822" s="11">
        <f t="shared" si="645"/>
        <v>0.21000000000000002</v>
      </c>
      <c r="AD1822" s="36">
        <f t="shared" si="646"/>
        <v>4.2651000000000003</v>
      </c>
      <c r="AE1822" s="36"/>
      <c r="AF1822" s="36">
        <f>IFERROR(VLOOKUP(AE1822,'Chemical Cost'!A:D,4,0),0)</f>
        <v>0</v>
      </c>
      <c r="AG1822" s="114">
        <f t="shared" si="647"/>
        <v>0</v>
      </c>
      <c r="AH1822" s="36">
        <f t="shared" si="648"/>
        <v>0</v>
      </c>
      <c r="AI1822" s="36">
        <f t="shared" si="649"/>
        <v>4.2650999999999994</v>
      </c>
      <c r="AJ1822" s="36">
        <f>IFERROR(VLOOKUP(A1822,'All Products'!A:F,6,0),0)</f>
        <v>0</v>
      </c>
      <c r="AK1822" s="36"/>
      <c r="AL1822" s="23">
        <v>0.8</v>
      </c>
      <c r="AM1822" s="23">
        <v>0.2</v>
      </c>
      <c r="AN1822" s="54" t="e">
        <v>#N/A</v>
      </c>
      <c r="AO1822" s="47"/>
      <c r="AP1822" s="4">
        <v>1.25</v>
      </c>
      <c r="AQ1822" s="111">
        <f t="shared" si="650"/>
        <v>0.21000000000000002</v>
      </c>
      <c r="AR1822">
        <f>_xlfn.XLOOKUP(F1822,'RM Cost'!A:A,'RM Cost'!S:S)</f>
        <v>0</v>
      </c>
      <c r="AS1822" t="str">
        <f>_xlfn.XLOOKUP(A1822,[3]Sheet1!$B:$B,[3]Sheet1!$B:$B)</f>
        <v>CF01CS</v>
      </c>
      <c r="AT1822" t="str">
        <f>_xlfn.XLOOKUP(H1822,'Yield &amp; Time'!A:A,'Yield &amp; Time'!O:O)</f>
        <v>Yes</v>
      </c>
    </row>
    <row r="1823" spans="1:46" x14ac:dyDescent="0.25">
      <c r="A1823" s="1" t="s">
        <v>4768</v>
      </c>
      <c r="B1823" s="2" t="s">
        <v>552</v>
      </c>
      <c r="C1823" s="1" t="s">
        <v>4769</v>
      </c>
      <c r="D1823" s="2" t="s">
        <v>554</v>
      </c>
      <c r="E1823" s="63">
        <v>4</v>
      </c>
      <c r="F1823" s="1" t="str">
        <f>VLOOKUP(H1823,'RM Used'!A:B,2,0)</f>
        <v>3587CS</v>
      </c>
      <c r="G1823" s="1" t="str">
        <f>IFERROR(VLOOKUP(F1823,'RM Cost'!A:B,2,0),"")</f>
        <v>RM - CHILLIES JALAPENO GREEN  X2KG</v>
      </c>
      <c r="H1823" s="143" t="s">
        <v>4773</v>
      </c>
      <c r="I1823" s="1" t="str">
        <f>VLOOKUP(F1823,'RM Used'!B:D,3,0)</f>
        <v>RM-FOOD</v>
      </c>
      <c r="J1823" s="66">
        <v>0.01</v>
      </c>
      <c r="K1823" s="35">
        <f t="shared" si="633"/>
        <v>0.04</v>
      </c>
      <c r="L1823" s="35">
        <f t="shared" si="634"/>
        <v>0.04</v>
      </c>
      <c r="M1823" s="77" cm="1">
        <f t="array" ref="M1823">_xlfn.IFS(BOM!I1823="RM-PACKING","100%",B1823="Reynolds",VLOOKUP(H1823,'Yield &amp; Time'!A:V,22,0),BOM!B1823="Dnata",VLOOKUP(BOM!H1823,'Yield &amp; Time'!A:M,13,0),B1823="NK",VLOOKUP(H1823,'Yield &amp; Time'!A:X,24,0))</f>
        <v>0.35</v>
      </c>
      <c r="N1823" s="35">
        <f t="shared" si="635"/>
        <v>0.1142857142857143</v>
      </c>
      <c r="O1823" s="1" t="str">
        <f>VLOOKUP(H1823,'RM Used'!A:E,5,0)</f>
        <v>KG</v>
      </c>
      <c r="P1823" s="11">
        <f>VLOOKUP(H1823,'RM Used'!A:F,6,0)</f>
        <v>3.9</v>
      </c>
      <c r="Q1823" s="11">
        <f t="shared" si="636"/>
        <v>0.44571428571428573</v>
      </c>
      <c r="R1823" s="11">
        <f>IFERROR(IF(B1823="Reynolds",VLOOKUP(H1823,'Yield &amp; Time'!A:U,21,0),VLOOKUP(H1823,'Yield &amp; Time'!A:L,12,0)),0)</f>
        <v>10.57</v>
      </c>
      <c r="S1823" s="11">
        <f t="shared" si="637"/>
        <v>0.14311779999999999</v>
      </c>
      <c r="T1823" s="11">
        <f t="shared" si="638"/>
        <v>7.0466666666666672E-3</v>
      </c>
      <c r="U1823" s="11">
        <f>IF(A1822=A1823,0,VLOOKUP(A1823,'Packing Time'!A:F,6,0))</f>
        <v>0</v>
      </c>
      <c r="V1823" s="11">
        <f t="shared" si="639"/>
        <v>0</v>
      </c>
      <c r="W1823" s="11">
        <f t="shared" si="640"/>
        <v>0</v>
      </c>
      <c r="X1823" s="11">
        <f t="shared" si="641"/>
        <v>0.17889724999999998</v>
      </c>
      <c r="Y1823" s="11">
        <f t="shared" si="642"/>
        <v>0.17889724999999998</v>
      </c>
      <c r="Z1823" s="37">
        <v>1</v>
      </c>
      <c r="AA1823" s="36">
        <f t="shared" si="643"/>
        <v>0.1142857142857143</v>
      </c>
      <c r="AB1823" s="36">
        <f t="shared" si="644"/>
        <v>0.44571428571428573</v>
      </c>
      <c r="AC1823" s="11">
        <f t="shared" si="645"/>
        <v>8.8083333333333347E-3</v>
      </c>
      <c r="AD1823" s="36">
        <f t="shared" si="646"/>
        <v>0.17889725000000001</v>
      </c>
      <c r="AE1823" s="36"/>
      <c r="AF1823" s="36">
        <f>IFERROR(VLOOKUP(AE1823,'Chemical Cost'!A:D,4,0),0)</f>
        <v>0</v>
      </c>
      <c r="AG1823" s="114">
        <f t="shared" si="647"/>
        <v>0</v>
      </c>
      <c r="AH1823" s="36">
        <f t="shared" si="648"/>
        <v>0</v>
      </c>
      <c r="AI1823" s="36">
        <f t="shared" si="649"/>
        <v>0.62461153571428574</v>
      </c>
      <c r="AJ1823" s="36">
        <f>IFERROR(VLOOKUP(A1823,'All Products'!A:F,6,0),0)</f>
        <v>0</v>
      </c>
      <c r="AK1823" s="36"/>
      <c r="AL1823" s="23">
        <v>0.8</v>
      </c>
      <c r="AM1823" s="23">
        <v>0.2</v>
      </c>
      <c r="AN1823" s="54" t="e">
        <v>#N/A</v>
      </c>
      <c r="AO1823" s="47"/>
      <c r="AP1823" s="4">
        <v>1.25</v>
      </c>
      <c r="AQ1823" s="111">
        <f t="shared" si="650"/>
        <v>8.8083333333333347E-3</v>
      </c>
      <c r="AR1823">
        <f>_xlfn.XLOOKUP(F1823,'RM Cost'!A:A,'RM Cost'!S:S)</f>
        <v>0</v>
      </c>
      <c r="AS1823" t="str">
        <f>_xlfn.XLOOKUP(A1823,[3]Sheet1!$B:$B,[3]Sheet1!$B:$B)</f>
        <v>CF01CS</v>
      </c>
      <c r="AT1823" t="str">
        <f>_xlfn.XLOOKUP(H1823,'Yield &amp; Time'!A:A,'Yield &amp; Time'!O:O)</f>
        <v>Yes</v>
      </c>
    </row>
    <row r="1824" spans="1:46" x14ac:dyDescent="0.25">
      <c r="A1824" s="1" t="s">
        <v>4768</v>
      </c>
      <c r="B1824" s="2" t="s">
        <v>552</v>
      </c>
      <c r="C1824" s="1" t="s">
        <v>4769</v>
      </c>
      <c r="D1824" s="2" t="s">
        <v>554</v>
      </c>
      <c r="E1824" s="63">
        <v>4</v>
      </c>
      <c r="F1824" s="1" t="str">
        <f>VLOOKUP(H1824,'RM Used'!A:B,2,0)</f>
        <v>932BCS</v>
      </c>
      <c r="G1824" s="1" t="str">
        <f>IFERROR(VLOOKUP(F1824,'RM Cost'!A:B,2,0),"")</f>
        <v>RM - TINNED SWEETCORN</v>
      </c>
      <c r="H1824" s="143" t="s">
        <v>4774</v>
      </c>
      <c r="I1824" s="1" t="str">
        <f>VLOOKUP(F1824,'RM Used'!B:D,3,0)</f>
        <v>RM-FOOD</v>
      </c>
      <c r="J1824" s="66">
        <v>0.91</v>
      </c>
      <c r="K1824" s="35">
        <f t="shared" si="633"/>
        <v>3.64</v>
      </c>
      <c r="L1824" s="35">
        <f t="shared" si="634"/>
        <v>3.64</v>
      </c>
      <c r="M1824" s="77" cm="1">
        <f t="array" ref="M1824">_xlfn.IFS(BOM!I1824="RM-PACKING","100%",B1824="Reynolds",VLOOKUP(H1824,'Yield &amp; Time'!A:V,22,0),BOM!B1824="Dnata",VLOOKUP(BOM!H1824,'Yield &amp; Time'!A:M,13,0),B1824="NK",VLOOKUP(H1824,'Yield &amp; Time'!A:X,24,0))</f>
        <v>0.87</v>
      </c>
      <c r="N1824" s="35">
        <f t="shared" si="635"/>
        <v>4.1839080459770113</v>
      </c>
      <c r="O1824" s="1" t="str">
        <f>VLOOKUP(H1824,'RM Used'!A:E,5,0)</f>
        <v>KG</v>
      </c>
      <c r="P1824" s="11">
        <f>VLOOKUP(H1824,'RM Used'!A:F,6,0)</f>
        <v>1.31</v>
      </c>
      <c r="Q1824" s="11">
        <f t="shared" si="636"/>
        <v>5.4809195402298849</v>
      </c>
      <c r="R1824" s="11">
        <f>IFERROR(IF(B1824="Reynolds",VLOOKUP(H1824,'Yield &amp; Time'!A:U,21,0),VLOOKUP(H1824,'Yield &amp; Time'!A:L,12,0)),0)</f>
        <v>1.1200000000000001</v>
      </c>
      <c r="S1824" s="11">
        <f t="shared" si="637"/>
        <v>1.3799968</v>
      </c>
      <c r="T1824" s="11">
        <f t="shared" si="638"/>
        <v>6.7946666666666669E-2</v>
      </c>
      <c r="U1824" s="11">
        <f>IF(A1823=A1824,0,VLOOKUP(A1824,'Packing Time'!A:F,6,0))</f>
        <v>0</v>
      </c>
      <c r="V1824" s="11">
        <f t="shared" si="639"/>
        <v>0</v>
      </c>
      <c r="W1824" s="11">
        <f t="shared" si="640"/>
        <v>0</v>
      </c>
      <c r="X1824" s="11">
        <f t="shared" si="641"/>
        <v>1.724996</v>
      </c>
      <c r="Y1824" s="11">
        <f t="shared" si="642"/>
        <v>1.724996</v>
      </c>
      <c r="Z1824" s="37">
        <v>1</v>
      </c>
      <c r="AA1824" s="36">
        <f t="shared" si="643"/>
        <v>4.1839080459770113</v>
      </c>
      <c r="AB1824" s="36">
        <f t="shared" si="644"/>
        <v>5.4809195402298849</v>
      </c>
      <c r="AC1824" s="11">
        <f t="shared" si="645"/>
        <v>8.4933333333333333E-2</v>
      </c>
      <c r="AD1824" s="36">
        <f t="shared" si="646"/>
        <v>1.724996</v>
      </c>
      <c r="AE1824" s="36"/>
      <c r="AF1824" s="36">
        <f>IFERROR(VLOOKUP(AE1824,'Chemical Cost'!A:D,4,0),0)</f>
        <v>0</v>
      </c>
      <c r="AG1824" s="114">
        <f t="shared" si="647"/>
        <v>0</v>
      </c>
      <c r="AH1824" s="36">
        <f t="shared" si="648"/>
        <v>0</v>
      </c>
      <c r="AI1824" s="36">
        <f t="shared" si="649"/>
        <v>7.2059155402298849</v>
      </c>
      <c r="AJ1824" s="36">
        <f>IFERROR(VLOOKUP(A1824,'All Products'!A:F,6,0),0)</f>
        <v>0</v>
      </c>
      <c r="AK1824" s="36"/>
      <c r="AL1824" s="23">
        <v>0.8</v>
      </c>
      <c r="AM1824" s="23">
        <v>0.2</v>
      </c>
      <c r="AN1824" s="54" t="e">
        <v>#N/A</v>
      </c>
      <c r="AO1824" s="47"/>
      <c r="AP1824" s="4">
        <v>1.25</v>
      </c>
      <c r="AQ1824" s="111">
        <f t="shared" si="650"/>
        <v>8.4933333333333333E-2</v>
      </c>
      <c r="AR1824">
        <f>_xlfn.XLOOKUP(F1824,'RM Cost'!A:A,'RM Cost'!S:S)</f>
        <v>0</v>
      </c>
      <c r="AS1824" t="str">
        <f>_xlfn.XLOOKUP(A1824,[3]Sheet1!$B:$B,[3]Sheet1!$B:$B)</f>
        <v>CF01CS</v>
      </c>
      <c r="AT1824" t="str">
        <f>_xlfn.XLOOKUP(H1824,'Yield &amp; Time'!A:A,'Yield &amp; Time'!O:O)</f>
        <v>Yes</v>
      </c>
    </row>
    <row r="1825" spans="1:46" x14ac:dyDescent="0.25">
      <c r="A1825" s="1" t="s">
        <v>4768</v>
      </c>
      <c r="B1825" s="2" t="s">
        <v>552</v>
      </c>
      <c r="C1825" s="1" t="s">
        <v>4769</v>
      </c>
      <c r="D1825" s="2" t="s">
        <v>554</v>
      </c>
      <c r="E1825" s="63">
        <v>4</v>
      </c>
      <c r="F1825" s="1" t="str">
        <f>VLOOKUP(H1825,'RM Used'!A:B,2,0)</f>
        <v>173AEA</v>
      </c>
      <c r="G1825" s="1" t="str">
        <f>IFERROR(VLOOKUP(F1825,'RM Cost'!A:B,2,0),"")</f>
        <v>LEMON JUICE HPP 1 X 1LT</v>
      </c>
      <c r="H1825" s="143" t="s">
        <v>4775</v>
      </c>
      <c r="I1825" s="1" t="str">
        <f>VLOOKUP(F1825,'RM Used'!B:D,3,0)</f>
        <v>RM-FOOD</v>
      </c>
      <c r="J1825" s="66">
        <v>7.0000000000000007E-2</v>
      </c>
      <c r="K1825" s="35">
        <f t="shared" si="633"/>
        <v>0.28000000000000003</v>
      </c>
      <c r="L1825" s="35">
        <f t="shared" si="634"/>
        <v>0.28000000000000003</v>
      </c>
      <c r="M1825" s="77" cm="1">
        <f t="array" ref="M1825">_xlfn.IFS(BOM!I1825="RM-PACKING","100%",B1825="Reynolds",VLOOKUP(H1825,'Yield &amp; Time'!A:V,22,0),BOM!B1825="Dnata",VLOOKUP(BOM!H1825,'Yield &amp; Time'!A:M,13,0),B1825="NK",VLOOKUP(H1825,'Yield &amp; Time'!A:X,24,0))</f>
        <v>1</v>
      </c>
      <c r="N1825" s="35">
        <f t="shared" si="635"/>
        <v>0.28000000000000003</v>
      </c>
      <c r="O1825" s="1" t="str">
        <f>VLOOKUP(H1825,'RM Used'!A:E,5,0)</f>
        <v>LTR</v>
      </c>
      <c r="P1825" s="11">
        <f>VLOOKUP(H1825,'RM Used'!A:F,6,0)</f>
        <v>0</v>
      </c>
      <c r="Q1825" s="11">
        <f t="shared" si="636"/>
        <v>0</v>
      </c>
      <c r="R1825" s="11">
        <f>IFERROR(IF(B1825="Reynolds",VLOOKUP(H1825,'Yield &amp; Time'!A:U,21,0),VLOOKUP(H1825,'Yield &amp; Time'!A:L,12,0)),0)</f>
        <v>0.75</v>
      </c>
      <c r="S1825" s="11">
        <f t="shared" si="637"/>
        <v>7.1084999999999995E-2</v>
      </c>
      <c r="T1825" s="11">
        <f t="shared" si="638"/>
        <v>3.5000000000000005E-3</v>
      </c>
      <c r="U1825" s="11">
        <f>IF(A1824=A1825,0,VLOOKUP(A1825,'Packing Time'!A:F,6,0))</f>
        <v>0</v>
      </c>
      <c r="V1825" s="11">
        <f t="shared" si="639"/>
        <v>0</v>
      </c>
      <c r="W1825" s="11">
        <f t="shared" si="640"/>
        <v>0</v>
      </c>
      <c r="X1825" s="11">
        <f t="shared" si="641"/>
        <v>8.8856249999999998E-2</v>
      </c>
      <c r="Y1825" s="11">
        <f t="shared" si="642"/>
        <v>8.8856249999999998E-2</v>
      </c>
      <c r="Z1825" s="37">
        <v>1</v>
      </c>
      <c r="AA1825" s="36">
        <f t="shared" si="643"/>
        <v>0.28000000000000003</v>
      </c>
      <c r="AB1825" s="36">
        <f t="shared" si="644"/>
        <v>0</v>
      </c>
      <c r="AC1825" s="11">
        <f t="shared" si="645"/>
        <v>4.3750000000000004E-3</v>
      </c>
      <c r="AD1825" s="36">
        <f t="shared" si="646"/>
        <v>8.8856249999999998E-2</v>
      </c>
      <c r="AE1825" s="36"/>
      <c r="AF1825" s="36">
        <f>IFERROR(VLOOKUP(AE1825,'Chemical Cost'!A:D,4,0),0)</f>
        <v>0</v>
      </c>
      <c r="AG1825" s="114">
        <f t="shared" si="647"/>
        <v>0</v>
      </c>
      <c r="AH1825" s="36">
        <f t="shared" si="648"/>
        <v>0</v>
      </c>
      <c r="AI1825" s="36">
        <f t="shared" si="649"/>
        <v>8.8856249999999998E-2</v>
      </c>
      <c r="AJ1825" s="36">
        <f>IFERROR(VLOOKUP(A1825,'All Products'!A:F,6,0),0)</f>
        <v>0</v>
      </c>
      <c r="AK1825" s="36"/>
      <c r="AL1825" s="23">
        <v>0.8</v>
      </c>
      <c r="AM1825" s="23">
        <v>0.2</v>
      </c>
      <c r="AN1825" s="54" t="e">
        <v>#N/A</v>
      </c>
      <c r="AO1825" s="47"/>
      <c r="AP1825" s="4">
        <v>1.25</v>
      </c>
      <c r="AQ1825" s="111">
        <f t="shared" si="650"/>
        <v>4.3750000000000004E-3</v>
      </c>
      <c r="AR1825">
        <f>_xlfn.XLOOKUP(F1825,'RM Cost'!A:A,'RM Cost'!S:S)</f>
        <v>0</v>
      </c>
      <c r="AS1825" t="str">
        <f>_xlfn.XLOOKUP(A1825,[3]Sheet1!$B:$B,[3]Sheet1!$B:$B)</f>
        <v>CF01CS</v>
      </c>
      <c r="AT1825" t="str">
        <f>_xlfn.XLOOKUP(H1825,'Yield &amp; Time'!A:A,'Yield &amp; Time'!O:O)</f>
        <v>Yes</v>
      </c>
    </row>
    <row r="1826" spans="1:46" x14ac:dyDescent="0.25">
      <c r="A1826" s="1" t="s">
        <v>4768</v>
      </c>
      <c r="B1826" s="2" t="s">
        <v>552</v>
      </c>
      <c r="C1826" s="1" t="s">
        <v>4769</v>
      </c>
      <c r="D1826" s="2" t="s">
        <v>554</v>
      </c>
      <c r="E1826" s="63">
        <v>4</v>
      </c>
      <c r="F1826" s="1" t="str">
        <f>VLOOKUP(H1826,'RM Used'!A:B,2,0)</f>
        <v>P0008</v>
      </c>
      <c r="G1826" s="1" t="str">
        <f>IFERROR(VLOOKUP(F1826,'RM Cost'!A:B,2,0),"")</f>
        <v>PALE BLUE BAG 470X750MM</v>
      </c>
      <c r="H1826" s="1" t="s">
        <v>1323</v>
      </c>
      <c r="I1826" s="1" t="str">
        <f>VLOOKUP(F1826,'RM Used'!B:D,3,0)</f>
        <v>RM-PACKING</v>
      </c>
      <c r="J1826" s="66">
        <v>1</v>
      </c>
      <c r="K1826" s="35" t="str">
        <f t="shared" si="633"/>
        <v/>
      </c>
      <c r="L1826" s="35">
        <f t="shared" si="634"/>
        <v>0</v>
      </c>
      <c r="M1826" s="77" t="str" cm="1">
        <f t="array" ref="M1826">_xlfn.IFS(BOM!I1826="RM-PACKING","100%",B1826="Reynolds",VLOOKUP(H1826,'Yield &amp; Time'!A:V,22,0),BOM!B1826="Dnata",VLOOKUP(BOM!H1826,'Yield &amp; Time'!A:M,13,0),B1826="NK",VLOOKUP(H1826,'Yield &amp; Time'!A:X,24,0))</f>
        <v>100%</v>
      </c>
      <c r="N1826" s="35">
        <v>4</v>
      </c>
      <c r="O1826" s="1" t="str">
        <f>VLOOKUP(H1826,'RM Used'!A:E,5,0)</f>
        <v>Count</v>
      </c>
      <c r="P1826" s="11">
        <f>VLOOKUP(H1826,'RM Used'!A:F,6,0)</f>
        <v>0.14000000000000001</v>
      </c>
      <c r="Q1826" s="11">
        <f t="shared" si="636"/>
        <v>0.56000000000000005</v>
      </c>
      <c r="R1826" s="11">
        <f>IFERROR(IF(B1826="Reynolds",VLOOKUP(H1826,'Yield &amp; Time'!A:U,21,0),VLOOKUP(H1826,'Yield &amp; Time'!A:L,12,0)),0)</f>
        <v>0</v>
      </c>
      <c r="S1826" s="11">
        <f t="shared" si="637"/>
        <v>0</v>
      </c>
      <c r="T1826" s="11">
        <f t="shared" si="638"/>
        <v>0</v>
      </c>
      <c r="U1826" s="11">
        <f>IF(A1825=A1826,0,VLOOKUP(A1826,'Packing Time'!A:F,6,0))</f>
        <v>0</v>
      </c>
      <c r="V1826" s="11">
        <f t="shared" si="639"/>
        <v>0</v>
      </c>
      <c r="W1826" s="11">
        <f t="shared" si="640"/>
        <v>0</v>
      </c>
      <c r="X1826" s="11">
        <f t="shared" si="641"/>
        <v>0</v>
      </c>
      <c r="Y1826" s="11">
        <f t="shared" si="642"/>
        <v>0</v>
      </c>
      <c r="Z1826" s="37">
        <v>1</v>
      </c>
      <c r="AA1826" s="36">
        <f t="shared" si="643"/>
        <v>4</v>
      </c>
      <c r="AB1826" s="36">
        <f t="shared" si="644"/>
        <v>0.56000000000000005</v>
      </c>
      <c r="AC1826" s="11">
        <f t="shared" si="645"/>
        <v>0</v>
      </c>
      <c r="AD1826" s="36">
        <f t="shared" si="646"/>
        <v>0</v>
      </c>
      <c r="AE1826" s="36"/>
      <c r="AF1826" s="36">
        <f>IFERROR(VLOOKUP(AE1826,'Chemical Cost'!A:D,4,0),0)</f>
        <v>0</v>
      </c>
      <c r="AG1826" s="114">
        <f t="shared" si="647"/>
        <v>0</v>
      </c>
      <c r="AH1826" s="36">
        <f t="shared" si="648"/>
        <v>0</v>
      </c>
      <c r="AI1826" s="36">
        <f t="shared" si="649"/>
        <v>0.56000000000000005</v>
      </c>
      <c r="AJ1826" s="36">
        <f>IFERROR(VLOOKUP(A1826,'All Products'!A:F,6,0),0)</f>
        <v>0</v>
      </c>
      <c r="AK1826" s="36"/>
      <c r="AL1826" s="23">
        <v>0.8</v>
      </c>
      <c r="AM1826" s="23">
        <v>0.2</v>
      </c>
      <c r="AN1826" s="54" t="e">
        <v>#N/A</v>
      </c>
      <c r="AO1826" s="47"/>
      <c r="AP1826" s="4">
        <v>1.25</v>
      </c>
      <c r="AQ1826" s="111">
        <f t="shared" si="650"/>
        <v>0</v>
      </c>
      <c r="AR1826">
        <f>_xlfn.XLOOKUP(F1826,'RM Cost'!A:A,'RM Cost'!S:S)</f>
        <v>0</v>
      </c>
      <c r="AS1826" t="str">
        <f>_xlfn.XLOOKUP(A1826,[3]Sheet1!$B:$B,[3]Sheet1!$B:$B)</f>
        <v>CF01CS</v>
      </c>
      <c r="AT1826" t="e">
        <f>_xlfn.XLOOKUP(H1826,'Yield &amp; Time'!A:A,'Yield &amp; Time'!F:F)</f>
        <v>#N/A</v>
      </c>
    </row>
    <row r="1827" spans="1:46" x14ac:dyDescent="0.25">
      <c r="A1827" s="1" t="s">
        <v>4768</v>
      </c>
      <c r="B1827" s="2" t="s">
        <v>552</v>
      </c>
      <c r="C1827" s="1" t="s">
        <v>4769</v>
      </c>
      <c r="D1827" s="2" t="s">
        <v>554</v>
      </c>
      <c r="E1827" s="63">
        <v>4</v>
      </c>
      <c r="F1827" s="1" t="str">
        <f>VLOOKUP(H1827,'RM Used'!A:B,2,0)</f>
        <v>P0016</v>
      </c>
      <c r="G1827" s="1" t="str">
        <f>IFERROR(VLOOKUP(F1827,'RM Cost'!A:B,2,0),"")</f>
        <v>REY 40 30 BOX</v>
      </c>
      <c r="H1827" s="2" t="s">
        <v>1332</v>
      </c>
      <c r="I1827" s="1" t="str">
        <f>VLOOKUP(F1827,'RM Used'!B:D,3,0)</f>
        <v>RM-PACKING</v>
      </c>
      <c r="J1827" s="66">
        <v>1</v>
      </c>
      <c r="K1827" s="35" t="str">
        <f t="shared" si="633"/>
        <v/>
      </c>
      <c r="L1827" s="35">
        <f t="shared" si="634"/>
        <v>0</v>
      </c>
      <c r="M1827" s="77" t="str" cm="1">
        <f t="array" ref="M1827">_xlfn.IFS(BOM!I1827="RM-PACKING","100%",B1827="Reynolds",VLOOKUP(H1827,'Yield &amp; Time'!A:V,22,0),BOM!B1827="Dnata",VLOOKUP(BOM!H1827,'Yield &amp; Time'!A:M,13,0),B1827="NK",VLOOKUP(H1827,'Yield &amp; Time'!A:X,24,0))</f>
        <v>100%</v>
      </c>
      <c r="N1827" s="35">
        <v>4</v>
      </c>
      <c r="O1827" s="1" t="str">
        <f>VLOOKUP(H1827,'RM Used'!A:E,5,0)</f>
        <v>Count</v>
      </c>
      <c r="P1827" s="11">
        <f>VLOOKUP(H1827,'RM Used'!A:F,6,0)</f>
        <v>0.28000000000000003</v>
      </c>
      <c r="Q1827" s="11">
        <f t="shared" si="636"/>
        <v>1.1200000000000001</v>
      </c>
      <c r="R1827" s="11">
        <f>IFERROR(IF(B1827="Reynolds",VLOOKUP(H1827,'Yield &amp; Time'!A:U,21,0),VLOOKUP(H1827,'Yield &amp; Time'!A:L,12,0)),0)</f>
        <v>0</v>
      </c>
      <c r="S1827" s="11">
        <f t="shared" si="637"/>
        <v>0</v>
      </c>
      <c r="T1827" s="11">
        <f t="shared" si="638"/>
        <v>0</v>
      </c>
      <c r="U1827" s="11">
        <f>IF(A1826=A1827,0,VLOOKUP(A1827,'Packing Time'!A:F,6,0))</f>
        <v>0</v>
      </c>
      <c r="V1827" s="11">
        <f t="shared" si="639"/>
        <v>0</v>
      </c>
      <c r="W1827" s="11">
        <f t="shared" si="640"/>
        <v>0</v>
      </c>
      <c r="X1827" s="11">
        <f t="shared" si="641"/>
        <v>0</v>
      </c>
      <c r="Y1827" s="11">
        <f t="shared" si="642"/>
        <v>0</v>
      </c>
      <c r="Z1827" s="37">
        <v>1</v>
      </c>
      <c r="AA1827" s="36">
        <f t="shared" si="643"/>
        <v>4</v>
      </c>
      <c r="AB1827" s="36">
        <f t="shared" si="644"/>
        <v>1.1200000000000001</v>
      </c>
      <c r="AC1827" s="11">
        <f t="shared" si="645"/>
        <v>0</v>
      </c>
      <c r="AD1827" s="36">
        <f t="shared" si="646"/>
        <v>0</v>
      </c>
      <c r="AE1827" s="36"/>
      <c r="AF1827" s="36">
        <f>IFERROR(VLOOKUP(AE1827,'Chemical Cost'!A:D,4,0),0)</f>
        <v>0</v>
      </c>
      <c r="AG1827" s="114">
        <f t="shared" si="647"/>
        <v>0</v>
      </c>
      <c r="AH1827" s="36">
        <f t="shared" si="648"/>
        <v>0</v>
      </c>
      <c r="AI1827" s="36">
        <f t="shared" si="649"/>
        <v>1.1200000000000001</v>
      </c>
      <c r="AJ1827" s="36">
        <f>IFERROR(VLOOKUP(A1827,'All Products'!A:F,6,0),0)</f>
        <v>0</v>
      </c>
      <c r="AK1827" s="36"/>
      <c r="AL1827" s="23">
        <v>0.8</v>
      </c>
      <c r="AM1827" s="23">
        <v>0.2</v>
      </c>
      <c r="AN1827" s="54" t="e">
        <v>#N/A</v>
      </c>
      <c r="AO1827" s="47"/>
      <c r="AP1827" s="4">
        <v>1.25</v>
      </c>
      <c r="AQ1827" s="111">
        <f t="shared" si="650"/>
        <v>0</v>
      </c>
      <c r="AR1827">
        <f>_xlfn.XLOOKUP(F1827,'RM Cost'!A:A,'RM Cost'!S:S)</f>
        <v>0</v>
      </c>
      <c r="AS1827" t="str">
        <f>_xlfn.XLOOKUP(A1827,[3]Sheet1!$B:$B,[3]Sheet1!$B:$B)</f>
        <v>CF01CS</v>
      </c>
      <c r="AT1827" t="e">
        <f>_xlfn.XLOOKUP(H1827,'Yield &amp; Time'!A:A,'Yield &amp; Time'!F:F)</f>
        <v>#N/A</v>
      </c>
    </row>
    <row r="1828" spans="1:46" x14ac:dyDescent="0.25">
      <c r="A1828" s="63" t="s">
        <v>4760</v>
      </c>
      <c r="B1828" s="2" t="s">
        <v>552</v>
      </c>
      <c r="C1828" s="63" t="s">
        <v>4761</v>
      </c>
      <c r="D1828" s="2" t="s">
        <v>554</v>
      </c>
      <c r="E1828" s="63">
        <v>2.5</v>
      </c>
      <c r="F1828" s="1" t="str">
        <f>VLOOKUP(H1828,'RM Used'!A:B,2,0)</f>
        <v>3198CS</v>
      </c>
      <c r="G1828" s="1" t="str">
        <f>IFERROR(VLOOKUP(F1828,'RM Cost'!A:B,2,0),"")</f>
        <v>RM - ONIONS RED LARGE 10KG</v>
      </c>
      <c r="H1828" s="94" t="s">
        <v>4722</v>
      </c>
      <c r="I1828" s="1" t="str">
        <f>VLOOKUP(F1828,'RM Used'!B:D,3,0)</f>
        <v>RM-FOOD</v>
      </c>
      <c r="J1828" s="66">
        <v>1</v>
      </c>
      <c r="K1828" s="35">
        <f>IF(I1828="RM-FOOD",J1828*E1828,"")</f>
        <v>2.5</v>
      </c>
      <c r="L1828" s="35">
        <f>IFERROR(K1828*Z1828,0)</f>
        <v>2.5</v>
      </c>
      <c r="M1828" s="77" cm="1">
        <f t="array" ref="M1828">_xlfn.IFS(BOM!I1828="RM-PACKING","100%",B1828="Reynolds",VLOOKUP(H1828,'Yield &amp; Time'!A:V,22,0),BOM!B1828="Dnata",VLOOKUP(BOM!H1828,'Yield &amp; Time'!A:M,13,0),B1828="NK",VLOOKUP(H1828,'Yield &amp; Time'!A:X,24,0))</f>
        <v>0.77</v>
      </c>
      <c r="N1828" s="35">
        <f>IFERROR(IF(I1828="RM-FOOD",(E1828*J1828)/M1828,1),0)</f>
        <v>3.2467532467532467</v>
      </c>
      <c r="O1828" s="1" t="str">
        <f>VLOOKUP(H1828,'RM Used'!A:E,5,0)</f>
        <v>KG</v>
      </c>
      <c r="P1828" s="11">
        <f>VLOOKUP(H1828,'RM Used'!A:F,6,0)</f>
        <v>0.54</v>
      </c>
      <c r="Q1828" s="11">
        <f>P1828*N1828</f>
        <v>1.7532467532467533</v>
      </c>
      <c r="R1828" s="11">
        <f>IFERROR(IF(B1828="Reynolds",VLOOKUP(H1828,'Yield &amp; Time'!A:U,21,0),VLOOKUP(H1828,'Yield &amp; Time'!A:L,12,0)),0)</f>
        <v>3.81</v>
      </c>
      <c r="S1828" s="11">
        <f>R1828*J1828*E1828*AO$1</f>
        <v>3.2242124999999997</v>
      </c>
      <c r="T1828" s="11">
        <f>(R1828*Z1828*J1828*E1828)/60</f>
        <v>0.15875</v>
      </c>
      <c r="U1828" s="11">
        <f>IF(A1827=A1828,0,VLOOKUP(A1828,'Packing Time'!A:F,6,0))</f>
        <v>0.875</v>
      </c>
      <c r="V1828" s="11">
        <f>U1828*AO$1</f>
        <v>0.29618749999999999</v>
      </c>
      <c r="W1828" s="11">
        <f>(U1828*Z1828)/60</f>
        <v>1.4583333333333334E-2</v>
      </c>
      <c r="X1828" s="11">
        <f>((R1828*J1828*E1828)+U1828)*AO$1*AP1828</f>
        <v>4.4005000000000001</v>
      </c>
      <c r="Y1828" s="11">
        <f>X1828*Z1828</f>
        <v>4.4005000000000001</v>
      </c>
      <c r="Z1828" s="37">
        <v>1</v>
      </c>
      <c r="AA1828" s="36">
        <f>Z1828*N1828</f>
        <v>3.2467532467532467</v>
      </c>
      <c r="AB1828" s="36">
        <f>AA1828*P1828</f>
        <v>1.7532467532467533</v>
      </c>
      <c r="AC1828" s="11">
        <f>(((R1828*J1828*E1828)+U1828)/60)*Z1828*AP1828</f>
        <v>0.21666666666666667</v>
      </c>
      <c r="AD1828" s="36">
        <f>AC1828*60*AO$1</f>
        <v>4.4004999999999992</v>
      </c>
      <c r="AE1828" s="36"/>
      <c r="AF1828" s="36">
        <f>IFERROR(VLOOKUP(AE1828,'Chemical Cost'!A:D,4,0),0)</f>
        <v>0</v>
      </c>
      <c r="AG1828" s="114">
        <f>AF1828*N1828/3</f>
        <v>0</v>
      </c>
      <c r="AH1828" s="36">
        <f>AF1828*AA1828/3</f>
        <v>0</v>
      </c>
      <c r="AI1828" s="36">
        <f>IFERROR((Q1828*Z1828)+(Z1828*X1828)+AH1828,0)</f>
        <v>6.1537467532467538</v>
      </c>
      <c r="AJ1828" s="36">
        <f>IFERROR(VLOOKUP(A1828,'All Products'!A:F,6,0),0)</f>
        <v>0</v>
      </c>
      <c r="AK1828" s="36"/>
      <c r="AL1828" s="23">
        <v>0.8</v>
      </c>
      <c r="AM1828" s="23">
        <v>0.2</v>
      </c>
      <c r="AN1828" s="54" t="e">
        <v>#N/A</v>
      </c>
      <c r="AO1828" s="47"/>
      <c r="AP1828" s="4">
        <v>1.25</v>
      </c>
      <c r="AQ1828" s="111">
        <f t="shared" si="650"/>
        <v>0.21666666666666667</v>
      </c>
      <c r="AS1828" t="str">
        <f>_xlfn.XLOOKUP(A1828,[3]Sheet1!$B:$B,[3]Sheet1!$B:$B)</f>
        <v>244CCS</v>
      </c>
      <c r="AT1828">
        <f>_xlfn.XLOOKUP(H1828,'Yield &amp; Time'!A:A,'Yield &amp; Time'!F:F)</f>
        <v>0</v>
      </c>
    </row>
    <row r="1829" spans="1:46" x14ac:dyDescent="0.25">
      <c r="A1829" s="63" t="s">
        <v>4760</v>
      </c>
      <c r="B1829" s="2" t="s">
        <v>552</v>
      </c>
      <c r="C1829" s="63" t="s">
        <v>4761</v>
      </c>
      <c r="D1829" s="2" t="s">
        <v>554</v>
      </c>
      <c r="E1829" s="63">
        <v>2.5</v>
      </c>
      <c r="F1829" s="1" t="str">
        <f>VLOOKUP(H1829,'RM Used'!A:B,2,0)</f>
        <v>P0010</v>
      </c>
      <c r="G1829" s="1" t="str">
        <f>IFERROR(VLOOKUP(F1829,'RM Cost'!A:B,2,0),"")</f>
        <v>BUCKET 3L PJET</v>
      </c>
      <c r="H1829" s="1" t="s">
        <v>4672</v>
      </c>
      <c r="I1829" s="1" t="str">
        <f>VLOOKUP(F1829,'RM Used'!B:D,3,0)</f>
        <v>RM-PACKING</v>
      </c>
      <c r="J1829" s="66">
        <v>1</v>
      </c>
      <c r="K1829" s="35" t="str">
        <f>IF(I1829="RM-FOOD",J1829*E1829,"")</f>
        <v/>
      </c>
      <c r="L1829" s="35">
        <f>IFERROR(K1829*Z1829,0)</f>
        <v>0</v>
      </c>
      <c r="M1829" s="77" t="str" cm="1">
        <f t="array" ref="M1829">_xlfn.IFS(BOM!I1829="RM-PACKING","100%",B1829="Reynolds",VLOOKUP(H1829,'Yield &amp; Time'!A:V,22,0),BOM!B1829="Dnata",VLOOKUP(BOM!H1829,'Yield &amp; Time'!A:M,13,0),B1829="NK",VLOOKUP(H1829,'Yield &amp; Time'!A:X,24,0))</f>
        <v>100%</v>
      </c>
      <c r="N1829" s="35">
        <f>IFERROR(IF(I1829="RM-FOOD",(E1829*J1829)/M1829,1),0)</f>
        <v>1</v>
      </c>
      <c r="O1829" s="1" t="str">
        <f>VLOOKUP(H1829,'RM Used'!A:E,5,0)</f>
        <v>Count</v>
      </c>
      <c r="P1829" s="11">
        <f>VLOOKUP(H1829,'RM Used'!A:F,6,0)</f>
        <v>0.56000000000000005</v>
      </c>
      <c r="Q1829" s="11">
        <f>P1829*N1829</f>
        <v>0.56000000000000005</v>
      </c>
      <c r="R1829" s="11">
        <f>IFERROR(IF(B1829="Reynolds",VLOOKUP(H1829,'Yield &amp; Time'!A:U,21,0),VLOOKUP(H1829,'Yield &amp; Time'!A:L,12,0)),0)</f>
        <v>0</v>
      </c>
      <c r="S1829" s="11">
        <f>R1829*J1829*E1829*AO$1</f>
        <v>0</v>
      </c>
      <c r="T1829" s="11">
        <f>(R1829*Z1829*J1829*E1829)/60</f>
        <v>0</v>
      </c>
      <c r="U1829" s="11">
        <f>IF(A1828=A1829,0,VLOOKUP(A1829,'Packing Time'!A:F,6,0))</f>
        <v>0</v>
      </c>
      <c r="V1829" s="11">
        <f>U1829*AO$1</f>
        <v>0</v>
      </c>
      <c r="W1829" s="11">
        <f>(U1829*Z1829)/60</f>
        <v>0</v>
      </c>
      <c r="X1829" s="11">
        <f>((R1829*J1829*E1829)+U1829)*AO$1*AP1829</f>
        <v>0</v>
      </c>
      <c r="Y1829" s="11">
        <f>X1829*Z1829</f>
        <v>0</v>
      </c>
      <c r="Z1829" s="37">
        <v>1</v>
      </c>
      <c r="AA1829" s="36">
        <f>Z1829*N1829</f>
        <v>1</v>
      </c>
      <c r="AB1829" s="36">
        <f>AA1829*P1829</f>
        <v>0.56000000000000005</v>
      </c>
      <c r="AC1829" s="11">
        <f>(((R1829*J1829*E1829)+U1829)/60)*Z1829*AP1829</f>
        <v>0</v>
      </c>
      <c r="AD1829" s="36">
        <f>AC1829*60*AO$1</f>
        <v>0</v>
      </c>
      <c r="AE1829" s="36"/>
      <c r="AF1829" s="36">
        <f>IFERROR(VLOOKUP(AE1829,'Chemical Cost'!A:D,4,0),0)</f>
        <v>0</v>
      </c>
      <c r="AG1829" s="114">
        <f>AF1829*N1829/3</f>
        <v>0</v>
      </c>
      <c r="AH1829" s="36">
        <f>AF1829*AA1829/3</f>
        <v>0</v>
      </c>
      <c r="AI1829" s="36">
        <f>IFERROR((Q1829*Z1829)+(Z1829*X1829)+AH1829,0)</f>
        <v>0.56000000000000005</v>
      </c>
      <c r="AJ1829" s="36">
        <f>IFERROR(VLOOKUP(A1829,'All Products'!A:F,6,0),0)</f>
        <v>0</v>
      </c>
      <c r="AK1829" s="36"/>
      <c r="AL1829" s="23">
        <v>0.8</v>
      </c>
      <c r="AM1829" s="23">
        <v>0.2</v>
      </c>
      <c r="AN1829" s="54" t="e">
        <v>#N/A</v>
      </c>
      <c r="AO1829" s="47"/>
      <c r="AP1829" s="4">
        <v>1.25</v>
      </c>
      <c r="AQ1829" s="111">
        <f t="shared" si="650"/>
        <v>0</v>
      </c>
      <c r="AS1829" t="str">
        <f>_xlfn.XLOOKUP(A1829,[3]Sheet1!$B:$B,[3]Sheet1!$B:$B)</f>
        <v>244CCS</v>
      </c>
      <c r="AT1829" t="e">
        <f>_xlfn.XLOOKUP(H1829,'Yield &amp; Time'!A:A,'Yield &amp; Time'!F:F)</f>
        <v>#N/A</v>
      </c>
    </row>
    <row r="1830" spans="1:46" x14ac:dyDescent="0.25">
      <c r="A1830" s="63" t="s">
        <v>4760</v>
      </c>
      <c r="B1830" s="2" t="s">
        <v>552</v>
      </c>
      <c r="C1830" s="63" t="s">
        <v>4761</v>
      </c>
      <c r="D1830" s="2" t="s">
        <v>554</v>
      </c>
      <c r="E1830" s="63">
        <v>2.5</v>
      </c>
      <c r="F1830" s="1" t="str">
        <f>VLOOKUP(H1830,'RM Used'!A:B,2,0)</f>
        <v>P0026</v>
      </c>
      <c r="G1830" s="1" t="str">
        <f>IFERROR(VLOOKUP(F1830,'RM Cost'!A:B,2,0),"")</f>
        <v>LID 2.2L PJET 2.2L-3.8L</v>
      </c>
      <c r="H1830" s="2" t="s">
        <v>4673</v>
      </c>
      <c r="I1830" s="1" t="str">
        <f>VLOOKUP(F1830,'RM Used'!B:D,3,0)</f>
        <v>RM-PACKING</v>
      </c>
      <c r="J1830" s="66">
        <v>1</v>
      </c>
      <c r="K1830" s="35" t="str">
        <f>IF(I1830="RM-FOOD",J1830*E1830,"")</f>
        <v/>
      </c>
      <c r="L1830" s="35">
        <f>IFERROR(K1830*Z1830,0)</f>
        <v>0</v>
      </c>
      <c r="M1830" s="77" t="str" cm="1">
        <f t="array" ref="M1830">_xlfn.IFS(BOM!I1830="RM-PACKING","100%",B1830="Reynolds",VLOOKUP(H1830,'Yield &amp; Time'!A:V,22,0),BOM!B1830="Dnata",VLOOKUP(BOM!H1830,'Yield &amp; Time'!A:M,13,0),B1830="NK",VLOOKUP(H1830,'Yield &amp; Time'!A:X,24,0))</f>
        <v>100%</v>
      </c>
      <c r="N1830" s="35">
        <f>IFERROR(IF(I1830="RM-FOOD",(E1830*J1830)/M1830,1),0)</f>
        <v>1</v>
      </c>
      <c r="O1830" s="1" t="str">
        <f>VLOOKUP(H1830,'RM Used'!A:E,5,0)</f>
        <v>Count</v>
      </c>
      <c r="P1830" s="11">
        <f>VLOOKUP(H1830,'RM Used'!A:F,6,0)</f>
        <v>0.16</v>
      </c>
      <c r="Q1830" s="11">
        <f>P1830*N1830</f>
        <v>0.16</v>
      </c>
      <c r="R1830" s="11">
        <f>IFERROR(IF(B1830="Reynolds",VLOOKUP(H1830,'Yield &amp; Time'!A:U,21,0),VLOOKUP(H1830,'Yield &amp; Time'!A:L,12,0)),0)</f>
        <v>0</v>
      </c>
      <c r="S1830" s="11">
        <f>R1830*J1830*E1830*AO$1</f>
        <v>0</v>
      </c>
      <c r="T1830" s="11">
        <f>(R1830*Z1830*J1830*E1830)/60</f>
        <v>0</v>
      </c>
      <c r="U1830" s="11">
        <f>IF(A1829=A1830,0,VLOOKUP(A1830,'Packing Time'!A:F,6,0))</f>
        <v>0</v>
      </c>
      <c r="V1830" s="11">
        <f>U1830*AO$1</f>
        <v>0</v>
      </c>
      <c r="W1830" s="11">
        <f>(U1830*Z1830)/60</f>
        <v>0</v>
      </c>
      <c r="X1830" s="11">
        <f>((R1830*J1830*E1830)+U1830)*AO$1*AP1830</f>
        <v>0</v>
      </c>
      <c r="Y1830" s="11">
        <f>X1830*Z1830</f>
        <v>0</v>
      </c>
      <c r="Z1830" s="37">
        <v>1</v>
      </c>
      <c r="AA1830" s="36">
        <f>Z1830*N1830</f>
        <v>1</v>
      </c>
      <c r="AB1830" s="36">
        <f>AA1830*P1830</f>
        <v>0.16</v>
      </c>
      <c r="AC1830" s="11">
        <f>(((R1830*J1830*E1830)+U1830)/60)*Z1830*AP1830</f>
        <v>0</v>
      </c>
      <c r="AD1830" s="36">
        <f>AC1830*60*AO$1</f>
        <v>0</v>
      </c>
      <c r="AE1830" s="36"/>
      <c r="AF1830" s="36">
        <f>IFERROR(VLOOKUP(AE1830,'Chemical Cost'!A:D,4,0),0)</f>
        <v>0</v>
      </c>
      <c r="AG1830" s="114">
        <f>AF1830*N1830/3</f>
        <v>0</v>
      </c>
      <c r="AH1830" s="36">
        <f>AF1830*AA1830/3</f>
        <v>0</v>
      </c>
      <c r="AI1830" s="36">
        <f>IFERROR((Q1830*Z1830)+(Z1830*X1830)+AH1830,0)</f>
        <v>0.16</v>
      </c>
      <c r="AJ1830" s="36">
        <f>IFERROR(VLOOKUP(A1830,'All Products'!A:F,6,0),0)</f>
        <v>0</v>
      </c>
      <c r="AK1830" s="36"/>
      <c r="AL1830" s="23">
        <v>0.8</v>
      </c>
      <c r="AM1830" s="23">
        <v>0.2</v>
      </c>
      <c r="AN1830" s="54" t="e">
        <v>#N/A</v>
      </c>
      <c r="AO1830" s="47"/>
      <c r="AP1830" s="4">
        <v>1.25</v>
      </c>
      <c r="AQ1830" s="111">
        <f t="shared" si="650"/>
        <v>0</v>
      </c>
      <c r="AS1830" t="str">
        <f>_xlfn.XLOOKUP(A1830,[3]Sheet1!$B:$B,[3]Sheet1!$B:$B)</f>
        <v>244CCS</v>
      </c>
      <c r="AT1830" t="e">
        <f>_xlfn.XLOOKUP(H1830,'Yield &amp; Time'!A:A,'Yield &amp; Time'!F:F)</f>
        <v>#N/A</v>
      </c>
    </row>
    <row r="1831" spans="1:46" x14ac:dyDescent="0.25">
      <c r="A1831" s="147" t="s">
        <v>4782</v>
      </c>
      <c r="B1831" s="2" t="s">
        <v>552</v>
      </c>
      <c r="C1831" s="63" t="s">
        <v>4783</v>
      </c>
      <c r="D1831" s="2" t="s">
        <v>554</v>
      </c>
      <c r="E1831" s="148">
        <v>5</v>
      </c>
      <c r="F1831" s="1" t="str">
        <f>VLOOKUP(H1831,'RM Used'!A:B,2,0)</f>
        <v>353BCS</v>
      </c>
      <c r="G1831" s="1" t="str">
        <f>IFERROR(VLOOKUP(F1831,'RM Cost'!A:B,2,0),"")</f>
        <v>CARDYMA CHIPPING POTATOES 25KG</v>
      </c>
      <c r="H1831" s="94" t="s">
        <v>4784</v>
      </c>
      <c r="I1831" s="1" t="str">
        <f>VLOOKUP(F1831,'RM Used'!B:D,3,0)</f>
        <v>RM-FOOD</v>
      </c>
      <c r="J1831" s="66">
        <v>1</v>
      </c>
      <c r="K1831" s="35">
        <f t="shared" ref="K1831:K1855" si="651">IF(I1831="RM-FOOD",J1831*E1831,"")</f>
        <v>5</v>
      </c>
      <c r="L1831" s="35">
        <f t="shared" ref="L1831:L1855" si="652">IFERROR(K1831*Z1831,0)</f>
        <v>5</v>
      </c>
      <c r="M1831" s="77" cm="1">
        <f t="array" ref="M1831">_xlfn.IFS(BOM!I1831="RM-PACKING","100%",B1831="Reynolds",VLOOKUP(H1831,'Yield &amp; Time'!A:V,22,0),BOM!B1831="Dnata",VLOOKUP(BOM!H1831,'Yield &amp; Time'!A:M,13,0),B1831="NK",VLOOKUP(H1831,'Yield &amp; Time'!A:X,24,0))</f>
        <v>0.8</v>
      </c>
      <c r="N1831" s="35">
        <f t="shared" ref="N1831:N1855" si="653">IFERROR(IF(I1831="RM-FOOD",(E1831*J1831)/M1831,1),0)</f>
        <v>6.25</v>
      </c>
      <c r="O1831" s="1" t="str">
        <f>VLOOKUP(H1831,'RM Used'!A:E,5,0)</f>
        <v>KG</v>
      </c>
      <c r="P1831" s="11">
        <f>VLOOKUP(H1831,'RM Used'!A:F,6,0)</f>
        <v>0.55000000000000004</v>
      </c>
      <c r="Q1831" s="11">
        <f t="shared" ref="Q1831:Q1849" si="654">P1831*N1831</f>
        <v>3.4375000000000004</v>
      </c>
      <c r="R1831" s="11">
        <f>IFERROR(IF(B1831="Reynolds",VLOOKUP(H1831,'Yield &amp; Time'!A:U,21,0),VLOOKUP(H1831,'Yield &amp; Time'!A:L,12,0)),0)</f>
        <v>0.6</v>
      </c>
      <c r="S1831" s="11">
        <f t="shared" ref="S1831:S1855" si="655">R1831*J1831*E1831*AO$1</f>
        <v>1.0154999999999998</v>
      </c>
      <c r="T1831" s="11">
        <f t="shared" ref="T1831:T1855" si="656">(R1831*Z1831*J1831*E1831)/60</f>
        <v>0.05</v>
      </c>
      <c r="U1831" s="11">
        <f>IF(A1830=A1831,0,VLOOKUP(A1831,'Packing Time'!A:F,6,0))</f>
        <v>0.8</v>
      </c>
      <c r="V1831" s="11">
        <f t="shared" ref="V1831:V1849" si="657">U1831*AO$1</f>
        <v>0.27079999999999999</v>
      </c>
      <c r="W1831" s="11">
        <f t="shared" ref="W1831:W1849" si="658">(U1831*Z1831)/60</f>
        <v>1.3333333333333334E-2</v>
      </c>
      <c r="X1831" s="11">
        <f t="shared" ref="X1831:X1855" si="659">((R1831*J1831*E1831)+U1831)*AO$1*AP1831</f>
        <v>1.6078749999999997</v>
      </c>
      <c r="Y1831" s="11">
        <f t="shared" ref="Y1831:Y1849" si="660">X1831*Z1831</f>
        <v>1.6078749999999997</v>
      </c>
      <c r="Z1831" s="37">
        <v>1</v>
      </c>
      <c r="AA1831" s="36">
        <f t="shared" ref="AA1831:AA1855" si="661">Z1831*N1831</f>
        <v>6.25</v>
      </c>
      <c r="AB1831" s="36">
        <f t="shared" ref="AB1831:AB1855" si="662">AA1831*P1831</f>
        <v>3.4375000000000004</v>
      </c>
      <c r="AC1831" s="11">
        <f t="shared" ref="AC1831:AC1855" si="663">(((R1831*J1831*E1831)+U1831)/60)*Z1831*AP1831</f>
        <v>7.9166666666666663E-2</v>
      </c>
      <c r="AD1831" s="36">
        <f t="shared" ref="AD1831:AD1849" si="664">AC1831*60*AO$1</f>
        <v>1.6078749999999999</v>
      </c>
      <c r="AE1831" s="36"/>
      <c r="AF1831" s="36">
        <f>IFERROR(VLOOKUP(AE1831,'Chemical Cost'!A:D,4,0),0)</f>
        <v>0</v>
      </c>
      <c r="AG1831" s="114">
        <f t="shared" ref="AG1831:AG1855" si="665">AF1831*N1831/3</f>
        <v>0</v>
      </c>
      <c r="AH1831" s="36">
        <f t="shared" ref="AH1831:AH1849" si="666">AF1831*AA1831/3</f>
        <v>0</v>
      </c>
      <c r="AI1831" s="36">
        <f t="shared" ref="AI1831:AI1849" si="667">IFERROR((Q1831*Z1831)+(Z1831*X1831)+AH1831,0)</f>
        <v>5.0453749999999999</v>
      </c>
      <c r="AJ1831" s="36">
        <f>IFERROR(VLOOKUP(A1831,'All Products'!A:F,6,0),0)</f>
        <v>0</v>
      </c>
      <c r="AK1831" s="36"/>
      <c r="AL1831" s="23">
        <v>0.8</v>
      </c>
      <c r="AM1831" s="23">
        <v>0.2</v>
      </c>
      <c r="AN1831" s="54" t="e">
        <v>#N/A</v>
      </c>
      <c r="AO1831" s="47"/>
      <c r="AP1831" s="4">
        <v>1.25</v>
      </c>
      <c r="AQ1831" s="111">
        <f t="shared" si="650"/>
        <v>7.9166666666666663E-2</v>
      </c>
      <c r="AS1831" t="str">
        <f>_xlfn.XLOOKUP(A1831,[3]Sheet1!$B:$B,[3]Sheet1!$B:$B)</f>
        <v>449CCS</v>
      </c>
      <c r="AT1831" t="str">
        <f>_xlfn.XLOOKUP(H1831,'Yield &amp; Time'!A:A,'Yield &amp; Time'!O:O)</f>
        <v>Yes</v>
      </c>
    </row>
    <row r="1832" spans="1:46" x14ac:dyDescent="0.25">
      <c r="A1832" s="147" t="s">
        <v>4782</v>
      </c>
      <c r="B1832" s="2" t="s">
        <v>552</v>
      </c>
      <c r="C1832" s="63" t="s">
        <v>4783</v>
      </c>
      <c r="D1832" s="2" t="s">
        <v>554</v>
      </c>
      <c r="E1832" s="148">
        <v>5</v>
      </c>
      <c r="F1832" s="1" t="str">
        <f>VLOOKUP(H1832,'RM Used'!A:B,2,0)</f>
        <v>P0008</v>
      </c>
      <c r="G1832" s="1" t="str">
        <f>IFERROR(VLOOKUP(F1832,'RM Cost'!A:B,2,0),"")</f>
        <v>PALE BLUE BAG 470X750MM</v>
      </c>
      <c r="H1832" s="1" t="s">
        <v>1323</v>
      </c>
      <c r="I1832" s="1" t="str">
        <f>VLOOKUP(F1832,'RM Used'!B:D,3,0)</f>
        <v>RM-PACKING</v>
      </c>
      <c r="J1832" s="66">
        <v>1</v>
      </c>
      <c r="K1832" s="35" t="str">
        <f t="shared" si="651"/>
        <v/>
      </c>
      <c r="L1832" s="35">
        <f t="shared" si="652"/>
        <v>0</v>
      </c>
      <c r="M1832" s="77" t="str" cm="1">
        <f t="array" ref="M1832">_xlfn.IFS(BOM!I1832="RM-PACKING","100%",B1832="Reynolds",VLOOKUP(H1832,'Yield &amp; Time'!A:V,22,0),BOM!B1832="Dnata",VLOOKUP(BOM!H1832,'Yield &amp; Time'!A:M,13,0),B1832="NK",VLOOKUP(H1832,'Yield &amp; Time'!A:X,24,0))</f>
        <v>100%</v>
      </c>
      <c r="N1832" s="35">
        <f t="shared" si="653"/>
        <v>1</v>
      </c>
      <c r="O1832" s="1" t="str">
        <f>VLOOKUP(H1832,'RM Used'!A:E,5,0)</f>
        <v>Count</v>
      </c>
      <c r="P1832" s="11">
        <f>VLOOKUP(H1832,'RM Used'!A:F,6,0)</f>
        <v>0.14000000000000001</v>
      </c>
      <c r="Q1832" s="11">
        <f t="shared" si="654"/>
        <v>0.14000000000000001</v>
      </c>
      <c r="R1832" s="11">
        <f>IFERROR(IF(B1832="Reynolds",VLOOKUP(H1832,'Yield &amp; Time'!A:U,21,0),VLOOKUP(H1832,'Yield &amp; Time'!A:L,12,0)),0)</f>
        <v>0</v>
      </c>
      <c r="S1832" s="11">
        <f t="shared" si="655"/>
        <v>0</v>
      </c>
      <c r="T1832" s="11">
        <f t="shared" si="656"/>
        <v>0</v>
      </c>
      <c r="U1832" s="11">
        <f>IF(A1831=A1832,0,VLOOKUP(A1832,'Packing Time'!A:F,6,0))</f>
        <v>0</v>
      </c>
      <c r="V1832" s="11">
        <f t="shared" si="657"/>
        <v>0</v>
      </c>
      <c r="W1832" s="11">
        <f t="shared" si="658"/>
        <v>0</v>
      </c>
      <c r="X1832" s="11">
        <f t="shared" si="659"/>
        <v>0</v>
      </c>
      <c r="Y1832" s="11">
        <f t="shared" si="660"/>
        <v>0</v>
      </c>
      <c r="Z1832" s="37">
        <v>1</v>
      </c>
      <c r="AA1832" s="36">
        <f t="shared" si="661"/>
        <v>1</v>
      </c>
      <c r="AB1832" s="36">
        <f t="shared" si="662"/>
        <v>0.14000000000000001</v>
      </c>
      <c r="AC1832" s="11">
        <f t="shared" si="663"/>
        <v>0</v>
      </c>
      <c r="AD1832" s="36">
        <f t="shared" si="664"/>
        <v>0</v>
      </c>
      <c r="AE1832" s="36"/>
      <c r="AF1832" s="36">
        <f>IFERROR(VLOOKUP(AE1832,'Chemical Cost'!A:D,4,0),0)</f>
        <v>0</v>
      </c>
      <c r="AG1832" s="114">
        <f t="shared" si="665"/>
        <v>0</v>
      </c>
      <c r="AH1832" s="36">
        <f t="shared" si="666"/>
        <v>0</v>
      </c>
      <c r="AI1832" s="36">
        <f t="shared" si="667"/>
        <v>0.14000000000000001</v>
      </c>
      <c r="AJ1832" s="36">
        <f>IFERROR(VLOOKUP(A1832,'All Products'!A:F,6,0),0)</f>
        <v>0</v>
      </c>
      <c r="AK1832" s="36"/>
      <c r="AL1832" s="23">
        <v>0.8</v>
      </c>
      <c r="AM1832" s="23">
        <v>0.2</v>
      </c>
      <c r="AN1832" s="54" t="e">
        <v>#N/A</v>
      </c>
      <c r="AO1832" s="47"/>
      <c r="AP1832" s="4">
        <v>1.25</v>
      </c>
      <c r="AQ1832" s="111">
        <f t="shared" si="650"/>
        <v>0</v>
      </c>
      <c r="AS1832" t="str">
        <f>_xlfn.XLOOKUP(A1832,[3]Sheet1!$B:$B,[3]Sheet1!$B:$B)</f>
        <v>449CCS</v>
      </c>
      <c r="AT1832" t="e">
        <f>_xlfn.XLOOKUP(H1832,'Yield &amp; Time'!A:A,'Yield &amp; Time'!F:F)</f>
        <v>#N/A</v>
      </c>
    </row>
    <row r="1833" spans="1:46" x14ac:dyDescent="0.25">
      <c r="A1833" s="147" t="s">
        <v>4782</v>
      </c>
      <c r="B1833" s="2" t="s">
        <v>552</v>
      </c>
      <c r="C1833" s="63" t="s">
        <v>4783</v>
      </c>
      <c r="D1833" s="2" t="s">
        <v>554</v>
      </c>
      <c r="E1833" s="148">
        <v>5</v>
      </c>
      <c r="F1833" s="1" t="str">
        <f>VLOOKUP(H1833,'RM Used'!A:B,2,0)</f>
        <v>P0016</v>
      </c>
      <c r="G1833" s="1" t="str">
        <f>IFERROR(VLOOKUP(F1833,'RM Cost'!A:B,2,0),"")</f>
        <v>REY 40 30 BOX</v>
      </c>
      <c r="H1833" s="2" t="s">
        <v>1332</v>
      </c>
      <c r="I1833" s="1" t="str">
        <f>VLOOKUP(F1833,'RM Used'!B:D,3,0)</f>
        <v>RM-PACKING</v>
      </c>
      <c r="J1833" s="66">
        <v>1</v>
      </c>
      <c r="K1833" s="35" t="str">
        <f t="shared" si="651"/>
        <v/>
      </c>
      <c r="L1833" s="35">
        <f t="shared" si="652"/>
        <v>0</v>
      </c>
      <c r="M1833" s="77" t="str" cm="1">
        <f t="array" ref="M1833">_xlfn.IFS(BOM!I1833="RM-PACKING","100%",B1833="Reynolds",VLOOKUP(H1833,'Yield &amp; Time'!A:V,22,0),BOM!B1833="Dnata",VLOOKUP(BOM!H1833,'Yield &amp; Time'!A:M,13,0),B1833="NK",VLOOKUP(H1833,'Yield &amp; Time'!A:X,24,0))</f>
        <v>100%</v>
      </c>
      <c r="N1833" s="35">
        <f t="shared" si="653"/>
        <v>1</v>
      </c>
      <c r="O1833" s="1" t="str">
        <f>VLOOKUP(H1833,'RM Used'!A:E,5,0)</f>
        <v>Count</v>
      </c>
      <c r="P1833" s="11">
        <f>VLOOKUP(H1833,'RM Used'!A:F,6,0)</f>
        <v>0.28000000000000003</v>
      </c>
      <c r="Q1833" s="11">
        <f t="shared" si="654"/>
        <v>0.28000000000000003</v>
      </c>
      <c r="R1833" s="11">
        <f>IFERROR(IF(B1833="Reynolds",VLOOKUP(H1833,'Yield &amp; Time'!A:U,21,0),VLOOKUP(H1833,'Yield &amp; Time'!A:L,12,0)),0)</f>
        <v>0</v>
      </c>
      <c r="S1833" s="11">
        <f t="shared" si="655"/>
        <v>0</v>
      </c>
      <c r="T1833" s="11">
        <f t="shared" si="656"/>
        <v>0</v>
      </c>
      <c r="U1833" s="11">
        <f>IF(A1832=A1833,0,VLOOKUP(A1833,'Packing Time'!A:F,6,0))</f>
        <v>0</v>
      </c>
      <c r="V1833" s="11">
        <f t="shared" si="657"/>
        <v>0</v>
      </c>
      <c r="W1833" s="11">
        <f t="shared" si="658"/>
        <v>0</v>
      </c>
      <c r="X1833" s="11">
        <f t="shared" si="659"/>
        <v>0</v>
      </c>
      <c r="Y1833" s="11">
        <f t="shared" si="660"/>
        <v>0</v>
      </c>
      <c r="Z1833" s="37">
        <v>1</v>
      </c>
      <c r="AA1833" s="36">
        <f t="shared" si="661"/>
        <v>1</v>
      </c>
      <c r="AB1833" s="36">
        <f t="shared" si="662"/>
        <v>0.28000000000000003</v>
      </c>
      <c r="AC1833" s="11">
        <f t="shared" si="663"/>
        <v>0</v>
      </c>
      <c r="AD1833" s="36">
        <f t="shared" si="664"/>
        <v>0</v>
      </c>
      <c r="AE1833" s="36"/>
      <c r="AF1833" s="36">
        <f>IFERROR(VLOOKUP(AE1833,'Chemical Cost'!A:D,4,0),0)</f>
        <v>0</v>
      </c>
      <c r="AG1833" s="114">
        <f t="shared" si="665"/>
        <v>0</v>
      </c>
      <c r="AH1833" s="36">
        <f t="shared" si="666"/>
        <v>0</v>
      </c>
      <c r="AI1833" s="36">
        <f t="shared" si="667"/>
        <v>0.28000000000000003</v>
      </c>
      <c r="AJ1833" s="36">
        <f>IFERROR(VLOOKUP(A1833,'All Products'!A:F,6,0),0)</f>
        <v>0</v>
      </c>
      <c r="AK1833" s="36"/>
      <c r="AL1833" s="23">
        <v>0.8</v>
      </c>
      <c r="AM1833" s="23">
        <v>0.2</v>
      </c>
      <c r="AN1833" s="54" t="e">
        <v>#N/A</v>
      </c>
      <c r="AO1833" s="47"/>
      <c r="AP1833" s="4">
        <v>1.25</v>
      </c>
      <c r="AQ1833" s="111">
        <f t="shared" si="650"/>
        <v>0</v>
      </c>
      <c r="AS1833" t="str">
        <f>_xlfn.XLOOKUP(A1833,[3]Sheet1!$B:$B,[3]Sheet1!$B:$B)</f>
        <v>449CCS</v>
      </c>
      <c r="AT1833" t="e">
        <f>_xlfn.XLOOKUP(H1833,'Yield &amp; Time'!A:A,'Yield &amp; Time'!F:F)</f>
        <v>#N/A</v>
      </c>
    </row>
    <row r="1834" spans="1:46" x14ac:dyDescent="0.25">
      <c r="A1834" s="94" t="s">
        <v>4785</v>
      </c>
      <c r="B1834" s="2" t="s">
        <v>552</v>
      </c>
      <c r="C1834" s="2" t="s">
        <v>4786</v>
      </c>
      <c r="D1834" s="2" t="s">
        <v>554</v>
      </c>
      <c r="E1834" s="63">
        <v>2.5</v>
      </c>
      <c r="F1834" s="1" t="str">
        <f>VLOOKUP(H1834,'RM Used'!A:B,2,0)</f>
        <v>S3998CS</v>
      </c>
      <c r="G1834" s="1" t="str">
        <f>IFERROR(VLOOKUP(F1834,'RM Cost'!A:B,2,0),"")</f>
        <v>RM - DECORED RED CABBAGE 1/3 1200KG</v>
      </c>
      <c r="H1834" s="1" t="s">
        <v>1360</v>
      </c>
      <c r="I1834" s="1" t="str">
        <f>VLOOKUP(F1834,'RM Used'!B:D,3,0)</f>
        <v>RM-FOOD</v>
      </c>
      <c r="J1834" s="66">
        <v>0.5</v>
      </c>
      <c r="K1834" s="35">
        <f t="shared" si="651"/>
        <v>1.25</v>
      </c>
      <c r="L1834" s="35">
        <f t="shared" si="652"/>
        <v>1.25</v>
      </c>
      <c r="M1834" s="77" cm="1">
        <f t="array" ref="M1834">_xlfn.IFS(BOM!I1834="RM-PACKING","100%",B1834="Reynolds",VLOOKUP(H1834,'Yield &amp; Time'!A:V,22,0),BOM!B1834="Dnata",VLOOKUP(BOM!H1834,'Yield &amp; Time'!A:M,13,0),B1834="NK",VLOOKUP(H1834,'Yield &amp; Time'!A:X,24,0))</f>
        <v>0.70079999999999998</v>
      </c>
      <c r="N1834" s="35">
        <f t="shared" si="653"/>
        <v>1.783675799086758</v>
      </c>
      <c r="O1834" s="1" t="str">
        <f>VLOOKUP(H1834,'RM Used'!A:E,5,0)</f>
        <v>KG</v>
      </c>
      <c r="P1834" s="11">
        <f>VLOOKUP(H1834,'RM Used'!A:F,6,0)</f>
        <v>0.38</v>
      </c>
      <c r="Q1834" s="11">
        <f t="shared" si="654"/>
        <v>0.67779680365296802</v>
      </c>
      <c r="R1834" s="11" cm="1">
        <f t="array" ref="R1834">IFERROR(_xlfn.IFS(B1834="Reynolds",VLOOKUP(H1834,'Yield &amp; Time'!A:U,21,0),B1834="Dnata",VLOOKUP(H1834,'Yield &amp; Time'!A:L,12,0),B1834="NK",VLOOKUP(H1834,'Yield &amp; Time'!A:W,23,0)),0)</f>
        <v>0.89425536255080118</v>
      </c>
      <c r="S1834" s="11">
        <f t="shared" si="655"/>
        <v>0.37838180027930773</v>
      </c>
      <c r="T1834" s="11">
        <f t="shared" si="656"/>
        <v>1.8630320053141691E-2</v>
      </c>
      <c r="U1834" s="11">
        <f>IF(A1833=A1834,0,VLOOKUP(A1834,'Packing Time'!A:F,6,0))</f>
        <v>0.875</v>
      </c>
      <c r="V1834" s="11">
        <f t="shared" si="657"/>
        <v>0.29618749999999999</v>
      </c>
      <c r="W1834" s="11">
        <f t="shared" si="658"/>
        <v>1.4583333333333334E-2</v>
      </c>
      <c r="X1834" s="11">
        <f t="shared" si="659"/>
        <v>0.94439702039103079</v>
      </c>
      <c r="Y1834" s="11">
        <f t="shared" si="660"/>
        <v>0.94439702039103079</v>
      </c>
      <c r="Z1834" s="37">
        <v>1</v>
      </c>
      <c r="AA1834" s="36">
        <f t="shared" si="661"/>
        <v>1.783675799086758</v>
      </c>
      <c r="AB1834" s="11">
        <f t="shared" si="662"/>
        <v>0.67779680365296802</v>
      </c>
      <c r="AC1834" s="11">
        <f t="shared" si="663"/>
        <v>4.649911474106503E-2</v>
      </c>
      <c r="AD1834" s="36">
        <f t="shared" si="664"/>
        <v>0.94439702039103068</v>
      </c>
      <c r="AE1834" s="36"/>
      <c r="AF1834" s="36">
        <f>IFERROR(VLOOKUP(AE1834,'Chemical Cost'!A:D,4,0),0)</f>
        <v>0</v>
      </c>
      <c r="AG1834" s="114">
        <f t="shared" si="665"/>
        <v>0</v>
      </c>
      <c r="AH1834" s="36">
        <f t="shared" si="666"/>
        <v>0</v>
      </c>
      <c r="AI1834" s="36">
        <f t="shared" si="667"/>
        <v>1.6221938240439988</v>
      </c>
      <c r="AJ1834" s="36">
        <f>IFERROR(VLOOKUP(A1834,'All Products'!A:F,6,0),0)</f>
        <v>0</v>
      </c>
      <c r="AK1834" s="36"/>
      <c r="AL1834" s="23">
        <v>1</v>
      </c>
      <c r="AM1834" s="23"/>
      <c r="AN1834" s="54" t="e">
        <v>#N/A</v>
      </c>
      <c r="AP1834" s="4">
        <v>1.4</v>
      </c>
      <c r="AQ1834" s="111">
        <f t="shared" ref="AQ1834:AQ1852" si="668">(((R1834*J1834*E1834)+U1834)/60)*AP1834</f>
        <v>4.649911474106503E-2</v>
      </c>
      <c r="AR1834">
        <f>_xlfn.XLOOKUP(F1834,'RM Cost'!A:A,'RM Cost'!S:S)</f>
        <v>0.29914853989077506</v>
      </c>
      <c r="AS1834" t="str">
        <f>_xlfn.XLOOKUP(A1834,[3]Sheet1!$B:$B,[3]Sheet1!$B:$B)</f>
        <v>P1256CS</v>
      </c>
      <c r="AT1834" t="str">
        <f>_xlfn.XLOOKUP(H1834,'Yield &amp; Time'!A:A,'Yield &amp; Time'!O:O)</f>
        <v>Yes</v>
      </c>
    </row>
    <row r="1835" spans="1:46" x14ac:dyDescent="0.25">
      <c r="A1835" s="94" t="s">
        <v>4785</v>
      </c>
      <c r="B1835" s="2" t="s">
        <v>552</v>
      </c>
      <c r="C1835" s="2" t="s">
        <v>4786</v>
      </c>
      <c r="D1835" s="2" t="s">
        <v>554</v>
      </c>
      <c r="E1835" s="63">
        <v>2.5</v>
      </c>
      <c r="F1835" s="1" t="str">
        <f>VLOOKUP(H1835,'RM Used'!A:B,2,0)</f>
        <v>S3997CS</v>
      </c>
      <c r="G1835" s="1" t="str">
        <f>IFERROR(VLOOKUP(F1835,'RM Cost'!A:B,2,0),"")</f>
        <v>RM - DECORE WHITE CABBAGE 1/3 1200KG</v>
      </c>
      <c r="H1835" s="2" t="s">
        <v>1350</v>
      </c>
      <c r="I1835" s="1" t="str">
        <f>VLOOKUP(F1835,'RM Used'!B:D,3,0)</f>
        <v>RM-FOOD</v>
      </c>
      <c r="J1835" s="66">
        <v>0.5</v>
      </c>
      <c r="K1835" s="35">
        <f t="shared" si="651"/>
        <v>1.25</v>
      </c>
      <c r="L1835" s="35">
        <f t="shared" si="652"/>
        <v>1.25</v>
      </c>
      <c r="M1835" s="77" cm="1">
        <f t="array" ref="M1835">_xlfn.IFS(BOM!I1835="RM-PACKING","100%",B1835="Reynolds",VLOOKUP(H1835,'Yield &amp; Time'!A:V,22,0),BOM!B1835="Dnata",VLOOKUP(BOM!H1835,'Yield &amp; Time'!A:M,13,0),B1835="NK",VLOOKUP(H1835,'Yield &amp; Time'!A:X,24,0))</f>
        <v>0.77222322232223217</v>
      </c>
      <c r="N1835" s="35">
        <f t="shared" si="653"/>
        <v>1.6187029395995058</v>
      </c>
      <c r="O1835" s="1" t="str">
        <f>VLOOKUP(H1835,'RM Used'!A:E,5,0)</f>
        <v>KG</v>
      </c>
      <c r="P1835" s="11">
        <f>VLOOKUP(H1835,'RM Used'!A:F,6,0)</f>
        <v>0.34</v>
      </c>
      <c r="Q1835" s="11">
        <f t="shared" si="654"/>
        <v>0.55035899946383204</v>
      </c>
      <c r="R1835" s="11" cm="1">
        <f t="array" ref="R1835">IFERROR(_xlfn.IFS(B1835="Reynolds",VLOOKUP(H1835,'Yield &amp; Time'!A:U,21,0),B1835="Dnata",VLOOKUP(H1835,'Yield &amp; Time'!A:L,12,0),B1835="NK",VLOOKUP(H1835,'Yield &amp; Time'!A:W,23,0)),0)</f>
        <v>0.82773480662983423</v>
      </c>
      <c r="S1835" s="11">
        <f t="shared" si="655"/>
        <v>0.35023529005524862</v>
      </c>
      <c r="T1835" s="11">
        <f t="shared" si="656"/>
        <v>1.7244475138121548E-2</v>
      </c>
      <c r="U1835" s="11">
        <f>IF(A1834=A1835,0,VLOOKUP(A1835,'Packing Time'!A:F,6,0))</f>
        <v>0</v>
      </c>
      <c r="V1835" s="11">
        <f t="shared" si="657"/>
        <v>0</v>
      </c>
      <c r="W1835" s="11">
        <f t="shared" si="658"/>
        <v>0</v>
      </c>
      <c r="X1835" s="11">
        <f t="shared" si="659"/>
        <v>0.49032940607734804</v>
      </c>
      <c r="Y1835" s="11">
        <f t="shared" si="660"/>
        <v>0.49032940607734804</v>
      </c>
      <c r="Z1835" s="37">
        <v>1</v>
      </c>
      <c r="AA1835" s="36">
        <f t="shared" si="661"/>
        <v>1.6187029395995058</v>
      </c>
      <c r="AB1835" s="11">
        <f t="shared" si="662"/>
        <v>0.55035899946383204</v>
      </c>
      <c r="AC1835" s="11">
        <f t="shared" si="663"/>
        <v>2.4142265193370167E-2</v>
      </c>
      <c r="AD1835" s="36">
        <f t="shared" si="664"/>
        <v>0.49032940607734804</v>
      </c>
      <c r="AE1835" s="36"/>
      <c r="AF1835" s="36">
        <f>IFERROR(VLOOKUP(AE1835,'Chemical Cost'!A:D,4,0),0)</f>
        <v>0</v>
      </c>
      <c r="AG1835" s="114">
        <f t="shared" si="665"/>
        <v>0</v>
      </c>
      <c r="AH1835" s="36">
        <f t="shared" si="666"/>
        <v>0</v>
      </c>
      <c r="AI1835" s="36">
        <f t="shared" si="667"/>
        <v>1.04068840554118</v>
      </c>
      <c r="AJ1835" s="36">
        <f>IFERROR(VLOOKUP(A1835,'All Products'!A:F,6,0),0)</f>
        <v>0</v>
      </c>
      <c r="AK1835" s="36"/>
      <c r="AL1835" s="23">
        <v>1</v>
      </c>
      <c r="AM1835" s="23"/>
      <c r="AN1835" s="54" t="e">
        <v>#N/A</v>
      </c>
      <c r="AP1835" s="4">
        <v>1.4</v>
      </c>
      <c r="AQ1835" s="111">
        <f t="shared" si="668"/>
        <v>2.4142265193370167E-2</v>
      </c>
      <c r="AR1835">
        <f>_xlfn.XLOOKUP(F1835,'RM Cost'!A:A,'RM Cost'!S:S)</f>
        <v>0.29914853989077506</v>
      </c>
      <c r="AS1835" t="str">
        <f>_xlfn.XLOOKUP(A1835,[3]Sheet1!$B:$B,[3]Sheet1!$B:$B)</f>
        <v>P1256CS</v>
      </c>
      <c r="AT1835" t="str">
        <f>_xlfn.XLOOKUP(H1835,'Yield &amp; Time'!A:A,'Yield &amp; Time'!O:O)</f>
        <v>Yes</v>
      </c>
    </row>
    <row r="1836" spans="1:46" x14ac:dyDescent="0.25">
      <c r="A1836" s="94" t="s">
        <v>4785</v>
      </c>
      <c r="B1836" s="2" t="s">
        <v>552</v>
      </c>
      <c r="C1836" s="2" t="s">
        <v>4786</v>
      </c>
      <c r="D1836" s="2" t="s">
        <v>554</v>
      </c>
      <c r="E1836" s="63">
        <v>2.5</v>
      </c>
      <c r="F1836" s="1" t="str">
        <f>VLOOKUP(H1836,'RM Used'!A:B,2,0)</f>
        <v>P0008</v>
      </c>
      <c r="G1836" s="1" t="str">
        <f>IFERROR(VLOOKUP(F1836,'RM Cost'!A:B,2,0),"")</f>
        <v>PALE BLUE BAG 470X750MM</v>
      </c>
      <c r="H1836" s="1" t="s">
        <v>1323</v>
      </c>
      <c r="I1836" s="1" t="str">
        <f>VLOOKUP(F1836,'RM Used'!B:D,3,0)</f>
        <v>RM-PACKING</v>
      </c>
      <c r="J1836" s="66">
        <v>1</v>
      </c>
      <c r="K1836" s="35" t="str">
        <f t="shared" si="651"/>
        <v/>
      </c>
      <c r="L1836" s="35">
        <f t="shared" si="652"/>
        <v>0</v>
      </c>
      <c r="M1836" s="77" t="str" cm="1">
        <f t="array" ref="M1836">_xlfn.IFS(BOM!I1836="RM-PACKING","100%",B1836="Reynolds",VLOOKUP(H1836,'Yield &amp; Time'!A:V,22,0),BOM!B1836="Dnata",VLOOKUP(BOM!H1836,'Yield &amp; Time'!A:M,13,0),B1836="NK",VLOOKUP(H1836,'Yield &amp; Time'!A:X,24,0))</f>
        <v>100%</v>
      </c>
      <c r="N1836" s="35">
        <f t="shared" si="653"/>
        <v>1</v>
      </c>
      <c r="O1836" s="1" t="str">
        <f>VLOOKUP(H1836,'RM Used'!A:E,5,0)</f>
        <v>Count</v>
      </c>
      <c r="P1836" s="11">
        <f>VLOOKUP(H1836,'RM Used'!A:F,6,0)</f>
        <v>0.14000000000000001</v>
      </c>
      <c r="Q1836" s="11">
        <f t="shared" si="654"/>
        <v>0.14000000000000001</v>
      </c>
      <c r="R1836" s="11" cm="1">
        <f t="array" ref="R1836">IFERROR(_xlfn.IFS(B1836="Reynolds",VLOOKUP(H1836,'Yield &amp; Time'!A:U,21,0),B1836="Dnata",VLOOKUP(H1836,'Yield &amp; Time'!A:L,12,0),B1836="NK",VLOOKUP(H1836,'Yield &amp; Time'!A:W,23,0)),0)</f>
        <v>0</v>
      </c>
      <c r="S1836" s="11">
        <f t="shared" si="655"/>
        <v>0</v>
      </c>
      <c r="T1836" s="11">
        <f t="shared" si="656"/>
        <v>0</v>
      </c>
      <c r="U1836" s="11">
        <f>IF(A1835=A1836,0,VLOOKUP(A1836,'Packing Time'!A:F,6,0))</f>
        <v>0</v>
      </c>
      <c r="V1836" s="11">
        <f t="shared" si="657"/>
        <v>0</v>
      </c>
      <c r="W1836" s="11">
        <f t="shared" si="658"/>
        <v>0</v>
      </c>
      <c r="X1836" s="11">
        <f t="shared" si="659"/>
        <v>0</v>
      </c>
      <c r="Y1836" s="11">
        <f t="shared" si="660"/>
        <v>0</v>
      </c>
      <c r="Z1836" s="37">
        <v>1</v>
      </c>
      <c r="AA1836" s="36">
        <f t="shared" si="661"/>
        <v>1</v>
      </c>
      <c r="AB1836" s="11">
        <f t="shared" si="662"/>
        <v>0.14000000000000001</v>
      </c>
      <c r="AC1836" s="11">
        <f t="shared" si="663"/>
        <v>0</v>
      </c>
      <c r="AD1836" s="36">
        <f t="shared" si="664"/>
        <v>0</v>
      </c>
      <c r="AE1836" s="36"/>
      <c r="AF1836" s="36">
        <f>IFERROR(VLOOKUP(AE1836,'Chemical Cost'!A:D,4,0),0)</f>
        <v>0</v>
      </c>
      <c r="AG1836" s="114">
        <f t="shared" si="665"/>
        <v>0</v>
      </c>
      <c r="AH1836" s="36">
        <f t="shared" si="666"/>
        <v>0</v>
      </c>
      <c r="AI1836" s="36">
        <f t="shared" si="667"/>
        <v>0.14000000000000001</v>
      </c>
      <c r="AJ1836" s="36">
        <f>IFERROR(VLOOKUP(A1836,'All Products'!A:F,6,0),0)</f>
        <v>0</v>
      </c>
      <c r="AK1836" s="36"/>
      <c r="AL1836" s="23">
        <v>1</v>
      </c>
      <c r="AM1836" s="23"/>
      <c r="AN1836" s="54" t="e">
        <v>#N/A</v>
      </c>
      <c r="AP1836" s="4">
        <v>1.4</v>
      </c>
      <c r="AQ1836" s="111">
        <f t="shared" si="668"/>
        <v>0</v>
      </c>
      <c r="AR1836">
        <f>_xlfn.XLOOKUP(F1836,'RM Cost'!A:A,'RM Cost'!S:S)</f>
        <v>0</v>
      </c>
      <c r="AS1836" t="str">
        <f>_xlfn.XLOOKUP(A1836,[3]Sheet1!$B:$B,[3]Sheet1!$B:$B)</f>
        <v>P1256CS</v>
      </c>
      <c r="AT1836" t="e">
        <f>_xlfn.XLOOKUP(H1836,'Yield &amp; Time'!A:A,'Yield &amp; Time'!F:F)</f>
        <v>#N/A</v>
      </c>
    </row>
    <row r="1837" spans="1:46" x14ac:dyDescent="0.25">
      <c r="A1837" s="94" t="s">
        <v>4785</v>
      </c>
      <c r="B1837" s="2" t="s">
        <v>552</v>
      </c>
      <c r="C1837" s="2" t="s">
        <v>4786</v>
      </c>
      <c r="D1837" s="2" t="s">
        <v>554</v>
      </c>
      <c r="E1837" s="63">
        <v>2.5</v>
      </c>
      <c r="F1837" s="1" t="str">
        <f>VLOOKUP(H1837,'RM Used'!A:B,2,0)</f>
        <v>P0016</v>
      </c>
      <c r="G1837" s="1" t="str">
        <f>IFERROR(VLOOKUP(F1837,'RM Cost'!A:B,2,0),"")</f>
        <v>REY 40 30 BOX</v>
      </c>
      <c r="H1837" s="1" t="s">
        <v>1332</v>
      </c>
      <c r="I1837" s="1" t="str">
        <f>VLOOKUP(F1837,'RM Used'!B:D,3,0)</f>
        <v>RM-PACKING</v>
      </c>
      <c r="J1837" s="66">
        <v>1</v>
      </c>
      <c r="K1837" s="35" t="str">
        <f t="shared" si="651"/>
        <v/>
      </c>
      <c r="L1837" s="35">
        <f t="shared" si="652"/>
        <v>0</v>
      </c>
      <c r="M1837" s="77" t="str" cm="1">
        <f t="array" ref="M1837">_xlfn.IFS(BOM!I1837="RM-PACKING","100%",B1837="Reynolds",VLOOKUP(H1837,'Yield &amp; Time'!A:V,22,0),BOM!B1837="Dnata",VLOOKUP(BOM!H1837,'Yield &amp; Time'!A:M,13,0),B1837="NK",VLOOKUP(H1837,'Yield &amp; Time'!A:X,24,0))</f>
        <v>100%</v>
      </c>
      <c r="N1837" s="35">
        <f t="shared" si="653"/>
        <v>1</v>
      </c>
      <c r="O1837" s="1" t="str">
        <f>VLOOKUP(H1837,'RM Used'!A:E,5,0)</f>
        <v>Count</v>
      </c>
      <c r="P1837" s="11">
        <f>VLOOKUP(H1837,'RM Used'!A:F,6,0)</f>
        <v>0.28000000000000003</v>
      </c>
      <c r="Q1837" s="11">
        <f t="shared" si="654"/>
        <v>0.28000000000000003</v>
      </c>
      <c r="R1837" s="11" cm="1">
        <f t="array" ref="R1837">IFERROR(_xlfn.IFS(B1837="Reynolds",VLOOKUP(H1837,'Yield &amp; Time'!A:U,21,0),B1837="Dnata",VLOOKUP(H1837,'Yield &amp; Time'!A:L,12,0),B1837="NK",VLOOKUP(H1837,'Yield &amp; Time'!A:W,23,0)),0)</f>
        <v>0</v>
      </c>
      <c r="S1837" s="11">
        <f t="shared" si="655"/>
        <v>0</v>
      </c>
      <c r="T1837" s="11">
        <f t="shared" si="656"/>
        <v>0</v>
      </c>
      <c r="U1837" s="11">
        <f>IF(A1836=A1837,0,VLOOKUP(A1837,'Packing Time'!A:F,6,0))</f>
        <v>0</v>
      </c>
      <c r="V1837" s="11">
        <f t="shared" si="657"/>
        <v>0</v>
      </c>
      <c r="W1837" s="11">
        <f t="shared" si="658"/>
        <v>0</v>
      </c>
      <c r="X1837" s="11">
        <f t="shared" si="659"/>
        <v>0</v>
      </c>
      <c r="Y1837" s="11">
        <f t="shared" si="660"/>
        <v>0</v>
      </c>
      <c r="Z1837" s="37">
        <v>1</v>
      </c>
      <c r="AA1837" s="36">
        <f t="shared" si="661"/>
        <v>1</v>
      </c>
      <c r="AB1837" s="11">
        <f t="shared" si="662"/>
        <v>0.28000000000000003</v>
      </c>
      <c r="AC1837" s="11">
        <f t="shared" si="663"/>
        <v>0</v>
      </c>
      <c r="AD1837" s="36">
        <f t="shared" si="664"/>
        <v>0</v>
      </c>
      <c r="AE1837" s="36"/>
      <c r="AF1837" s="36">
        <f>IFERROR(VLOOKUP(AE1837,'Chemical Cost'!A:D,4,0),0)</f>
        <v>0</v>
      </c>
      <c r="AG1837" s="114">
        <f t="shared" si="665"/>
        <v>0</v>
      </c>
      <c r="AH1837" s="36">
        <f t="shared" si="666"/>
        <v>0</v>
      </c>
      <c r="AI1837" s="36">
        <f t="shared" si="667"/>
        <v>0.28000000000000003</v>
      </c>
      <c r="AJ1837" s="36">
        <f>IFERROR(VLOOKUP(A1837,'All Products'!A:F,6,0),0)</f>
        <v>0</v>
      </c>
      <c r="AK1837" s="36"/>
      <c r="AL1837" s="23">
        <v>1</v>
      </c>
      <c r="AM1837" s="23"/>
      <c r="AN1837" s="54" t="e">
        <v>#N/A</v>
      </c>
      <c r="AP1837" s="4">
        <v>1.4</v>
      </c>
      <c r="AQ1837" s="111">
        <f t="shared" si="668"/>
        <v>0</v>
      </c>
      <c r="AR1837">
        <f>_xlfn.XLOOKUP(F1837,'RM Cost'!A:A,'RM Cost'!S:S)</f>
        <v>0</v>
      </c>
      <c r="AS1837" t="str">
        <f>_xlfn.XLOOKUP(A1837,[3]Sheet1!$B:$B,[3]Sheet1!$B:$B)</f>
        <v>P1256CS</v>
      </c>
      <c r="AT1837" t="e">
        <f>_xlfn.XLOOKUP(H1837,'Yield &amp; Time'!A:A,'Yield &amp; Time'!F:F)</f>
        <v>#N/A</v>
      </c>
    </row>
    <row r="1838" spans="1:46" x14ac:dyDescent="0.25">
      <c r="A1838" s="1" t="s">
        <v>4787</v>
      </c>
      <c r="B1838" s="2" t="s">
        <v>552</v>
      </c>
      <c r="C1838" s="2" t="s">
        <v>1763</v>
      </c>
      <c r="D1838" s="2" t="s">
        <v>554</v>
      </c>
      <c r="E1838" s="2">
        <v>2.5</v>
      </c>
      <c r="F1838" s="1" t="str">
        <f>VLOOKUP(H1838,'RM Used'!A:B,2,0)</f>
        <v>1318CS</v>
      </c>
      <c r="G1838" s="1" t="str">
        <f>IFERROR(VLOOKUP(F1838,'RM Cost'!A:B,2,0),"")</f>
        <v>RM - PREP ONION RED WHOLE 2.5KG</v>
      </c>
      <c r="H1838" s="2" t="s">
        <v>4540</v>
      </c>
      <c r="I1838" s="1" t="str">
        <f>VLOOKUP(F1838,'RM Used'!B:D,3,0)</f>
        <v>RM-FOOD</v>
      </c>
      <c r="J1838" s="66">
        <v>1</v>
      </c>
      <c r="K1838" s="35">
        <f t="shared" si="651"/>
        <v>2.5</v>
      </c>
      <c r="L1838" s="35">
        <f t="shared" si="652"/>
        <v>2.5</v>
      </c>
      <c r="M1838" s="77" cm="1">
        <f t="array" ref="M1838">_xlfn.IFS(BOM!I1838="RM-PACKING","100%",B1838="Reynolds",VLOOKUP(H1838,'Yield &amp; Time'!A:V,22,0),BOM!B1838="Dnata",VLOOKUP(BOM!H1838,'Yield &amp; Time'!A:M,13,0),B1838="NK",VLOOKUP(H1838,'Yield &amp; Time'!A:X,24,0))</f>
        <v>1</v>
      </c>
      <c r="N1838" s="35">
        <f t="shared" si="653"/>
        <v>2.5</v>
      </c>
      <c r="O1838" s="1" t="str">
        <f>VLOOKUP(H1838,'RM Used'!A:E,5,0)</f>
        <v>KG</v>
      </c>
      <c r="P1838" s="11">
        <f>VLOOKUP(H1838,'RM Used'!A:F,6,0)</f>
        <v>1.08</v>
      </c>
      <c r="Q1838" s="11">
        <f t="shared" si="654"/>
        <v>2.7</v>
      </c>
      <c r="R1838" s="11">
        <f>IFERROR(IF(B1838="Reynolds",VLOOKUP(H1838,'Yield &amp; Time'!A:U,21,0),VLOOKUP(H1838,'Yield &amp; Time'!A:L,12,0)),0)</f>
        <v>0.5</v>
      </c>
      <c r="S1838" s="11">
        <f t="shared" si="655"/>
        <v>0.42312499999999997</v>
      </c>
      <c r="T1838" s="11">
        <f t="shared" si="656"/>
        <v>2.0833333333333332E-2</v>
      </c>
      <c r="U1838" s="11">
        <f>IF(A1837=A1838,0,VLOOKUP(A1838,'Packing Time'!A:F,6,0))</f>
        <v>0.875</v>
      </c>
      <c r="V1838" s="11">
        <f t="shared" si="657"/>
        <v>0.29618749999999999</v>
      </c>
      <c r="W1838" s="11">
        <f t="shared" si="658"/>
        <v>1.4583333333333334E-2</v>
      </c>
      <c r="X1838" s="11">
        <f t="shared" si="659"/>
        <v>1.1508999999999998</v>
      </c>
      <c r="Y1838" s="11">
        <f t="shared" si="660"/>
        <v>1.1508999999999998</v>
      </c>
      <c r="Z1838" s="37">
        <v>1</v>
      </c>
      <c r="AA1838" s="36">
        <f t="shared" si="661"/>
        <v>2.5</v>
      </c>
      <c r="AB1838" s="11">
        <f t="shared" si="662"/>
        <v>2.7</v>
      </c>
      <c r="AC1838" s="11">
        <f t="shared" si="663"/>
        <v>5.6666666666666671E-2</v>
      </c>
      <c r="AD1838" s="36">
        <f t="shared" si="664"/>
        <v>1.1509</v>
      </c>
      <c r="AE1838" s="36">
        <f>VLOOKUP(H1838,'Yield &amp; Time'!A:I,9,0)</f>
        <v>0</v>
      </c>
      <c r="AF1838" s="36">
        <f>IFERROR(VLOOKUP(AE1838,'Chemical Cost'!A:D,4,0),0)</f>
        <v>0</v>
      </c>
      <c r="AG1838" s="114">
        <f t="shared" si="665"/>
        <v>0</v>
      </c>
      <c r="AH1838" s="36">
        <f t="shared" si="666"/>
        <v>0</v>
      </c>
      <c r="AI1838" s="36">
        <f t="shared" si="667"/>
        <v>3.8509000000000002</v>
      </c>
      <c r="AJ1838" s="36">
        <f>IFERROR(VLOOKUP(A1838,'All Products'!A:F,6,0),0)</f>
        <v>0</v>
      </c>
      <c r="AK1838" s="36"/>
      <c r="AL1838" s="23">
        <v>1</v>
      </c>
      <c r="AM1838" s="1"/>
      <c r="AN1838" s="54" t="e">
        <v>#N/A</v>
      </c>
      <c r="AP1838" s="4">
        <v>1.6</v>
      </c>
      <c r="AQ1838" s="111">
        <f t="shared" si="668"/>
        <v>5.6666666666666671E-2</v>
      </c>
      <c r="AR1838">
        <f>_xlfn.XLOOKUP(F1838,'RM Cost'!A:A,'RM Cost'!S:S)</f>
        <v>0</v>
      </c>
      <c r="AS1838" t="str">
        <f>_xlfn.XLOOKUP(A1838,[3]Sheet1!$B:$B,[3]Sheet1!$B:$B)</f>
        <v>P1318CS</v>
      </c>
      <c r="AT1838">
        <f>_xlfn.XLOOKUP(H1838,'Yield &amp; Time'!A:A,'Yield &amp; Time'!F:F)</f>
        <v>0</v>
      </c>
    </row>
    <row r="1839" spans="1:46" x14ac:dyDescent="0.25">
      <c r="A1839" s="1" t="s">
        <v>4787</v>
      </c>
      <c r="B1839" s="2" t="s">
        <v>552</v>
      </c>
      <c r="C1839" s="2" t="s">
        <v>1763</v>
      </c>
      <c r="D1839" s="2" t="s">
        <v>554</v>
      </c>
      <c r="E1839" s="2">
        <v>2.5</v>
      </c>
      <c r="F1839" s="1" t="str">
        <f>VLOOKUP(H1839,'RM Used'!A:B,2,0)</f>
        <v>P0008</v>
      </c>
      <c r="G1839" s="1" t="str">
        <f>IFERROR(VLOOKUP(F1839,'RM Cost'!A:B,2,0),"")</f>
        <v>PALE BLUE BAG 470X750MM</v>
      </c>
      <c r="H1839" s="2" t="s">
        <v>1323</v>
      </c>
      <c r="I1839" s="1" t="str">
        <f>VLOOKUP(F1839,'RM Used'!B:D,3,0)</f>
        <v>RM-PACKING</v>
      </c>
      <c r="J1839" s="66">
        <v>1</v>
      </c>
      <c r="K1839" s="35" t="str">
        <f t="shared" si="651"/>
        <v/>
      </c>
      <c r="L1839" s="35">
        <f t="shared" si="652"/>
        <v>0</v>
      </c>
      <c r="M1839" s="77" t="str" cm="1">
        <f t="array" ref="M1839">_xlfn.IFS(BOM!I1839="RM-PACKING","100%",B1839="Reynolds",VLOOKUP(H1839,'Yield &amp; Time'!A:V,22,0),BOM!B1839="Dnata",VLOOKUP(BOM!H1839,'Yield &amp; Time'!A:M,13,0),B1839="NK",VLOOKUP(H1839,'Yield &amp; Time'!A:X,24,0))</f>
        <v>100%</v>
      </c>
      <c r="N1839" s="35">
        <f t="shared" si="653"/>
        <v>1</v>
      </c>
      <c r="O1839" s="1" t="str">
        <f>VLOOKUP(H1839,'RM Used'!A:E,5,0)</f>
        <v>Count</v>
      </c>
      <c r="P1839" s="11">
        <f>VLOOKUP(H1839,'RM Used'!A:F,6,0)</f>
        <v>0.14000000000000001</v>
      </c>
      <c r="Q1839" s="11">
        <f t="shared" si="654"/>
        <v>0.14000000000000001</v>
      </c>
      <c r="R1839" s="11">
        <f>IFERROR(IF(B1839="Reynolds",VLOOKUP(H1839,'Yield &amp; Time'!A:U,21,0),VLOOKUP(H1839,'Yield &amp; Time'!A:L,12,0)),0)</f>
        <v>0</v>
      </c>
      <c r="S1839" s="11">
        <f t="shared" si="655"/>
        <v>0</v>
      </c>
      <c r="T1839" s="11">
        <f t="shared" si="656"/>
        <v>0</v>
      </c>
      <c r="U1839" s="11">
        <f>IF(A1838=A1839,0,VLOOKUP(A1839,'Packing Time'!A:F,6,0))</f>
        <v>0</v>
      </c>
      <c r="V1839" s="11">
        <f t="shared" si="657"/>
        <v>0</v>
      </c>
      <c r="W1839" s="11">
        <f t="shared" si="658"/>
        <v>0</v>
      </c>
      <c r="X1839" s="11">
        <f t="shared" si="659"/>
        <v>0</v>
      </c>
      <c r="Y1839" s="11">
        <f t="shared" si="660"/>
        <v>0</v>
      </c>
      <c r="Z1839" s="37">
        <v>1</v>
      </c>
      <c r="AA1839" s="36">
        <f t="shared" si="661"/>
        <v>1</v>
      </c>
      <c r="AB1839" s="11">
        <f t="shared" si="662"/>
        <v>0.14000000000000001</v>
      </c>
      <c r="AC1839" s="11">
        <f t="shared" si="663"/>
        <v>0</v>
      </c>
      <c r="AD1839" s="36">
        <f t="shared" si="664"/>
        <v>0</v>
      </c>
      <c r="AE1839" s="36"/>
      <c r="AF1839" s="36">
        <f>IFERROR(VLOOKUP(AE1839,'Chemical Cost'!A:D,4,0),0)</f>
        <v>0</v>
      </c>
      <c r="AG1839" s="114">
        <f t="shared" si="665"/>
        <v>0</v>
      </c>
      <c r="AH1839" s="36">
        <f t="shared" si="666"/>
        <v>0</v>
      </c>
      <c r="AI1839" s="36">
        <f t="shared" si="667"/>
        <v>0.14000000000000001</v>
      </c>
      <c r="AJ1839" s="36">
        <f>IFERROR(VLOOKUP(A1839,'All Products'!A:F,6,0),0)</f>
        <v>0</v>
      </c>
      <c r="AK1839" s="36"/>
      <c r="AL1839" s="23">
        <v>1</v>
      </c>
      <c r="AM1839" s="1"/>
      <c r="AN1839" s="54" t="e">
        <v>#N/A</v>
      </c>
      <c r="AP1839" s="4">
        <v>1.6</v>
      </c>
      <c r="AQ1839" s="111">
        <f t="shared" si="668"/>
        <v>0</v>
      </c>
      <c r="AR1839">
        <f>_xlfn.XLOOKUP(F1839,'RM Cost'!A:A,'RM Cost'!S:S)</f>
        <v>0</v>
      </c>
      <c r="AS1839" t="str">
        <f>_xlfn.XLOOKUP(A1839,[3]Sheet1!$B:$B,[3]Sheet1!$B:$B)</f>
        <v>P1318CS</v>
      </c>
      <c r="AT1839" t="e">
        <f>_xlfn.XLOOKUP(H1839,'Yield &amp; Time'!A:A,'Yield &amp; Time'!F:F)</f>
        <v>#N/A</v>
      </c>
    </row>
    <row r="1840" spans="1:46" x14ac:dyDescent="0.25">
      <c r="A1840" s="1" t="s">
        <v>4787</v>
      </c>
      <c r="B1840" s="2" t="s">
        <v>552</v>
      </c>
      <c r="C1840" s="2" t="s">
        <v>1763</v>
      </c>
      <c r="D1840" s="2" t="s">
        <v>554</v>
      </c>
      <c r="E1840" s="2">
        <v>2.5</v>
      </c>
      <c r="F1840" s="1" t="str">
        <f>VLOOKUP(H1840,'RM Used'!A:B,2,0)</f>
        <v>P0016</v>
      </c>
      <c r="G1840" s="1" t="str">
        <f>IFERROR(VLOOKUP(F1840,'RM Cost'!A:B,2,0),"")</f>
        <v>REY 40 30 BOX</v>
      </c>
      <c r="H1840" s="1" t="s">
        <v>1332</v>
      </c>
      <c r="I1840" s="1" t="str">
        <f>VLOOKUP(F1840,'RM Used'!B:D,3,0)</f>
        <v>RM-PACKING</v>
      </c>
      <c r="J1840" s="66">
        <v>1</v>
      </c>
      <c r="K1840" s="35" t="str">
        <f t="shared" si="651"/>
        <v/>
      </c>
      <c r="L1840" s="35">
        <f t="shared" si="652"/>
        <v>0</v>
      </c>
      <c r="M1840" s="77" t="str" cm="1">
        <f t="array" ref="M1840">_xlfn.IFS(BOM!I1840="RM-PACKING","100%",B1840="Reynolds",VLOOKUP(H1840,'Yield &amp; Time'!A:V,22,0),BOM!B1840="Dnata",VLOOKUP(BOM!H1840,'Yield &amp; Time'!A:M,13,0),B1840="NK",VLOOKUP(H1840,'Yield &amp; Time'!A:X,24,0))</f>
        <v>100%</v>
      </c>
      <c r="N1840" s="35">
        <f t="shared" si="653"/>
        <v>1</v>
      </c>
      <c r="O1840" s="1" t="str">
        <f>VLOOKUP(H1840,'RM Used'!A:E,5,0)</f>
        <v>Count</v>
      </c>
      <c r="P1840" s="11">
        <f>VLOOKUP(H1840,'RM Used'!A:F,6,0)</f>
        <v>0.28000000000000003</v>
      </c>
      <c r="Q1840" s="11">
        <f t="shared" si="654"/>
        <v>0.28000000000000003</v>
      </c>
      <c r="R1840" s="11">
        <f>IFERROR(IF(B1840="Reynolds",VLOOKUP(H1840,'Yield &amp; Time'!A:U,21,0),VLOOKUP(H1840,'Yield &amp; Time'!A:L,12,0)),0)</f>
        <v>0</v>
      </c>
      <c r="S1840" s="11">
        <f t="shared" si="655"/>
        <v>0</v>
      </c>
      <c r="T1840" s="11">
        <f t="shared" si="656"/>
        <v>0</v>
      </c>
      <c r="U1840" s="11">
        <f>IF(A1839=A1840,0,VLOOKUP(A1840,'Packing Time'!A:F,6,0))</f>
        <v>0</v>
      </c>
      <c r="V1840" s="11">
        <f t="shared" si="657"/>
        <v>0</v>
      </c>
      <c r="W1840" s="11">
        <f t="shared" si="658"/>
        <v>0</v>
      </c>
      <c r="X1840" s="11">
        <f t="shared" si="659"/>
        <v>0</v>
      </c>
      <c r="Y1840" s="11">
        <f t="shared" si="660"/>
        <v>0</v>
      </c>
      <c r="Z1840" s="37">
        <v>1</v>
      </c>
      <c r="AA1840" s="36">
        <f t="shared" si="661"/>
        <v>1</v>
      </c>
      <c r="AB1840" s="11">
        <f t="shared" si="662"/>
        <v>0.28000000000000003</v>
      </c>
      <c r="AC1840" s="11">
        <f t="shared" si="663"/>
        <v>0</v>
      </c>
      <c r="AD1840" s="36">
        <f t="shared" si="664"/>
        <v>0</v>
      </c>
      <c r="AE1840" s="36"/>
      <c r="AF1840" s="36">
        <f>IFERROR(VLOOKUP(AE1840,'Chemical Cost'!A:D,4,0),0)</f>
        <v>0</v>
      </c>
      <c r="AG1840" s="114">
        <f t="shared" si="665"/>
        <v>0</v>
      </c>
      <c r="AH1840" s="36">
        <f t="shared" si="666"/>
        <v>0</v>
      </c>
      <c r="AI1840" s="36">
        <f t="shared" si="667"/>
        <v>0.28000000000000003</v>
      </c>
      <c r="AJ1840" s="36">
        <f>IFERROR(VLOOKUP(A1840,'All Products'!A:F,6,0),0)</f>
        <v>0</v>
      </c>
      <c r="AK1840" s="36"/>
      <c r="AL1840" s="23">
        <v>1</v>
      </c>
      <c r="AM1840" s="1"/>
      <c r="AN1840" s="54" t="e">
        <v>#N/A</v>
      </c>
      <c r="AP1840" s="4">
        <v>1.6</v>
      </c>
      <c r="AQ1840" s="111">
        <f t="shared" si="668"/>
        <v>0</v>
      </c>
      <c r="AR1840">
        <f>_xlfn.XLOOKUP(F1840,'RM Cost'!A:A,'RM Cost'!S:S)</f>
        <v>0</v>
      </c>
      <c r="AS1840" t="str">
        <f>_xlfn.XLOOKUP(A1840,[3]Sheet1!$B:$B,[3]Sheet1!$B:$B)</f>
        <v>P1318CS</v>
      </c>
      <c r="AT1840" t="e">
        <f>_xlfn.XLOOKUP(H1840,'Yield &amp; Time'!A:A,'Yield &amp; Time'!F:F)</f>
        <v>#N/A</v>
      </c>
    </row>
    <row r="1841" spans="1:46" x14ac:dyDescent="0.25">
      <c r="A1841" s="16" t="s">
        <v>4788</v>
      </c>
      <c r="B1841" s="2" t="s">
        <v>552</v>
      </c>
      <c r="C1841" s="2" t="s">
        <v>1105</v>
      </c>
      <c r="D1841" s="2" t="s">
        <v>554</v>
      </c>
      <c r="E1841" s="2">
        <v>1</v>
      </c>
      <c r="F1841" s="1" t="str">
        <f>VLOOKUP(H1841,'RM Used'!A:B,2,0)</f>
        <v>023ACS</v>
      </c>
      <c r="G1841" s="1" t="str">
        <f>IFERROR(VLOOKUP(F1841,'RM Cost'!A:B,2,0),"")</f>
        <v>RM - SHALLOT BANANA 1X20KG</v>
      </c>
      <c r="H1841" s="2" t="s">
        <v>1649</v>
      </c>
      <c r="I1841" s="1" t="str">
        <f>VLOOKUP(F1841,'RM Used'!B:D,3,0)</f>
        <v>RM-FOOD</v>
      </c>
      <c r="J1841" s="74">
        <v>1</v>
      </c>
      <c r="K1841" s="35">
        <f t="shared" si="651"/>
        <v>1</v>
      </c>
      <c r="L1841" s="35">
        <f t="shared" si="652"/>
        <v>1</v>
      </c>
      <c r="M1841" s="77" cm="1">
        <f t="array" ref="M1841">_xlfn.IFS(BOM!I1841="RM-PACKING","100%",B1841="Reynolds",VLOOKUP(H1841,'Yield &amp; Time'!A:V,22,0),BOM!B1841="Dnata",VLOOKUP(BOM!H1841,'Yield &amp; Time'!A:M,13,0),B1841="NK",VLOOKUP(H1841,'Yield &amp; Time'!A:X,24,0))</f>
        <v>0.81408450704225344</v>
      </c>
      <c r="N1841" s="35">
        <f t="shared" si="653"/>
        <v>1.2283737024221455</v>
      </c>
      <c r="O1841" s="1" t="str">
        <f>VLOOKUP(H1841,'RM Used'!A:E,5,0)</f>
        <v>KG</v>
      </c>
      <c r="P1841" s="11">
        <f>VLOOKUP(H1841,'RM Used'!A:F,6,0)</f>
        <v>0.92</v>
      </c>
      <c r="Q1841" s="11">
        <f t="shared" si="654"/>
        <v>1.1301038062283739</v>
      </c>
      <c r="R1841" s="11">
        <f>IFERROR(IF(B1841="Reynolds",VLOOKUP(H1841,'Yield &amp; Time'!A:U,21,0),VLOOKUP(H1841,'Yield &amp; Time'!A:L,12,0)),0)</f>
        <v>4.1522491349480974</v>
      </c>
      <c r="S1841" s="11">
        <f t="shared" si="655"/>
        <v>1.4055363321799308</v>
      </c>
      <c r="T1841" s="11">
        <f t="shared" si="656"/>
        <v>6.9204152249134954E-2</v>
      </c>
      <c r="U1841" s="11">
        <f>IF(A1840=A1841,0,VLOOKUP(A1841,'Packing Time'!A:F,6,0))</f>
        <v>0.64166666666666661</v>
      </c>
      <c r="V1841" s="11">
        <f t="shared" si="657"/>
        <v>0.21720416666666661</v>
      </c>
      <c r="W1841" s="11">
        <f t="shared" si="658"/>
        <v>1.0694444444444444E-2</v>
      </c>
      <c r="X1841" s="11">
        <f t="shared" si="659"/>
        <v>2.5963847981545563</v>
      </c>
      <c r="Y1841" s="11">
        <f t="shared" si="660"/>
        <v>2.5963847981545563</v>
      </c>
      <c r="Z1841" s="37">
        <v>1</v>
      </c>
      <c r="AA1841" s="36">
        <f t="shared" si="661"/>
        <v>1.2283737024221455</v>
      </c>
      <c r="AB1841" s="36">
        <f t="shared" si="662"/>
        <v>1.1301038062283739</v>
      </c>
      <c r="AC1841" s="11">
        <f t="shared" si="663"/>
        <v>0.12783775470972705</v>
      </c>
      <c r="AD1841" s="36">
        <f t="shared" si="664"/>
        <v>2.5963847981545563</v>
      </c>
      <c r="AE1841" s="36"/>
      <c r="AF1841" s="36">
        <f>IFERROR(VLOOKUP(AE1841,'Chemical Cost'!A:D,4,0),0)</f>
        <v>0</v>
      </c>
      <c r="AG1841" s="114">
        <f t="shared" si="665"/>
        <v>0</v>
      </c>
      <c r="AH1841" s="36">
        <f t="shared" si="666"/>
        <v>0</v>
      </c>
      <c r="AI1841" s="36">
        <f t="shared" si="667"/>
        <v>3.7264886043829302</v>
      </c>
      <c r="AJ1841" s="36">
        <f>IFERROR(VLOOKUP(A1841,'All Products'!A:F,6,0),0)</f>
        <v>2.92</v>
      </c>
      <c r="AK1841" s="36">
        <f>AJ1841*Z1841*J1841</f>
        <v>2.92</v>
      </c>
      <c r="AL1841" s="23">
        <v>1</v>
      </c>
      <c r="AM1841" s="23"/>
      <c r="AN1841" s="54" t="e">
        <v>#N/A</v>
      </c>
      <c r="AO1841" s="47"/>
      <c r="AP1841" s="4">
        <v>1.6</v>
      </c>
      <c r="AQ1841" s="111">
        <f t="shared" si="668"/>
        <v>0.12783775470972705</v>
      </c>
      <c r="AR1841">
        <f>_xlfn.XLOOKUP(F1841,'RM Cost'!A:A,'RM Cost'!S:S)</f>
        <v>0</v>
      </c>
      <c r="AS1841" t="e">
        <f>_xlfn.XLOOKUP(A1841,[3]Sheet1!$B:$B,[3]Sheet1!$B:$B)</f>
        <v>#N/A</v>
      </c>
    </row>
    <row r="1842" spans="1:46" x14ac:dyDescent="0.25">
      <c r="A1842" s="16" t="s">
        <v>4788</v>
      </c>
      <c r="B1842" s="2" t="s">
        <v>552</v>
      </c>
      <c r="C1842" s="2" t="s">
        <v>1105</v>
      </c>
      <c r="D1842" s="2" t="s">
        <v>554</v>
      </c>
      <c r="E1842" s="2">
        <v>1</v>
      </c>
      <c r="F1842" s="1" t="str">
        <f>VLOOKUP(H1842,'RM Used'!A:B,2,0)</f>
        <v>P0020</v>
      </c>
      <c r="G1842" s="1" t="str">
        <f>IFERROR(VLOOKUP(F1842,'RM Cost'!A:B,2,0),"")</f>
        <v>PALE BLUE BAG 430X430MM</v>
      </c>
      <c r="H1842" s="2" t="s">
        <v>1659</v>
      </c>
      <c r="I1842" s="1" t="str">
        <f>VLOOKUP(F1842,'RM Used'!B:D,3,0)</f>
        <v>RM-PACKING</v>
      </c>
      <c r="J1842" s="66">
        <v>1</v>
      </c>
      <c r="K1842" s="35" t="str">
        <f t="shared" si="651"/>
        <v/>
      </c>
      <c r="L1842" s="35">
        <f t="shared" si="652"/>
        <v>0</v>
      </c>
      <c r="M1842" s="77" t="str" cm="1">
        <f t="array" ref="M1842">_xlfn.IFS(BOM!I1842="RM-PACKING","100%",B1842="Reynolds",VLOOKUP(H1842,'Yield &amp; Time'!A:V,22,0),BOM!B1842="Dnata",VLOOKUP(BOM!H1842,'Yield &amp; Time'!A:M,13,0),B1842="NK",VLOOKUP(H1842,'Yield &amp; Time'!A:X,24,0))</f>
        <v>100%</v>
      </c>
      <c r="N1842" s="35">
        <f t="shared" si="653"/>
        <v>1</v>
      </c>
      <c r="O1842" s="1" t="str">
        <f>VLOOKUP(H1842,'RM Used'!A:E,5,0)</f>
        <v>Count</v>
      </c>
      <c r="P1842" s="11">
        <f>VLOOKUP(H1842,'RM Used'!A:F,6,0)</f>
        <v>0.09</v>
      </c>
      <c r="Q1842" s="11">
        <f t="shared" si="654"/>
        <v>0.09</v>
      </c>
      <c r="R1842" s="11">
        <f>IFERROR(IF(B1842="Reynolds",VLOOKUP(H1842,'Yield &amp; Time'!A:U,21,0),VLOOKUP(H1842,'Yield &amp; Time'!A:L,12,0)),0)</f>
        <v>0</v>
      </c>
      <c r="S1842" s="11">
        <f t="shared" si="655"/>
        <v>0</v>
      </c>
      <c r="T1842" s="11">
        <f t="shared" si="656"/>
        <v>0</v>
      </c>
      <c r="U1842" s="11">
        <f>IF(A1841=A1842,0,VLOOKUP(A1842,'Packing Time'!A:F,6,0))</f>
        <v>0</v>
      </c>
      <c r="V1842" s="11">
        <f t="shared" si="657"/>
        <v>0</v>
      </c>
      <c r="W1842" s="11">
        <f t="shared" si="658"/>
        <v>0</v>
      </c>
      <c r="X1842" s="11">
        <f t="shared" si="659"/>
        <v>0</v>
      </c>
      <c r="Y1842" s="11">
        <f t="shared" si="660"/>
        <v>0</v>
      </c>
      <c r="Z1842" s="37">
        <v>1</v>
      </c>
      <c r="AA1842" s="36">
        <f t="shared" si="661"/>
        <v>1</v>
      </c>
      <c r="AB1842" s="36">
        <f t="shared" si="662"/>
        <v>0.09</v>
      </c>
      <c r="AC1842" s="11">
        <f t="shared" si="663"/>
        <v>0</v>
      </c>
      <c r="AD1842" s="36">
        <f t="shared" si="664"/>
        <v>0</v>
      </c>
      <c r="AE1842" s="36"/>
      <c r="AF1842" s="36">
        <f>IFERROR(VLOOKUP(AE1842,'Chemical Cost'!A:D,4,0),0)</f>
        <v>0</v>
      </c>
      <c r="AG1842" s="114">
        <f t="shared" si="665"/>
        <v>0</v>
      </c>
      <c r="AH1842" s="36">
        <f t="shared" si="666"/>
        <v>0</v>
      </c>
      <c r="AI1842" s="36">
        <f t="shared" si="667"/>
        <v>0.09</v>
      </c>
      <c r="AJ1842" s="36">
        <f>IFERROR(VLOOKUP(A1842,'All Products'!A:F,6,0),0)</f>
        <v>2.92</v>
      </c>
      <c r="AK1842" s="36"/>
      <c r="AL1842" s="23">
        <v>1</v>
      </c>
      <c r="AM1842" s="23"/>
      <c r="AN1842" s="54" t="e">
        <v>#N/A</v>
      </c>
      <c r="AO1842" s="47"/>
      <c r="AP1842" s="4">
        <v>1.6</v>
      </c>
      <c r="AQ1842" s="111">
        <f t="shared" si="668"/>
        <v>0</v>
      </c>
      <c r="AR1842">
        <f>_xlfn.XLOOKUP(F1842,'RM Cost'!A:A,'RM Cost'!S:S)</f>
        <v>0</v>
      </c>
      <c r="AS1842" t="e">
        <f>_xlfn.XLOOKUP(A1842,[3]Sheet1!$B:$B,[3]Sheet1!$B:$B)</f>
        <v>#N/A</v>
      </c>
    </row>
    <row r="1843" spans="1:46" x14ac:dyDescent="0.25">
      <c r="A1843" s="16" t="s">
        <v>4788</v>
      </c>
      <c r="B1843" s="2" t="s">
        <v>552</v>
      </c>
      <c r="C1843" s="2" t="s">
        <v>1105</v>
      </c>
      <c r="D1843" s="2" t="s">
        <v>554</v>
      </c>
      <c r="E1843" s="2">
        <v>1</v>
      </c>
      <c r="F1843" s="1" t="str">
        <f>VLOOKUP(H1843,'RM Used'!A:B,2,0)</f>
        <v>P0016</v>
      </c>
      <c r="G1843" s="1" t="str">
        <f>IFERROR(VLOOKUP(F1843,'RM Cost'!A:B,2,0),"")</f>
        <v>REY 40 30 BOX</v>
      </c>
      <c r="H1843" s="1" t="s">
        <v>1332</v>
      </c>
      <c r="I1843" s="1" t="str">
        <f>VLOOKUP(F1843,'RM Used'!B:D,3,0)</f>
        <v>RM-PACKING</v>
      </c>
      <c r="J1843" s="66">
        <v>1</v>
      </c>
      <c r="K1843" s="35" t="str">
        <f t="shared" si="651"/>
        <v/>
      </c>
      <c r="L1843" s="35">
        <f t="shared" si="652"/>
        <v>0</v>
      </c>
      <c r="M1843" s="77" t="str" cm="1">
        <f t="array" ref="M1843">_xlfn.IFS(BOM!I1843="RM-PACKING","100%",B1843="Reynolds",VLOOKUP(H1843,'Yield &amp; Time'!A:V,22,0),BOM!B1843="Dnata",VLOOKUP(BOM!H1843,'Yield &amp; Time'!A:M,13,0),B1843="NK",VLOOKUP(H1843,'Yield &amp; Time'!A:X,24,0))</f>
        <v>100%</v>
      </c>
      <c r="N1843" s="35">
        <f t="shared" si="653"/>
        <v>1</v>
      </c>
      <c r="O1843" s="1" t="str">
        <f>VLOOKUP(H1843,'RM Used'!A:E,5,0)</f>
        <v>Count</v>
      </c>
      <c r="P1843" s="11">
        <f>VLOOKUP(H1843,'RM Used'!A:F,6,0)</f>
        <v>0.28000000000000003</v>
      </c>
      <c r="Q1843" s="11">
        <f t="shared" si="654"/>
        <v>0.28000000000000003</v>
      </c>
      <c r="R1843" s="11">
        <f>IFERROR(IF(B1843="Reynolds",VLOOKUP(H1843,'Yield &amp; Time'!A:U,21,0),VLOOKUP(H1843,'Yield &amp; Time'!A:L,12,0)),0)</f>
        <v>0</v>
      </c>
      <c r="S1843" s="11">
        <f t="shared" si="655"/>
        <v>0</v>
      </c>
      <c r="T1843" s="11">
        <f t="shared" si="656"/>
        <v>0</v>
      </c>
      <c r="U1843" s="11">
        <f>IF(A1842=A1843,0,VLOOKUP(A1843,'Packing Time'!A:F,6,0))</f>
        <v>0</v>
      </c>
      <c r="V1843" s="11">
        <f t="shared" si="657"/>
        <v>0</v>
      </c>
      <c r="W1843" s="11">
        <f t="shared" si="658"/>
        <v>0</v>
      </c>
      <c r="X1843" s="11">
        <f t="shared" si="659"/>
        <v>0</v>
      </c>
      <c r="Y1843" s="11">
        <f t="shared" si="660"/>
        <v>0</v>
      </c>
      <c r="Z1843" s="37">
        <v>1</v>
      </c>
      <c r="AA1843" s="36">
        <f t="shared" si="661"/>
        <v>1</v>
      </c>
      <c r="AB1843" s="36">
        <f t="shared" si="662"/>
        <v>0.28000000000000003</v>
      </c>
      <c r="AC1843" s="11">
        <f t="shared" si="663"/>
        <v>0</v>
      </c>
      <c r="AD1843" s="36">
        <f t="shared" si="664"/>
        <v>0</v>
      </c>
      <c r="AE1843" s="36"/>
      <c r="AF1843" s="36">
        <f>IFERROR(VLOOKUP(AE1843,'Chemical Cost'!A:D,4,0),0)</f>
        <v>0</v>
      </c>
      <c r="AG1843" s="114">
        <f t="shared" si="665"/>
        <v>0</v>
      </c>
      <c r="AH1843" s="36">
        <f t="shared" si="666"/>
        <v>0</v>
      </c>
      <c r="AI1843" s="36">
        <f t="shared" si="667"/>
        <v>0.28000000000000003</v>
      </c>
      <c r="AJ1843" s="36">
        <f>IFERROR(VLOOKUP(A1843,'All Products'!A:F,6,0),0)</f>
        <v>2.92</v>
      </c>
      <c r="AK1843" s="36"/>
      <c r="AL1843" s="23"/>
      <c r="AM1843" s="23"/>
      <c r="AN1843" s="54" t="e">
        <v>#N/A</v>
      </c>
      <c r="AO1843" s="47"/>
      <c r="AP1843" s="4">
        <v>1.6</v>
      </c>
      <c r="AQ1843" s="111">
        <f t="shared" si="668"/>
        <v>0</v>
      </c>
      <c r="AR1843">
        <f>_xlfn.XLOOKUP(F1843,'RM Cost'!A:A,'RM Cost'!S:S)</f>
        <v>0</v>
      </c>
      <c r="AS1843" t="e">
        <f>_xlfn.XLOOKUP(A1843,[3]Sheet1!$B:$B,[3]Sheet1!$B:$B)</f>
        <v>#N/A</v>
      </c>
    </row>
    <row r="1844" spans="1:46" x14ac:dyDescent="0.25">
      <c r="A1844" s="1" t="s">
        <v>4789</v>
      </c>
      <c r="B1844" s="2" t="s">
        <v>552</v>
      </c>
      <c r="C1844" s="2" t="s">
        <v>581</v>
      </c>
      <c r="D1844" s="2" t="s">
        <v>554</v>
      </c>
      <c r="E1844" s="2">
        <v>2.5</v>
      </c>
      <c r="F1844" s="1" t="str">
        <f>VLOOKUP(H1844,'RM Used'!A:B,2,0)</f>
        <v>3242CS</v>
      </c>
      <c r="G1844" s="1" t="str">
        <f>IFERROR(VLOOKUP(F1844,'RM Cost'!A:B,2,0),"")</f>
        <v>RM - SWEET POTATOES ORANGE FLESH 6K</v>
      </c>
      <c r="H1844" s="2" t="s">
        <v>1448</v>
      </c>
      <c r="I1844" s="1" t="str">
        <f>VLOOKUP(F1844,'RM Used'!B:D,3,0)</f>
        <v>RM-FOOD</v>
      </c>
      <c r="J1844" s="66">
        <v>1</v>
      </c>
      <c r="K1844" s="35">
        <f t="shared" si="651"/>
        <v>2.5</v>
      </c>
      <c r="L1844" s="35">
        <f t="shared" si="652"/>
        <v>2.5</v>
      </c>
      <c r="M1844" s="77" cm="1">
        <f t="array" ref="M1844">_xlfn.IFS(BOM!I1844="RM-PACKING","100%",B1844="Reynolds",VLOOKUP(H1844,'Yield &amp; Time'!A:V,22,0),BOM!B1844="Dnata",VLOOKUP(BOM!H1844,'Yield &amp; Time'!A:M,13,0),B1844="NK",VLOOKUP(H1844,'Yield &amp; Time'!A:X,24,0))</f>
        <v>0.81530446803991419</v>
      </c>
      <c r="N1844" s="35">
        <f t="shared" si="653"/>
        <v>3.0663391383225065</v>
      </c>
      <c r="O1844" s="1" t="str">
        <f>VLOOKUP(H1844,'RM Used'!A:E,5,0)</f>
        <v>KG</v>
      </c>
      <c r="P1844" s="11">
        <f>VLOOKUP(H1844,'RM Used'!A:F,6,0)</f>
        <v>0.88</v>
      </c>
      <c r="Q1844" s="11">
        <f t="shared" si="654"/>
        <v>2.6983784417238059</v>
      </c>
      <c r="R1844" s="11">
        <f>IFERROR(IF(B1844="Reynolds",VLOOKUP(H1844,'Yield &amp; Time'!A:U,21,0),VLOOKUP(H1844,'Yield &amp; Time'!A:L,12,0)),0)</f>
        <v>1.3025073571805521</v>
      </c>
      <c r="S1844" s="11">
        <f t="shared" si="655"/>
        <v>1.1022468510140422</v>
      </c>
      <c r="T1844" s="11">
        <f t="shared" si="656"/>
        <v>5.4271139882523002E-2</v>
      </c>
      <c r="U1844" s="11">
        <f>IF(A1843=A1844,0,VLOOKUP(A1844,'Packing Time'!A:F,6,0))</f>
        <v>0.875</v>
      </c>
      <c r="V1844" s="11">
        <f t="shared" si="657"/>
        <v>0.29618749999999999</v>
      </c>
      <c r="W1844" s="11">
        <f t="shared" si="658"/>
        <v>1.4583333333333334E-2</v>
      </c>
      <c r="X1844" s="11">
        <f t="shared" si="659"/>
        <v>1.5382777861154464</v>
      </c>
      <c r="Y1844" s="11">
        <f t="shared" si="660"/>
        <v>1.5382777861154464</v>
      </c>
      <c r="Z1844" s="37">
        <v>1</v>
      </c>
      <c r="AA1844" s="36">
        <f t="shared" si="661"/>
        <v>3.0663391383225065</v>
      </c>
      <c r="AB1844" s="36">
        <f t="shared" si="662"/>
        <v>2.6983784417238059</v>
      </c>
      <c r="AC1844" s="11">
        <f t="shared" si="663"/>
        <v>7.5739920537441968E-2</v>
      </c>
      <c r="AD1844" s="36">
        <f t="shared" si="664"/>
        <v>1.5382777861154462</v>
      </c>
      <c r="AE1844" s="36"/>
      <c r="AF1844" s="36">
        <f>IFERROR(VLOOKUP(AE1844,'Chemical Cost'!A:D,4,0),0)</f>
        <v>0</v>
      </c>
      <c r="AG1844" s="114">
        <f t="shared" si="665"/>
        <v>0</v>
      </c>
      <c r="AH1844" s="36">
        <f t="shared" si="666"/>
        <v>0</v>
      </c>
      <c r="AI1844" s="36">
        <f t="shared" si="667"/>
        <v>4.2366562278392523</v>
      </c>
      <c r="AJ1844" s="36">
        <f>IFERROR(VLOOKUP(A1844,'All Products'!A:F,6,0),0)</f>
        <v>0</v>
      </c>
      <c r="AK1844" s="36">
        <f>AJ1844*Z1844*J1844</f>
        <v>0</v>
      </c>
      <c r="AL1844" s="23">
        <v>1</v>
      </c>
      <c r="AM1844" s="23"/>
      <c r="AN1844" s="54" t="e">
        <v>#N/A</v>
      </c>
      <c r="AO1844" s="47"/>
      <c r="AP1844" s="4">
        <v>1.1000000000000001</v>
      </c>
      <c r="AQ1844" s="111">
        <f t="shared" si="668"/>
        <v>7.5739920537441968E-2</v>
      </c>
      <c r="AR1844">
        <f>_xlfn.XLOOKUP(F1844,'RM Cost'!A:A,'RM Cost'!S:S)</f>
        <v>0</v>
      </c>
      <c r="AS1844" t="e">
        <f>_xlfn.XLOOKUP(A1844,[3]Sheet1!$B:$B,[3]Sheet1!$B:$B)</f>
        <v>#N/A</v>
      </c>
    </row>
    <row r="1845" spans="1:46" x14ac:dyDescent="0.25">
      <c r="A1845" s="1" t="s">
        <v>4789</v>
      </c>
      <c r="B1845" s="2" t="s">
        <v>552</v>
      </c>
      <c r="C1845" s="2" t="s">
        <v>581</v>
      </c>
      <c r="D1845" s="2" t="s">
        <v>554</v>
      </c>
      <c r="E1845" s="2">
        <v>2.5</v>
      </c>
      <c r="F1845" s="1" t="str">
        <f>VLOOKUP(H1845,'RM Used'!A:B,2,0)</f>
        <v>P0020</v>
      </c>
      <c r="G1845" s="1" t="str">
        <f>IFERROR(VLOOKUP(F1845,'RM Cost'!A:B,2,0),"")</f>
        <v>PALE BLUE BAG 430X430MM</v>
      </c>
      <c r="H1845" s="2" t="s">
        <v>1659</v>
      </c>
      <c r="I1845" s="1" t="str">
        <f>VLOOKUP(F1845,'RM Used'!B:D,3,0)</f>
        <v>RM-PACKING</v>
      </c>
      <c r="J1845" s="66">
        <v>1</v>
      </c>
      <c r="K1845" s="35" t="str">
        <f t="shared" si="651"/>
        <v/>
      </c>
      <c r="L1845" s="35">
        <f t="shared" si="652"/>
        <v>0</v>
      </c>
      <c r="M1845" s="77" t="str" cm="1">
        <f t="array" ref="M1845">_xlfn.IFS(BOM!I1845="RM-PACKING","100%",B1845="Reynolds",VLOOKUP(H1845,'Yield &amp; Time'!A:V,22,0),BOM!B1845="Dnata",VLOOKUP(BOM!H1845,'Yield &amp; Time'!A:M,13,0),B1845="NK",VLOOKUP(H1845,'Yield &amp; Time'!A:X,24,0))</f>
        <v>100%</v>
      </c>
      <c r="N1845" s="35">
        <f t="shared" si="653"/>
        <v>1</v>
      </c>
      <c r="O1845" s="1" t="str">
        <f>VLOOKUP(H1845,'RM Used'!A:E,5,0)</f>
        <v>Count</v>
      </c>
      <c r="P1845" s="11">
        <f>VLOOKUP(H1845,'RM Used'!A:F,6,0)</f>
        <v>0.09</v>
      </c>
      <c r="Q1845" s="11">
        <f t="shared" si="654"/>
        <v>0.09</v>
      </c>
      <c r="R1845" s="11">
        <f>IFERROR(IF(B1845="Reynolds",VLOOKUP(H1845,'Yield &amp; Time'!A:U,21,0),VLOOKUP(H1845,'Yield &amp; Time'!A:L,12,0)),0)</f>
        <v>0</v>
      </c>
      <c r="S1845" s="11">
        <f t="shared" si="655"/>
        <v>0</v>
      </c>
      <c r="T1845" s="11">
        <f t="shared" si="656"/>
        <v>0</v>
      </c>
      <c r="U1845" s="11">
        <f>IF(A1844=A1845,0,VLOOKUP(A1845,'Packing Time'!A:F,6,0))</f>
        <v>0</v>
      </c>
      <c r="V1845" s="11">
        <f t="shared" si="657"/>
        <v>0</v>
      </c>
      <c r="W1845" s="11">
        <f t="shared" si="658"/>
        <v>0</v>
      </c>
      <c r="X1845" s="11">
        <f t="shared" si="659"/>
        <v>0</v>
      </c>
      <c r="Y1845" s="11">
        <f t="shared" si="660"/>
        <v>0</v>
      </c>
      <c r="Z1845" s="37">
        <v>1</v>
      </c>
      <c r="AA1845" s="36">
        <f t="shared" si="661"/>
        <v>1</v>
      </c>
      <c r="AB1845" s="36">
        <f t="shared" si="662"/>
        <v>0.09</v>
      </c>
      <c r="AC1845" s="11">
        <f t="shared" si="663"/>
        <v>0</v>
      </c>
      <c r="AD1845" s="36">
        <f t="shared" si="664"/>
        <v>0</v>
      </c>
      <c r="AE1845" s="36"/>
      <c r="AF1845" s="36">
        <f>IFERROR(VLOOKUP(AE1845,'Chemical Cost'!A:D,4,0),0)</f>
        <v>0</v>
      </c>
      <c r="AG1845" s="114">
        <f t="shared" si="665"/>
        <v>0</v>
      </c>
      <c r="AH1845" s="36">
        <f t="shared" si="666"/>
        <v>0</v>
      </c>
      <c r="AI1845" s="36">
        <f t="shared" si="667"/>
        <v>0.09</v>
      </c>
      <c r="AJ1845" s="36">
        <f>IFERROR(VLOOKUP(A1845,'All Products'!A:F,6,0),0)</f>
        <v>0</v>
      </c>
      <c r="AK1845" s="36"/>
      <c r="AL1845" s="23">
        <v>1</v>
      </c>
      <c r="AM1845" s="23"/>
      <c r="AN1845" s="54" t="e">
        <v>#N/A</v>
      </c>
      <c r="AO1845" s="47"/>
      <c r="AP1845" s="4">
        <v>1.1000000000000001</v>
      </c>
      <c r="AQ1845" s="111">
        <f t="shared" si="668"/>
        <v>0</v>
      </c>
      <c r="AR1845">
        <f>_xlfn.XLOOKUP(F1845,'RM Cost'!A:A,'RM Cost'!S:S)</f>
        <v>0</v>
      </c>
      <c r="AS1845" t="e">
        <f>_xlfn.XLOOKUP(A1845,[3]Sheet1!$B:$B,[3]Sheet1!$B:$B)</f>
        <v>#N/A</v>
      </c>
    </row>
    <row r="1846" spans="1:46" x14ac:dyDescent="0.25">
      <c r="A1846" s="1" t="s">
        <v>4789</v>
      </c>
      <c r="B1846" s="2" t="s">
        <v>552</v>
      </c>
      <c r="C1846" s="2" t="s">
        <v>581</v>
      </c>
      <c r="D1846" s="2" t="s">
        <v>554</v>
      </c>
      <c r="E1846" s="2">
        <v>2.5</v>
      </c>
      <c r="F1846" s="1" t="str">
        <f>VLOOKUP(H1846,'RM Used'!A:B,2,0)</f>
        <v>P0016</v>
      </c>
      <c r="G1846" s="1" t="str">
        <f>IFERROR(VLOOKUP(F1846,'RM Cost'!A:B,2,0),"")</f>
        <v>REY 40 30 BOX</v>
      </c>
      <c r="H1846" s="2" t="s">
        <v>1332</v>
      </c>
      <c r="I1846" s="1" t="str">
        <f>VLOOKUP(F1846,'RM Used'!B:D,3,0)</f>
        <v>RM-PACKING</v>
      </c>
      <c r="J1846" s="66">
        <v>1</v>
      </c>
      <c r="K1846" s="35" t="str">
        <f t="shared" si="651"/>
        <v/>
      </c>
      <c r="L1846" s="35">
        <f t="shared" si="652"/>
        <v>0</v>
      </c>
      <c r="M1846" s="77" t="str" cm="1">
        <f t="array" ref="M1846">_xlfn.IFS(BOM!I1846="RM-PACKING","100%",B1846="Reynolds",VLOOKUP(H1846,'Yield &amp; Time'!A:V,22,0),BOM!B1846="Dnata",VLOOKUP(BOM!H1846,'Yield &amp; Time'!A:M,13,0),B1846="NK",VLOOKUP(H1846,'Yield &amp; Time'!A:X,24,0))</f>
        <v>100%</v>
      </c>
      <c r="N1846" s="35">
        <f t="shared" si="653"/>
        <v>1</v>
      </c>
      <c r="O1846" s="1" t="str">
        <f>VLOOKUP(H1846,'RM Used'!A:E,5,0)</f>
        <v>Count</v>
      </c>
      <c r="P1846" s="11">
        <f>VLOOKUP(H1846,'RM Used'!A:F,6,0)</f>
        <v>0.28000000000000003</v>
      </c>
      <c r="Q1846" s="11">
        <f t="shared" si="654"/>
        <v>0.28000000000000003</v>
      </c>
      <c r="R1846" s="11">
        <f>IFERROR(IF(B1846="Reynolds",VLOOKUP(H1846,'Yield &amp; Time'!A:U,21,0),VLOOKUP(H1846,'Yield &amp; Time'!A:L,12,0)),0)</f>
        <v>0</v>
      </c>
      <c r="S1846" s="11">
        <f t="shared" si="655"/>
        <v>0</v>
      </c>
      <c r="T1846" s="11">
        <f t="shared" si="656"/>
        <v>0</v>
      </c>
      <c r="U1846" s="11">
        <f>IF(A1845=A1846,0,VLOOKUP(A1846,'Packing Time'!A:F,6,0))</f>
        <v>0</v>
      </c>
      <c r="V1846" s="11">
        <f t="shared" si="657"/>
        <v>0</v>
      </c>
      <c r="W1846" s="11">
        <f t="shared" si="658"/>
        <v>0</v>
      </c>
      <c r="X1846" s="11">
        <f t="shared" si="659"/>
        <v>0</v>
      </c>
      <c r="Y1846" s="11">
        <f t="shared" si="660"/>
        <v>0</v>
      </c>
      <c r="Z1846" s="37">
        <v>1</v>
      </c>
      <c r="AA1846" s="36">
        <f t="shared" si="661"/>
        <v>1</v>
      </c>
      <c r="AB1846" s="36">
        <f t="shared" si="662"/>
        <v>0.28000000000000003</v>
      </c>
      <c r="AC1846" s="11">
        <f t="shared" si="663"/>
        <v>0</v>
      </c>
      <c r="AD1846" s="36">
        <f t="shared" si="664"/>
        <v>0</v>
      </c>
      <c r="AE1846" s="36"/>
      <c r="AF1846" s="36">
        <f>IFERROR(VLOOKUP(AE1846,'Chemical Cost'!A:D,4,0),0)</f>
        <v>0</v>
      </c>
      <c r="AG1846" s="114">
        <f t="shared" si="665"/>
        <v>0</v>
      </c>
      <c r="AH1846" s="36">
        <f t="shared" si="666"/>
        <v>0</v>
      </c>
      <c r="AI1846" s="36">
        <f t="shared" si="667"/>
        <v>0.28000000000000003</v>
      </c>
      <c r="AJ1846" s="36">
        <f>IFERROR(VLOOKUP(A1846,'All Products'!A:F,6,0),0)</f>
        <v>0</v>
      </c>
      <c r="AK1846" s="36"/>
      <c r="AL1846" s="23">
        <v>1</v>
      </c>
      <c r="AM1846" s="23"/>
      <c r="AN1846" s="54" t="e">
        <v>#N/A</v>
      </c>
      <c r="AO1846" s="47"/>
      <c r="AP1846" s="4">
        <v>1.1000000000000001</v>
      </c>
      <c r="AQ1846" s="111">
        <f t="shared" si="668"/>
        <v>0</v>
      </c>
      <c r="AR1846">
        <f>_xlfn.XLOOKUP(F1846,'RM Cost'!A:A,'RM Cost'!S:S)</f>
        <v>0</v>
      </c>
      <c r="AS1846" t="e">
        <f>_xlfn.XLOOKUP(A1846,[3]Sheet1!$B:$B,[3]Sheet1!$B:$B)</f>
        <v>#N/A</v>
      </c>
    </row>
    <row r="1847" spans="1:46" x14ac:dyDescent="0.25">
      <c r="A1847" s="1" t="s">
        <v>4790</v>
      </c>
      <c r="B1847" s="1" t="s">
        <v>552</v>
      </c>
      <c r="C1847" s="1" t="s">
        <v>565</v>
      </c>
      <c r="D1847" s="1" t="s">
        <v>554</v>
      </c>
      <c r="E1847" s="1">
        <v>2.5</v>
      </c>
      <c r="F1847" s="1" t="str">
        <f>VLOOKUP(H1847,'RM Used'!A:B,2,0)</f>
        <v>283ACS</v>
      </c>
      <c r="G1847" s="1" t="str">
        <f>IFERROR(VLOOKUP(F1847,'RM Cost'!A:B,2,0),"")</f>
        <v>RM - BUTTERNUT SQUASH BIN X 625KG</v>
      </c>
      <c r="H1847" s="2" t="s">
        <v>1438</v>
      </c>
      <c r="I1847" s="1" t="str">
        <f>VLOOKUP(F1847,'RM Used'!B:D,3,0)</f>
        <v>RM-FOOD</v>
      </c>
      <c r="J1847" s="66">
        <v>1</v>
      </c>
      <c r="K1847" s="35">
        <f t="shared" si="651"/>
        <v>2.5</v>
      </c>
      <c r="L1847" s="35">
        <f t="shared" si="652"/>
        <v>2.5</v>
      </c>
      <c r="M1847" s="77" cm="1">
        <f t="array" ref="M1847">_xlfn.IFS(BOM!I1847="RM-PACKING","100%",B1847="Reynolds",VLOOKUP(H1847,'Yield &amp; Time'!A:V,22,0),BOM!B1847="Dnata",VLOOKUP(BOM!H1847,'Yield &amp; Time'!A:M,13,0),B1847="NK",VLOOKUP(H1847,'Yield &amp; Time'!A:X,24,0))</f>
        <v>0.72</v>
      </c>
      <c r="N1847" s="35">
        <f t="shared" si="653"/>
        <v>3.4722222222222223</v>
      </c>
      <c r="O1847" s="1" t="str">
        <f>VLOOKUP(H1847,'RM Used'!A:E,5,0)</f>
        <v>KG</v>
      </c>
      <c r="P1847" s="11">
        <f>VLOOKUP(H1847,'RM Used'!A:F,6,0)</f>
        <v>0.65</v>
      </c>
      <c r="Q1847" s="11">
        <f t="shared" si="654"/>
        <v>2.2569444444444446</v>
      </c>
      <c r="R1847" s="11">
        <f>IFERROR(IF(B1847="Reynolds",VLOOKUP(H1847,'Yield &amp; Time'!A:U,21,0),VLOOKUP(H1847,'Yield &amp; Time'!A:L,12,0)),0)</f>
        <v>2.92</v>
      </c>
      <c r="S1847" s="11">
        <f t="shared" si="655"/>
        <v>2.4710499999999995</v>
      </c>
      <c r="T1847" s="11">
        <f t="shared" si="656"/>
        <v>0.12166666666666666</v>
      </c>
      <c r="U1847" s="11">
        <f>IF(A1846=A1847,0,VLOOKUP(A1847,'Packing Time'!A:F,6,0))</f>
        <v>0.875</v>
      </c>
      <c r="V1847" s="11">
        <f t="shared" si="657"/>
        <v>0.29618749999999999</v>
      </c>
      <c r="W1847" s="11">
        <f t="shared" si="658"/>
        <v>1.4583333333333334E-2</v>
      </c>
      <c r="X1847" s="11">
        <f t="shared" si="659"/>
        <v>3.0439612500000002</v>
      </c>
      <c r="Y1847" s="11">
        <f t="shared" si="660"/>
        <v>3.0439612500000002</v>
      </c>
      <c r="Z1847" s="37">
        <v>1</v>
      </c>
      <c r="AA1847" s="36">
        <f t="shared" si="661"/>
        <v>3.4722222222222223</v>
      </c>
      <c r="AB1847" s="36">
        <f t="shared" si="662"/>
        <v>2.2569444444444446</v>
      </c>
      <c r="AC1847" s="11">
        <f t="shared" si="663"/>
        <v>0.14987500000000004</v>
      </c>
      <c r="AD1847" s="36">
        <f t="shared" si="664"/>
        <v>3.0439612500000002</v>
      </c>
      <c r="AE1847" s="36"/>
      <c r="AF1847" s="36">
        <f>IFERROR(VLOOKUP(AE1847,'Chemical Cost'!A:D,4,0),0)</f>
        <v>0</v>
      </c>
      <c r="AG1847" s="114">
        <f t="shared" si="665"/>
        <v>0</v>
      </c>
      <c r="AH1847" s="36">
        <f t="shared" si="666"/>
        <v>0</v>
      </c>
      <c r="AI1847" s="36">
        <f t="shared" si="667"/>
        <v>5.3009056944444453</v>
      </c>
      <c r="AJ1847" s="36">
        <f>IFERROR(VLOOKUP(A1847,'All Products'!A:F,6,0),0)</f>
        <v>0</v>
      </c>
      <c r="AK1847" s="36">
        <f>AJ1847*Z1847*J1847</f>
        <v>0</v>
      </c>
      <c r="AL1847" s="23">
        <v>1</v>
      </c>
      <c r="AM1847" s="23"/>
      <c r="AN1847" s="54" t="e">
        <v>#N/A</v>
      </c>
      <c r="AP1847" s="4">
        <v>1.1000000000000001</v>
      </c>
      <c r="AQ1847" s="111">
        <f t="shared" si="668"/>
        <v>0.14987500000000004</v>
      </c>
      <c r="AS1847" t="str">
        <f>_xlfn.XLOOKUP(A1847,[3]Sheet1!$B:$B,[3]Sheet1!$B:$B)</f>
        <v>P1536CS</v>
      </c>
      <c r="AT1847">
        <f>_xlfn.XLOOKUP(H1847,'Yield &amp; Time'!A:A,'Yield &amp; Time'!F:F)</f>
        <v>0</v>
      </c>
    </row>
    <row r="1848" spans="1:46" x14ac:dyDescent="0.25">
      <c r="A1848" s="1" t="s">
        <v>4790</v>
      </c>
      <c r="B1848" s="1" t="s">
        <v>552</v>
      </c>
      <c r="C1848" s="1" t="s">
        <v>565</v>
      </c>
      <c r="D1848" s="1" t="s">
        <v>554</v>
      </c>
      <c r="E1848" s="1">
        <v>2.5</v>
      </c>
      <c r="F1848" s="1" t="str">
        <f>VLOOKUP(H1848,'RM Used'!A:B,2,0)</f>
        <v>P0020</v>
      </c>
      <c r="G1848" s="1" t="str">
        <f>IFERROR(VLOOKUP(F1848,'RM Cost'!A:B,2,0),"")</f>
        <v>PALE BLUE BAG 430X430MM</v>
      </c>
      <c r="H1848" s="2" t="s">
        <v>1659</v>
      </c>
      <c r="I1848" s="1" t="str">
        <f>VLOOKUP(F1848,'RM Used'!B:D,3,0)</f>
        <v>RM-PACKING</v>
      </c>
      <c r="J1848" s="66">
        <v>1</v>
      </c>
      <c r="K1848" s="35" t="str">
        <f t="shared" si="651"/>
        <v/>
      </c>
      <c r="L1848" s="35">
        <f t="shared" si="652"/>
        <v>0</v>
      </c>
      <c r="M1848" s="77" t="str" cm="1">
        <f t="array" ref="M1848">_xlfn.IFS(BOM!I1848="RM-PACKING","100%",B1848="Reynolds",VLOOKUP(H1848,'Yield &amp; Time'!A:V,22,0),BOM!B1848="Dnata",VLOOKUP(BOM!H1848,'Yield &amp; Time'!A:M,13,0),B1848="NK",VLOOKUP(H1848,'Yield &amp; Time'!A:X,24,0))</f>
        <v>100%</v>
      </c>
      <c r="N1848" s="35">
        <f t="shared" si="653"/>
        <v>1</v>
      </c>
      <c r="O1848" s="1" t="str">
        <f>VLOOKUP(H1848,'RM Used'!A:E,5,0)</f>
        <v>Count</v>
      </c>
      <c r="P1848" s="11">
        <f>VLOOKUP(H1848,'RM Used'!A:F,6,0)</f>
        <v>0.09</v>
      </c>
      <c r="Q1848" s="11">
        <f t="shared" si="654"/>
        <v>0.09</v>
      </c>
      <c r="R1848" s="11">
        <f>IFERROR(IF(B1848="Reynolds",VLOOKUP(H1848,'Yield &amp; Time'!A:U,21,0),VLOOKUP(H1848,'Yield &amp; Time'!A:L,12,0)),0)</f>
        <v>0</v>
      </c>
      <c r="S1848" s="11">
        <f t="shared" si="655"/>
        <v>0</v>
      </c>
      <c r="T1848" s="11">
        <f t="shared" si="656"/>
        <v>0</v>
      </c>
      <c r="U1848" s="11">
        <f>IF(A1847=A1848,0,VLOOKUP(A1848,'Packing Time'!A:F,6,0))</f>
        <v>0</v>
      </c>
      <c r="V1848" s="11">
        <f t="shared" si="657"/>
        <v>0</v>
      </c>
      <c r="W1848" s="11">
        <f t="shared" si="658"/>
        <v>0</v>
      </c>
      <c r="X1848" s="11">
        <f t="shared" si="659"/>
        <v>0</v>
      </c>
      <c r="Y1848" s="11">
        <f t="shared" si="660"/>
        <v>0</v>
      </c>
      <c r="Z1848" s="37">
        <v>1</v>
      </c>
      <c r="AA1848" s="36">
        <f t="shared" si="661"/>
        <v>1</v>
      </c>
      <c r="AB1848" s="36">
        <f t="shared" si="662"/>
        <v>0.09</v>
      </c>
      <c r="AC1848" s="11">
        <f t="shared" si="663"/>
        <v>0</v>
      </c>
      <c r="AD1848" s="36">
        <f t="shared" si="664"/>
        <v>0</v>
      </c>
      <c r="AE1848" s="36"/>
      <c r="AF1848" s="36">
        <f>IFERROR(VLOOKUP(AE1848,'Chemical Cost'!A:D,4,0),0)</f>
        <v>0</v>
      </c>
      <c r="AG1848" s="114">
        <f t="shared" si="665"/>
        <v>0</v>
      </c>
      <c r="AH1848" s="36">
        <f t="shared" si="666"/>
        <v>0</v>
      </c>
      <c r="AI1848" s="36">
        <f t="shared" si="667"/>
        <v>0.09</v>
      </c>
      <c r="AJ1848" s="36">
        <f>IFERROR(VLOOKUP(A1848,'All Products'!A:F,6,0),0)</f>
        <v>0</v>
      </c>
      <c r="AK1848" s="36"/>
      <c r="AL1848" s="23">
        <v>1</v>
      </c>
      <c r="AM1848" s="23"/>
      <c r="AN1848" s="54" t="e">
        <v>#N/A</v>
      </c>
      <c r="AP1848" s="4">
        <v>1.1000000000000001</v>
      </c>
      <c r="AQ1848" s="111">
        <f t="shared" si="668"/>
        <v>0</v>
      </c>
      <c r="AS1848" t="str">
        <f>_xlfn.XLOOKUP(A1848,[3]Sheet1!$B:$B,[3]Sheet1!$B:$B)</f>
        <v>P1536CS</v>
      </c>
      <c r="AT1848" t="e">
        <f>_xlfn.XLOOKUP(H1848,'Yield &amp; Time'!A:A,'Yield &amp; Time'!F:F)</f>
        <v>#N/A</v>
      </c>
    </row>
    <row r="1849" spans="1:46" x14ac:dyDescent="0.25">
      <c r="A1849" s="1" t="s">
        <v>4790</v>
      </c>
      <c r="B1849" s="1" t="s">
        <v>552</v>
      </c>
      <c r="C1849" s="1" t="s">
        <v>565</v>
      </c>
      <c r="D1849" s="1" t="s">
        <v>554</v>
      </c>
      <c r="E1849" s="1">
        <v>2.5</v>
      </c>
      <c r="F1849" s="1" t="str">
        <f>VLOOKUP(H1849,'RM Used'!A:B,2,0)</f>
        <v>P0016</v>
      </c>
      <c r="G1849" s="1" t="str">
        <f>IFERROR(VLOOKUP(F1849,'RM Cost'!A:B,2,0),"")</f>
        <v>REY 40 30 BOX</v>
      </c>
      <c r="H1849" s="2" t="s">
        <v>1332</v>
      </c>
      <c r="I1849" s="1" t="str">
        <f>VLOOKUP(F1849,'RM Used'!B:D,3,0)</f>
        <v>RM-PACKING</v>
      </c>
      <c r="J1849" s="66">
        <v>1</v>
      </c>
      <c r="K1849" s="35" t="str">
        <f t="shared" si="651"/>
        <v/>
      </c>
      <c r="L1849" s="35">
        <f t="shared" si="652"/>
        <v>0</v>
      </c>
      <c r="M1849" s="77" t="str" cm="1">
        <f t="array" ref="M1849">_xlfn.IFS(BOM!I1849="RM-PACKING","100%",B1849="Reynolds",VLOOKUP(H1849,'Yield &amp; Time'!A:V,22,0),BOM!B1849="Dnata",VLOOKUP(BOM!H1849,'Yield &amp; Time'!A:M,13,0),B1849="NK",VLOOKUP(H1849,'Yield &amp; Time'!A:X,24,0))</f>
        <v>100%</v>
      </c>
      <c r="N1849" s="35">
        <f t="shared" si="653"/>
        <v>1</v>
      </c>
      <c r="O1849" s="1" t="str">
        <f>VLOOKUP(H1849,'RM Used'!A:E,5,0)</f>
        <v>Count</v>
      </c>
      <c r="P1849" s="11">
        <f>VLOOKUP(H1849,'RM Used'!A:F,6,0)</f>
        <v>0.28000000000000003</v>
      </c>
      <c r="Q1849" s="11">
        <f t="shared" si="654"/>
        <v>0.28000000000000003</v>
      </c>
      <c r="R1849" s="11">
        <f>IFERROR(IF(B1849="Reynolds",VLOOKUP(H1849,'Yield &amp; Time'!A:U,21,0),VLOOKUP(H1849,'Yield &amp; Time'!A:L,12,0)),0)</f>
        <v>0</v>
      </c>
      <c r="S1849" s="11">
        <f t="shared" si="655"/>
        <v>0</v>
      </c>
      <c r="T1849" s="11">
        <f t="shared" si="656"/>
        <v>0</v>
      </c>
      <c r="U1849" s="11">
        <f>IF(A1848=A1849,0,VLOOKUP(A1849,'Packing Time'!A:F,6,0))</f>
        <v>0</v>
      </c>
      <c r="V1849" s="11">
        <f t="shared" si="657"/>
        <v>0</v>
      </c>
      <c r="W1849" s="11">
        <f t="shared" si="658"/>
        <v>0</v>
      </c>
      <c r="X1849" s="11">
        <f t="shared" si="659"/>
        <v>0</v>
      </c>
      <c r="Y1849" s="11">
        <f t="shared" si="660"/>
        <v>0</v>
      </c>
      <c r="Z1849" s="37">
        <v>1</v>
      </c>
      <c r="AA1849" s="36">
        <f t="shared" si="661"/>
        <v>1</v>
      </c>
      <c r="AB1849" s="36">
        <f t="shared" si="662"/>
        <v>0.28000000000000003</v>
      </c>
      <c r="AC1849" s="11">
        <f t="shared" si="663"/>
        <v>0</v>
      </c>
      <c r="AD1849" s="36">
        <f t="shared" si="664"/>
        <v>0</v>
      </c>
      <c r="AE1849" s="36"/>
      <c r="AF1849" s="36">
        <f>IFERROR(VLOOKUP(AE1849,'Chemical Cost'!A:D,4,0),0)</f>
        <v>0</v>
      </c>
      <c r="AG1849" s="114">
        <f t="shared" si="665"/>
        <v>0</v>
      </c>
      <c r="AH1849" s="36">
        <f t="shared" si="666"/>
        <v>0</v>
      </c>
      <c r="AI1849" s="36">
        <f t="shared" si="667"/>
        <v>0.28000000000000003</v>
      </c>
      <c r="AJ1849" s="36">
        <f>IFERROR(VLOOKUP(A1849,'All Products'!A:F,6,0),0)</f>
        <v>0</v>
      </c>
      <c r="AK1849" s="36"/>
      <c r="AL1849" s="23">
        <v>1</v>
      </c>
      <c r="AM1849" s="23"/>
      <c r="AN1849" s="54" t="e">
        <v>#N/A</v>
      </c>
      <c r="AP1849" s="4">
        <v>1.1000000000000001</v>
      </c>
      <c r="AQ1849" s="111">
        <f t="shared" si="668"/>
        <v>0</v>
      </c>
      <c r="AS1849" t="str">
        <f>_xlfn.XLOOKUP(A1849,[3]Sheet1!$B:$B,[3]Sheet1!$B:$B)</f>
        <v>P1536CS</v>
      </c>
      <c r="AT1849" t="e">
        <f>_xlfn.XLOOKUP(H1849,'Yield &amp; Time'!A:A,'Yield &amp; Time'!F:F)</f>
        <v>#N/A</v>
      </c>
    </row>
    <row r="1850" spans="1:46" x14ac:dyDescent="0.25">
      <c r="A1850" s="1" t="s">
        <v>4791</v>
      </c>
      <c r="B1850" s="1" t="s">
        <v>552</v>
      </c>
      <c r="C1850" s="1" t="s">
        <v>553</v>
      </c>
      <c r="D1850" s="1" t="s">
        <v>554</v>
      </c>
      <c r="E1850" s="1">
        <v>1</v>
      </c>
      <c r="F1850" s="1" t="str">
        <f>VLOOKUP(H1850,'RM Used'!A:B,2,0)</f>
        <v>032ACS</v>
      </c>
      <c r="G1850" s="1" t="str">
        <f>IFERROR(VLOOKUP(F1850,'RM Cost'!A:B,2,0),"")</f>
        <v>RM - LRG PROCESSING CARROT X 1000KG</v>
      </c>
      <c r="H1850" s="2" t="s">
        <v>1351</v>
      </c>
      <c r="I1850" s="1" t="str">
        <f>VLOOKUP(F1850,'RM Used'!B:D,3,0)</f>
        <v>RM-FOOD</v>
      </c>
      <c r="J1850" s="66">
        <v>1</v>
      </c>
      <c r="K1850" s="35">
        <f t="shared" si="651"/>
        <v>1</v>
      </c>
      <c r="L1850" s="35">
        <f t="shared" si="652"/>
        <v>1</v>
      </c>
      <c r="M1850" s="77" cm="1">
        <f t="array" ref="M1850">_xlfn.IFS(BOM!I1850="RM-PACKING","100%",B1850="Reynolds",VLOOKUP(H1850,'Yield &amp; Time'!A:V,22,0),BOM!B1850="Dnata",VLOOKUP(BOM!H1850,'Yield &amp; Time'!A:M,13,0),B1850="NK",VLOOKUP(H1850,'Yield &amp; Time'!A:X,24,0))</f>
        <v>0.75330000000000008</v>
      </c>
      <c r="N1850" s="35">
        <f t="shared" si="653"/>
        <v>1.3274923669188901</v>
      </c>
      <c r="O1850" s="1" t="str">
        <f>VLOOKUP(H1850,'RM Used'!A:E,5,0)</f>
        <v>KG</v>
      </c>
      <c r="P1850" s="11">
        <f>VLOOKUP(H1850,'RM Used'!A:F,6,0)</f>
        <v>0.38</v>
      </c>
      <c r="Q1850" s="11">
        <f t="shared" ref="Q1850:Q1855" si="669">P1850*N1850</f>
        <v>0.5044470994291782</v>
      </c>
      <c r="R1850" s="11">
        <f>IFERROR(IF(B1850="Reynolds",VLOOKUP(H1850,'Yield &amp; Time'!A:U,21,0),VLOOKUP(H1850,'Yield &amp; Time'!A:L,12,0)),0)</f>
        <v>0.90531914893617027</v>
      </c>
      <c r="S1850" s="11">
        <f t="shared" si="655"/>
        <v>0.30645053191489363</v>
      </c>
      <c r="T1850" s="11">
        <f t="shared" si="656"/>
        <v>1.5088652482269505E-2</v>
      </c>
      <c r="U1850" s="11">
        <f>IF(A1849=A1850,0,VLOOKUP(A1850,'Packing Time'!A:F,6,0))</f>
        <v>0.64166666666666661</v>
      </c>
      <c r="V1850" s="11">
        <f t="shared" ref="V1850:V1855" si="670">U1850*AO$1</f>
        <v>0.21720416666666661</v>
      </c>
      <c r="W1850" s="11">
        <f t="shared" ref="W1850:W1855" si="671">(U1850*Z1850)/60</f>
        <v>1.0694444444444444E-2</v>
      </c>
      <c r="X1850" s="11">
        <f t="shared" si="659"/>
        <v>0.57602016843971626</v>
      </c>
      <c r="Y1850" s="11">
        <f t="shared" ref="Y1850:Y1855" si="672">X1850*Z1850</f>
        <v>0.57602016843971626</v>
      </c>
      <c r="Z1850" s="37">
        <v>1</v>
      </c>
      <c r="AA1850" s="36">
        <f t="shared" si="661"/>
        <v>1.3274923669188901</v>
      </c>
      <c r="AB1850" s="11">
        <f t="shared" si="662"/>
        <v>0.5044470994291782</v>
      </c>
      <c r="AC1850" s="11">
        <f t="shared" si="663"/>
        <v>2.8361406619385344E-2</v>
      </c>
      <c r="AD1850" s="36">
        <f t="shared" ref="AD1850:AD1855" si="673">AC1850*60*AO$1</f>
        <v>0.57602016843971626</v>
      </c>
      <c r="AE1850" s="36" t="str">
        <f>VLOOKUP(H1850,'Yield &amp; Time'!A:R,18,0)</f>
        <v>CHLORINE</v>
      </c>
      <c r="AF1850" s="36">
        <f>IFERROR(VLOOKUP(AE1850,'Chemical Cost'!A:D,4,0),0)</f>
        <v>2.7756518066439469E-2</v>
      </c>
      <c r="AG1850" s="114">
        <f t="shared" si="665"/>
        <v>1.2282188621814889E-2</v>
      </c>
      <c r="AH1850" s="36">
        <f t="shared" ref="AH1850:AH1855" si="674">AF1850*AA1850/3</f>
        <v>1.2282188621814889E-2</v>
      </c>
      <c r="AI1850" s="36">
        <f t="shared" ref="AI1850:AI1855" si="675">IFERROR((Q1850*Z1850)+(Z1850*X1850)+AH1850,0)</f>
        <v>1.0927494564907094</v>
      </c>
      <c r="AJ1850" s="36">
        <f>IFERROR(VLOOKUP(A1850,'All Products'!A:F,6,0),0)</f>
        <v>0</v>
      </c>
      <c r="AK1850" s="36">
        <f>AJ1850*Z1850*J1850</f>
        <v>0</v>
      </c>
      <c r="AL1850" s="23">
        <v>0.85</v>
      </c>
      <c r="AM1850" s="23">
        <v>0.15</v>
      </c>
      <c r="AN1850" s="54" t="e">
        <v>#N/A</v>
      </c>
      <c r="AP1850" s="4">
        <v>1.1000000000000001</v>
      </c>
      <c r="AQ1850" s="111">
        <f t="shared" si="668"/>
        <v>2.8361406619385344E-2</v>
      </c>
      <c r="AS1850" t="str">
        <f>_xlfn.XLOOKUP(A1850,[3]Sheet1!$B:$B,[3]Sheet1!$B:$B)</f>
        <v>P1145CS</v>
      </c>
      <c r="AT1850" t="str">
        <f>_xlfn.XLOOKUP(H1850,'Yield &amp; Time'!A:A,'Yield &amp; Time'!O:O)</f>
        <v>Yes</v>
      </c>
    </row>
    <row r="1851" spans="1:46" x14ac:dyDescent="0.25">
      <c r="A1851" s="1" t="s">
        <v>4791</v>
      </c>
      <c r="B1851" s="1" t="s">
        <v>552</v>
      </c>
      <c r="C1851" s="1" t="s">
        <v>553</v>
      </c>
      <c r="D1851" s="1" t="s">
        <v>554</v>
      </c>
      <c r="E1851" s="1">
        <v>1</v>
      </c>
      <c r="F1851" s="1" t="str">
        <f>VLOOKUP(H1851,'RM Used'!A:B,2,0)</f>
        <v>P0001</v>
      </c>
      <c r="G1851" s="1" t="str">
        <f>IFERROR(VLOOKUP(F1851,'RM Cost'!A:B,2,0),"")</f>
        <v>SOL 30EL # PPLUS 630x1000 BLUE -1</v>
      </c>
      <c r="H1851" s="2" t="s">
        <v>4678</v>
      </c>
      <c r="I1851" s="1" t="str">
        <f>VLOOKUP(F1851,'RM Used'!B:D,3,0)</f>
        <v>RM-PACKING</v>
      </c>
      <c r="J1851" s="66">
        <v>1</v>
      </c>
      <c r="K1851" s="35" t="str">
        <f t="shared" si="651"/>
        <v/>
      </c>
      <c r="L1851" s="35">
        <f t="shared" si="652"/>
        <v>0</v>
      </c>
      <c r="M1851" s="77" t="str" cm="1">
        <f t="array" ref="M1851">_xlfn.IFS(BOM!I1851="RM-PACKING","100%",B1851="Reynolds",VLOOKUP(H1851,'Yield &amp; Time'!A:V,22,0),BOM!B1851="Dnata",VLOOKUP(BOM!H1851,'Yield &amp; Time'!A:M,13,0),B1851="NK",VLOOKUP(H1851,'Yield &amp; Time'!A:X,24,0))</f>
        <v>100%</v>
      </c>
      <c r="N1851" s="35">
        <f t="shared" si="653"/>
        <v>1</v>
      </c>
      <c r="O1851" s="1" t="str">
        <f>VLOOKUP(H1851,'RM Used'!A:E,5,0)</f>
        <v>Count</v>
      </c>
      <c r="P1851" s="11">
        <f>VLOOKUP(H1851,'RM Used'!A:F,6,0)</f>
        <v>0.08</v>
      </c>
      <c r="Q1851" s="11">
        <f t="shared" si="669"/>
        <v>0.08</v>
      </c>
      <c r="R1851" s="11">
        <f>IFERROR(IF(B1851="Reynolds",VLOOKUP(H1851,'Yield &amp; Time'!A:U,21,0),VLOOKUP(H1851,'Yield &amp; Time'!A:L,12,0)),0)</f>
        <v>0</v>
      </c>
      <c r="S1851" s="11">
        <f t="shared" si="655"/>
        <v>0</v>
      </c>
      <c r="T1851" s="11">
        <f t="shared" si="656"/>
        <v>0</v>
      </c>
      <c r="U1851" s="11">
        <f>IF(A1850=A1851,0,VLOOKUP(A1851,'Packing Time'!A:F,6,0))</f>
        <v>0</v>
      </c>
      <c r="V1851" s="11">
        <f t="shared" si="670"/>
        <v>0</v>
      </c>
      <c r="W1851" s="11">
        <f t="shared" si="671"/>
        <v>0</v>
      </c>
      <c r="X1851" s="11">
        <f t="shared" si="659"/>
        <v>0</v>
      </c>
      <c r="Y1851" s="11">
        <f t="shared" si="672"/>
        <v>0</v>
      </c>
      <c r="Z1851" s="37">
        <v>1</v>
      </c>
      <c r="AA1851" s="36">
        <f t="shared" si="661"/>
        <v>1</v>
      </c>
      <c r="AB1851" s="36">
        <f t="shared" si="662"/>
        <v>0.08</v>
      </c>
      <c r="AC1851" s="11">
        <f t="shared" si="663"/>
        <v>0</v>
      </c>
      <c r="AD1851" s="36">
        <f t="shared" si="673"/>
        <v>0</v>
      </c>
      <c r="AE1851" s="36"/>
      <c r="AF1851" s="36">
        <f>IFERROR(VLOOKUP(AE1851,'Chemical Cost'!A:D,4,0),0)</f>
        <v>0</v>
      </c>
      <c r="AG1851" s="114">
        <f t="shared" si="665"/>
        <v>0</v>
      </c>
      <c r="AH1851" s="36">
        <f t="shared" si="674"/>
        <v>0</v>
      </c>
      <c r="AI1851" s="36">
        <f t="shared" si="675"/>
        <v>0.08</v>
      </c>
      <c r="AJ1851" s="36">
        <f>IFERROR(VLOOKUP(A1851,'All Products'!A:F,6,0),0)</f>
        <v>0</v>
      </c>
      <c r="AK1851" s="36"/>
      <c r="AL1851" s="23">
        <v>0.85</v>
      </c>
      <c r="AM1851" s="23">
        <v>0.15</v>
      </c>
      <c r="AN1851" s="54" t="e">
        <v>#N/A</v>
      </c>
      <c r="AP1851" s="4">
        <v>1.1000000000000001</v>
      </c>
      <c r="AQ1851" s="111">
        <f t="shared" si="668"/>
        <v>0</v>
      </c>
      <c r="AS1851" t="str">
        <f>_xlfn.XLOOKUP(A1851,[3]Sheet1!$B:$B,[3]Sheet1!$B:$B)</f>
        <v>P1145CS</v>
      </c>
      <c r="AT1851" t="e">
        <f>_xlfn.XLOOKUP(H1851,'Yield &amp; Time'!A:A,'Yield &amp; Time'!F:F)</f>
        <v>#N/A</v>
      </c>
    </row>
    <row r="1852" spans="1:46" x14ac:dyDescent="0.25">
      <c r="A1852" s="1" t="s">
        <v>4791</v>
      </c>
      <c r="B1852" s="1" t="s">
        <v>552</v>
      </c>
      <c r="C1852" s="1" t="s">
        <v>553</v>
      </c>
      <c r="D1852" s="1" t="s">
        <v>554</v>
      </c>
      <c r="E1852" s="1">
        <v>1</v>
      </c>
      <c r="F1852" s="1" t="str">
        <f>VLOOKUP(H1852,'RM Used'!A:B,2,0)</f>
        <v>P0016</v>
      </c>
      <c r="G1852" s="1" t="str">
        <f>IFERROR(VLOOKUP(F1852,'RM Cost'!A:B,2,0),"")</f>
        <v>REY 40 30 BOX</v>
      </c>
      <c r="H1852" s="2" t="s">
        <v>1332</v>
      </c>
      <c r="I1852" s="1" t="str">
        <f>VLOOKUP(F1852,'RM Used'!B:D,3,0)</f>
        <v>RM-PACKING</v>
      </c>
      <c r="J1852" s="66">
        <v>1</v>
      </c>
      <c r="K1852" s="35" t="str">
        <f t="shared" si="651"/>
        <v/>
      </c>
      <c r="L1852" s="35">
        <f t="shared" si="652"/>
        <v>0</v>
      </c>
      <c r="M1852" s="77" t="str" cm="1">
        <f t="array" ref="M1852">_xlfn.IFS(BOM!I1852="RM-PACKING","100%",B1852="Reynolds",VLOOKUP(H1852,'Yield &amp; Time'!A:V,22,0),BOM!B1852="Dnata",VLOOKUP(BOM!H1852,'Yield &amp; Time'!A:M,13,0),B1852="NK",VLOOKUP(H1852,'Yield &amp; Time'!A:X,24,0))</f>
        <v>100%</v>
      </c>
      <c r="N1852" s="35">
        <f t="shared" si="653"/>
        <v>1</v>
      </c>
      <c r="O1852" s="1" t="str">
        <f>VLOOKUP(H1852,'RM Used'!A:E,5,0)</f>
        <v>Count</v>
      </c>
      <c r="P1852" s="11">
        <f>VLOOKUP(H1852,'RM Used'!A:F,6,0)</f>
        <v>0.28000000000000003</v>
      </c>
      <c r="Q1852" s="11">
        <f t="shared" si="669"/>
        <v>0.28000000000000003</v>
      </c>
      <c r="R1852" s="11">
        <f>IFERROR(IF(B1852="Reynolds",VLOOKUP(H1852,'Yield &amp; Time'!A:U,21,0),VLOOKUP(H1852,'Yield &amp; Time'!A:L,12,0)),0)</f>
        <v>0</v>
      </c>
      <c r="S1852" s="11">
        <f t="shared" si="655"/>
        <v>0</v>
      </c>
      <c r="T1852" s="11">
        <f t="shared" si="656"/>
        <v>0</v>
      </c>
      <c r="U1852" s="11">
        <f>IF(A1851=A1852,0,VLOOKUP(A1852,'Packing Time'!A:F,6,0))</f>
        <v>0</v>
      </c>
      <c r="V1852" s="11">
        <f t="shared" si="670"/>
        <v>0</v>
      </c>
      <c r="W1852" s="11">
        <f t="shared" si="671"/>
        <v>0</v>
      </c>
      <c r="X1852" s="11">
        <f t="shared" si="659"/>
        <v>0</v>
      </c>
      <c r="Y1852" s="11">
        <f t="shared" si="672"/>
        <v>0</v>
      </c>
      <c r="Z1852" s="37">
        <v>1</v>
      </c>
      <c r="AA1852" s="36">
        <f t="shared" si="661"/>
        <v>1</v>
      </c>
      <c r="AB1852" s="36">
        <f t="shared" si="662"/>
        <v>0.28000000000000003</v>
      </c>
      <c r="AC1852" s="11">
        <f t="shared" si="663"/>
        <v>0</v>
      </c>
      <c r="AD1852" s="36">
        <f t="shared" si="673"/>
        <v>0</v>
      </c>
      <c r="AE1852" s="36"/>
      <c r="AF1852" s="36">
        <f>IFERROR(VLOOKUP(AE1852,'Chemical Cost'!A:D,4,0),0)</f>
        <v>0</v>
      </c>
      <c r="AG1852" s="114">
        <f t="shared" si="665"/>
        <v>0</v>
      </c>
      <c r="AH1852" s="36">
        <f t="shared" si="674"/>
        <v>0</v>
      </c>
      <c r="AI1852" s="36">
        <f t="shared" si="675"/>
        <v>0.28000000000000003</v>
      </c>
      <c r="AJ1852" s="36">
        <f>IFERROR(VLOOKUP(A1852,'All Products'!A:F,6,0),0)</f>
        <v>0</v>
      </c>
      <c r="AK1852" s="36"/>
      <c r="AL1852" s="23">
        <v>0.85</v>
      </c>
      <c r="AM1852" s="23">
        <v>0.15</v>
      </c>
      <c r="AN1852" s="54" t="e">
        <v>#N/A</v>
      </c>
      <c r="AP1852" s="4">
        <v>1.1000000000000001</v>
      </c>
      <c r="AQ1852" s="111">
        <f t="shared" si="668"/>
        <v>0</v>
      </c>
      <c r="AS1852" t="str">
        <f>_xlfn.XLOOKUP(A1852,[3]Sheet1!$B:$B,[3]Sheet1!$B:$B)</f>
        <v>P1145CS</v>
      </c>
      <c r="AT1852" t="e">
        <f>_xlfn.XLOOKUP(H1852,'Yield &amp; Time'!A:A,'Yield &amp; Time'!F:F)</f>
        <v>#N/A</v>
      </c>
    </row>
    <row r="1853" spans="1:46" x14ac:dyDescent="0.25">
      <c r="A1853" s="1" t="s">
        <v>4792</v>
      </c>
      <c r="B1853" s="1" t="s">
        <v>552</v>
      </c>
      <c r="C1853" s="1" t="s">
        <v>571</v>
      </c>
      <c r="D1853" s="1" t="s">
        <v>554</v>
      </c>
      <c r="E1853" s="1">
        <v>4</v>
      </c>
      <c r="F1853" s="1" t="str">
        <f>VLOOKUP(H1853,'RM Used'!A:B,2,0)</f>
        <v>032ACS</v>
      </c>
      <c r="G1853" s="1" t="str">
        <f>IFERROR(VLOOKUP(F1853,'RM Cost'!A:B,2,0),"")</f>
        <v>RM - LRG PROCESSING CARROT X 1000KG</v>
      </c>
      <c r="H1853" s="2" t="s">
        <v>1351</v>
      </c>
      <c r="I1853" s="1" t="str">
        <f>VLOOKUP(F1853,'RM Used'!B:D,3,0)</f>
        <v>RM-FOOD</v>
      </c>
      <c r="J1853" s="66">
        <v>1</v>
      </c>
      <c r="K1853" s="35">
        <f t="shared" si="651"/>
        <v>4</v>
      </c>
      <c r="L1853" s="35">
        <f t="shared" si="652"/>
        <v>4</v>
      </c>
      <c r="M1853" s="77" cm="1">
        <f t="array" ref="M1853">_xlfn.IFS(BOM!I1853="RM-PACKING","100%",B1853="Reynolds",VLOOKUP(H1853,'Yield &amp; Time'!A:V,22,0),BOM!B1853="Dnata",VLOOKUP(BOM!H1853,'Yield &amp; Time'!A:M,13,0),B1853="NK",VLOOKUP(H1853,'Yield &amp; Time'!A:X,24,0))</f>
        <v>0.75330000000000008</v>
      </c>
      <c r="N1853" s="35">
        <f t="shared" si="653"/>
        <v>5.3099694676755602</v>
      </c>
      <c r="O1853" s="1" t="str">
        <f>VLOOKUP(H1853,'RM Used'!A:E,5,0)</f>
        <v>KG</v>
      </c>
      <c r="P1853" s="11">
        <f>VLOOKUP(H1853,'RM Used'!A:F,6,0)</f>
        <v>0.38</v>
      </c>
      <c r="Q1853" s="11">
        <f t="shared" si="669"/>
        <v>2.0177883977167128</v>
      </c>
      <c r="R1853" s="11">
        <f>IFERROR(IF(B1853="Reynolds",VLOOKUP(H1853,'Yield &amp; Time'!A:U,21,0),VLOOKUP(H1853,'Yield &amp; Time'!A:L,12,0)),0)</f>
        <v>0.90531914893617027</v>
      </c>
      <c r="S1853" s="11">
        <f t="shared" si="655"/>
        <v>1.2258021276595745</v>
      </c>
      <c r="T1853" s="11">
        <f t="shared" si="656"/>
        <v>6.0354609929078019E-2</v>
      </c>
      <c r="U1853" s="11">
        <f>IF(A1852=A1853,0,VLOOKUP(A1853,'Packing Time'!A:F,6,0))</f>
        <v>1.75</v>
      </c>
      <c r="V1853" s="11">
        <f t="shared" si="670"/>
        <v>0.59237499999999998</v>
      </c>
      <c r="W1853" s="11">
        <f t="shared" si="671"/>
        <v>2.9166666666666667E-2</v>
      </c>
      <c r="X1853" s="11">
        <f t="shared" si="659"/>
        <v>1.9999948404255321</v>
      </c>
      <c r="Y1853" s="11">
        <f t="shared" si="672"/>
        <v>1.9999948404255321</v>
      </c>
      <c r="Z1853" s="37">
        <v>1</v>
      </c>
      <c r="AA1853" s="36">
        <f t="shared" si="661"/>
        <v>5.3099694676755602</v>
      </c>
      <c r="AB1853" s="36">
        <f t="shared" si="662"/>
        <v>2.0177883977167128</v>
      </c>
      <c r="AC1853" s="11">
        <f t="shared" si="663"/>
        <v>9.8473404255319169E-2</v>
      </c>
      <c r="AD1853" s="36">
        <f t="shared" si="673"/>
        <v>1.9999948404255321</v>
      </c>
      <c r="AE1853" s="36" t="str">
        <f>VLOOKUP(H1853,'Yield &amp; Time'!A:R,18,0)</f>
        <v>CHLORINE</v>
      </c>
      <c r="AF1853" s="36">
        <f>IFERROR(VLOOKUP(AE1853,'Chemical Cost'!A:D,4,0),0)</f>
        <v>2.7756518066439469E-2</v>
      </c>
      <c r="AG1853" s="114">
        <f t="shared" si="665"/>
        <v>4.9128754487259556E-2</v>
      </c>
      <c r="AH1853" s="36">
        <f t="shared" si="674"/>
        <v>4.9128754487259556E-2</v>
      </c>
      <c r="AI1853" s="36">
        <f t="shared" si="675"/>
        <v>4.066911992629505</v>
      </c>
      <c r="AJ1853" s="36">
        <f>IFERROR(VLOOKUP(A1853,'All Products'!A:F,6,0),0)</f>
        <v>6.56</v>
      </c>
      <c r="AK1853" s="36">
        <f>AJ1853*Z1853*J1853</f>
        <v>6.56</v>
      </c>
      <c r="AL1853" s="23"/>
      <c r="AM1853" s="23">
        <v>1</v>
      </c>
      <c r="AN1853" s="54" t="e">
        <v>#N/A</v>
      </c>
      <c r="AO1853" s="47"/>
      <c r="AP1853" s="4">
        <v>1.1000000000000001</v>
      </c>
      <c r="AQ1853" s="111">
        <f>(((R1853*J1853*E1853)+U1853)/60)*AP1853</f>
        <v>9.8473404255319169E-2</v>
      </c>
      <c r="AR1853">
        <f>_xlfn.XLOOKUP(F1853,'RM Cost'!A:A,'RM Cost'!S:S)</f>
        <v>0</v>
      </c>
      <c r="AS1853" t="e">
        <f>_xlfn.XLOOKUP(A1853,[3]Sheet1!$B:$B,[3]Sheet1!$B:$B)</f>
        <v>#N/A</v>
      </c>
    </row>
    <row r="1854" spans="1:46" x14ac:dyDescent="0.25">
      <c r="A1854" s="1" t="s">
        <v>4792</v>
      </c>
      <c r="B1854" s="1" t="s">
        <v>552</v>
      </c>
      <c r="C1854" s="1" t="s">
        <v>571</v>
      </c>
      <c r="D1854" s="1" t="s">
        <v>554</v>
      </c>
      <c r="E1854" s="1">
        <v>4</v>
      </c>
      <c r="F1854" s="1" t="str">
        <f>VLOOKUP(H1854,'RM Used'!A:B,2,0)</f>
        <v>P0002</v>
      </c>
      <c r="G1854" s="1" t="str">
        <f>IFERROR(VLOOKUP(F1854,'RM Cost'!A:B,2,0),"")</f>
        <v>SOL 30EL # PPLUS 630x1000 BLUE -4</v>
      </c>
      <c r="H1854" s="2" t="s">
        <v>4679</v>
      </c>
      <c r="I1854" s="1" t="str">
        <f>VLOOKUP(F1854,'RM Used'!B:D,3,0)</f>
        <v>RM-PACKING</v>
      </c>
      <c r="J1854" s="66">
        <v>1</v>
      </c>
      <c r="K1854" s="35" t="str">
        <f t="shared" si="651"/>
        <v/>
      </c>
      <c r="L1854" s="35">
        <f t="shared" si="652"/>
        <v>0</v>
      </c>
      <c r="M1854" s="77" t="str" cm="1">
        <f t="array" ref="M1854">_xlfn.IFS(BOM!I1854="RM-PACKING","100%",B1854="Reynolds",VLOOKUP(H1854,'Yield &amp; Time'!A:V,22,0),BOM!B1854="Dnata",VLOOKUP(BOM!H1854,'Yield &amp; Time'!A:M,13,0),B1854="NK",VLOOKUP(H1854,'Yield &amp; Time'!A:X,24,0))</f>
        <v>100%</v>
      </c>
      <c r="N1854" s="35">
        <f t="shared" si="653"/>
        <v>1</v>
      </c>
      <c r="O1854" s="1" t="str">
        <f>VLOOKUP(H1854,'RM Used'!A:E,5,0)</f>
        <v>Count</v>
      </c>
      <c r="P1854" s="11">
        <f>VLOOKUP(H1854,'RM Used'!A:F,6,0)</f>
        <v>0.32</v>
      </c>
      <c r="Q1854" s="11">
        <f t="shared" si="669"/>
        <v>0.32</v>
      </c>
      <c r="R1854" s="11">
        <f>IFERROR(IF(B1854="Reynolds",VLOOKUP(H1854,'Yield &amp; Time'!A:U,21,0),VLOOKUP(H1854,'Yield &amp; Time'!A:L,12,0)),0)</f>
        <v>0</v>
      </c>
      <c r="S1854" s="11">
        <f t="shared" si="655"/>
        <v>0</v>
      </c>
      <c r="T1854" s="11">
        <f t="shared" si="656"/>
        <v>0</v>
      </c>
      <c r="U1854" s="11">
        <f>IF(A1853=A1854,0,VLOOKUP(A1854,'Packing Time'!A:F,6,0))</f>
        <v>0</v>
      </c>
      <c r="V1854" s="11">
        <f t="shared" si="670"/>
        <v>0</v>
      </c>
      <c r="W1854" s="11">
        <f t="shared" si="671"/>
        <v>0</v>
      </c>
      <c r="X1854" s="11">
        <f t="shared" si="659"/>
        <v>0</v>
      </c>
      <c r="Y1854" s="11">
        <f t="shared" si="672"/>
        <v>0</v>
      </c>
      <c r="Z1854" s="37">
        <v>1</v>
      </c>
      <c r="AA1854" s="36">
        <f t="shared" si="661"/>
        <v>1</v>
      </c>
      <c r="AB1854" s="36">
        <f t="shared" si="662"/>
        <v>0.32</v>
      </c>
      <c r="AC1854" s="11">
        <f t="shared" si="663"/>
        <v>0</v>
      </c>
      <c r="AD1854" s="36">
        <f t="shared" si="673"/>
        <v>0</v>
      </c>
      <c r="AE1854" s="36"/>
      <c r="AF1854" s="36">
        <f>IFERROR(VLOOKUP(AE1854,'Chemical Cost'!A:D,4,0),0)</f>
        <v>0</v>
      </c>
      <c r="AG1854" s="114">
        <f t="shared" si="665"/>
        <v>0</v>
      </c>
      <c r="AH1854" s="36">
        <f t="shared" si="674"/>
        <v>0</v>
      </c>
      <c r="AI1854" s="36">
        <f t="shared" si="675"/>
        <v>0.32</v>
      </c>
      <c r="AJ1854" s="36">
        <f>IFERROR(VLOOKUP(A1854,'All Products'!A:F,6,0),0)</f>
        <v>6.56</v>
      </c>
      <c r="AK1854" s="36"/>
      <c r="AL1854" s="23"/>
      <c r="AM1854" s="23">
        <v>1</v>
      </c>
      <c r="AN1854" s="54" t="e">
        <v>#N/A</v>
      </c>
      <c r="AO1854" s="47"/>
      <c r="AP1854" s="4">
        <v>1.1000000000000001</v>
      </c>
      <c r="AQ1854" s="111">
        <f>(((R1854*J1854*E1854)+U1854)/60)*AP1854</f>
        <v>0</v>
      </c>
      <c r="AR1854">
        <f>_xlfn.XLOOKUP(F1854,'RM Cost'!A:A,'RM Cost'!S:S)</f>
        <v>0</v>
      </c>
      <c r="AS1854" t="e">
        <f>_xlfn.XLOOKUP(A1854,[3]Sheet1!$B:$B,[3]Sheet1!$B:$B)</f>
        <v>#N/A</v>
      </c>
    </row>
    <row r="1855" spans="1:46" x14ac:dyDescent="0.25">
      <c r="A1855" s="1" t="s">
        <v>4792</v>
      </c>
      <c r="B1855" s="1" t="s">
        <v>552</v>
      </c>
      <c r="C1855" s="1" t="s">
        <v>571</v>
      </c>
      <c r="D1855" s="1" t="s">
        <v>554</v>
      </c>
      <c r="E1855" s="1">
        <v>4</v>
      </c>
      <c r="F1855" s="1" t="str">
        <f>VLOOKUP(H1855,'RM Used'!A:B,2,0)</f>
        <v>P0016</v>
      </c>
      <c r="G1855" s="1" t="str">
        <f>IFERROR(VLOOKUP(F1855,'RM Cost'!A:B,2,0),"")</f>
        <v>REY 40 30 BOX</v>
      </c>
      <c r="H1855" s="2" t="s">
        <v>1332</v>
      </c>
      <c r="I1855" s="1" t="str">
        <f>VLOOKUP(F1855,'RM Used'!B:D,3,0)</f>
        <v>RM-PACKING</v>
      </c>
      <c r="J1855" s="66">
        <v>1</v>
      </c>
      <c r="K1855" s="35" t="str">
        <f t="shared" si="651"/>
        <v/>
      </c>
      <c r="L1855" s="35">
        <f t="shared" si="652"/>
        <v>0</v>
      </c>
      <c r="M1855" s="77" t="str" cm="1">
        <f t="array" ref="M1855">_xlfn.IFS(BOM!I1855="RM-PACKING","100%",B1855="Reynolds",VLOOKUP(H1855,'Yield &amp; Time'!A:V,22,0),BOM!B1855="Dnata",VLOOKUP(BOM!H1855,'Yield &amp; Time'!A:M,13,0),B1855="NK",VLOOKUP(H1855,'Yield &amp; Time'!A:X,24,0))</f>
        <v>100%</v>
      </c>
      <c r="N1855" s="35">
        <f t="shared" si="653"/>
        <v>1</v>
      </c>
      <c r="O1855" s="1" t="str">
        <f>VLOOKUP(H1855,'RM Used'!A:E,5,0)</f>
        <v>Count</v>
      </c>
      <c r="P1855" s="11">
        <f>VLOOKUP(H1855,'RM Used'!A:F,6,0)</f>
        <v>0.28000000000000003</v>
      </c>
      <c r="Q1855" s="11">
        <f t="shared" si="669"/>
        <v>0.28000000000000003</v>
      </c>
      <c r="R1855" s="11">
        <f>IFERROR(IF(B1855="Reynolds",VLOOKUP(H1855,'Yield &amp; Time'!A:U,21,0),VLOOKUP(H1855,'Yield &amp; Time'!A:L,12,0)),0)</f>
        <v>0</v>
      </c>
      <c r="S1855" s="11">
        <f t="shared" si="655"/>
        <v>0</v>
      </c>
      <c r="T1855" s="11">
        <f t="shared" si="656"/>
        <v>0</v>
      </c>
      <c r="U1855" s="11">
        <f>IF(A1854=A1855,0,VLOOKUP(A1855,'Packing Time'!A:F,6,0))</f>
        <v>0</v>
      </c>
      <c r="V1855" s="11">
        <f t="shared" si="670"/>
        <v>0</v>
      </c>
      <c r="W1855" s="11">
        <f t="shared" si="671"/>
        <v>0</v>
      </c>
      <c r="X1855" s="11">
        <f t="shared" si="659"/>
        <v>0</v>
      </c>
      <c r="Y1855" s="11">
        <f t="shared" si="672"/>
        <v>0</v>
      </c>
      <c r="Z1855" s="37">
        <v>1</v>
      </c>
      <c r="AA1855" s="36">
        <f t="shared" si="661"/>
        <v>1</v>
      </c>
      <c r="AB1855" s="36">
        <f t="shared" si="662"/>
        <v>0.28000000000000003</v>
      </c>
      <c r="AC1855" s="11">
        <f t="shared" si="663"/>
        <v>0</v>
      </c>
      <c r="AD1855" s="36">
        <f t="shared" si="673"/>
        <v>0</v>
      </c>
      <c r="AE1855" s="36"/>
      <c r="AF1855" s="36">
        <f>IFERROR(VLOOKUP(AE1855,'Chemical Cost'!A:D,4,0),0)</f>
        <v>0</v>
      </c>
      <c r="AG1855" s="114">
        <f t="shared" si="665"/>
        <v>0</v>
      </c>
      <c r="AH1855" s="36">
        <f t="shared" si="674"/>
        <v>0</v>
      </c>
      <c r="AI1855" s="36">
        <f t="shared" si="675"/>
        <v>0.28000000000000003</v>
      </c>
      <c r="AJ1855" s="36">
        <f>IFERROR(VLOOKUP(A1855,'All Products'!A:F,6,0),0)</f>
        <v>6.56</v>
      </c>
      <c r="AK1855" s="36"/>
      <c r="AL1855" s="23"/>
      <c r="AM1855" s="23">
        <v>1</v>
      </c>
      <c r="AN1855" s="54" t="e">
        <v>#N/A</v>
      </c>
      <c r="AO1855" s="47"/>
      <c r="AP1855" s="4">
        <v>1.1000000000000001</v>
      </c>
      <c r="AQ1855" s="111">
        <f>(((R1855*J1855*E1855)+U1855)/60)*AP1855</f>
        <v>0</v>
      </c>
      <c r="AR1855">
        <f>_xlfn.XLOOKUP(F1855,'RM Cost'!A:A,'RM Cost'!S:S)</f>
        <v>0</v>
      </c>
      <c r="AS1855" t="e">
        <f>_xlfn.XLOOKUP(A1855,[3]Sheet1!$B:$B,[3]Sheet1!$B:$B)</f>
        <v>#N/A</v>
      </c>
    </row>
    <row r="1856" spans="1:46" x14ac:dyDescent="0.25">
      <c r="A1856" s="101" t="s">
        <v>4795</v>
      </c>
      <c r="B1856" s="94" t="s">
        <v>552</v>
      </c>
      <c r="C1856" s="101" t="s">
        <v>4797</v>
      </c>
      <c r="D1856" s="1" t="s">
        <v>554</v>
      </c>
      <c r="E1856">
        <v>0.91800000000000004</v>
      </c>
      <c r="F1856" s="1" t="str">
        <f>VLOOKUP(H1856,'RM Used'!A:B,2,0)</f>
        <v>166ACS</v>
      </c>
      <c r="G1856" s="1" t="str">
        <f>IFERROR(VLOOKUP(F1856,'RM Cost'!A:B,2,0),"")</f>
        <v>RM - LARGE MANGO 5/6</v>
      </c>
      <c r="H1856" s="94" t="s">
        <v>4799</v>
      </c>
      <c r="I1856" s="1" t="str">
        <f>VLOOKUP(F1856,'RM Used'!B:D,3,0)</f>
        <v>RM-FOOD</v>
      </c>
      <c r="J1856" s="126">
        <v>0.92</v>
      </c>
      <c r="K1856" s="35">
        <f t="shared" ref="K1856:K1875" si="676">IF(I1856="RM-FOOD",J1856*E1856,"")</f>
        <v>0.84456000000000009</v>
      </c>
      <c r="L1856" s="35">
        <f t="shared" ref="L1856:L1861" si="677">IFERROR(K1856*Z1856,0)</f>
        <v>0.84456000000000009</v>
      </c>
      <c r="M1856" s="77" cm="1">
        <f t="array" ref="M1856">_xlfn.IFS(BOM!I1856="RM-PACKING","100%",B1856="Reynolds",VLOOKUP(H1856,'Yield &amp; Time'!A:V,22,0),BOM!B1856="Dnata",VLOOKUP(BOM!H1856,'Yield &amp; Time'!A:M,13,0),B1856="NK",VLOOKUP(H1856,'Yield &amp; Time'!A:X,24,0))</f>
        <v>0.48</v>
      </c>
      <c r="N1856" s="35">
        <f t="shared" ref="N1856:N1861" si="678">IFERROR(IF(I1856="RM-FOOD",(E1856*J1856)/M1856,1),0)</f>
        <v>1.7595000000000003</v>
      </c>
      <c r="O1856" s="1" t="str">
        <f>VLOOKUP(H1856,'RM Used'!A:E,5,0)</f>
        <v>KG</v>
      </c>
      <c r="P1856" s="11">
        <f>VLOOKUP(H1856,'RM Used'!A:F,6,0)</f>
        <v>2.0799999999999996</v>
      </c>
      <c r="Q1856" s="11">
        <f t="shared" ref="Q1856:Q1861" si="679">P1856*N1856</f>
        <v>3.6597599999999999</v>
      </c>
      <c r="R1856" s="11">
        <f>IFERROR(IF(B1856="Reynolds",VLOOKUP(H1856,'Yield &amp; Time'!A:U,21,0),VLOOKUP(H1856,'Yield &amp; Time'!A:L,12,0)),0)</f>
        <v>5.03</v>
      </c>
      <c r="S1856" s="11">
        <f t="shared" ref="S1856:S1861" si="680">R1856*J1856*E1856*AO$1</f>
        <v>1.4379943067999998</v>
      </c>
      <c r="T1856" s="11">
        <f t="shared" ref="T1856:T1861" si="681">(R1856*Z1856*J1856*E1856)/60</f>
        <v>7.0802280000000009E-2</v>
      </c>
      <c r="U1856" s="11">
        <f>IF(A1855=A1856,0,VLOOKUP(A1856,'Packing Time'!A:F,6,0))</f>
        <v>2.4</v>
      </c>
      <c r="V1856" s="11">
        <f t="shared" ref="V1856:V1861" si="682">U1856*AO$1</f>
        <v>0.8123999999999999</v>
      </c>
      <c r="W1856" s="11">
        <f t="shared" ref="W1856:W1861" si="683">(U1856*Z1856)/60</f>
        <v>0.04</v>
      </c>
      <c r="X1856" s="11">
        <f t="shared" ref="X1856:X1861" si="684">((R1856*J1856*E1856)+U1856)*AO$1*AP1856</f>
        <v>2.47543373748</v>
      </c>
      <c r="Y1856" s="11">
        <f t="shared" ref="Y1856:Y1861" si="685">X1856*Z1856</f>
        <v>2.47543373748</v>
      </c>
      <c r="Z1856" s="37">
        <v>1</v>
      </c>
      <c r="AA1856" s="36">
        <f t="shared" ref="AA1856:AA1861" si="686">Z1856*N1856</f>
        <v>1.7595000000000003</v>
      </c>
      <c r="AB1856" s="36">
        <f t="shared" ref="AB1856:AB1861" si="687">AA1856*P1856</f>
        <v>3.6597599999999999</v>
      </c>
      <c r="AC1856" s="11">
        <f t="shared" ref="AC1856:AC1861" si="688">(((R1856*J1856*E1856)+U1856)/60)*Z1856*AP1856</f>
        <v>0.121882508</v>
      </c>
      <c r="AD1856" s="36">
        <f t="shared" ref="AD1856:AD1861" si="689">AC1856*60*AO$1</f>
        <v>2.4754337374799995</v>
      </c>
      <c r="AE1856" s="36"/>
      <c r="AF1856" s="36">
        <f>IFERROR(VLOOKUP(AE1856,'Chemical Cost'!A:D,4,0),0)</f>
        <v>0</v>
      </c>
      <c r="AG1856" s="114">
        <f t="shared" ref="AG1856:AG1861" si="690">AF1856*N1856/3</f>
        <v>0</v>
      </c>
      <c r="AH1856" s="36">
        <f t="shared" ref="AH1856:AH1861" si="691">AF1856*AA1856/3</f>
        <v>0</v>
      </c>
      <c r="AI1856" s="36">
        <f t="shared" ref="AI1856:AI1861" si="692">IFERROR((Q1856*Z1856)+(Z1856*X1856)+AH1856,0)</f>
        <v>6.1351937374799999</v>
      </c>
      <c r="AJ1856" s="36">
        <f>IFERROR(VLOOKUP(A1856,'All Products'!A:F,6,0),0)</f>
        <v>0</v>
      </c>
      <c r="AK1856" s="36"/>
      <c r="AL1856" s="23"/>
      <c r="AM1856" s="23">
        <v>1</v>
      </c>
      <c r="AP1856" s="4">
        <v>1.1000000000000001</v>
      </c>
      <c r="AQ1856" s="111">
        <f t="shared" ref="AQ1856:AQ1869" si="693">(((R1856*J1856*E1856)+U1856)/60)*AP1856</f>
        <v>0.121882508</v>
      </c>
      <c r="AS1856" t="str">
        <f>_xlfn.XLOOKUP(A1856,[3]Sheet1!$B:$B,[3]Sheet1!$B:$B)</f>
        <v>474CCS</v>
      </c>
      <c r="AT1856" t="str">
        <f>_xlfn.XLOOKUP(H1856,'Yield &amp; Time'!A:A,'Yield &amp; Time'!O:O)</f>
        <v>Yes</v>
      </c>
    </row>
    <row r="1857" spans="1:46" x14ac:dyDescent="0.25">
      <c r="A1857" s="101" t="s">
        <v>4795</v>
      </c>
      <c r="B1857" s="94" t="s">
        <v>552</v>
      </c>
      <c r="C1857" s="101" t="s">
        <v>4797</v>
      </c>
      <c r="D1857" s="1" t="s">
        <v>554</v>
      </c>
      <c r="E1857">
        <v>0.91800000000000004</v>
      </c>
      <c r="F1857" s="1" t="str">
        <f>VLOOKUP(H1857,'RM Used'!A:B,2,0)</f>
        <v>3234EA</v>
      </c>
      <c r="G1857" s="1" t="str">
        <f>IFERROR(VLOOKUP(F1857,'RM Cost'!A:B,2,0),"")</f>
        <v>LIME 6 EA</v>
      </c>
      <c r="H1857" s="94" t="s">
        <v>4800</v>
      </c>
      <c r="I1857" s="1" t="str">
        <f>VLOOKUP(F1857,'RM Used'!B:D,3,0)</f>
        <v>RM-FOOD</v>
      </c>
      <c r="J1857" s="126">
        <v>0.08</v>
      </c>
      <c r="K1857" s="35">
        <f t="shared" si="676"/>
        <v>7.3440000000000005E-2</v>
      </c>
      <c r="L1857" s="35">
        <f t="shared" si="677"/>
        <v>7.3440000000000005E-2</v>
      </c>
      <c r="M1857" s="77" cm="1">
        <f t="array" ref="M1857">_xlfn.IFS(BOM!I1857="RM-PACKING","100%",B1857="Reynolds",VLOOKUP(H1857,'Yield &amp; Time'!A:V,22,0),BOM!B1857="Dnata",VLOOKUP(BOM!H1857,'Yield &amp; Time'!A:M,13,0),B1857="NK",VLOOKUP(H1857,'Yield &amp; Time'!A:X,24,0))</f>
        <v>0.87</v>
      </c>
      <c r="N1857" s="35">
        <f t="shared" si="678"/>
        <v>8.4413793103448279E-2</v>
      </c>
      <c r="O1857" s="1" t="str">
        <f>VLOOKUP(H1857,'RM Used'!A:E,5,0)</f>
        <v>KG</v>
      </c>
      <c r="P1857" s="11">
        <f>VLOOKUP(H1857,'RM Used'!A:F,6,0)</f>
        <v>1.67</v>
      </c>
      <c r="Q1857" s="11">
        <f t="shared" si="679"/>
        <v>0.14097103448275861</v>
      </c>
      <c r="R1857" s="11">
        <f>IFERROR(IF(B1857="Reynolds",VLOOKUP(H1857,'Yield &amp; Time'!A:U,21,0),VLOOKUP(H1857,'Yield &amp; Time'!A:L,12,0)),0)</f>
        <v>4.57</v>
      </c>
      <c r="S1857" s="11">
        <f t="shared" si="680"/>
        <v>0.11360764080000001</v>
      </c>
      <c r="T1857" s="11">
        <f t="shared" si="681"/>
        <v>5.593680000000001E-3</v>
      </c>
      <c r="U1857" s="11">
        <f>IF(A1856=A1857,0,VLOOKUP(A1857,'Packing Time'!A:F,6,0))</f>
        <v>0</v>
      </c>
      <c r="V1857" s="11">
        <f t="shared" si="682"/>
        <v>0</v>
      </c>
      <c r="W1857" s="11">
        <f t="shared" si="683"/>
        <v>0</v>
      </c>
      <c r="X1857" s="11">
        <f t="shared" si="684"/>
        <v>0.12496840488000002</v>
      </c>
      <c r="Y1857" s="11">
        <f t="shared" si="685"/>
        <v>0.12496840488000002</v>
      </c>
      <c r="Z1857" s="37">
        <v>1</v>
      </c>
      <c r="AA1857" s="36">
        <f t="shared" si="686"/>
        <v>8.4413793103448279E-2</v>
      </c>
      <c r="AB1857" s="36">
        <f t="shared" si="687"/>
        <v>0.14097103448275861</v>
      </c>
      <c r="AC1857" s="11">
        <f t="shared" si="688"/>
        <v>6.1530480000000012E-3</v>
      </c>
      <c r="AD1857" s="36">
        <f t="shared" si="689"/>
        <v>0.12496840488000002</v>
      </c>
      <c r="AE1857" s="36"/>
      <c r="AF1857" s="36">
        <f>IFERROR(VLOOKUP(AE1857,'Chemical Cost'!A:D,4,0),0)</f>
        <v>0</v>
      </c>
      <c r="AG1857" s="114">
        <f t="shared" si="690"/>
        <v>0</v>
      </c>
      <c r="AH1857" s="36">
        <f t="shared" si="691"/>
        <v>0</v>
      </c>
      <c r="AI1857" s="36">
        <f t="shared" si="692"/>
        <v>0.26593943936275866</v>
      </c>
      <c r="AJ1857" s="36">
        <f>IFERROR(VLOOKUP(A1857,'All Products'!A:F,6,0),0)</f>
        <v>0</v>
      </c>
      <c r="AK1857" s="36"/>
      <c r="AL1857" s="23"/>
      <c r="AM1857" s="23">
        <v>1</v>
      </c>
      <c r="AP1857" s="4">
        <v>1.1000000000000001</v>
      </c>
      <c r="AQ1857" s="111">
        <f t="shared" si="693"/>
        <v>6.1530480000000012E-3</v>
      </c>
      <c r="AS1857" t="str">
        <f>_xlfn.XLOOKUP(A1857,[3]Sheet1!$B:$B,[3]Sheet1!$B:$B)</f>
        <v>474CCS</v>
      </c>
      <c r="AT1857" t="str">
        <f>_xlfn.XLOOKUP(H1857,'Yield &amp; Time'!A:A,'Yield &amp; Time'!O:O)</f>
        <v>Yes</v>
      </c>
    </row>
    <row r="1858" spans="1:46" x14ac:dyDescent="0.25">
      <c r="A1858" s="101" t="s">
        <v>4795</v>
      </c>
      <c r="B1858" s="94" t="s">
        <v>552</v>
      </c>
      <c r="C1858" s="101" t="s">
        <v>4797</v>
      </c>
      <c r="D1858" s="1" t="s">
        <v>554</v>
      </c>
      <c r="E1858">
        <v>0.91800000000000004</v>
      </c>
      <c r="F1858" s="1" t="str">
        <f>VLOOKUP(H1858,'RM Used'!A:B,2,0)</f>
        <v>P0012</v>
      </c>
      <c r="G1858" s="1" t="str">
        <f>IFERROR(VLOOKUP(F1858,'RM Cost'!A:B,2,0),"")</f>
        <v>XL GRAZE REVIVE POT (X6)</v>
      </c>
      <c r="H1858" s="1" t="s">
        <v>4668</v>
      </c>
      <c r="I1858" s="1" t="str">
        <f>VLOOKUP(F1858,'RM Used'!B:D,3,0)</f>
        <v>RM-PACKING</v>
      </c>
      <c r="J1858" s="66">
        <v>1</v>
      </c>
      <c r="K1858" s="35" t="str">
        <f t="shared" si="676"/>
        <v/>
      </c>
      <c r="L1858" s="35">
        <f t="shared" si="677"/>
        <v>0</v>
      </c>
      <c r="M1858" s="77" t="str" cm="1">
        <f t="array" ref="M1858">_xlfn.IFS(BOM!I1858="RM-PACKING","100%",B1858="Reynolds",VLOOKUP(H1858,'Yield &amp; Time'!A:V,22,0),BOM!B1858="Dnata",VLOOKUP(BOM!H1858,'Yield &amp; Time'!A:M,13,0),B1858="NK",VLOOKUP(H1858,'Yield &amp; Time'!A:X,24,0))</f>
        <v>100%</v>
      </c>
      <c r="N1858" s="35">
        <f t="shared" si="678"/>
        <v>1</v>
      </c>
      <c r="O1858" s="1" t="str">
        <f>VLOOKUP(H1858,'RM Used'!A:E,5,0)</f>
        <v>Count</v>
      </c>
      <c r="P1858" s="11">
        <f>VLOOKUP(H1858,'RM Used'!A:F,6,0)</f>
        <v>0.96</v>
      </c>
      <c r="Q1858" s="11">
        <f t="shared" si="679"/>
        <v>0.96</v>
      </c>
      <c r="R1858" s="11">
        <f>IFERROR(IF(B1858="Reynolds",VLOOKUP(H1858,'Yield &amp; Time'!A:U,21,0),VLOOKUP(H1858,'Yield &amp; Time'!A:L,12,0)),0)</f>
        <v>0</v>
      </c>
      <c r="S1858" s="11">
        <f t="shared" si="680"/>
        <v>0</v>
      </c>
      <c r="T1858" s="11">
        <f t="shared" si="681"/>
        <v>0</v>
      </c>
      <c r="U1858" s="11">
        <f>IF(A1857=A1858,0,VLOOKUP(A1858,'Packing Time'!A:F,6,0))</f>
        <v>0</v>
      </c>
      <c r="V1858" s="11">
        <f t="shared" si="682"/>
        <v>0</v>
      </c>
      <c r="W1858" s="11">
        <f t="shared" si="683"/>
        <v>0</v>
      </c>
      <c r="X1858" s="11">
        <f t="shared" si="684"/>
        <v>0</v>
      </c>
      <c r="Y1858" s="11">
        <f t="shared" si="685"/>
        <v>0</v>
      </c>
      <c r="Z1858" s="37">
        <v>1</v>
      </c>
      <c r="AA1858" s="36">
        <f t="shared" si="686"/>
        <v>1</v>
      </c>
      <c r="AB1858" s="36">
        <f t="shared" si="687"/>
        <v>0.96</v>
      </c>
      <c r="AC1858" s="11">
        <f t="shared" si="688"/>
        <v>0</v>
      </c>
      <c r="AD1858" s="36">
        <f t="shared" si="689"/>
        <v>0</v>
      </c>
      <c r="AE1858" s="36"/>
      <c r="AF1858" s="36">
        <f>IFERROR(VLOOKUP(AE1858,'Chemical Cost'!A:D,4,0),0)</f>
        <v>0</v>
      </c>
      <c r="AG1858" s="114">
        <f t="shared" si="690"/>
        <v>0</v>
      </c>
      <c r="AH1858" s="36">
        <f t="shared" si="691"/>
        <v>0</v>
      </c>
      <c r="AI1858" s="36">
        <f t="shared" si="692"/>
        <v>0.96</v>
      </c>
      <c r="AJ1858" s="36">
        <f>IFERROR(VLOOKUP(A1858,'All Products'!A:F,6,0),0)</f>
        <v>0</v>
      </c>
      <c r="AK1858" s="36"/>
      <c r="AL1858" s="23"/>
      <c r="AM1858" s="23">
        <v>1</v>
      </c>
      <c r="AP1858" s="4">
        <v>1.1000000000000001</v>
      </c>
      <c r="AQ1858" s="111">
        <f t="shared" si="693"/>
        <v>0</v>
      </c>
      <c r="AS1858" t="str">
        <f>_xlfn.XLOOKUP(A1858,[3]Sheet1!$B:$B,[3]Sheet1!$B:$B)</f>
        <v>474CCS</v>
      </c>
      <c r="AT1858" t="e">
        <f>_xlfn.XLOOKUP(H1858,'Yield &amp; Time'!A:A,'Yield &amp; Time'!F:F)</f>
        <v>#N/A</v>
      </c>
    </row>
    <row r="1859" spans="1:46" x14ac:dyDescent="0.25">
      <c r="A1859" s="101" t="s">
        <v>4795</v>
      </c>
      <c r="B1859" s="94" t="s">
        <v>552</v>
      </c>
      <c r="C1859" s="101" t="s">
        <v>4797</v>
      </c>
      <c r="D1859" s="1" t="s">
        <v>554</v>
      </c>
      <c r="E1859">
        <v>0.91800000000000004</v>
      </c>
      <c r="F1859" s="1" t="str">
        <f>VLOOKUP(H1859,'RM Used'!A:B,2,0)</f>
        <v>P0023</v>
      </c>
      <c r="G1859" s="1" t="str">
        <f>IFERROR(VLOOKUP(F1859,'RM Cost'!A:B,2,0),"")</f>
        <v>300-425ML CL R-PET REVIVE LID (X6)</v>
      </c>
      <c r="H1859" s="1" t="s">
        <v>4669</v>
      </c>
      <c r="I1859" s="1" t="str">
        <f>VLOOKUP(F1859,'RM Used'!B:D,3,0)</f>
        <v>RM-PACKING</v>
      </c>
      <c r="J1859" s="66">
        <v>1</v>
      </c>
      <c r="K1859" s="35" t="str">
        <f t="shared" si="676"/>
        <v/>
      </c>
      <c r="L1859" s="35">
        <f t="shared" si="677"/>
        <v>0</v>
      </c>
      <c r="M1859" s="77" t="str" cm="1">
        <f t="array" ref="M1859">_xlfn.IFS(BOM!I1859="RM-PACKING","100%",B1859="Reynolds",VLOOKUP(H1859,'Yield &amp; Time'!A:V,22,0),BOM!B1859="Dnata",VLOOKUP(BOM!H1859,'Yield &amp; Time'!A:M,13,0),B1859="NK",VLOOKUP(H1859,'Yield &amp; Time'!A:X,24,0))</f>
        <v>100%</v>
      </c>
      <c r="N1859" s="35">
        <f t="shared" si="678"/>
        <v>1</v>
      </c>
      <c r="O1859" s="1" t="str">
        <f>VLOOKUP(H1859,'RM Used'!A:E,5,0)</f>
        <v>Count</v>
      </c>
      <c r="P1859" s="11">
        <f>VLOOKUP(H1859,'RM Used'!A:F,6,0)</f>
        <v>0.48</v>
      </c>
      <c r="Q1859" s="11">
        <f t="shared" si="679"/>
        <v>0.48</v>
      </c>
      <c r="R1859" s="11">
        <f>IFERROR(IF(B1859="Reynolds",VLOOKUP(H1859,'Yield &amp; Time'!A:U,21,0),VLOOKUP(H1859,'Yield &amp; Time'!A:L,12,0)),0)</f>
        <v>0</v>
      </c>
      <c r="S1859" s="11">
        <f t="shared" si="680"/>
        <v>0</v>
      </c>
      <c r="T1859" s="11">
        <f t="shared" si="681"/>
        <v>0</v>
      </c>
      <c r="U1859" s="11">
        <f>IF(A1858=A1859,0,VLOOKUP(A1859,'Packing Time'!A:F,6,0))</f>
        <v>0</v>
      </c>
      <c r="V1859" s="11">
        <f t="shared" si="682"/>
        <v>0</v>
      </c>
      <c r="W1859" s="11">
        <f t="shared" si="683"/>
        <v>0</v>
      </c>
      <c r="X1859" s="11">
        <f t="shared" si="684"/>
        <v>0</v>
      </c>
      <c r="Y1859" s="11">
        <f t="shared" si="685"/>
        <v>0</v>
      </c>
      <c r="Z1859" s="37">
        <v>1</v>
      </c>
      <c r="AA1859" s="36">
        <f t="shared" si="686"/>
        <v>1</v>
      </c>
      <c r="AB1859" s="36">
        <f t="shared" si="687"/>
        <v>0.48</v>
      </c>
      <c r="AC1859" s="11">
        <f t="shared" si="688"/>
        <v>0</v>
      </c>
      <c r="AD1859" s="36">
        <f t="shared" si="689"/>
        <v>0</v>
      </c>
      <c r="AE1859" s="36"/>
      <c r="AF1859" s="36">
        <f>IFERROR(VLOOKUP(AE1859,'Chemical Cost'!A:D,4,0),0)</f>
        <v>0</v>
      </c>
      <c r="AG1859" s="114">
        <f t="shared" si="690"/>
        <v>0</v>
      </c>
      <c r="AH1859" s="36">
        <f t="shared" si="691"/>
        <v>0</v>
      </c>
      <c r="AI1859" s="36">
        <f t="shared" si="692"/>
        <v>0.48</v>
      </c>
      <c r="AJ1859" s="36">
        <f>IFERROR(VLOOKUP(A1859,'All Products'!A:F,6,0),0)</f>
        <v>0</v>
      </c>
      <c r="AK1859" s="36"/>
      <c r="AL1859" s="23"/>
      <c r="AM1859" s="23">
        <v>1</v>
      </c>
      <c r="AP1859" s="4">
        <v>1.1000000000000001</v>
      </c>
      <c r="AQ1859" s="111">
        <f t="shared" si="693"/>
        <v>0</v>
      </c>
      <c r="AS1859" t="str">
        <f>_xlfn.XLOOKUP(A1859,[3]Sheet1!$B:$B,[3]Sheet1!$B:$B)</f>
        <v>474CCS</v>
      </c>
      <c r="AT1859" t="e">
        <f>_xlfn.XLOOKUP(H1859,'Yield &amp; Time'!A:A,'Yield &amp; Time'!F:F)</f>
        <v>#N/A</v>
      </c>
    </row>
    <row r="1860" spans="1:46" x14ac:dyDescent="0.25">
      <c r="A1860" s="101" t="s">
        <v>4795</v>
      </c>
      <c r="B1860" s="94" t="s">
        <v>552</v>
      </c>
      <c r="C1860" s="101" t="s">
        <v>4797</v>
      </c>
      <c r="D1860" s="1" t="s">
        <v>554</v>
      </c>
      <c r="E1860">
        <v>0.91800000000000004</v>
      </c>
      <c r="F1860" s="1" t="str">
        <f>VLOOKUP(H1860,'RM Used'!A:B,2,0)</f>
        <v>P0024</v>
      </c>
      <c r="G1860" s="1" t="str">
        <f>IFERROR(VLOOKUP(F1860,'RM Cost'!A:B,2,0),"")</f>
        <v>DIE CUT CARTON 390MM X 290MM</v>
      </c>
      <c r="H1860" s="1" t="s">
        <v>4677</v>
      </c>
      <c r="I1860" s="1" t="str">
        <f>VLOOKUP(F1860,'RM Used'!B:D,3,0)</f>
        <v>RM-PACKING</v>
      </c>
      <c r="J1860" s="66">
        <v>1</v>
      </c>
      <c r="K1860" s="35" t="str">
        <f t="shared" si="676"/>
        <v/>
      </c>
      <c r="L1860" s="35">
        <f t="shared" si="677"/>
        <v>0</v>
      </c>
      <c r="M1860" s="77" t="str" cm="1">
        <f t="array" ref="M1860">_xlfn.IFS(BOM!I1860="RM-PACKING","100%",B1860="Reynolds",VLOOKUP(H1860,'Yield &amp; Time'!A:V,22,0),BOM!B1860="Dnata",VLOOKUP(BOM!H1860,'Yield &amp; Time'!A:M,13,0),B1860="NK",VLOOKUP(H1860,'Yield &amp; Time'!A:X,24,0))</f>
        <v>100%</v>
      </c>
      <c r="N1860" s="35">
        <f t="shared" si="678"/>
        <v>1</v>
      </c>
      <c r="O1860" s="1" t="str">
        <f>VLOOKUP(H1860,'RM Used'!A:E,5,0)</f>
        <v>Count</v>
      </c>
      <c r="P1860" s="11">
        <f>VLOOKUP(H1860,'RM Used'!A:F,6,0)</f>
        <v>0.1</v>
      </c>
      <c r="Q1860" s="11">
        <f t="shared" si="679"/>
        <v>0.1</v>
      </c>
      <c r="R1860" s="11">
        <f>IFERROR(IF(B1860="Reynolds",VLOOKUP(H1860,'Yield &amp; Time'!A:U,21,0),VLOOKUP(H1860,'Yield &amp; Time'!A:L,12,0)),0)</f>
        <v>0</v>
      </c>
      <c r="S1860" s="11">
        <f t="shared" si="680"/>
        <v>0</v>
      </c>
      <c r="T1860" s="11">
        <f t="shared" si="681"/>
        <v>0</v>
      </c>
      <c r="U1860" s="11">
        <f>IF(A1859=A1860,0,VLOOKUP(A1860,'Packing Time'!A:F,6,0))</f>
        <v>0</v>
      </c>
      <c r="V1860" s="11">
        <f t="shared" si="682"/>
        <v>0</v>
      </c>
      <c r="W1860" s="11">
        <f t="shared" si="683"/>
        <v>0</v>
      </c>
      <c r="X1860" s="11">
        <f t="shared" si="684"/>
        <v>0</v>
      </c>
      <c r="Y1860" s="11">
        <f t="shared" si="685"/>
        <v>0</v>
      </c>
      <c r="Z1860" s="37">
        <v>1</v>
      </c>
      <c r="AA1860" s="36">
        <f t="shared" si="686"/>
        <v>1</v>
      </c>
      <c r="AB1860" s="36">
        <f t="shared" si="687"/>
        <v>0.1</v>
      </c>
      <c r="AC1860" s="11">
        <f t="shared" si="688"/>
        <v>0</v>
      </c>
      <c r="AD1860" s="36">
        <f t="shared" si="689"/>
        <v>0</v>
      </c>
      <c r="AE1860" s="36"/>
      <c r="AF1860" s="36">
        <f>IFERROR(VLOOKUP(AE1860,'Chemical Cost'!A:D,4,0),0)</f>
        <v>0</v>
      </c>
      <c r="AG1860" s="114">
        <f t="shared" si="690"/>
        <v>0</v>
      </c>
      <c r="AH1860" s="36">
        <f t="shared" si="691"/>
        <v>0</v>
      </c>
      <c r="AI1860" s="36">
        <f t="shared" si="692"/>
        <v>0.1</v>
      </c>
      <c r="AJ1860" s="36">
        <f>IFERROR(VLOOKUP(A1860,'All Products'!A:F,6,0),0)</f>
        <v>0</v>
      </c>
      <c r="AK1860" s="36"/>
      <c r="AL1860" s="23"/>
      <c r="AM1860" s="23">
        <v>1</v>
      </c>
      <c r="AP1860" s="4">
        <v>1.1000000000000001</v>
      </c>
      <c r="AQ1860" s="111">
        <f t="shared" si="693"/>
        <v>0</v>
      </c>
      <c r="AS1860" t="str">
        <f>_xlfn.XLOOKUP(A1860,[3]Sheet1!$B:$B,[3]Sheet1!$B:$B)</f>
        <v>474CCS</v>
      </c>
      <c r="AT1860" t="e">
        <f>_xlfn.XLOOKUP(H1860,'Yield &amp; Time'!A:A,'Yield &amp; Time'!F:F)</f>
        <v>#N/A</v>
      </c>
    </row>
    <row r="1861" spans="1:46" x14ac:dyDescent="0.25">
      <c r="A1861" s="101" t="s">
        <v>4795</v>
      </c>
      <c r="B1861" s="94" t="s">
        <v>552</v>
      </c>
      <c r="C1861" s="101" t="s">
        <v>4797</v>
      </c>
      <c r="D1861" s="1" t="s">
        <v>554</v>
      </c>
      <c r="E1861">
        <v>0.91800000000000004</v>
      </c>
      <c r="F1861" s="1" t="str">
        <f>VLOOKUP(H1861,'RM Used'!A:B,2,0)</f>
        <v>P0016</v>
      </c>
      <c r="G1861" s="1" t="str">
        <f>IFERROR(VLOOKUP(F1861,'RM Cost'!A:B,2,0),"")</f>
        <v>REY 40 30 BOX</v>
      </c>
      <c r="H1861" s="2" t="s">
        <v>1332</v>
      </c>
      <c r="I1861" s="1" t="str">
        <f>VLOOKUP(F1861,'RM Used'!B:D,3,0)</f>
        <v>RM-PACKING</v>
      </c>
      <c r="J1861" s="66">
        <v>1</v>
      </c>
      <c r="K1861" s="35" t="str">
        <f t="shared" si="676"/>
        <v/>
      </c>
      <c r="L1861" s="35">
        <f t="shared" si="677"/>
        <v>0</v>
      </c>
      <c r="M1861" s="77" t="str" cm="1">
        <f t="array" ref="M1861">_xlfn.IFS(BOM!I1861="RM-PACKING","100%",B1861="Reynolds",VLOOKUP(H1861,'Yield &amp; Time'!A:V,22,0),BOM!B1861="Dnata",VLOOKUP(BOM!H1861,'Yield &amp; Time'!A:M,13,0),B1861="NK",VLOOKUP(H1861,'Yield &amp; Time'!A:X,24,0))</f>
        <v>100%</v>
      </c>
      <c r="N1861" s="35">
        <f t="shared" si="678"/>
        <v>1</v>
      </c>
      <c r="O1861" s="1" t="str">
        <f>VLOOKUP(H1861,'RM Used'!A:E,5,0)</f>
        <v>Count</v>
      </c>
      <c r="P1861" s="11">
        <f>VLOOKUP(H1861,'RM Used'!A:F,6,0)</f>
        <v>0.28000000000000003</v>
      </c>
      <c r="Q1861" s="11">
        <f t="shared" si="679"/>
        <v>0.28000000000000003</v>
      </c>
      <c r="R1861" s="11">
        <f>IFERROR(IF(B1861="Reynolds",VLOOKUP(H1861,'Yield &amp; Time'!A:U,21,0),VLOOKUP(H1861,'Yield &amp; Time'!A:L,12,0)),0)</f>
        <v>0</v>
      </c>
      <c r="S1861" s="11">
        <f t="shared" si="680"/>
        <v>0</v>
      </c>
      <c r="T1861" s="11">
        <f t="shared" si="681"/>
        <v>0</v>
      </c>
      <c r="U1861" s="11">
        <f>IF(A1860=A1861,0,VLOOKUP(A1861,'Packing Time'!A:F,6,0))</f>
        <v>0</v>
      </c>
      <c r="V1861" s="11">
        <f t="shared" si="682"/>
        <v>0</v>
      </c>
      <c r="W1861" s="11">
        <f t="shared" si="683"/>
        <v>0</v>
      </c>
      <c r="X1861" s="11">
        <f t="shared" si="684"/>
        <v>0</v>
      </c>
      <c r="Y1861" s="11">
        <f t="shared" si="685"/>
        <v>0</v>
      </c>
      <c r="Z1861" s="37">
        <v>1</v>
      </c>
      <c r="AA1861" s="36">
        <f t="shared" si="686"/>
        <v>1</v>
      </c>
      <c r="AB1861" s="36">
        <f t="shared" si="687"/>
        <v>0.28000000000000003</v>
      </c>
      <c r="AC1861" s="11">
        <f t="shared" si="688"/>
        <v>0</v>
      </c>
      <c r="AD1861" s="36">
        <f t="shared" si="689"/>
        <v>0</v>
      </c>
      <c r="AE1861" s="36"/>
      <c r="AF1861" s="36">
        <f>IFERROR(VLOOKUP(AE1861,'Chemical Cost'!A:D,4,0),0)</f>
        <v>0</v>
      </c>
      <c r="AG1861" s="114">
        <f t="shared" si="690"/>
        <v>0</v>
      </c>
      <c r="AH1861" s="36">
        <f t="shared" si="691"/>
        <v>0</v>
      </c>
      <c r="AI1861" s="36">
        <f t="shared" si="692"/>
        <v>0.28000000000000003</v>
      </c>
      <c r="AJ1861" s="36">
        <f>IFERROR(VLOOKUP(A1861,'All Products'!A:F,6,0),0)</f>
        <v>0</v>
      </c>
      <c r="AK1861" s="36"/>
      <c r="AL1861" s="23"/>
      <c r="AM1861" s="23">
        <v>1</v>
      </c>
      <c r="AP1861" s="4">
        <v>1.1000000000000001</v>
      </c>
      <c r="AQ1861" s="111">
        <f t="shared" si="693"/>
        <v>0</v>
      </c>
      <c r="AS1861" t="str">
        <f>_xlfn.XLOOKUP(A1861,[3]Sheet1!$B:$B,[3]Sheet1!$B:$B)</f>
        <v>474CCS</v>
      </c>
      <c r="AT1861" t="e">
        <f>_xlfn.XLOOKUP(H1861,'Yield &amp; Time'!A:A,'Yield &amp; Time'!F:F)</f>
        <v>#N/A</v>
      </c>
    </row>
    <row r="1862" spans="1:46" x14ac:dyDescent="0.25">
      <c r="A1862" s="101" t="s">
        <v>4796</v>
      </c>
      <c r="B1862" s="94" t="s">
        <v>552</v>
      </c>
      <c r="C1862" s="101" t="s">
        <v>4798</v>
      </c>
      <c r="D1862" s="1" t="s">
        <v>554</v>
      </c>
      <c r="E1862">
        <v>1.02</v>
      </c>
      <c r="F1862" s="1" t="str">
        <f>VLOOKUP(H1862,'RM Used'!A:B,2,0)</f>
        <v>2794CS</v>
      </c>
      <c r="G1862" s="1" t="str">
        <f>IFERROR(VLOOKUP(F1862,'RM Cost'!A:B,2,0),"")</f>
        <v>RM - MELON YELLOW X 6EA</v>
      </c>
      <c r="H1862" t="s">
        <v>4850</v>
      </c>
      <c r="I1862" s="1" t="str">
        <f>VLOOKUP(F1862,'RM Used'!B:D,3,0)</f>
        <v>RM-FOOD</v>
      </c>
      <c r="J1862" s="126">
        <v>0.28999999999999998</v>
      </c>
      <c r="K1862" s="150">
        <f t="shared" si="676"/>
        <v>0.29580000000000001</v>
      </c>
      <c r="L1862" s="35">
        <f t="shared" ref="L1862:L1878" si="694">IFERROR(K1862*Z1862,0)</f>
        <v>0.29580000000000001</v>
      </c>
      <c r="M1862" s="77" cm="1">
        <f t="array" ref="M1862">_xlfn.IFS(BOM!I1862="RM-PACKING","100%",B1862="Reynolds",VLOOKUP(H1862,'Yield &amp; Time'!A:V,22,0),BOM!B1862="Dnata",VLOOKUP(BOM!H1862,'Yield &amp; Time'!A:M,13,0),B1862="NK",VLOOKUP(H1862,'Yield &amp; Time'!A:X,24,0))</f>
        <v>0.54941373534338356</v>
      </c>
      <c r="N1862" s="35">
        <f t="shared" ref="N1862:N1878" si="695">IFERROR(IF(I1862="RM-FOOD",(E1862*J1862)/M1862,1),0)</f>
        <v>0.53839207317073179</v>
      </c>
      <c r="O1862" s="1" t="str">
        <f>VLOOKUP(H1862,'RM Used'!A:E,5,0)</f>
        <v>KG</v>
      </c>
      <c r="P1862" s="11">
        <f>VLOOKUP(H1862,'RM Used'!A:F,6,0)</f>
        <v>0.81</v>
      </c>
      <c r="Q1862" s="11">
        <f t="shared" ref="Q1862:Q1878" si="696">P1862*N1862</f>
        <v>0.43609757926829279</v>
      </c>
      <c r="R1862" s="11">
        <f>IFERROR(IF(B1862="Reynolds",VLOOKUP(H1862,'Yield &amp; Time'!A:U,21,0),VLOOKUP(H1862,'Yield &amp; Time'!A:L,12,0)),0)</f>
        <v>1.8568181818181819</v>
      </c>
      <c r="S1862" s="11">
        <f t="shared" ref="S1862:S1878" si="697">R1862*J1862*E1862*AO$1</f>
        <v>0.18592004795454545</v>
      </c>
      <c r="T1862" s="11">
        <f t="shared" ref="T1862:T1878" si="698">(R1862*Z1862*J1862*E1862)/60</f>
        <v>9.1541136363636373E-3</v>
      </c>
      <c r="U1862" s="11">
        <f>IF(A1861=A1862,0,VLOOKUP(A1862,'Packing Time'!A:F,6,0))</f>
        <v>2.4</v>
      </c>
      <c r="V1862" s="11">
        <f t="shared" ref="V1862:V1878" si="699">U1862*AO$1</f>
        <v>0.8123999999999999</v>
      </c>
      <c r="W1862" s="11">
        <f t="shared" ref="W1862:W1878" si="700">(U1862*Z1862)/60</f>
        <v>0.04</v>
      </c>
      <c r="X1862" s="11">
        <f t="shared" ref="X1862:X1878" si="701">((R1862*J1862*E1862)+U1862)*AO$1*AP1862</f>
        <v>1.0981520527499997</v>
      </c>
      <c r="Y1862" s="11">
        <f t="shared" ref="Y1862:Y1878" si="702">X1862*Z1862</f>
        <v>1.0981520527499997</v>
      </c>
      <c r="Z1862" s="37">
        <v>1</v>
      </c>
      <c r="AA1862" s="36">
        <f t="shared" ref="AA1862:AA1878" si="703">Z1862*N1862</f>
        <v>0.53839207317073179</v>
      </c>
      <c r="AB1862" s="36">
        <f t="shared" ref="AB1862:AB1878" si="704">AA1862*P1862</f>
        <v>0.43609757926829279</v>
      </c>
      <c r="AC1862" s="11">
        <f t="shared" ref="AC1862:AC1878" si="705">(((R1862*J1862*E1862)+U1862)/60)*Z1862*AP1862</f>
        <v>5.4069525E-2</v>
      </c>
      <c r="AD1862" s="36">
        <f t="shared" ref="AD1862:AD1878" si="706">AC1862*60*AO$1</f>
        <v>1.0981520527499999</v>
      </c>
      <c r="AE1862" s="36"/>
      <c r="AF1862" s="36">
        <f>IFERROR(VLOOKUP(AE1862,'Chemical Cost'!A:D,4,0),0)</f>
        <v>0</v>
      </c>
      <c r="AG1862" s="114">
        <f t="shared" ref="AG1862:AG1878" si="707">AF1862*N1862/3</f>
        <v>0</v>
      </c>
      <c r="AH1862" s="36">
        <f t="shared" ref="AH1862:AH1878" si="708">AF1862*AA1862/3</f>
        <v>0</v>
      </c>
      <c r="AI1862" s="36">
        <f t="shared" ref="AI1862:AI1878" si="709">IFERROR((Q1862*Z1862)+(Z1862*X1862)+AH1862,0)</f>
        <v>1.5342496320182926</v>
      </c>
      <c r="AJ1862" s="36">
        <f>IFERROR(VLOOKUP(A1862,'All Products'!A:F,6,0),0)</f>
        <v>0</v>
      </c>
      <c r="AK1862" s="36"/>
      <c r="AL1862" s="23"/>
      <c r="AM1862" s="23">
        <v>1</v>
      </c>
      <c r="AP1862" s="4">
        <v>1.1000000000000001</v>
      </c>
      <c r="AQ1862" s="111">
        <f t="shared" si="693"/>
        <v>5.4069525E-2</v>
      </c>
      <c r="AS1862" t="str">
        <f>_xlfn.XLOOKUP(A1862,[3]Sheet1!$B:$B,[3]Sheet1!$B:$B)</f>
        <v>475CCS</v>
      </c>
      <c r="AT1862" t="str">
        <f>_xlfn.XLOOKUP(H1862,'Yield &amp; Time'!A:A,'Yield &amp; Time'!O:O)</f>
        <v>Yes</v>
      </c>
    </row>
    <row r="1863" spans="1:46" x14ac:dyDescent="0.25">
      <c r="A1863" s="101" t="s">
        <v>4796</v>
      </c>
      <c r="B1863" s="94" t="s">
        <v>552</v>
      </c>
      <c r="C1863" s="101" t="s">
        <v>4798</v>
      </c>
      <c r="D1863" s="1" t="s">
        <v>554</v>
      </c>
      <c r="E1863">
        <v>1.02</v>
      </c>
      <c r="F1863" s="1" t="str">
        <f>VLOOKUP(H1863,'RM Used'!A:B,2,0)</f>
        <v>2608CS</v>
      </c>
      <c r="G1863" s="1" t="str">
        <f>IFERROR(VLOOKUP(F1863,'RM Cost'!A:B,2,0),"")</f>
        <v>RM - GRAPE BLACK SLESS P/P 10X500G</v>
      </c>
      <c r="H1863" t="s">
        <v>1383</v>
      </c>
      <c r="I1863" s="1" t="str">
        <f>VLOOKUP(F1863,'RM Used'!B:D,3,0)</f>
        <v>RM-FOOD</v>
      </c>
      <c r="J1863" s="126">
        <v>0.24</v>
      </c>
      <c r="K1863" s="150">
        <f t="shared" si="676"/>
        <v>0.24479999999999999</v>
      </c>
      <c r="L1863" s="35">
        <f t="shared" si="694"/>
        <v>0.24479999999999999</v>
      </c>
      <c r="M1863" s="77" cm="1">
        <f t="array" ref="M1863">_xlfn.IFS(BOM!I1863="RM-PACKING","100%",B1863="Reynolds",VLOOKUP(H1863,'Yield &amp; Time'!A:V,22,0),BOM!B1863="Dnata",VLOOKUP(BOM!H1863,'Yield &amp; Time'!A:M,13,0),B1863="NK",VLOOKUP(H1863,'Yield &amp; Time'!A:X,24,0))</f>
        <v>0.95121951219512202</v>
      </c>
      <c r="N1863" s="35">
        <f t="shared" si="695"/>
        <v>0.2573538461538461</v>
      </c>
      <c r="O1863" s="1" t="str">
        <f>VLOOKUP(H1863,'RM Used'!A:E,5,0)</f>
        <v>KG</v>
      </c>
      <c r="P1863" s="11">
        <f>VLOOKUP(H1863,'RM Used'!A:F,6,0)</f>
        <v>2.2599999999999998</v>
      </c>
      <c r="Q1863" s="11">
        <f t="shared" si="696"/>
        <v>0.58161969230769217</v>
      </c>
      <c r="R1863" s="11">
        <f>IFERROR(IF(B1863="Reynolds",VLOOKUP(H1863,'Yield &amp; Time'!A:U,21,0),VLOOKUP(H1863,'Yield &amp; Time'!A:L,12,0)),0)</f>
        <v>2.6266025641025639</v>
      </c>
      <c r="S1863" s="11">
        <f t="shared" si="697"/>
        <v>0.21765289615384611</v>
      </c>
      <c r="T1863" s="11">
        <f t="shared" si="698"/>
        <v>1.0716538461538461E-2</v>
      </c>
      <c r="U1863" s="11">
        <f>IF(A1862=A1863,0,VLOOKUP(A1863,'Packing Time'!A:F,6,0))</f>
        <v>0</v>
      </c>
      <c r="V1863" s="11">
        <f t="shared" si="699"/>
        <v>0</v>
      </c>
      <c r="W1863" s="11">
        <f t="shared" si="700"/>
        <v>0</v>
      </c>
      <c r="X1863" s="11">
        <f t="shared" si="701"/>
        <v>0.23941818576923074</v>
      </c>
      <c r="Y1863" s="11">
        <f t="shared" si="702"/>
        <v>0.23941818576923074</v>
      </c>
      <c r="Z1863" s="37">
        <v>1</v>
      </c>
      <c r="AA1863" s="36">
        <f t="shared" si="703"/>
        <v>0.2573538461538461</v>
      </c>
      <c r="AB1863" s="36">
        <f t="shared" si="704"/>
        <v>0.58161969230769217</v>
      </c>
      <c r="AC1863" s="11">
        <f t="shared" si="705"/>
        <v>1.1788192307692309E-2</v>
      </c>
      <c r="AD1863" s="36">
        <f t="shared" si="706"/>
        <v>0.23941818576923074</v>
      </c>
      <c r="AE1863" s="36"/>
      <c r="AF1863" s="36">
        <f>IFERROR(VLOOKUP(AE1863,'Chemical Cost'!A:D,4,0),0)</f>
        <v>0</v>
      </c>
      <c r="AG1863" s="114">
        <f t="shared" si="707"/>
        <v>0</v>
      </c>
      <c r="AH1863" s="36">
        <f t="shared" si="708"/>
        <v>0</v>
      </c>
      <c r="AI1863" s="36">
        <f t="shared" si="709"/>
        <v>0.82103787807692297</v>
      </c>
      <c r="AJ1863" s="36">
        <f>IFERROR(VLOOKUP(A1863,'All Products'!A:F,6,0),0)</f>
        <v>0</v>
      </c>
      <c r="AK1863" s="36"/>
      <c r="AL1863" s="23"/>
      <c r="AM1863" s="23">
        <v>1</v>
      </c>
      <c r="AP1863" s="4">
        <v>1.1000000000000001</v>
      </c>
      <c r="AQ1863" s="111">
        <f t="shared" si="693"/>
        <v>1.1788192307692309E-2</v>
      </c>
      <c r="AS1863" t="str">
        <f>_xlfn.XLOOKUP(A1863,[3]Sheet1!$B:$B,[3]Sheet1!$B:$B)</f>
        <v>475CCS</v>
      </c>
      <c r="AT1863" t="str">
        <f>_xlfn.XLOOKUP(H1863,'Yield &amp; Time'!A:A,'Yield &amp; Time'!O:O)</f>
        <v>Yes</v>
      </c>
    </row>
    <row r="1864" spans="1:46" x14ac:dyDescent="0.25">
      <c r="A1864" s="101" t="s">
        <v>4796</v>
      </c>
      <c r="B1864" s="94" t="s">
        <v>552</v>
      </c>
      <c r="C1864" s="101" t="s">
        <v>4798</v>
      </c>
      <c r="D1864" s="1" t="s">
        <v>554</v>
      </c>
      <c r="E1864">
        <v>1.02</v>
      </c>
      <c r="F1864" s="1" t="str">
        <f>VLOOKUP(H1864,'RM Used'!A:B,2,0)</f>
        <v>2789CS</v>
      </c>
      <c r="G1864" s="1" t="str">
        <f>IFERROR(VLOOKUP(F1864,'RM Cost'!A:B,2,0),"")</f>
        <v>RM - PINEAPPLE X 6</v>
      </c>
      <c r="H1864" t="s">
        <v>4801</v>
      </c>
      <c r="I1864" s="1" t="str">
        <f>VLOOKUP(F1864,'RM Used'!B:D,3,0)</f>
        <v>RM-FOOD</v>
      </c>
      <c r="J1864" s="126">
        <v>0.28999999999999998</v>
      </c>
      <c r="K1864" s="150">
        <f t="shared" si="676"/>
        <v>0.29580000000000001</v>
      </c>
      <c r="L1864" s="35">
        <f t="shared" si="694"/>
        <v>0.29580000000000001</v>
      </c>
      <c r="M1864" s="77" cm="1">
        <f t="array" ref="M1864">_xlfn.IFS(BOM!I1864="RM-PACKING","100%",B1864="Reynolds",VLOOKUP(H1864,'Yield &amp; Time'!A:V,22,0),BOM!B1864="Dnata",VLOOKUP(BOM!H1864,'Yield &amp; Time'!A:M,13,0),B1864="NK",VLOOKUP(H1864,'Yield &amp; Time'!A:X,24,0))</f>
        <v>0.38</v>
      </c>
      <c r="N1864" s="35">
        <f t="shared" si="695"/>
        <v>0.7784210526315789</v>
      </c>
      <c r="O1864" s="1" t="str">
        <f>VLOOKUP(H1864,'RM Used'!A:E,5,0)</f>
        <v>KG</v>
      </c>
      <c r="P1864" s="11">
        <f>VLOOKUP(H1864,'RM Used'!A:F,6,0)</f>
        <v>0.7</v>
      </c>
      <c r="Q1864" s="11">
        <f t="shared" si="696"/>
        <v>0.54489473684210521</v>
      </c>
      <c r="R1864" s="11">
        <f>IFERROR(IF(B1864="Reynolds",VLOOKUP(H1864,'Yield &amp; Time'!A:U,21,0),VLOOKUP(H1864,'Yield &amp; Time'!A:L,12,0)),0)</f>
        <v>2.14</v>
      </c>
      <c r="S1864" s="11">
        <f t="shared" si="697"/>
        <v>0.21427456199999997</v>
      </c>
      <c r="T1864" s="11">
        <f t="shared" si="698"/>
        <v>1.0550200000000001E-2</v>
      </c>
      <c r="U1864" s="11">
        <f>IF(A1863=A1864,0,VLOOKUP(A1864,'Packing Time'!A:F,6,0))</f>
        <v>0</v>
      </c>
      <c r="V1864" s="11">
        <f t="shared" si="699"/>
        <v>0</v>
      </c>
      <c r="W1864" s="11">
        <f t="shared" si="700"/>
        <v>0</v>
      </c>
      <c r="X1864" s="11">
        <f t="shared" si="701"/>
        <v>0.2357020182</v>
      </c>
      <c r="Y1864" s="11">
        <f t="shared" si="702"/>
        <v>0.2357020182</v>
      </c>
      <c r="Z1864" s="37">
        <v>1</v>
      </c>
      <c r="AA1864" s="36">
        <f t="shared" si="703"/>
        <v>0.7784210526315789</v>
      </c>
      <c r="AB1864" s="36">
        <f t="shared" si="704"/>
        <v>0.54489473684210521</v>
      </c>
      <c r="AC1864" s="11">
        <f t="shared" si="705"/>
        <v>1.1605220000000001E-2</v>
      </c>
      <c r="AD1864" s="36">
        <f t="shared" si="706"/>
        <v>0.2357020182</v>
      </c>
      <c r="AE1864" s="36"/>
      <c r="AF1864" s="36">
        <f>IFERROR(VLOOKUP(AE1864,'Chemical Cost'!A:D,4,0),0)</f>
        <v>0</v>
      </c>
      <c r="AG1864" s="114">
        <f t="shared" si="707"/>
        <v>0</v>
      </c>
      <c r="AH1864" s="36">
        <f t="shared" si="708"/>
        <v>0</v>
      </c>
      <c r="AI1864" s="36">
        <f t="shared" si="709"/>
        <v>0.78059675504210524</v>
      </c>
      <c r="AJ1864" s="36">
        <f>IFERROR(VLOOKUP(A1864,'All Products'!A:F,6,0),0)</f>
        <v>0</v>
      </c>
      <c r="AK1864" s="36"/>
      <c r="AL1864" s="23"/>
      <c r="AM1864" s="23">
        <v>1</v>
      </c>
      <c r="AP1864" s="4">
        <v>1.1000000000000001</v>
      </c>
      <c r="AQ1864" s="111">
        <f t="shared" si="693"/>
        <v>1.1605220000000001E-2</v>
      </c>
      <c r="AS1864" t="str">
        <f>_xlfn.XLOOKUP(A1864,[3]Sheet1!$B:$B,[3]Sheet1!$B:$B)</f>
        <v>475CCS</v>
      </c>
      <c r="AT1864" t="str">
        <f>_xlfn.XLOOKUP(H1864,'Yield &amp; Time'!A:A,'Yield &amp; Time'!O:O)</f>
        <v>Yes</v>
      </c>
    </row>
    <row r="1865" spans="1:46" x14ac:dyDescent="0.25">
      <c r="A1865" s="101" t="s">
        <v>4796</v>
      </c>
      <c r="B1865" s="94" t="s">
        <v>552</v>
      </c>
      <c r="C1865" s="101" t="s">
        <v>4798</v>
      </c>
      <c r="D1865" s="1" t="s">
        <v>554</v>
      </c>
      <c r="E1865">
        <v>1.02</v>
      </c>
      <c r="F1865" s="1" t="str">
        <f>VLOOKUP(H1865,'RM Used'!A:B,2,0)</f>
        <v>166ACS</v>
      </c>
      <c r="G1865" s="1" t="str">
        <f>IFERROR(VLOOKUP(F1865,'RM Cost'!A:B,2,0),"")</f>
        <v>RM - LARGE MANGO 5/6</v>
      </c>
      <c r="H1865" t="s">
        <v>4799</v>
      </c>
      <c r="I1865" s="1" t="str">
        <f>VLOOKUP(F1865,'RM Used'!B:D,3,0)</f>
        <v>RM-FOOD</v>
      </c>
      <c r="J1865" s="126">
        <v>0.18</v>
      </c>
      <c r="K1865" s="150">
        <f t="shared" si="676"/>
        <v>0.18359999999999999</v>
      </c>
      <c r="L1865" s="35">
        <f t="shared" si="694"/>
        <v>0.18359999999999999</v>
      </c>
      <c r="M1865" s="77" cm="1">
        <f t="array" ref="M1865">_xlfn.IFS(BOM!I1865="RM-PACKING","100%",B1865="Reynolds",VLOOKUP(H1865,'Yield &amp; Time'!A:V,22,0),BOM!B1865="Dnata",VLOOKUP(BOM!H1865,'Yield &amp; Time'!A:M,13,0),B1865="NK",VLOOKUP(H1865,'Yield &amp; Time'!A:X,24,0))</f>
        <v>0.48</v>
      </c>
      <c r="N1865" s="35">
        <f t="shared" si="695"/>
        <v>0.38250000000000001</v>
      </c>
      <c r="O1865" s="1" t="str">
        <f>VLOOKUP(H1865,'RM Used'!A:E,5,0)</f>
        <v>KG</v>
      </c>
      <c r="P1865" s="11">
        <f>VLOOKUP(H1865,'RM Used'!A:F,6,0)</f>
        <v>2.0799999999999996</v>
      </c>
      <c r="Q1865" s="11">
        <f t="shared" si="696"/>
        <v>0.79559999999999986</v>
      </c>
      <c r="R1865" s="11">
        <f>IFERROR(IF(B1865="Reynolds",VLOOKUP(H1865,'Yield &amp; Time'!A:U,21,0),VLOOKUP(H1865,'Yield &amp; Time'!A:L,12,0)),0)</f>
        <v>5.03</v>
      </c>
      <c r="S1865" s="11">
        <f t="shared" si="697"/>
        <v>0.31260745799999995</v>
      </c>
      <c r="T1865" s="11">
        <f t="shared" si="698"/>
        <v>1.5391800000000001E-2</v>
      </c>
      <c r="U1865" s="11">
        <f>IF(A1864=A1865,0,VLOOKUP(A1865,'Packing Time'!A:F,6,0))</f>
        <v>0</v>
      </c>
      <c r="V1865" s="11">
        <f t="shared" si="699"/>
        <v>0</v>
      </c>
      <c r="W1865" s="11">
        <f t="shared" si="700"/>
        <v>0</v>
      </c>
      <c r="X1865" s="11">
        <f t="shared" si="701"/>
        <v>0.34386820379999999</v>
      </c>
      <c r="Y1865" s="11">
        <f t="shared" si="702"/>
        <v>0.34386820379999999</v>
      </c>
      <c r="Z1865" s="37">
        <v>1</v>
      </c>
      <c r="AA1865" s="36">
        <f t="shared" si="703"/>
        <v>0.38250000000000001</v>
      </c>
      <c r="AB1865" s="36">
        <f t="shared" si="704"/>
        <v>0.79559999999999986</v>
      </c>
      <c r="AC1865" s="11">
        <f t="shared" si="705"/>
        <v>1.6930980000000002E-2</v>
      </c>
      <c r="AD1865" s="36">
        <f t="shared" si="706"/>
        <v>0.34386820380000005</v>
      </c>
      <c r="AE1865" s="36"/>
      <c r="AF1865" s="36">
        <f>IFERROR(VLOOKUP(AE1865,'Chemical Cost'!A:D,4,0),0)</f>
        <v>0</v>
      </c>
      <c r="AG1865" s="114">
        <f t="shared" si="707"/>
        <v>0</v>
      </c>
      <c r="AH1865" s="36">
        <f t="shared" si="708"/>
        <v>0</v>
      </c>
      <c r="AI1865" s="36">
        <f t="shared" si="709"/>
        <v>1.1394682037999999</v>
      </c>
      <c r="AJ1865" s="36">
        <f>IFERROR(VLOOKUP(A1865,'All Products'!A:F,6,0),0)</f>
        <v>0</v>
      </c>
      <c r="AK1865" s="36"/>
      <c r="AL1865" s="23"/>
      <c r="AM1865" s="23">
        <v>1</v>
      </c>
      <c r="AP1865" s="4">
        <v>1.1000000000000001</v>
      </c>
      <c r="AQ1865" s="111">
        <f t="shared" si="693"/>
        <v>1.6930980000000002E-2</v>
      </c>
      <c r="AS1865" t="str">
        <f>_xlfn.XLOOKUP(A1865,[3]Sheet1!$B:$B,[3]Sheet1!$B:$B)</f>
        <v>475CCS</v>
      </c>
      <c r="AT1865" t="str">
        <f>_xlfn.XLOOKUP(H1865,'Yield &amp; Time'!A:A,'Yield &amp; Time'!O:O)</f>
        <v>Yes</v>
      </c>
    </row>
    <row r="1866" spans="1:46" x14ac:dyDescent="0.25">
      <c r="A1866" s="101" t="s">
        <v>4796</v>
      </c>
      <c r="B1866" s="94" t="s">
        <v>552</v>
      </c>
      <c r="C1866" s="101" t="s">
        <v>4798</v>
      </c>
      <c r="D1866" s="1" t="s">
        <v>554</v>
      </c>
      <c r="E1866">
        <v>1.02</v>
      </c>
      <c r="F1866" s="1" t="str">
        <f>VLOOKUP(H1866,'RM Used'!A:B,2,0)</f>
        <v>P0012</v>
      </c>
      <c r="G1866" s="1" t="str">
        <f>IFERROR(VLOOKUP(F1866,'RM Cost'!A:B,2,0),"")</f>
        <v>XL GRAZE REVIVE POT (X6)</v>
      </c>
      <c r="H1866" s="1" t="s">
        <v>4668</v>
      </c>
      <c r="I1866" s="1" t="str">
        <f>VLOOKUP(F1866,'RM Used'!B:D,3,0)</f>
        <v>RM-PACKING</v>
      </c>
      <c r="J1866" s="66">
        <v>1</v>
      </c>
      <c r="K1866" s="150" t="str">
        <f t="shared" si="676"/>
        <v/>
      </c>
      <c r="L1866" s="35">
        <f t="shared" si="694"/>
        <v>0</v>
      </c>
      <c r="M1866" s="77" t="str" cm="1">
        <f t="array" ref="M1866">_xlfn.IFS(BOM!I1866="RM-PACKING","100%",B1866="Reynolds",VLOOKUP(H1866,'Yield &amp; Time'!A:V,22,0),BOM!B1866="Dnata",VLOOKUP(BOM!H1866,'Yield &amp; Time'!A:M,13,0),B1866="NK",VLOOKUP(H1866,'Yield &amp; Time'!A:X,24,0))</f>
        <v>100%</v>
      </c>
      <c r="N1866" s="35">
        <f t="shared" si="695"/>
        <v>1</v>
      </c>
      <c r="O1866" s="1" t="str">
        <f>VLOOKUP(H1866,'RM Used'!A:E,5,0)</f>
        <v>Count</v>
      </c>
      <c r="P1866" s="11">
        <f>VLOOKUP(H1866,'RM Used'!A:F,6,0)</f>
        <v>0.96</v>
      </c>
      <c r="Q1866" s="11">
        <f t="shared" si="696"/>
        <v>0.96</v>
      </c>
      <c r="R1866" s="11">
        <f>IFERROR(IF(B1866="Reynolds",VLOOKUP(H1866,'Yield &amp; Time'!A:U,21,0),VLOOKUP(H1866,'Yield &amp; Time'!A:L,12,0)),0)</f>
        <v>0</v>
      </c>
      <c r="S1866" s="11">
        <f t="shared" si="697"/>
        <v>0</v>
      </c>
      <c r="T1866" s="11">
        <f t="shared" si="698"/>
        <v>0</v>
      </c>
      <c r="U1866" s="11">
        <f>IF(A1865=A1866,0,VLOOKUP(A1866,'Packing Time'!A:F,6,0))</f>
        <v>0</v>
      </c>
      <c r="V1866" s="11">
        <f t="shared" si="699"/>
        <v>0</v>
      </c>
      <c r="W1866" s="11">
        <f t="shared" si="700"/>
        <v>0</v>
      </c>
      <c r="X1866" s="11">
        <f t="shared" si="701"/>
        <v>0</v>
      </c>
      <c r="Y1866" s="11">
        <f t="shared" si="702"/>
        <v>0</v>
      </c>
      <c r="Z1866" s="37">
        <v>1</v>
      </c>
      <c r="AA1866" s="36">
        <f t="shared" si="703"/>
        <v>1</v>
      </c>
      <c r="AB1866" s="36">
        <f t="shared" si="704"/>
        <v>0.96</v>
      </c>
      <c r="AC1866" s="11">
        <f t="shared" si="705"/>
        <v>0</v>
      </c>
      <c r="AD1866" s="36">
        <f t="shared" si="706"/>
        <v>0</v>
      </c>
      <c r="AE1866" s="36"/>
      <c r="AF1866" s="36">
        <f>IFERROR(VLOOKUP(AE1866,'Chemical Cost'!A:D,4,0),0)</f>
        <v>0</v>
      </c>
      <c r="AG1866" s="114">
        <f t="shared" si="707"/>
        <v>0</v>
      </c>
      <c r="AH1866" s="36">
        <f t="shared" si="708"/>
        <v>0</v>
      </c>
      <c r="AI1866" s="36">
        <f t="shared" si="709"/>
        <v>0.96</v>
      </c>
      <c r="AJ1866" s="36">
        <f>IFERROR(VLOOKUP(A1866,'All Products'!A:F,6,0),0)</f>
        <v>0</v>
      </c>
      <c r="AK1866" s="36"/>
      <c r="AL1866" s="23"/>
      <c r="AM1866" s="23">
        <v>1</v>
      </c>
      <c r="AP1866" s="4">
        <v>1.1000000000000001</v>
      </c>
      <c r="AQ1866" s="111">
        <f t="shared" si="693"/>
        <v>0</v>
      </c>
      <c r="AS1866" t="str">
        <f>_xlfn.XLOOKUP(A1866,[3]Sheet1!$B:$B,[3]Sheet1!$B:$B)</f>
        <v>475CCS</v>
      </c>
      <c r="AT1866" t="e">
        <f>_xlfn.XLOOKUP(H1866,'Yield &amp; Time'!A:A,'Yield &amp; Time'!F:F)</f>
        <v>#N/A</v>
      </c>
    </row>
    <row r="1867" spans="1:46" x14ac:dyDescent="0.25">
      <c r="A1867" s="101" t="s">
        <v>4796</v>
      </c>
      <c r="B1867" s="94" t="s">
        <v>552</v>
      </c>
      <c r="C1867" s="101" t="s">
        <v>4798</v>
      </c>
      <c r="D1867" s="1" t="s">
        <v>554</v>
      </c>
      <c r="E1867">
        <v>1.02</v>
      </c>
      <c r="F1867" s="1" t="str">
        <f>VLOOKUP(H1867,'RM Used'!A:B,2,0)</f>
        <v>P0023</v>
      </c>
      <c r="G1867" s="1" t="str">
        <f>IFERROR(VLOOKUP(F1867,'RM Cost'!A:B,2,0),"")</f>
        <v>300-425ML CL R-PET REVIVE LID (X6)</v>
      </c>
      <c r="H1867" s="1" t="s">
        <v>4669</v>
      </c>
      <c r="I1867" s="1" t="str">
        <f>VLOOKUP(F1867,'RM Used'!B:D,3,0)</f>
        <v>RM-PACKING</v>
      </c>
      <c r="J1867" s="66">
        <v>1</v>
      </c>
      <c r="K1867" s="150" t="str">
        <f t="shared" si="676"/>
        <v/>
      </c>
      <c r="L1867" s="35">
        <f t="shared" si="694"/>
        <v>0</v>
      </c>
      <c r="M1867" s="77" t="str" cm="1">
        <f t="array" ref="M1867">_xlfn.IFS(BOM!I1867="RM-PACKING","100%",B1867="Reynolds",VLOOKUP(H1867,'Yield &amp; Time'!A:V,22,0),BOM!B1867="Dnata",VLOOKUP(BOM!H1867,'Yield &amp; Time'!A:M,13,0),B1867="NK",VLOOKUP(H1867,'Yield &amp; Time'!A:X,24,0))</f>
        <v>100%</v>
      </c>
      <c r="N1867" s="35">
        <f t="shared" si="695"/>
        <v>1</v>
      </c>
      <c r="O1867" s="1" t="str">
        <f>VLOOKUP(H1867,'RM Used'!A:E,5,0)</f>
        <v>Count</v>
      </c>
      <c r="P1867" s="11">
        <f>VLOOKUP(H1867,'RM Used'!A:F,6,0)</f>
        <v>0.48</v>
      </c>
      <c r="Q1867" s="11">
        <f t="shared" si="696"/>
        <v>0.48</v>
      </c>
      <c r="R1867" s="11">
        <f>IFERROR(IF(B1867="Reynolds",VLOOKUP(H1867,'Yield &amp; Time'!A:U,21,0),VLOOKUP(H1867,'Yield &amp; Time'!A:L,12,0)),0)</f>
        <v>0</v>
      </c>
      <c r="S1867" s="11">
        <f t="shared" si="697"/>
        <v>0</v>
      </c>
      <c r="T1867" s="11">
        <f t="shared" si="698"/>
        <v>0</v>
      </c>
      <c r="U1867" s="11">
        <f>IF(A1866=A1867,0,VLOOKUP(A1867,'Packing Time'!A:F,6,0))</f>
        <v>0</v>
      </c>
      <c r="V1867" s="11">
        <f t="shared" si="699"/>
        <v>0</v>
      </c>
      <c r="W1867" s="11">
        <f t="shared" si="700"/>
        <v>0</v>
      </c>
      <c r="X1867" s="11">
        <f t="shared" si="701"/>
        <v>0</v>
      </c>
      <c r="Y1867" s="11">
        <f t="shared" si="702"/>
        <v>0</v>
      </c>
      <c r="Z1867" s="37">
        <v>1</v>
      </c>
      <c r="AA1867" s="36">
        <f t="shared" si="703"/>
        <v>1</v>
      </c>
      <c r="AB1867" s="36">
        <f t="shared" si="704"/>
        <v>0.48</v>
      </c>
      <c r="AC1867" s="11">
        <f t="shared" si="705"/>
        <v>0</v>
      </c>
      <c r="AD1867" s="36">
        <f t="shared" si="706"/>
        <v>0</v>
      </c>
      <c r="AE1867" s="36"/>
      <c r="AF1867" s="36">
        <f>IFERROR(VLOOKUP(AE1867,'Chemical Cost'!A:D,4,0),0)</f>
        <v>0</v>
      </c>
      <c r="AG1867" s="114">
        <f t="shared" si="707"/>
        <v>0</v>
      </c>
      <c r="AH1867" s="36">
        <f t="shared" si="708"/>
        <v>0</v>
      </c>
      <c r="AI1867" s="36">
        <f t="shared" si="709"/>
        <v>0.48</v>
      </c>
      <c r="AJ1867" s="36">
        <f>IFERROR(VLOOKUP(A1867,'All Products'!A:F,6,0),0)</f>
        <v>0</v>
      </c>
      <c r="AK1867" s="36"/>
      <c r="AL1867" s="23"/>
      <c r="AM1867" s="23">
        <v>1</v>
      </c>
      <c r="AP1867" s="4">
        <v>1.1000000000000001</v>
      </c>
      <c r="AQ1867" s="111">
        <f t="shared" si="693"/>
        <v>0</v>
      </c>
      <c r="AS1867" t="str">
        <f>_xlfn.XLOOKUP(A1867,[3]Sheet1!$B:$B,[3]Sheet1!$B:$B)</f>
        <v>475CCS</v>
      </c>
      <c r="AT1867" t="e">
        <f>_xlfn.XLOOKUP(H1867,'Yield &amp; Time'!A:A,'Yield &amp; Time'!F:F)</f>
        <v>#N/A</v>
      </c>
    </row>
    <row r="1868" spans="1:46" x14ac:dyDescent="0.25">
      <c r="A1868" s="101" t="s">
        <v>4796</v>
      </c>
      <c r="B1868" s="94" t="s">
        <v>552</v>
      </c>
      <c r="C1868" s="101" t="s">
        <v>4798</v>
      </c>
      <c r="D1868" s="1" t="s">
        <v>554</v>
      </c>
      <c r="E1868">
        <v>1.02</v>
      </c>
      <c r="F1868" s="1" t="str">
        <f>VLOOKUP(H1868,'RM Used'!A:B,2,0)</f>
        <v>P0024</v>
      </c>
      <c r="G1868" s="1" t="str">
        <f>IFERROR(VLOOKUP(F1868,'RM Cost'!A:B,2,0),"")</f>
        <v>DIE CUT CARTON 390MM X 290MM</v>
      </c>
      <c r="H1868" s="1" t="s">
        <v>4677</v>
      </c>
      <c r="I1868" s="1" t="str">
        <f>VLOOKUP(F1868,'RM Used'!B:D,3,0)</f>
        <v>RM-PACKING</v>
      </c>
      <c r="J1868" s="66">
        <v>1</v>
      </c>
      <c r="K1868" s="150" t="str">
        <f t="shared" si="676"/>
        <v/>
      </c>
      <c r="L1868" s="35">
        <f t="shared" si="694"/>
        <v>0</v>
      </c>
      <c r="M1868" s="77" t="str" cm="1">
        <f t="array" ref="M1868">_xlfn.IFS(BOM!I1868="RM-PACKING","100%",B1868="Reynolds",VLOOKUP(H1868,'Yield &amp; Time'!A:V,22,0),BOM!B1868="Dnata",VLOOKUP(BOM!H1868,'Yield &amp; Time'!A:M,13,0),B1868="NK",VLOOKUP(H1868,'Yield &amp; Time'!A:X,24,0))</f>
        <v>100%</v>
      </c>
      <c r="N1868" s="35">
        <f t="shared" si="695"/>
        <v>1</v>
      </c>
      <c r="O1868" s="1" t="str">
        <f>VLOOKUP(H1868,'RM Used'!A:E,5,0)</f>
        <v>Count</v>
      </c>
      <c r="P1868" s="11">
        <f>VLOOKUP(H1868,'RM Used'!A:F,6,0)</f>
        <v>0.1</v>
      </c>
      <c r="Q1868" s="11">
        <f t="shared" si="696"/>
        <v>0.1</v>
      </c>
      <c r="R1868" s="11">
        <f>IFERROR(IF(B1868="Reynolds",VLOOKUP(H1868,'Yield &amp; Time'!A:U,21,0),VLOOKUP(H1868,'Yield &amp; Time'!A:L,12,0)),0)</f>
        <v>0</v>
      </c>
      <c r="S1868" s="11">
        <f t="shared" si="697"/>
        <v>0</v>
      </c>
      <c r="T1868" s="11">
        <f t="shared" si="698"/>
        <v>0</v>
      </c>
      <c r="U1868" s="11">
        <f>IF(A1867=A1868,0,VLOOKUP(A1868,'Packing Time'!A:F,6,0))</f>
        <v>0</v>
      </c>
      <c r="V1868" s="11">
        <f t="shared" si="699"/>
        <v>0</v>
      </c>
      <c r="W1868" s="11">
        <f t="shared" si="700"/>
        <v>0</v>
      </c>
      <c r="X1868" s="11">
        <f t="shared" si="701"/>
        <v>0</v>
      </c>
      <c r="Y1868" s="11">
        <f t="shared" si="702"/>
        <v>0</v>
      </c>
      <c r="Z1868" s="37">
        <v>1</v>
      </c>
      <c r="AA1868" s="36">
        <f t="shared" si="703"/>
        <v>1</v>
      </c>
      <c r="AB1868" s="36">
        <f t="shared" si="704"/>
        <v>0.1</v>
      </c>
      <c r="AC1868" s="11">
        <f t="shared" si="705"/>
        <v>0</v>
      </c>
      <c r="AD1868" s="36">
        <f t="shared" si="706"/>
        <v>0</v>
      </c>
      <c r="AE1868" s="36"/>
      <c r="AF1868" s="36">
        <f>IFERROR(VLOOKUP(AE1868,'Chemical Cost'!A:D,4,0),0)</f>
        <v>0</v>
      </c>
      <c r="AG1868" s="114">
        <f t="shared" si="707"/>
        <v>0</v>
      </c>
      <c r="AH1868" s="36">
        <f t="shared" si="708"/>
        <v>0</v>
      </c>
      <c r="AI1868" s="36">
        <f t="shared" si="709"/>
        <v>0.1</v>
      </c>
      <c r="AJ1868" s="36">
        <f>IFERROR(VLOOKUP(A1868,'All Products'!A:F,6,0),0)</f>
        <v>0</v>
      </c>
      <c r="AK1868" s="36"/>
      <c r="AL1868" s="23"/>
      <c r="AM1868" s="23">
        <v>1</v>
      </c>
      <c r="AP1868" s="4">
        <v>1.1000000000000001</v>
      </c>
      <c r="AQ1868" s="111">
        <f t="shared" si="693"/>
        <v>0</v>
      </c>
      <c r="AS1868" t="str">
        <f>_xlfn.XLOOKUP(A1868,[3]Sheet1!$B:$B,[3]Sheet1!$B:$B)</f>
        <v>475CCS</v>
      </c>
      <c r="AT1868" t="e">
        <f>_xlfn.XLOOKUP(H1868,'Yield &amp; Time'!A:A,'Yield &amp; Time'!F:F)</f>
        <v>#N/A</v>
      </c>
    </row>
    <row r="1869" spans="1:46" x14ac:dyDescent="0.25">
      <c r="A1869" s="101" t="s">
        <v>4796</v>
      </c>
      <c r="B1869" s="94" t="s">
        <v>552</v>
      </c>
      <c r="C1869" s="101" t="s">
        <v>4798</v>
      </c>
      <c r="D1869" s="1" t="s">
        <v>554</v>
      </c>
      <c r="E1869">
        <v>1.02</v>
      </c>
      <c r="F1869" s="1" t="str">
        <f>VLOOKUP(H1869,'RM Used'!A:B,2,0)</f>
        <v>P0016</v>
      </c>
      <c r="G1869" s="1" t="str">
        <f>IFERROR(VLOOKUP(F1869,'RM Cost'!A:B,2,0),"")</f>
        <v>REY 40 30 BOX</v>
      </c>
      <c r="H1869" s="2" t="s">
        <v>1332</v>
      </c>
      <c r="I1869" s="1" t="str">
        <f>VLOOKUP(F1869,'RM Used'!B:D,3,0)</f>
        <v>RM-PACKING</v>
      </c>
      <c r="J1869" s="66">
        <v>1</v>
      </c>
      <c r="K1869" s="150" t="str">
        <f t="shared" si="676"/>
        <v/>
      </c>
      <c r="L1869" s="35">
        <f t="shared" si="694"/>
        <v>0</v>
      </c>
      <c r="M1869" s="77" t="str" cm="1">
        <f t="array" ref="M1869">_xlfn.IFS(BOM!I1869="RM-PACKING","100%",B1869="Reynolds",VLOOKUP(H1869,'Yield &amp; Time'!A:V,22,0),BOM!B1869="Dnata",VLOOKUP(BOM!H1869,'Yield &amp; Time'!A:M,13,0),B1869="NK",VLOOKUP(H1869,'Yield &amp; Time'!A:X,24,0))</f>
        <v>100%</v>
      </c>
      <c r="N1869" s="35">
        <f t="shared" si="695"/>
        <v>1</v>
      </c>
      <c r="O1869" s="1" t="str">
        <f>VLOOKUP(H1869,'RM Used'!A:E,5,0)</f>
        <v>Count</v>
      </c>
      <c r="P1869" s="11">
        <f>VLOOKUP(H1869,'RM Used'!A:F,6,0)</f>
        <v>0.28000000000000003</v>
      </c>
      <c r="Q1869" s="11">
        <f t="shared" si="696"/>
        <v>0.28000000000000003</v>
      </c>
      <c r="R1869" s="11">
        <f>IFERROR(IF(B1869="Reynolds",VLOOKUP(H1869,'Yield &amp; Time'!A:U,21,0),VLOOKUP(H1869,'Yield &amp; Time'!A:L,12,0)),0)</f>
        <v>0</v>
      </c>
      <c r="S1869" s="11">
        <f t="shared" si="697"/>
        <v>0</v>
      </c>
      <c r="T1869" s="11">
        <f t="shared" si="698"/>
        <v>0</v>
      </c>
      <c r="U1869" s="11">
        <f>IF(A1868=A1869,0,VLOOKUP(A1869,'Packing Time'!A:F,6,0))</f>
        <v>0</v>
      </c>
      <c r="V1869" s="11">
        <f t="shared" si="699"/>
        <v>0</v>
      </c>
      <c r="W1869" s="11">
        <f t="shared" si="700"/>
        <v>0</v>
      </c>
      <c r="X1869" s="11">
        <f t="shared" si="701"/>
        <v>0</v>
      </c>
      <c r="Y1869" s="11">
        <f t="shared" si="702"/>
        <v>0</v>
      </c>
      <c r="Z1869" s="37">
        <v>1</v>
      </c>
      <c r="AA1869" s="36">
        <f t="shared" si="703"/>
        <v>1</v>
      </c>
      <c r="AB1869" s="36">
        <f t="shared" si="704"/>
        <v>0.28000000000000003</v>
      </c>
      <c r="AC1869" s="11">
        <f t="shared" si="705"/>
        <v>0</v>
      </c>
      <c r="AD1869" s="36">
        <f t="shared" si="706"/>
        <v>0</v>
      </c>
      <c r="AE1869" s="36"/>
      <c r="AF1869" s="36">
        <f>IFERROR(VLOOKUP(AE1869,'Chemical Cost'!A:D,4,0),0)</f>
        <v>0</v>
      </c>
      <c r="AG1869" s="114">
        <f t="shared" si="707"/>
        <v>0</v>
      </c>
      <c r="AH1869" s="36">
        <f t="shared" si="708"/>
        <v>0</v>
      </c>
      <c r="AI1869" s="36">
        <f t="shared" si="709"/>
        <v>0.28000000000000003</v>
      </c>
      <c r="AJ1869" s="36">
        <f>IFERROR(VLOOKUP(A1869,'All Products'!A:F,6,0),0)</f>
        <v>0</v>
      </c>
      <c r="AK1869" s="36"/>
      <c r="AL1869" s="23"/>
      <c r="AM1869" s="23">
        <v>1</v>
      </c>
      <c r="AP1869" s="4">
        <v>1.1000000000000001</v>
      </c>
      <c r="AQ1869" s="111">
        <f t="shared" si="693"/>
        <v>0</v>
      </c>
      <c r="AS1869" t="str">
        <f>_xlfn.XLOOKUP(A1869,[3]Sheet1!$B:$B,[3]Sheet1!$B:$B)</f>
        <v>475CCS</v>
      </c>
      <c r="AT1869" t="e">
        <f>_xlfn.XLOOKUP(H1869,'Yield &amp; Time'!A:A,'Yield &amp; Time'!F:F)</f>
        <v>#N/A</v>
      </c>
    </row>
    <row r="1870" spans="1:46" x14ac:dyDescent="0.25">
      <c r="A1870" s="1" t="s">
        <v>4805</v>
      </c>
      <c r="B1870" s="1" t="s">
        <v>552</v>
      </c>
      <c r="C1870" s="1" t="s">
        <v>4724</v>
      </c>
      <c r="D1870" s="1" t="s">
        <v>554</v>
      </c>
      <c r="E1870" s="2">
        <v>1</v>
      </c>
      <c r="F1870" s="1" t="str">
        <f>VLOOKUP(H1870,'RM Used'!A:B,2,0)</f>
        <v>3184CS</v>
      </c>
      <c r="G1870" s="1" t="str">
        <f>IFERROR(VLOOKUP(F1870,'RM Cost'!A:B,2,0),"")</f>
        <v>RM - ONIONS LARGE 20KG</v>
      </c>
      <c r="H1870" s="94" t="s">
        <v>4725</v>
      </c>
      <c r="I1870" s="1" t="str">
        <f>VLOOKUP(F1870,'RM Used'!B:D,3,0)</f>
        <v>RM-FOOD</v>
      </c>
      <c r="J1870" s="66">
        <v>1</v>
      </c>
      <c r="K1870" s="35">
        <f t="shared" si="676"/>
        <v>1</v>
      </c>
      <c r="L1870" s="35">
        <f t="shared" si="694"/>
        <v>1</v>
      </c>
      <c r="M1870" s="124" cm="1">
        <f t="array" ref="M1870">_xlfn.IFS(BOM!I1870="RM-PACKING","100%",B1870="Reynolds",VLOOKUP(H1870,'Yield &amp; Time'!A:V,22,0),BOM!B1870="Dnata",VLOOKUP(BOM!H1870,'Yield &amp; Time'!A:M,13,0),B1870="NK",VLOOKUP(H1870,'Yield &amp; Time'!A:X,24,0))</f>
        <v>0.35</v>
      </c>
      <c r="N1870" s="35">
        <f t="shared" si="695"/>
        <v>2.8571428571428572</v>
      </c>
      <c r="O1870" s="1" t="str">
        <f>VLOOKUP(H1870,'RM Used'!A:E,5,0)</f>
        <v>KG</v>
      </c>
      <c r="P1870" s="11">
        <f>VLOOKUP(H1870,'RM Used'!A:F,6,0)</f>
        <v>0.39</v>
      </c>
      <c r="Q1870" s="11">
        <f t="shared" si="696"/>
        <v>1.1142857142857143</v>
      </c>
      <c r="R1870" s="11">
        <f>IFERROR(IF(B1870="Reynolds",VLOOKUP(H1870,'Yield &amp; Time'!A:U,21,0),VLOOKUP(H1870,'Yield &amp; Time'!A:L,12,0)),0)</f>
        <v>9.58</v>
      </c>
      <c r="S1870" s="11">
        <f t="shared" si="697"/>
        <v>3.2428299999999997</v>
      </c>
      <c r="T1870" s="11">
        <f t="shared" si="698"/>
        <v>0.15966666666666668</v>
      </c>
      <c r="U1870" s="11">
        <f>IF(A1869=A1870,0,VLOOKUP(A1870,'Packing Time'!A:F,6,0))</f>
        <v>0.64166666666666661</v>
      </c>
      <c r="V1870" s="11">
        <f t="shared" si="699"/>
        <v>0.21720416666666661</v>
      </c>
      <c r="W1870" s="11">
        <f t="shared" si="700"/>
        <v>1.0694444444444444E-2</v>
      </c>
      <c r="X1870" s="11">
        <f t="shared" si="701"/>
        <v>3.8060375833333335</v>
      </c>
      <c r="Y1870" s="11">
        <f t="shared" si="702"/>
        <v>3.8060375833333335</v>
      </c>
      <c r="Z1870" s="37">
        <v>1</v>
      </c>
      <c r="AA1870" s="36">
        <f t="shared" si="703"/>
        <v>2.8571428571428572</v>
      </c>
      <c r="AB1870" s="36">
        <f t="shared" si="704"/>
        <v>1.1142857142857143</v>
      </c>
      <c r="AC1870" s="11">
        <f t="shared" si="705"/>
        <v>0.18739722222222227</v>
      </c>
      <c r="AD1870" s="36">
        <f t="shared" si="706"/>
        <v>3.806037583333334</v>
      </c>
      <c r="AE1870" s="36"/>
      <c r="AF1870" s="36">
        <f>IFERROR(VLOOKUP(AE1870,'Chemical Cost'!A:D,4,0),0)</f>
        <v>0</v>
      </c>
      <c r="AG1870" s="114">
        <f t="shared" si="707"/>
        <v>0</v>
      </c>
      <c r="AH1870" s="36">
        <f t="shared" si="708"/>
        <v>0</v>
      </c>
      <c r="AI1870" s="36">
        <f t="shared" si="709"/>
        <v>4.9203232976190474</v>
      </c>
      <c r="AJ1870" s="36">
        <f>IFERROR(VLOOKUP(A1870,'All Products'!A:F,6,0),0)</f>
        <v>0</v>
      </c>
      <c r="AK1870" s="36"/>
      <c r="AL1870" s="23">
        <v>1</v>
      </c>
      <c r="AP1870" s="4">
        <v>1.1000000000000001</v>
      </c>
      <c r="AR1870">
        <f>_xlfn.XLOOKUP(F1870,'RM Cost'!A:A,'RM Cost'!S:S)</f>
        <v>0</v>
      </c>
      <c r="AS1870" t="str">
        <f>_xlfn.XLOOKUP(A1870,[3]Sheet1!$B:$B,[3]Sheet1!$B:$B)</f>
        <v>300CCS</v>
      </c>
      <c r="AT1870">
        <f>_xlfn.XLOOKUP(H1870,'Yield &amp; Time'!A:A,'Yield &amp; Time'!F:F)</f>
        <v>0</v>
      </c>
    </row>
    <row r="1871" spans="1:46" x14ac:dyDescent="0.25">
      <c r="A1871" s="1" t="s">
        <v>4805</v>
      </c>
      <c r="B1871" s="1" t="s">
        <v>552</v>
      </c>
      <c r="C1871" s="1" t="s">
        <v>4724</v>
      </c>
      <c r="D1871" s="1" t="s">
        <v>554</v>
      </c>
      <c r="E1871" s="2">
        <v>1</v>
      </c>
      <c r="F1871" s="1" t="str">
        <f>VLOOKUP(H1871,'RM Used'!A:B,2,0)</f>
        <v>P0014</v>
      </c>
      <c r="G1871" s="1" t="str">
        <f>IFERROR(VLOOKUP(F1871,'RM Cost'!A:B,2,0),"")</f>
        <v>BUCKET 2.2L PET</v>
      </c>
      <c r="H1871" s="1" t="s">
        <v>4676</v>
      </c>
      <c r="I1871" s="1" t="str">
        <f>VLOOKUP(F1871,'RM Used'!B:D,3,0)</f>
        <v>RM-PACKING</v>
      </c>
      <c r="J1871" s="66">
        <v>1</v>
      </c>
      <c r="K1871" s="35" t="str">
        <f t="shared" si="676"/>
        <v/>
      </c>
      <c r="L1871" s="35">
        <f t="shared" si="694"/>
        <v>0</v>
      </c>
      <c r="M1871" s="124" t="str" cm="1">
        <f t="array" ref="M1871">_xlfn.IFS(BOM!I1871="RM-PACKING","100%",B1871="Reynolds",VLOOKUP(H1871,'Yield &amp; Time'!A:V,22,0),BOM!B1871="Dnata",VLOOKUP(BOM!H1871,'Yield &amp; Time'!A:M,13,0),B1871="NK",VLOOKUP(H1871,'Yield &amp; Time'!A:X,24,0))</f>
        <v>100%</v>
      </c>
      <c r="N1871" s="35">
        <f t="shared" si="695"/>
        <v>1</v>
      </c>
      <c r="O1871" s="1" t="str">
        <f>VLOOKUP(H1871,'RM Used'!A:E,5,0)</f>
        <v>Count</v>
      </c>
      <c r="P1871" s="11">
        <f>VLOOKUP(H1871,'RM Used'!A:F,6,0)</f>
        <v>0.54</v>
      </c>
      <c r="Q1871" s="11">
        <f t="shared" si="696"/>
        <v>0.54</v>
      </c>
      <c r="R1871" s="11">
        <f>IFERROR(IF(B1871="Reynolds",VLOOKUP(H1871,'Yield &amp; Time'!A:U,21,0),VLOOKUP(H1871,'Yield &amp; Time'!A:L,12,0)),0)</f>
        <v>0</v>
      </c>
      <c r="S1871" s="11">
        <f t="shared" si="697"/>
        <v>0</v>
      </c>
      <c r="T1871" s="11">
        <f t="shared" si="698"/>
        <v>0</v>
      </c>
      <c r="U1871" s="11">
        <f>IF(A1870=A1871,0,VLOOKUP(A1871,'Packing Time'!A:F,6,0))</f>
        <v>0</v>
      </c>
      <c r="V1871" s="11">
        <f t="shared" si="699"/>
        <v>0</v>
      </c>
      <c r="W1871" s="11">
        <f t="shared" si="700"/>
        <v>0</v>
      </c>
      <c r="X1871" s="11">
        <f t="shared" si="701"/>
        <v>0</v>
      </c>
      <c r="Y1871" s="11">
        <f t="shared" si="702"/>
        <v>0</v>
      </c>
      <c r="Z1871" s="37">
        <v>1</v>
      </c>
      <c r="AA1871" s="36">
        <f t="shared" si="703"/>
        <v>1</v>
      </c>
      <c r="AB1871" s="36">
        <f t="shared" si="704"/>
        <v>0.54</v>
      </c>
      <c r="AC1871" s="11">
        <f t="shared" si="705"/>
        <v>0</v>
      </c>
      <c r="AD1871" s="36">
        <f t="shared" si="706"/>
        <v>0</v>
      </c>
      <c r="AE1871" s="36"/>
      <c r="AF1871" s="36">
        <f>IFERROR(VLOOKUP(AE1871,'Chemical Cost'!A:D,4,0),0)</f>
        <v>0</v>
      </c>
      <c r="AG1871" s="114">
        <f t="shared" si="707"/>
        <v>0</v>
      </c>
      <c r="AH1871" s="36">
        <f t="shared" si="708"/>
        <v>0</v>
      </c>
      <c r="AI1871" s="36">
        <f t="shared" si="709"/>
        <v>0.54</v>
      </c>
      <c r="AJ1871" s="36">
        <f>IFERROR(VLOOKUP(A1871,'All Products'!A:F,6,0),0)</f>
        <v>0</v>
      </c>
      <c r="AK1871" s="36"/>
      <c r="AL1871" s="23">
        <v>1</v>
      </c>
      <c r="AP1871" s="4">
        <v>1.1000000000000001</v>
      </c>
      <c r="AR1871">
        <f>_xlfn.XLOOKUP(F1871,'RM Cost'!A:A,'RM Cost'!S:S)</f>
        <v>0</v>
      </c>
      <c r="AS1871" t="str">
        <f>_xlfn.XLOOKUP(A1871,[3]Sheet1!$B:$B,[3]Sheet1!$B:$B)</f>
        <v>300CCS</v>
      </c>
      <c r="AT1871" t="e">
        <f>_xlfn.XLOOKUP(H1871,'Yield &amp; Time'!A:A,'Yield &amp; Time'!F:F)</f>
        <v>#N/A</v>
      </c>
    </row>
    <row r="1872" spans="1:46" x14ac:dyDescent="0.25">
      <c r="A1872" s="1" t="s">
        <v>4805</v>
      </c>
      <c r="B1872" s="1" t="s">
        <v>552</v>
      </c>
      <c r="C1872" s="1" t="s">
        <v>4724</v>
      </c>
      <c r="D1872" s="1" t="s">
        <v>554</v>
      </c>
      <c r="E1872" s="2">
        <v>1</v>
      </c>
      <c r="F1872" s="1" t="str">
        <f>VLOOKUP(H1872,'RM Used'!A:B,2,0)</f>
        <v>P0026</v>
      </c>
      <c r="G1872" s="1" t="str">
        <f>IFERROR(VLOOKUP(F1872,'RM Cost'!A:B,2,0),"")</f>
        <v>LID 2.2L PJET 2.2L-3.8L</v>
      </c>
      <c r="H1872" s="2" t="s">
        <v>4673</v>
      </c>
      <c r="I1872" s="1" t="str">
        <f>VLOOKUP(F1872,'RM Used'!B:D,3,0)</f>
        <v>RM-PACKING</v>
      </c>
      <c r="J1872" s="66">
        <v>1</v>
      </c>
      <c r="K1872" s="35" t="str">
        <f t="shared" si="676"/>
        <v/>
      </c>
      <c r="L1872" s="35">
        <f t="shared" si="694"/>
        <v>0</v>
      </c>
      <c r="M1872" s="124" t="str" cm="1">
        <f t="array" ref="M1872">_xlfn.IFS(BOM!I1872="RM-PACKING","100%",B1872="Reynolds",VLOOKUP(H1872,'Yield &amp; Time'!A:V,22,0),BOM!B1872="Dnata",VLOOKUP(BOM!H1872,'Yield &amp; Time'!A:M,13,0),B1872="NK",VLOOKUP(H1872,'Yield &amp; Time'!A:X,24,0))</f>
        <v>100%</v>
      </c>
      <c r="N1872" s="35">
        <f t="shared" si="695"/>
        <v>1</v>
      </c>
      <c r="O1872" s="1" t="str">
        <f>VLOOKUP(H1872,'RM Used'!A:E,5,0)</f>
        <v>Count</v>
      </c>
      <c r="P1872" s="11">
        <f>VLOOKUP(H1872,'RM Used'!A:F,6,0)</f>
        <v>0.16</v>
      </c>
      <c r="Q1872" s="11">
        <f t="shared" si="696"/>
        <v>0.16</v>
      </c>
      <c r="R1872" s="11">
        <f>IFERROR(IF(B1872="Reynolds",VLOOKUP(H1872,'Yield &amp; Time'!A:U,21,0),VLOOKUP(H1872,'Yield &amp; Time'!A:L,12,0)),0)</f>
        <v>0</v>
      </c>
      <c r="S1872" s="11">
        <f t="shared" si="697"/>
        <v>0</v>
      </c>
      <c r="T1872" s="11">
        <f t="shared" si="698"/>
        <v>0</v>
      </c>
      <c r="U1872" s="11">
        <f>IF(A1871=A1872,0,VLOOKUP(A1872,'Packing Time'!A:F,6,0))</f>
        <v>0</v>
      </c>
      <c r="V1872" s="11">
        <f t="shared" si="699"/>
        <v>0</v>
      </c>
      <c r="W1872" s="11">
        <f t="shared" si="700"/>
        <v>0</v>
      </c>
      <c r="X1872" s="11">
        <f t="shared" si="701"/>
        <v>0</v>
      </c>
      <c r="Y1872" s="11">
        <f t="shared" si="702"/>
        <v>0</v>
      </c>
      <c r="Z1872" s="37">
        <v>1</v>
      </c>
      <c r="AA1872" s="36">
        <f t="shared" si="703"/>
        <v>1</v>
      </c>
      <c r="AB1872" s="36">
        <f t="shared" si="704"/>
        <v>0.16</v>
      </c>
      <c r="AC1872" s="11">
        <f t="shared" si="705"/>
        <v>0</v>
      </c>
      <c r="AD1872" s="36">
        <f t="shared" si="706"/>
        <v>0</v>
      </c>
      <c r="AE1872" s="36"/>
      <c r="AF1872" s="36">
        <f>IFERROR(VLOOKUP(AE1872,'Chemical Cost'!A:D,4,0),0)</f>
        <v>0</v>
      </c>
      <c r="AG1872" s="114">
        <f t="shared" si="707"/>
        <v>0</v>
      </c>
      <c r="AH1872" s="36">
        <f t="shared" si="708"/>
        <v>0</v>
      </c>
      <c r="AI1872" s="36">
        <f t="shared" si="709"/>
        <v>0.16</v>
      </c>
      <c r="AJ1872" s="36">
        <f>IFERROR(VLOOKUP(A1872,'All Products'!A:F,6,0),0)</f>
        <v>0</v>
      </c>
      <c r="AK1872" s="36"/>
      <c r="AL1872" s="23">
        <v>1</v>
      </c>
      <c r="AP1872" s="4">
        <v>1.1000000000000001</v>
      </c>
      <c r="AR1872">
        <f>_xlfn.XLOOKUP(F1872,'RM Cost'!A:A,'RM Cost'!S:S)</f>
        <v>0</v>
      </c>
      <c r="AS1872" t="str">
        <f>_xlfn.XLOOKUP(A1872,[3]Sheet1!$B:$B,[3]Sheet1!$B:$B)</f>
        <v>300CCS</v>
      </c>
      <c r="AT1872" t="e">
        <f>_xlfn.XLOOKUP(H1872,'Yield &amp; Time'!A:A,'Yield &amp; Time'!F:F)</f>
        <v>#N/A</v>
      </c>
    </row>
    <row r="1873" spans="1:46" x14ac:dyDescent="0.25">
      <c r="A1873" s="101" t="s">
        <v>4807</v>
      </c>
      <c r="B1873" s="94" t="s">
        <v>552</v>
      </c>
      <c r="C1873" s="101" t="s">
        <v>168</v>
      </c>
      <c r="D1873" s="1" t="s">
        <v>554</v>
      </c>
      <c r="E1873" s="63">
        <v>2.5</v>
      </c>
      <c r="F1873" s="1" t="str">
        <f>VLOOKUP(H1873,'RM Used'!A:B,2,0)</f>
        <v>3221CS</v>
      </c>
      <c r="G1873" s="1" t="str">
        <f>IFERROR(VLOOKUP(F1873,'RM Cost'!A:B,2,0),"")</f>
        <v>BAKING POTATO X50 EA</v>
      </c>
      <c r="H1873" s="2" t="s">
        <v>1451</v>
      </c>
      <c r="I1873" s="1" t="str">
        <f>VLOOKUP(F1873,'RM Used'!B:D,3,0)</f>
        <v>RM-FOOD</v>
      </c>
      <c r="J1873" s="66">
        <v>1</v>
      </c>
      <c r="K1873" s="35">
        <f t="shared" si="676"/>
        <v>2.5</v>
      </c>
      <c r="L1873" s="35">
        <f t="shared" si="694"/>
        <v>2.5</v>
      </c>
      <c r="M1873" s="77" cm="1">
        <f t="array" ref="M1873">_xlfn.IFS(BOM!I1873="RM-PACKING","100%",B1873="Reynolds",VLOOKUP(H1873,'Yield &amp; Time'!A:V,22,0),BOM!B1873="Dnata",VLOOKUP(BOM!H1873,'Yield &amp; Time'!A:M,13,0),B1873="NK",VLOOKUP(H1873,'Yield &amp; Time'!A:X,24,0))</f>
        <v>0.49644549763033174</v>
      </c>
      <c r="N1873" s="35">
        <f t="shared" si="695"/>
        <v>5.035799522673031</v>
      </c>
      <c r="O1873" s="1" t="str">
        <f>VLOOKUP(H1873,'RM Used'!A:E,5,0)</f>
        <v>KG</v>
      </c>
      <c r="P1873" s="11">
        <f>VLOOKUP(H1873,'RM Used'!A:F,6,0)</f>
        <v>0.57000000000000006</v>
      </c>
      <c r="Q1873" s="11">
        <f t="shared" si="696"/>
        <v>2.8704057279236279</v>
      </c>
      <c r="R1873" s="11">
        <f>IFERROR(IF(B1873="Reynolds",VLOOKUP(H1873,'Yield &amp; Time'!A:U,21,0),VLOOKUP(H1873,'Yield &amp; Time'!A:L,12,0)),0)</f>
        <v>2.9037390612569611</v>
      </c>
      <c r="S1873" s="11">
        <f t="shared" si="697"/>
        <v>2.4572891805887029</v>
      </c>
      <c r="T1873" s="11">
        <f t="shared" si="698"/>
        <v>0.12098912755237337</v>
      </c>
      <c r="U1873" s="11">
        <f>IF(A1872=A1873,0,VLOOKUP(A1873,'Packing Time'!A:F,6,0))</f>
        <v>0.875</v>
      </c>
      <c r="V1873" s="11">
        <f t="shared" si="699"/>
        <v>0.29618749999999999</v>
      </c>
      <c r="W1873" s="11">
        <f t="shared" si="700"/>
        <v>1.4583333333333334E-2</v>
      </c>
      <c r="X1873" s="11">
        <f t="shared" si="701"/>
        <v>3.0288243486475732</v>
      </c>
      <c r="Y1873" s="11">
        <f t="shared" si="702"/>
        <v>3.0288243486475732</v>
      </c>
      <c r="Z1873" s="37">
        <v>1</v>
      </c>
      <c r="AA1873" s="36">
        <f t="shared" si="703"/>
        <v>5.035799522673031</v>
      </c>
      <c r="AB1873" s="36">
        <f t="shared" si="704"/>
        <v>2.8704057279236279</v>
      </c>
      <c r="AC1873" s="11">
        <f t="shared" si="705"/>
        <v>0.14912970697427738</v>
      </c>
      <c r="AD1873" s="36">
        <f t="shared" si="706"/>
        <v>3.0288243486475737</v>
      </c>
      <c r="AE1873" s="36"/>
      <c r="AF1873" s="36">
        <f>IFERROR(VLOOKUP(AE1873,'Chemical Cost'!A:D,4,0),0)</f>
        <v>0</v>
      </c>
      <c r="AG1873" s="114">
        <f t="shared" si="707"/>
        <v>0</v>
      </c>
      <c r="AH1873" s="36">
        <f t="shared" si="708"/>
        <v>0</v>
      </c>
      <c r="AI1873" s="36">
        <f t="shared" si="709"/>
        <v>5.8992300765712011</v>
      </c>
      <c r="AJ1873" s="36">
        <f>IFERROR(VLOOKUP(A1873,'All Products'!A:F,6,0),0)</f>
        <v>0</v>
      </c>
      <c r="AK1873" s="36"/>
      <c r="AL1873" s="23">
        <v>1</v>
      </c>
      <c r="AM1873" s="23"/>
      <c r="AN1873" s="54" t="e">
        <v>#N/A</v>
      </c>
      <c r="AO1873" s="47"/>
      <c r="AP1873" s="4">
        <v>1.1000000000000001</v>
      </c>
      <c r="AQ1873" s="111">
        <f t="shared" ref="AQ1873:AQ1878" si="710">(((R1873*J1873*E1873)+U1873)/60)*AP1873</f>
        <v>0.14912970697427738</v>
      </c>
      <c r="AR1873">
        <f>_xlfn.XLOOKUP(F1873,'RM Cost'!A:A,'RM Cost'!S:S)</f>
        <v>0</v>
      </c>
      <c r="AS1873" t="str">
        <f>_xlfn.XLOOKUP(A1873,[3]Sheet1!$B:$B,[3]Sheet1!$B:$B)</f>
        <v>N109CS</v>
      </c>
      <c r="AT1873">
        <f>_xlfn.XLOOKUP(H1873,'Yield &amp; Time'!A:A,'Yield &amp; Time'!F:F)</f>
        <v>0</v>
      </c>
    </row>
    <row r="1874" spans="1:46" x14ac:dyDescent="0.25">
      <c r="A1874" s="101" t="s">
        <v>4807</v>
      </c>
      <c r="B1874" s="94" t="s">
        <v>552</v>
      </c>
      <c r="C1874" s="101" t="s">
        <v>168</v>
      </c>
      <c r="D1874" s="1" t="s">
        <v>554</v>
      </c>
      <c r="E1874" s="63">
        <v>2.5</v>
      </c>
      <c r="F1874" s="1" t="str">
        <f>VLOOKUP(H1874,'RM Used'!A:B,2,0)</f>
        <v>P0008</v>
      </c>
      <c r="G1874" s="1" t="str">
        <f>IFERROR(VLOOKUP(F1874,'RM Cost'!A:B,2,0),"")</f>
        <v>PALE BLUE BAG 470X750MM</v>
      </c>
      <c r="H1874" s="2" t="s">
        <v>1323</v>
      </c>
      <c r="I1874" s="1" t="str">
        <f>VLOOKUP(F1874,'RM Used'!B:D,3,0)</f>
        <v>RM-PACKING</v>
      </c>
      <c r="J1874" s="66">
        <v>1</v>
      </c>
      <c r="K1874" s="35" t="str">
        <f t="shared" si="676"/>
        <v/>
      </c>
      <c r="L1874" s="35">
        <f t="shared" si="694"/>
        <v>0</v>
      </c>
      <c r="M1874" s="77" t="str" cm="1">
        <f t="array" ref="M1874">_xlfn.IFS(BOM!I1874="RM-PACKING","100%",B1874="Reynolds",VLOOKUP(H1874,'Yield &amp; Time'!A:V,22,0),BOM!B1874="Dnata",VLOOKUP(BOM!H1874,'Yield &amp; Time'!A:M,13,0),B1874="NK",VLOOKUP(H1874,'Yield &amp; Time'!A:X,24,0))</f>
        <v>100%</v>
      </c>
      <c r="N1874" s="35">
        <f t="shared" si="695"/>
        <v>1</v>
      </c>
      <c r="O1874" s="1" t="str">
        <f>VLOOKUP(H1874,'RM Used'!A:E,5,0)</f>
        <v>Count</v>
      </c>
      <c r="P1874" s="11">
        <f>VLOOKUP(H1874,'RM Used'!A:F,6,0)</f>
        <v>0.14000000000000001</v>
      </c>
      <c r="Q1874" s="11">
        <f t="shared" si="696"/>
        <v>0.14000000000000001</v>
      </c>
      <c r="R1874" s="11">
        <f>IFERROR(IF(B1874="Reynolds",VLOOKUP(H1874,'Yield &amp; Time'!A:U,21,0),VLOOKUP(H1874,'Yield &amp; Time'!A:L,12,0)),0)</f>
        <v>0</v>
      </c>
      <c r="S1874" s="11">
        <f t="shared" si="697"/>
        <v>0</v>
      </c>
      <c r="T1874" s="11">
        <f t="shared" si="698"/>
        <v>0</v>
      </c>
      <c r="U1874" s="11">
        <f>IF(A1873=A1874,0,VLOOKUP(A1874,'Packing Time'!A:F,6,0))</f>
        <v>0</v>
      </c>
      <c r="V1874" s="11">
        <f t="shared" si="699"/>
        <v>0</v>
      </c>
      <c r="W1874" s="11">
        <f t="shared" si="700"/>
        <v>0</v>
      </c>
      <c r="X1874" s="11">
        <f t="shared" si="701"/>
        <v>0</v>
      </c>
      <c r="Y1874" s="11">
        <f t="shared" si="702"/>
        <v>0</v>
      </c>
      <c r="Z1874" s="37">
        <v>1</v>
      </c>
      <c r="AA1874" s="36">
        <f t="shared" si="703"/>
        <v>1</v>
      </c>
      <c r="AB1874" s="36">
        <f t="shared" si="704"/>
        <v>0.14000000000000001</v>
      </c>
      <c r="AC1874" s="11">
        <f t="shared" si="705"/>
        <v>0</v>
      </c>
      <c r="AD1874" s="36">
        <f t="shared" si="706"/>
        <v>0</v>
      </c>
      <c r="AE1874" s="36"/>
      <c r="AF1874" s="36">
        <f>IFERROR(VLOOKUP(AE1874,'Chemical Cost'!A:D,4,0),0)</f>
        <v>0</v>
      </c>
      <c r="AG1874" s="114">
        <f t="shared" si="707"/>
        <v>0</v>
      </c>
      <c r="AH1874" s="36">
        <f t="shared" si="708"/>
        <v>0</v>
      </c>
      <c r="AI1874" s="36">
        <f t="shared" si="709"/>
        <v>0.14000000000000001</v>
      </c>
      <c r="AJ1874" s="36">
        <f>IFERROR(VLOOKUP(A1874,'All Products'!A:F,6,0),0)</f>
        <v>0</v>
      </c>
      <c r="AK1874" s="36"/>
      <c r="AL1874" s="23">
        <v>1</v>
      </c>
      <c r="AM1874" s="23"/>
      <c r="AN1874" s="54" t="e">
        <v>#N/A</v>
      </c>
      <c r="AO1874" s="47"/>
      <c r="AP1874" s="4">
        <v>1.1000000000000001</v>
      </c>
      <c r="AQ1874" s="111">
        <f t="shared" si="710"/>
        <v>0</v>
      </c>
      <c r="AR1874">
        <f>_xlfn.XLOOKUP(F1874,'RM Cost'!A:A,'RM Cost'!S:S)</f>
        <v>0</v>
      </c>
      <c r="AS1874" t="str">
        <f>_xlfn.XLOOKUP(A1874,[3]Sheet1!$B:$B,[3]Sheet1!$B:$B)</f>
        <v>N109CS</v>
      </c>
      <c r="AT1874" t="e">
        <f>_xlfn.XLOOKUP(H1874,'Yield &amp; Time'!A:A,'Yield &amp; Time'!F:F)</f>
        <v>#N/A</v>
      </c>
    </row>
    <row r="1875" spans="1:46" x14ac:dyDescent="0.25">
      <c r="A1875" s="1" t="s">
        <v>4810</v>
      </c>
      <c r="B1875" s="2" t="s">
        <v>552</v>
      </c>
      <c r="C1875" s="2" t="s">
        <v>394</v>
      </c>
      <c r="D1875" s="2" t="s">
        <v>554</v>
      </c>
      <c r="E1875" s="2">
        <v>1.35</v>
      </c>
      <c r="F1875" s="1" t="str">
        <f>VLOOKUP(H1875,'RM Used'!A:B,2,0)</f>
        <v>166ACS</v>
      </c>
      <c r="G1875" s="1" t="str">
        <f>IFERROR(VLOOKUP(F1875,'RM Cost'!A:B,2,0),"")</f>
        <v>RM - LARGE MANGO 5/6</v>
      </c>
      <c r="H1875" s="2" t="s">
        <v>1391</v>
      </c>
      <c r="I1875" s="1" t="str">
        <f>VLOOKUP(F1875,'RM Used'!B:D,3,0)</f>
        <v>RM-FOOD</v>
      </c>
      <c r="J1875" s="66">
        <v>0.7407407407407407</v>
      </c>
      <c r="K1875" s="35">
        <f t="shared" si="676"/>
        <v>1</v>
      </c>
      <c r="L1875" s="35">
        <f t="shared" si="694"/>
        <v>1</v>
      </c>
      <c r="M1875" s="77" cm="1">
        <f t="array" ref="M1875">_xlfn.IFS(BOM!I1875="RM-PACKING","100%",B1875="Reynolds",VLOOKUP(H1875,'Yield &amp; Time'!A:V,22,0),BOM!B1875="Dnata",VLOOKUP(BOM!H1875,'Yield &amp; Time'!A:M,13,0),B1875="NK",VLOOKUP(H1875,'Yield &amp; Time'!A:X,24,0))</f>
        <v>0.51644204851752018</v>
      </c>
      <c r="N1875" s="35">
        <f t="shared" si="695"/>
        <v>1.9363256784968685</v>
      </c>
      <c r="O1875" s="1" t="str">
        <f>VLOOKUP(H1875,'RM Used'!A:E,5,0)</f>
        <v>KG</v>
      </c>
      <c r="P1875" s="11">
        <f>VLOOKUP(H1875,'RM Used'!A:F,6,0)</f>
        <v>2.0799999999999996</v>
      </c>
      <c r="Q1875" s="11">
        <f t="shared" si="696"/>
        <v>4.0275574112734862</v>
      </c>
      <c r="R1875" s="11">
        <f>IFERROR(IF(B1875="Reynolds",VLOOKUP(H1875,'Yield &amp; Time'!A:U,21,0),VLOOKUP(H1875,'Yield &amp; Time'!A:L,12,0)),0)</f>
        <v>4.2363409542237385</v>
      </c>
      <c r="S1875" s="11">
        <f t="shared" si="697"/>
        <v>1.4340014130047354</v>
      </c>
      <c r="T1875" s="11">
        <f t="shared" si="698"/>
        <v>7.0605682570395636E-2</v>
      </c>
      <c r="U1875" s="11">
        <f>IF(A1874=A1875,0,VLOOKUP(A1875,'Packing Time'!A:F,6,0))</f>
        <v>0.64500000000000002</v>
      </c>
      <c r="V1875" s="11">
        <f t="shared" si="699"/>
        <v>0.21833249999999998</v>
      </c>
      <c r="W1875" s="11">
        <f t="shared" si="700"/>
        <v>1.0750000000000001E-2</v>
      </c>
      <c r="X1875" s="11">
        <f t="shared" si="701"/>
        <v>2.3132674782066291</v>
      </c>
      <c r="Y1875" s="11">
        <f t="shared" si="702"/>
        <v>2.3132674782066291</v>
      </c>
      <c r="Z1875" s="37">
        <v>1</v>
      </c>
      <c r="AA1875" s="36">
        <f t="shared" si="703"/>
        <v>1.9363256784968685</v>
      </c>
      <c r="AB1875" s="36">
        <f t="shared" si="704"/>
        <v>4.0275574112734862</v>
      </c>
      <c r="AC1875" s="11">
        <f t="shared" si="705"/>
        <v>0.11389795559855388</v>
      </c>
      <c r="AD1875" s="36">
        <f t="shared" si="706"/>
        <v>2.3132674782066291</v>
      </c>
      <c r="AE1875" s="36" t="str">
        <f>VLOOKUP(H1875,'Yield &amp; Time'!A:R,18,0)</f>
        <v>CHLORINE</v>
      </c>
      <c r="AF1875" s="36">
        <f>IFERROR(VLOOKUP(AE1875,'Chemical Cost'!A:D,4,0),0)</f>
        <v>2.7756518066439469E-2</v>
      </c>
      <c r="AG1875" s="114">
        <f t="shared" si="707"/>
        <v>1.791521955923633E-2</v>
      </c>
      <c r="AH1875" s="36">
        <f t="shared" si="708"/>
        <v>1.791521955923633E-2</v>
      </c>
      <c r="AI1875" s="36">
        <f t="shared" si="709"/>
        <v>6.3587401090393518</v>
      </c>
      <c r="AJ1875" s="36">
        <f>IFERROR(VLOOKUP(A1875,'All Products'!A:F,6,0),0)</f>
        <v>7.93</v>
      </c>
      <c r="AK1875" s="36">
        <f>AJ1875*Z1875*J1875</f>
        <v>5.8740740740740733</v>
      </c>
      <c r="AL1875" s="23"/>
      <c r="AM1875" s="23">
        <v>1</v>
      </c>
      <c r="AN1875" s="54" t="e">
        <v>#N/A</v>
      </c>
      <c r="AO1875" s="47"/>
      <c r="AP1875" s="4">
        <v>1.4</v>
      </c>
      <c r="AQ1875" s="111">
        <f t="shared" si="710"/>
        <v>0.11389795559855388</v>
      </c>
      <c r="AR1875">
        <f>_xlfn.XLOOKUP(F1875,'RM Cost'!A:A,'RM Cost'!S:S)</f>
        <v>0</v>
      </c>
      <c r="AS1875" t="e">
        <f>_xlfn.XLOOKUP(A1875,[3]Sheet1!$B:$B,[3]Sheet1!$B:$B)</f>
        <v>#N/A</v>
      </c>
    </row>
    <row r="1876" spans="1:46" x14ac:dyDescent="0.25">
      <c r="A1876" s="1" t="s">
        <v>4810</v>
      </c>
      <c r="B1876" s="2" t="s">
        <v>552</v>
      </c>
      <c r="C1876" s="2" t="s">
        <v>394</v>
      </c>
      <c r="D1876" s="2" t="s">
        <v>554</v>
      </c>
      <c r="E1876" s="2">
        <v>1.35</v>
      </c>
      <c r="F1876" s="1" t="str">
        <f>VLOOKUP(H1876,'RM Used'!A:B,2,0)</f>
        <v>8929CS</v>
      </c>
      <c r="G1876" s="1" t="str">
        <f>IFERROR(VLOOKUP(F1876,'RM Cost'!A:B,2,0),"")</f>
        <v>GRANULATED SUGAR 1 X 25K</v>
      </c>
      <c r="H1876" s="2" t="s">
        <v>1757</v>
      </c>
      <c r="I1876" s="1" t="str">
        <f>VLOOKUP(F1876,'RM Used'!B:D,3,0)</f>
        <v>RM-FOOD</v>
      </c>
      <c r="J1876" s="66">
        <v>0.25925925925925924</v>
      </c>
      <c r="K1876" s="35">
        <v>0.35</v>
      </c>
      <c r="L1876" s="35">
        <f t="shared" si="694"/>
        <v>0.35</v>
      </c>
      <c r="M1876" s="77" cm="1">
        <f t="array" ref="M1876">_xlfn.IFS(BOM!I1876="RM-PACKING","100%",B1876="Reynolds",VLOOKUP(H1876,'Yield &amp; Time'!A:V,22,0),BOM!B1876="Dnata",VLOOKUP(BOM!H1876,'Yield &amp; Time'!A:M,13,0),B1876="NK",VLOOKUP(H1876,'Yield &amp; Time'!A:X,24,0))</f>
        <v>1</v>
      </c>
      <c r="N1876" s="35">
        <f t="shared" si="695"/>
        <v>0.35</v>
      </c>
      <c r="O1876" s="1" t="str">
        <f>VLOOKUP(H1876,'RM Used'!A:E,5,0)</f>
        <v>KG</v>
      </c>
      <c r="P1876" s="11">
        <f>VLOOKUP(H1876,'RM Used'!A:F,6,0)</f>
        <v>6.3E-2</v>
      </c>
      <c r="Q1876" s="11">
        <f t="shared" si="696"/>
        <v>2.205E-2</v>
      </c>
      <c r="R1876" s="11">
        <f>IFERROR(IF(B1876="Reynolds",VLOOKUP(H1876,'Yield &amp; Time'!A:U,21,0),VLOOKUP(H1876,'Yield &amp; Time'!A:L,12,0)),0)</f>
        <v>0.16666666666666666</v>
      </c>
      <c r="S1876" s="11">
        <f t="shared" si="697"/>
        <v>1.9745833333333331E-2</v>
      </c>
      <c r="T1876" s="11">
        <f t="shared" si="698"/>
        <v>9.7222222222222219E-4</v>
      </c>
      <c r="U1876" s="11">
        <f>IF(A1875=A1876,0,VLOOKUP(A1876,'Packing Time'!A:F,6,0))</f>
        <v>0</v>
      </c>
      <c r="V1876" s="11">
        <f t="shared" si="699"/>
        <v>0</v>
      </c>
      <c r="W1876" s="11">
        <f t="shared" si="700"/>
        <v>0</v>
      </c>
      <c r="X1876" s="11">
        <f t="shared" si="701"/>
        <v>2.7644166666666661E-2</v>
      </c>
      <c r="Y1876" s="11">
        <f t="shared" si="702"/>
        <v>2.7644166666666661E-2</v>
      </c>
      <c r="Z1876" s="37">
        <v>1</v>
      </c>
      <c r="AA1876" s="36">
        <f t="shared" si="703"/>
        <v>0.35</v>
      </c>
      <c r="AB1876" s="36">
        <f t="shared" si="704"/>
        <v>2.205E-2</v>
      </c>
      <c r="AC1876" s="11">
        <f t="shared" si="705"/>
        <v>1.3611111111111109E-3</v>
      </c>
      <c r="AD1876" s="36">
        <f t="shared" si="706"/>
        <v>2.7644166666666657E-2</v>
      </c>
      <c r="AE1876" s="36">
        <f>VLOOKUP(H1876,'Yield &amp; Time'!A:R,18,0)</f>
        <v>0</v>
      </c>
      <c r="AF1876" s="36">
        <f>IFERROR(VLOOKUP(AE1876,'Chemical Cost'!A:D,4,0),0)</f>
        <v>0</v>
      </c>
      <c r="AG1876" s="114">
        <f t="shared" si="707"/>
        <v>0</v>
      </c>
      <c r="AH1876" s="36">
        <f t="shared" si="708"/>
        <v>0</v>
      </c>
      <c r="AI1876" s="36">
        <f t="shared" si="709"/>
        <v>4.9694166666666664E-2</v>
      </c>
      <c r="AJ1876" s="36">
        <f>IFERROR(VLOOKUP(A1876,'All Products'!A:F,6,0),0)</f>
        <v>7.93</v>
      </c>
      <c r="AK1876" s="36">
        <f>AJ1876*Z1876*J1876</f>
        <v>2.0559259259259259</v>
      </c>
      <c r="AL1876" s="23"/>
      <c r="AM1876" s="23">
        <v>1</v>
      </c>
      <c r="AN1876" s="54" t="e">
        <v>#N/A</v>
      </c>
      <c r="AO1876" s="47"/>
      <c r="AP1876" s="4">
        <v>1.4</v>
      </c>
      <c r="AQ1876" s="111">
        <f t="shared" si="710"/>
        <v>1.3611111111111109E-3</v>
      </c>
      <c r="AR1876">
        <f>_xlfn.XLOOKUP(F1876,'RM Cost'!A:A,'RM Cost'!S:S)</f>
        <v>0</v>
      </c>
      <c r="AS1876" t="e">
        <f>_xlfn.XLOOKUP(A1876,[3]Sheet1!$B:$B,[3]Sheet1!$B:$B)</f>
        <v>#N/A</v>
      </c>
    </row>
    <row r="1877" spans="1:46" x14ac:dyDescent="0.25">
      <c r="A1877" s="1" t="s">
        <v>4810</v>
      </c>
      <c r="B1877" s="2" t="s">
        <v>552</v>
      </c>
      <c r="C1877" s="2" t="s">
        <v>394</v>
      </c>
      <c r="D1877" s="2" t="s">
        <v>554</v>
      </c>
      <c r="E1877" s="2">
        <v>1.35</v>
      </c>
      <c r="F1877" s="1" t="str">
        <f>VLOOKUP(H1877,'RM Used'!A:B,2,0)</f>
        <v>P0014</v>
      </c>
      <c r="G1877" s="1" t="str">
        <f>IFERROR(VLOOKUP(F1877,'RM Cost'!A:B,2,0),"")</f>
        <v>BUCKET 2.2L PET</v>
      </c>
      <c r="H1877" s="117" t="s">
        <v>4676</v>
      </c>
      <c r="I1877" s="1" t="str">
        <f>VLOOKUP(F1877,'RM Used'!B:D,3,0)</f>
        <v>RM-PACKING</v>
      </c>
      <c r="J1877" s="66">
        <v>1</v>
      </c>
      <c r="K1877" s="35" t="str">
        <f>IF(I1877="RM-FOOD",J1877*E1877,"")</f>
        <v/>
      </c>
      <c r="L1877" s="35">
        <f t="shared" si="694"/>
        <v>0</v>
      </c>
      <c r="M1877" s="77" t="str" cm="1">
        <f t="array" ref="M1877">_xlfn.IFS(BOM!I1877="RM-PACKING","100%",B1877="Reynolds",VLOOKUP(H1877,'Yield &amp; Time'!A:V,22,0),BOM!B1877="Dnata",VLOOKUP(BOM!H1877,'Yield &amp; Time'!A:M,13,0),B1877="NK",VLOOKUP(H1877,'Yield &amp; Time'!A:X,24,0))</f>
        <v>100%</v>
      </c>
      <c r="N1877" s="35">
        <f t="shared" si="695"/>
        <v>1</v>
      </c>
      <c r="O1877" s="1" t="str">
        <f>VLOOKUP(H1877,'RM Used'!A:E,5,0)</f>
        <v>Count</v>
      </c>
      <c r="P1877" s="11">
        <f>VLOOKUP(H1877,'RM Used'!A:F,6,0)</f>
        <v>0.54</v>
      </c>
      <c r="Q1877" s="11">
        <f t="shared" si="696"/>
        <v>0.54</v>
      </c>
      <c r="R1877" s="11">
        <f>IFERROR(IF(B1877="Reynolds",VLOOKUP(H1877,'Yield &amp; Time'!A:U,21,0),VLOOKUP(H1877,'Yield &amp; Time'!A:L,12,0)),0)</f>
        <v>0</v>
      </c>
      <c r="S1877" s="11">
        <f t="shared" si="697"/>
        <v>0</v>
      </c>
      <c r="T1877" s="11">
        <f t="shared" si="698"/>
        <v>0</v>
      </c>
      <c r="U1877" s="11">
        <f>IF(A1876=A1877,0,VLOOKUP(A1877,'Packing Time'!A:F,6,0))</f>
        <v>0</v>
      </c>
      <c r="V1877" s="11">
        <f t="shared" si="699"/>
        <v>0</v>
      </c>
      <c r="W1877" s="11">
        <f t="shared" si="700"/>
        <v>0</v>
      </c>
      <c r="X1877" s="11">
        <f t="shared" si="701"/>
        <v>0</v>
      </c>
      <c r="Y1877" s="11">
        <f t="shared" si="702"/>
        <v>0</v>
      </c>
      <c r="Z1877" s="37">
        <v>1</v>
      </c>
      <c r="AA1877" s="36">
        <f t="shared" si="703"/>
        <v>1</v>
      </c>
      <c r="AB1877" s="36">
        <f t="shared" si="704"/>
        <v>0.54</v>
      </c>
      <c r="AC1877" s="11">
        <f t="shared" si="705"/>
        <v>0</v>
      </c>
      <c r="AD1877" s="36">
        <f t="shared" si="706"/>
        <v>0</v>
      </c>
      <c r="AE1877" s="36"/>
      <c r="AF1877" s="36">
        <f>IFERROR(VLOOKUP(AE1877,'Chemical Cost'!A:D,4,0),0)</f>
        <v>0</v>
      </c>
      <c r="AG1877" s="114">
        <f t="shared" si="707"/>
        <v>0</v>
      </c>
      <c r="AH1877" s="36">
        <f t="shared" si="708"/>
        <v>0</v>
      </c>
      <c r="AI1877" s="36">
        <f t="shared" si="709"/>
        <v>0.54</v>
      </c>
      <c r="AJ1877" s="36">
        <f>IFERROR(VLOOKUP(A1877,'All Products'!A:F,6,0),0)</f>
        <v>7.93</v>
      </c>
      <c r="AK1877" s="36"/>
      <c r="AL1877" s="23"/>
      <c r="AM1877" s="23">
        <v>1</v>
      </c>
      <c r="AN1877" s="54" t="e">
        <v>#N/A</v>
      </c>
      <c r="AO1877" s="47"/>
      <c r="AP1877" s="4">
        <v>1.4</v>
      </c>
      <c r="AQ1877" s="111">
        <f t="shared" si="710"/>
        <v>0</v>
      </c>
      <c r="AR1877">
        <f>_xlfn.XLOOKUP(F1877,'RM Cost'!A:A,'RM Cost'!S:S)</f>
        <v>0</v>
      </c>
      <c r="AS1877" t="e">
        <f>_xlfn.XLOOKUP(A1877,[3]Sheet1!$B:$B,[3]Sheet1!$B:$B)</f>
        <v>#N/A</v>
      </c>
    </row>
    <row r="1878" spans="1:46" x14ac:dyDescent="0.25">
      <c r="A1878" s="1" t="s">
        <v>4810</v>
      </c>
      <c r="B1878" s="2" t="s">
        <v>552</v>
      </c>
      <c r="C1878" s="2" t="s">
        <v>394</v>
      </c>
      <c r="D1878" s="2" t="s">
        <v>554</v>
      </c>
      <c r="E1878" s="2">
        <v>1.35</v>
      </c>
      <c r="F1878" s="1" t="str">
        <f>VLOOKUP(H1878,'RM Used'!A:B,2,0)</f>
        <v>P0026</v>
      </c>
      <c r="G1878" s="1" t="str">
        <f>IFERROR(VLOOKUP(F1878,'RM Cost'!A:B,2,0),"")</f>
        <v>LID 2.2L PJET 2.2L-3.8L</v>
      </c>
      <c r="H1878" s="117" t="s">
        <v>4673</v>
      </c>
      <c r="I1878" s="1" t="str">
        <f>VLOOKUP(F1878,'RM Used'!B:D,3,0)</f>
        <v>RM-PACKING</v>
      </c>
      <c r="J1878" s="66">
        <v>1</v>
      </c>
      <c r="K1878" s="35" t="str">
        <f>IF(I1878="RM-FOOD",J1878*E1878,"")</f>
        <v/>
      </c>
      <c r="L1878" s="35">
        <f t="shared" si="694"/>
        <v>0</v>
      </c>
      <c r="M1878" s="77" t="str" cm="1">
        <f t="array" ref="M1878">_xlfn.IFS(BOM!I1878="RM-PACKING","100%",B1878="Reynolds",VLOOKUP(H1878,'Yield &amp; Time'!A:V,22,0),BOM!B1878="Dnata",VLOOKUP(BOM!H1878,'Yield &amp; Time'!A:M,13,0),B1878="NK",VLOOKUP(H1878,'Yield &amp; Time'!A:X,24,0))</f>
        <v>100%</v>
      </c>
      <c r="N1878" s="35">
        <f t="shared" si="695"/>
        <v>1</v>
      </c>
      <c r="O1878" s="1" t="str">
        <f>VLOOKUP(H1878,'RM Used'!A:E,5,0)</f>
        <v>Count</v>
      </c>
      <c r="P1878" s="11">
        <f>VLOOKUP(H1878,'RM Used'!A:F,6,0)</f>
        <v>0.16</v>
      </c>
      <c r="Q1878" s="11">
        <f t="shared" si="696"/>
        <v>0.16</v>
      </c>
      <c r="R1878" s="11">
        <f>IFERROR(IF(B1878="Reynolds",VLOOKUP(H1878,'Yield &amp; Time'!A:U,21,0),VLOOKUP(H1878,'Yield &amp; Time'!A:L,12,0)),0)</f>
        <v>0</v>
      </c>
      <c r="S1878" s="11">
        <f t="shared" si="697"/>
        <v>0</v>
      </c>
      <c r="T1878" s="11">
        <f t="shared" si="698"/>
        <v>0</v>
      </c>
      <c r="U1878" s="11">
        <f>IF(A1877=A1878,0,VLOOKUP(A1878,'Packing Time'!A:F,6,0))</f>
        <v>0</v>
      </c>
      <c r="V1878" s="11">
        <f t="shared" si="699"/>
        <v>0</v>
      </c>
      <c r="W1878" s="11">
        <f t="shared" si="700"/>
        <v>0</v>
      </c>
      <c r="X1878" s="11">
        <f t="shared" si="701"/>
        <v>0</v>
      </c>
      <c r="Y1878" s="11">
        <f t="shared" si="702"/>
        <v>0</v>
      </c>
      <c r="Z1878" s="37">
        <v>1</v>
      </c>
      <c r="AA1878" s="36">
        <f t="shared" si="703"/>
        <v>1</v>
      </c>
      <c r="AB1878" s="36">
        <f t="shared" si="704"/>
        <v>0.16</v>
      </c>
      <c r="AC1878" s="11">
        <f t="shared" si="705"/>
        <v>0</v>
      </c>
      <c r="AD1878" s="36">
        <f t="shared" si="706"/>
        <v>0</v>
      </c>
      <c r="AE1878" s="36"/>
      <c r="AF1878" s="36">
        <f>IFERROR(VLOOKUP(AE1878,'Chemical Cost'!A:D,4,0),0)</f>
        <v>0</v>
      </c>
      <c r="AG1878" s="114">
        <f t="shared" si="707"/>
        <v>0</v>
      </c>
      <c r="AH1878" s="36">
        <f t="shared" si="708"/>
        <v>0</v>
      </c>
      <c r="AI1878" s="36">
        <f t="shared" si="709"/>
        <v>0.16</v>
      </c>
      <c r="AJ1878" s="36">
        <f>IFERROR(VLOOKUP(A1878,'All Products'!A:F,6,0),0)</f>
        <v>7.93</v>
      </c>
      <c r="AK1878" s="36"/>
      <c r="AL1878" s="23"/>
      <c r="AM1878" s="23">
        <v>1</v>
      </c>
      <c r="AN1878" s="54" t="e">
        <v>#N/A</v>
      </c>
      <c r="AO1878" s="47"/>
      <c r="AP1878" s="4">
        <v>1.4</v>
      </c>
      <c r="AQ1878" s="111">
        <f t="shared" si="710"/>
        <v>0</v>
      </c>
      <c r="AR1878">
        <f>_xlfn.XLOOKUP(F1878,'RM Cost'!A:A,'RM Cost'!S:S)</f>
        <v>0</v>
      </c>
      <c r="AS1878" t="e">
        <f>_xlfn.XLOOKUP(A1878,[3]Sheet1!$B:$B,[3]Sheet1!$B:$B)</f>
        <v>#N/A</v>
      </c>
    </row>
    <row r="1879" spans="1:46" x14ac:dyDescent="0.25">
      <c r="A1879" s="2" t="s">
        <v>4811</v>
      </c>
      <c r="B1879" s="2" t="s">
        <v>552</v>
      </c>
      <c r="C1879" s="2" t="s">
        <v>290</v>
      </c>
      <c r="D1879" s="2" t="s">
        <v>554</v>
      </c>
      <c r="E1879" s="2">
        <v>4</v>
      </c>
      <c r="F1879" s="1" t="str">
        <f>VLOOKUP(H1879,'RM Used'!A:B,2,0)</f>
        <v>032ACS</v>
      </c>
      <c r="G1879" s="1" t="str">
        <f>IFERROR(VLOOKUP(F1879,'RM Cost'!A:B,2,0),"")</f>
        <v>RM - LRG PROCESSING CARROT X 1000KG</v>
      </c>
      <c r="H1879" s="2" t="s">
        <v>1351</v>
      </c>
      <c r="I1879" s="1" t="str">
        <f>VLOOKUP(F1879,'RM Used'!B:D,3,0)</f>
        <v>RM-FOOD</v>
      </c>
      <c r="J1879" s="66">
        <v>0.25</v>
      </c>
      <c r="K1879" s="35">
        <f t="shared" ref="K1879:K1888" si="711">IF(I1879="RM-FOOD",J1879*E1879,"")</f>
        <v>1</v>
      </c>
      <c r="L1879" s="35">
        <f t="shared" ref="L1879:L1889" si="712">IFERROR(K1879*Z1879,0)</f>
        <v>1</v>
      </c>
      <c r="M1879" s="77" cm="1">
        <f t="array" ref="M1879">_xlfn.IFS(BOM!I1879="RM-PACKING","100%",B1879="Reynolds",VLOOKUP(H1879,'Yield &amp; Time'!A:V,22,0),BOM!B1879="Dnata",VLOOKUP(BOM!H1879,'Yield &amp; Time'!A:M,13,0),B1879="NK",VLOOKUP(H1879,'Yield &amp; Time'!A:X,24,0))</f>
        <v>0.75330000000000008</v>
      </c>
      <c r="N1879" s="35">
        <f t="shared" ref="N1879:N1889" si="713">IFERROR(IF(I1879="RM-FOOD",(E1879*J1879)/M1879,1),0)</f>
        <v>1.3274923669188901</v>
      </c>
      <c r="O1879" s="1" t="str">
        <f>VLOOKUP(H1879,'RM Used'!A:E,5,0)</f>
        <v>KG</v>
      </c>
      <c r="P1879" s="11">
        <f>VLOOKUP(H1879,'RM Used'!A:F,6,0)</f>
        <v>0.38</v>
      </c>
      <c r="Q1879" s="11">
        <f t="shared" ref="Q1879:Q1889" si="714">P1879*N1879</f>
        <v>0.5044470994291782</v>
      </c>
      <c r="R1879" s="11">
        <f>IFERROR(IF(B1879="Reynolds",VLOOKUP(H1879,'Yield &amp; Time'!A:U,21,0),VLOOKUP(H1879,'Yield &amp; Time'!A:L,12,0)),0)</f>
        <v>0.90531914893617027</v>
      </c>
      <c r="S1879" s="11">
        <f t="shared" ref="S1879:S1889" si="715">R1879*J1879*E1879*AO$1</f>
        <v>0.30645053191489363</v>
      </c>
      <c r="T1879" s="11">
        <f t="shared" ref="T1879:T1889" si="716">(R1879*Z1879*J1879*E1879)/60</f>
        <v>1.5088652482269505E-2</v>
      </c>
      <c r="U1879" s="11">
        <f>IF(A1878=A1879,0,VLOOKUP(A1879,'Packing Time'!A:F,6,0))</f>
        <v>2.2999999999999998</v>
      </c>
      <c r="V1879" s="11">
        <f t="shared" ref="V1879:V1889" si="717">U1879*AO$1</f>
        <v>0.77854999999999985</v>
      </c>
      <c r="W1879" s="11">
        <f t="shared" ref="W1879:W1889" si="718">(U1879*Z1879)/60</f>
        <v>3.833333333333333E-2</v>
      </c>
      <c r="X1879" s="11">
        <f t="shared" ref="X1879:X1889" si="719">((R1879*J1879*E1879)+U1879)*AO$1*AP1879</f>
        <v>1.1935005851063831</v>
      </c>
      <c r="Y1879" s="11">
        <f t="shared" ref="Y1879:Y1889" si="720">X1879*Z1879</f>
        <v>1.1935005851063831</v>
      </c>
      <c r="Z1879" s="37">
        <v>1</v>
      </c>
      <c r="AA1879" s="36">
        <f t="shared" ref="AA1879:AA1889" si="721">Z1879*N1879</f>
        <v>1.3274923669188901</v>
      </c>
      <c r="AB1879" s="36">
        <f t="shared" ref="AB1879:AB1889" si="722">AA1879*P1879</f>
        <v>0.5044470994291782</v>
      </c>
      <c r="AC1879" s="11">
        <f t="shared" ref="AC1879:AC1889" si="723">(((R1879*J1879*E1879)+U1879)/60)*Z1879*AP1879</f>
        <v>5.8764184397163126E-2</v>
      </c>
      <c r="AD1879" s="36">
        <f t="shared" ref="AD1879:AD1889" si="724">AC1879*60*AO$1</f>
        <v>1.1935005851063829</v>
      </c>
      <c r="AE1879" s="36" t="str">
        <f>VLOOKUP(H1879,'Yield &amp; Time'!A:R,18,0)</f>
        <v>CHLORINE</v>
      </c>
      <c r="AF1879" s="36">
        <f>IFERROR(VLOOKUP(AE1879,'Chemical Cost'!A:D,4,0),0)</f>
        <v>2.7756518066439469E-2</v>
      </c>
      <c r="AG1879" s="114">
        <f t="shared" ref="AG1879:AG1889" si="725">AF1879*N1879/3</f>
        <v>1.2282188621814889E-2</v>
      </c>
      <c r="AH1879" s="36">
        <f t="shared" ref="AH1879:AH1889" si="726">AF1879*AA1879/3</f>
        <v>1.2282188621814889E-2</v>
      </c>
      <c r="AI1879" s="36">
        <f t="shared" ref="AI1879:AI1889" si="727">IFERROR((Q1879*Z1879)+(Z1879*X1879)+AH1879,0)</f>
        <v>1.7102298731573762</v>
      </c>
      <c r="AJ1879" s="36">
        <f>IFERROR(VLOOKUP(A1879,'All Products'!A:F,6,0),0)</f>
        <v>0</v>
      </c>
      <c r="AK1879" s="36">
        <f>AJ1879*Z1879*J1879</f>
        <v>0</v>
      </c>
      <c r="AL1879" s="23">
        <v>0.85</v>
      </c>
      <c r="AM1879" s="23">
        <v>0.15</v>
      </c>
      <c r="AN1879" s="54" t="e">
        <v>#N/A</v>
      </c>
      <c r="AO1879" s="47"/>
      <c r="AP1879" s="4">
        <v>1.1000000000000001</v>
      </c>
      <c r="AQ1879" s="111">
        <f>(((R1879*J1879*E1879)+U1879)/60)*AP1879</f>
        <v>5.8764184397163126E-2</v>
      </c>
      <c r="AR1879">
        <f>_xlfn.XLOOKUP(F1879,'RM Cost'!A:A,'RM Cost'!S:S)</f>
        <v>0</v>
      </c>
      <c r="AS1879" t="str">
        <f>_xlfn.XLOOKUP(A1879,[3]Sheet1!$B:$B,[3]Sheet1!$B:$B)</f>
        <v>553CCS</v>
      </c>
      <c r="AT1879" t="str">
        <f>_xlfn.XLOOKUP(H1879,'Yield &amp; Time'!A:A,'Yield &amp; Time'!O:O)</f>
        <v>Yes</v>
      </c>
    </row>
    <row r="1880" spans="1:46" x14ac:dyDescent="0.25">
      <c r="A1880" s="2" t="s">
        <v>4811</v>
      </c>
      <c r="B1880" s="2" t="s">
        <v>552</v>
      </c>
      <c r="C1880" s="2" t="s">
        <v>290</v>
      </c>
      <c r="D1880" s="2" t="s">
        <v>554</v>
      </c>
      <c r="E1880" s="2">
        <v>4</v>
      </c>
      <c r="F1880" s="1" t="str">
        <f>VLOOKUP(H1880,'RM Used'!A:B,2,0)</f>
        <v>S3997CS</v>
      </c>
      <c r="G1880" s="1" t="str">
        <f>IFERROR(VLOOKUP(F1880,'RM Cost'!A:B,2,0),"")</f>
        <v>RM - DECORE WHITE CABBAGE 1/3 1200KG</v>
      </c>
      <c r="H1880" s="2" t="s">
        <v>1350</v>
      </c>
      <c r="I1880" s="1" t="str">
        <f>VLOOKUP(F1880,'RM Used'!B:D,3,0)</f>
        <v>RM-FOOD</v>
      </c>
      <c r="J1880" s="66">
        <v>0.5</v>
      </c>
      <c r="K1880" s="35">
        <f>IF(I1880="RM-FOOD",J1880*E1880,"")</f>
        <v>2</v>
      </c>
      <c r="L1880" s="35">
        <f t="shared" si="712"/>
        <v>2</v>
      </c>
      <c r="M1880" s="77" cm="1">
        <f t="array" ref="M1880">_xlfn.IFS(BOM!I1880="RM-PACKING","100%",B1880="Reynolds",VLOOKUP(H1880,'Yield &amp; Time'!A:V,22,0),BOM!B1880="Dnata",VLOOKUP(BOM!H1880,'Yield &amp; Time'!A:M,13,0),B1880="NK",VLOOKUP(H1880,'Yield &amp; Time'!A:X,24,0))</f>
        <v>0.77222322232223217</v>
      </c>
      <c r="N1880" s="35">
        <f t="shared" si="713"/>
        <v>2.5899247033592094</v>
      </c>
      <c r="O1880" s="1" t="str">
        <f>VLOOKUP(H1880,'RM Used'!A:E,5,0)</f>
        <v>KG</v>
      </c>
      <c r="P1880" s="11">
        <f>VLOOKUP(H1880,'RM Used'!A:F,6,0)</f>
        <v>0.34</v>
      </c>
      <c r="Q1880" s="11">
        <f t="shared" si="714"/>
        <v>0.88057439914213131</v>
      </c>
      <c r="R1880" s="11">
        <f>IFERROR(IF(B1880="Reynolds",VLOOKUP(H1880,'Yield &amp; Time'!A:U,21,0),VLOOKUP(H1880,'Yield &amp; Time'!A:L,12,0)),0)</f>
        <v>0.82773480662983423</v>
      </c>
      <c r="S1880" s="11">
        <f t="shared" si="715"/>
        <v>0.5603764640883977</v>
      </c>
      <c r="T1880" s="11">
        <f t="shared" si="716"/>
        <v>2.7591160220994473E-2</v>
      </c>
      <c r="U1880" s="11">
        <f>IF(A1879=A1880,0,VLOOKUP(A1880,'Packing Time'!A:F,6,0))</f>
        <v>0</v>
      </c>
      <c r="V1880" s="11">
        <f t="shared" si="717"/>
        <v>0</v>
      </c>
      <c r="W1880" s="11">
        <f t="shared" si="718"/>
        <v>0</v>
      </c>
      <c r="X1880" s="11">
        <f t="shared" si="719"/>
        <v>0</v>
      </c>
      <c r="Y1880" s="11">
        <f t="shared" si="720"/>
        <v>0</v>
      </c>
      <c r="Z1880" s="37">
        <v>1</v>
      </c>
      <c r="AA1880" s="36">
        <f t="shared" si="721"/>
        <v>2.5899247033592094</v>
      </c>
      <c r="AB1880" s="36">
        <f t="shared" si="722"/>
        <v>0.88057439914213131</v>
      </c>
      <c r="AC1880" s="11">
        <f t="shared" si="723"/>
        <v>0</v>
      </c>
      <c r="AD1880" s="36">
        <f t="shared" si="724"/>
        <v>0</v>
      </c>
      <c r="AE1880" s="36" t="str">
        <f>VLOOKUP(H1880,'Yield &amp; Time'!A:R,18,0)</f>
        <v>CHLORINE</v>
      </c>
      <c r="AF1880" s="36">
        <f>IFERROR(VLOOKUP(AE1880,'Chemical Cost'!A:D,4,0),0)</f>
        <v>2.7756518066439469E-2</v>
      </c>
      <c r="AG1880" s="114">
        <f t="shared" si="725"/>
        <v>2.3962430606502595E-2</v>
      </c>
      <c r="AH1880" s="36">
        <f t="shared" si="726"/>
        <v>2.3962430606502595E-2</v>
      </c>
      <c r="AI1880" s="36">
        <f t="shared" si="727"/>
        <v>0.90453682974863392</v>
      </c>
      <c r="AJ1880" s="36">
        <f>IFERROR(VLOOKUP(A1880,'All Products'!A:F,6,0),0)</f>
        <v>0</v>
      </c>
      <c r="AK1880" s="36">
        <f>AJ1880*Z1880*J1880</f>
        <v>0</v>
      </c>
      <c r="AL1880" s="23">
        <v>0.85</v>
      </c>
      <c r="AM1880" s="23">
        <v>0.15</v>
      </c>
      <c r="AN1880" s="54" t="e">
        <v>#N/A</v>
      </c>
      <c r="AO1880" s="47"/>
      <c r="AP1880" s="4"/>
      <c r="AQ1880" s="111"/>
      <c r="AS1880" t="str">
        <f>_xlfn.XLOOKUP(A1880,[3]Sheet1!$B:$B,[3]Sheet1!$B:$B)</f>
        <v>553CCS</v>
      </c>
      <c r="AT1880" t="str">
        <f>_xlfn.XLOOKUP(H1880,'Yield &amp; Time'!A:A,'Yield &amp; Time'!O:O)</f>
        <v>Yes</v>
      </c>
    </row>
    <row r="1881" spans="1:46" x14ac:dyDescent="0.25">
      <c r="A1881" s="2" t="s">
        <v>4811</v>
      </c>
      <c r="B1881" s="2" t="s">
        <v>552</v>
      </c>
      <c r="C1881" s="2" t="s">
        <v>290</v>
      </c>
      <c r="D1881" s="2" t="s">
        <v>554</v>
      </c>
      <c r="E1881" s="2">
        <v>4</v>
      </c>
      <c r="F1881" s="1" t="str">
        <f>VLOOKUP(H1881,'RM Used'!A:B,2,0)</f>
        <v>S3998CS</v>
      </c>
      <c r="G1881" s="1" t="str">
        <f>IFERROR(VLOOKUP(F1881,'RM Cost'!A:B,2,0),"")</f>
        <v>RM - DECORED RED CABBAGE 1/3 1200KG</v>
      </c>
      <c r="H1881" s="2" t="s">
        <v>1349</v>
      </c>
      <c r="I1881" s="1" t="str">
        <f>VLOOKUP(F1881,'RM Used'!B:D,3,0)</f>
        <v>RM-FOOD</v>
      </c>
      <c r="J1881" s="66">
        <v>0.25</v>
      </c>
      <c r="K1881" s="35">
        <f t="shared" si="711"/>
        <v>1</v>
      </c>
      <c r="L1881" s="35">
        <f t="shared" si="712"/>
        <v>1</v>
      </c>
      <c r="M1881" s="77" cm="1">
        <f t="array" ref="M1881">_xlfn.IFS(BOM!I1881="RM-PACKING","100%",B1881="Reynolds",VLOOKUP(H1881,'Yield &amp; Time'!A:V,22,0),BOM!B1881="Dnata",VLOOKUP(BOM!H1881,'Yield &amp; Time'!A:M,13,0),B1881="NK",VLOOKUP(H1881,'Yield &amp; Time'!A:X,24,0))</f>
        <v>0.75138040345821322</v>
      </c>
      <c r="N1881" s="35">
        <f t="shared" si="713"/>
        <v>1.3308837912161671</v>
      </c>
      <c r="O1881" s="1" t="str">
        <f>VLOOKUP(H1881,'RM Used'!A:E,5,0)</f>
        <v>KG</v>
      </c>
      <c r="P1881" s="11">
        <f>VLOOKUP(H1881,'RM Used'!A:F,6,0)</f>
        <v>0.38</v>
      </c>
      <c r="Q1881" s="11">
        <f t="shared" si="714"/>
        <v>0.5057358406621435</v>
      </c>
      <c r="R1881" s="11">
        <f>IFERROR(IF(B1881="Reynolds",VLOOKUP(H1881,'Yield &amp; Time'!A:U,21,0),VLOOKUP(H1881,'Yield &amp; Time'!A:L,12,0)),0)</f>
        <v>0.76261570798735501</v>
      </c>
      <c r="S1881" s="11">
        <f t="shared" si="715"/>
        <v>0.25814541715371964</v>
      </c>
      <c r="T1881" s="11">
        <f t="shared" si="716"/>
        <v>1.2710261799789251E-2</v>
      </c>
      <c r="U1881" s="11">
        <f>IF(A1879=A1881,0,VLOOKUP(A1881,'Packing Time'!A:F,6,0))</f>
        <v>0</v>
      </c>
      <c r="V1881" s="11">
        <f t="shared" si="717"/>
        <v>0</v>
      </c>
      <c r="W1881" s="11">
        <f t="shared" si="718"/>
        <v>0</v>
      </c>
      <c r="X1881" s="11">
        <f t="shared" si="719"/>
        <v>0.28395995886909164</v>
      </c>
      <c r="Y1881" s="11">
        <f t="shared" si="720"/>
        <v>0.28395995886909164</v>
      </c>
      <c r="Z1881" s="37">
        <v>1</v>
      </c>
      <c r="AA1881" s="36">
        <f t="shared" si="721"/>
        <v>1.3308837912161671</v>
      </c>
      <c r="AB1881" s="36">
        <f t="shared" si="722"/>
        <v>0.5057358406621435</v>
      </c>
      <c r="AC1881" s="11">
        <f t="shared" si="723"/>
        <v>1.3981287979768177E-2</v>
      </c>
      <c r="AD1881" s="36">
        <f t="shared" si="724"/>
        <v>0.28395995886909164</v>
      </c>
      <c r="AE1881" s="36" t="str">
        <f>VLOOKUP(H1881,'Yield &amp; Time'!A:R,18,0)</f>
        <v>CHLORINE</v>
      </c>
      <c r="AF1881" s="36">
        <f>IFERROR(VLOOKUP(AE1881,'Chemical Cost'!A:D,4,0),0)</f>
        <v>2.7756518066439469E-2</v>
      </c>
      <c r="AG1881" s="114">
        <f t="shared" si="725"/>
        <v>1.2313566665074332E-2</v>
      </c>
      <c r="AH1881" s="36">
        <f t="shared" si="726"/>
        <v>1.2313566665074332E-2</v>
      </c>
      <c r="AI1881" s="36">
        <f t="shared" si="727"/>
        <v>0.80200936619630947</v>
      </c>
      <c r="AJ1881" s="36">
        <f>IFERROR(VLOOKUP(A1881,'All Products'!A:F,6,0),0)</f>
        <v>0</v>
      </c>
      <c r="AK1881" s="36">
        <f>AJ1881*Z1881*J1881</f>
        <v>0</v>
      </c>
      <c r="AL1881" s="23">
        <v>0.85</v>
      </c>
      <c r="AM1881" s="23">
        <v>0.15</v>
      </c>
      <c r="AN1881" s="54" t="e">
        <v>#N/A</v>
      </c>
      <c r="AO1881" s="47"/>
      <c r="AP1881" s="4">
        <v>1.1000000000000001</v>
      </c>
      <c r="AQ1881" s="111">
        <f t="shared" ref="AQ1881:AQ1889" si="728">(((R1881*J1881*E1881)+U1881)/60)*AP1881</f>
        <v>1.3981287979768177E-2</v>
      </c>
      <c r="AR1881">
        <f>_xlfn.XLOOKUP(F1881,'RM Cost'!A:A,'RM Cost'!S:S)</f>
        <v>0.29914853989077506</v>
      </c>
      <c r="AS1881" t="str">
        <f>_xlfn.XLOOKUP(A1881,[3]Sheet1!$B:$B,[3]Sheet1!$B:$B)</f>
        <v>553CCS</v>
      </c>
      <c r="AT1881" t="str">
        <f>_xlfn.XLOOKUP(H1881,'Yield &amp; Time'!A:A,'Yield &amp; Time'!O:O)</f>
        <v>Yes</v>
      </c>
    </row>
    <row r="1882" spans="1:46" x14ac:dyDescent="0.25">
      <c r="A1882" s="2" t="s">
        <v>4811</v>
      </c>
      <c r="B1882" s="2" t="s">
        <v>552</v>
      </c>
      <c r="C1882" s="2" t="s">
        <v>290</v>
      </c>
      <c r="D1882" s="2" t="s">
        <v>554</v>
      </c>
      <c r="E1882" s="2">
        <v>4</v>
      </c>
      <c r="F1882" s="1" t="str">
        <f>VLOOKUP(H1882,'RM Used'!A:B,2,0)</f>
        <v>P0005</v>
      </c>
      <c r="G1882" s="1" t="str">
        <f>IFERROR(VLOOKUP(F1882,'RM Cost'!A:B,2,0),"")</f>
        <v>SOL 30EL # PPLUS 630x1000 BLUE -8</v>
      </c>
      <c r="H1882" s="2" t="s">
        <v>4681</v>
      </c>
      <c r="I1882" s="1" t="str">
        <f>VLOOKUP(F1882,'RM Used'!B:D,3,0)</f>
        <v>RM-PACKING</v>
      </c>
      <c r="J1882" s="66">
        <v>1</v>
      </c>
      <c r="K1882" s="35" t="str">
        <f t="shared" si="711"/>
        <v/>
      </c>
      <c r="L1882" s="35">
        <f t="shared" si="712"/>
        <v>0</v>
      </c>
      <c r="M1882" s="77" t="str" cm="1">
        <f t="array" ref="M1882">_xlfn.IFS(BOM!I1882="RM-PACKING","100%",B1882="Reynolds",VLOOKUP(H1882,'Yield &amp; Time'!A:V,22,0),BOM!B1882="Dnata",VLOOKUP(BOM!H1882,'Yield &amp; Time'!A:M,13,0),B1882="NK",VLOOKUP(H1882,'Yield &amp; Time'!A:X,24,0))</f>
        <v>100%</v>
      </c>
      <c r="N1882" s="35">
        <f t="shared" si="713"/>
        <v>1</v>
      </c>
      <c r="O1882" s="1" t="str">
        <f>VLOOKUP(H1882,'RM Used'!A:E,5,0)</f>
        <v>Count</v>
      </c>
      <c r="P1882" s="11">
        <f>VLOOKUP(H1882,'RM Used'!A:F,6,0)</f>
        <v>0.64</v>
      </c>
      <c r="Q1882" s="11">
        <f t="shared" si="714"/>
        <v>0.64</v>
      </c>
      <c r="R1882" s="11">
        <f>IFERROR(IF(B1882="Reynolds",VLOOKUP(H1882,'Yield &amp; Time'!A:U,21,0),VLOOKUP(H1882,'Yield &amp; Time'!A:L,12,0)),0)</f>
        <v>0</v>
      </c>
      <c r="S1882" s="11">
        <f t="shared" si="715"/>
        <v>0</v>
      </c>
      <c r="T1882" s="11">
        <f t="shared" si="716"/>
        <v>0</v>
      </c>
      <c r="U1882" s="11">
        <f>IF(A1881=A1882,0,VLOOKUP(A1882,'Packing Time'!A:F,6,0))</f>
        <v>0</v>
      </c>
      <c r="V1882" s="11">
        <f t="shared" si="717"/>
        <v>0</v>
      </c>
      <c r="W1882" s="11">
        <f t="shared" si="718"/>
        <v>0</v>
      </c>
      <c r="X1882" s="11">
        <f t="shared" si="719"/>
        <v>0</v>
      </c>
      <c r="Y1882" s="11">
        <f t="shared" si="720"/>
        <v>0</v>
      </c>
      <c r="Z1882" s="37">
        <v>1</v>
      </c>
      <c r="AA1882" s="36">
        <f t="shared" si="721"/>
        <v>1</v>
      </c>
      <c r="AB1882" s="36">
        <f t="shared" si="722"/>
        <v>0.64</v>
      </c>
      <c r="AC1882" s="11">
        <f t="shared" si="723"/>
        <v>0</v>
      </c>
      <c r="AD1882" s="36">
        <f t="shared" si="724"/>
        <v>0</v>
      </c>
      <c r="AE1882" s="36"/>
      <c r="AF1882" s="36">
        <f>IFERROR(VLOOKUP(AE1882,'Chemical Cost'!A:D,4,0),0)</f>
        <v>0</v>
      </c>
      <c r="AG1882" s="114">
        <f t="shared" si="725"/>
        <v>0</v>
      </c>
      <c r="AH1882" s="36">
        <f t="shared" si="726"/>
        <v>0</v>
      </c>
      <c r="AI1882" s="36">
        <f t="shared" si="727"/>
        <v>0.64</v>
      </c>
      <c r="AJ1882" s="36">
        <f>IFERROR(VLOOKUP(A1882,'All Products'!A:F,6,0),0)</f>
        <v>0</v>
      </c>
      <c r="AK1882" s="36"/>
      <c r="AL1882" s="23">
        <v>0.85</v>
      </c>
      <c r="AM1882" s="23">
        <v>0.15</v>
      </c>
      <c r="AN1882" s="54" t="e">
        <v>#N/A</v>
      </c>
      <c r="AO1882" s="47"/>
      <c r="AP1882" s="4">
        <v>1.1000000000000001</v>
      </c>
      <c r="AQ1882" s="111">
        <f t="shared" si="728"/>
        <v>0</v>
      </c>
      <c r="AR1882">
        <f>_xlfn.XLOOKUP(F1882,'RM Cost'!A:A,'RM Cost'!S:S)</f>
        <v>0</v>
      </c>
      <c r="AS1882" t="str">
        <f>_xlfn.XLOOKUP(A1882,[3]Sheet1!$B:$B,[3]Sheet1!$B:$B)</f>
        <v>553CCS</v>
      </c>
      <c r="AT1882" t="e">
        <f>_xlfn.XLOOKUP(H1882,'Yield &amp; Time'!A:A,'Yield &amp; Time'!F:F)</f>
        <v>#N/A</v>
      </c>
    </row>
    <row r="1883" spans="1:46" x14ac:dyDescent="0.25">
      <c r="A1883" s="2" t="s">
        <v>4811</v>
      </c>
      <c r="B1883" s="2" t="s">
        <v>552</v>
      </c>
      <c r="C1883" s="2" t="s">
        <v>290</v>
      </c>
      <c r="D1883" s="2" t="s">
        <v>554</v>
      </c>
      <c r="E1883" s="2">
        <v>4</v>
      </c>
      <c r="F1883" s="1" t="str">
        <f>VLOOKUP(H1883,'RM Used'!A:B,2,0)</f>
        <v>P0016</v>
      </c>
      <c r="G1883" s="1" t="str">
        <f>IFERROR(VLOOKUP(F1883,'RM Cost'!A:B,2,0),"")</f>
        <v>REY 40 30 BOX</v>
      </c>
      <c r="H1883" s="2" t="s">
        <v>1332</v>
      </c>
      <c r="I1883" s="1" t="str">
        <f>VLOOKUP(F1883,'RM Used'!B:D,3,0)</f>
        <v>RM-PACKING</v>
      </c>
      <c r="J1883" s="66">
        <v>1</v>
      </c>
      <c r="K1883" s="35" t="str">
        <f t="shared" si="711"/>
        <v/>
      </c>
      <c r="L1883" s="35">
        <f t="shared" si="712"/>
        <v>0</v>
      </c>
      <c r="M1883" s="77" t="str" cm="1">
        <f t="array" ref="M1883">_xlfn.IFS(BOM!I1883="RM-PACKING","100%",B1883="Reynolds",VLOOKUP(H1883,'Yield &amp; Time'!A:V,22,0),BOM!B1883="Dnata",VLOOKUP(BOM!H1883,'Yield &amp; Time'!A:M,13,0),B1883="NK",VLOOKUP(H1883,'Yield &amp; Time'!A:X,24,0))</f>
        <v>100%</v>
      </c>
      <c r="N1883" s="35">
        <f t="shared" si="713"/>
        <v>1</v>
      </c>
      <c r="O1883" s="1" t="str">
        <f>VLOOKUP(H1883,'RM Used'!A:E,5,0)</f>
        <v>Count</v>
      </c>
      <c r="P1883" s="11">
        <f>VLOOKUP(H1883,'RM Used'!A:F,6,0)</f>
        <v>0.28000000000000003</v>
      </c>
      <c r="Q1883" s="11">
        <f t="shared" si="714"/>
        <v>0.28000000000000003</v>
      </c>
      <c r="R1883" s="11">
        <f>IFERROR(IF(B1883="Reynolds",VLOOKUP(H1883,'Yield &amp; Time'!A:U,21,0),VLOOKUP(H1883,'Yield &amp; Time'!A:L,12,0)),0)</f>
        <v>0</v>
      </c>
      <c r="S1883" s="11">
        <f t="shared" si="715"/>
        <v>0</v>
      </c>
      <c r="T1883" s="11">
        <f t="shared" si="716"/>
        <v>0</v>
      </c>
      <c r="U1883" s="11">
        <f>IF(A1882=A1883,0,VLOOKUP(A1883,'Packing Time'!A:F,6,0))</f>
        <v>0</v>
      </c>
      <c r="V1883" s="11">
        <f t="shared" si="717"/>
        <v>0</v>
      </c>
      <c r="W1883" s="11">
        <f t="shared" si="718"/>
        <v>0</v>
      </c>
      <c r="X1883" s="11">
        <f t="shared" si="719"/>
        <v>0</v>
      </c>
      <c r="Y1883" s="11">
        <f t="shared" si="720"/>
        <v>0</v>
      </c>
      <c r="Z1883" s="37">
        <v>1</v>
      </c>
      <c r="AA1883" s="36">
        <f t="shared" si="721"/>
        <v>1</v>
      </c>
      <c r="AB1883" s="36">
        <f t="shared" si="722"/>
        <v>0.28000000000000003</v>
      </c>
      <c r="AC1883" s="11">
        <f t="shared" si="723"/>
        <v>0</v>
      </c>
      <c r="AD1883" s="36">
        <f t="shared" si="724"/>
        <v>0</v>
      </c>
      <c r="AE1883" s="36"/>
      <c r="AF1883" s="36">
        <f>IFERROR(VLOOKUP(AE1883,'Chemical Cost'!A:D,4,0),0)</f>
        <v>0</v>
      </c>
      <c r="AG1883" s="114">
        <f t="shared" si="725"/>
        <v>0</v>
      </c>
      <c r="AH1883" s="36">
        <f t="shared" si="726"/>
        <v>0</v>
      </c>
      <c r="AI1883" s="36">
        <f t="shared" si="727"/>
        <v>0.28000000000000003</v>
      </c>
      <c r="AJ1883" s="36">
        <f>IFERROR(VLOOKUP(A1883,'All Products'!A:F,6,0),0)</f>
        <v>0</v>
      </c>
      <c r="AK1883" s="36"/>
      <c r="AL1883" s="23">
        <v>0.85</v>
      </c>
      <c r="AM1883" s="23">
        <v>0.15</v>
      </c>
      <c r="AN1883" s="54" t="e">
        <v>#N/A</v>
      </c>
      <c r="AO1883" s="47"/>
      <c r="AP1883" s="4">
        <v>1.1000000000000001</v>
      </c>
      <c r="AQ1883" s="111">
        <f t="shared" si="728"/>
        <v>0</v>
      </c>
      <c r="AR1883">
        <f>_xlfn.XLOOKUP(F1883,'RM Cost'!A:A,'RM Cost'!S:S)</f>
        <v>0</v>
      </c>
      <c r="AS1883" t="str">
        <f>_xlfn.XLOOKUP(A1883,[3]Sheet1!$B:$B,[3]Sheet1!$B:$B)</f>
        <v>553CCS</v>
      </c>
      <c r="AT1883" t="e">
        <f>_xlfn.XLOOKUP(H1883,'Yield &amp; Time'!A:A,'Yield &amp; Time'!F:F)</f>
        <v>#N/A</v>
      </c>
    </row>
    <row r="1884" spans="1:46" x14ac:dyDescent="0.25">
      <c r="A1884" s="63" t="s">
        <v>4813</v>
      </c>
      <c r="B1884" s="2" t="s">
        <v>552</v>
      </c>
      <c r="C1884" s="63" t="s">
        <v>4812</v>
      </c>
      <c r="D1884" s="2" t="s">
        <v>554</v>
      </c>
      <c r="E1884" s="148">
        <v>10</v>
      </c>
      <c r="F1884" s="1" t="str">
        <f>VLOOKUP(H1884,'RM Used'!A:B,2,0)</f>
        <v>S3997CS</v>
      </c>
      <c r="G1884" s="1" t="str">
        <f>IFERROR(VLOOKUP(F1884,'RM Cost'!A:B,2,0),"")</f>
        <v>RM - DECORE WHITE CABBAGE 1/3 1200KG</v>
      </c>
      <c r="H1884" s="2" t="s">
        <v>1350</v>
      </c>
      <c r="I1884" s="1" t="str">
        <f>VLOOKUP(F1884,'RM Used'!B:D,3,0)</f>
        <v>RM-FOOD</v>
      </c>
      <c r="J1884" s="126">
        <v>0.56000000000000005</v>
      </c>
      <c r="K1884" s="150">
        <f t="shared" si="711"/>
        <v>5.6000000000000005</v>
      </c>
      <c r="L1884" s="35">
        <f t="shared" si="712"/>
        <v>5.6000000000000005</v>
      </c>
      <c r="M1884" s="77" cm="1">
        <f t="array" ref="M1884">_xlfn.IFS(BOM!I1884="RM-PACKING","100%",B1884="Reynolds",VLOOKUP(H1884,'Yield &amp; Time'!A:V,22,0),BOM!B1884="Dnata",VLOOKUP(BOM!H1884,'Yield &amp; Time'!A:M,13,0),B1884="NK",VLOOKUP(H1884,'Yield &amp; Time'!A:X,24,0))</f>
        <v>0.77222322232223217</v>
      </c>
      <c r="N1884" s="35">
        <f t="shared" si="713"/>
        <v>7.2517891694057868</v>
      </c>
      <c r="O1884" s="1" t="str">
        <f>VLOOKUP(H1884,'RM Used'!A:E,5,0)</f>
        <v>KG</v>
      </c>
      <c r="P1884" s="11">
        <f>VLOOKUP(H1884,'RM Used'!A:F,6,0)</f>
        <v>0.34</v>
      </c>
      <c r="Q1884" s="11">
        <f t="shared" si="714"/>
        <v>2.4656083175979675</v>
      </c>
      <c r="R1884" s="11">
        <f>IFERROR(IF(B1884="Reynolds",VLOOKUP(H1884,'Yield &amp; Time'!A:U,21,0),VLOOKUP(H1884,'Yield &amp; Time'!A:L,12,0)),0)</f>
        <v>0.82773480662983423</v>
      </c>
      <c r="S1884" s="11">
        <f t="shared" si="715"/>
        <v>1.5690540994475137</v>
      </c>
      <c r="T1884" s="11">
        <f t="shared" si="716"/>
        <v>7.7255248618784536E-2</v>
      </c>
      <c r="U1884" s="11">
        <f>IF(A1883=A1884,0,VLOOKUP(A1884,'Packing Time'!A:F,6,0))</f>
        <v>1.5</v>
      </c>
      <c r="V1884" s="11">
        <f t="shared" si="717"/>
        <v>0.50774999999999992</v>
      </c>
      <c r="W1884" s="11">
        <f t="shared" si="718"/>
        <v>2.5000000000000001E-2</v>
      </c>
      <c r="X1884" s="11">
        <f t="shared" si="719"/>
        <v>2.2844845093922657</v>
      </c>
      <c r="Y1884" s="11">
        <f t="shared" si="720"/>
        <v>2.2844845093922657</v>
      </c>
      <c r="Z1884" s="37">
        <v>1</v>
      </c>
      <c r="AA1884" s="36">
        <f t="shared" si="721"/>
        <v>7.2517891694057868</v>
      </c>
      <c r="AB1884" s="36">
        <f t="shared" si="722"/>
        <v>2.4656083175979675</v>
      </c>
      <c r="AC1884" s="11">
        <f t="shared" si="723"/>
        <v>0.11248077348066299</v>
      </c>
      <c r="AD1884" s="36">
        <f t="shared" si="724"/>
        <v>2.2844845093922652</v>
      </c>
      <c r="AE1884" s="36"/>
      <c r="AF1884" s="36">
        <f>IFERROR(VLOOKUP(AE1884,'Chemical Cost'!A:D,4,0),0)</f>
        <v>0</v>
      </c>
      <c r="AG1884" s="114">
        <f t="shared" si="725"/>
        <v>0</v>
      </c>
      <c r="AH1884" s="36">
        <f t="shared" si="726"/>
        <v>0</v>
      </c>
      <c r="AI1884" s="36">
        <f t="shared" si="727"/>
        <v>4.7500928269902332</v>
      </c>
      <c r="AJ1884" s="36">
        <f>IFERROR(VLOOKUP(A1884,'All Products'!A:F,6,0),0)</f>
        <v>0</v>
      </c>
      <c r="AK1884" s="36"/>
      <c r="AL1884" s="23">
        <v>0.85</v>
      </c>
      <c r="AM1884" s="23">
        <v>0.15</v>
      </c>
      <c r="AN1884" s="54" t="e">
        <v>#N/A</v>
      </c>
      <c r="AO1884" s="47"/>
      <c r="AP1884" s="4">
        <v>1.1000000000000001</v>
      </c>
      <c r="AQ1884" s="111">
        <f t="shared" si="728"/>
        <v>0.11248077348066299</v>
      </c>
      <c r="AR1884">
        <f>_xlfn.XLOOKUP(F1884,'RM Cost'!A:A,'RM Cost'!S:S)</f>
        <v>0.29914853989077506</v>
      </c>
      <c r="AS1884" t="str">
        <f>_xlfn.XLOOKUP(A1884,[3]Sheet1!$B:$B,[3]Sheet1!$B:$B)</f>
        <v>DC0133</v>
      </c>
      <c r="AT1884" t="str">
        <f>_xlfn.XLOOKUP(H1884,'Yield &amp; Time'!A:A,'Yield &amp; Time'!O:O)</f>
        <v>Yes</v>
      </c>
    </row>
    <row r="1885" spans="1:46" x14ac:dyDescent="0.25">
      <c r="A1885" s="63" t="s">
        <v>4813</v>
      </c>
      <c r="B1885" s="2" t="s">
        <v>552</v>
      </c>
      <c r="C1885" s="63" t="s">
        <v>4812</v>
      </c>
      <c r="D1885" s="2" t="s">
        <v>554</v>
      </c>
      <c r="E1885" s="148">
        <v>10</v>
      </c>
      <c r="F1885" s="1" t="str">
        <f>VLOOKUP(H1885,'RM Used'!A:B,2,0)</f>
        <v>032ACS</v>
      </c>
      <c r="G1885" s="1" t="str">
        <f>IFERROR(VLOOKUP(F1885,'RM Cost'!A:B,2,0),"")</f>
        <v>RM - LRG PROCESSING CARROT X 1000KG</v>
      </c>
      <c r="H1885" s="2" t="s">
        <v>1351</v>
      </c>
      <c r="I1885" s="1" t="str">
        <f>VLOOKUP(F1885,'RM Used'!B:D,3,0)</f>
        <v>RM-FOOD</v>
      </c>
      <c r="J1885" s="126">
        <v>0.32</v>
      </c>
      <c r="K1885" s="150">
        <f t="shared" si="711"/>
        <v>3.2</v>
      </c>
      <c r="L1885" s="35">
        <f t="shared" si="712"/>
        <v>3.2</v>
      </c>
      <c r="M1885" s="77" cm="1">
        <f t="array" ref="M1885">_xlfn.IFS(BOM!I1885="RM-PACKING","100%",B1885="Reynolds",VLOOKUP(H1885,'Yield &amp; Time'!A:V,22,0),BOM!B1885="Dnata",VLOOKUP(BOM!H1885,'Yield &amp; Time'!A:M,13,0),B1885="NK",VLOOKUP(H1885,'Yield &amp; Time'!A:X,24,0))</f>
        <v>0.75330000000000008</v>
      </c>
      <c r="N1885" s="35">
        <f t="shared" si="713"/>
        <v>4.2479755741404484</v>
      </c>
      <c r="O1885" s="1" t="str">
        <f>VLOOKUP(H1885,'RM Used'!A:E,5,0)</f>
        <v>KG</v>
      </c>
      <c r="P1885" s="11">
        <f>VLOOKUP(H1885,'RM Used'!A:F,6,0)</f>
        <v>0.38</v>
      </c>
      <c r="Q1885" s="11">
        <f t="shared" si="714"/>
        <v>1.6142307181733704</v>
      </c>
      <c r="R1885" s="11">
        <f>IFERROR(IF(B1885="Reynolds",VLOOKUP(H1885,'Yield &amp; Time'!A:U,21,0),VLOOKUP(H1885,'Yield &amp; Time'!A:L,12,0)),0)</f>
        <v>0.90531914893617027</v>
      </c>
      <c r="S1885" s="11">
        <f t="shared" si="715"/>
        <v>0.98064170212765955</v>
      </c>
      <c r="T1885" s="11">
        <f t="shared" si="716"/>
        <v>4.8283687943262418E-2</v>
      </c>
      <c r="U1885" s="11">
        <f>IF(A1884=A1885,0,VLOOKUP(A1885,'Packing Time'!A:F,6,0))</f>
        <v>0</v>
      </c>
      <c r="V1885" s="11">
        <f t="shared" si="717"/>
        <v>0</v>
      </c>
      <c r="W1885" s="11">
        <f t="shared" si="718"/>
        <v>0</v>
      </c>
      <c r="X1885" s="11">
        <f t="shared" si="719"/>
        <v>1.0787058723404257</v>
      </c>
      <c r="Y1885" s="11">
        <f t="shared" si="720"/>
        <v>1.0787058723404257</v>
      </c>
      <c r="Z1885" s="37">
        <v>1</v>
      </c>
      <c r="AA1885" s="36">
        <f t="shared" si="721"/>
        <v>4.2479755741404484</v>
      </c>
      <c r="AB1885" s="36">
        <f t="shared" si="722"/>
        <v>1.6142307181733704</v>
      </c>
      <c r="AC1885" s="11">
        <f t="shared" si="723"/>
        <v>5.3112056737588662E-2</v>
      </c>
      <c r="AD1885" s="36">
        <f t="shared" si="724"/>
        <v>1.0787058723404257</v>
      </c>
      <c r="AE1885" s="36"/>
      <c r="AF1885" s="36">
        <f>IFERROR(VLOOKUP(AE1885,'Chemical Cost'!A:D,4,0),0)</f>
        <v>0</v>
      </c>
      <c r="AG1885" s="114">
        <f t="shared" si="725"/>
        <v>0</v>
      </c>
      <c r="AH1885" s="36">
        <f t="shared" si="726"/>
        <v>0</v>
      </c>
      <c r="AI1885" s="36">
        <f t="shared" si="727"/>
        <v>2.6929365905137961</v>
      </c>
      <c r="AJ1885" s="36">
        <f>IFERROR(VLOOKUP(A1885,'All Products'!A:F,6,0),0)</f>
        <v>0</v>
      </c>
      <c r="AK1885" s="36"/>
      <c r="AL1885" s="23">
        <v>0.85</v>
      </c>
      <c r="AM1885" s="23">
        <v>0.15</v>
      </c>
      <c r="AN1885" s="54" t="e">
        <v>#N/A</v>
      </c>
      <c r="AO1885" s="47"/>
      <c r="AP1885" s="4">
        <v>1.1000000000000001</v>
      </c>
      <c r="AQ1885" s="111">
        <f t="shared" si="728"/>
        <v>5.3112056737588662E-2</v>
      </c>
      <c r="AR1885">
        <f>_xlfn.XLOOKUP(F1885,'RM Cost'!A:A,'RM Cost'!S:S)</f>
        <v>0</v>
      </c>
      <c r="AS1885" t="str">
        <f>_xlfn.XLOOKUP(A1885,[3]Sheet1!$B:$B,[3]Sheet1!$B:$B)</f>
        <v>DC0133</v>
      </c>
      <c r="AT1885" t="str">
        <f>_xlfn.XLOOKUP(H1885,'Yield &amp; Time'!A:A,'Yield &amp; Time'!O:O)</f>
        <v>Yes</v>
      </c>
    </row>
    <row r="1886" spans="1:46" x14ac:dyDescent="0.25">
      <c r="A1886" s="63" t="s">
        <v>4813</v>
      </c>
      <c r="B1886" s="2" t="s">
        <v>552</v>
      </c>
      <c r="C1886" s="63" t="s">
        <v>4812</v>
      </c>
      <c r="D1886" s="2" t="s">
        <v>554</v>
      </c>
      <c r="E1886" s="148">
        <v>10</v>
      </c>
      <c r="F1886" s="1" t="str">
        <f>VLOOKUP(H1886,'RM Used'!A:B,2,0)</f>
        <v>S3998CS</v>
      </c>
      <c r="G1886" s="1" t="str">
        <f>IFERROR(VLOOKUP(F1886,'RM Cost'!A:B,2,0),"")</f>
        <v>RM - DECORED RED CABBAGE 1/3 1200KG</v>
      </c>
      <c r="H1886" s="2" t="s">
        <v>1349</v>
      </c>
      <c r="I1886" s="1" t="str">
        <f>VLOOKUP(F1886,'RM Used'!B:D,3,0)</f>
        <v>RM-FOOD</v>
      </c>
      <c r="J1886" s="126">
        <v>0.06</v>
      </c>
      <c r="K1886" s="150">
        <f t="shared" si="711"/>
        <v>0.6</v>
      </c>
      <c r="L1886" s="35">
        <f t="shared" si="712"/>
        <v>0.6</v>
      </c>
      <c r="M1886" s="77" cm="1">
        <f t="array" ref="M1886">_xlfn.IFS(BOM!I1886="RM-PACKING","100%",B1886="Reynolds",VLOOKUP(H1886,'Yield &amp; Time'!A:V,22,0),BOM!B1886="Dnata",VLOOKUP(BOM!H1886,'Yield &amp; Time'!A:M,13,0),B1886="NK",VLOOKUP(H1886,'Yield &amp; Time'!A:X,24,0))</f>
        <v>0.75138040345821322</v>
      </c>
      <c r="N1886" s="35">
        <f t="shared" si="713"/>
        <v>0.79853027472970017</v>
      </c>
      <c r="O1886" s="1" t="str">
        <f>VLOOKUP(H1886,'RM Used'!A:E,5,0)</f>
        <v>KG</v>
      </c>
      <c r="P1886" s="11">
        <f>VLOOKUP(H1886,'RM Used'!A:F,6,0)</f>
        <v>0.38</v>
      </c>
      <c r="Q1886" s="11">
        <f t="shared" si="714"/>
        <v>0.30344150439728607</v>
      </c>
      <c r="R1886" s="11">
        <f>IFERROR(IF(B1886="Reynolds",VLOOKUP(H1886,'Yield &amp; Time'!A:U,21,0),VLOOKUP(H1886,'Yield &amp; Time'!A:L,12,0)),0)</f>
        <v>0.76261570798735501</v>
      </c>
      <c r="S1886" s="11">
        <f t="shared" si="715"/>
        <v>0.1548872502922318</v>
      </c>
      <c r="T1886" s="11">
        <f t="shared" si="716"/>
        <v>7.6261570798735502E-3</v>
      </c>
      <c r="U1886" s="11">
        <f>IF(A1885=A1886,0,VLOOKUP(A1886,'Packing Time'!A:F,6,0))</f>
        <v>0</v>
      </c>
      <c r="V1886" s="11">
        <f t="shared" si="717"/>
        <v>0</v>
      </c>
      <c r="W1886" s="11">
        <f t="shared" si="718"/>
        <v>0</v>
      </c>
      <c r="X1886" s="11">
        <f t="shared" si="719"/>
        <v>0.17037597532145499</v>
      </c>
      <c r="Y1886" s="11">
        <f t="shared" si="720"/>
        <v>0.17037597532145499</v>
      </c>
      <c r="Z1886" s="37">
        <v>1</v>
      </c>
      <c r="AA1886" s="36">
        <f t="shared" si="721"/>
        <v>0.79853027472970017</v>
      </c>
      <c r="AB1886" s="36">
        <f t="shared" si="722"/>
        <v>0.30344150439728607</v>
      </c>
      <c r="AC1886" s="11">
        <f t="shared" si="723"/>
        <v>8.3887727878609059E-3</v>
      </c>
      <c r="AD1886" s="36">
        <f t="shared" si="724"/>
        <v>0.17037597532145499</v>
      </c>
      <c r="AE1886" s="36"/>
      <c r="AF1886" s="36">
        <f>IFERROR(VLOOKUP(AE1886,'Chemical Cost'!A:D,4,0),0)</f>
        <v>0</v>
      </c>
      <c r="AG1886" s="114">
        <f t="shared" si="725"/>
        <v>0</v>
      </c>
      <c r="AH1886" s="36">
        <f t="shared" si="726"/>
        <v>0</v>
      </c>
      <c r="AI1886" s="36">
        <f t="shared" si="727"/>
        <v>0.47381747971874105</v>
      </c>
      <c r="AJ1886" s="36">
        <f>IFERROR(VLOOKUP(A1886,'All Products'!A:F,6,0),0)</f>
        <v>0</v>
      </c>
      <c r="AK1886" s="36"/>
      <c r="AL1886" s="23">
        <v>0.85</v>
      </c>
      <c r="AM1886" s="23">
        <v>0.15</v>
      </c>
      <c r="AN1886" s="54" t="e">
        <v>#N/A</v>
      </c>
      <c r="AO1886" s="47"/>
      <c r="AP1886" s="4">
        <v>1.1000000000000001</v>
      </c>
      <c r="AQ1886" s="111">
        <f t="shared" si="728"/>
        <v>8.3887727878609059E-3</v>
      </c>
      <c r="AR1886">
        <f>_xlfn.XLOOKUP(F1886,'RM Cost'!A:A,'RM Cost'!S:S)</f>
        <v>0.29914853989077506</v>
      </c>
      <c r="AS1886" t="str">
        <f>_xlfn.XLOOKUP(A1886,[3]Sheet1!$B:$B,[3]Sheet1!$B:$B)</f>
        <v>DC0133</v>
      </c>
      <c r="AT1886" t="str">
        <f>_xlfn.XLOOKUP(H1886,'Yield &amp; Time'!A:A,'Yield &amp; Time'!O:O)</f>
        <v>Yes</v>
      </c>
    </row>
    <row r="1887" spans="1:46" x14ac:dyDescent="0.25">
      <c r="A1887" s="63" t="s">
        <v>4813</v>
      </c>
      <c r="B1887" s="2" t="s">
        <v>552</v>
      </c>
      <c r="C1887" s="63" t="s">
        <v>4812</v>
      </c>
      <c r="D1887" s="2" t="s">
        <v>554</v>
      </c>
      <c r="E1887" s="148">
        <v>10</v>
      </c>
      <c r="F1887" s="1" t="str">
        <f>VLOOKUP(H1887,'RM Used'!A:B,2,0)</f>
        <v>206ACS</v>
      </c>
      <c r="G1887" s="1" t="str">
        <f>IFERROR(VLOOKUP(F1887,'RM Cost'!A:B,2,0),"")</f>
        <v>RM - PREP ONION WHOLE 10KG</v>
      </c>
      <c r="H1887" s="94" t="s">
        <v>1422</v>
      </c>
      <c r="I1887" s="1" t="str">
        <f>VLOOKUP(F1887,'RM Used'!B:D,3,0)</f>
        <v>RM-FOOD</v>
      </c>
      <c r="J1887" s="126">
        <v>0.06</v>
      </c>
      <c r="K1887" s="150">
        <f t="shared" si="711"/>
        <v>0.6</v>
      </c>
      <c r="L1887" s="35">
        <f t="shared" si="712"/>
        <v>0.6</v>
      </c>
      <c r="M1887" s="77" cm="1">
        <f t="array" ref="M1887">_xlfn.IFS(BOM!I1887="RM-PACKING","100%",B1887="Reynolds",VLOOKUP(H1887,'Yield &amp; Time'!A:V,22,0),BOM!B1887="Dnata",VLOOKUP(BOM!H1887,'Yield &amp; Time'!A:M,13,0),B1887="NK",VLOOKUP(H1887,'Yield &amp; Time'!A:X,24,0))</f>
        <v>0.85575816127528304</v>
      </c>
      <c r="N1887" s="35">
        <f t="shared" si="713"/>
        <v>0.70113266475409053</v>
      </c>
      <c r="O1887" s="1" t="str">
        <f>VLOOKUP(H1887,'RM Used'!A:E,5,0)</f>
        <v>KG</v>
      </c>
      <c r="P1887" s="11">
        <f>VLOOKUP(H1887,'RM Used'!A:F,6,0)</f>
        <v>0.87</v>
      </c>
      <c r="Q1887" s="11">
        <f t="shared" si="714"/>
        <v>0.60998541833605879</v>
      </c>
      <c r="R1887" s="11">
        <f>IFERROR(IF(B1887="Reynolds",VLOOKUP(H1887,'Yield &amp; Time'!A:U,21,0),VLOOKUP(H1887,'Yield &amp; Time'!A:L,12,0)),0)</f>
        <v>0.76797752808988762</v>
      </c>
      <c r="S1887" s="11">
        <f t="shared" si="715"/>
        <v>0.15597623595505616</v>
      </c>
      <c r="T1887" s="11">
        <f t="shared" si="716"/>
        <v>7.679775280898876E-3</v>
      </c>
      <c r="U1887" s="11">
        <f>IF(A1886=A1887,0,VLOOKUP(A1887,'Packing Time'!A:F,6,0))</f>
        <v>0</v>
      </c>
      <c r="V1887" s="11">
        <f t="shared" si="717"/>
        <v>0</v>
      </c>
      <c r="W1887" s="11">
        <f t="shared" si="718"/>
        <v>0</v>
      </c>
      <c r="X1887" s="11">
        <f t="shared" si="719"/>
        <v>0.17157385955056179</v>
      </c>
      <c r="Y1887" s="11">
        <f t="shared" si="720"/>
        <v>0.17157385955056179</v>
      </c>
      <c r="Z1887" s="37">
        <v>1</v>
      </c>
      <c r="AA1887" s="36">
        <f t="shared" si="721"/>
        <v>0.70113266475409053</v>
      </c>
      <c r="AB1887" s="36">
        <f t="shared" si="722"/>
        <v>0.60998541833605879</v>
      </c>
      <c r="AC1887" s="11">
        <f t="shared" si="723"/>
        <v>8.4477528089887642E-3</v>
      </c>
      <c r="AD1887" s="36">
        <f t="shared" si="724"/>
        <v>0.17157385955056179</v>
      </c>
      <c r="AE1887" s="36"/>
      <c r="AF1887" s="36">
        <f>IFERROR(VLOOKUP(AE1887,'Chemical Cost'!A:D,4,0),0)</f>
        <v>0</v>
      </c>
      <c r="AG1887" s="114">
        <f t="shared" si="725"/>
        <v>0</v>
      </c>
      <c r="AH1887" s="36">
        <f t="shared" si="726"/>
        <v>0</v>
      </c>
      <c r="AI1887" s="36">
        <f t="shared" si="727"/>
        <v>0.78155927788662061</v>
      </c>
      <c r="AJ1887" s="36">
        <f>IFERROR(VLOOKUP(A1887,'All Products'!A:F,6,0),0)</f>
        <v>0</v>
      </c>
      <c r="AK1887" s="36"/>
      <c r="AL1887" s="23">
        <v>0.85</v>
      </c>
      <c r="AM1887" s="23">
        <v>0.15</v>
      </c>
      <c r="AN1887" s="54" t="e">
        <v>#N/A</v>
      </c>
      <c r="AO1887" s="47"/>
      <c r="AP1887" s="4">
        <v>1.1000000000000001</v>
      </c>
      <c r="AQ1887" s="111">
        <f t="shared" si="728"/>
        <v>8.4477528089887642E-3</v>
      </c>
      <c r="AR1887">
        <f>_xlfn.XLOOKUP(F1887,'RM Cost'!A:A,'RM Cost'!S:S)</f>
        <v>0</v>
      </c>
      <c r="AS1887" t="str">
        <f>_xlfn.XLOOKUP(A1887,[3]Sheet1!$B:$B,[3]Sheet1!$B:$B)</f>
        <v>DC0133</v>
      </c>
      <c r="AT1887" t="str">
        <f>_xlfn.XLOOKUP(H1887,'Yield &amp; Time'!A:A,'Yield &amp; Time'!O:O)</f>
        <v>Yes</v>
      </c>
    </row>
    <row r="1888" spans="1:46" x14ac:dyDescent="0.25">
      <c r="A1888" s="63" t="s">
        <v>4813</v>
      </c>
      <c r="B1888" s="2" t="s">
        <v>552</v>
      </c>
      <c r="C1888" s="63" t="s">
        <v>4812</v>
      </c>
      <c r="D1888" s="2" t="s">
        <v>554</v>
      </c>
      <c r="E1888" s="148">
        <v>10</v>
      </c>
      <c r="F1888" s="1" t="str">
        <f>VLOOKUP(H1888,'RM Used'!A:B,2,0)</f>
        <v>P0008</v>
      </c>
      <c r="G1888" s="1" t="str">
        <f>IFERROR(VLOOKUP(F1888,'RM Cost'!A:B,2,0),"")</f>
        <v>PALE BLUE BAG 470X750MM</v>
      </c>
      <c r="H1888" s="1" t="s">
        <v>1323</v>
      </c>
      <c r="I1888" s="1" t="str">
        <f>VLOOKUP(F1888,'RM Used'!B:D,3,0)</f>
        <v>RM-PACKING</v>
      </c>
      <c r="J1888" s="66">
        <v>1</v>
      </c>
      <c r="K1888" s="150" t="str">
        <f t="shared" si="711"/>
        <v/>
      </c>
      <c r="L1888" s="35">
        <f t="shared" si="712"/>
        <v>0</v>
      </c>
      <c r="M1888" s="77" t="str" cm="1">
        <f t="array" ref="M1888">_xlfn.IFS(BOM!I1888="RM-PACKING","100%",B1888="Reynolds",VLOOKUP(H1888,'Yield &amp; Time'!A:V,22,0),BOM!B1888="Dnata",VLOOKUP(BOM!H1888,'Yield &amp; Time'!A:M,13,0),B1888="NK",VLOOKUP(H1888,'Yield &amp; Time'!A:X,24,0))</f>
        <v>100%</v>
      </c>
      <c r="N1888" s="35">
        <f t="shared" si="713"/>
        <v>1</v>
      </c>
      <c r="O1888" s="1" t="str">
        <f>VLOOKUP(H1888,'RM Used'!A:E,5,0)</f>
        <v>Count</v>
      </c>
      <c r="P1888" s="11">
        <f>VLOOKUP(H1888,'RM Used'!A:F,6,0)</f>
        <v>0.14000000000000001</v>
      </c>
      <c r="Q1888" s="11">
        <f t="shared" si="714"/>
        <v>0.14000000000000001</v>
      </c>
      <c r="R1888" s="11">
        <f>IFERROR(IF(B1888="Reynolds",VLOOKUP(H1888,'Yield &amp; Time'!A:U,21,0),VLOOKUP(H1888,'Yield &amp; Time'!A:L,12,0)),0)</f>
        <v>0</v>
      </c>
      <c r="S1888" s="11">
        <f t="shared" si="715"/>
        <v>0</v>
      </c>
      <c r="T1888" s="11">
        <f t="shared" si="716"/>
        <v>0</v>
      </c>
      <c r="U1888" s="11">
        <f>IF(A1887=A1888,0,VLOOKUP(A1888,'Packing Time'!A:F,6,0))</f>
        <v>0</v>
      </c>
      <c r="V1888" s="11">
        <f t="shared" si="717"/>
        <v>0</v>
      </c>
      <c r="W1888" s="11">
        <f t="shared" si="718"/>
        <v>0</v>
      </c>
      <c r="X1888" s="11">
        <f t="shared" si="719"/>
        <v>0</v>
      </c>
      <c r="Y1888" s="11">
        <f t="shared" si="720"/>
        <v>0</v>
      </c>
      <c r="Z1888" s="37">
        <v>1</v>
      </c>
      <c r="AA1888" s="36">
        <f t="shared" si="721"/>
        <v>1</v>
      </c>
      <c r="AB1888" s="36">
        <f t="shared" si="722"/>
        <v>0.14000000000000001</v>
      </c>
      <c r="AC1888" s="11">
        <f t="shared" si="723"/>
        <v>0</v>
      </c>
      <c r="AD1888" s="36">
        <f t="shared" si="724"/>
        <v>0</v>
      </c>
      <c r="AE1888" s="36"/>
      <c r="AF1888" s="36">
        <f>IFERROR(VLOOKUP(AE1888,'Chemical Cost'!A:D,4,0),0)</f>
        <v>0</v>
      </c>
      <c r="AG1888" s="114">
        <f t="shared" si="725"/>
        <v>0</v>
      </c>
      <c r="AH1888" s="36">
        <f t="shared" si="726"/>
        <v>0</v>
      </c>
      <c r="AI1888" s="36">
        <f t="shared" si="727"/>
        <v>0.14000000000000001</v>
      </c>
      <c r="AJ1888" s="36">
        <f>IFERROR(VLOOKUP(A1888,'All Products'!A:F,6,0),0)</f>
        <v>0</v>
      </c>
      <c r="AK1888" s="36"/>
      <c r="AL1888" s="23">
        <v>0.85</v>
      </c>
      <c r="AM1888" s="23">
        <v>0.15</v>
      </c>
      <c r="AN1888" s="54" t="e">
        <v>#N/A</v>
      </c>
      <c r="AO1888" s="47"/>
      <c r="AP1888" s="4">
        <v>1.1000000000000001</v>
      </c>
      <c r="AQ1888" s="111">
        <f t="shared" si="728"/>
        <v>0</v>
      </c>
      <c r="AR1888">
        <f>_xlfn.XLOOKUP(F1888,'RM Cost'!A:A,'RM Cost'!S:S)</f>
        <v>0</v>
      </c>
      <c r="AS1888" t="str">
        <f>_xlfn.XLOOKUP(A1888,[3]Sheet1!$B:$B,[3]Sheet1!$B:$B)</f>
        <v>DC0133</v>
      </c>
      <c r="AT1888" t="e">
        <f>_xlfn.XLOOKUP(H1888,'Yield &amp; Time'!A:A,'Yield &amp; Time'!F:F)</f>
        <v>#N/A</v>
      </c>
    </row>
    <row r="1889" spans="1:46" x14ac:dyDescent="0.25">
      <c r="A1889" s="63" t="s">
        <v>4813</v>
      </c>
      <c r="B1889" s="2" t="s">
        <v>552</v>
      </c>
      <c r="C1889" s="63" t="s">
        <v>4812</v>
      </c>
      <c r="D1889" s="2" t="s">
        <v>554</v>
      </c>
      <c r="E1889" s="148">
        <v>10</v>
      </c>
      <c r="F1889" s="1" t="str">
        <f>VLOOKUP(H1889,'RM Used'!A:B,2,0)</f>
        <v>P0008</v>
      </c>
      <c r="G1889" s="1" t="str">
        <f>IFERROR(VLOOKUP(F1889,'RM Cost'!A:B,2,0),"")</f>
        <v>PALE BLUE BAG 470X750MM</v>
      </c>
      <c r="H1889" s="1" t="s">
        <v>1323</v>
      </c>
      <c r="I1889" s="1" t="str">
        <f>VLOOKUP(F1889,'RM Used'!B:D,3,0)</f>
        <v>RM-PACKING</v>
      </c>
      <c r="J1889" s="66">
        <v>1</v>
      </c>
      <c r="K1889" s="150" t="str">
        <f>IF(I1889="RM-FOOD",J1889*E1889,"")</f>
        <v/>
      </c>
      <c r="L1889" s="35">
        <f t="shared" si="712"/>
        <v>0</v>
      </c>
      <c r="M1889" s="77" t="str" cm="1">
        <f t="array" ref="M1889">_xlfn.IFS(BOM!I1889="RM-PACKING","100%",B1889="Reynolds",VLOOKUP(H1889,'Yield &amp; Time'!A:V,22,0),BOM!B1889="Dnata",VLOOKUP(BOM!H1889,'Yield &amp; Time'!A:M,13,0),B1889="NK",VLOOKUP(H1889,'Yield &amp; Time'!A:X,24,0))</f>
        <v>100%</v>
      </c>
      <c r="N1889" s="35">
        <f t="shared" si="713"/>
        <v>1</v>
      </c>
      <c r="O1889" s="1" t="str">
        <f>VLOOKUP(H1889,'RM Used'!A:E,5,0)</f>
        <v>Count</v>
      </c>
      <c r="P1889" s="11">
        <f>VLOOKUP(H1889,'RM Used'!A:F,6,0)</f>
        <v>0.14000000000000001</v>
      </c>
      <c r="Q1889" s="11">
        <f t="shared" si="714"/>
        <v>0.14000000000000001</v>
      </c>
      <c r="R1889" s="11">
        <f>IFERROR(IF(B1889="Reynolds",VLOOKUP(H1889,'Yield &amp; Time'!A:U,21,0),VLOOKUP(H1889,'Yield &amp; Time'!A:L,12,0)),0)</f>
        <v>0</v>
      </c>
      <c r="S1889" s="11">
        <f t="shared" si="715"/>
        <v>0</v>
      </c>
      <c r="T1889" s="11">
        <f t="shared" si="716"/>
        <v>0</v>
      </c>
      <c r="U1889" s="11">
        <f>IF(A1888=A1889,0,VLOOKUP(A1889,'Packing Time'!A:F,6,0))</f>
        <v>0</v>
      </c>
      <c r="V1889" s="11">
        <f t="shared" si="717"/>
        <v>0</v>
      </c>
      <c r="W1889" s="11">
        <f t="shared" si="718"/>
        <v>0</v>
      </c>
      <c r="X1889" s="11">
        <f t="shared" si="719"/>
        <v>0</v>
      </c>
      <c r="Y1889" s="11">
        <f t="shared" si="720"/>
        <v>0</v>
      </c>
      <c r="Z1889" s="37">
        <v>1</v>
      </c>
      <c r="AA1889" s="36">
        <f t="shared" si="721"/>
        <v>1</v>
      </c>
      <c r="AB1889" s="36">
        <f t="shared" si="722"/>
        <v>0.14000000000000001</v>
      </c>
      <c r="AC1889" s="11">
        <f t="shared" si="723"/>
        <v>0</v>
      </c>
      <c r="AD1889" s="36">
        <f t="shared" si="724"/>
        <v>0</v>
      </c>
      <c r="AE1889" s="36"/>
      <c r="AF1889" s="36">
        <f>IFERROR(VLOOKUP(AE1889,'Chemical Cost'!A:D,4,0),0)</f>
        <v>0</v>
      </c>
      <c r="AG1889" s="114">
        <f t="shared" si="725"/>
        <v>0</v>
      </c>
      <c r="AH1889" s="36">
        <f t="shared" si="726"/>
        <v>0</v>
      </c>
      <c r="AI1889" s="36">
        <f t="shared" si="727"/>
        <v>0.14000000000000001</v>
      </c>
      <c r="AJ1889" s="36">
        <f>IFERROR(VLOOKUP(A1889,'All Products'!A:F,6,0),0)</f>
        <v>0</v>
      </c>
      <c r="AK1889" s="36"/>
      <c r="AL1889" s="23">
        <v>0.85</v>
      </c>
      <c r="AM1889" s="23">
        <v>0.15</v>
      </c>
      <c r="AN1889" s="54" t="e">
        <v>#N/A</v>
      </c>
      <c r="AO1889" s="47"/>
      <c r="AP1889" s="4">
        <v>1.1000000000000001</v>
      </c>
      <c r="AQ1889" s="111">
        <f t="shared" si="728"/>
        <v>0</v>
      </c>
      <c r="AR1889">
        <f>_xlfn.XLOOKUP(F1889,'RM Cost'!A:A,'RM Cost'!S:S)</f>
        <v>0</v>
      </c>
      <c r="AS1889" t="str">
        <f>_xlfn.XLOOKUP(A1889,[3]Sheet1!$B:$B,[3]Sheet1!$B:$B)</f>
        <v>DC0133</v>
      </c>
      <c r="AT1889" t="e">
        <f>_xlfn.XLOOKUP(H1889,'Yield &amp; Time'!A:A,'Yield &amp; Time'!F:F)</f>
        <v>#N/A</v>
      </c>
    </row>
    <row r="1890" spans="1:46" x14ac:dyDescent="0.25">
      <c r="A1890" s="63" t="s">
        <v>4816</v>
      </c>
      <c r="B1890" s="2" t="s">
        <v>552</v>
      </c>
      <c r="C1890" s="63" t="s">
        <v>4817</v>
      </c>
      <c r="D1890" s="2" t="s">
        <v>554</v>
      </c>
      <c r="E1890" s="148">
        <v>3</v>
      </c>
      <c r="F1890" s="1" t="str">
        <f>VLOOKUP(H1890,'RM Used'!A:B,2,0)</f>
        <v>032ACS</v>
      </c>
      <c r="G1890" s="1" t="str">
        <f>IFERROR(VLOOKUP(F1890,'RM Cost'!A:B,2,0),"")</f>
        <v>RM - LRG PROCESSING CARROT X 1000KG</v>
      </c>
      <c r="H1890" t="s">
        <v>1351</v>
      </c>
      <c r="I1890" s="1" t="str">
        <f>VLOOKUP(F1890,'RM Used'!B:D,3,0)</f>
        <v>RM-FOOD</v>
      </c>
      <c r="J1890" s="66">
        <v>0.2</v>
      </c>
      <c r="K1890" s="150">
        <f t="shared" ref="K1890:K1897" si="729">IF(I1890="RM-FOOD",J1890*E1890,"")</f>
        <v>0.60000000000000009</v>
      </c>
      <c r="L1890" s="35">
        <f t="shared" ref="L1890:L1897" si="730">IFERROR(K1890*Z1890,0)</f>
        <v>0.60000000000000009</v>
      </c>
      <c r="M1890" s="77" cm="1">
        <f t="array" ref="M1890">_xlfn.IFS(BOM!I1890="RM-PACKING","100%",B1890="Reynolds",VLOOKUP(H1890,'Yield &amp; Time'!A:V,22,0),BOM!B1890="Dnata",VLOOKUP(BOM!H1890,'Yield &amp; Time'!A:M,13,0),B1890="NK",VLOOKUP(H1890,'Yield &amp; Time'!A:X,24,0))</f>
        <v>0.75330000000000008</v>
      </c>
      <c r="N1890" s="35">
        <f t="shared" ref="N1890:N1897" si="731">IFERROR(IF(I1890="RM-FOOD",(E1890*J1890)/M1890,1),0)</f>
        <v>0.79649542015133412</v>
      </c>
      <c r="O1890" s="1" t="str">
        <f>VLOOKUP(H1890,'RM Used'!A:E,5,0)</f>
        <v>KG</v>
      </c>
      <c r="P1890" s="11">
        <f>VLOOKUP(H1890,'RM Used'!A:F,6,0)</f>
        <v>0.38</v>
      </c>
      <c r="Q1890" s="11">
        <f t="shared" ref="Q1890:Q1897" si="732">P1890*N1890</f>
        <v>0.30266825965750699</v>
      </c>
      <c r="R1890" s="11">
        <f>IFERROR(IF(B1890="Reynolds",VLOOKUP(H1890,'Yield &amp; Time'!A:U,21,0),VLOOKUP(H1890,'Yield &amp; Time'!A:L,12,0)),0)</f>
        <v>0.90531914893617027</v>
      </c>
      <c r="S1890" s="11">
        <f t="shared" ref="S1890:S1897" si="733">R1890*J1890*E1890*AO$1</f>
        <v>0.1838703191489362</v>
      </c>
      <c r="T1890" s="11">
        <f t="shared" ref="T1890:T1897" si="734">(R1890*Z1890*J1890*E1890)/60</f>
        <v>9.0531914893617043E-3</v>
      </c>
      <c r="U1890" s="11">
        <f>IF(A1889=A1890,0,VLOOKUP(A1890,'Packing Time'!A:F,6,0))</f>
        <v>2.4</v>
      </c>
      <c r="V1890" s="11">
        <f t="shared" ref="V1890:V1897" si="735">U1890*AO$1</f>
        <v>0.8123999999999999</v>
      </c>
      <c r="W1890" s="11">
        <f t="shared" ref="W1890:W1897" si="736">(U1890*Z1890)/60</f>
        <v>0.04</v>
      </c>
      <c r="X1890" s="11">
        <f t="shared" ref="X1890:X1897" si="737">((R1890*J1890*E1890)+U1890)*AO$1*AP1890</f>
        <v>1.0958973510638297</v>
      </c>
      <c r="Y1890" s="11">
        <f t="shared" ref="Y1890:Y1897" si="738">X1890*Z1890</f>
        <v>1.0958973510638297</v>
      </c>
      <c r="Z1890" s="37">
        <v>1</v>
      </c>
      <c r="AA1890" s="36">
        <f t="shared" ref="AA1890:AA1897" si="739">Z1890*N1890</f>
        <v>0.79649542015133412</v>
      </c>
      <c r="AB1890" s="36">
        <f t="shared" ref="AB1890:AB1897" si="740">AA1890*P1890</f>
        <v>0.30266825965750699</v>
      </c>
      <c r="AC1890" s="11">
        <f t="shared" ref="AC1890:AC1897" si="741">(((R1890*J1890*E1890)+U1890)/60)*Z1890*AP1890</f>
        <v>5.3958510638297874E-2</v>
      </c>
      <c r="AD1890" s="36">
        <f t="shared" ref="AD1890:AD1897" si="742">AC1890*60*AO$1</f>
        <v>1.0958973510638297</v>
      </c>
      <c r="AE1890" s="36"/>
      <c r="AF1890" s="36">
        <f>IFERROR(VLOOKUP(AE1890,'Chemical Cost'!A:D,4,0),0)</f>
        <v>0</v>
      </c>
      <c r="AG1890" s="114">
        <f t="shared" ref="AG1890:AG1897" si="743">AF1890*N1890/3</f>
        <v>0</v>
      </c>
      <c r="AH1890" s="36">
        <f t="shared" ref="AH1890:AH1897" si="744">AF1890*AA1890/3</f>
        <v>0</v>
      </c>
      <c r="AI1890" s="36">
        <f t="shared" ref="AI1890:AI1897" si="745">IFERROR((Q1890*Z1890)+(Z1890*X1890)+AH1890,0)</f>
        <v>1.3985656107213367</v>
      </c>
      <c r="AJ1890" s="36">
        <f>IFERROR(VLOOKUP(A1890,'All Products'!A:F,6,0),0)</f>
        <v>0</v>
      </c>
      <c r="AK1890" s="36"/>
      <c r="AL1890" s="23">
        <v>0.85</v>
      </c>
      <c r="AM1890" s="23">
        <v>0.15</v>
      </c>
      <c r="AN1890" s="54" t="e">
        <v>#N/A</v>
      </c>
      <c r="AO1890" s="47"/>
      <c r="AP1890" s="4">
        <v>1.1000000000000001</v>
      </c>
      <c r="AQ1890" s="111">
        <f t="shared" ref="AQ1890:AQ1897" si="746">(((R1890*J1890*E1890)+U1890)/60)*AP1890</f>
        <v>5.3958510638297874E-2</v>
      </c>
      <c r="AR1890">
        <f>_xlfn.XLOOKUP(F1890,'RM Cost'!A:A,'RM Cost'!S:S)</f>
        <v>0</v>
      </c>
      <c r="AS1890" t="str">
        <f>_xlfn.XLOOKUP(A1890,[3]Sheet1!$B:$B,[3]Sheet1!$B:$B)</f>
        <v>599CCS</v>
      </c>
      <c r="AT1890" t="str">
        <f>_xlfn.XLOOKUP(H1890,'Yield &amp; Time'!A:A,'Yield &amp; Time'!O:O)</f>
        <v>Yes</v>
      </c>
    </row>
    <row r="1891" spans="1:46" x14ac:dyDescent="0.25">
      <c r="A1891" s="63" t="s">
        <v>4816</v>
      </c>
      <c r="B1891" s="2" t="s">
        <v>552</v>
      </c>
      <c r="C1891" s="63" t="s">
        <v>4817</v>
      </c>
      <c r="D1891" s="2" t="s">
        <v>554</v>
      </c>
      <c r="E1891" s="148">
        <v>3</v>
      </c>
      <c r="F1891" s="1" t="str">
        <f>VLOOKUP(H1891,'RM Used'!A:B,2,0)</f>
        <v>3073CS</v>
      </c>
      <c r="G1891" s="1" t="str">
        <f>IFERROR(VLOOKUP(F1891,'RM Cost'!A:B,2,0),"")</f>
        <v>CABBAGE SWEETHEART (X14EA) CS</v>
      </c>
      <c r="H1891" t="s">
        <v>4818</v>
      </c>
      <c r="I1891" s="1" t="str">
        <f>VLOOKUP(F1891,'RM Used'!B:D,3,0)</f>
        <v>RM-FOOD</v>
      </c>
      <c r="J1891" s="66">
        <v>0.25</v>
      </c>
      <c r="K1891" s="150">
        <f t="shared" si="729"/>
        <v>0.75</v>
      </c>
      <c r="L1891" s="35">
        <f t="shared" si="730"/>
        <v>0.75</v>
      </c>
      <c r="M1891" s="77" cm="1">
        <f t="array" ref="M1891">_xlfn.IFS(BOM!I1891="RM-PACKING","100%",B1891="Reynolds",VLOOKUP(H1891,'Yield &amp; Time'!A:V,22,0),BOM!B1891="Dnata",VLOOKUP(BOM!H1891,'Yield &amp; Time'!A:M,13,0),B1891="NK",VLOOKUP(H1891,'Yield &amp; Time'!A:X,24,0))</f>
        <v>0.68</v>
      </c>
      <c r="N1891" s="35">
        <f t="shared" si="731"/>
        <v>1.1029411764705881</v>
      </c>
      <c r="O1891" s="1" t="str">
        <f>VLOOKUP(H1891,'RM Used'!A:E,5,0)</f>
        <v>KG</v>
      </c>
      <c r="P1891" s="11">
        <f>VLOOKUP(H1891,'RM Used'!A:F,6,0)</f>
        <v>1.34</v>
      </c>
      <c r="Q1891" s="11">
        <f t="shared" si="732"/>
        <v>1.4779411764705881</v>
      </c>
      <c r="R1891" s="11">
        <f>IFERROR(IF(B1891="Reynolds",VLOOKUP(H1891,'Yield &amp; Time'!A:U,21,0),VLOOKUP(H1891,'Yield &amp; Time'!A:L,12,0)),0)</f>
        <v>1.1299999999999999</v>
      </c>
      <c r="S1891" s="11">
        <f t="shared" si="733"/>
        <v>0.28687874999999996</v>
      </c>
      <c r="T1891" s="11">
        <f t="shared" si="734"/>
        <v>1.4124999999999999E-2</v>
      </c>
      <c r="U1891" s="11">
        <f>IF(A1890=A1891,0,VLOOKUP(A1891,'Packing Time'!A:F,6,0))</f>
        <v>0</v>
      </c>
      <c r="V1891" s="11">
        <f t="shared" si="735"/>
        <v>0</v>
      </c>
      <c r="W1891" s="11">
        <f t="shared" si="736"/>
        <v>0</v>
      </c>
      <c r="X1891" s="11">
        <f t="shared" si="737"/>
        <v>0.31556662499999999</v>
      </c>
      <c r="Y1891" s="11">
        <f t="shared" si="738"/>
        <v>0.31556662499999999</v>
      </c>
      <c r="Z1891" s="37">
        <v>1</v>
      </c>
      <c r="AA1891" s="36">
        <f t="shared" si="739"/>
        <v>1.1029411764705881</v>
      </c>
      <c r="AB1891" s="36">
        <f t="shared" si="740"/>
        <v>1.4779411764705881</v>
      </c>
      <c r="AC1891" s="11">
        <f t="shared" si="741"/>
        <v>1.5537499999999999E-2</v>
      </c>
      <c r="AD1891" s="36">
        <f t="shared" si="742"/>
        <v>0.31556662499999993</v>
      </c>
      <c r="AE1891" s="36"/>
      <c r="AF1891" s="36">
        <f>IFERROR(VLOOKUP(AE1891,'Chemical Cost'!A:D,4,0),0)</f>
        <v>0</v>
      </c>
      <c r="AG1891" s="114">
        <f t="shared" si="743"/>
        <v>0</v>
      </c>
      <c r="AH1891" s="36">
        <f t="shared" si="744"/>
        <v>0</v>
      </c>
      <c r="AI1891" s="36">
        <f t="shared" si="745"/>
        <v>1.7935078014705881</v>
      </c>
      <c r="AJ1891" s="36">
        <f>IFERROR(VLOOKUP(A1891,'All Products'!A:F,6,0),0)</f>
        <v>0</v>
      </c>
      <c r="AK1891" s="36"/>
      <c r="AL1891" s="23">
        <v>0.85</v>
      </c>
      <c r="AM1891" s="23">
        <v>0.15</v>
      </c>
      <c r="AN1891" s="54" t="e">
        <v>#N/A</v>
      </c>
      <c r="AO1891" s="47"/>
      <c r="AP1891" s="4">
        <v>1.1000000000000001</v>
      </c>
      <c r="AQ1891" s="111">
        <f t="shared" si="746"/>
        <v>1.5537499999999999E-2</v>
      </c>
      <c r="AR1891">
        <f>_xlfn.XLOOKUP(F1891,'RM Cost'!A:A,'RM Cost'!S:S)</f>
        <v>0</v>
      </c>
      <c r="AS1891" t="str">
        <f>_xlfn.XLOOKUP(A1891,[3]Sheet1!$B:$B,[3]Sheet1!$B:$B)</f>
        <v>599CCS</v>
      </c>
      <c r="AT1891" t="str">
        <f>_xlfn.XLOOKUP(H1891,'Yield &amp; Time'!A:A,'Yield &amp; Time'!O:O)</f>
        <v>Yes</v>
      </c>
    </row>
    <row r="1892" spans="1:46" x14ac:dyDescent="0.25">
      <c r="A1892" s="63" t="s">
        <v>4816</v>
      </c>
      <c r="B1892" s="2" t="s">
        <v>552</v>
      </c>
      <c r="C1892" s="63" t="s">
        <v>4817</v>
      </c>
      <c r="D1892" s="2" t="s">
        <v>554</v>
      </c>
      <c r="E1892" s="148">
        <v>3</v>
      </c>
      <c r="F1892" s="1" t="str">
        <f>VLOOKUP(H1892,'RM Used'!A:B,2,0)</f>
        <v>3112CS</v>
      </c>
      <c r="G1892" s="1" t="str">
        <f>IFERROR(VLOOKUP(F1892,'RM Cost'!A:B,2,0),"")</f>
        <v>WHOLE LEAF CURLY KALE 5X1KG</v>
      </c>
      <c r="H1892" t="s">
        <v>4819</v>
      </c>
      <c r="I1892" s="1" t="str">
        <f>VLOOKUP(F1892,'RM Used'!B:D,3,0)</f>
        <v>RM-FOOD</v>
      </c>
      <c r="J1892" s="66">
        <v>0.1</v>
      </c>
      <c r="K1892" s="150">
        <f t="shared" si="729"/>
        <v>0.30000000000000004</v>
      </c>
      <c r="L1892" s="35">
        <f t="shared" si="730"/>
        <v>0.30000000000000004</v>
      </c>
      <c r="M1892" s="77" cm="1">
        <f t="array" ref="M1892">_xlfn.IFS(BOM!I1892="RM-PACKING","100%",B1892="Reynolds",VLOOKUP(H1892,'Yield &amp; Time'!A:V,22,0),BOM!B1892="Dnata",VLOOKUP(BOM!H1892,'Yield &amp; Time'!A:M,13,0),B1892="NK",VLOOKUP(H1892,'Yield &amp; Time'!A:X,24,0))</f>
        <v>0.7</v>
      </c>
      <c r="N1892" s="35">
        <f t="shared" si="731"/>
        <v>0.42857142857142866</v>
      </c>
      <c r="O1892" s="1" t="str">
        <f>VLOOKUP(H1892,'RM Used'!A:E,5,0)</f>
        <v>KG</v>
      </c>
      <c r="P1892" s="11">
        <f>VLOOKUP(H1892,'RM Used'!A:F,6,0)</f>
        <v>1.45</v>
      </c>
      <c r="Q1892" s="11">
        <f t="shared" si="732"/>
        <v>0.62142857142857155</v>
      </c>
      <c r="R1892" s="11">
        <f>IFERROR(IF(B1892="Reynolds",VLOOKUP(H1892,'Yield &amp; Time'!A:U,21,0),VLOOKUP(H1892,'Yield &amp; Time'!A:L,12,0)),0)</f>
        <v>3.03</v>
      </c>
      <c r="S1892" s="11">
        <f t="shared" si="733"/>
        <v>0.30769649999999998</v>
      </c>
      <c r="T1892" s="11">
        <f t="shared" si="734"/>
        <v>1.515E-2</v>
      </c>
      <c r="U1892" s="11">
        <f>IF(A1891=A1892,0,VLOOKUP(A1892,'Packing Time'!A:F,6,0))</f>
        <v>0</v>
      </c>
      <c r="V1892" s="11">
        <f t="shared" si="735"/>
        <v>0</v>
      </c>
      <c r="W1892" s="11">
        <f t="shared" si="736"/>
        <v>0</v>
      </c>
      <c r="X1892" s="11">
        <f t="shared" si="737"/>
        <v>0.33846615000000002</v>
      </c>
      <c r="Y1892" s="11">
        <f t="shared" si="738"/>
        <v>0.33846615000000002</v>
      </c>
      <c r="Z1892" s="37">
        <v>1</v>
      </c>
      <c r="AA1892" s="36">
        <f t="shared" si="739"/>
        <v>0.42857142857142866</v>
      </c>
      <c r="AB1892" s="36">
        <f t="shared" si="740"/>
        <v>0.62142857142857155</v>
      </c>
      <c r="AC1892" s="11">
        <f t="shared" si="741"/>
        <v>1.6665000000000003E-2</v>
      </c>
      <c r="AD1892" s="36">
        <f t="shared" si="742"/>
        <v>0.33846615000000002</v>
      </c>
      <c r="AE1892" s="36"/>
      <c r="AF1892" s="36">
        <f>IFERROR(VLOOKUP(AE1892,'Chemical Cost'!A:D,4,0),0)</f>
        <v>0</v>
      </c>
      <c r="AG1892" s="114">
        <f t="shared" si="743"/>
        <v>0</v>
      </c>
      <c r="AH1892" s="36">
        <f t="shared" si="744"/>
        <v>0</v>
      </c>
      <c r="AI1892" s="36">
        <f t="shared" si="745"/>
        <v>0.95989472142857157</v>
      </c>
      <c r="AJ1892" s="36">
        <f>IFERROR(VLOOKUP(A1892,'All Products'!A:F,6,0),0)</f>
        <v>0</v>
      </c>
      <c r="AK1892" s="36"/>
      <c r="AL1892" s="23">
        <v>0.85</v>
      </c>
      <c r="AM1892" s="23">
        <v>0.15</v>
      </c>
      <c r="AN1892" s="54" t="e">
        <v>#N/A</v>
      </c>
      <c r="AO1892" s="47"/>
      <c r="AP1892" s="4">
        <v>1.1000000000000001</v>
      </c>
      <c r="AQ1892" s="111">
        <f t="shared" si="746"/>
        <v>1.6665000000000003E-2</v>
      </c>
      <c r="AR1892">
        <f>_xlfn.XLOOKUP(F1892,'RM Cost'!A:A,'RM Cost'!S:S)</f>
        <v>0</v>
      </c>
      <c r="AS1892" t="str">
        <f>_xlfn.XLOOKUP(A1892,[3]Sheet1!$B:$B,[3]Sheet1!$B:$B)</f>
        <v>599CCS</v>
      </c>
      <c r="AT1892" t="str">
        <f>_xlfn.XLOOKUP(H1892,'Yield &amp; Time'!A:A,'Yield &amp; Time'!O:O)</f>
        <v>Yes</v>
      </c>
    </row>
    <row r="1893" spans="1:46" x14ac:dyDescent="0.25">
      <c r="A1893" s="63" t="s">
        <v>4816</v>
      </c>
      <c r="B1893" s="2" t="s">
        <v>552</v>
      </c>
      <c r="C1893" s="63" t="s">
        <v>4817</v>
      </c>
      <c r="D1893" s="2" t="s">
        <v>554</v>
      </c>
      <c r="E1893" s="148">
        <v>3</v>
      </c>
      <c r="F1893" s="1" t="str">
        <f>VLOOKUP(H1893,'RM Used'!A:B,2,0)</f>
        <v>3270CS</v>
      </c>
      <c r="G1893" s="1" t="str">
        <f>IFERROR(VLOOKUP(F1893,'RM Cost'!A:B,2,0),"")</f>
        <v>RM - SUGAR SNAP 2KG</v>
      </c>
      <c r="H1893" t="s">
        <v>4820</v>
      </c>
      <c r="I1893" s="1" t="str">
        <f>VLOOKUP(F1893,'RM Used'!B:D,3,0)</f>
        <v>RM-FOOD</v>
      </c>
      <c r="J1893" s="66">
        <v>0.15</v>
      </c>
      <c r="K1893" s="150">
        <f t="shared" si="729"/>
        <v>0.44999999999999996</v>
      </c>
      <c r="L1893" s="35">
        <f t="shared" si="730"/>
        <v>0.44999999999999996</v>
      </c>
      <c r="M1893" s="77" cm="1">
        <f t="array" ref="M1893">_xlfn.IFS(BOM!I1893="RM-PACKING","100%",B1893="Reynolds",VLOOKUP(H1893,'Yield &amp; Time'!A:V,22,0),BOM!B1893="Dnata",VLOOKUP(BOM!H1893,'Yield &amp; Time'!A:M,13,0),B1893="NK",VLOOKUP(H1893,'Yield &amp; Time'!A:X,24,0))</f>
        <v>0.94</v>
      </c>
      <c r="N1893" s="35">
        <f t="shared" si="731"/>
        <v>0.47872340425531912</v>
      </c>
      <c r="O1893" s="1" t="str">
        <f>VLOOKUP(H1893,'RM Used'!A:E,5,0)</f>
        <v>KG</v>
      </c>
      <c r="P1893" s="11">
        <f>VLOOKUP(H1893,'RM Used'!A:F,6,0)</f>
        <v>3.37</v>
      </c>
      <c r="Q1893" s="11">
        <f t="shared" si="732"/>
        <v>1.6132978723404254</v>
      </c>
      <c r="R1893" s="11">
        <f>IFERROR(IF(B1893="Reynolds",VLOOKUP(H1893,'Yield &amp; Time'!A:U,21,0),VLOOKUP(H1893,'Yield &amp; Time'!A:L,12,0)),0)</f>
        <v>1.8</v>
      </c>
      <c r="S1893" s="11">
        <f t="shared" si="733"/>
        <v>0.27418500000000001</v>
      </c>
      <c r="T1893" s="11">
        <f t="shared" si="734"/>
        <v>1.3500000000000002E-2</v>
      </c>
      <c r="U1893" s="11">
        <f>IF(A1892=A1893,0,VLOOKUP(A1893,'Packing Time'!A:F,6,0))</f>
        <v>0</v>
      </c>
      <c r="V1893" s="11">
        <f t="shared" si="735"/>
        <v>0</v>
      </c>
      <c r="W1893" s="11">
        <f t="shared" si="736"/>
        <v>0</v>
      </c>
      <c r="X1893" s="11">
        <f t="shared" si="737"/>
        <v>0.30160350000000002</v>
      </c>
      <c r="Y1893" s="11">
        <f t="shared" si="738"/>
        <v>0.30160350000000002</v>
      </c>
      <c r="Z1893" s="37">
        <v>1</v>
      </c>
      <c r="AA1893" s="36">
        <f t="shared" si="739"/>
        <v>0.47872340425531912</v>
      </c>
      <c r="AB1893" s="36">
        <f t="shared" si="740"/>
        <v>1.6132978723404254</v>
      </c>
      <c r="AC1893" s="11">
        <f t="shared" si="741"/>
        <v>1.4850000000000002E-2</v>
      </c>
      <c r="AD1893" s="36">
        <f t="shared" si="742"/>
        <v>0.30160350000000002</v>
      </c>
      <c r="AE1893" s="36"/>
      <c r="AF1893" s="36">
        <f>IFERROR(VLOOKUP(AE1893,'Chemical Cost'!A:D,4,0),0)</f>
        <v>0</v>
      </c>
      <c r="AG1893" s="114">
        <f t="shared" si="743"/>
        <v>0</v>
      </c>
      <c r="AH1893" s="36">
        <f t="shared" si="744"/>
        <v>0</v>
      </c>
      <c r="AI1893" s="36">
        <f t="shared" si="745"/>
        <v>1.9149013723404256</v>
      </c>
      <c r="AJ1893" s="36">
        <f>IFERROR(VLOOKUP(A1893,'All Products'!A:F,6,0),0)</f>
        <v>0</v>
      </c>
      <c r="AK1893" s="36"/>
      <c r="AL1893" s="23">
        <v>0.85</v>
      </c>
      <c r="AM1893" s="23">
        <v>0.15</v>
      </c>
      <c r="AN1893" s="54" t="e">
        <v>#N/A</v>
      </c>
      <c r="AO1893" s="47"/>
      <c r="AP1893" s="4">
        <v>1.1000000000000001</v>
      </c>
      <c r="AQ1893" s="111">
        <f t="shared" si="746"/>
        <v>1.4850000000000002E-2</v>
      </c>
      <c r="AR1893">
        <f>_xlfn.XLOOKUP(F1893,'RM Cost'!A:A,'RM Cost'!S:S)</f>
        <v>0</v>
      </c>
      <c r="AS1893" t="str">
        <f>_xlfn.XLOOKUP(A1893,[3]Sheet1!$B:$B,[3]Sheet1!$B:$B)</f>
        <v>599CCS</v>
      </c>
      <c r="AT1893">
        <f>_xlfn.XLOOKUP(H1893,'Yield &amp; Time'!A:A,'Yield &amp; Time'!F:F)</f>
        <v>0</v>
      </c>
    </row>
    <row r="1894" spans="1:46" x14ac:dyDescent="0.25">
      <c r="A1894" s="63" t="s">
        <v>4816</v>
      </c>
      <c r="B1894" s="2" t="s">
        <v>552</v>
      </c>
      <c r="C1894" s="63" t="s">
        <v>4817</v>
      </c>
      <c r="D1894" s="2" t="s">
        <v>554</v>
      </c>
      <c r="E1894" s="148">
        <v>3</v>
      </c>
      <c r="F1894" s="1" t="str">
        <f>VLOOKUP(H1894,'RM Used'!A:B,2,0)</f>
        <v>3107CS</v>
      </c>
      <c r="G1894" s="1" t="str">
        <f>IFERROR(VLOOKUP(F1894,'RM Cost'!A:B,2,0),"")</f>
        <v>RM - KOHL RABI X 20EA</v>
      </c>
      <c r="H1894" t="s">
        <v>4821</v>
      </c>
      <c r="I1894" s="1" t="str">
        <f>VLOOKUP(F1894,'RM Used'!B:D,3,0)</f>
        <v>RM-FOOD</v>
      </c>
      <c r="J1894" s="66">
        <v>0.15</v>
      </c>
      <c r="K1894" s="150">
        <f t="shared" si="729"/>
        <v>0.44999999999999996</v>
      </c>
      <c r="L1894" s="35">
        <f t="shared" si="730"/>
        <v>0.44999999999999996</v>
      </c>
      <c r="M1894" s="77" cm="1">
        <f t="array" ref="M1894">_xlfn.IFS(BOM!I1894="RM-PACKING","100%",B1894="Reynolds",VLOOKUP(H1894,'Yield &amp; Time'!A:V,22,0),BOM!B1894="Dnata",VLOOKUP(BOM!H1894,'Yield &amp; Time'!A:M,13,0),B1894="NK",VLOOKUP(H1894,'Yield &amp; Time'!A:X,24,0))</f>
        <v>0.63</v>
      </c>
      <c r="N1894" s="35">
        <f t="shared" si="731"/>
        <v>0.71428571428571419</v>
      </c>
      <c r="O1894" s="1" t="str">
        <f>VLOOKUP(H1894,'RM Used'!A:E,5,0)</f>
        <v>KG</v>
      </c>
      <c r="P1894" s="11">
        <f>VLOOKUP(H1894,'RM Used'!A:F,6,0)</f>
        <v>2.2399999999999998</v>
      </c>
      <c r="Q1894" s="11">
        <f t="shared" si="732"/>
        <v>1.5999999999999996</v>
      </c>
      <c r="R1894" s="11">
        <f>IFERROR(IF(B1894="Reynolds",VLOOKUP(H1894,'Yield &amp; Time'!A:U,21,0),VLOOKUP(H1894,'Yield &amp; Time'!A:L,12,0)),0)</f>
        <v>4.74</v>
      </c>
      <c r="S1894" s="11">
        <f t="shared" si="733"/>
        <v>0.72202049999999995</v>
      </c>
      <c r="T1894" s="11">
        <f t="shared" si="734"/>
        <v>3.5549999999999998E-2</v>
      </c>
      <c r="U1894" s="11">
        <f>IF(A1893=A1894,0,VLOOKUP(A1894,'Packing Time'!A:F,6,0))</f>
        <v>0</v>
      </c>
      <c r="V1894" s="11">
        <f t="shared" si="735"/>
        <v>0</v>
      </c>
      <c r="W1894" s="11">
        <f t="shared" si="736"/>
        <v>0</v>
      </c>
      <c r="X1894" s="11">
        <f t="shared" si="737"/>
        <v>0.79422254999999997</v>
      </c>
      <c r="Y1894" s="11">
        <f t="shared" si="738"/>
        <v>0.79422254999999997</v>
      </c>
      <c r="Z1894" s="37">
        <v>1</v>
      </c>
      <c r="AA1894" s="36">
        <f t="shared" si="739"/>
        <v>0.71428571428571419</v>
      </c>
      <c r="AB1894" s="36">
        <f t="shared" si="740"/>
        <v>1.5999999999999996</v>
      </c>
      <c r="AC1894" s="11">
        <f t="shared" si="741"/>
        <v>3.9105000000000001E-2</v>
      </c>
      <c r="AD1894" s="36">
        <f t="shared" si="742"/>
        <v>0.79422254999999997</v>
      </c>
      <c r="AE1894" s="36"/>
      <c r="AF1894" s="36">
        <f>IFERROR(VLOOKUP(AE1894,'Chemical Cost'!A:D,4,0),0)</f>
        <v>0</v>
      </c>
      <c r="AG1894" s="114">
        <f t="shared" si="743"/>
        <v>0</v>
      </c>
      <c r="AH1894" s="36">
        <f t="shared" si="744"/>
        <v>0</v>
      </c>
      <c r="AI1894" s="36">
        <f t="shared" si="745"/>
        <v>2.3942225499999994</v>
      </c>
      <c r="AJ1894" s="36">
        <f>IFERROR(VLOOKUP(A1894,'All Products'!A:F,6,0),0)</f>
        <v>0</v>
      </c>
      <c r="AK1894" s="36"/>
      <c r="AL1894" s="23">
        <v>0.85</v>
      </c>
      <c r="AM1894" s="23">
        <v>0.15</v>
      </c>
      <c r="AN1894" s="54" t="e">
        <v>#N/A</v>
      </c>
      <c r="AO1894" s="47"/>
      <c r="AP1894" s="4">
        <v>1.1000000000000001</v>
      </c>
      <c r="AQ1894" s="111">
        <f t="shared" si="746"/>
        <v>3.9105000000000001E-2</v>
      </c>
      <c r="AR1894">
        <f>_xlfn.XLOOKUP(F1894,'RM Cost'!A:A,'RM Cost'!S:S)</f>
        <v>0</v>
      </c>
      <c r="AS1894" t="str">
        <f>_xlfn.XLOOKUP(A1894,[3]Sheet1!$B:$B,[3]Sheet1!$B:$B)</f>
        <v>599CCS</v>
      </c>
      <c r="AT1894" t="str">
        <f>_xlfn.XLOOKUP(H1894,'Yield &amp; Time'!A:A,'Yield &amp; Time'!O:O)</f>
        <v>Yes</v>
      </c>
    </row>
    <row r="1895" spans="1:46" x14ac:dyDescent="0.25">
      <c r="A1895" s="63" t="s">
        <v>4816</v>
      </c>
      <c r="B1895" s="2" t="s">
        <v>552</v>
      </c>
      <c r="C1895" s="63" t="s">
        <v>4817</v>
      </c>
      <c r="D1895" s="2" t="s">
        <v>554</v>
      </c>
      <c r="E1895" s="148">
        <v>3</v>
      </c>
      <c r="F1895" s="1" t="str">
        <f>VLOOKUP(H1895,'RM Used'!A:B,2,0)</f>
        <v>3389CS</v>
      </c>
      <c r="G1895" s="1" t="str">
        <f>IFERROR(VLOOKUP(F1895,'RM Cost'!A:B,2,0),"")</f>
        <v>RM - PAK CHOI X2KG</v>
      </c>
      <c r="H1895" t="s">
        <v>4822</v>
      </c>
      <c r="I1895" s="1" t="str">
        <f>VLOOKUP(F1895,'RM Used'!B:D,3,0)</f>
        <v>RM-FOOD</v>
      </c>
      <c r="J1895" s="66">
        <v>0.15</v>
      </c>
      <c r="K1895" s="150">
        <f t="shared" si="729"/>
        <v>0.44999999999999996</v>
      </c>
      <c r="L1895" s="35">
        <f t="shared" si="730"/>
        <v>0.44999999999999996</v>
      </c>
      <c r="M1895" s="77" cm="1">
        <f t="array" ref="M1895">_xlfn.IFS(BOM!I1895="RM-PACKING","100%",B1895="Reynolds",VLOOKUP(H1895,'Yield &amp; Time'!A:V,22,0),BOM!B1895="Dnata",VLOOKUP(BOM!H1895,'Yield &amp; Time'!A:M,13,0),B1895="NK",VLOOKUP(H1895,'Yield &amp; Time'!A:X,24,0))</f>
        <v>0.7</v>
      </c>
      <c r="N1895" s="35">
        <f t="shared" si="731"/>
        <v>0.64285714285714279</v>
      </c>
      <c r="O1895" s="1" t="str">
        <f>VLOOKUP(H1895,'RM Used'!A:E,5,0)</f>
        <v>KG</v>
      </c>
      <c r="P1895" s="11">
        <f>VLOOKUP(H1895,'RM Used'!A:F,6,0)</f>
        <v>1.81</v>
      </c>
      <c r="Q1895" s="11">
        <f t="shared" si="732"/>
        <v>1.1635714285714285</v>
      </c>
      <c r="R1895" s="11">
        <f>IFERROR(IF(B1895="Reynolds",VLOOKUP(H1895,'Yield &amp; Time'!A:U,21,0),VLOOKUP(H1895,'Yield &amp; Time'!A:L,12,0)),0)</f>
        <v>2.11</v>
      </c>
      <c r="S1895" s="11">
        <f t="shared" si="733"/>
        <v>0.32140574999999988</v>
      </c>
      <c r="T1895" s="11">
        <f t="shared" si="734"/>
        <v>1.5824999999999995E-2</v>
      </c>
      <c r="U1895" s="11">
        <f>IF(A1894=A1895,0,VLOOKUP(A1895,'Packing Time'!A:F,6,0))</f>
        <v>0</v>
      </c>
      <c r="V1895" s="11">
        <f t="shared" si="735"/>
        <v>0</v>
      </c>
      <c r="W1895" s="11">
        <f t="shared" si="736"/>
        <v>0</v>
      </c>
      <c r="X1895" s="11">
        <f t="shared" si="737"/>
        <v>0.35354632499999988</v>
      </c>
      <c r="Y1895" s="11">
        <f t="shared" si="738"/>
        <v>0.35354632499999988</v>
      </c>
      <c r="Z1895" s="37">
        <v>1</v>
      </c>
      <c r="AA1895" s="36">
        <f t="shared" si="739"/>
        <v>0.64285714285714279</v>
      </c>
      <c r="AB1895" s="36">
        <f t="shared" si="740"/>
        <v>1.1635714285714285</v>
      </c>
      <c r="AC1895" s="11">
        <f t="shared" si="741"/>
        <v>1.7407499999999996E-2</v>
      </c>
      <c r="AD1895" s="36">
        <f t="shared" si="742"/>
        <v>0.35354632499999983</v>
      </c>
      <c r="AE1895" s="36"/>
      <c r="AF1895" s="36">
        <f>IFERROR(VLOOKUP(AE1895,'Chemical Cost'!A:D,4,0),0)</f>
        <v>0</v>
      </c>
      <c r="AG1895" s="114">
        <f t="shared" si="743"/>
        <v>0</v>
      </c>
      <c r="AH1895" s="36">
        <f t="shared" si="744"/>
        <v>0</v>
      </c>
      <c r="AI1895" s="36">
        <f t="shared" si="745"/>
        <v>1.5171177535714284</v>
      </c>
      <c r="AJ1895" s="36">
        <f>IFERROR(VLOOKUP(A1895,'All Products'!A:F,6,0),0)</f>
        <v>0</v>
      </c>
      <c r="AK1895" s="36"/>
      <c r="AL1895" s="23">
        <v>0.85</v>
      </c>
      <c r="AM1895" s="23">
        <v>0.15</v>
      </c>
      <c r="AN1895" s="54" t="e">
        <v>#N/A</v>
      </c>
      <c r="AO1895" s="47"/>
      <c r="AP1895" s="4">
        <v>1.1000000000000001</v>
      </c>
      <c r="AQ1895" s="111">
        <f t="shared" si="746"/>
        <v>1.7407499999999996E-2</v>
      </c>
      <c r="AR1895">
        <f>_xlfn.XLOOKUP(F1895,'RM Cost'!A:A,'RM Cost'!S:S)</f>
        <v>0</v>
      </c>
      <c r="AS1895" t="str">
        <f>_xlfn.XLOOKUP(A1895,[3]Sheet1!$B:$B,[3]Sheet1!$B:$B)</f>
        <v>599CCS</v>
      </c>
      <c r="AT1895" t="str">
        <f>_xlfn.XLOOKUP(H1895,'Yield &amp; Time'!A:A,'Yield &amp; Time'!O:O)</f>
        <v>Yes</v>
      </c>
    </row>
    <row r="1896" spans="1:46" x14ac:dyDescent="0.25">
      <c r="A1896" s="63" t="s">
        <v>4816</v>
      </c>
      <c r="B1896" s="2" t="s">
        <v>552</v>
      </c>
      <c r="C1896" s="63" t="s">
        <v>4817</v>
      </c>
      <c r="D1896" s="2" t="s">
        <v>554</v>
      </c>
      <c r="E1896" s="148">
        <v>3</v>
      </c>
      <c r="F1896" s="1" t="str">
        <f>VLOOKUP(H1896,'RM Used'!A:B,2,0)</f>
        <v>P0004</v>
      </c>
      <c r="G1896" s="1" t="str">
        <f>IFERROR(VLOOKUP(F1896,'RM Cost'!A:B,2,0),"")</f>
        <v>SOL 30EL # PPLUS 630x1000 BLUE -6</v>
      </c>
      <c r="H1896" s="1" t="s">
        <v>4680</v>
      </c>
      <c r="I1896" s="1" t="str">
        <f>VLOOKUP(F1896,'RM Used'!B:D,3,0)</f>
        <v>RM-PACKING</v>
      </c>
      <c r="J1896" s="66">
        <v>1</v>
      </c>
      <c r="K1896" s="150" t="str">
        <f t="shared" si="729"/>
        <v/>
      </c>
      <c r="L1896" s="35">
        <f t="shared" si="730"/>
        <v>0</v>
      </c>
      <c r="M1896" s="77" t="str" cm="1">
        <f t="array" ref="M1896">_xlfn.IFS(BOM!I1896="RM-PACKING","100%",B1896="Reynolds",VLOOKUP(H1896,'Yield &amp; Time'!A:V,22,0),BOM!B1896="Dnata",VLOOKUP(BOM!H1896,'Yield &amp; Time'!A:M,13,0),B1896="NK",VLOOKUP(H1896,'Yield &amp; Time'!A:X,24,0))</f>
        <v>100%</v>
      </c>
      <c r="N1896" s="35">
        <f t="shared" si="731"/>
        <v>1</v>
      </c>
      <c r="O1896" s="1" t="str">
        <f>VLOOKUP(H1896,'RM Used'!A:E,5,0)</f>
        <v>Count</v>
      </c>
      <c r="P1896" s="11">
        <f>VLOOKUP(H1896,'RM Used'!A:F,6,0)</f>
        <v>0.48</v>
      </c>
      <c r="Q1896" s="11">
        <f t="shared" si="732"/>
        <v>0.48</v>
      </c>
      <c r="R1896" s="11">
        <f>IFERROR(IF(B1896="Reynolds",VLOOKUP(H1896,'Yield &amp; Time'!A:U,21,0),VLOOKUP(H1896,'Yield &amp; Time'!A:L,12,0)),0)</f>
        <v>0</v>
      </c>
      <c r="S1896" s="11">
        <f t="shared" si="733"/>
        <v>0</v>
      </c>
      <c r="T1896" s="11">
        <f t="shared" si="734"/>
        <v>0</v>
      </c>
      <c r="U1896" s="11">
        <f>IF(A1895=A1896,0,VLOOKUP(A1896,'Packing Time'!A:F,6,0))</f>
        <v>0</v>
      </c>
      <c r="V1896" s="11">
        <f t="shared" si="735"/>
        <v>0</v>
      </c>
      <c r="W1896" s="11">
        <f t="shared" si="736"/>
        <v>0</v>
      </c>
      <c r="X1896" s="11">
        <f t="shared" si="737"/>
        <v>0</v>
      </c>
      <c r="Y1896" s="11">
        <f t="shared" si="738"/>
        <v>0</v>
      </c>
      <c r="Z1896" s="37">
        <v>1</v>
      </c>
      <c r="AA1896" s="36">
        <f t="shared" si="739"/>
        <v>1</v>
      </c>
      <c r="AB1896" s="36">
        <f t="shared" si="740"/>
        <v>0.48</v>
      </c>
      <c r="AC1896" s="11">
        <f t="shared" si="741"/>
        <v>0</v>
      </c>
      <c r="AD1896" s="36">
        <f t="shared" si="742"/>
        <v>0</v>
      </c>
      <c r="AE1896" s="36"/>
      <c r="AF1896" s="36">
        <f>IFERROR(VLOOKUP(AE1896,'Chemical Cost'!A:D,4,0),0)</f>
        <v>0</v>
      </c>
      <c r="AG1896" s="114">
        <f t="shared" si="743"/>
        <v>0</v>
      </c>
      <c r="AH1896" s="36">
        <f t="shared" si="744"/>
        <v>0</v>
      </c>
      <c r="AI1896" s="36">
        <f t="shared" si="745"/>
        <v>0.48</v>
      </c>
      <c r="AJ1896" s="36">
        <f>IFERROR(VLOOKUP(A1896,'All Products'!A:F,6,0),0)</f>
        <v>0</v>
      </c>
      <c r="AK1896" s="36"/>
      <c r="AL1896" s="23">
        <v>0.85</v>
      </c>
      <c r="AM1896" s="23">
        <v>0.15</v>
      </c>
      <c r="AN1896" s="54" t="e">
        <v>#N/A</v>
      </c>
      <c r="AO1896" s="47"/>
      <c r="AP1896" s="4">
        <v>1.1000000000000001</v>
      </c>
      <c r="AQ1896" s="111">
        <f t="shared" si="746"/>
        <v>0</v>
      </c>
      <c r="AR1896">
        <f>_xlfn.XLOOKUP(F1896,'RM Cost'!A:A,'RM Cost'!S:S)</f>
        <v>0</v>
      </c>
      <c r="AS1896" t="str">
        <f>_xlfn.XLOOKUP(A1896,[3]Sheet1!$B:$B,[3]Sheet1!$B:$B)</f>
        <v>599CCS</v>
      </c>
      <c r="AT1896" t="e">
        <f>_xlfn.XLOOKUP(H1896,'Yield &amp; Time'!A:A,'Yield &amp; Time'!F:F)</f>
        <v>#N/A</v>
      </c>
    </row>
    <row r="1897" spans="1:46" x14ac:dyDescent="0.25">
      <c r="A1897" s="63" t="s">
        <v>4816</v>
      </c>
      <c r="B1897" s="2" t="s">
        <v>552</v>
      </c>
      <c r="C1897" s="63" t="s">
        <v>4817</v>
      </c>
      <c r="D1897" s="2" t="s">
        <v>554</v>
      </c>
      <c r="E1897" s="148">
        <v>3</v>
      </c>
      <c r="F1897" s="1" t="str">
        <f>VLOOKUP(H1897,'RM Used'!A:B,2,0)</f>
        <v>P0016</v>
      </c>
      <c r="G1897" s="1" t="str">
        <f>IFERROR(VLOOKUP(F1897,'RM Cost'!A:B,2,0),"")</f>
        <v>REY 40 30 BOX</v>
      </c>
      <c r="H1897" s="2" t="s">
        <v>1332</v>
      </c>
      <c r="I1897" s="1" t="str">
        <f>VLOOKUP(F1897,'RM Used'!B:D,3,0)</f>
        <v>RM-PACKING</v>
      </c>
      <c r="J1897" s="66">
        <v>1</v>
      </c>
      <c r="K1897" s="150" t="str">
        <f t="shared" si="729"/>
        <v/>
      </c>
      <c r="L1897" s="35">
        <f t="shared" si="730"/>
        <v>0</v>
      </c>
      <c r="M1897" s="77" t="str" cm="1">
        <f t="array" ref="M1897">_xlfn.IFS(BOM!I1897="RM-PACKING","100%",B1897="Reynolds",VLOOKUP(H1897,'Yield &amp; Time'!A:V,22,0),BOM!B1897="Dnata",VLOOKUP(BOM!H1897,'Yield &amp; Time'!A:M,13,0),B1897="NK",VLOOKUP(H1897,'Yield &amp; Time'!A:X,24,0))</f>
        <v>100%</v>
      </c>
      <c r="N1897" s="35">
        <f t="shared" si="731"/>
        <v>1</v>
      </c>
      <c r="O1897" s="1" t="str">
        <f>VLOOKUP(H1897,'RM Used'!A:E,5,0)</f>
        <v>Count</v>
      </c>
      <c r="P1897" s="11">
        <f>VLOOKUP(H1897,'RM Used'!A:F,6,0)</f>
        <v>0.28000000000000003</v>
      </c>
      <c r="Q1897" s="11">
        <f t="shared" si="732"/>
        <v>0.28000000000000003</v>
      </c>
      <c r="R1897" s="11">
        <f>IFERROR(IF(B1897="Reynolds",VLOOKUP(H1897,'Yield &amp; Time'!A:U,21,0),VLOOKUP(H1897,'Yield &amp; Time'!A:L,12,0)),0)</f>
        <v>0</v>
      </c>
      <c r="S1897" s="11">
        <f t="shared" si="733"/>
        <v>0</v>
      </c>
      <c r="T1897" s="11">
        <f t="shared" si="734"/>
        <v>0</v>
      </c>
      <c r="U1897" s="11">
        <f>IF(A1896=A1897,0,VLOOKUP(A1897,'Packing Time'!A:F,6,0))</f>
        <v>0</v>
      </c>
      <c r="V1897" s="11">
        <f t="shared" si="735"/>
        <v>0</v>
      </c>
      <c r="W1897" s="11">
        <f t="shared" si="736"/>
        <v>0</v>
      </c>
      <c r="X1897" s="11">
        <f t="shared" si="737"/>
        <v>0</v>
      </c>
      <c r="Y1897" s="11">
        <f t="shared" si="738"/>
        <v>0</v>
      </c>
      <c r="Z1897" s="37">
        <v>1</v>
      </c>
      <c r="AA1897" s="36">
        <f t="shared" si="739"/>
        <v>1</v>
      </c>
      <c r="AB1897" s="36">
        <f t="shared" si="740"/>
        <v>0.28000000000000003</v>
      </c>
      <c r="AC1897" s="11">
        <f t="shared" si="741"/>
        <v>0</v>
      </c>
      <c r="AD1897" s="36">
        <f t="shared" si="742"/>
        <v>0</v>
      </c>
      <c r="AE1897" s="36"/>
      <c r="AF1897" s="36">
        <f>IFERROR(VLOOKUP(AE1897,'Chemical Cost'!A:D,4,0),0)</f>
        <v>0</v>
      </c>
      <c r="AG1897" s="114">
        <f t="shared" si="743"/>
        <v>0</v>
      </c>
      <c r="AH1897" s="36">
        <f t="shared" si="744"/>
        <v>0</v>
      </c>
      <c r="AI1897" s="36">
        <f t="shared" si="745"/>
        <v>0.28000000000000003</v>
      </c>
      <c r="AJ1897" s="36">
        <f>IFERROR(VLOOKUP(A1897,'All Products'!A:F,6,0),0)</f>
        <v>0</v>
      </c>
      <c r="AK1897" s="36"/>
      <c r="AL1897" s="23">
        <v>0.85</v>
      </c>
      <c r="AM1897" s="23">
        <v>0.15</v>
      </c>
      <c r="AN1897" s="54" t="e">
        <v>#N/A</v>
      </c>
      <c r="AO1897" s="47"/>
      <c r="AP1897" s="4">
        <v>1.1000000000000001</v>
      </c>
      <c r="AQ1897" s="111">
        <f t="shared" si="746"/>
        <v>0</v>
      </c>
      <c r="AR1897">
        <f>_xlfn.XLOOKUP(F1897,'RM Cost'!A:A,'RM Cost'!S:S)</f>
        <v>0</v>
      </c>
      <c r="AS1897" t="str">
        <f>_xlfn.XLOOKUP(A1897,[3]Sheet1!$B:$B,[3]Sheet1!$B:$B)</f>
        <v>599CCS</v>
      </c>
      <c r="AT1897" t="e">
        <f>_xlfn.XLOOKUP(H1897,'Yield &amp; Time'!A:A,'Yield &amp; Time'!F:F)</f>
        <v>#N/A</v>
      </c>
    </row>
    <row r="1898" spans="1:46" x14ac:dyDescent="0.25">
      <c r="A1898" t="s">
        <v>4823</v>
      </c>
      <c r="B1898" s="1" t="s">
        <v>552</v>
      </c>
      <c r="C1898" t="s">
        <v>4825</v>
      </c>
      <c r="D1898" s="1" t="s">
        <v>554</v>
      </c>
      <c r="E1898" s="141">
        <v>2</v>
      </c>
      <c r="F1898" s="1" t="str">
        <f>VLOOKUP(H1898,'RM Used'!A:B,2,0)</f>
        <v>3011CS</v>
      </c>
      <c r="G1898" s="1" t="str">
        <f>IFERROR(VLOOKUP(F1898,'RM Cost'!A:B,2,0),"")</f>
        <v>GOLDEN BEETROOT 1 X 5KG</v>
      </c>
      <c r="H1898" t="s">
        <v>4828</v>
      </c>
      <c r="I1898" s="1" t="str">
        <f>VLOOKUP(F1898,'RM Used'!B:D,3,0)</f>
        <v>RM-FOOD</v>
      </c>
      <c r="J1898" s="66">
        <v>1</v>
      </c>
      <c r="K1898" s="150">
        <f t="shared" ref="K1898:K1903" si="747">IF(I1898="RM-FOOD",J1898*E1898,"")</f>
        <v>2</v>
      </c>
      <c r="L1898" s="35">
        <f t="shared" ref="L1898:L1903" si="748">IFERROR(K1898*Z1898,0)</f>
        <v>2</v>
      </c>
      <c r="M1898" s="77" cm="1">
        <f t="array" ref="M1898">_xlfn.IFS(BOM!I1898="RM-PACKING","100%",B1898="Reynolds",VLOOKUP(H1898,'Yield &amp; Time'!A:V,22,0),BOM!B1898="Dnata",VLOOKUP(BOM!H1898,'Yield &amp; Time'!A:M,13,0),B1898="NK",VLOOKUP(H1898,'Yield &amp; Time'!A:X,24,0))</f>
        <v>0.46</v>
      </c>
      <c r="N1898" s="35">
        <f t="shared" ref="N1898:N1903" si="749">IFERROR(IF(I1898="RM-FOOD",(E1898*J1898)/M1898,1),0)</f>
        <v>4.3478260869565215</v>
      </c>
      <c r="O1898" s="1" t="str">
        <f>VLOOKUP(H1898,'RM Used'!A:E,5,0)</f>
        <v>KG</v>
      </c>
      <c r="P1898" s="11">
        <f>VLOOKUP(H1898,'RM Used'!A:F,6,0)</f>
        <v>1.1000000000000001</v>
      </c>
      <c r="Q1898" s="11">
        <f t="shared" ref="Q1898:Q1903" si="750">P1898*N1898</f>
        <v>4.7826086956521738</v>
      </c>
      <c r="R1898" s="11">
        <f>IFERROR(IF(B1898="Reynolds",VLOOKUP(H1898,'Yield &amp; Time'!A:U,21,0),VLOOKUP(H1898,'Yield &amp; Time'!A:L,12,0)),0)</f>
        <v>4.5200000000000005</v>
      </c>
      <c r="S1898" s="11">
        <f t="shared" ref="S1898:S1903" si="751">R1898*J1898*E1898*AO$1</f>
        <v>3.0600399999999999</v>
      </c>
      <c r="T1898" s="11">
        <f t="shared" ref="T1898:T1903" si="752">(R1898*Z1898*J1898*E1898)/60</f>
        <v>0.15066666666666667</v>
      </c>
      <c r="U1898" s="11">
        <f>IF(A1897=A1898,0,VLOOKUP(A1898,'Packing Time'!A:F,6,0))</f>
        <v>0.8</v>
      </c>
      <c r="V1898" s="11">
        <f t="shared" ref="V1898:V1903" si="753">U1898*AO$1</f>
        <v>0.27079999999999999</v>
      </c>
      <c r="W1898" s="11">
        <f t="shared" ref="W1898:W1903" si="754">(U1898*Z1898)/60</f>
        <v>1.3333333333333334E-2</v>
      </c>
      <c r="X1898" s="11">
        <f t="shared" ref="X1898:X1903" si="755">((R1898*J1898*E1898)+U1898)*AO$1*AP1898</f>
        <v>3.6639240000000006</v>
      </c>
      <c r="Y1898" s="11">
        <f t="shared" ref="Y1898:Y1903" si="756">X1898*Z1898</f>
        <v>3.6639240000000006</v>
      </c>
      <c r="Z1898" s="37">
        <v>1</v>
      </c>
      <c r="AA1898" s="36">
        <f t="shared" ref="AA1898:AA1903" si="757">Z1898*N1898</f>
        <v>4.3478260869565215</v>
      </c>
      <c r="AB1898" s="36">
        <f t="shared" ref="AB1898:AB1903" si="758">AA1898*P1898</f>
        <v>4.7826086956521738</v>
      </c>
      <c r="AC1898" s="11">
        <f t="shared" ref="AC1898:AC1903" si="759">(((R1898*J1898*E1898)+U1898)/60)*Z1898*AP1898</f>
        <v>0.18040000000000006</v>
      </c>
      <c r="AD1898" s="36">
        <f t="shared" ref="AD1898:AD1903" si="760">AC1898*60*AO$1</f>
        <v>3.6639240000000006</v>
      </c>
      <c r="AE1898" s="36"/>
      <c r="AF1898" s="36">
        <f>IFERROR(VLOOKUP(AE1898,'Chemical Cost'!A:D,4,0),0)</f>
        <v>0</v>
      </c>
      <c r="AG1898" s="114">
        <f t="shared" ref="AG1898:AG1903" si="761">AF1898*N1898/3</f>
        <v>0</v>
      </c>
      <c r="AH1898" s="36">
        <f t="shared" ref="AH1898:AH1903" si="762">AF1898*AA1898/3</f>
        <v>0</v>
      </c>
      <c r="AI1898" s="36">
        <f t="shared" ref="AI1898:AI1903" si="763">IFERROR((Q1898*Z1898)+(Z1898*X1898)+AH1898,0)</f>
        <v>8.4465326956521736</v>
      </c>
      <c r="AJ1898" s="36">
        <f>IFERROR(VLOOKUP(A1898,'All Products'!A:F,6,0),0)</f>
        <v>0</v>
      </c>
      <c r="AK1898" s="36"/>
      <c r="AL1898" s="23">
        <v>0.85</v>
      </c>
      <c r="AM1898" s="23">
        <v>0.15</v>
      </c>
      <c r="AN1898" s="54" t="e">
        <v>#N/A</v>
      </c>
      <c r="AO1898" s="47"/>
      <c r="AP1898" s="4">
        <v>1.1000000000000001</v>
      </c>
      <c r="AQ1898" s="111">
        <f t="shared" ref="AQ1898:AQ1903" si="764">(((R1898*J1898*E1898)+U1898)/60)*AP1898</f>
        <v>0.18040000000000006</v>
      </c>
      <c r="AR1898">
        <f>_xlfn.XLOOKUP(F1898,'RM Cost'!A:A,'RM Cost'!S:S)</f>
        <v>0</v>
      </c>
      <c r="AS1898" t="str">
        <f>_xlfn.XLOOKUP(A1898,[3]Sheet1!$B:$B,[3]Sheet1!$B:$B)</f>
        <v>277CCS</v>
      </c>
      <c r="AT1898" t="str">
        <f>_xlfn.XLOOKUP(H1898,'Yield &amp; Time'!A:A,'Yield &amp; Time'!O:O)</f>
        <v>Yes</v>
      </c>
    </row>
    <row r="1899" spans="1:46" x14ac:dyDescent="0.25">
      <c r="A1899" t="s">
        <v>4823</v>
      </c>
      <c r="B1899" s="1" t="s">
        <v>552</v>
      </c>
      <c r="C1899" t="s">
        <v>4825</v>
      </c>
      <c r="D1899" s="1" t="s">
        <v>554</v>
      </c>
      <c r="E1899" s="141">
        <v>2</v>
      </c>
      <c r="F1899" s="1" t="str">
        <f>VLOOKUP(H1899,'RM Used'!A:B,2,0)</f>
        <v>P0008</v>
      </c>
      <c r="G1899" s="1" t="str">
        <f>IFERROR(VLOOKUP(F1899,'RM Cost'!A:B,2,0),"")</f>
        <v>PALE BLUE BAG 470X750MM</v>
      </c>
      <c r="H1899" s="1" t="s">
        <v>1323</v>
      </c>
      <c r="I1899" s="1" t="str">
        <f>VLOOKUP(F1899,'RM Used'!B:D,3,0)</f>
        <v>RM-PACKING</v>
      </c>
      <c r="J1899" s="66">
        <v>1</v>
      </c>
      <c r="K1899" s="150" t="str">
        <f t="shared" si="747"/>
        <v/>
      </c>
      <c r="L1899" s="35">
        <f t="shared" si="748"/>
        <v>0</v>
      </c>
      <c r="M1899" s="77" t="str" cm="1">
        <f t="array" ref="M1899">_xlfn.IFS(BOM!I1899="RM-PACKING","100%",B1899="Reynolds",VLOOKUP(H1899,'Yield &amp; Time'!A:V,22,0),BOM!B1899="Dnata",VLOOKUP(BOM!H1899,'Yield &amp; Time'!A:M,13,0),B1899="NK",VLOOKUP(H1899,'Yield &amp; Time'!A:X,24,0))</f>
        <v>100%</v>
      </c>
      <c r="N1899" s="35">
        <f t="shared" si="749"/>
        <v>1</v>
      </c>
      <c r="O1899" s="1" t="str">
        <f>VLOOKUP(H1899,'RM Used'!A:E,5,0)</f>
        <v>Count</v>
      </c>
      <c r="P1899" s="11">
        <f>VLOOKUP(H1899,'RM Used'!A:F,6,0)</f>
        <v>0.14000000000000001</v>
      </c>
      <c r="Q1899" s="11">
        <f t="shared" si="750"/>
        <v>0.14000000000000001</v>
      </c>
      <c r="R1899" s="11">
        <f>IFERROR(IF(B1899="Reynolds",VLOOKUP(H1899,'Yield &amp; Time'!A:U,21,0),VLOOKUP(H1899,'Yield &amp; Time'!A:L,12,0)),0)</f>
        <v>0</v>
      </c>
      <c r="S1899" s="11">
        <f t="shared" si="751"/>
        <v>0</v>
      </c>
      <c r="T1899" s="11">
        <f t="shared" si="752"/>
        <v>0</v>
      </c>
      <c r="U1899" s="11">
        <f>IF(A1898=A1899,0,VLOOKUP(A1899,'Packing Time'!A:F,6,0))</f>
        <v>0</v>
      </c>
      <c r="V1899" s="11">
        <f t="shared" si="753"/>
        <v>0</v>
      </c>
      <c r="W1899" s="11">
        <f t="shared" si="754"/>
        <v>0</v>
      </c>
      <c r="X1899" s="11">
        <f t="shared" si="755"/>
        <v>0</v>
      </c>
      <c r="Y1899" s="11">
        <f t="shared" si="756"/>
        <v>0</v>
      </c>
      <c r="Z1899" s="37">
        <v>1</v>
      </c>
      <c r="AA1899" s="36">
        <f t="shared" si="757"/>
        <v>1</v>
      </c>
      <c r="AB1899" s="36">
        <f t="shared" si="758"/>
        <v>0.14000000000000001</v>
      </c>
      <c r="AC1899" s="11">
        <f t="shared" si="759"/>
        <v>0</v>
      </c>
      <c r="AD1899" s="36">
        <f t="shared" si="760"/>
        <v>0</v>
      </c>
      <c r="AE1899" s="36"/>
      <c r="AF1899" s="36">
        <f>IFERROR(VLOOKUP(AE1899,'Chemical Cost'!A:D,4,0),0)</f>
        <v>0</v>
      </c>
      <c r="AG1899" s="114">
        <f t="shared" si="761"/>
        <v>0</v>
      </c>
      <c r="AH1899" s="36">
        <f t="shared" si="762"/>
        <v>0</v>
      </c>
      <c r="AI1899" s="36">
        <f t="shared" si="763"/>
        <v>0.14000000000000001</v>
      </c>
      <c r="AJ1899" s="36">
        <f>IFERROR(VLOOKUP(A1899,'All Products'!A:F,6,0),0)</f>
        <v>0</v>
      </c>
      <c r="AK1899" s="36"/>
      <c r="AL1899" s="23">
        <v>0.85</v>
      </c>
      <c r="AM1899" s="23">
        <v>0.15</v>
      </c>
      <c r="AN1899" s="54" t="e">
        <v>#N/A</v>
      </c>
      <c r="AO1899" s="47"/>
      <c r="AP1899" s="4">
        <v>1.1000000000000001</v>
      </c>
      <c r="AQ1899" s="111">
        <f t="shared" si="764"/>
        <v>0</v>
      </c>
      <c r="AR1899">
        <f>_xlfn.XLOOKUP(F1899,'RM Cost'!A:A,'RM Cost'!S:S)</f>
        <v>0</v>
      </c>
      <c r="AS1899" t="str">
        <f>_xlfn.XLOOKUP(A1899,[3]Sheet1!$B:$B,[3]Sheet1!$B:$B)</f>
        <v>277CCS</v>
      </c>
      <c r="AT1899" t="e">
        <f>_xlfn.XLOOKUP(H1899,'Yield &amp; Time'!A:A,'Yield &amp; Time'!F:F)</f>
        <v>#N/A</v>
      </c>
    </row>
    <row r="1900" spans="1:46" x14ac:dyDescent="0.25">
      <c r="A1900" t="s">
        <v>4823</v>
      </c>
      <c r="B1900" s="1" t="s">
        <v>552</v>
      </c>
      <c r="C1900" t="s">
        <v>4825</v>
      </c>
      <c r="D1900" s="1" t="s">
        <v>554</v>
      </c>
      <c r="E1900" s="141">
        <v>2</v>
      </c>
      <c r="F1900" s="1" t="str">
        <f>VLOOKUP(H1900,'RM Used'!A:B,2,0)</f>
        <v>P0016A</v>
      </c>
      <c r="G1900" s="1" t="str">
        <f>IFERROR(VLOOKUP(F1900,'RM Cost'!A:B,2,0),"")</f>
        <v>REY 40 30 BOX 4 in 1</v>
      </c>
      <c r="H1900" t="s">
        <v>4746</v>
      </c>
      <c r="I1900" s="1" t="str">
        <f>VLOOKUP(F1900,'RM Used'!B:D,3,0)</f>
        <v>RM-PACKING</v>
      </c>
      <c r="J1900" s="66">
        <v>1</v>
      </c>
      <c r="K1900" s="150" t="str">
        <f t="shared" si="747"/>
        <v/>
      </c>
      <c r="L1900" s="35">
        <f t="shared" si="748"/>
        <v>0</v>
      </c>
      <c r="M1900" s="77" t="str" cm="1">
        <f t="array" ref="M1900">_xlfn.IFS(BOM!I1900="RM-PACKING","100%",B1900="Reynolds",VLOOKUP(H1900,'Yield &amp; Time'!A:V,22,0),BOM!B1900="Dnata",VLOOKUP(BOM!H1900,'Yield &amp; Time'!A:M,13,0),B1900="NK",VLOOKUP(H1900,'Yield &amp; Time'!A:X,24,0))</f>
        <v>100%</v>
      </c>
      <c r="N1900" s="35">
        <f t="shared" si="749"/>
        <v>1</v>
      </c>
      <c r="O1900" s="1" t="str">
        <f>VLOOKUP(H1900,'RM Used'!A:E,5,0)</f>
        <v>KG</v>
      </c>
      <c r="P1900" s="11">
        <f>VLOOKUP(H1900,'RM Used'!A:F,6,0)</f>
        <v>7.0000000000000007E-2</v>
      </c>
      <c r="Q1900" s="11">
        <f t="shared" si="750"/>
        <v>7.0000000000000007E-2</v>
      </c>
      <c r="R1900" s="11">
        <f>IFERROR(IF(B1900="Reynolds",VLOOKUP(H1900,'Yield &amp; Time'!A:U,21,0),VLOOKUP(H1900,'Yield &amp; Time'!A:L,12,0)),0)</f>
        <v>0</v>
      </c>
      <c r="S1900" s="11">
        <f t="shared" si="751"/>
        <v>0</v>
      </c>
      <c r="T1900" s="11">
        <f t="shared" si="752"/>
        <v>0</v>
      </c>
      <c r="U1900" s="11">
        <f>IF(A1899=A1900,0,VLOOKUP(A1900,'Packing Time'!A:F,6,0))</f>
        <v>0</v>
      </c>
      <c r="V1900" s="11">
        <f t="shared" si="753"/>
        <v>0</v>
      </c>
      <c r="W1900" s="11">
        <f t="shared" si="754"/>
        <v>0</v>
      </c>
      <c r="X1900" s="11">
        <f t="shared" si="755"/>
        <v>0</v>
      </c>
      <c r="Y1900" s="11">
        <f t="shared" si="756"/>
        <v>0</v>
      </c>
      <c r="Z1900" s="37">
        <v>1</v>
      </c>
      <c r="AA1900" s="36">
        <f t="shared" si="757"/>
        <v>1</v>
      </c>
      <c r="AB1900" s="36">
        <f t="shared" si="758"/>
        <v>7.0000000000000007E-2</v>
      </c>
      <c r="AC1900" s="11">
        <f t="shared" si="759"/>
        <v>0</v>
      </c>
      <c r="AD1900" s="36">
        <f t="shared" si="760"/>
        <v>0</v>
      </c>
      <c r="AE1900" s="36"/>
      <c r="AF1900" s="36">
        <f>IFERROR(VLOOKUP(AE1900,'Chemical Cost'!A:D,4,0),0)</f>
        <v>0</v>
      </c>
      <c r="AG1900" s="114">
        <f t="shared" si="761"/>
        <v>0</v>
      </c>
      <c r="AH1900" s="36">
        <f t="shared" si="762"/>
        <v>0</v>
      </c>
      <c r="AI1900" s="36">
        <f t="shared" si="763"/>
        <v>7.0000000000000007E-2</v>
      </c>
      <c r="AJ1900" s="36">
        <f>IFERROR(VLOOKUP(A1900,'All Products'!A:F,6,0),0)</f>
        <v>0</v>
      </c>
      <c r="AK1900" s="36"/>
      <c r="AL1900" s="23">
        <v>0.85</v>
      </c>
      <c r="AM1900" s="23">
        <v>0.15</v>
      </c>
      <c r="AN1900" s="54" t="e">
        <v>#N/A</v>
      </c>
      <c r="AO1900" s="47"/>
      <c r="AP1900" s="4">
        <v>1.1000000000000001</v>
      </c>
      <c r="AQ1900" s="111">
        <f t="shared" si="764"/>
        <v>0</v>
      </c>
      <c r="AR1900">
        <f>_xlfn.XLOOKUP(F1900,'RM Cost'!A:A,'RM Cost'!S:S)</f>
        <v>0</v>
      </c>
      <c r="AS1900" t="str">
        <f>_xlfn.XLOOKUP(A1900,[3]Sheet1!$B:$B,[3]Sheet1!$B:$B)</f>
        <v>277CCS</v>
      </c>
      <c r="AT1900" t="e">
        <f>_xlfn.XLOOKUP(H1900,'Yield &amp; Time'!A:A,'Yield &amp; Time'!F:F)</f>
        <v>#N/A</v>
      </c>
    </row>
    <row r="1901" spans="1:46" x14ac:dyDescent="0.25">
      <c r="A1901" t="s">
        <v>4824</v>
      </c>
      <c r="B1901" s="1" t="s">
        <v>552</v>
      </c>
      <c r="C1901" t="s">
        <v>4826</v>
      </c>
      <c r="D1901" s="1" t="s">
        <v>554</v>
      </c>
      <c r="E1901" s="141">
        <v>2</v>
      </c>
      <c r="F1901" s="1" t="str">
        <f>VLOOKUP(H1901,'RM Used'!A:B,2,0)</f>
        <v>3026CS</v>
      </c>
      <c r="G1901" s="1" t="str">
        <f>IFERROR(VLOOKUP(F1901,'RM Cost'!A:B,2,0),"")</f>
        <v>RM - BEETROOT RAW  X10KG</v>
      </c>
      <c r="H1901" t="s">
        <v>4827</v>
      </c>
      <c r="I1901" s="1" t="str">
        <f>VLOOKUP(F1901,'RM Used'!B:D,3,0)</f>
        <v>RM-FOOD</v>
      </c>
      <c r="J1901" s="66">
        <v>1</v>
      </c>
      <c r="K1901" s="150">
        <f t="shared" si="747"/>
        <v>2</v>
      </c>
      <c r="L1901" s="35">
        <f t="shared" si="748"/>
        <v>2</v>
      </c>
      <c r="M1901" s="77" cm="1">
        <f t="array" ref="M1901">_xlfn.IFS(BOM!I1901="RM-PACKING","100%",B1901="Reynolds",VLOOKUP(H1901,'Yield &amp; Time'!A:V,22,0),BOM!B1901="Dnata",VLOOKUP(BOM!H1901,'Yield &amp; Time'!A:M,13,0),B1901="NK",VLOOKUP(H1901,'Yield &amp; Time'!A:X,24,0))</f>
        <v>0.49</v>
      </c>
      <c r="N1901" s="35">
        <f t="shared" si="749"/>
        <v>4.0816326530612246</v>
      </c>
      <c r="O1901" s="1" t="str">
        <f>VLOOKUP(H1901,'RM Used'!A:E,5,0)</f>
        <v>KG</v>
      </c>
      <c r="P1901" s="11">
        <f>VLOOKUP(H1901,'RM Used'!A:F,6,0)</f>
        <v>0.47</v>
      </c>
      <c r="Q1901" s="11">
        <f t="shared" si="750"/>
        <v>1.9183673469387754</v>
      </c>
      <c r="R1901" s="11">
        <f>IFERROR(IF(B1901="Reynolds",VLOOKUP(H1901,'Yield &amp; Time'!A:U,21,0),VLOOKUP(H1901,'Yield &amp; Time'!A:L,12,0)),0)</f>
        <v>4.2</v>
      </c>
      <c r="S1901" s="11">
        <f t="shared" si="751"/>
        <v>2.8433999999999999</v>
      </c>
      <c r="T1901" s="11">
        <f t="shared" si="752"/>
        <v>0.14000000000000001</v>
      </c>
      <c r="U1901" s="11">
        <f>IF(A1900=A1901,0,VLOOKUP(A1901,'Packing Time'!A:F,6,0))</f>
        <v>0.8</v>
      </c>
      <c r="V1901" s="11">
        <f t="shared" si="753"/>
        <v>0.27079999999999999</v>
      </c>
      <c r="W1901" s="11">
        <f t="shared" si="754"/>
        <v>1.3333333333333334E-2</v>
      </c>
      <c r="X1901" s="11">
        <f t="shared" si="755"/>
        <v>3.4256200000000003</v>
      </c>
      <c r="Y1901" s="11">
        <f t="shared" si="756"/>
        <v>3.4256200000000003</v>
      </c>
      <c r="Z1901" s="37">
        <v>1</v>
      </c>
      <c r="AA1901" s="36">
        <f t="shared" si="757"/>
        <v>4.0816326530612246</v>
      </c>
      <c r="AB1901" s="36">
        <f t="shared" si="758"/>
        <v>1.9183673469387754</v>
      </c>
      <c r="AC1901" s="11">
        <f t="shared" si="759"/>
        <v>0.16866666666666669</v>
      </c>
      <c r="AD1901" s="36">
        <f t="shared" si="760"/>
        <v>3.4256199999999999</v>
      </c>
      <c r="AE1901" s="36"/>
      <c r="AF1901" s="36">
        <f>IFERROR(VLOOKUP(AE1901,'Chemical Cost'!A:D,4,0),0)</f>
        <v>0</v>
      </c>
      <c r="AG1901" s="114">
        <f t="shared" si="761"/>
        <v>0</v>
      </c>
      <c r="AH1901" s="36">
        <f t="shared" si="762"/>
        <v>0</v>
      </c>
      <c r="AI1901" s="36">
        <f t="shared" si="763"/>
        <v>5.3439873469387758</v>
      </c>
      <c r="AJ1901" s="36">
        <f>IFERROR(VLOOKUP(A1901,'All Products'!A:F,6,0),0)</f>
        <v>0</v>
      </c>
      <c r="AK1901" s="36"/>
      <c r="AL1901" s="23">
        <v>0.85</v>
      </c>
      <c r="AM1901" s="23">
        <v>0.15</v>
      </c>
      <c r="AN1901" s="54" t="e">
        <v>#N/A</v>
      </c>
      <c r="AO1901" s="47"/>
      <c r="AP1901" s="4">
        <v>1.1000000000000001</v>
      </c>
      <c r="AQ1901" s="111">
        <f t="shared" si="764"/>
        <v>0.16866666666666669</v>
      </c>
      <c r="AR1901">
        <f>_xlfn.XLOOKUP(F1901,'RM Cost'!A:A,'RM Cost'!S:S)</f>
        <v>0</v>
      </c>
      <c r="AS1901" t="str">
        <f>_xlfn.XLOOKUP(A1901,[3]Sheet1!$B:$B,[3]Sheet1!$B:$B)</f>
        <v>278CCS</v>
      </c>
      <c r="AT1901" t="str">
        <f>_xlfn.XLOOKUP(H1901,'Yield &amp; Time'!A:A,'Yield &amp; Time'!O:O)</f>
        <v>Yes</v>
      </c>
    </row>
    <row r="1902" spans="1:46" x14ac:dyDescent="0.25">
      <c r="A1902" t="s">
        <v>4824</v>
      </c>
      <c r="B1902" s="1" t="s">
        <v>552</v>
      </c>
      <c r="C1902" t="s">
        <v>4826</v>
      </c>
      <c r="D1902" s="1" t="s">
        <v>554</v>
      </c>
      <c r="E1902" s="141">
        <v>2</v>
      </c>
      <c r="F1902" s="1" t="str">
        <f>VLOOKUP(H1902,'RM Used'!A:B,2,0)</f>
        <v>P0008</v>
      </c>
      <c r="G1902" s="1" t="str">
        <f>IFERROR(VLOOKUP(F1902,'RM Cost'!A:B,2,0),"")</f>
        <v>PALE BLUE BAG 470X750MM</v>
      </c>
      <c r="H1902" s="1" t="s">
        <v>1323</v>
      </c>
      <c r="I1902" s="1" t="str">
        <f>VLOOKUP(F1902,'RM Used'!B:D,3,0)</f>
        <v>RM-PACKING</v>
      </c>
      <c r="J1902" s="66">
        <v>1</v>
      </c>
      <c r="K1902" s="150" t="str">
        <f t="shared" si="747"/>
        <v/>
      </c>
      <c r="L1902" s="35">
        <f t="shared" si="748"/>
        <v>0</v>
      </c>
      <c r="M1902" s="77" t="str" cm="1">
        <f t="array" ref="M1902">_xlfn.IFS(BOM!I1902="RM-PACKING","100%",B1902="Reynolds",VLOOKUP(H1902,'Yield &amp; Time'!A:V,22,0),BOM!B1902="Dnata",VLOOKUP(BOM!H1902,'Yield &amp; Time'!A:M,13,0),B1902="NK",VLOOKUP(H1902,'Yield &amp; Time'!A:X,24,0))</f>
        <v>100%</v>
      </c>
      <c r="N1902" s="35">
        <f t="shared" si="749"/>
        <v>1</v>
      </c>
      <c r="O1902" s="1" t="str">
        <f>VLOOKUP(H1902,'RM Used'!A:E,5,0)</f>
        <v>Count</v>
      </c>
      <c r="P1902" s="11">
        <f>VLOOKUP(H1902,'RM Used'!A:F,6,0)</f>
        <v>0.14000000000000001</v>
      </c>
      <c r="Q1902" s="11">
        <f t="shared" si="750"/>
        <v>0.14000000000000001</v>
      </c>
      <c r="R1902" s="11">
        <f>IFERROR(IF(B1902="Reynolds",VLOOKUP(H1902,'Yield &amp; Time'!A:U,21,0),VLOOKUP(H1902,'Yield &amp; Time'!A:L,12,0)),0)</f>
        <v>0</v>
      </c>
      <c r="S1902" s="11">
        <f t="shared" si="751"/>
        <v>0</v>
      </c>
      <c r="T1902" s="11">
        <f t="shared" si="752"/>
        <v>0</v>
      </c>
      <c r="U1902" s="11">
        <f>IF(A1901=A1902,0,VLOOKUP(A1902,'Packing Time'!A:F,6,0))</f>
        <v>0</v>
      </c>
      <c r="V1902" s="11">
        <f t="shared" si="753"/>
        <v>0</v>
      </c>
      <c r="W1902" s="11">
        <f t="shared" si="754"/>
        <v>0</v>
      </c>
      <c r="X1902" s="11">
        <f t="shared" si="755"/>
        <v>0</v>
      </c>
      <c r="Y1902" s="11">
        <f t="shared" si="756"/>
        <v>0</v>
      </c>
      <c r="Z1902" s="37">
        <v>1</v>
      </c>
      <c r="AA1902" s="36">
        <f t="shared" si="757"/>
        <v>1</v>
      </c>
      <c r="AB1902" s="36">
        <f t="shared" si="758"/>
        <v>0.14000000000000001</v>
      </c>
      <c r="AC1902" s="11">
        <f t="shared" si="759"/>
        <v>0</v>
      </c>
      <c r="AD1902" s="36">
        <f t="shared" si="760"/>
        <v>0</v>
      </c>
      <c r="AE1902" s="36"/>
      <c r="AF1902" s="36">
        <f>IFERROR(VLOOKUP(AE1902,'Chemical Cost'!A:D,4,0),0)</f>
        <v>0</v>
      </c>
      <c r="AG1902" s="114">
        <f t="shared" si="761"/>
        <v>0</v>
      </c>
      <c r="AH1902" s="36">
        <f t="shared" si="762"/>
        <v>0</v>
      </c>
      <c r="AI1902" s="36">
        <f t="shared" si="763"/>
        <v>0.14000000000000001</v>
      </c>
      <c r="AJ1902" s="36">
        <f>IFERROR(VLOOKUP(A1902,'All Products'!A:F,6,0),0)</f>
        <v>0</v>
      </c>
      <c r="AK1902" s="36"/>
      <c r="AL1902" s="23">
        <v>0.85</v>
      </c>
      <c r="AM1902" s="23">
        <v>0.15</v>
      </c>
      <c r="AN1902" s="54" t="e">
        <v>#N/A</v>
      </c>
      <c r="AO1902" s="47"/>
      <c r="AP1902" s="4">
        <v>1.1000000000000001</v>
      </c>
      <c r="AQ1902" s="111">
        <f t="shared" si="764"/>
        <v>0</v>
      </c>
      <c r="AR1902">
        <f>_xlfn.XLOOKUP(F1902,'RM Cost'!A:A,'RM Cost'!S:S)</f>
        <v>0</v>
      </c>
      <c r="AS1902" t="str">
        <f>_xlfn.XLOOKUP(A1902,[3]Sheet1!$B:$B,[3]Sheet1!$B:$B)</f>
        <v>278CCS</v>
      </c>
      <c r="AT1902" t="e">
        <f>_xlfn.XLOOKUP(H1902,'Yield &amp; Time'!A:A,'Yield &amp; Time'!F:F)</f>
        <v>#N/A</v>
      </c>
    </row>
    <row r="1903" spans="1:46" x14ac:dyDescent="0.25">
      <c r="A1903" t="s">
        <v>4824</v>
      </c>
      <c r="B1903" s="1" t="s">
        <v>552</v>
      </c>
      <c r="C1903" t="s">
        <v>4826</v>
      </c>
      <c r="D1903" s="1" t="s">
        <v>554</v>
      </c>
      <c r="E1903" s="141">
        <v>2</v>
      </c>
      <c r="F1903" s="1" t="str">
        <f>VLOOKUP(H1903,'RM Used'!A:B,2,0)</f>
        <v>P0016A</v>
      </c>
      <c r="G1903" s="1" t="str">
        <f>IFERROR(VLOOKUP(F1903,'RM Cost'!A:B,2,0),"")</f>
        <v>REY 40 30 BOX 4 in 1</v>
      </c>
      <c r="H1903" t="s">
        <v>4746</v>
      </c>
      <c r="I1903" s="1" t="str">
        <f>VLOOKUP(F1903,'RM Used'!B:D,3,0)</f>
        <v>RM-PACKING</v>
      </c>
      <c r="J1903" s="66">
        <v>1</v>
      </c>
      <c r="K1903" s="150" t="str">
        <f t="shared" si="747"/>
        <v/>
      </c>
      <c r="L1903" s="35">
        <f t="shared" si="748"/>
        <v>0</v>
      </c>
      <c r="M1903" s="77" t="str" cm="1">
        <f t="array" ref="M1903">_xlfn.IFS(BOM!I1903="RM-PACKING","100%",B1903="Reynolds",VLOOKUP(H1903,'Yield &amp; Time'!A:V,22,0),BOM!B1903="Dnata",VLOOKUP(BOM!H1903,'Yield &amp; Time'!A:M,13,0),B1903="NK",VLOOKUP(H1903,'Yield &amp; Time'!A:X,24,0))</f>
        <v>100%</v>
      </c>
      <c r="N1903" s="35">
        <f t="shared" si="749"/>
        <v>1</v>
      </c>
      <c r="O1903" s="1" t="str">
        <f>VLOOKUP(H1903,'RM Used'!A:E,5,0)</f>
        <v>KG</v>
      </c>
      <c r="P1903" s="11">
        <f>VLOOKUP(H1903,'RM Used'!A:F,6,0)</f>
        <v>7.0000000000000007E-2</v>
      </c>
      <c r="Q1903" s="11">
        <f t="shared" si="750"/>
        <v>7.0000000000000007E-2</v>
      </c>
      <c r="R1903" s="11">
        <f>IFERROR(IF(B1903="Reynolds",VLOOKUP(H1903,'Yield &amp; Time'!A:U,21,0),VLOOKUP(H1903,'Yield &amp; Time'!A:L,12,0)),0)</f>
        <v>0</v>
      </c>
      <c r="S1903" s="11">
        <f t="shared" si="751"/>
        <v>0</v>
      </c>
      <c r="T1903" s="11">
        <f t="shared" si="752"/>
        <v>0</v>
      </c>
      <c r="U1903" s="11">
        <f>IF(A1902=A1903,0,VLOOKUP(A1903,'Packing Time'!A:F,6,0))</f>
        <v>0</v>
      </c>
      <c r="V1903" s="11">
        <f t="shared" si="753"/>
        <v>0</v>
      </c>
      <c r="W1903" s="11">
        <f t="shared" si="754"/>
        <v>0</v>
      </c>
      <c r="X1903" s="11">
        <f t="shared" si="755"/>
        <v>0</v>
      </c>
      <c r="Y1903" s="11">
        <f t="shared" si="756"/>
        <v>0</v>
      </c>
      <c r="Z1903" s="37">
        <v>1</v>
      </c>
      <c r="AA1903" s="36">
        <f t="shared" si="757"/>
        <v>1</v>
      </c>
      <c r="AB1903" s="36">
        <f t="shared" si="758"/>
        <v>7.0000000000000007E-2</v>
      </c>
      <c r="AC1903" s="11">
        <f t="shared" si="759"/>
        <v>0</v>
      </c>
      <c r="AD1903" s="36">
        <f t="shared" si="760"/>
        <v>0</v>
      </c>
      <c r="AE1903" s="36"/>
      <c r="AF1903" s="36">
        <f>IFERROR(VLOOKUP(AE1903,'Chemical Cost'!A:D,4,0),0)</f>
        <v>0</v>
      </c>
      <c r="AG1903" s="114">
        <f t="shared" si="761"/>
        <v>0</v>
      </c>
      <c r="AH1903" s="36">
        <f t="shared" si="762"/>
        <v>0</v>
      </c>
      <c r="AI1903" s="36">
        <f t="shared" si="763"/>
        <v>7.0000000000000007E-2</v>
      </c>
      <c r="AJ1903" s="36">
        <f>IFERROR(VLOOKUP(A1903,'All Products'!A:F,6,0),0)</f>
        <v>0</v>
      </c>
      <c r="AK1903" s="36"/>
      <c r="AL1903" s="23">
        <v>0.85</v>
      </c>
      <c r="AM1903" s="23">
        <v>0.15</v>
      </c>
      <c r="AN1903" s="54" t="e">
        <v>#N/A</v>
      </c>
      <c r="AO1903" s="47"/>
      <c r="AP1903" s="4">
        <v>1.1000000000000001</v>
      </c>
      <c r="AQ1903" s="111">
        <f t="shared" si="764"/>
        <v>0</v>
      </c>
      <c r="AR1903">
        <f>_xlfn.XLOOKUP(F1903,'RM Cost'!A:A,'RM Cost'!S:S)</f>
        <v>0</v>
      </c>
      <c r="AS1903" t="str">
        <f>_xlfn.XLOOKUP(A1903,[3]Sheet1!$B:$B,[3]Sheet1!$B:$B)</f>
        <v>278CCS</v>
      </c>
      <c r="AT1903" t="e">
        <f>_xlfn.XLOOKUP(H1903,'Yield &amp; Time'!A:A,'Yield &amp; Time'!F:F)</f>
        <v>#N/A</v>
      </c>
    </row>
    <row r="1904" spans="1:46" x14ac:dyDescent="0.25">
      <c r="A1904" t="s">
        <v>4838</v>
      </c>
      <c r="B1904" s="1" t="s">
        <v>552</v>
      </c>
      <c r="C1904" t="s">
        <v>4840</v>
      </c>
      <c r="D1904" s="1" t="s">
        <v>554</v>
      </c>
      <c r="E1904" s="141">
        <v>5</v>
      </c>
      <c r="F1904" s="1" t="str">
        <f>VLOOKUP(H1904,'RM Used'!A:B,2,0)</f>
        <v>T001CS</v>
      </c>
      <c r="G1904" s="1" t="str">
        <f>IFERROR(VLOOKUP(F1904,'RM Cost'!A:B,2,0),"")</f>
        <v>RM - THOMSON POTATO</v>
      </c>
      <c r="H1904" t="s">
        <v>4845</v>
      </c>
      <c r="I1904" s="1" t="str">
        <f>VLOOKUP(F1904,'RM Used'!B:D,3,0)</f>
        <v>RM-FOOD</v>
      </c>
      <c r="J1904" s="66">
        <v>1</v>
      </c>
      <c r="K1904" s="150">
        <f t="shared" ref="K1904:K1945" si="765">IF(I1904="RM-FOOD",J1904*E1904,"")</f>
        <v>5</v>
      </c>
      <c r="L1904" s="35">
        <f t="shared" ref="L1904:L1960" si="766">IFERROR(K1904*Z1904,0)</f>
        <v>5</v>
      </c>
      <c r="M1904" s="77" cm="1">
        <f t="array" ref="M1904">_xlfn.IFS(BOM!I1904="RM-PACKING","100%",B1904="Reynolds",VLOOKUP(H1904,'Yield &amp; Time'!A:V,22,0),BOM!B1904="Dnata",VLOOKUP(BOM!H1904,'Yield &amp; Time'!A:M,13,0),B1904="NK",VLOOKUP(H1904,'Yield &amp; Time'!A:X,24,0))</f>
        <v>0.73</v>
      </c>
      <c r="N1904" s="35">
        <f t="shared" ref="N1904:N1945" si="767">IFERROR(IF(I1904="RM-FOOD",(E1904*J1904)/M1904,1),0)</f>
        <v>6.8493150684931505</v>
      </c>
      <c r="O1904" s="1" t="str">
        <f>VLOOKUP(H1904,'RM Used'!A:E,5,0)</f>
        <v>KG</v>
      </c>
      <c r="P1904" s="11">
        <f>VLOOKUP(H1904,'RM Used'!A:F,6,0)</f>
        <v>0.24</v>
      </c>
      <c r="Q1904" s="11">
        <f t="shared" ref="Q1904:Q1918" si="768">P1904*N1904</f>
        <v>1.6438356164383561</v>
      </c>
      <c r="R1904" s="11">
        <f>IFERROR(IF(B1904="Reynolds",VLOOKUP(H1904,'Yield &amp; Time'!A:U,21,0),VLOOKUP(H1904,'Yield &amp; Time'!A:L,12,0)),0)</f>
        <v>0.87</v>
      </c>
      <c r="S1904" s="11">
        <f t="shared" ref="S1904:S1960" si="769">R1904*J1904*E1904*AO$1</f>
        <v>1.4724749999999998</v>
      </c>
      <c r="T1904" s="11">
        <f t="shared" ref="T1904:T1960" si="770">(R1904*Z1904*J1904*E1904)/60</f>
        <v>7.2499999999999995E-2</v>
      </c>
      <c r="U1904" s="11">
        <f>IF(A1903=A1904,0,VLOOKUP(A1904,'Packing Time'!A:F,6,0))</f>
        <v>1</v>
      </c>
      <c r="V1904" s="11">
        <f t="shared" ref="V1904:V1918" si="771">U1904*AO$1</f>
        <v>0.33849999999999997</v>
      </c>
      <c r="W1904" s="11">
        <f t="shared" ref="W1904:W1918" si="772">(U1904*Z1904)/60</f>
        <v>1.6666666666666666E-2</v>
      </c>
      <c r="X1904" s="11">
        <f t="shared" ref="X1904:X1960" si="773">((R1904*J1904*E1904)+U1904)*AO$1*AP1904</f>
        <v>1.9920724999999999</v>
      </c>
      <c r="Y1904" s="11">
        <f t="shared" ref="Y1904:Y1918" si="774">X1904*Z1904</f>
        <v>1.9920724999999999</v>
      </c>
      <c r="Z1904" s="37">
        <v>1</v>
      </c>
      <c r="AA1904" s="36">
        <f t="shared" ref="AA1904:AA1960" si="775">Z1904*N1904</f>
        <v>6.8493150684931505</v>
      </c>
      <c r="AB1904" s="36">
        <f t="shared" ref="AB1904:AB1960" si="776">AA1904*P1904</f>
        <v>1.6438356164383561</v>
      </c>
      <c r="AC1904" s="11">
        <f t="shared" ref="AC1904:AC1960" si="777">(((R1904*J1904*E1904)+U1904)/60)*Z1904*AP1904</f>
        <v>9.8083333333333328E-2</v>
      </c>
      <c r="AD1904" s="36">
        <f t="shared" ref="AD1904:AD1918" si="778">AC1904*60*AO$1</f>
        <v>1.9920724999999997</v>
      </c>
      <c r="AE1904" s="36"/>
      <c r="AF1904" s="36">
        <f>IFERROR(VLOOKUP(AE1904,'Chemical Cost'!A:D,4,0),0)</f>
        <v>0</v>
      </c>
      <c r="AG1904" s="114">
        <f t="shared" ref="AG1904:AG1960" si="779">AF1904*N1904/3</f>
        <v>0</v>
      </c>
      <c r="AH1904" s="36">
        <f t="shared" ref="AH1904:AH1918" si="780">AF1904*AA1904/3</f>
        <v>0</v>
      </c>
      <c r="AI1904" s="36">
        <f t="shared" ref="AI1904:AI1918" si="781">IFERROR((Q1904*Z1904)+(Z1904*X1904)+AH1904,0)</f>
        <v>3.635908116438356</v>
      </c>
      <c r="AJ1904" s="36">
        <f>IFERROR(VLOOKUP(A1904,'All Products'!A:F,6,0),0)</f>
        <v>0</v>
      </c>
      <c r="AK1904" s="36"/>
      <c r="AL1904" s="23">
        <v>0.85</v>
      </c>
      <c r="AM1904" s="23">
        <v>0.15</v>
      </c>
      <c r="AN1904" s="54" t="e">
        <v>#N/A</v>
      </c>
      <c r="AO1904" s="47"/>
      <c r="AP1904" s="4">
        <v>1.1000000000000001</v>
      </c>
      <c r="AQ1904" s="111">
        <f t="shared" ref="AQ1904:AQ1960" si="782">(((R1904*J1904*E1904)+U1904)/60)*AP1904</f>
        <v>9.8083333333333328E-2</v>
      </c>
      <c r="AR1904">
        <f>_xlfn.XLOOKUP(F1904,'RM Cost'!A:A,'RM Cost'!S:S)</f>
        <v>0</v>
      </c>
      <c r="AS1904" t="str">
        <f>_xlfn.XLOOKUP(A1904,[3]Sheet1!$B:$B,[3]Sheet1!$B:$B)</f>
        <v>DPO001</v>
      </c>
      <c r="AT1904">
        <f>_xlfn.XLOOKUP(H1904,'Yield &amp; Time'!A:A,'Yield &amp; Time'!F:F)</f>
        <v>0</v>
      </c>
    </row>
    <row r="1905" spans="1:46" x14ac:dyDescent="0.25">
      <c r="A1905" t="s">
        <v>4838</v>
      </c>
      <c r="B1905" s="1" t="s">
        <v>552</v>
      </c>
      <c r="C1905" t="s">
        <v>4840</v>
      </c>
      <c r="D1905" s="1" t="s">
        <v>554</v>
      </c>
      <c r="E1905" s="141">
        <v>5</v>
      </c>
      <c r="F1905" s="1" t="str">
        <f>VLOOKUP(H1905,'RM Used'!A:B,2,0)</f>
        <v>P0025</v>
      </c>
      <c r="G1905" s="1" t="str">
        <f>IFERROR(VLOOKUP(F1905,'RM Cost'!A:B,2,0),"")</f>
        <v>VACK PACK 360x520</v>
      </c>
      <c r="H1905" t="s">
        <v>4804</v>
      </c>
      <c r="I1905" s="1" t="str">
        <f>VLOOKUP(F1905,'RM Used'!B:D,3,0)</f>
        <v>RM-PACKING</v>
      </c>
      <c r="J1905" s="66">
        <v>1</v>
      </c>
      <c r="K1905" s="150" t="str">
        <f t="shared" si="765"/>
        <v/>
      </c>
      <c r="L1905" s="35">
        <f t="shared" si="766"/>
        <v>0</v>
      </c>
      <c r="M1905" s="77" t="str" cm="1">
        <f t="array" ref="M1905">_xlfn.IFS(BOM!I1905="RM-PACKING","100%",B1905="Reynolds",VLOOKUP(H1905,'Yield &amp; Time'!A:V,22,0),BOM!B1905="Dnata",VLOOKUP(BOM!H1905,'Yield &amp; Time'!A:M,13,0),B1905="NK",VLOOKUP(H1905,'Yield &amp; Time'!A:X,24,0))</f>
        <v>100%</v>
      </c>
      <c r="N1905" s="35">
        <f t="shared" si="767"/>
        <v>1</v>
      </c>
      <c r="O1905" s="1" t="str">
        <f>VLOOKUP(H1905,'RM Used'!A:E,5,0)</f>
        <v>Count</v>
      </c>
      <c r="P1905" s="11">
        <f>VLOOKUP(H1905,'RM Used'!A:F,6,0)</f>
        <v>0.15</v>
      </c>
      <c r="Q1905" s="11">
        <f t="shared" si="768"/>
        <v>0.15</v>
      </c>
      <c r="R1905" s="11">
        <f>IFERROR(IF(B1905="Reynolds",VLOOKUP(H1905,'Yield &amp; Time'!A:U,21,0),VLOOKUP(H1905,'Yield &amp; Time'!A:L,12,0)),0)</f>
        <v>0</v>
      </c>
      <c r="S1905" s="11">
        <f t="shared" si="769"/>
        <v>0</v>
      </c>
      <c r="T1905" s="11">
        <f t="shared" si="770"/>
        <v>0</v>
      </c>
      <c r="U1905" s="11">
        <f>IF(A1904=A1905,0,VLOOKUP(A1905,'Packing Time'!A:F,6,0))</f>
        <v>0</v>
      </c>
      <c r="V1905" s="11">
        <f t="shared" si="771"/>
        <v>0</v>
      </c>
      <c r="W1905" s="11">
        <f t="shared" si="772"/>
        <v>0</v>
      </c>
      <c r="X1905" s="11">
        <f t="shared" si="773"/>
        <v>0</v>
      </c>
      <c r="Y1905" s="11">
        <f t="shared" si="774"/>
        <v>0</v>
      </c>
      <c r="Z1905" s="37">
        <v>1</v>
      </c>
      <c r="AA1905" s="36">
        <f t="shared" si="775"/>
        <v>1</v>
      </c>
      <c r="AB1905" s="36">
        <f t="shared" si="776"/>
        <v>0.15</v>
      </c>
      <c r="AC1905" s="11">
        <f t="shared" si="777"/>
        <v>0</v>
      </c>
      <c r="AD1905" s="36">
        <f t="shared" si="778"/>
        <v>0</v>
      </c>
      <c r="AE1905" s="36"/>
      <c r="AF1905" s="36">
        <f>IFERROR(VLOOKUP(AE1905,'Chemical Cost'!A:D,4,0),0)</f>
        <v>0</v>
      </c>
      <c r="AG1905" s="114">
        <f t="shared" si="779"/>
        <v>0</v>
      </c>
      <c r="AH1905" s="36">
        <f t="shared" si="780"/>
        <v>0</v>
      </c>
      <c r="AI1905" s="36">
        <f t="shared" si="781"/>
        <v>0.15</v>
      </c>
      <c r="AJ1905" s="36">
        <f>IFERROR(VLOOKUP(A1905,'All Products'!A:F,6,0),0)</f>
        <v>0</v>
      </c>
      <c r="AK1905" s="36"/>
      <c r="AL1905" s="23">
        <v>0.85</v>
      </c>
      <c r="AM1905" s="23">
        <v>0.15</v>
      </c>
      <c r="AN1905" s="54" t="e">
        <v>#N/A</v>
      </c>
      <c r="AO1905" s="47"/>
      <c r="AP1905" s="4">
        <v>1.1000000000000001</v>
      </c>
      <c r="AQ1905" s="111">
        <f t="shared" si="782"/>
        <v>0</v>
      </c>
      <c r="AR1905">
        <f>_xlfn.XLOOKUP(F1905,'RM Cost'!A:A,'RM Cost'!S:S)</f>
        <v>0</v>
      </c>
      <c r="AS1905" t="str">
        <f>_xlfn.XLOOKUP(A1905,[3]Sheet1!$B:$B,[3]Sheet1!$B:$B)</f>
        <v>DPO001</v>
      </c>
      <c r="AT1905" t="e">
        <f>_xlfn.XLOOKUP(H1905,'Yield &amp; Time'!A:A,'Yield &amp; Time'!F:F)</f>
        <v>#N/A</v>
      </c>
    </row>
    <row r="1906" spans="1:46" x14ac:dyDescent="0.25">
      <c r="A1906" t="s">
        <v>4841</v>
      </c>
      <c r="B1906" s="1" t="s">
        <v>656</v>
      </c>
      <c r="C1906" t="s">
        <v>4842</v>
      </c>
      <c r="D1906" s="2" t="s">
        <v>554</v>
      </c>
      <c r="E1906" s="63">
        <v>1</v>
      </c>
      <c r="F1906" s="1" t="str">
        <f>VLOOKUP(H1906,'RM Used'!A:B,2,0)</f>
        <v>3210CS</v>
      </c>
      <c r="G1906" s="1" t="str">
        <f>IFERROR(VLOOKUP(F1906,'RM Cost'!A:B,2,0),"")</f>
        <v>RM - POTATOES WARE 25KG</v>
      </c>
      <c r="H1906" s="2" t="s">
        <v>1646</v>
      </c>
      <c r="I1906" s="1" t="str">
        <f>VLOOKUP(F1906,'RM Used'!B:D,3,0)</f>
        <v>RM-FOOD</v>
      </c>
      <c r="J1906" s="66">
        <v>1</v>
      </c>
      <c r="K1906" s="150">
        <f t="shared" si="765"/>
        <v>1</v>
      </c>
      <c r="L1906" s="35">
        <f t="shared" si="766"/>
        <v>1</v>
      </c>
      <c r="M1906" s="77" cm="1">
        <f t="array" ref="M1906">_xlfn.IFS(BOM!I1906="RM-PACKING","100%",B1906="Reynolds",VLOOKUP(H1906,'Yield &amp; Time'!A:V,22,0),BOM!B1906="Dnata",VLOOKUP(BOM!H1906,'Yield &amp; Time'!A:M,13,0),B1906="NK",VLOOKUP(H1906,'Yield &amp; Time'!A:X,24,0))</f>
        <v>0.57305084745762713</v>
      </c>
      <c r="N1906" s="35">
        <f t="shared" si="767"/>
        <v>1.7450458444247263</v>
      </c>
      <c r="O1906" s="1" t="str">
        <f>VLOOKUP(H1906,'RM Used'!A:E,5,0)</f>
        <v>KG</v>
      </c>
      <c r="P1906" s="11">
        <f>VLOOKUP(H1906,'RM Used'!A:F,6,0)</f>
        <v>0.27</v>
      </c>
      <c r="Q1906" s="11">
        <f t="shared" si="768"/>
        <v>0.47116237799467614</v>
      </c>
      <c r="R1906" s="11">
        <f>IFERROR(IF(B1906="Reynolds",VLOOKUP(H1906,'Yield &amp; Time'!A:U,21,0),VLOOKUP(H1906,'Yield &amp; Time'!A:L,12,0)),0)</f>
        <v>3.4348121857438629</v>
      </c>
      <c r="S1906" s="11">
        <f t="shared" si="769"/>
        <v>1.1626839248742975</v>
      </c>
      <c r="T1906" s="11">
        <f t="shared" si="770"/>
        <v>5.7246869762397713E-2</v>
      </c>
      <c r="U1906" s="11">
        <f>IF(A1905=A1906,0,VLOOKUP(A1906,'Packing Time'!A:F,6,0))</f>
        <v>0.64166666666666661</v>
      </c>
      <c r="V1906" s="11">
        <f t="shared" si="771"/>
        <v>0.21720416666666661</v>
      </c>
      <c r="W1906" s="11">
        <f t="shared" si="772"/>
        <v>1.0694444444444444E-2</v>
      </c>
      <c r="X1906" s="11">
        <f t="shared" si="773"/>
        <v>1.5178769006950608</v>
      </c>
      <c r="Y1906" s="11">
        <f t="shared" si="774"/>
        <v>1.5178769006950608</v>
      </c>
      <c r="Z1906" s="37">
        <v>1</v>
      </c>
      <c r="AA1906" s="36">
        <f t="shared" si="775"/>
        <v>1.7450458444247263</v>
      </c>
      <c r="AB1906" s="36">
        <f t="shared" si="776"/>
        <v>0.47116237799467614</v>
      </c>
      <c r="AC1906" s="11">
        <f t="shared" si="777"/>
        <v>7.4735445627526376E-2</v>
      </c>
      <c r="AD1906" s="36">
        <f t="shared" si="778"/>
        <v>1.5178769006950605</v>
      </c>
      <c r="AE1906" s="36"/>
      <c r="AF1906" s="36">
        <f>IFERROR(VLOOKUP(AE1906,'Chemical Cost'!A:D,4,0),0)</f>
        <v>0</v>
      </c>
      <c r="AG1906" s="114">
        <f t="shared" si="779"/>
        <v>0</v>
      </c>
      <c r="AH1906" s="36">
        <f t="shared" si="780"/>
        <v>0</v>
      </c>
      <c r="AI1906" s="36">
        <f t="shared" si="781"/>
        <v>1.9890392786897368</v>
      </c>
      <c r="AJ1906" s="36">
        <f>IFERROR(VLOOKUP(A1906,'All Products'!A:F,6,0),0)</f>
        <v>0</v>
      </c>
      <c r="AK1906" s="36"/>
      <c r="AL1906" s="23">
        <v>0.85</v>
      </c>
      <c r="AM1906" s="23">
        <v>0.15</v>
      </c>
      <c r="AN1906" s="54" t="e">
        <v>#N/A</v>
      </c>
      <c r="AO1906" s="47"/>
      <c r="AP1906" s="4">
        <v>1.1000000000000001</v>
      </c>
      <c r="AQ1906" s="111">
        <f t="shared" si="782"/>
        <v>7.4735445627526376E-2</v>
      </c>
      <c r="AR1906">
        <f>_xlfn.XLOOKUP(F1906,'RM Cost'!A:A,'RM Cost'!S:S)</f>
        <v>0</v>
      </c>
      <c r="AS1906" t="str">
        <f>_xlfn.XLOOKUP(A1906,[3]Sheet1!$B:$B,[3]Sheet1!$B:$B)</f>
        <v>Z514CS</v>
      </c>
      <c r="AT1906">
        <f>_xlfn.XLOOKUP(H1906,'Yield &amp; Time'!A:A,'Yield &amp; Time'!F:F)</f>
        <v>0</v>
      </c>
    </row>
    <row r="1907" spans="1:46" x14ac:dyDescent="0.25">
      <c r="A1907" t="s">
        <v>4841</v>
      </c>
      <c r="B1907" s="1" t="s">
        <v>656</v>
      </c>
      <c r="C1907" t="s">
        <v>4842</v>
      </c>
      <c r="D1907" s="2" t="s">
        <v>554</v>
      </c>
      <c r="E1907" s="63">
        <v>1</v>
      </c>
      <c r="F1907" s="1" t="str">
        <f>VLOOKUP(H1907,'RM Used'!A:B,2,0)</f>
        <v>P0008</v>
      </c>
      <c r="G1907" s="1" t="str">
        <f>IFERROR(VLOOKUP(F1907,'RM Cost'!A:B,2,0),"")</f>
        <v>PALE BLUE BAG 470X750MM</v>
      </c>
      <c r="H1907" s="1" t="s">
        <v>1323</v>
      </c>
      <c r="I1907" s="1" t="str">
        <f>VLOOKUP(F1907,'RM Used'!B:D,3,0)</f>
        <v>RM-PACKING</v>
      </c>
      <c r="J1907" s="66">
        <v>1</v>
      </c>
      <c r="K1907" s="150" t="str">
        <f t="shared" si="765"/>
        <v/>
      </c>
      <c r="L1907" s="35">
        <f t="shared" si="766"/>
        <v>0</v>
      </c>
      <c r="M1907" s="77" t="str" cm="1">
        <f t="array" ref="M1907">_xlfn.IFS(BOM!I1907="RM-PACKING","100%",B1907="Reynolds",VLOOKUP(H1907,'Yield &amp; Time'!A:V,22,0),BOM!B1907="Dnata",VLOOKUP(BOM!H1907,'Yield &amp; Time'!A:M,13,0),B1907="NK",VLOOKUP(H1907,'Yield &amp; Time'!A:X,24,0))</f>
        <v>100%</v>
      </c>
      <c r="N1907" s="35">
        <f t="shared" si="767"/>
        <v>1</v>
      </c>
      <c r="O1907" s="1" t="str">
        <f>VLOOKUP(H1907,'RM Used'!A:E,5,0)</f>
        <v>Count</v>
      </c>
      <c r="P1907" s="11">
        <f>VLOOKUP(H1907,'RM Used'!A:F,6,0)</f>
        <v>0.14000000000000001</v>
      </c>
      <c r="Q1907" s="11">
        <f t="shared" si="768"/>
        <v>0.14000000000000001</v>
      </c>
      <c r="R1907" s="11">
        <f>IFERROR(IF(B1907="Reynolds",VLOOKUP(H1907,'Yield &amp; Time'!A:U,21,0),VLOOKUP(H1907,'Yield &amp; Time'!A:L,12,0)),0)</f>
        <v>0</v>
      </c>
      <c r="S1907" s="11">
        <f t="shared" si="769"/>
        <v>0</v>
      </c>
      <c r="T1907" s="11">
        <f t="shared" si="770"/>
        <v>0</v>
      </c>
      <c r="U1907" s="11">
        <f>IF(A1906=A1907,0,VLOOKUP(A1907,'Packing Time'!A:F,6,0))</f>
        <v>0</v>
      </c>
      <c r="V1907" s="11">
        <f t="shared" si="771"/>
        <v>0</v>
      </c>
      <c r="W1907" s="11">
        <f t="shared" si="772"/>
        <v>0</v>
      </c>
      <c r="X1907" s="11">
        <f t="shared" si="773"/>
        <v>0</v>
      </c>
      <c r="Y1907" s="11">
        <f t="shared" si="774"/>
        <v>0</v>
      </c>
      <c r="Z1907" s="37">
        <v>1</v>
      </c>
      <c r="AA1907" s="36">
        <f t="shared" si="775"/>
        <v>1</v>
      </c>
      <c r="AB1907" s="36">
        <f t="shared" si="776"/>
        <v>0.14000000000000001</v>
      </c>
      <c r="AC1907" s="11">
        <f t="shared" si="777"/>
        <v>0</v>
      </c>
      <c r="AD1907" s="36">
        <f t="shared" si="778"/>
        <v>0</v>
      </c>
      <c r="AE1907" s="36"/>
      <c r="AF1907" s="36">
        <f>IFERROR(VLOOKUP(AE1907,'Chemical Cost'!A:D,4,0),0)</f>
        <v>0</v>
      </c>
      <c r="AG1907" s="114">
        <f t="shared" si="779"/>
        <v>0</v>
      </c>
      <c r="AH1907" s="36">
        <f t="shared" si="780"/>
        <v>0</v>
      </c>
      <c r="AI1907" s="36">
        <f t="shared" si="781"/>
        <v>0.14000000000000001</v>
      </c>
      <c r="AJ1907" s="36">
        <f>IFERROR(VLOOKUP(A1907,'All Products'!A:F,6,0),0)</f>
        <v>0</v>
      </c>
      <c r="AK1907" s="36"/>
      <c r="AL1907" s="23">
        <v>0.85</v>
      </c>
      <c r="AM1907" s="23">
        <v>0.15</v>
      </c>
      <c r="AN1907" s="54" t="e">
        <v>#N/A</v>
      </c>
      <c r="AO1907" s="47"/>
      <c r="AP1907" s="4">
        <v>1.1000000000000001</v>
      </c>
      <c r="AQ1907" s="111">
        <f t="shared" si="782"/>
        <v>0</v>
      </c>
      <c r="AR1907">
        <f>_xlfn.XLOOKUP(F1907,'RM Cost'!A:A,'RM Cost'!S:S)</f>
        <v>0</v>
      </c>
      <c r="AS1907" t="str">
        <f>_xlfn.XLOOKUP(A1907,[3]Sheet1!$B:$B,[3]Sheet1!$B:$B)</f>
        <v>Z514CS</v>
      </c>
      <c r="AT1907" t="e">
        <f>_xlfn.XLOOKUP(H1907,'Yield &amp; Time'!A:A,'Yield &amp; Time'!F:F)</f>
        <v>#N/A</v>
      </c>
    </row>
    <row r="1908" spans="1:46" x14ac:dyDescent="0.25">
      <c r="A1908" t="s">
        <v>4843</v>
      </c>
      <c r="B1908" s="1" t="s">
        <v>552</v>
      </c>
      <c r="C1908" t="s">
        <v>4844</v>
      </c>
      <c r="D1908" s="2" t="s">
        <v>554</v>
      </c>
      <c r="E1908" s="63">
        <v>1</v>
      </c>
      <c r="F1908" s="1" t="str">
        <f>VLOOKUP(H1908,'RM Used'!A:B,2,0)</f>
        <v>3565CS</v>
      </c>
      <c r="G1908" s="1" t="str">
        <f>IFERROR(VLOOKUP(F1908,'RM Cost'!A:B,2,0),"")</f>
        <v>RM - PEPPERS GREEN  X 5KG</v>
      </c>
      <c r="H1908" s="2" t="s">
        <v>1417</v>
      </c>
      <c r="I1908" s="1" t="str">
        <f>VLOOKUP(F1908,'RM Used'!B:D,3,0)</f>
        <v>RM-FOOD</v>
      </c>
      <c r="J1908" s="66">
        <v>0.33</v>
      </c>
      <c r="K1908" s="150">
        <f t="shared" si="765"/>
        <v>0.33</v>
      </c>
      <c r="L1908" s="35">
        <f t="shared" si="766"/>
        <v>0.33</v>
      </c>
      <c r="M1908" s="77" cm="1">
        <f t="array" ref="M1908">_xlfn.IFS(BOM!I1908="RM-PACKING","100%",B1908="Reynolds",VLOOKUP(H1908,'Yield &amp; Time'!A:V,22,0),BOM!B1908="Dnata",VLOOKUP(BOM!H1908,'Yield &amp; Time'!A:M,13,0),B1908="NK",VLOOKUP(H1908,'Yield &amp; Time'!A:X,24,0))</f>
        <v>0.50283088235294104</v>
      </c>
      <c r="N1908" s="35">
        <f t="shared" si="767"/>
        <v>0.65628427286685698</v>
      </c>
      <c r="O1908" s="1" t="str">
        <f>VLOOKUP(H1908,'RM Used'!A:E,5,0)</f>
        <v>KG</v>
      </c>
      <c r="P1908" s="11">
        <f>VLOOKUP(H1908,'RM Used'!A:F,6,0)</f>
        <v>1.76</v>
      </c>
      <c r="Q1908" s="11">
        <f t="shared" si="768"/>
        <v>1.1550603202456682</v>
      </c>
      <c r="R1908" s="11">
        <f>IFERROR(IF(B1908="Reynolds",VLOOKUP(H1908,'Yield &amp; Time'!A:U,21,0),VLOOKUP(H1908,'Yield &amp; Time'!A:L,12,0)),0)</f>
        <v>4.255319148936171</v>
      </c>
      <c r="S1908" s="11">
        <f t="shared" si="769"/>
        <v>0.47534042553191491</v>
      </c>
      <c r="T1908" s="11">
        <f t="shared" si="770"/>
        <v>2.3404255319148939E-2</v>
      </c>
      <c r="U1908" s="11">
        <f>IF(A1907=A1908,0,VLOOKUP(A1908,'Packing Time'!A:F,6,0))</f>
        <v>0.64166666666666661</v>
      </c>
      <c r="V1908" s="11">
        <f t="shared" si="771"/>
        <v>0.21720416666666661</v>
      </c>
      <c r="W1908" s="11">
        <f t="shared" si="772"/>
        <v>1.0694444444444444E-2</v>
      </c>
      <c r="X1908" s="11">
        <f t="shared" si="773"/>
        <v>0.76179905141843984</v>
      </c>
      <c r="Y1908" s="11">
        <f t="shared" si="774"/>
        <v>0.76179905141843984</v>
      </c>
      <c r="Z1908" s="37">
        <v>1</v>
      </c>
      <c r="AA1908" s="36">
        <f t="shared" si="775"/>
        <v>0.65628427286685698</v>
      </c>
      <c r="AB1908" s="36">
        <f t="shared" si="776"/>
        <v>1.1550603202456682</v>
      </c>
      <c r="AC1908" s="11">
        <f t="shared" si="777"/>
        <v>3.750856973995273E-2</v>
      </c>
      <c r="AD1908" s="36">
        <f t="shared" si="778"/>
        <v>0.76179905141843984</v>
      </c>
      <c r="AE1908" s="36"/>
      <c r="AF1908" s="36">
        <f>IFERROR(VLOOKUP(AE1908,'Chemical Cost'!A:D,4,0),0)</f>
        <v>0</v>
      </c>
      <c r="AG1908" s="114">
        <f t="shared" si="779"/>
        <v>0</v>
      </c>
      <c r="AH1908" s="36">
        <f t="shared" si="780"/>
        <v>0</v>
      </c>
      <c r="AI1908" s="36">
        <f t="shared" si="781"/>
        <v>1.916859371664108</v>
      </c>
      <c r="AJ1908" s="36">
        <f>IFERROR(VLOOKUP(A1908,'All Products'!A:F,6,0),0)</f>
        <v>0</v>
      </c>
      <c r="AK1908" s="36"/>
      <c r="AL1908" s="23">
        <v>0.85</v>
      </c>
      <c r="AM1908" s="23">
        <v>0.15</v>
      </c>
      <c r="AN1908" s="54" t="e">
        <v>#N/A</v>
      </c>
      <c r="AO1908" s="47"/>
      <c r="AP1908" s="4">
        <v>1.1000000000000001</v>
      </c>
      <c r="AQ1908" s="111">
        <f t="shared" si="782"/>
        <v>3.750856973995273E-2</v>
      </c>
      <c r="AR1908">
        <f>_xlfn.XLOOKUP(F1908,'RM Cost'!A:A,'RM Cost'!S:S)</f>
        <v>0</v>
      </c>
      <c r="AS1908" t="str">
        <f>_xlfn.XLOOKUP(A1908,[3]Sheet1!$B:$B,[3]Sheet1!$B:$B)</f>
        <v>509ACS</v>
      </c>
      <c r="AT1908">
        <f>_xlfn.XLOOKUP(H1908,'Yield &amp; Time'!A:A,'Yield &amp; Time'!F:F)</f>
        <v>0</v>
      </c>
    </row>
    <row r="1909" spans="1:46" x14ac:dyDescent="0.25">
      <c r="A1909" t="s">
        <v>4843</v>
      </c>
      <c r="B1909" s="1" t="s">
        <v>552</v>
      </c>
      <c r="C1909" t="s">
        <v>4844</v>
      </c>
      <c r="D1909" s="2" t="s">
        <v>554</v>
      </c>
      <c r="E1909" s="63">
        <v>1</v>
      </c>
      <c r="F1909" s="1" t="str">
        <f>VLOOKUP(H1909,'RM Used'!A:B,2,0)</f>
        <v>3566CS</v>
      </c>
      <c r="G1909" s="1" t="str">
        <f>IFERROR(VLOOKUP(F1909,'RM Cost'!A:B,2,0),"")</f>
        <v>PEPPERS RED X 5KG</v>
      </c>
      <c r="H1909" s="2" t="s">
        <v>1418</v>
      </c>
      <c r="I1909" s="1" t="str">
        <f>VLOOKUP(F1909,'RM Used'!B:D,3,0)</f>
        <v>RM-FOOD</v>
      </c>
      <c r="J1909" s="66">
        <v>0.33</v>
      </c>
      <c r="K1909" s="150">
        <f t="shared" si="765"/>
        <v>0.33</v>
      </c>
      <c r="L1909" s="35">
        <f t="shared" si="766"/>
        <v>0.33</v>
      </c>
      <c r="M1909" s="77" cm="1">
        <f t="array" ref="M1909">_xlfn.IFS(BOM!I1909="RM-PACKING","100%",B1909="Reynolds",VLOOKUP(H1909,'Yield &amp; Time'!A:V,22,0),BOM!B1909="Dnata",VLOOKUP(BOM!H1909,'Yield &amp; Time'!A:M,13,0),B1909="NK",VLOOKUP(H1909,'Yield &amp; Time'!A:X,24,0))</f>
        <v>0.50283088235294104</v>
      </c>
      <c r="N1909" s="35">
        <f t="shared" si="767"/>
        <v>0.65628427286685698</v>
      </c>
      <c r="O1909" s="1" t="str">
        <f>VLOOKUP(H1909,'RM Used'!A:E,5,0)</f>
        <v>KG</v>
      </c>
      <c r="P1909" s="11">
        <f>VLOOKUP(H1909,'RM Used'!A:F,6,0)</f>
        <v>1.72</v>
      </c>
      <c r="Q1909" s="11">
        <f t="shared" si="768"/>
        <v>1.1288089493309941</v>
      </c>
      <c r="R1909" s="11">
        <f>IFERROR(IF(B1909="Reynolds",VLOOKUP(H1909,'Yield &amp; Time'!A:U,21,0),VLOOKUP(H1909,'Yield &amp; Time'!A:L,12,0)),0)</f>
        <v>4.255319148936171</v>
      </c>
      <c r="S1909" s="11">
        <f t="shared" si="769"/>
        <v>0.47534042553191491</v>
      </c>
      <c r="T1909" s="11">
        <f t="shared" si="770"/>
        <v>2.3404255319148939E-2</v>
      </c>
      <c r="U1909" s="11">
        <f>IF(A1908=A1909,0,VLOOKUP(A1909,'Packing Time'!A:F,6,0))</f>
        <v>0</v>
      </c>
      <c r="V1909" s="11">
        <f t="shared" si="771"/>
        <v>0</v>
      </c>
      <c r="W1909" s="11">
        <f t="shared" si="772"/>
        <v>0</v>
      </c>
      <c r="X1909" s="11">
        <f t="shared" si="773"/>
        <v>0.5228744680851064</v>
      </c>
      <c r="Y1909" s="11">
        <f t="shared" si="774"/>
        <v>0.5228744680851064</v>
      </c>
      <c r="Z1909" s="37">
        <v>1</v>
      </c>
      <c r="AA1909" s="36">
        <f t="shared" si="775"/>
        <v>0.65628427286685698</v>
      </c>
      <c r="AB1909" s="36">
        <f t="shared" si="776"/>
        <v>1.1288089493309941</v>
      </c>
      <c r="AC1909" s="11">
        <f t="shared" si="777"/>
        <v>2.5744680851063833E-2</v>
      </c>
      <c r="AD1909" s="36">
        <f t="shared" si="778"/>
        <v>0.5228744680851064</v>
      </c>
      <c r="AE1909" s="36"/>
      <c r="AF1909" s="36">
        <f>IFERROR(VLOOKUP(AE1909,'Chemical Cost'!A:D,4,0),0)</f>
        <v>0</v>
      </c>
      <c r="AG1909" s="114">
        <f t="shared" si="779"/>
        <v>0</v>
      </c>
      <c r="AH1909" s="36">
        <f t="shared" si="780"/>
        <v>0</v>
      </c>
      <c r="AI1909" s="36">
        <f t="shared" si="781"/>
        <v>1.6516834174161006</v>
      </c>
      <c r="AJ1909" s="36">
        <f>IFERROR(VLOOKUP(A1909,'All Products'!A:F,6,0),0)</f>
        <v>0</v>
      </c>
      <c r="AK1909" s="36"/>
      <c r="AL1909" s="23">
        <v>0.85</v>
      </c>
      <c r="AM1909" s="23">
        <v>0.15</v>
      </c>
      <c r="AN1909" s="54" t="e">
        <v>#N/A</v>
      </c>
      <c r="AO1909" s="47"/>
      <c r="AP1909" s="4">
        <v>1.1000000000000001</v>
      </c>
      <c r="AQ1909" s="111">
        <f t="shared" si="782"/>
        <v>2.5744680851063833E-2</v>
      </c>
      <c r="AR1909">
        <f>_xlfn.XLOOKUP(F1909,'RM Cost'!A:A,'RM Cost'!S:S)</f>
        <v>0</v>
      </c>
      <c r="AS1909" t="str">
        <f>_xlfn.XLOOKUP(A1909,[3]Sheet1!$B:$B,[3]Sheet1!$B:$B)</f>
        <v>509ACS</v>
      </c>
      <c r="AT1909">
        <f>_xlfn.XLOOKUP(H1909,'Yield &amp; Time'!A:A,'Yield &amp; Time'!F:F)</f>
        <v>0</v>
      </c>
    </row>
    <row r="1910" spans="1:46" x14ac:dyDescent="0.25">
      <c r="A1910" t="s">
        <v>4843</v>
      </c>
      <c r="B1910" s="1" t="s">
        <v>552</v>
      </c>
      <c r="C1910" t="s">
        <v>4844</v>
      </c>
      <c r="D1910" s="2" t="s">
        <v>554</v>
      </c>
      <c r="E1910" s="63">
        <v>1</v>
      </c>
      <c r="F1910" s="1" t="str">
        <f>VLOOKUP(H1910,'RM Used'!A:B,2,0)</f>
        <v>3567CS</v>
      </c>
      <c r="G1910" s="1" t="str">
        <f>IFERROR(VLOOKUP(F1910,'RM Cost'!A:B,2,0),"")</f>
        <v>RM - PEPPERS YELLOW  X 5KG</v>
      </c>
      <c r="H1910" s="2" t="s">
        <v>1419</v>
      </c>
      <c r="I1910" s="1" t="str">
        <f>VLOOKUP(F1910,'RM Used'!B:D,3,0)</f>
        <v>RM-FOOD</v>
      </c>
      <c r="J1910" s="66">
        <v>0.34</v>
      </c>
      <c r="K1910" s="150">
        <f t="shared" si="765"/>
        <v>0.34</v>
      </c>
      <c r="L1910" s="35">
        <f t="shared" si="766"/>
        <v>0.34</v>
      </c>
      <c r="M1910" s="77" cm="1">
        <f t="array" ref="M1910">_xlfn.IFS(BOM!I1910="RM-PACKING","100%",B1910="Reynolds",VLOOKUP(H1910,'Yield &amp; Time'!A:V,22,0),BOM!B1910="Dnata",VLOOKUP(BOM!H1910,'Yield &amp; Time'!A:M,13,0),B1910="NK",VLOOKUP(H1910,'Yield &amp; Time'!A:X,24,0))</f>
        <v>0.50283088235294104</v>
      </c>
      <c r="N1910" s="35">
        <f t="shared" si="767"/>
        <v>0.67617167507494358</v>
      </c>
      <c r="O1910" s="1" t="str">
        <f>VLOOKUP(H1910,'RM Used'!A:E,5,0)</f>
        <v>KG</v>
      </c>
      <c r="P1910" s="11">
        <f>VLOOKUP(H1910,'RM Used'!A:F,6,0)</f>
        <v>1.68</v>
      </c>
      <c r="Q1910" s="11">
        <f t="shared" si="768"/>
        <v>1.1359684141259052</v>
      </c>
      <c r="R1910" s="11">
        <f>IFERROR(IF(B1910="Reynolds",VLOOKUP(H1910,'Yield &amp; Time'!A:U,21,0),VLOOKUP(H1910,'Yield &amp; Time'!A:L,12,0)),0)</f>
        <v>4.255319148936171</v>
      </c>
      <c r="S1910" s="11">
        <f t="shared" si="769"/>
        <v>0.48974468085106387</v>
      </c>
      <c r="T1910" s="11">
        <f t="shared" si="770"/>
        <v>2.4113475177304968E-2</v>
      </c>
      <c r="U1910" s="11">
        <f>IF(A1909=A1910,0,VLOOKUP(A1910,'Packing Time'!A:F,6,0))</f>
        <v>0</v>
      </c>
      <c r="V1910" s="11">
        <f t="shared" si="771"/>
        <v>0</v>
      </c>
      <c r="W1910" s="11">
        <f t="shared" si="772"/>
        <v>0</v>
      </c>
      <c r="X1910" s="11">
        <f t="shared" si="773"/>
        <v>0.53871914893617034</v>
      </c>
      <c r="Y1910" s="11">
        <f t="shared" si="774"/>
        <v>0.53871914893617034</v>
      </c>
      <c r="Z1910" s="37">
        <v>1</v>
      </c>
      <c r="AA1910" s="36">
        <f t="shared" si="775"/>
        <v>0.67617167507494358</v>
      </c>
      <c r="AB1910" s="36">
        <f t="shared" si="776"/>
        <v>1.1359684141259052</v>
      </c>
      <c r="AC1910" s="11">
        <f t="shared" si="777"/>
        <v>2.6524822695035467E-2</v>
      </c>
      <c r="AD1910" s="36">
        <f t="shared" si="778"/>
        <v>0.53871914893617023</v>
      </c>
      <c r="AE1910" s="36"/>
      <c r="AF1910" s="36">
        <f>IFERROR(VLOOKUP(AE1910,'Chemical Cost'!A:D,4,0),0)</f>
        <v>0</v>
      </c>
      <c r="AG1910" s="114">
        <f t="shared" si="779"/>
        <v>0</v>
      </c>
      <c r="AH1910" s="36">
        <f t="shared" si="780"/>
        <v>0</v>
      </c>
      <c r="AI1910" s="36">
        <f t="shared" si="781"/>
        <v>1.6746875630620757</v>
      </c>
      <c r="AJ1910" s="36">
        <f>IFERROR(VLOOKUP(A1910,'All Products'!A:F,6,0),0)</f>
        <v>0</v>
      </c>
      <c r="AK1910" s="36"/>
      <c r="AL1910" s="23">
        <v>0.85</v>
      </c>
      <c r="AM1910" s="23">
        <v>0.15</v>
      </c>
      <c r="AN1910" s="54" t="e">
        <v>#N/A</v>
      </c>
      <c r="AO1910" s="47"/>
      <c r="AP1910" s="4">
        <v>1.1000000000000001</v>
      </c>
      <c r="AQ1910" s="111">
        <f t="shared" si="782"/>
        <v>2.6524822695035467E-2</v>
      </c>
      <c r="AR1910">
        <f>_xlfn.XLOOKUP(F1910,'RM Cost'!A:A,'RM Cost'!S:S)</f>
        <v>0</v>
      </c>
      <c r="AS1910" t="str">
        <f>_xlfn.XLOOKUP(A1910,[3]Sheet1!$B:$B,[3]Sheet1!$B:$B)</f>
        <v>509ACS</v>
      </c>
      <c r="AT1910">
        <f>_xlfn.XLOOKUP(H1910,'Yield &amp; Time'!A:A,'Yield &amp; Time'!F:F)</f>
        <v>0</v>
      </c>
    </row>
    <row r="1911" spans="1:46" x14ac:dyDescent="0.25">
      <c r="A1911" t="s">
        <v>4843</v>
      </c>
      <c r="B1911" s="1" t="s">
        <v>552</v>
      </c>
      <c r="C1911" t="s">
        <v>4844</v>
      </c>
      <c r="D1911" s="2" t="s">
        <v>554</v>
      </c>
      <c r="E1911" s="63">
        <v>1</v>
      </c>
      <c r="F1911" s="1" t="str">
        <f>VLOOKUP(H1911,'RM Used'!A:B,2,0)</f>
        <v>P0008</v>
      </c>
      <c r="G1911" s="1" t="str">
        <f>IFERROR(VLOOKUP(F1911,'RM Cost'!A:B,2,0),"")</f>
        <v>PALE BLUE BAG 470X750MM</v>
      </c>
      <c r="H1911" s="1" t="s">
        <v>1323</v>
      </c>
      <c r="I1911" s="1" t="str">
        <f>VLOOKUP(F1911,'RM Used'!B:D,3,0)</f>
        <v>RM-PACKING</v>
      </c>
      <c r="J1911" s="66">
        <v>1</v>
      </c>
      <c r="K1911" s="150" t="str">
        <f t="shared" si="765"/>
        <v/>
      </c>
      <c r="L1911" s="35">
        <f t="shared" si="766"/>
        <v>0</v>
      </c>
      <c r="M1911" s="77" t="str" cm="1">
        <f t="array" ref="M1911">_xlfn.IFS(BOM!I1911="RM-PACKING","100%",B1911="Reynolds",VLOOKUP(H1911,'Yield &amp; Time'!A:V,22,0),BOM!B1911="Dnata",VLOOKUP(BOM!H1911,'Yield &amp; Time'!A:M,13,0),B1911="NK",VLOOKUP(H1911,'Yield &amp; Time'!A:X,24,0))</f>
        <v>100%</v>
      </c>
      <c r="N1911" s="35">
        <f t="shared" si="767"/>
        <v>1</v>
      </c>
      <c r="O1911" s="1" t="str">
        <f>VLOOKUP(H1911,'RM Used'!A:E,5,0)</f>
        <v>Count</v>
      </c>
      <c r="P1911" s="11">
        <f>VLOOKUP(H1911,'RM Used'!A:F,6,0)</f>
        <v>0.14000000000000001</v>
      </c>
      <c r="Q1911" s="11">
        <f t="shared" si="768"/>
        <v>0.14000000000000001</v>
      </c>
      <c r="R1911" s="11">
        <f>IFERROR(IF(B1911="Reynolds",VLOOKUP(H1911,'Yield &amp; Time'!A:U,21,0),VLOOKUP(H1911,'Yield &amp; Time'!A:L,12,0)),0)</f>
        <v>0</v>
      </c>
      <c r="S1911" s="11">
        <f t="shared" si="769"/>
        <v>0</v>
      </c>
      <c r="T1911" s="11">
        <f t="shared" si="770"/>
        <v>0</v>
      </c>
      <c r="U1911" s="11">
        <f>IF(A1910=A1911,0,VLOOKUP(A1911,'Packing Time'!A:F,6,0))</f>
        <v>0</v>
      </c>
      <c r="V1911" s="11">
        <f t="shared" si="771"/>
        <v>0</v>
      </c>
      <c r="W1911" s="11">
        <f t="shared" si="772"/>
        <v>0</v>
      </c>
      <c r="X1911" s="11">
        <f t="shared" si="773"/>
        <v>0</v>
      </c>
      <c r="Y1911" s="11">
        <f t="shared" si="774"/>
        <v>0</v>
      </c>
      <c r="Z1911" s="37">
        <v>1</v>
      </c>
      <c r="AA1911" s="36">
        <f t="shared" si="775"/>
        <v>1</v>
      </c>
      <c r="AB1911" s="36">
        <f t="shared" si="776"/>
        <v>0.14000000000000001</v>
      </c>
      <c r="AC1911" s="11">
        <f t="shared" si="777"/>
        <v>0</v>
      </c>
      <c r="AD1911" s="36">
        <f t="shared" si="778"/>
        <v>0</v>
      </c>
      <c r="AE1911" s="36"/>
      <c r="AF1911" s="36">
        <f>IFERROR(VLOOKUP(AE1911,'Chemical Cost'!A:D,4,0),0)</f>
        <v>0</v>
      </c>
      <c r="AG1911" s="114">
        <f t="shared" si="779"/>
        <v>0</v>
      </c>
      <c r="AH1911" s="36">
        <f t="shared" si="780"/>
        <v>0</v>
      </c>
      <c r="AI1911" s="36">
        <f t="shared" si="781"/>
        <v>0.14000000000000001</v>
      </c>
      <c r="AJ1911" s="36">
        <f>IFERROR(VLOOKUP(A1911,'All Products'!A:F,6,0),0)</f>
        <v>0</v>
      </c>
      <c r="AK1911" s="36"/>
      <c r="AL1911" s="23">
        <v>0.85</v>
      </c>
      <c r="AM1911" s="23">
        <v>0.15</v>
      </c>
      <c r="AN1911" s="54" t="e">
        <v>#N/A</v>
      </c>
      <c r="AO1911" s="47"/>
      <c r="AP1911" s="4">
        <v>1.1000000000000001</v>
      </c>
      <c r="AQ1911" s="111">
        <f t="shared" si="782"/>
        <v>0</v>
      </c>
      <c r="AR1911">
        <f>_xlfn.XLOOKUP(F1911,'RM Cost'!A:A,'RM Cost'!S:S)</f>
        <v>0</v>
      </c>
      <c r="AS1911" t="str">
        <f>_xlfn.XLOOKUP(A1911,[3]Sheet1!$B:$B,[3]Sheet1!$B:$B)</f>
        <v>509ACS</v>
      </c>
      <c r="AT1911" t="e">
        <f>_xlfn.XLOOKUP(H1911,'Yield &amp; Time'!A:A,'Yield &amp; Time'!F:F)</f>
        <v>#N/A</v>
      </c>
    </row>
    <row r="1912" spans="1:46" x14ac:dyDescent="0.25">
      <c r="A1912" t="s">
        <v>4843</v>
      </c>
      <c r="B1912" s="1" t="s">
        <v>552</v>
      </c>
      <c r="C1912" t="s">
        <v>4844</v>
      </c>
      <c r="D1912" s="2" t="s">
        <v>554</v>
      </c>
      <c r="E1912" s="63">
        <v>1</v>
      </c>
      <c r="F1912" s="1" t="str">
        <f>VLOOKUP(H1912,'RM Used'!A:B,2,0)</f>
        <v>P0016C</v>
      </c>
      <c r="G1912" s="1" t="str">
        <f>IFERROR(VLOOKUP(F1912,'RM Cost'!A:B,2,0),"")</f>
        <v>REY 40 30 BOX 2 in 1</v>
      </c>
      <c r="H1912" t="s">
        <v>4847</v>
      </c>
      <c r="I1912" s="1" t="str">
        <f>VLOOKUP(F1912,'RM Used'!B:D,3,0)</f>
        <v>RM-PACKING</v>
      </c>
      <c r="J1912" s="66">
        <v>1</v>
      </c>
      <c r="K1912" s="150" t="str">
        <f t="shared" si="765"/>
        <v/>
      </c>
      <c r="L1912" s="35">
        <f t="shared" si="766"/>
        <v>0</v>
      </c>
      <c r="M1912" s="77" t="str" cm="1">
        <f t="array" ref="M1912">_xlfn.IFS(BOM!I1912="RM-PACKING","100%",B1912="Reynolds",VLOOKUP(H1912,'Yield &amp; Time'!A:V,22,0),BOM!B1912="Dnata",VLOOKUP(BOM!H1912,'Yield &amp; Time'!A:M,13,0),B1912="NK",VLOOKUP(H1912,'Yield &amp; Time'!A:X,24,0))</f>
        <v>100%</v>
      </c>
      <c r="N1912" s="35">
        <f t="shared" si="767"/>
        <v>1</v>
      </c>
      <c r="O1912" s="1" t="str">
        <f>VLOOKUP(H1912,'RM Used'!A:E,5,0)</f>
        <v>Count</v>
      </c>
      <c r="P1912" s="11">
        <f>VLOOKUP(H1912,'RM Used'!A:F,6,0)</f>
        <v>0</v>
      </c>
      <c r="Q1912" s="11">
        <f t="shared" si="768"/>
        <v>0</v>
      </c>
      <c r="R1912" s="11">
        <f>IFERROR(IF(B1912="Reynolds",VLOOKUP(H1912,'Yield &amp; Time'!A:U,21,0),VLOOKUP(H1912,'Yield &amp; Time'!A:L,12,0)),0)</f>
        <v>0</v>
      </c>
      <c r="S1912" s="11">
        <f t="shared" si="769"/>
        <v>0</v>
      </c>
      <c r="T1912" s="11">
        <f t="shared" si="770"/>
        <v>0</v>
      </c>
      <c r="U1912" s="11">
        <f>IF(A1911=A1912,0,VLOOKUP(A1912,'Packing Time'!A:F,6,0))</f>
        <v>0</v>
      </c>
      <c r="V1912" s="11">
        <f t="shared" si="771"/>
        <v>0</v>
      </c>
      <c r="W1912" s="11">
        <f t="shared" si="772"/>
        <v>0</v>
      </c>
      <c r="X1912" s="11">
        <f t="shared" si="773"/>
        <v>0</v>
      </c>
      <c r="Y1912" s="11">
        <f t="shared" si="774"/>
        <v>0</v>
      </c>
      <c r="Z1912" s="37">
        <v>1</v>
      </c>
      <c r="AA1912" s="36">
        <f t="shared" si="775"/>
        <v>1</v>
      </c>
      <c r="AB1912" s="36">
        <f t="shared" si="776"/>
        <v>0</v>
      </c>
      <c r="AC1912" s="11">
        <f t="shared" si="777"/>
        <v>0</v>
      </c>
      <c r="AD1912" s="36">
        <f t="shared" si="778"/>
        <v>0</v>
      </c>
      <c r="AE1912" s="36"/>
      <c r="AF1912" s="36">
        <f>IFERROR(VLOOKUP(AE1912,'Chemical Cost'!A:D,4,0),0)</f>
        <v>0</v>
      </c>
      <c r="AG1912" s="114">
        <f t="shared" si="779"/>
        <v>0</v>
      </c>
      <c r="AH1912" s="36">
        <f t="shared" si="780"/>
        <v>0</v>
      </c>
      <c r="AI1912" s="36">
        <f t="shared" si="781"/>
        <v>0</v>
      </c>
      <c r="AJ1912" s="36">
        <f>IFERROR(VLOOKUP(A1912,'All Products'!A:F,6,0),0)</f>
        <v>0</v>
      </c>
      <c r="AK1912" s="36"/>
      <c r="AL1912" s="23">
        <v>0.85</v>
      </c>
      <c r="AM1912" s="23">
        <v>0.15</v>
      </c>
      <c r="AN1912" s="54" t="e">
        <v>#N/A</v>
      </c>
      <c r="AO1912" s="47"/>
      <c r="AP1912" s="4">
        <v>1.1000000000000001</v>
      </c>
      <c r="AQ1912" s="111">
        <f t="shared" si="782"/>
        <v>0</v>
      </c>
      <c r="AR1912">
        <f>_xlfn.XLOOKUP(F1912,'RM Cost'!A:A,'RM Cost'!S:S)</f>
        <v>0</v>
      </c>
      <c r="AS1912" t="str">
        <f>_xlfn.XLOOKUP(A1912,[3]Sheet1!$B:$B,[3]Sheet1!$B:$B)</f>
        <v>509ACS</v>
      </c>
      <c r="AT1912" t="e">
        <f>_xlfn.XLOOKUP(H1912,'Yield &amp; Time'!A:A,'Yield &amp; Time'!F:F)</f>
        <v>#N/A</v>
      </c>
    </row>
    <row r="1913" spans="1:46" x14ac:dyDescent="0.25">
      <c r="A1913" s="15" t="s">
        <v>4851</v>
      </c>
      <c r="B1913" s="2" t="s">
        <v>552</v>
      </c>
      <c r="C1913" s="2" t="s">
        <v>93</v>
      </c>
      <c r="D1913" s="2" t="s">
        <v>554</v>
      </c>
      <c r="E1913" s="2">
        <v>5</v>
      </c>
      <c r="F1913" s="1" t="str">
        <f>VLOOKUP(H1913,'RM Used'!A:B,2,0)</f>
        <v>3210CS</v>
      </c>
      <c r="G1913" s="1" t="str">
        <f>IFERROR(VLOOKUP(F1913,'RM Cost'!A:B,2,0),"")</f>
        <v>RM - POTATOES WARE 25KG</v>
      </c>
      <c r="H1913" s="2" t="s">
        <v>1639</v>
      </c>
      <c r="I1913" s="1" t="str">
        <f>VLOOKUP(F1913,'RM Used'!B:D,3,0)</f>
        <v>RM-FOOD</v>
      </c>
      <c r="J1913" s="66">
        <v>1</v>
      </c>
      <c r="K1913" s="35">
        <f t="shared" si="765"/>
        <v>5</v>
      </c>
      <c r="L1913" s="35">
        <f t="shared" si="766"/>
        <v>5</v>
      </c>
      <c r="M1913" s="77" cm="1">
        <f t="array" ref="M1913">_xlfn.IFS(BOM!I1913="RM-PACKING","100%",B1913="Reynolds",VLOOKUP(H1913,'Yield &amp; Time'!A:V,22,0),BOM!B1913="Dnata",VLOOKUP(BOM!H1913,'Yield &amp; Time'!A:M,13,0),B1913="NK",VLOOKUP(H1913,'Yield &amp; Time'!A:X,24,0))</f>
        <v>0.65764406779661022</v>
      </c>
      <c r="N1913" s="35">
        <f t="shared" si="767"/>
        <v>7.602896832555861</v>
      </c>
      <c r="O1913" s="1" t="str">
        <f>VLOOKUP(H1913,'RM Used'!A:E,5,0)</f>
        <v>KG</v>
      </c>
      <c r="P1913" s="11">
        <f>VLOOKUP(H1913,'RM Used'!A:F,6,0)</f>
        <v>0.27</v>
      </c>
      <c r="Q1913" s="11">
        <f t="shared" si="768"/>
        <v>2.0527821447900827</v>
      </c>
      <c r="R1913" s="11">
        <f>IFERROR(IF(B1913="Reynolds",VLOOKUP(H1913,'Yield &amp; Time'!A:U,21,0),VLOOKUP(H1913,'Yield &amp; Time'!A:L,12,0)),0)</f>
        <v>2.7983840622664364</v>
      </c>
      <c r="S1913" s="11">
        <f t="shared" si="769"/>
        <v>4.7362650253859426</v>
      </c>
      <c r="T1913" s="11">
        <f t="shared" si="770"/>
        <v>0.23319867185553636</v>
      </c>
      <c r="U1913" s="11">
        <f>IF(A1912=A1913,0,VLOOKUP(A1913,'Packing Time'!A:F,6,0))</f>
        <v>1.1850000000000001</v>
      </c>
      <c r="V1913" s="11">
        <f t="shared" si="771"/>
        <v>0.40112249999999999</v>
      </c>
      <c r="W1913" s="11">
        <f t="shared" si="772"/>
        <v>1.975E-2</v>
      </c>
      <c r="X1913" s="11">
        <f t="shared" si="773"/>
        <v>5.6511262779245381</v>
      </c>
      <c r="Y1913" s="11">
        <f t="shared" si="774"/>
        <v>5.6511262779245381</v>
      </c>
      <c r="Z1913" s="37">
        <v>1</v>
      </c>
      <c r="AA1913" s="36">
        <f t="shared" si="775"/>
        <v>7.602896832555861</v>
      </c>
      <c r="AB1913" s="36">
        <f t="shared" si="776"/>
        <v>2.0527821447900827</v>
      </c>
      <c r="AC1913" s="11">
        <f t="shared" si="777"/>
        <v>0.27824353904109006</v>
      </c>
      <c r="AD1913" s="36">
        <f t="shared" si="778"/>
        <v>5.651126277924539</v>
      </c>
      <c r="AE1913" s="36" t="str">
        <f>VLOOKUP(H1913,'Yield &amp; Time'!A:R,18,0)</f>
        <v>SODIUM METABISULPHITE</v>
      </c>
      <c r="AF1913" s="36">
        <f>IFERROR(VLOOKUP(AE1913,'Chemical Cost'!A:D,4,0),0)</f>
        <v>9.7586225455882462E-3</v>
      </c>
      <c r="AG1913" s="114">
        <f t="shared" si="779"/>
        <v>2.4731266813987032E-2</v>
      </c>
      <c r="AH1913" s="36">
        <f t="shared" si="780"/>
        <v>2.4731266813987032E-2</v>
      </c>
      <c r="AI1913" s="36">
        <f t="shared" si="781"/>
        <v>7.7286396895286078</v>
      </c>
      <c r="AJ1913" s="36">
        <f>IFERROR(VLOOKUP(A1913,'All Products'!A:F,6,0),0)</f>
        <v>0</v>
      </c>
      <c r="AK1913" s="36">
        <f>AJ1913*Z1913*J1913</f>
        <v>0</v>
      </c>
      <c r="AL1913" s="23">
        <v>1</v>
      </c>
      <c r="AM1913" s="23"/>
      <c r="AN1913" s="54" t="e">
        <v>#N/A</v>
      </c>
      <c r="AO1913" s="47"/>
      <c r="AP1913" s="4">
        <v>1.1000000000000001</v>
      </c>
      <c r="AQ1913" s="111">
        <f t="shared" si="782"/>
        <v>0.27824353904109006</v>
      </c>
      <c r="AR1913">
        <f>_xlfn.XLOOKUP(F1913,'RM Cost'!A:A,'RM Cost'!S:S)</f>
        <v>0</v>
      </c>
      <c r="AS1913" t="str">
        <f>_xlfn.XLOOKUP(A1913,[3]Sheet1!$B:$B,[3]Sheet1!$B:$B)</f>
        <v>669CCS</v>
      </c>
      <c r="AT1913">
        <f>_xlfn.XLOOKUP(H1913,'Yield &amp; Time'!A:A,'Yield &amp; Time'!F:F)</f>
        <v>0</v>
      </c>
    </row>
    <row r="1914" spans="1:46" x14ac:dyDescent="0.25">
      <c r="A1914" s="15" t="s">
        <v>4851</v>
      </c>
      <c r="B1914" s="2" t="s">
        <v>552</v>
      </c>
      <c r="C1914" s="2" t="s">
        <v>93</v>
      </c>
      <c r="D1914" s="2" t="s">
        <v>554</v>
      </c>
      <c r="E1914" s="2">
        <v>5</v>
      </c>
      <c r="F1914" s="1" t="str">
        <f>VLOOKUP(H1914,'RM Used'!A:B,2,0)</f>
        <v>P0008</v>
      </c>
      <c r="G1914" s="1" t="str">
        <f>IFERROR(VLOOKUP(F1914,'RM Cost'!A:B,2,0),"")</f>
        <v>PALE BLUE BAG 470X750MM</v>
      </c>
      <c r="H1914" s="1" t="s">
        <v>1323</v>
      </c>
      <c r="I1914" s="1" t="str">
        <f>VLOOKUP(F1914,'RM Used'!B:D,3,0)</f>
        <v>RM-PACKING</v>
      </c>
      <c r="J1914" s="66">
        <v>1</v>
      </c>
      <c r="K1914" s="35" t="str">
        <f t="shared" si="765"/>
        <v/>
      </c>
      <c r="L1914" s="35">
        <f t="shared" si="766"/>
        <v>0</v>
      </c>
      <c r="M1914" s="77" t="str" cm="1">
        <f t="array" ref="M1914">_xlfn.IFS(BOM!I1914="RM-PACKING","100%",B1914="Reynolds",VLOOKUP(H1914,'Yield &amp; Time'!A:V,22,0),BOM!B1914="Dnata",VLOOKUP(BOM!H1914,'Yield &amp; Time'!A:M,13,0),B1914="NK",VLOOKUP(H1914,'Yield &amp; Time'!A:X,24,0))</f>
        <v>100%</v>
      </c>
      <c r="N1914" s="35">
        <f t="shared" si="767"/>
        <v>1</v>
      </c>
      <c r="O1914" s="1" t="str">
        <f>VLOOKUP(H1914,'RM Used'!A:E,5,0)</f>
        <v>Count</v>
      </c>
      <c r="P1914" s="11">
        <f>VLOOKUP(H1914,'RM Used'!A:F,6,0)</f>
        <v>0.14000000000000001</v>
      </c>
      <c r="Q1914" s="11">
        <f t="shared" si="768"/>
        <v>0.14000000000000001</v>
      </c>
      <c r="R1914" s="11">
        <f>IFERROR(IF(B1914="Reynolds",VLOOKUP(H1914,'Yield &amp; Time'!A:U,21,0),VLOOKUP(H1914,'Yield &amp; Time'!A:L,12,0)),0)</f>
        <v>0</v>
      </c>
      <c r="S1914" s="11">
        <f t="shared" si="769"/>
        <v>0</v>
      </c>
      <c r="T1914" s="11">
        <f t="shared" si="770"/>
        <v>0</v>
      </c>
      <c r="U1914" s="11">
        <f>IF(A1913=A1914,0,VLOOKUP(A1914,'Packing Time'!A:F,6,0))</f>
        <v>0</v>
      </c>
      <c r="V1914" s="11">
        <f t="shared" si="771"/>
        <v>0</v>
      </c>
      <c r="W1914" s="11">
        <f t="shared" si="772"/>
        <v>0</v>
      </c>
      <c r="X1914" s="11">
        <f t="shared" si="773"/>
        <v>0</v>
      </c>
      <c r="Y1914" s="11">
        <f t="shared" si="774"/>
        <v>0</v>
      </c>
      <c r="Z1914" s="37">
        <v>1</v>
      </c>
      <c r="AA1914" s="36">
        <f t="shared" si="775"/>
        <v>1</v>
      </c>
      <c r="AB1914" s="36">
        <f t="shared" si="776"/>
        <v>0.14000000000000001</v>
      </c>
      <c r="AC1914" s="11">
        <f t="shared" si="777"/>
        <v>0</v>
      </c>
      <c r="AD1914" s="36">
        <f t="shared" si="778"/>
        <v>0</v>
      </c>
      <c r="AE1914" s="36"/>
      <c r="AF1914" s="36">
        <f>IFERROR(VLOOKUP(AE1914,'Chemical Cost'!A:D,4,0),0)</f>
        <v>0</v>
      </c>
      <c r="AG1914" s="114">
        <f t="shared" si="779"/>
        <v>0</v>
      </c>
      <c r="AH1914" s="36">
        <f t="shared" si="780"/>
        <v>0</v>
      </c>
      <c r="AI1914" s="36">
        <f t="shared" si="781"/>
        <v>0.14000000000000001</v>
      </c>
      <c r="AJ1914" s="36">
        <f>IFERROR(VLOOKUP(A1914,'All Products'!A:F,6,0),0)</f>
        <v>0</v>
      </c>
      <c r="AK1914" s="36"/>
      <c r="AL1914" s="23">
        <v>1</v>
      </c>
      <c r="AM1914" s="23"/>
      <c r="AN1914" s="54" t="e">
        <v>#N/A</v>
      </c>
      <c r="AO1914" s="47"/>
      <c r="AP1914" s="4">
        <v>1.1000000000000001</v>
      </c>
      <c r="AQ1914" s="111">
        <f t="shared" si="782"/>
        <v>0</v>
      </c>
      <c r="AR1914">
        <f>_xlfn.XLOOKUP(F1914,'RM Cost'!A:A,'RM Cost'!S:S)</f>
        <v>0</v>
      </c>
      <c r="AS1914" t="str">
        <f>_xlfn.XLOOKUP(A1914,[3]Sheet1!$B:$B,[3]Sheet1!$B:$B)</f>
        <v>669CCS</v>
      </c>
      <c r="AT1914" t="e">
        <f>_xlfn.XLOOKUP(H1914,'Yield &amp; Time'!A:A,'Yield &amp; Time'!F:F)</f>
        <v>#N/A</v>
      </c>
    </row>
    <row r="1915" spans="1:46" x14ac:dyDescent="0.25">
      <c r="A1915" s="15" t="s">
        <v>4851</v>
      </c>
      <c r="B1915" s="2" t="s">
        <v>552</v>
      </c>
      <c r="C1915" s="2" t="s">
        <v>93</v>
      </c>
      <c r="D1915" s="2" t="s">
        <v>554</v>
      </c>
      <c r="E1915" s="2">
        <v>5</v>
      </c>
      <c r="F1915" s="1" t="str">
        <f>VLOOKUP(H1915,'RM Used'!A:B,2,0)</f>
        <v>P0016</v>
      </c>
      <c r="G1915" s="1" t="str">
        <f>IFERROR(VLOOKUP(F1915,'RM Cost'!A:B,2,0),"")</f>
        <v>REY 40 30 BOX</v>
      </c>
      <c r="H1915" s="1" t="s">
        <v>1332</v>
      </c>
      <c r="I1915" s="1" t="str">
        <f>VLOOKUP(F1915,'RM Used'!B:D,3,0)</f>
        <v>RM-PACKING</v>
      </c>
      <c r="J1915" s="66">
        <v>1</v>
      </c>
      <c r="K1915" s="35" t="str">
        <f t="shared" si="765"/>
        <v/>
      </c>
      <c r="L1915" s="35">
        <f t="shared" si="766"/>
        <v>0</v>
      </c>
      <c r="M1915" s="77" t="str" cm="1">
        <f t="array" ref="M1915">_xlfn.IFS(BOM!I1915="RM-PACKING","100%",B1915="Reynolds",VLOOKUP(H1915,'Yield &amp; Time'!A:V,22,0),BOM!B1915="Dnata",VLOOKUP(BOM!H1915,'Yield &amp; Time'!A:M,13,0),B1915="NK",VLOOKUP(H1915,'Yield &amp; Time'!A:X,24,0))</f>
        <v>100%</v>
      </c>
      <c r="N1915" s="35">
        <f t="shared" si="767"/>
        <v>1</v>
      </c>
      <c r="O1915" s="1" t="str">
        <f>VLOOKUP(H1915,'RM Used'!A:E,5,0)</f>
        <v>Count</v>
      </c>
      <c r="P1915" s="11">
        <f>VLOOKUP(H1915,'RM Used'!A:F,6,0)</f>
        <v>0.28000000000000003</v>
      </c>
      <c r="Q1915" s="11">
        <f t="shared" si="768"/>
        <v>0.28000000000000003</v>
      </c>
      <c r="R1915" s="11">
        <f>IFERROR(IF(B1915="Reynolds",VLOOKUP(H1915,'Yield &amp; Time'!A:U,21,0),VLOOKUP(H1915,'Yield &amp; Time'!A:L,12,0)),0)</f>
        <v>0</v>
      </c>
      <c r="S1915" s="11">
        <f t="shared" si="769"/>
        <v>0</v>
      </c>
      <c r="T1915" s="11">
        <f t="shared" si="770"/>
        <v>0</v>
      </c>
      <c r="U1915" s="11">
        <f>IF(A1914=A1915,0,VLOOKUP(A1915,'Packing Time'!A:F,6,0))</f>
        <v>0</v>
      </c>
      <c r="V1915" s="11">
        <f t="shared" si="771"/>
        <v>0</v>
      </c>
      <c r="W1915" s="11">
        <f t="shared" si="772"/>
        <v>0</v>
      </c>
      <c r="X1915" s="11">
        <f t="shared" si="773"/>
        <v>0</v>
      </c>
      <c r="Y1915" s="11">
        <f t="shared" si="774"/>
        <v>0</v>
      </c>
      <c r="Z1915" s="37">
        <v>1</v>
      </c>
      <c r="AA1915" s="36">
        <f t="shared" si="775"/>
        <v>1</v>
      </c>
      <c r="AB1915" s="36">
        <f t="shared" si="776"/>
        <v>0.28000000000000003</v>
      </c>
      <c r="AC1915" s="11">
        <f t="shared" si="777"/>
        <v>0</v>
      </c>
      <c r="AD1915" s="36">
        <f t="shared" si="778"/>
        <v>0</v>
      </c>
      <c r="AE1915" s="36"/>
      <c r="AF1915" s="36">
        <f>IFERROR(VLOOKUP(AE1915,'Chemical Cost'!A:D,4,0),0)</f>
        <v>0</v>
      </c>
      <c r="AG1915" s="114">
        <f t="shared" si="779"/>
        <v>0</v>
      </c>
      <c r="AH1915" s="36">
        <f t="shared" si="780"/>
        <v>0</v>
      </c>
      <c r="AI1915" s="36">
        <f t="shared" si="781"/>
        <v>0.28000000000000003</v>
      </c>
      <c r="AJ1915" s="36">
        <f>IFERROR(VLOOKUP(A1915,'All Products'!A:F,6,0),0)</f>
        <v>0</v>
      </c>
      <c r="AK1915" s="36"/>
      <c r="AL1915" s="23">
        <v>1</v>
      </c>
      <c r="AM1915" s="23"/>
      <c r="AN1915" s="54" t="e">
        <v>#N/A</v>
      </c>
      <c r="AO1915" s="47"/>
      <c r="AP1915" s="4">
        <v>1.1000000000000001</v>
      </c>
      <c r="AQ1915" s="111">
        <f t="shared" si="782"/>
        <v>0</v>
      </c>
      <c r="AR1915">
        <f>_xlfn.XLOOKUP(F1915,'RM Cost'!A:A,'RM Cost'!S:S)</f>
        <v>0</v>
      </c>
      <c r="AS1915" t="str">
        <f>_xlfn.XLOOKUP(A1915,[3]Sheet1!$B:$B,[3]Sheet1!$B:$B)</f>
        <v>669CCS</v>
      </c>
      <c r="AT1915" t="e">
        <f>_xlfn.XLOOKUP(H1915,'Yield &amp; Time'!A:A,'Yield &amp; Time'!F:F)</f>
        <v>#N/A</v>
      </c>
    </row>
    <row r="1916" spans="1:46" x14ac:dyDescent="0.25">
      <c r="A1916" s="1" t="s">
        <v>4859</v>
      </c>
      <c r="B1916" s="2" t="s">
        <v>552</v>
      </c>
      <c r="C1916" s="2" t="s">
        <v>580</v>
      </c>
      <c r="D1916" s="2" t="s">
        <v>554</v>
      </c>
      <c r="E1916" s="2">
        <v>1</v>
      </c>
      <c r="F1916" s="1" t="str">
        <f>VLOOKUP(H1916,'RM Used'!A:B,2,0)</f>
        <v>283ACS</v>
      </c>
      <c r="G1916" s="1" t="str">
        <f>IFERROR(VLOOKUP(F1916,'RM Cost'!A:B,2,0),"")</f>
        <v>RM - BUTTERNUT SQUASH BIN X 625KG</v>
      </c>
      <c r="H1916" s="2" t="s">
        <v>1447</v>
      </c>
      <c r="I1916" s="1" t="str">
        <f>VLOOKUP(F1916,'RM Used'!B:D,3,0)</f>
        <v>RM-FOOD</v>
      </c>
      <c r="J1916" s="66">
        <v>1</v>
      </c>
      <c r="K1916" s="35">
        <f t="shared" si="765"/>
        <v>1</v>
      </c>
      <c r="L1916" s="35">
        <f t="shared" si="766"/>
        <v>1</v>
      </c>
      <c r="M1916" s="77" cm="1">
        <f t="array" ref="M1916">_xlfn.IFS(BOM!I1916="RM-PACKING","100%",B1916="Reynolds",VLOOKUP(H1916,'Yield &amp; Time'!A:V,22,0),BOM!B1916="Dnata",VLOOKUP(BOM!H1916,'Yield &amp; Time'!A:M,13,0),B1916="NK",VLOOKUP(H1916,'Yield &amp; Time'!A:X,24,0))</f>
        <v>0.7250254610509328</v>
      </c>
      <c r="N1916" s="35">
        <f t="shared" si="767"/>
        <v>1.3792619069549481</v>
      </c>
      <c r="O1916" s="1" t="str">
        <f>VLOOKUP(H1916,'RM Used'!A:E,5,0)</f>
        <v>KG</v>
      </c>
      <c r="P1916" s="11">
        <f>VLOOKUP(H1916,'RM Used'!A:F,6,0)</f>
        <v>0.65</v>
      </c>
      <c r="Q1916" s="11">
        <f t="shared" si="768"/>
        <v>0.89652023952071624</v>
      </c>
      <c r="R1916" s="11">
        <f>IFERROR(IF(B1916="Reynolds",VLOOKUP(H1916,'Yield &amp; Time'!A:U,21,0),VLOOKUP(H1916,'Yield &amp; Time'!A:L,12,0)),0)</f>
        <v>1.7027924777221581</v>
      </c>
      <c r="S1916" s="11">
        <f t="shared" si="769"/>
        <v>0.57639525370895051</v>
      </c>
      <c r="T1916" s="11">
        <f t="shared" si="770"/>
        <v>2.8379874628702634E-2</v>
      </c>
      <c r="U1916" s="11">
        <f>IF(A1915=A1916,0,VLOOKUP(A1916,'Packing Time'!A:F,6,0))</f>
        <v>0.64500000000000002</v>
      </c>
      <c r="V1916" s="11">
        <f t="shared" si="771"/>
        <v>0.21833249999999998</v>
      </c>
      <c r="W1916" s="11">
        <f t="shared" si="772"/>
        <v>1.0750000000000001E-2</v>
      </c>
      <c r="X1916" s="11">
        <f t="shared" si="773"/>
        <v>0.99340969213618802</v>
      </c>
      <c r="Y1916" s="11">
        <f t="shared" si="774"/>
        <v>0.99340969213618802</v>
      </c>
      <c r="Z1916" s="37">
        <v>1</v>
      </c>
      <c r="AA1916" s="36">
        <f t="shared" si="775"/>
        <v>1.3792619069549481</v>
      </c>
      <c r="AB1916" s="36">
        <f t="shared" si="776"/>
        <v>0.89652023952071624</v>
      </c>
      <c r="AC1916" s="11">
        <f t="shared" si="777"/>
        <v>4.891234328587829E-2</v>
      </c>
      <c r="AD1916" s="36">
        <f t="shared" si="778"/>
        <v>0.99340969213618802</v>
      </c>
      <c r="AE1916" s="36"/>
      <c r="AF1916" s="36">
        <f>IFERROR(VLOOKUP(AE1916,'Chemical Cost'!A:D,4,0),0)</f>
        <v>0</v>
      </c>
      <c r="AG1916" s="114">
        <f t="shared" si="779"/>
        <v>0</v>
      </c>
      <c r="AH1916" s="36">
        <f t="shared" si="780"/>
        <v>0</v>
      </c>
      <c r="AI1916" s="36">
        <f t="shared" si="781"/>
        <v>1.8899299316569043</v>
      </c>
      <c r="AJ1916" s="36">
        <f>IFERROR(VLOOKUP(A1916,'All Products'!A:F,6,0),0)</f>
        <v>0</v>
      </c>
      <c r="AK1916" s="36">
        <f>AJ1916*Z1916*J1916</f>
        <v>0</v>
      </c>
      <c r="AL1916" s="23">
        <v>1</v>
      </c>
      <c r="AM1916" s="23"/>
      <c r="AN1916" s="54" t="e">
        <v>#N/A</v>
      </c>
      <c r="AO1916" s="47"/>
      <c r="AP1916" s="4">
        <v>1.25</v>
      </c>
      <c r="AQ1916" s="111">
        <f t="shared" si="782"/>
        <v>4.891234328587829E-2</v>
      </c>
      <c r="AR1916">
        <f>_xlfn.XLOOKUP(F1916,'RM Cost'!A:A,'RM Cost'!S:S)</f>
        <v>0</v>
      </c>
      <c r="AS1916" t="str">
        <f>_xlfn.XLOOKUP(A1916,[3]Sheet1!$B:$B,[3]Sheet1!$B:$B)</f>
        <v>670CCS</v>
      </c>
      <c r="AT1916">
        <f>_xlfn.XLOOKUP(H1916,'Yield &amp; Time'!A:A,'Yield &amp; Time'!F:F)</f>
        <v>0</v>
      </c>
    </row>
    <row r="1917" spans="1:46" x14ac:dyDescent="0.25">
      <c r="A1917" s="1" t="s">
        <v>4859</v>
      </c>
      <c r="B1917" s="2" t="s">
        <v>552</v>
      </c>
      <c r="C1917" s="2" t="s">
        <v>580</v>
      </c>
      <c r="D1917" s="2" t="s">
        <v>554</v>
      </c>
      <c r="E1917" s="2">
        <v>1</v>
      </c>
      <c r="F1917" s="1" t="str">
        <f>VLOOKUP(H1917,'RM Used'!A:B,2,0)</f>
        <v>P0020</v>
      </c>
      <c r="G1917" s="1" t="str">
        <f>IFERROR(VLOOKUP(F1917,'RM Cost'!A:B,2,0),"")</f>
        <v>PALE BLUE BAG 430X430MM</v>
      </c>
      <c r="H1917" s="2" t="s">
        <v>1659</v>
      </c>
      <c r="I1917" s="1" t="str">
        <f>VLOOKUP(F1917,'RM Used'!B:D,3,0)</f>
        <v>RM-PACKING</v>
      </c>
      <c r="J1917" s="66">
        <v>1</v>
      </c>
      <c r="K1917" s="35" t="str">
        <f t="shared" si="765"/>
        <v/>
      </c>
      <c r="L1917" s="35">
        <f t="shared" si="766"/>
        <v>0</v>
      </c>
      <c r="M1917" s="77" t="str" cm="1">
        <f t="array" ref="M1917">_xlfn.IFS(BOM!I1917="RM-PACKING","100%",B1917="Reynolds",VLOOKUP(H1917,'Yield &amp; Time'!A:V,22,0),BOM!B1917="Dnata",VLOOKUP(BOM!H1917,'Yield &amp; Time'!A:M,13,0),B1917="NK",VLOOKUP(H1917,'Yield &amp; Time'!A:X,24,0))</f>
        <v>100%</v>
      </c>
      <c r="N1917" s="35">
        <f t="shared" si="767"/>
        <v>1</v>
      </c>
      <c r="O1917" s="1" t="str">
        <f>VLOOKUP(H1917,'RM Used'!A:E,5,0)</f>
        <v>Count</v>
      </c>
      <c r="P1917" s="11">
        <f>VLOOKUP(H1917,'RM Used'!A:F,6,0)</f>
        <v>0.09</v>
      </c>
      <c r="Q1917" s="11">
        <f t="shared" si="768"/>
        <v>0.09</v>
      </c>
      <c r="R1917" s="11">
        <f>IFERROR(IF(B1917="Reynolds",VLOOKUP(H1917,'Yield &amp; Time'!A:U,21,0),VLOOKUP(H1917,'Yield &amp; Time'!A:L,12,0)),0)</f>
        <v>0</v>
      </c>
      <c r="S1917" s="11">
        <f t="shared" si="769"/>
        <v>0</v>
      </c>
      <c r="T1917" s="11">
        <f t="shared" si="770"/>
        <v>0</v>
      </c>
      <c r="U1917" s="11">
        <f>IF(A1916=A1917,0,VLOOKUP(A1917,'Packing Time'!A:F,6,0))</f>
        <v>0</v>
      </c>
      <c r="V1917" s="11">
        <f t="shared" si="771"/>
        <v>0</v>
      </c>
      <c r="W1917" s="11">
        <f t="shared" si="772"/>
        <v>0</v>
      </c>
      <c r="X1917" s="11">
        <f t="shared" si="773"/>
        <v>0</v>
      </c>
      <c r="Y1917" s="11">
        <f t="shared" si="774"/>
        <v>0</v>
      </c>
      <c r="Z1917" s="37">
        <v>1</v>
      </c>
      <c r="AA1917" s="36">
        <f t="shared" si="775"/>
        <v>1</v>
      </c>
      <c r="AB1917" s="36">
        <f t="shared" si="776"/>
        <v>0.09</v>
      </c>
      <c r="AC1917" s="11">
        <f t="shared" si="777"/>
        <v>0</v>
      </c>
      <c r="AD1917" s="36">
        <f t="shared" si="778"/>
        <v>0</v>
      </c>
      <c r="AE1917" s="36"/>
      <c r="AF1917" s="36">
        <f>IFERROR(VLOOKUP(AE1917,'Chemical Cost'!A:D,4,0),0)</f>
        <v>0</v>
      </c>
      <c r="AG1917" s="114">
        <f t="shared" si="779"/>
        <v>0</v>
      </c>
      <c r="AH1917" s="36">
        <f t="shared" si="780"/>
        <v>0</v>
      </c>
      <c r="AI1917" s="36">
        <f t="shared" si="781"/>
        <v>0.09</v>
      </c>
      <c r="AJ1917" s="36">
        <f>IFERROR(VLOOKUP(A1917,'All Products'!A:F,6,0),0)</f>
        <v>0</v>
      </c>
      <c r="AK1917" s="36"/>
      <c r="AL1917" s="23">
        <v>1</v>
      </c>
      <c r="AM1917" s="23"/>
      <c r="AN1917" s="54" t="e">
        <v>#N/A</v>
      </c>
      <c r="AO1917" s="47"/>
      <c r="AP1917" s="4">
        <v>1.25</v>
      </c>
      <c r="AQ1917" s="111">
        <f t="shared" si="782"/>
        <v>0</v>
      </c>
      <c r="AR1917">
        <f>_xlfn.XLOOKUP(F1917,'RM Cost'!A:A,'RM Cost'!S:S)</f>
        <v>0</v>
      </c>
      <c r="AS1917" t="str">
        <f>_xlfn.XLOOKUP(A1917,[3]Sheet1!$B:$B,[3]Sheet1!$B:$B)</f>
        <v>670CCS</v>
      </c>
      <c r="AT1917" t="e">
        <f>_xlfn.XLOOKUP(H1917,'Yield &amp; Time'!A:A,'Yield &amp; Time'!F:F)</f>
        <v>#N/A</v>
      </c>
    </row>
    <row r="1918" spans="1:46" x14ac:dyDescent="0.25">
      <c r="A1918" s="1" t="s">
        <v>4859</v>
      </c>
      <c r="B1918" s="2" t="s">
        <v>552</v>
      </c>
      <c r="C1918" s="2" t="s">
        <v>580</v>
      </c>
      <c r="D1918" s="2" t="s">
        <v>554</v>
      </c>
      <c r="E1918" s="2">
        <v>1</v>
      </c>
      <c r="F1918" s="1" t="str">
        <f>VLOOKUP(H1918,'RM Used'!A:B,2,0)</f>
        <v>P0016</v>
      </c>
      <c r="G1918" s="1" t="str">
        <f>IFERROR(VLOOKUP(F1918,'RM Cost'!A:B,2,0),"")</f>
        <v>REY 40 30 BOX</v>
      </c>
      <c r="H1918" s="2" t="s">
        <v>1332</v>
      </c>
      <c r="I1918" s="1" t="str">
        <f>VLOOKUP(F1918,'RM Used'!B:D,3,0)</f>
        <v>RM-PACKING</v>
      </c>
      <c r="J1918" s="66">
        <v>1</v>
      </c>
      <c r="K1918" s="35" t="str">
        <f t="shared" si="765"/>
        <v/>
      </c>
      <c r="L1918" s="35">
        <f t="shared" si="766"/>
        <v>0</v>
      </c>
      <c r="M1918" s="77" t="str" cm="1">
        <f t="array" ref="M1918">_xlfn.IFS(BOM!I1918="RM-PACKING","100%",B1918="Reynolds",VLOOKUP(H1918,'Yield &amp; Time'!A:V,22,0),BOM!B1918="Dnata",VLOOKUP(BOM!H1918,'Yield &amp; Time'!A:M,13,0),B1918="NK",VLOOKUP(H1918,'Yield &amp; Time'!A:X,24,0))</f>
        <v>100%</v>
      </c>
      <c r="N1918" s="35">
        <f t="shared" si="767"/>
        <v>1</v>
      </c>
      <c r="O1918" s="1" t="str">
        <f>VLOOKUP(H1918,'RM Used'!A:E,5,0)</f>
        <v>Count</v>
      </c>
      <c r="P1918" s="11">
        <f>VLOOKUP(H1918,'RM Used'!A:F,6,0)</f>
        <v>0.28000000000000003</v>
      </c>
      <c r="Q1918" s="11">
        <f t="shared" si="768"/>
        <v>0.28000000000000003</v>
      </c>
      <c r="R1918" s="11">
        <f>IFERROR(IF(B1918="Reynolds",VLOOKUP(H1918,'Yield &amp; Time'!A:U,21,0),VLOOKUP(H1918,'Yield &amp; Time'!A:L,12,0)),0)</f>
        <v>0</v>
      </c>
      <c r="S1918" s="11">
        <f t="shared" si="769"/>
        <v>0</v>
      </c>
      <c r="T1918" s="11">
        <f t="shared" si="770"/>
        <v>0</v>
      </c>
      <c r="U1918" s="11">
        <f>IF(A1917=A1918,0,VLOOKUP(A1918,'Packing Time'!A:F,6,0))</f>
        <v>0</v>
      </c>
      <c r="V1918" s="11">
        <f t="shared" si="771"/>
        <v>0</v>
      </c>
      <c r="W1918" s="11">
        <f t="shared" si="772"/>
        <v>0</v>
      </c>
      <c r="X1918" s="11">
        <f t="shared" si="773"/>
        <v>0</v>
      </c>
      <c r="Y1918" s="11">
        <f t="shared" si="774"/>
        <v>0</v>
      </c>
      <c r="Z1918" s="37">
        <v>1</v>
      </c>
      <c r="AA1918" s="36">
        <f t="shared" si="775"/>
        <v>1</v>
      </c>
      <c r="AB1918" s="36">
        <f t="shared" si="776"/>
        <v>0.28000000000000003</v>
      </c>
      <c r="AC1918" s="11">
        <f t="shared" si="777"/>
        <v>0</v>
      </c>
      <c r="AD1918" s="36">
        <f t="shared" si="778"/>
        <v>0</v>
      </c>
      <c r="AE1918" s="36"/>
      <c r="AF1918" s="36">
        <f>IFERROR(VLOOKUP(AE1918,'Chemical Cost'!A:D,4,0),0)</f>
        <v>0</v>
      </c>
      <c r="AG1918" s="114">
        <f t="shared" si="779"/>
        <v>0</v>
      </c>
      <c r="AH1918" s="36">
        <f t="shared" si="780"/>
        <v>0</v>
      </c>
      <c r="AI1918" s="36">
        <f t="shared" si="781"/>
        <v>0.28000000000000003</v>
      </c>
      <c r="AJ1918" s="36">
        <f>IFERROR(VLOOKUP(A1918,'All Products'!A:F,6,0),0)</f>
        <v>0</v>
      </c>
      <c r="AK1918" s="36"/>
      <c r="AL1918" s="23">
        <v>1</v>
      </c>
      <c r="AM1918" s="23"/>
      <c r="AN1918" s="54" t="e">
        <v>#N/A</v>
      </c>
      <c r="AO1918" s="47"/>
      <c r="AP1918" s="4">
        <v>1.25</v>
      </c>
      <c r="AQ1918" s="111">
        <f t="shared" si="782"/>
        <v>0</v>
      </c>
      <c r="AR1918">
        <f>_xlfn.XLOOKUP(F1918,'RM Cost'!A:A,'RM Cost'!S:S)</f>
        <v>0</v>
      </c>
      <c r="AS1918" t="str">
        <f>_xlfn.XLOOKUP(A1918,[3]Sheet1!$B:$B,[3]Sheet1!$B:$B)</f>
        <v>670CCS</v>
      </c>
      <c r="AT1918" t="e">
        <f>_xlfn.XLOOKUP(H1918,'Yield &amp; Time'!A:A,'Yield &amp; Time'!F:F)</f>
        <v>#N/A</v>
      </c>
    </row>
    <row r="1919" spans="1:46" x14ac:dyDescent="0.25">
      <c r="A1919" s="2" t="s">
        <v>4852</v>
      </c>
      <c r="B1919" s="2" t="s">
        <v>552</v>
      </c>
      <c r="C1919" s="2" t="s">
        <v>553</v>
      </c>
      <c r="D1919" s="2" t="s">
        <v>554</v>
      </c>
      <c r="E1919" s="2">
        <v>1</v>
      </c>
      <c r="F1919" s="1" t="str">
        <f>VLOOKUP(H1919,'RM Used'!A:B,2,0)</f>
        <v>032ACS</v>
      </c>
      <c r="G1919" s="1" t="str">
        <f>IFERROR(VLOOKUP(F1919,'RM Cost'!A:B,2,0),"")</f>
        <v>RM - LRG PROCESSING CARROT X 1000KG</v>
      </c>
      <c r="H1919" s="2" t="s">
        <v>1351</v>
      </c>
      <c r="I1919" s="1" t="str">
        <f>VLOOKUP(F1919,'RM Used'!B:D,3,0)</f>
        <v>RM-FOOD</v>
      </c>
      <c r="J1919" s="66">
        <v>1</v>
      </c>
      <c r="K1919" s="35">
        <f t="shared" si="765"/>
        <v>1</v>
      </c>
      <c r="L1919" s="35">
        <f t="shared" si="766"/>
        <v>1</v>
      </c>
      <c r="M1919" s="77" cm="1">
        <f t="array" ref="M1919">_xlfn.IFS(BOM!I1919="RM-PACKING","100%",B1919="Reynolds",VLOOKUP(H1919,'Yield &amp; Time'!A:V,22,0),BOM!B1919="Dnata",VLOOKUP(BOM!H1919,'Yield &amp; Time'!A:M,13,0),B1919="NK",VLOOKUP(H1919,'Yield &amp; Time'!A:X,24,0))</f>
        <v>0.75330000000000008</v>
      </c>
      <c r="N1919" s="35">
        <f t="shared" si="767"/>
        <v>1.3274923669188901</v>
      </c>
      <c r="O1919" s="1" t="str">
        <f>VLOOKUP(H1919,'RM Used'!A:E,5,0)</f>
        <v>KG</v>
      </c>
      <c r="P1919" s="11">
        <f>VLOOKUP(H1919,'RM Used'!A:F,6,0)</f>
        <v>0.38</v>
      </c>
      <c r="Q1919" s="11">
        <f>P1919*N1919</f>
        <v>0.5044470994291782</v>
      </c>
      <c r="R1919" s="11">
        <f>IFERROR(IF(B1919="Reynolds",VLOOKUP(H1919,'Yield &amp; Time'!A:U,21,0),VLOOKUP(H1919,'Yield &amp; Time'!A:L,12,0)),0)</f>
        <v>0.90531914893617027</v>
      </c>
      <c r="S1919" s="11">
        <f t="shared" si="769"/>
        <v>0.30645053191489363</v>
      </c>
      <c r="T1919" s="11">
        <f t="shared" si="770"/>
        <v>1.5088652482269505E-2</v>
      </c>
      <c r="U1919" s="11">
        <f>IF(A1918=A1919,0,VLOOKUP(A1919,'Packing Time'!A:F,6,0))</f>
        <v>0.55000000000000004</v>
      </c>
      <c r="V1919" s="11">
        <f>U1919*AO$1</f>
        <v>0.18617500000000001</v>
      </c>
      <c r="W1919" s="11">
        <f>(U1919*Z1919)/60</f>
        <v>9.1666666666666667E-3</v>
      </c>
      <c r="X1919" s="11">
        <f t="shared" si="773"/>
        <v>0.54188808510638298</v>
      </c>
      <c r="Y1919" s="11">
        <f>X1919*Z1919</f>
        <v>0.54188808510638298</v>
      </c>
      <c r="Z1919" s="37">
        <v>1</v>
      </c>
      <c r="AA1919" s="36">
        <f t="shared" si="775"/>
        <v>1.3274923669188901</v>
      </c>
      <c r="AB1919" s="11">
        <f t="shared" si="776"/>
        <v>0.5044470994291782</v>
      </c>
      <c r="AC1919" s="11">
        <f t="shared" si="777"/>
        <v>2.6680851063829794E-2</v>
      </c>
      <c r="AD1919" s="36">
        <f>AC1919*60*AO$1</f>
        <v>0.54188808510638309</v>
      </c>
      <c r="AE1919" s="36" t="str">
        <f>VLOOKUP(H1919,'Yield &amp; Time'!A:R,18,0)</f>
        <v>CHLORINE</v>
      </c>
      <c r="AF1919" s="36">
        <f>IFERROR(VLOOKUP(AE1919,'Chemical Cost'!A:D,4,0),0)</f>
        <v>2.7756518066439469E-2</v>
      </c>
      <c r="AG1919" s="114">
        <f t="shared" si="779"/>
        <v>1.2282188621814889E-2</v>
      </c>
      <c r="AH1919" s="36">
        <f>AF1919*AA1919/3</f>
        <v>1.2282188621814889E-2</v>
      </c>
      <c r="AI1919" s="36">
        <f>IFERROR((Q1919*Z1919)+(Z1919*X1919)+AH1919,0)</f>
        <v>1.058617373157376</v>
      </c>
      <c r="AJ1919" s="36">
        <f>IFERROR(VLOOKUP(A1919,'All Products'!A:F,6,0),0)</f>
        <v>10.8</v>
      </c>
      <c r="AK1919" s="36">
        <f>AJ1919*Z1919*J1919</f>
        <v>10.8</v>
      </c>
      <c r="AL1919" s="23">
        <v>0.85</v>
      </c>
      <c r="AM1919" s="23">
        <v>0.15</v>
      </c>
      <c r="AN1919" s="54" t="e">
        <v>#N/A</v>
      </c>
      <c r="AO1919" s="47"/>
      <c r="AP1919" s="4">
        <v>1.1000000000000001</v>
      </c>
      <c r="AQ1919" s="111">
        <f t="shared" si="782"/>
        <v>2.6680851063829794E-2</v>
      </c>
      <c r="AR1919">
        <f>_xlfn.XLOOKUP(F1919,'RM Cost'!A:A,'RM Cost'!S:S)</f>
        <v>0</v>
      </c>
      <c r="AS1919" t="str">
        <f>_xlfn.XLOOKUP(A1919,[3]Sheet1!$B:$B,[3]Sheet1!$B:$B)</f>
        <v>671CCS</v>
      </c>
      <c r="AT1919" t="str">
        <f>_xlfn.XLOOKUP(H1919,'Yield &amp; Time'!A:A,'Yield &amp; Time'!O:O)</f>
        <v>Yes</v>
      </c>
    </row>
    <row r="1920" spans="1:46" x14ac:dyDescent="0.25">
      <c r="A1920" s="2" t="s">
        <v>4852</v>
      </c>
      <c r="B1920" s="2" t="s">
        <v>552</v>
      </c>
      <c r="C1920" s="2" t="s">
        <v>553</v>
      </c>
      <c r="D1920" s="2" t="s">
        <v>554</v>
      </c>
      <c r="E1920" s="2">
        <v>1</v>
      </c>
      <c r="F1920" s="1" t="str">
        <f>VLOOKUP(H1920,'RM Used'!A:B,2,0)</f>
        <v>P0001</v>
      </c>
      <c r="G1920" s="1" t="str">
        <f>IFERROR(VLOOKUP(F1920,'RM Cost'!A:B,2,0),"")</f>
        <v>SOL 30EL # PPLUS 630x1000 BLUE -1</v>
      </c>
      <c r="H1920" s="2" t="s">
        <v>4678</v>
      </c>
      <c r="I1920" s="1" t="str">
        <f>VLOOKUP(F1920,'RM Used'!B:D,3,0)</f>
        <v>RM-PACKING</v>
      </c>
      <c r="J1920" s="66">
        <v>1</v>
      </c>
      <c r="K1920" s="35" t="str">
        <f t="shared" si="765"/>
        <v/>
      </c>
      <c r="L1920" s="35">
        <f t="shared" si="766"/>
        <v>0</v>
      </c>
      <c r="M1920" s="77" t="str" cm="1">
        <f t="array" ref="M1920">_xlfn.IFS(BOM!I1920="RM-PACKING","100%",B1920="Reynolds",VLOOKUP(H1920,'Yield &amp; Time'!A:V,22,0),BOM!B1920="Dnata",VLOOKUP(BOM!H1920,'Yield &amp; Time'!A:M,13,0),B1920="NK",VLOOKUP(H1920,'Yield &amp; Time'!A:X,24,0))</f>
        <v>100%</v>
      </c>
      <c r="N1920" s="35">
        <f t="shared" si="767"/>
        <v>1</v>
      </c>
      <c r="O1920" s="1" t="str">
        <f>VLOOKUP(H1920,'RM Used'!A:E,5,0)</f>
        <v>Count</v>
      </c>
      <c r="P1920" s="11">
        <f>VLOOKUP(H1920,'RM Used'!A:F,6,0)</f>
        <v>0.08</v>
      </c>
      <c r="Q1920" s="11">
        <f t="shared" ref="Q1920:Q1960" si="783">P1920*N1920</f>
        <v>0.08</v>
      </c>
      <c r="R1920" s="11">
        <f>IFERROR(IF(B1920="Reynolds",VLOOKUP(H1920,'Yield &amp; Time'!A:U,21,0),VLOOKUP(H1920,'Yield &amp; Time'!A:L,12,0)),0)</f>
        <v>0</v>
      </c>
      <c r="S1920" s="11">
        <f t="shared" si="769"/>
        <v>0</v>
      </c>
      <c r="T1920" s="11">
        <f t="shared" si="770"/>
        <v>0</v>
      </c>
      <c r="U1920" s="11">
        <f>IF(A1919=A1920,0,VLOOKUP(A1920,'Packing Time'!A:F,6,0))</f>
        <v>0</v>
      </c>
      <c r="V1920" s="11">
        <f t="shared" ref="V1920:V1945" si="784">U1920*AO$1</f>
        <v>0</v>
      </c>
      <c r="W1920" s="11">
        <f t="shared" ref="W1920:W1945" si="785">(U1920*Z1920)/60</f>
        <v>0</v>
      </c>
      <c r="X1920" s="11">
        <f t="shared" si="773"/>
        <v>0</v>
      </c>
      <c r="Y1920" s="11">
        <f t="shared" ref="Y1920:Y1945" si="786">X1920*Z1920</f>
        <v>0</v>
      </c>
      <c r="Z1920" s="37">
        <v>1</v>
      </c>
      <c r="AA1920" s="36">
        <f t="shared" si="775"/>
        <v>1</v>
      </c>
      <c r="AB1920" s="36">
        <f t="shared" si="776"/>
        <v>0.08</v>
      </c>
      <c r="AC1920" s="11">
        <f t="shared" si="777"/>
        <v>0</v>
      </c>
      <c r="AD1920" s="36">
        <f t="shared" ref="AD1920:AD1945" si="787">AC1920*60*AO$1</f>
        <v>0</v>
      </c>
      <c r="AE1920" s="36"/>
      <c r="AF1920" s="36">
        <f>IFERROR(VLOOKUP(AE1920,'Chemical Cost'!A:D,4,0),0)</f>
        <v>0</v>
      </c>
      <c r="AG1920" s="114">
        <f t="shared" si="779"/>
        <v>0</v>
      </c>
      <c r="AH1920" s="36">
        <f t="shared" ref="AH1920:AH1960" si="788">AF1920*AA1920/3</f>
        <v>0</v>
      </c>
      <c r="AI1920" s="36">
        <f t="shared" ref="AI1920:AI1945" si="789">IFERROR((Q1920*Z1920)+(Z1920*X1920)+AH1920,0)</f>
        <v>0.08</v>
      </c>
      <c r="AJ1920" s="36">
        <f>IFERROR(VLOOKUP(A1920,'All Products'!A:F,6,0),0)</f>
        <v>10.8</v>
      </c>
      <c r="AK1920" s="36"/>
      <c r="AL1920" s="23">
        <v>0.85</v>
      </c>
      <c r="AM1920" s="23">
        <v>0.15</v>
      </c>
      <c r="AN1920" s="54" t="e">
        <v>#N/A</v>
      </c>
      <c r="AO1920" s="47"/>
      <c r="AP1920" s="4">
        <v>1.1000000000000001</v>
      </c>
      <c r="AQ1920" s="111">
        <f t="shared" si="782"/>
        <v>0</v>
      </c>
      <c r="AR1920">
        <f>_xlfn.XLOOKUP(F1920,'RM Cost'!A:A,'RM Cost'!S:S)</f>
        <v>0</v>
      </c>
      <c r="AS1920" t="str">
        <f>_xlfn.XLOOKUP(A1920,[3]Sheet1!$B:$B,[3]Sheet1!$B:$B)</f>
        <v>671CCS</v>
      </c>
      <c r="AT1920" t="e">
        <f>_xlfn.XLOOKUP(H1920,'Yield &amp; Time'!A:A,'Yield &amp; Time'!F:F)</f>
        <v>#N/A</v>
      </c>
    </row>
    <row r="1921" spans="1:46" x14ac:dyDescent="0.25">
      <c r="A1921" s="2" t="s">
        <v>4852</v>
      </c>
      <c r="B1921" s="2" t="s">
        <v>552</v>
      </c>
      <c r="C1921" s="2" t="s">
        <v>553</v>
      </c>
      <c r="D1921" s="2" t="s">
        <v>554</v>
      </c>
      <c r="E1921" s="2">
        <v>1</v>
      </c>
      <c r="F1921" s="1" t="str">
        <f>VLOOKUP(H1921,'RM Used'!A:B,2,0)</f>
        <v>P0016</v>
      </c>
      <c r="G1921" s="1" t="str">
        <f>IFERROR(VLOOKUP(F1921,'RM Cost'!A:B,2,0),"")</f>
        <v>REY 40 30 BOX</v>
      </c>
      <c r="H1921" s="2" t="s">
        <v>1332</v>
      </c>
      <c r="I1921" s="1" t="str">
        <f>VLOOKUP(F1921,'RM Used'!B:D,3,0)</f>
        <v>RM-PACKING</v>
      </c>
      <c r="J1921" s="66">
        <v>1</v>
      </c>
      <c r="K1921" s="35" t="str">
        <f t="shared" si="765"/>
        <v/>
      </c>
      <c r="L1921" s="35">
        <f t="shared" si="766"/>
        <v>0</v>
      </c>
      <c r="M1921" s="77" t="str" cm="1">
        <f t="array" ref="M1921">_xlfn.IFS(BOM!I1921="RM-PACKING","100%",B1921="Reynolds",VLOOKUP(H1921,'Yield &amp; Time'!A:V,22,0),BOM!B1921="Dnata",VLOOKUP(BOM!H1921,'Yield &amp; Time'!A:M,13,0),B1921="NK",VLOOKUP(H1921,'Yield &amp; Time'!A:X,24,0))</f>
        <v>100%</v>
      </c>
      <c r="N1921" s="35">
        <f t="shared" si="767"/>
        <v>1</v>
      </c>
      <c r="O1921" s="1" t="str">
        <f>VLOOKUP(H1921,'RM Used'!A:E,5,0)</f>
        <v>Count</v>
      </c>
      <c r="P1921" s="11">
        <f>VLOOKUP(H1921,'RM Used'!A:F,6,0)</f>
        <v>0.28000000000000003</v>
      </c>
      <c r="Q1921" s="11">
        <f t="shared" si="783"/>
        <v>0.28000000000000003</v>
      </c>
      <c r="R1921" s="11">
        <f>IFERROR(IF(B1921="Reynolds",VLOOKUP(H1921,'Yield &amp; Time'!A:U,21,0),VLOOKUP(H1921,'Yield &amp; Time'!A:L,12,0)),0)</f>
        <v>0</v>
      </c>
      <c r="S1921" s="11">
        <f t="shared" si="769"/>
        <v>0</v>
      </c>
      <c r="T1921" s="11">
        <f t="shared" si="770"/>
        <v>0</v>
      </c>
      <c r="U1921" s="11">
        <f>IF(A1920=A1921,0,VLOOKUP(A1921,'Packing Time'!A:F,6,0))</f>
        <v>0</v>
      </c>
      <c r="V1921" s="11">
        <f t="shared" si="784"/>
        <v>0</v>
      </c>
      <c r="W1921" s="11">
        <f t="shared" si="785"/>
        <v>0</v>
      </c>
      <c r="X1921" s="11">
        <f t="shared" si="773"/>
        <v>0</v>
      </c>
      <c r="Y1921" s="11">
        <f t="shared" si="786"/>
        <v>0</v>
      </c>
      <c r="Z1921" s="37">
        <v>1</v>
      </c>
      <c r="AA1921" s="36">
        <f t="shared" si="775"/>
        <v>1</v>
      </c>
      <c r="AB1921" s="36">
        <f t="shared" si="776"/>
        <v>0.28000000000000003</v>
      </c>
      <c r="AC1921" s="11">
        <f t="shared" si="777"/>
        <v>0</v>
      </c>
      <c r="AD1921" s="36">
        <f t="shared" si="787"/>
        <v>0</v>
      </c>
      <c r="AE1921" s="36"/>
      <c r="AF1921" s="36">
        <f>IFERROR(VLOOKUP(AE1921,'Chemical Cost'!A:D,4,0),0)</f>
        <v>0</v>
      </c>
      <c r="AG1921" s="114">
        <f t="shared" si="779"/>
        <v>0</v>
      </c>
      <c r="AH1921" s="36">
        <f t="shared" si="788"/>
        <v>0</v>
      </c>
      <c r="AI1921" s="36">
        <f t="shared" si="789"/>
        <v>0.28000000000000003</v>
      </c>
      <c r="AJ1921" s="36">
        <f>IFERROR(VLOOKUP(A1921,'All Products'!A:F,6,0),0)</f>
        <v>10.8</v>
      </c>
      <c r="AK1921" s="36"/>
      <c r="AL1921" s="23">
        <v>0.85</v>
      </c>
      <c r="AM1921" s="23">
        <v>0.15</v>
      </c>
      <c r="AN1921" s="54" t="e">
        <v>#N/A</v>
      </c>
      <c r="AO1921" s="47"/>
      <c r="AP1921" s="4">
        <v>1.1000000000000001</v>
      </c>
      <c r="AQ1921" s="111">
        <f t="shared" si="782"/>
        <v>0</v>
      </c>
      <c r="AR1921">
        <f>_xlfn.XLOOKUP(F1921,'RM Cost'!A:A,'RM Cost'!S:S)</f>
        <v>0</v>
      </c>
      <c r="AS1921" t="str">
        <f>_xlfn.XLOOKUP(A1921,[3]Sheet1!$B:$B,[3]Sheet1!$B:$B)</f>
        <v>671CCS</v>
      </c>
      <c r="AT1921" t="e">
        <f>_xlfn.XLOOKUP(H1921,'Yield &amp; Time'!A:A,'Yield &amp; Time'!F:F)</f>
        <v>#N/A</v>
      </c>
    </row>
    <row r="1922" spans="1:46" x14ac:dyDescent="0.25">
      <c r="A1922" s="2" t="s">
        <v>4855</v>
      </c>
      <c r="B1922" s="2" t="s">
        <v>552</v>
      </c>
      <c r="C1922" s="2" t="s">
        <v>455</v>
      </c>
      <c r="D1922" s="2" t="s">
        <v>554</v>
      </c>
      <c r="E1922" s="2">
        <v>2.5</v>
      </c>
      <c r="F1922" s="1" t="str">
        <f>VLOOKUP(H1922,'RM Used'!A:B,2,0)</f>
        <v>032ACS</v>
      </c>
      <c r="G1922" s="1" t="str">
        <f>IFERROR(VLOOKUP(F1922,'RM Cost'!A:B,2,0),"")</f>
        <v>RM - LRG PROCESSING CARROT X 1000KG</v>
      </c>
      <c r="H1922" s="2" t="s">
        <v>1430</v>
      </c>
      <c r="I1922" s="1" t="str">
        <f>VLOOKUP(F1922,'RM Used'!B:D,3,0)</f>
        <v>RM-FOOD</v>
      </c>
      <c r="J1922" s="66">
        <v>1</v>
      </c>
      <c r="K1922" s="35">
        <f t="shared" si="765"/>
        <v>2.5</v>
      </c>
      <c r="L1922" s="35">
        <f t="shared" si="766"/>
        <v>2.5</v>
      </c>
      <c r="M1922" s="77" cm="1">
        <f t="array" ref="M1922">_xlfn.IFS(BOM!I1922="RM-PACKING","100%",B1922="Reynolds",VLOOKUP(H1922,'Yield &amp; Time'!A:V,22,0),BOM!B1922="Dnata",VLOOKUP(BOM!H1922,'Yield &amp; Time'!A:M,13,0),B1922="NK",VLOOKUP(H1922,'Yield &amp; Time'!A:X,24,0))</f>
        <v>0.71850998224686224</v>
      </c>
      <c r="N1922" s="35">
        <f t="shared" si="767"/>
        <v>3.4794227801570918</v>
      </c>
      <c r="O1922" s="1" t="str">
        <f>VLOOKUP(H1922,'RM Used'!A:E,5,0)</f>
        <v>KG</v>
      </c>
      <c r="P1922" s="11">
        <f>VLOOKUP(H1922,'RM Used'!A:F,6,0)</f>
        <v>0.38</v>
      </c>
      <c r="Q1922" s="11">
        <f t="shared" si="783"/>
        <v>1.322180656459695</v>
      </c>
      <c r="R1922" s="11">
        <f>IFERROR(IF(B1922="Reynolds",VLOOKUP(H1922,'Yield &amp; Time'!A:U,21,0),VLOOKUP(H1922,'Yield &amp; Time'!A:L,12,0)),0)</f>
        <v>1.7110957948741659</v>
      </c>
      <c r="S1922" s="11">
        <f t="shared" si="769"/>
        <v>1.4480148164122626</v>
      </c>
      <c r="T1922" s="11">
        <f t="shared" si="770"/>
        <v>7.1295658119756897E-2</v>
      </c>
      <c r="U1922" s="11">
        <f>IF(A1921=A1922,0,VLOOKUP(A1922,'Packing Time'!A:F,6,0))</f>
        <v>0.875</v>
      </c>
      <c r="V1922" s="11">
        <f t="shared" si="784"/>
        <v>0.29618749999999999</v>
      </c>
      <c r="W1922" s="11">
        <f t="shared" si="785"/>
        <v>1.4583333333333334E-2</v>
      </c>
      <c r="X1922" s="11">
        <f t="shared" si="773"/>
        <v>2.1802528955153284</v>
      </c>
      <c r="Y1922" s="11">
        <f t="shared" si="786"/>
        <v>2.1802528955153284</v>
      </c>
      <c r="Z1922" s="37">
        <v>1</v>
      </c>
      <c r="AA1922" s="36">
        <f t="shared" si="775"/>
        <v>3.4794227801570918</v>
      </c>
      <c r="AB1922" s="36">
        <f t="shared" si="776"/>
        <v>1.322180656459695</v>
      </c>
      <c r="AC1922" s="11">
        <f t="shared" si="777"/>
        <v>0.1073487393163628</v>
      </c>
      <c r="AD1922" s="36">
        <f t="shared" si="787"/>
        <v>2.180252895515328</v>
      </c>
      <c r="AE1922" s="36" t="str">
        <f>VLOOKUP(H1922,'Yield &amp; Time'!A:R,18,0)</f>
        <v>CHLORINE</v>
      </c>
      <c r="AF1922" s="36">
        <f>IFERROR(VLOOKUP(AE1922,'Chemical Cost'!A:D,4,0),0)</f>
        <v>2.7756518066439469E-2</v>
      </c>
      <c r="AG1922" s="114">
        <f t="shared" si="779"/>
        <v>3.219222041940379E-2</v>
      </c>
      <c r="AH1922" s="36">
        <f t="shared" si="788"/>
        <v>3.219222041940379E-2</v>
      </c>
      <c r="AI1922" s="36">
        <f t="shared" si="789"/>
        <v>3.5346257723944272</v>
      </c>
      <c r="AJ1922" s="36">
        <f>IFERROR(VLOOKUP(A1922,'All Products'!A:F,6,0),0)</f>
        <v>0</v>
      </c>
      <c r="AK1922" s="36">
        <f>AJ1922*Z1922*J1922</f>
        <v>0</v>
      </c>
      <c r="AL1922" s="23">
        <v>0.8</v>
      </c>
      <c r="AM1922" s="23">
        <v>0.2</v>
      </c>
      <c r="AN1922" s="54" t="e">
        <v>#N/A</v>
      </c>
      <c r="AO1922" s="47"/>
      <c r="AP1922" s="4">
        <v>1.25</v>
      </c>
      <c r="AQ1922" s="111">
        <f t="shared" si="782"/>
        <v>0.1073487393163628</v>
      </c>
      <c r="AR1922">
        <f>_xlfn.XLOOKUP(F1922,'RM Cost'!A:A,'RM Cost'!S:S)</f>
        <v>0</v>
      </c>
      <c r="AS1922" t="str">
        <f>_xlfn.XLOOKUP(A1922,[3]Sheet1!$B:$B,[3]Sheet1!$B:$B)</f>
        <v>672CCS</v>
      </c>
      <c r="AT1922">
        <f>_xlfn.XLOOKUP(H1922,'Yield &amp; Time'!A:A,'Yield &amp; Time'!F:F)</f>
        <v>0</v>
      </c>
    </row>
    <row r="1923" spans="1:46" x14ac:dyDescent="0.25">
      <c r="A1923" s="2" t="s">
        <v>4855</v>
      </c>
      <c r="B1923" s="2" t="s">
        <v>552</v>
      </c>
      <c r="C1923" s="2" t="s">
        <v>455</v>
      </c>
      <c r="D1923" s="2" t="s">
        <v>554</v>
      </c>
      <c r="E1923" s="2">
        <v>2.5</v>
      </c>
      <c r="F1923" s="1" t="str">
        <f>VLOOKUP(H1923,'RM Used'!A:B,2,0)</f>
        <v>P0020</v>
      </c>
      <c r="G1923" s="1" t="str">
        <f>IFERROR(VLOOKUP(F1923,'RM Cost'!A:B,2,0),"")</f>
        <v>PALE BLUE BAG 430X430MM</v>
      </c>
      <c r="H1923" s="2" t="s">
        <v>1659</v>
      </c>
      <c r="I1923" s="1" t="str">
        <f>VLOOKUP(F1923,'RM Used'!B:D,3,0)</f>
        <v>RM-PACKING</v>
      </c>
      <c r="J1923" s="66">
        <v>1</v>
      </c>
      <c r="K1923" s="35" t="str">
        <f t="shared" si="765"/>
        <v/>
      </c>
      <c r="L1923" s="35">
        <f t="shared" si="766"/>
        <v>0</v>
      </c>
      <c r="M1923" s="77" t="str" cm="1">
        <f t="array" ref="M1923">_xlfn.IFS(BOM!I1923="RM-PACKING","100%",B1923="Reynolds",VLOOKUP(H1923,'Yield &amp; Time'!A:V,22,0),BOM!B1923="Dnata",VLOOKUP(BOM!H1923,'Yield &amp; Time'!A:M,13,0),B1923="NK",VLOOKUP(H1923,'Yield &amp; Time'!A:X,24,0))</f>
        <v>100%</v>
      </c>
      <c r="N1923" s="35">
        <f t="shared" si="767"/>
        <v>1</v>
      </c>
      <c r="O1923" s="1" t="str">
        <f>VLOOKUP(H1923,'RM Used'!A:E,5,0)</f>
        <v>Count</v>
      </c>
      <c r="P1923" s="11">
        <f>VLOOKUP(H1923,'RM Used'!A:F,6,0)</f>
        <v>0.09</v>
      </c>
      <c r="Q1923" s="11">
        <f t="shared" si="783"/>
        <v>0.09</v>
      </c>
      <c r="R1923" s="11">
        <f>IFERROR(IF(B1923="Reynolds",VLOOKUP(H1923,'Yield &amp; Time'!A:U,21,0),VLOOKUP(H1923,'Yield &amp; Time'!A:L,12,0)),0)</f>
        <v>0</v>
      </c>
      <c r="S1923" s="11">
        <f t="shared" si="769"/>
        <v>0</v>
      </c>
      <c r="T1923" s="11">
        <f t="shared" si="770"/>
        <v>0</v>
      </c>
      <c r="U1923" s="11">
        <f>IF(A1922=A1923,0,VLOOKUP(A1923,'Packing Time'!A:F,6,0))</f>
        <v>0</v>
      </c>
      <c r="V1923" s="11">
        <f t="shared" si="784"/>
        <v>0</v>
      </c>
      <c r="W1923" s="11">
        <f t="shared" si="785"/>
        <v>0</v>
      </c>
      <c r="X1923" s="11">
        <f t="shared" si="773"/>
        <v>0</v>
      </c>
      <c r="Y1923" s="11">
        <f t="shared" si="786"/>
        <v>0</v>
      </c>
      <c r="Z1923" s="37">
        <v>1</v>
      </c>
      <c r="AA1923" s="36">
        <f t="shared" si="775"/>
        <v>1</v>
      </c>
      <c r="AB1923" s="36">
        <f t="shared" si="776"/>
        <v>0.09</v>
      </c>
      <c r="AC1923" s="11">
        <f t="shared" si="777"/>
        <v>0</v>
      </c>
      <c r="AD1923" s="36">
        <f t="shared" si="787"/>
        <v>0</v>
      </c>
      <c r="AE1923" s="36"/>
      <c r="AF1923" s="36">
        <f>IFERROR(VLOOKUP(AE1923,'Chemical Cost'!A:D,4,0),0)</f>
        <v>0</v>
      </c>
      <c r="AG1923" s="114">
        <f t="shared" si="779"/>
        <v>0</v>
      </c>
      <c r="AH1923" s="36">
        <f t="shared" si="788"/>
        <v>0</v>
      </c>
      <c r="AI1923" s="36">
        <f t="shared" si="789"/>
        <v>0.09</v>
      </c>
      <c r="AJ1923" s="36">
        <f>IFERROR(VLOOKUP(A1923,'All Products'!A:F,6,0),0)</f>
        <v>0</v>
      </c>
      <c r="AK1923" s="36"/>
      <c r="AL1923" s="23">
        <v>0.8</v>
      </c>
      <c r="AM1923" s="23">
        <v>0.2</v>
      </c>
      <c r="AN1923" s="54" t="e">
        <v>#N/A</v>
      </c>
      <c r="AO1923" s="47"/>
      <c r="AP1923" s="4">
        <v>1.25</v>
      </c>
      <c r="AQ1923" s="111">
        <f t="shared" si="782"/>
        <v>0</v>
      </c>
      <c r="AR1923">
        <f>_xlfn.XLOOKUP(F1923,'RM Cost'!A:A,'RM Cost'!S:S)</f>
        <v>0</v>
      </c>
      <c r="AS1923" t="str">
        <f>_xlfn.XLOOKUP(A1923,[3]Sheet1!$B:$B,[3]Sheet1!$B:$B)</f>
        <v>672CCS</v>
      </c>
      <c r="AT1923" t="e">
        <f>_xlfn.XLOOKUP(H1923,'Yield &amp; Time'!A:A,'Yield &amp; Time'!F:F)</f>
        <v>#N/A</v>
      </c>
    </row>
    <row r="1924" spans="1:46" x14ac:dyDescent="0.25">
      <c r="A1924" s="2" t="s">
        <v>4855</v>
      </c>
      <c r="B1924" s="2" t="s">
        <v>552</v>
      </c>
      <c r="C1924" s="2" t="s">
        <v>455</v>
      </c>
      <c r="D1924" s="2" t="s">
        <v>554</v>
      </c>
      <c r="E1924" s="2">
        <v>2.5</v>
      </c>
      <c r="F1924" s="1" t="str">
        <f>VLOOKUP(H1924,'RM Used'!A:B,2,0)</f>
        <v>P0016</v>
      </c>
      <c r="G1924" s="1" t="str">
        <f>IFERROR(VLOOKUP(F1924,'RM Cost'!A:B,2,0),"")</f>
        <v>REY 40 30 BOX</v>
      </c>
      <c r="H1924" s="2" t="s">
        <v>1332</v>
      </c>
      <c r="I1924" s="1" t="str">
        <f>VLOOKUP(F1924,'RM Used'!B:D,3,0)</f>
        <v>RM-PACKING</v>
      </c>
      <c r="J1924" s="66">
        <v>1</v>
      </c>
      <c r="K1924" s="35" t="str">
        <f t="shared" si="765"/>
        <v/>
      </c>
      <c r="L1924" s="35">
        <f t="shared" si="766"/>
        <v>0</v>
      </c>
      <c r="M1924" s="77" t="str" cm="1">
        <f t="array" ref="M1924">_xlfn.IFS(BOM!I1924="RM-PACKING","100%",B1924="Reynolds",VLOOKUP(H1924,'Yield &amp; Time'!A:V,22,0),BOM!B1924="Dnata",VLOOKUP(BOM!H1924,'Yield &amp; Time'!A:M,13,0),B1924="NK",VLOOKUP(H1924,'Yield &amp; Time'!A:X,24,0))</f>
        <v>100%</v>
      </c>
      <c r="N1924" s="35">
        <f t="shared" si="767"/>
        <v>1</v>
      </c>
      <c r="O1924" s="1" t="str">
        <f>VLOOKUP(H1924,'RM Used'!A:E,5,0)</f>
        <v>Count</v>
      </c>
      <c r="P1924" s="11">
        <f>VLOOKUP(H1924,'RM Used'!A:F,6,0)</f>
        <v>0.28000000000000003</v>
      </c>
      <c r="Q1924" s="11">
        <f t="shared" si="783"/>
        <v>0.28000000000000003</v>
      </c>
      <c r="R1924" s="11">
        <f>IFERROR(IF(B1924="Reynolds",VLOOKUP(H1924,'Yield &amp; Time'!A:U,21,0),VLOOKUP(H1924,'Yield &amp; Time'!A:L,12,0)),0)</f>
        <v>0</v>
      </c>
      <c r="S1924" s="11">
        <f t="shared" si="769"/>
        <v>0</v>
      </c>
      <c r="T1924" s="11">
        <f t="shared" si="770"/>
        <v>0</v>
      </c>
      <c r="U1924" s="11">
        <f>IF(A1923=A1924,0,VLOOKUP(A1924,'Packing Time'!A:F,6,0))</f>
        <v>0</v>
      </c>
      <c r="V1924" s="11">
        <f t="shared" si="784"/>
        <v>0</v>
      </c>
      <c r="W1924" s="11">
        <f t="shared" si="785"/>
        <v>0</v>
      </c>
      <c r="X1924" s="11">
        <f t="shared" si="773"/>
        <v>0</v>
      </c>
      <c r="Y1924" s="11">
        <f t="shared" si="786"/>
        <v>0</v>
      </c>
      <c r="Z1924" s="37">
        <v>1</v>
      </c>
      <c r="AA1924" s="36">
        <f t="shared" si="775"/>
        <v>1</v>
      </c>
      <c r="AB1924" s="36">
        <f t="shared" si="776"/>
        <v>0.28000000000000003</v>
      </c>
      <c r="AC1924" s="11">
        <f t="shared" si="777"/>
        <v>0</v>
      </c>
      <c r="AD1924" s="36">
        <f t="shared" si="787"/>
        <v>0</v>
      </c>
      <c r="AE1924" s="36"/>
      <c r="AF1924" s="36">
        <f>IFERROR(VLOOKUP(AE1924,'Chemical Cost'!A:D,4,0),0)</f>
        <v>0</v>
      </c>
      <c r="AG1924" s="114">
        <f t="shared" si="779"/>
        <v>0</v>
      </c>
      <c r="AH1924" s="36">
        <f t="shared" si="788"/>
        <v>0</v>
      </c>
      <c r="AI1924" s="36">
        <f t="shared" si="789"/>
        <v>0.28000000000000003</v>
      </c>
      <c r="AJ1924" s="36">
        <f>IFERROR(VLOOKUP(A1924,'All Products'!A:F,6,0),0)</f>
        <v>0</v>
      </c>
      <c r="AK1924" s="36"/>
      <c r="AL1924" s="23">
        <v>0.8</v>
      </c>
      <c r="AM1924" s="23">
        <v>0.2</v>
      </c>
      <c r="AN1924" s="54" t="e">
        <v>#N/A</v>
      </c>
      <c r="AO1924" s="47"/>
      <c r="AP1924" s="4">
        <v>1.25</v>
      </c>
      <c r="AQ1924" s="111">
        <f t="shared" si="782"/>
        <v>0</v>
      </c>
      <c r="AR1924">
        <f>_xlfn.XLOOKUP(F1924,'RM Cost'!A:A,'RM Cost'!S:S)</f>
        <v>0</v>
      </c>
      <c r="AS1924" t="str">
        <f>_xlfn.XLOOKUP(A1924,[3]Sheet1!$B:$B,[3]Sheet1!$B:$B)</f>
        <v>672CCS</v>
      </c>
      <c r="AT1924" t="e">
        <f>_xlfn.XLOOKUP(H1924,'Yield &amp; Time'!A:A,'Yield &amp; Time'!F:F)</f>
        <v>#N/A</v>
      </c>
    </row>
    <row r="1925" spans="1:46" x14ac:dyDescent="0.25">
      <c r="A1925" s="2" t="s">
        <v>4854</v>
      </c>
      <c r="B1925" s="2" t="s">
        <v>552</v>
      </c>
      <c r="C1925" s="2" t="s">
        <v>571</v>
      </c>
      <c r="D1925" s="2" t="s">
        <v>554</v>
      </c>
      <c r="E1925" s="2">
        <v>1</v>
      </c>
      <c r="F1925" s="1" t="str">
        <f>VLOOKUP(H1925,'RM Used'!A:B,2,0)</f>
        <v>032ACS</v>
      </c>
      <c r="G1925" s="1" t="str">
        <f>IFERROR(VLOOKUP(F1925,'RM Cost'!A:B,2,0),"")</f>
        <v>RM - LRG PROCESSING CARROT X 1000KG</v>
      </c>
      <c r="H1925" s="2" t="s">
        <v>1351</v>
      </c>
      <c r="I1925" s="1" t="str">
        <f>VLOOKUP(F1925,'RM Used'!B:D,3,0)</f>
        <v>RM-FOOD</v>
      </c>
      <c r="J1925" s="66">
        <v>1</v>
      </c>
      <c r="K1925" s="35">
        <f t="shared" si="765"/>
        <v>1</v>
      </c>
      <c r="L1925" s="35">
        <f t="shared" si="766"/>
        <v>1</v>
      </c>
      <c r="M1925" s="77" cm="1">
        <f t="array" ref="M1925">_xlfn.IFS(BOM!I1925="RM-PACKING","100%",B1925="Reynolds",VLOOKUP(H1925,'Yield &amp; Time'!A:V,22,0),BOM!B1925="Dnata",VLOOKUP(BOM!H1925,'Yield &amp; Time'!A:M,13,0),B1925="NK",VLOOKUP(H1925,'Yield &amp; Time'!A:X,24,0))</f>
        <v>0.75330000000000008</v>
      </c>
      <c r="N1925" s="35">
        <f t="shared" si="767"/>
        <v>1.3274923669188901</v>
      </c>
      <c r="O1925" s="1" t="str">
        <f>VLOOKUP(H1925,'RM Used'!A:E,5,0)</f>
        <v>KG</v>
      </c>
      <c r="P1925" s="11">
        <f>VLOOKUP(H1925,'RM Used'!A:F,6,0)</f>
        <v>0.38</v>
      </c>
      <c r="Q1925" s="11">
        <f t="shared" si="783"/>
        <v>0.5044470994291782</v>
      </c>
      <c r="R1925" s="11">
        <f>IFERROR(IF(B1925="Reynolds",VLOOKUP(H1925,'Yield &amp; Time'!A:U,21,0),VLOOKUP(H1925,'Yield &amp; Time'!A:L,12,0)),0)</f>
        <v>0.90531914893617027</v>
      </c>
      <c r="S1925" s="11">
        <f t="shared" si="769"/>
        <v>0.30645053191489363</v>
      </c>
      <c r="T1925" s="11">
        <f t="shared" si="770"/>
        <v>1.5088652482269505E-2</v>
      </c>
      <c r="U1925" s="11">
        <f>IF(A1924=A1925,0,VLOOKUP(A1925,'Packing Time'!A:F,6,0))</f>
        <v>1.75</v>
      </c>
      <c r="V1925" s="11">
        <f t="shared" si="784"/>
        <v>0.59237499999999998</v>
      </c>
      <c r="W1925" s="11">
        <f t="shared" si="785"/>
        <v>2.9166666666666667E-2</v>
      </c>
      <c r="X1925" s="11">
        <f t="shared" si="773"/>
        <v>0.98870808510638308</v>
      </c>
      <c r="Y1925" s="11">
        <f t="shared" si="786"/>
        <v>0.98870808510638308</v>
      </c>
      <c r="Z1925" s="37">
        <v>1</v>
      </c>
      <c r="AA1925" s="36">
        <f t="shared" si="775"/>
        <v>1.3274923669188901</v>
      </c>
      <c r="AB1925" s="36">
        <f t="shared" si="776"/>
        <v>0.5044470994291782</v>
      </c>
      <c r="AC1925" s="11">
        <f t="shared" si="777"/>
        <v>4.86808510638298E-2</v>
      </c>
      <c r="AD1925" s="36">
        <f t="shared" si="787"/>
        <v>0.98870808510638308</v>
      </c>
      <c r="AE1925" s="36" t="str">
        <f>VLOOKUP(H1925,'Yield &amp; Time'!A:R,18,0)</f>
        <v>CHLORINE</v>
      </c>
      <c r="AF1925" s="36">
        <f>IFERROR(VLOOKUP(AE1925,'Chemical Cost'!A:D,4,0),0)</f>
        <v>2.7756518066439469E-2</v>
      </c>
      <c r="AG1925" s="114">
        <f t="shared" si="779"/>
        <v>1.2282188621814889E-2</v>
      </c>
      <c r="AH1925" s="36">
        <f t="shared" si="788"/>
        <v>1.2282188621814889E-2</v>
      </c>
      <c r="AI1925" s="36">
        <f t="shared" si="789"/>
        <v>1.5054373731573762</v>
      </c>
      <c r="AJ1925" s="36">
        <f>IFERROR(VLOOKUP(A1925,'All Products'!A:F,6,0),0)</f>
        <v>0</v>
      </c>
      <c r="AK1925" s="36">
        <f>AJ1925*Z1925*J1925</f>
        <v>0</v>
      </c>
      <c r="AL1925" s="23"/>
      <c r="AM1925" s="23">
        <v>1</v>
      </c>
      <c r="AN1925" s="54" t="e">
        <v>#N/A</v>
      </c>
      <c r="AO1925" s="47"/>
      <c r="AP1925" s="4">
        <v>1.1000000000000001</v>
      </c>
      <c r="AQ1925" s="111">
        <f t="shared" si="782"/>
        <v>4.86808510638298E-2</v>
      </c>
      <c r="AR1925">
        <f>_xlfn.XLOOKUP(F1925,'RM Cost'!A:A,'RM Cost'!S:S)</f>
        <v>0</v>
      </c>
      <c r="AS1925" t="str">
        <f>_xlfn.XLOOKUP(A1925,[3]Sheet1!$B:$B,[3]Sheet1!$B:$B)</f>
        <v>674CCS</v>
      </c>
      <c r="AT1925" t="str">
        <f>_xlfn.XLOOKUP(H1925,'Yield &amp; Time'!A:A,'Yield &amp; Time'!O:O)</f>
        <v>Yes</v>
      </c>
    </row>
    <row r="1926" spans="1:46" x14ac:dyDescent="0.25">
      <c r="A1926" s="2" t="s">
        <v>4854</v>
      </c>
      <c r="B1926" s="2" t="s">
        <v>552</v>
      </c>
      <c r="C1926" s="2" t="s">
        <v>571</v>
      </c>
      <c r="D1926" s="2" t="s">
        <v>554</v>
      </c>
      <c r="E1926" s="2">
        <v>1</v>
      </c>
      <c r="F1926" s="1" t="str">
        <f>VLOOKUP(H1926,'RM Used'!A:B,2,0)</f>
        <v>P0001</v>
      </c>
      <c r="G1926" s="1" t="str">
        <f>IFERROR(VLOOKUP(F1926,'RM Cost'!A:B,2,0),"")</f>
        <v>SOL 30EL # PPLUS 630x1000 BLUE -1</v>
      </c>
      <c r="H1926" s="2" t="s">
        <v>4678</v>
      </c>
      <c r="I1926" s="1" t="str">
        <f>VLOOKUP(F1926,'RM Used'!B:D,3,0)</f>
        <v>RM-PACKING</v>
      </c>
      <c r="J1926" s="66">
        <v>1</v>
      </c>
      <c r="K1926" s="35" t="str">
        <f t="shared" si="765"/>
        <v/>
      </c>
      <c r="L1926" s="35">
        <f t="shared" si="766"/>
        <v>0</v>
      </c>
      <c r="M1926" s="77" t="str" cm="1">
        <f t="array" ref="M1926">_xlfn.IFS(BOM!I1926="RM-PACKING","100%",B1926="Reynolds",VLOOKUP(H1926,'Yield &amp; Time'!A:V,22,0),BOM!B1926="Dnata",VLOOKUP(BOM!H1926,'Yield &amp; Time'!A:M,13,0),B1926="NK",VLOOKUP(H1926,'Yield &amp; Time'!A:X,24,0))</f>
        <v>100%</v>
      </c>
      <c r="N1926" s="35">
        <f t="shared" si="767"/>
        <v>1</v>
      </c>
      <c r="O1926" s="1" t="str">
        <f>VLOOKUP(H1926,'RM Used'!A:E,5,0)</f>
        <v>Count</v>
      </c>
      <c r="P1926" s="11">
        <f>VLOOKUP(H1926,'RM Used'!A:F,6,0)</f>
        <v>0.08</v>
      </c>
      <c r="Q1926" s="11">
        <f t="shared" si="783"/>
        <v>0.08</v>
      </c>
      <c r="R1926" s="11">
        <f>IFERROR(IF(B1926="Reynolds",VLOOKUP(H1926,'Yield &amp; Time'!A:U,21,0),VLOOKUP(H1926,'Yield &amp; Time'!A:L,12,0)),0)</f>
        <v>0</v>
      </c>
      <c r="S1926" s="11">
        <f t="shared" si="769"/>
        <v>0</v>
      </c>
      <c r="T1926" s="11">
        <f t="shared" si="770"/>
        <v>0</v>
      </c>
      <c r="U1926" s="11">
        <f>IF(A1925=A1926,0,VLOOKUP(A1926,'Packing Time'!A:F,6,0))</f>
        <v>0</v>
      </c>
      <c r="V1926" s="11">
        <f t="shared" si="784"/>
        <v>0</v>
      </c>
      <c r="W1926" s="11">
        <f t="shared" si="785"/>
        <v>0</v>
      </c>
      <c r="X1926" s="11">
        <f t="shared" si="773"/>
        <v>0</v>
      </c>
      <c r="Y1926" s="11">
        <f t="shared" si="786"/>
        <v>0</v>
      </c>
      <c r="Z1926" s="37">
        <v>1</v>
      </c>
      <c r="AA1926" s="36">
        <f t="shared" si="775"/>
        <v>1</v>
      </c>
      <c r="AB1926" s="36">
        <f t="shared" si="776"/>
        <v>0.08</v>
      </c>
      <c r="AC1926" s="11">
        <f t="shared" si="777"/>
        <v>0</v>
      </c>
      <c r="AD1926" s="36">
        <f t="shared" si="787"/>
        <v>0</v>
      </c>
      <c r="AE1926" s="36"/>
      <c r="AF1926" s="36">
        <f>IFERROR(VLOOKUP(AE1926,'Chemical Cost'!A:D,4,0),0)</f>
        <v>0</v>
      </c>
      <c r="AG1926" s="114">
        <f t="shared" si="779"/>
        <v>0</v>
      </c>
      <c r="AH1926" s="36">
        <f t="shared" si="788"/>
        <v>0</v>
      </c>
      <c r="AI1926" s="36">
        <f t="shared" si="789"/>
        <v>0.08</v>
      </c>
      <c r="AJ1926" s="36">
        <f>IFERROR(VLOOKUP(A1926,'All Products'!A:F,6,0),0)</f>
        <v>0</v>
      </c>
      <c r="AK1926" s="36"/>
      <c r="AL1926" s="23"/>
      <c r="AM1926" s="23">
        <v>1</v>
      </c>
      <c r="AN1926" s="54" t="e">
        <v>#N/A</v>
      </c>
      <c r="AO1926" s="47"/>
      <c r="AP1926" s="4">
        <v>1.1000000000000001</v>
      </c>
      <c r="AQ1926" s="111">
        <f t="shared" si="782"/>
        <v>0</v>
      </c>
      <c r="AR1926">
        <f>_xlfn.XLOOKUP(F1926,'RM Cost'!A:A,'RM Cost'!S:S)</f>
        <v>0</v>
      </c>
      <c r="AS1926" t="str">
        <f>_xlfn.XLOOKUP(A1926,[3]Sheet1!$B:$B,[3]Sheet1!$B:$B)</f>
        <v>674CCS</v>
      </c>
      <c r="AT1926" t="e">
        <f>_xlfn.XLOOKUP(H1926,'Yield &amp; Time'!A:A,'Yield &amp; Time'!F:F)</f>
        <v>#N/A</v>
      </c>
    </row>
    <row r="1927" spans="1:46" x14ac:dyDescent="0.25">
      <c r="A1927" s="2" t="s">
        <v>4854</v>
      </c>
      <c r="B1927" s="2" t="s">
        <v>552</v>
      </c>
      <c r="C1927" s="2" t="s">
        <v>571</v>
      </c>
      <c r="D1927" s="2" t="s">
        <v>554</v>
      </c>
      <c r="E1927" s="2">
        <v>1</v>
      </c>
      <c r="F1927" s="1" t="str">
        <f>VLOOKUP(H1927,'RM Used'!A:B,2,0)</f>
        <v>P0016A</v>
      </c>
      <c r="G1927" s="1" t="str">
        <f>IFERROR(VLOOKUP(F1927,'RM Cost'!A:B,2,0),"")</f>
        <v>REY 40 30 BOX 4 in 1</v>
      </c>
      <c r="H1927" s="2" t="s">
        <v>4746</v>
      </c>
      <c r="I1927" s="1" t="str">
        <f>VLOOKUP(F1927,'RM Used'!B:D,3,0)</f>
        <v>RM-PACKING</v>
      </c>
      <c r="J1927" s="66">
        <v>1</v>
      </c>
      <c r="K1927" s="35" t="str">
        <f t="shared" si="765"/>
        <v/>
      </c>
      <c r="L1927" s="35">
        <f t="shared" si="766"/>
        <v>0</v>
      </c>
      <c r="M1927" s="77" t="str" cm="1">
        <f t="array" ref="M1927">_xlfn.IFS(BOM!I1927="RM-PACKING","100%",B1927="Reynolds",VLOOKUP(H1927,'Yield &amp; Time'!A:V,22,0),BOM!B1927="Dnata",VLOOKUP(BOM!H1927,'Yield &amp; Time'!A:M,13,0),B1927="NK",VLOOKUP(H1927,'Yield &amp; Time'!A:X,24,0))</f>
        <v>100%</v>
      </c>
      <c r="N1927" s="35">
        <f t="shared" si="767"/>
        <v>1</v>
      </c>
      <c r="O1927" s="1" t="str">
        <f>VLOOKUP(H1927,'RM Used'!A:E,5,0)</f>
        <v>KG</v>
      </c>
      <c r="P1927" s="11">
        <f>VLOOKUP(H1927,'RM Used'!A:F,6,0)</f>
        <v>7.0000000000000007E-2</v>
      </c>
      <c r="Q1927" s="11">
        <f t="shared" si="783"/>
        <v>7.0000000000000007E-2</v>
      </c>
      <c r="R1927" s="11">
        <f>IFERROR(IF(B1927="Reynolds",VLOOKUP(H1927,'Yield &amp; Time'!A:U,21,0),VLOOKUP(H1927,'Yield &amp; Time'!A:L,12,0)),0)</f>
        <v>0</v>
      </c>
      <c r="S1927" s="11">
        <f t="shared" si="769"/>
        <v>0</v>
      </c>
      <c r="T1927" s="11">
        <f t="shared" si="770"/>
        <v>0</v>
      </c>
      <c r="U1927" s="11">
        <f>IF(A1926=A1927,0,VLOOKUP(A1927,'Packing Time'!A:F,6,0))</f>
        <v>0</v>
      </c>
      <c r="V1927" s="11">
        <f t="shared" si="784"/>
        <v>0</v>
      </c>
      <c r="W1927" s="11">
        <f t="shared" si="785"/>
        <v>0</v>
      </c>
      <c r="X1927" s="11">
        <f t="shared" si="773"/>
        <v>0</v>
      </c>
      <c r="Y1927" s="11">
        <f t="shared" si="786"/>
        <v>0</v>
      </c>
      <c r="Z1927" s="37">
        <v>1</v>
      </c>
      <c r="AA1927" s="36">
        <f t="shared" si="775"/>
        <v>1</v>
      </c>
      <c r="AB1927" s="36">
        <f t="shared" si="776"/>
        <v>7.0000000000000007E-2</v>
      </c>
      <c r="AC1927" s="11">
        <f t="shared" si="777"/>
        <v>0</v>
      </c>
      <c r="AD1927" s="36">
        <f t="shared" si="787"/>
        <v>0</v>
      </c>
      <c r="AE1927" s="36"/>
      <c r="AF1927" s="36">
        <f>IFERROR(VLOOKUP(AE1927,'Chemical Cost'!A:D,4,0),0)</f>
        <v>0</v>
      </c>
      <c r="AG1927" s="114">
        <f t="shared" si="779"/>
        <v>0</v>
      </c>
      <c r="AH1927" s="36">
        <f t="shared" si="788"/>
        <v>0</v>
      </c>
      <c r="AI1927" s="36">
        <f t="shared" si="789"/>
        <v>7.0000000000000007E-2</v>
      </c>
      <c r="AJ1927" s="36">
        <f>IFERROR(VLOOKUP(A1927,'All Products'!A:F,6,0),0)</f>
        <v>0</v>
      </c>
      <c r="AK1927" s="36"/>
      <c r="AL1927" s="23"/>
      <c r="AM1927" s="23">
        <v>1</v>
      </c>
      <c r="AN1927" s="54" t="e">
        <v>#N/A</v>
      </c>
      <c r="AO1927" s="47"/>
      <c r="AP1927" s="4">
        <v>1.1000000000000001</v>
      </c>
      <c r="AQ1927" s="111">
        <f t="shared" si="782"/>
        <v>0</v>
      </c>
      <c r="AR1927">
        <f>_xlfn.XLOOKUP(F1927,'RM Cost'!A:A,'RM Cost'!S:S)</f>
        <v>0</v>
      </c>
      <c r="AS1927" t="str">
        <f>_xlfn.XLOOKUP(A1927,[3]Sheet1!$B:$B,[3]Sheet1!$B:$B)</f>
        <v>674CCS</v>
      </c>
      <c r="AT1927" t="e">
        <f>_xlfn.XLOOKUP(H1927,'Yield &amp; Time'!A:A,'Yield &amp; Time'!F:F)</f>
        <v>#N/A</v>
      </c>
    </row>
    <row r="1928" spans="1:46" x14ac:dyDescent="0.25">
      <c r="A1928" s="1" t="s">
        <v>4862</v>
      </c>
      <c r="B1928" s="2" t="s">
        <v>552</v>
      </c>
      <c r="C1928" s="2" t="s">
        <v>584</v>
      </c>
      <c r="D1928" s="2" t="s">
        <v>554</v>
      </c>
      <c r="E1928" s="2">
        <v>2.5</v>
      </c>
      <c r="F1928" s="1" t="str">
        <f>VLOOKUP(H1928,'RM Used'!A:B,2,0)</f>
        <v>S3997CS</v>
      </c>
      <c r="G1928" s="1" t="str">
        <f>IFERROR(VLOOKUP(F1928,'RM Cost'!A:B,2,0),"")</f>
        <v>RM - DECORE WHITE CABBAGE 1/3 1200KG</v>
      </c>
      <c r="H1928" s="2" t="s">
        <v>1350</v>
      </c>
      <c r="I1928" s="1" t="str">
        <f>VLOOKUP(F1928,'RM Used'!B:D,3,0)</f>
        <v>RM-FOOD</v>
      </c>
      <c r="J1928" s="66">
        <v>1</v>
      </c>
      <c r="K1928" s="35">
        <f t="shared" si="765"/>
        <v>2.5</v>
      </c>
      <c r="L1928" s="35">
        <f t="shared" si="766"/>
        <v>2.5</v>
      </c>
      <c r="M1928" s="77" cm="1">
        <f t="array" ref="M1928">_xlfn.IFS(BOM!I1928="RM-PACKING","100%",B1928="Reynolds",VLOOKUP(H1928,'Yield &amp; Time'!A:V,22,0),BOM!B1928="Dnata",VLOOKUP(BOM!H1928,'Yield &amp; Time'!A:M,13,0),B1928="NK",VLOOKUP(H1928,'Yield &amp; Time'!A:X,24,0))</f>
        <v>0.77222322232223217</v>
      </c>
      <c r="N1928" s="35">
        <f t="shared" si="767"/>
        <v>3.2374058791990117</v>
      </c>
      <c r="O1928" s="1" t="str">
        <f>VLOOKUP(H1928,'RM Used'!A:E,5,0)</f>
        <v>KG</v>
      </c>
      <c r="P1928" s="11">
        <v>0.45</v>
      </c>
      <c r="Q1928" s="11">
        <f t="shared" si="783"/>
        <v>1.4568326456395553</v>
      </c>
      <c r="R1928" s="11">
        <f>IFERROR(IF(B1928="Reynolds",VLOOKUP(H1928,'Yield &amp; Time'!A:U,21,0),VLOOKUP(H1928,'Yield &amp; Time'!A:L,12,0)),0)</f>
        <v>0.82773480662983423</v>
      </c>
      <c r="S1928" s="11">
        <f t="shared" si="769"/>
        <v>0.70047058011049723</v>
      </c>
      <c r="T1928" s="11">
        <f t="shared" si="770"/>
        <v>3.4488950276243095E-2</v>
      </c>
      <c r="U1928" s="11">
        <f>IF(A1927=A1928,0,VLOOKUP(A1928,'Packing Time'!A:F,6,0))</f>
        <v>0.875</v>
      </c>
      <c r="V1928" s="11">
        <f t="shared" si="784"/>
        <v>0.29618749999999999</v>
      </c>
      <c r="W1928" s="11">
        <f t="shared" si="785"/>
        <v>1.4583333333333334E-2</v>
      </c>
      <c r="X1928" s="11">
        <f t="shared" si="773"/>
        <v>1.0963238881215469</v>
      </c>
      <c r="Y1928" s="11">
        <f t="shared" si="786"/>
        <v>1.0963238881215469</v>
      </c>
      <c r="Z1928" s="37">
        <v>1</v>
      </c>
      <c r="AA1928" s="36">
        <f t="shared" si="775"/>
        <v>3.2374058791990117</v>
      </c>
      <c r="AB1928" s="36">
        <f t="shared" si="776"/>
        <v>1.4568326456395553</v>
      </c>
      <c r="AC1928" s="11">
        <f t="shared" si="777"/>
        <v>5.3979511970534071E-2</v>
      </c>
      <c r="AD1928" s="36">
        <f t="shared" si="787"/>
        <v>1.0963238881215469</v>
      </c>
      <c r="AE1928" s="36" t="str">
        <f>VLOOKUP(H1928,'Yield &amp; Time'!A:R,18,0)</f>
        <v>CHLORINE</v>
      </c>
      <c r="AF1928" s="36">
        <f>IFERROR(VLOOKUP(AE1928,'Chemical Cost'!A:D,4,0),0)</f>
        <v>2.7756518066439469E-2</v>
      </c>
      <c r="AG1928" s="114">
        <f t="shared" si="779"/>
        <v>2.9953038258128242E-2</v>
      </c>
      <c r="AH1928" s="36">
        <f t="shared" si="788"/>
        <v>2.9953038258128242E-2</v>
      </c>
      <c r="AI1928" s="36">
        <f t="shared" si="789"/>
        <v>2.5831095720192305</v>
      </c>
      <c r="AJ1928" s="36">
        <f>IFERROR(VLOOKUP(A1928,'All Products'!A:F,6,0),0)</f>
        <v>0</v>
      </c>
      <c r="AK1928" s="36">
        <f>AJ1928*Z1928*J1928</f>
        <v>0</v>
      </c>
      <c r="AL1928" s="23">
        <v>0.8</v>
      </c>
      <c r="AM1928" s="23">
        <v>0.2</v>
      </c>
      <c r="AN1928" s="54" t="e">
        <v>#N/A</v>
      </c>
      <c r="AO1928" s="47"/>
      <c r="AP1928" s="4">
        <v>1.1000000000000001</v>
      </c>
      <c r="AQ1928" s="111">
        <f t="shared" si="782"/>
        <v>5.3979511970534071E-2</v>
      </c>
      <c r="AR1928">
        <f>_xlfn.XLOOKUP(F1928,'RM Cost'!A:A,'RM Cost'!S:S)</f>
        <v>0.29914853989077506</v>
      </c>
      <c r="AS1928" t="str">
        <f>_xlfn.XLOOKUP(A1928,[3]Sheet1!$B:$B,[3]Sheet1!$B:$B)</f>
        <v>675CCS</v>
      </c>
      <c r="AT1928" t="str">
        <f>_xlfn.XLOOKUP(H1928,'Yield &amp; Time'!A:A,'Yield &amp; Time'!O:O)</f>
        <v>Yes</v>
      </c>
    </row>
    <row r="1929" spans="1:46" x14ac:dyDescent="0.25">
      <c r="A1929" s="1" t="s">
        <v>4862</v>
      </c>
      <c r="B1929" s="2" t="s">
        <v>552</v>
      </c>
      <c r="C1929" s="2" t="s">
        <v>584</v>
      </c>
      <c r="D1929" s="2" t="s">
        <v>554</v>
      </c>
      <c r="E1929" s="2">
        <v>2.5</v>
      </c>
      <c r="F1929" s="1" t="str">
        <f>VLOOKUP(H1929,'RM Used'!A:B,2,0)</f>
        <v>P0020</v>
      </c>
      <c r="G1929" s="1" t="str">
        <f>IFERROR(VLOOKUP(F1929,'RM Cost'!A:B,2,0),"")</f>
        <v>PALE BLUE BAG 430X430MM</v>
      </c>
      <c r="H1929" s="2" t="s">
        <v>1659</v>
      </c>
      <c r="I1929" s="1" t="str">
        <f>VLOOKUP(F1929,'RM Used'!B:D,3,0)</f>
        <v>RM-PACKING</v>
      </c>
      <c r="J1929" s="66">
        <v>1</v>
      </c>
      <c r="K1929" s="35" t="str">
        <f t="shared" si="765"/>
        <v/>
      </c>
      <c r="L1929" s="35">
        <f t="shared" si="766"/>
        <v>0</v>
      </c>
      <c r="M1929" s="77" t="str" cm="1">
        <f t="array" ref="M1929">_xlfn.IFS(BOM!I1929="RM-PACKING","100%",B1929="Reynolds",VLOOKUP(H1929,'Yield &amp; Time'!A:V,22,0),BOM!B1929="Dnata",VLOOKUP(BOM!H1929,'Yield &amp; Time'!A:M,13,0),B1929="NK",VLOOKUP(H1929,'Yield &amp; Time'!A:X,24,0))</f>
        <v>100%</v>
      </c>
      <c r="N1929" s="35">
        <f t="shared" si="767"/>
        <v>1</v>
      </c>
      <c r="O1929" s="1" t="str">
        <f>VLOOKUP(H1929,'RM Used'!A:E,5,0)</f>
        <v>Count</v>
      </c>
      <c r="P1929" s="11">
        <f>VLOOKUP(H1929,'RM Used'!A:F,6,0)</f>
        <v>0.09</v>
      </c>
      <c r="Q1929" s="11">
        <f t="shared" si="783"/>
        <v>0.09</v>
      </c>
      <c r="R1929" s="11">
        <f>IFERROR(IF(B1929="Reynolds",VLOOKUP(H1929,'Yield &amp; Time'!A:U,21,0),VLOOKUP(H1929,'Yield &amp; Time'!A:L,12,0)),0)</f>
        <v>0</v>
      </c>
      <c r="S1929" s="11">
        <f t="shared" si="769"/>
        <v>0</v>
      </c>
      <c r="T1929" s="11">
        <f t="shared" si="770"/>
        <v>0</v>
      </c>
      <c r="U1929" s="11">
        <f>IF(A1928=A1929,0,VLOOKUP(A1929,'Packing Time'!A:F,6,0))</f>
        <v>0</v>
      </c>
      <c r="V1929" s="11">
        <f t="shared" si="784"/>
        <v>0</v>
      </c>
      <c r="W1929" s="11">
        <f t="shared" si="785"/>
        <v>0</v>
      </c>
      <c r="X1929" s="11">
        <f t="shared" si="773"/>
        <v>0</v>
      </c>
      <c r="Y1929" s="11">
        <f t="shared" si="786"/>
        <v>0</v>
      </c>
      <c r="Z1929" s="37">
        <v>1</v>
      </c>
      <c r="AA1929" s="36">
        <f t="shared" si="775"/>
        <v>1</v>
      </c>
      <c r="AB1929" s="36">
        <f t="shared" si="776"/>
        <v>0.09</v>
      </c>
      <c r="AC1929" s="11">
        <f t="shared" si="777"/>
        <v>0</v>
      </c>
      <c r="AD1929" s="36">
        <f t="shared" si="787"/>
        <v>0</v>
      </c>
      <c r="AE1929" s="36"/>
      <c r="AF1929" s="36">
        <f>IFERROR(VLOOKUP(AE1929,'Chemical Cost'!A:D,4,0),0)</f>
        <v>0</v>
      </c>
      <c r="AG1929" s="114">
        <f t="shared" si="779"/>
        <v>0</v>
      </c>
      <c r="AH1929" s="36">
        <f t="shared" si="788"/>
        <v>0</v>
      </c>
      <c r="AI1929" s="36">
        <f t="shared" si="789"/>
        <v>0.09</v>
      </c>
      <c r="AJ1929" s="36">
        <f>IFERROR(VLOOKUP(A1929,'All Products'!A:F,6,0),0)</f>
        <v>0</v>
      </c>
      <c r="AK1929" s="36"/>
      <c r="AL1929" s="23">
        <v>0.8</v>
      </c>
      <c r="AM1929" s="23">
        <v>0.2</v>
      </c>
      <c r="AN1929" s="54" t="e">
        <v>#N/A</v>
      </c>
      <c r="AO1929" s="47"/>
      <c r="AP1929" s="4">
        <v>1.1000000000000001</v>
      </c>
      <c r="AQ1929" s="111">
        <f t="shared" si="782"/>
        <v>0</v>
      </c>
      <c r="AR1929">
        <f>_xlfn.XLOOKUP(F1929,'RM Cost'!A:A,'RM Cost'!S:S)</f>
        <v>0</v>
      </c>
      <c r="AS1929" t="str">
        <f>_xlfn.XLOOKUP(A1929,[3]Sheet1!$B:$B,[3]Sheet1!$B:$B)</f>
        <v>675CCS</v>
      </c>
      <c r="AT1929" t="e">
        <f>_xlfn.XLOOKUP(H1929,'Yield &amp; Time'!A:A,'Yield &amp; Time'!F:F)</f>
        <v>#N/A</v>
      </c>
    </row>
    <row r="1930" spans="1:46" x14ac:dyDescent="0.25">
      <c r="A1930" s="1" t="s">
        <v>4862</v>
      </c>
      <c r="B1930" s="2" t="s">
        <v>552</v>
      </c>
      <c r="C1930" s="2" t="s">
        <v>584</v>
      </c>
      <c r="D1930" s="2" t="s">
        <v>554</v>
      </c>
      <c r="E1930" s="2">
        <v>2.5</v>
      </c>
      <c r="F1930" s="1" t="str">
        <f>VLOOKUP(H1930,'RM Used'!A:B,2,0)</f>
        <v>P0016</v>
      </c>
      <c r="G1930" s="1" t="str">
        <f>IFERROR(VLOOKUP(F1930,'RM Cost'!A:B,2,0),"")</f>
        <v>REY 40 30 BOX</v>
      </c>
      <c r="H1930" s="2" t="s">
        <v>1332</v>
      </c>
      <c r="I1930" s="1" t="str">
        <f>VLOOKUP(F1930,'RM Used'!B:D,3,0)</f>
        <v>RM-PACKING</v>
      </c>
      <c r="J1930" s="66">
        <v>1</v>
      </c>
      <c r="K1930" s="35" t="str">
        <f t="shared" si="765"/>
        <v/>
      </c>
      <c r="L1930" s="35">
        <f t="shared" si="766"/>
        <v>0</v>
      </c>
      <c r="M1930" s="77" t="str" cm="1">
        <f t="array" ref="M1930">_xlfn.IFS(BOM!I1930="RM-PACKING","100%",B1930="Reynolds",VLOOKUP(H1930,'Yield &amp; Time'!A:V,22,0),BOM!B1930="Dnata",VLOOKUP(BOM!H1930,'Yield &amp; Time'!A:M,13,0),B1930="NK",VLOOKUP(H1930,'Yield &amp; Time'!A:X,24,0))</f>
        <v>100%</v>
      </c>
      <c r="N1930" s="35">
        <f t="shared" si="767"/>
        <v>1</v>
      </c>
      <c r="O1930" s="1" t="str">
        <f>VLOOKUP(H1930,'RM Used'!A:E,5,0)</f>
        <v>Count</v>
      </c>
      <c r="P1930" s="11">
        <f>VLOOKUP(H1930,'RM Used'!A:F,6,0)</f>
        <v>0.28000000000000003</v>
      </c>
      <c r="Q1930" s="11">
        <f t="shared" si="783"/>
        <v>0.28000000000000003</v>
      </c>
      <c r="R1930" s="11">
        <f>IFERROR(IF(B1930="Reynolds",VLOOKUP(H1930,'Yield &amp; Time'!A:U,21,0),VLOOKUP(H1930,'Yield &amp; Time'!A:L,12,0)),0)</f>
        <v>0</v>
      </c>
      <c r="S1930" s="11">
        <f t="shared" si="769"/>
        <v>0</v>
      </c>
      <c r="T1930" s="11">
        <f t="shared" si="770"/>
        <v>0</v>
      </c>
      <c r="U1930" s="11">
        <f>IF(A1929=A1930,0,VLOOKUP(A1930,'Packing Time'!A:F,6,0))</f>
        <v>0</v>
      </c>
      <c r="V1930" s="11">
        <f t="shared" si="784"/>
        <v>0</v>
      </c>
      <c r="W1930" s="11">
        <f t="shared" si="785"/>
        <v>0</v>
      </c>
      <c r="X1930" s="11">
        <f t="shared" si="773"/>
        <v>0</v>
      </c>
      <c r="Y1930" s="11">
        <f t="shared" si="786"/>
        <v>0</v>
      </c>
      <c r="Z1930" s="37">
        <v>1</v>
      </c>
      <c r="AA1930" s="36">
        <f t="shared" si="775"/>
        <v>1</v>
      </c>
      <c r="AB1930" s="36">
        <f t="shared" si="776"/>
        <v>0.28000000000000003</v>
      </c>
      <c r="AC1930" s="11">
        <f t="shared" si="777"/>
        <v>0</v>
      </c>
      <c r="AD1930" s="36">
        <f t="shared" si="787"/>
        <v>0</v>
      </c>
      <c r="AE1930" s="36"/>
      <c r="AF1930" s="36">
        <f>IFERROR(VLOOKUP(AE1930,'Chemical Cost'!A:D,4,0),0)</f>
        <v>0</v>
      </c>
      <c r="AG1930" s="114">
        <f t="shared" si="779"/>
        <v>0</v>
      </c>
      <c r="AH1930" s="36">
        <f t="shared" si="788"/>
        <v>0</v>
      </c>
      <c r="AI1930" s="36">
        <f t="shared" si="789"/>
        <v>0.28000000000000003</v>
      </c>
      <c r="AJ1930" s="36">
        <f>IFERROR(VLOOKUP(A1930,'All Products'!A:F,6,0),0)</f>
        <v>0</v>
      </c>
      <c r="AK1930" s="36"/>
      <c r="AL1930" s="23">
        <v>0.8</v>
      </c>
      <c r="AM1930" s="23">
        <v>0.2</v>
      </c>
      <c r="AN1930" s="54" t="e">
        <v>#N/A</v>
      </c>
      <c r="AO1930" s="47"/>
      <c r="AP1930" s="4">
        <v>1.1000000000000001</v>
      </c>
      <c r="AQ1930" s="111">
        <f t="shared" si="782"/>
        <v>0</v>
      </c>
      <c r="AR1930">
        <f>_xlfn.XLOOKUP(F1930,'RM Cost'!A:A,'RM Cost'!S:S)</f>
        <v>0</v>
      </c>
      <c r="AS1930" t="str">
        <f>_xlfn.XLOOKUP(A1930,[3]Sheet1!$B:$B,[3]Sheet1!$B:$B)</f>
        <v>675CCS</v>
      </c>
      <c r="AT1930" t="e">
        <f>_xlfn.XLOOKUP(H1930,'Yield &amp; Time'!A:A,'Yield &amp; Time'!F:F)</f>
        <v>#N/A</v>
      </c>
    </row>
    <row r="1931" spans="1:46" x14ac:dyDescent="0.25">
      <c r="A1931" s="2" t="s">
        <v>4853</v>
      </c>
      <c r="B1931" s="2" t="s">
        <v>552</v>
      </c>
      <c r="C1931" s="2" t="s">
        <v>557</v>
      </c>
      <c r="D1931" s="2" t="s">
        <v>554</v>
      </c>
      <c r="E1931" s="2">
        <v>1</v>
      </c>
      <c r="F1931" s="1" t="str">
        <f>VLOOKUP(H1931,'RM Used'!A:B,2,0)</f>
        <v>S3997CS</v>
      </c>
      <c r="G1931" s="1" t="str">
        <f>IFERROR(VLOOKUP(F1931,'RM Cost'!A:B,2,0),"")</f>
        <v>RM - DECORE WHITE CABBAGE 1/3 1200KG</v>
      </c>
      <c r="H1931" s="2" t="s">
        <v>1350</v>
      </c>
      <c r="I1931" s="1" t="str">
        <f>VLOOKUP(F1931,'RM Used'!B:D,3,0)</f>
        <v>RM-FOOD</v>
      </c>
      <c r="J1931" s="66">
        <v>0.7</v>
      </c>
      <c r="K1931" s="35">
        <f t="shared" si="765"/>
        <v>0.7</v>
      </c>
      <c r="L1931" s="35">
        <f t="shared" si="766"/>
        <v>0.7</v>
      </c>
      <c r="M1931" s="77" cm="1">
        <f t="array" ref="M1931">_xlfn.IFS(BOM!I1931="RM-PACKING","100%",B1931="Reynolds",VLOOKUP(H1931,'Yield &amp; Time'!A:V,22,0),BOM!B1931="Dnata",VLOOKUP(BOM!H1931,'Yield &amp; Time'!A:M,13,0),B1931="NK",VLOOKUP(H1931,'Yield &amp; Time'!A:X,24,0))</f>
        <v>0.77222322232223217</v>
      </c>
      <c r="N1931" s="35">
        <f t="shared" si="767"/>
        <v>0.90647364617572324</v>
      </c>
      <c r="O1931" s="1" t="str">
        <f>VLOOKUP(H1931,'RM Used'!A:E,5,0)</f>
        <v>KG</v>
      </c>
      <c r="P1931" s="11">
        <f>VLOOKUP(H1931,'RM Used'!A:F,6,0)</f>
        <v>0.34</v>
      </c>
      <c r="Q1931" s="11">
        <f t="shared" si="783"/>
        <v>0.30820103969974594</v>
      </c>
      <c r="R1931" s="11">
        <f>IFERROR(IF(B1931="Reynolds",VLOOKUP(H1931,'Yield &amp; Time'!A:U,21,0),VLOOKUP(H1931,'Yield &amp; Time'!A:L,12,0)),0)</f>
        <v>0.82773480662983423</v>
      </c>
      <c r="S1931" s="11">
        <f t="shared" si="769"/>
        <v>0.19613176243093919</v>
      </c>
      <c r="T1931" s="11">
        <f t="shared" si="770"/>
        <v>9.6569060773480653E-3</v>
      </c>
      <c r="U1931" s="11">
        <f>IF(A1930=A1931,0,VLOOKUP(A1931,'Packing Time'!A:F,6,0))</f>
        <v>0.55000000000000004</v>
      </c>
      <c r="V1931" s="11">
        <f t="shared" si="784"/>
        <v>0.18617500000000001</v>
      </c>
      <c r="W1931" s="11">
        <f t="shared" si="785"/>
        <v>9.1666666666666667E-3</v>
      </c>
      <c r="X1931" s="11">
        <f t="shared" si="773"/>
        <v>0.42053743867403309</v>
      </c>
      <c r="Y1931" s="11">
        <f t="shared" si="786"/>
        <v>0.42053743867403309</v>
      </c>
      <c r="Z1931" s="37">
        <v>1</v>
      </c>
      <c r="AA1931" s="36">
        <f t="shared" si="775"/>
        <v>0.90647364617572324</v>
      </c>
      <c r="AB1931" s="11">
        <f t="shared" si="776"/>
        <v>0.30820103969974594</v>
      </c>
      <c r="AC1931" s="32">
        <f t="shared" si="777"/>
        <v>2.0705930018416207E-2</v>
      </c>
      <c r="AD1931" s="11">
        <f t="shared" si="787"/>
        <v>0.42053743867403315</v>
      </c>
      <c r="AE1931" s="36" t="str">
        <f>VLOOKUP(H1931,'Yield &amp; Time'!A:R,18,0)</f>
        <v>CHLORINE</v>
      </c>
      <c r="AF1931" s="36">
        <f>IFERROR(VLOOKUP(AE1931,'Chemical Cost'!A:D,4,0),0)</f>
        <v>2.7756518066439469E-2</v>
      </c>
      <c r="AG1931" s="114">
        <f t="shared" si="779"/>
        <v>8.3868507122759079E-3</v>
      </c>
      <c r="AH1931" s="36">
        <f t="shared" si="788"/>
        <v>8.3868507122759079E-3</v>
      </c>
      <c r="AI1931" s="36">
        <f t="shared" si="789"/>
        <v>0.73712532908605499</v>
      </c>
      <c r="AJ1931" s="36">
        <f>IFERROR(VLOOKUP(A1931,'All Products'!A:F,6,0),0)</f>
        <v>0</v>
      </c>
      <c r="AK1931" s="36">
        <f>AJ1931*Z1931*J1931</f>
        <v>0</v>
      </c>
      <c r="AL1931" s="23">
        <v>0.8</v>
      </c>
      <c r="AM1931" s="23">
        <v>0.2</v>
      </c>
      <c r="AN1931" s="54" t="e">
        <v>#N/A</v>
      </c>
      <c r="AO1931" s="47"/>
      <c r="AP1931" s="4">
        <v>1.1000000000000001</v>
      </c>
      <c r="AQ1931" s="111">
        <f t="shared" si="782"/>
        <v>2.0705930018416207E-2</v>
      </c>
      <c r="AR1931">
        <f>_xlfn.XLOOKUP(F1931,'RM Cost'!A:A,'RM Cost'!S:S)</f>
        <v>0.29914853989077506</v>
      </c>
      <c r="AS1931" t="str">
        <f>_xlfn.XLOOKUP(A1931,[3]Sheet1!$B:$B,[3]Sheet1!$B:$B)</f>
        <v>676CCS</v>
      </c>
      <c r="AT1931" t="str">
        <f>_xlfn.XLOOKUP(H1931,'Yield &amp; Time'!A:A,'Yield &amp; Time'!O:O)</f>
        <v>Yes</v>
      </c>
    </row>
    <row r="1932" spans="1:46" x14ac:dyDescent="0.25">
      <c r="A1932" s="2" t="s">
        <v>4853</v>
      </c>
      <c r="B1932" s="2" t="s">
        <v>552</v>
      </c>
      <c r="C1932" s="2" t="s">
        <v>557</v>
      </c>
      <c r="D1932" s="2" t="s">
        <v>554</v>
      </c>
      <c r="E1932" s="2">
        <v>1</v>
      </c>
      <c r="F1932" s="1" t="str">
        <f>VLOOKUP(H1932,'RM Used'!A:B,2,0)</f>
        <v>032ACS</v>
      </c>
      <c r="G1932" s="1" t="str">
        <f>IFERROR(VLOOKUP(F1932,'RM Cost'!A:B,2,0),"")</f>
        <v>RM - LRG PROCESSING CARROT X 1000KG</v>
      </c>
      <c r="H1932" s="2" t="s">
        <v>1351</v>
      </c>
      <c r="I1932" s="1" t="str">
        <f>VLOOKUP(F1932,'RM Used'!B:D,3,0)</f>
        <v>RM-FOOD</v>
      </c>
      <c r="J1932" s="66">
        <v>0.3</v>
      </c>
      <c r="K1932" s="35">
        <f t="shared" si="765"/>
        <v>0.3</v>
      </c>
      <c r="L1932" s="35">
        <f t="shared" si="766"/>
        <v>0.3</v>
      </c>
      <c r="M1932" s="77" cm="1">
        <f t="array" ref="M1932">_xlfn.IFS(BOM!I1932="RM-PACKING","100%",B1932="Reynolds",VLOOKUP(H1932,'Yield &amp; Time'!A:V,22,0),BOM!B1932="Dnata",VLOOKUP(BOM!H1932,'Yield &amp; Time'!A:M,13,0),B1932="NK",VLOOKUP(H1932,'Yield &amp; Time'!A:X,24,0))</f>
        <v>0.75330000000000008</v>
      </c>
      <c r="N1932" s="35">
        <f t="shared" si="767"/>
        <v>0.39824771007566701</v>
      </c>
      <c r="O1932" s="1" t="str">
        <f>VLOOKUP(H1932,'RM Used'!A:E,5,0)</f>
        <v>KG</v>
      </c>
      <c r="P1932" s="11">
        <f>VLOOKUP(H1932,'RM Used'!A:F,6,0)</f>
        <v>0.38</v>
      </c>
      <c r="Q1932" s="11">
        <f t="shared" si="783"/>
        <v>0.15133412982875347</v>
      </c>
      <c r="R1932" s="11">
        <f>IFERROR(IF(B1932="Reynolds",VLOOKUP(H1932,'Yield &amp; Time'!A:U,21,0),VLOOKUP(H1932,'Yield &amp; Time'!A:L,12,0)),0)</f>
        <v>0.90531914893617027</v>
      </c>
      <c r="S1932" s="11">
        <f t="shared" si="769"/>
        <v>9.1935159574468073E-2</v>
      </c>
      <c r="T1932" s="11">
        <f t="shared" si="770"/>
        <v>4.5265957446808513E-3</v>
      </c>
      <c r="U1932" s="11">
        <f>IF(A1931=A1932,0,VLOOKUP(A1932,'Packing Time'!A:F,6,0))</f>
        <v>0</v>
      </c>
      <c r="V1932" s="11">
        <f t="shared" si="784"/>
        <v>0</v>
      </c>
      <c r="W1932" s="11">
        <f t="shared" si="785"/>
        <v>0</v>
      </c>
      <c r="X1932" s="11">
        <f t="shared" si="773"/>
        <v>0.10112867553191489</v>
      </c>
      <c r="Y1932" s="11">
        <f t="shared" si="786"/>
        <v>0.10112867553191489</v>
      </c>
      <c r="Z1932" s="37">
        <v>1</v>
      </c>
      <c r="AA1932" s="36">
        <f t="shared" si="775"/>
        <v>0.39824771007566701</v>
      </c>
      <c r="AB1932" s="11">
        <f t="shared" si="776"/>
        <v>0.15133412982875347</v>
      </c>
      <c r="AC1932" s="32">
        <f t="shared" si="777"/>
        <v>4.9792553191489366E-3</v>
      </c>
      <c r="AD1932" s="11">
        <f t="shared" si="787"/>
        <v>0.1011286755319149</v>
      </c>
      <c r="AE1932" s="36" t="str">
        <f>VLOOKUP(H1932,'Yield &amp; Time'!A:R,18,0)</f>
        <v>CHLORINE</v>
      </c>
      <c r="AF1932" s="36">
        <f>IFERROR(VLOOKUP(AE1932,'Chemical Cost'!A:D,4,0),0)</f>
        <v>2.7756518066439469E-2</v>
      </c>
      <c r="AG1932" s="114">
        <f t="shared" si="779"/>
        <v>3.6846565865444668E-3</v>
      </c>
      <c r="AH1932" s="36">
        <f t="shared" si="788"/>
        <v>3.6846565865444668E-3</v>
      </c>
      <c r="AI1932" s="36">
        <f t="shared" si="789"/>
        <v>0.25614746194721283</v>
      </c>
      <c r="AJ1932" s="36">
        <f>IFERROR(VLOOKUP(A1932,'All Products'!A:F,6,0),0)</f>
        <v>0</v>
      </c>
      <c r="AK1932" s="36">
        <f>AJ1932*Z1932*J1932</f>
        <v>0</v>
      </c>
      <c r="AL1932" s="23">
        <v>0.8</v>
      </c>
      <c r="AM1932" s="23">
        <v>0.2</v>
      </c>
      <c r="AN1932" s="54" t="e">
        <v>#N/A</v>
      </c>
      <c r="AO1932" s="47"/>
      <c r="AP1932" s="4">
        <v>1.1000000000000001</v>
      </c>
      <c r="AQ1932" s="111">
        <f t="shared" si="782"/>
        <v>4.9792553191489366E-3</v>
      </c>
      <c r="AR1932">
        <f>_xlfn.XLOOKUP(F1932,'RM Cost'!A:A,'RM Cost'!S:S)</f>
        <v>0</v>
      </c>
      <c r="AS1932" t="str">
        <f>_xlfn.XLOOKUP(A1932,[3]Sheet1!$B:$B,[3]Sheet1!$B:$B)</f>
        <v>676CCS</v>
      </c>
      <c r="AT1932" t="str">
        <f>_xlfn.XLOOKUP(H1932,'Yield &amp; Time'!A:A,'Yield &amp; Time'!O:O)</f>
        <v>Yes</v>
      </c>
    </row>
    <row r="1933" spans="1:46" x14ac:dyDescent="0.25">
      <c r="A1933" s="2" t="s">
        <v>4853</v>
      </c>
      <c r="B1933" s="2" t="s">
        <v>552</v>
      </c>
      <c r="C1933" s="2" t="s">
        <v>557</v>
      </c>
      <c r="D1933" s="2" t="s">
        <v>554</v>
      </c>
      <c r="E1933" s="2">
        <v>1</v>
      </c>
      <c r="F1933" s="1" t="str">
        <f>VLOOKUP(H1933,'RM Used'!A:B,2,0)</f>
        <v>P0001</v>
      </c>
      <c r="G1933" s="1" t="str">
        <f>IFERROR(VLOOKUP(F1933,'RM Cost'!A:B,2,0),"")</f>
        <v>SOL 30EL # PPLUS 630x1000 BLUE -1</v>
      </c>
      <c r="H1933" s="2" t="s">
        <v>4678</v>
      </c>
      <c r="I1933" s="1" t="str">
        <f>VLOOKUP(F1933,'RM Used'!B:D,3,0)</f>
        <v>RM-PACKING</v>
      </c>
      <c r="J1933" s="66">
        <v>1</v>
      </c>
      <c r="K1933" s="35" t="str">
        <f t="shared" si="765"/>
        <v/>
      </c>
      <c r="L1933" s="35">
        <f t="shared" si="766"/>
        <v>0</v>
      </c>
      <c r="M1933" s="77" t="str" cm="1">
        <f t="array" ref="M1933">_xlfn.IFS(BOM!I1933="RM-PACKING","100%",B1933="Reynolds",VLOOKUP(H1933,'Yield &amp; Time'!A:V,22,0),BOM!B1933="Dnata",VLOOKUP(BOM!H1933,'Yield &amp; Time'!A:M,13,0),B1933="NK",VLOOKUP(H1933,'Yield &amp; Time'!A:X,24,0))</f>
        <v>100%</v>
      </c>
      <c r="N1933" s="35">
        <f t="shared" si="767"/>
        <v>1</v>
      </c>
      <c r="O1933" s="1" t="str">
        <f>VLOOKUP(H1933,'RM Used'!A:E,5,0)</f>
        <v>Count</v>
      </c>
      <c r="P1933" s="11">
        <f>VLOOKUP(H1933,'RM Used'!A:F,6,0)</f>
        <v>0.08</v>
      </c>
      <c r="Q1933" s="11">
        <f t="shared" si="783"/>
        <v>0.08</v>
      </c>
      <c r="R1933" s="11">
        <f>IFERROR(IF(B1933="Reynolds",VLOOKUP(H1933,'Yield &amp; Time'!A:U,21,0),VLOOKUP(H1933,'Yield &amp; Time'!A:L,12,0)),0)</f>
        <v>0</v>
      </c>
      <c r="S1933" s="11">
        <f t="shared" si="769"/>
        <v>0</v>
      </c>
      <c r="T1933" s="11">
        <f t="shared" si="770"/>
        <v>0</v>
      </c>
      <c r="U1933" s="11">
        <f>IF(A1932=A1933,0,VLOOKUP(A1933,'Packing Time'!A:F,6,0))</f>
        <v>0</v>
      </c>
      <c r="V1933" s="11">
        <f t="shared" si="784"/>
        <v>0</v>
      </c>
      <c r="W1933" s="11">
        <f t="shared" si="785"/>
        <v>0</v>
      </c>
      <c r="X1933" s="11">
        <f t="shared" si="773"/>
        <v>0</v>
      </c>
      <c r="Y1933" s="11">
        <f t="shared" si="786"/>
        <v>0</v>
      </c>
      <c r="Z1933" s="37">
        <v>1</v>
      </c>
      <c r="AA1933" s="36">
        <f t="shared" si="775"/>
        <v>1</v>
      </c>
      <c r="AB1933" s="11">
        <f t="shared" si="776"/>
        <v>0.08</v>
      </c>
      <c r="AC1933" s="11">
        <f t="shared" si="777"/>
        <v>0</v>
      </c>
      <c r="AD1933" s="36">
        <f t="shared" si="787"/>
        <v>0</v>
      </c>
      <c r="AE1933" s="36"/>
      <c r="AF1933" s="36">
        <f>IFERROR(VLOOKUP(AE1933,'Chemical Cost'!A:D,4,0),0)</f>
        <v>0</v>
      </c>
      <c r="AG1933" s="114">
        <f t="shared" si="779"/>
        <v>0</v>
      </c>
      <c r="AH1933" s="36">
        <f t="shared" si="788"/>
        <v>0</v>
      </c>
      <c r="AI1933" s="36">
        <f t="shared" si="789"/>
        <v>0.08</v>
      </c>
      <c r="AJ1933" s="36">
        <f>IFERROR(VLOOKUP(A1933,'All Products'!A:F,6,0),0)</f>
        <v>0</v>
      </c>
      <c r="AK1933" s="36"/>
      <c r="AL1933" s="23">
        <v>0.8</v>
      </c>
      <c r="AM1933" s="23">
        <v>0.2</v>
      </c>
      <c r="AN1933" s="54" t="e">
        <v>#N/A</v>
      </c>
      <c r="AO1933" s="47"/>
      <c r="AP1933" s="4">
        <v>1.1000000000000001</v>
      </c>
      <c r="AQ1933" s="111">
        <f t="shared" si="782"/>
        <v>0</v>
      </c>
      <c r="AR1933">
        <f>_xlfn.XLOOKUP(F1933,'RM Cost'!A:A,'RM Cost'!S:S)</f>
        <v>0</v>
      </c>
      <c r="AS1933" t="str">
        <f>_xlfn.XLOOKUP(A1933,[3]Sheet1!$B:$B,[3]Sheet1!$B:$B)</f>
        <v>676CCS</v>
      </c>
      <c r="AT1933" t="e">
        <f>_xlfn.XLOOKUP(H1933,'Yield &amp; Time'!A:A,'Yield &amp; Time'!F:F)</f>
        <v>#N/A</v>
      </c>
    </row>
    <row r="1934" spans="1:46" x14ac:dyDescent="0.25">
      <c r="A1934" s="2" t="s">
        <v>4853</v>
      </c>
      <c r="B1934" s="2" t="s">
        <v>552</v>
      </c>
      <c r="C1934" s="2" t="s">
        <v>557</v>
      </c>
      <c r="D1934" s="2" t="s">
        <v>554</v>
      </c>
      <c r="E1934" s="2">
        <v>1</v>
      </c>
      <c r="F1934" s="1" t="str">
        <f>VLOOKUP(H1934,'RM Used'!A:B,2,0)</f>
        <v>P0016</v>
      </c>
      <c r="G1934" s="1" t="str">
        <f>IFERROR(VLOOKUP(F1934,'RM Cost'!A:B,2,0),"")</f>
        <v>REY 40 30 BOX</v>
      </c>
      <c r="H1934" s="2" t="s">
        <v>1332</v>
      </c>
      <c r="I1934" s="1" t="str">
        <f>VLOOKUP(F1934,'RM Used'!B:D,3,0)</f>
        <v>RM-PACKING</v>
      </c>
      <c r="J1934" s="66">
        <v>1</v>
      </c>
      <c r="K1934" s="35" t="str">
        <f t="shared" si="765"/>
        <v/>
      </c>
      <c r="L1934" s="35">
        <f t="shared" si="766"/>
        <v>0</v>
      </c>
      <c r="M1934" s="77" t="str" cm="1">
        <f t="array" ref="M1934">_xlfn.IFS(BOM!I1934="RM-PACKING","100%",B1934="Reynolds",VLOOKUP(H1934,'Yield &amp; Time'!A:V,22,0),BOM!B1934="Dnata",VLOOKUP(BOM!H1934,'Yield &amp; Time'!A:M,13,0),B1934="NK",VLOOKUP(H1934,'Yield &amp; Time'!A:X,24,0))</f>
        <v>100%</v>
      </c>
      <c r="N1934" s="35">
        <f t="shared" si="767"/>
        <v>1</v>
      </c>
      <c r="O1934" s="1" t="str">
        <f>VLOOKUP(H1934,'RM Used'!A:E,5,0)</f>
        <v>Count</v>
      </c>
      <c r="P1934" s="11">
        <f>VLOOKUP(H1934,'RM Used'!A:F,6,0)</f>
        <v>0.28000000000000003</v>
      </c>
      <c r="Q1934" s="11">
        <f t="shared" si="783"/>
        <v>0.28000000000000003</v>
      </c>
      <c r="R1934" s="11">
        <f>IFERROR(IF(B1934="Reynolds",VLOOKUP(H1934,'Yield &amp; Time'!A:U,21,0),VLOOKUP(H1934,'Yield &amp; Time'!A:L,12,0)),0)</f>
        <v>0</v>
      </c>
      <c r="S1934" s="11">
        <f t="shared" si="769"/>
        <v>0</v>
      </c>
      <c r="T1934" s="11">
        <f t="shared" si="770"/>
        <v>0</v>
      </c>
      <c r="U1934" s="11">
        <f>IF(A1933=A1934,0,VLOOKUP(A1934,'Packing Time'!A:F,6,0))</f>
        <v>0</v>
      </c>
      <c r="V1934" s="11">
        <f t="shared" si="784"/>
        <v>0</v>
      </c>
      <c r="W1934" s="11">
        <f t="shared" si="785"/>
        <v>0</v>
      </c>
      <c r="X1934" s="11">
        <f t="shared" si="773"/>
        <v>0</v>
      </c>
      <c r="Y1934" s="11">
        <f t="shared" si="786"/>
        <v>0</v>
      </c>
      <c r="Z1934" s="37">
        <v>1</v>
      </c>
      <c r="AA1934" s="36">
        <f t="shared" si="775"/>
        <v>1</v>
      </c>
      <c r="AB1934" s="11">
        <f t="shared" si="776"/>
        <v>0.28000000000000003</v>
      </c>
      <c r="AC1934" s="11">
        <f t="shared" si="777"/>
        <v>0</v>
      </c>
      <c r="AD1934" s="36">
        <f t="shared" si="787"/>
        <v>0</v>
      </c>
      <c r="AE1934" s="36"/>
      <c r="AF1934" s="36">
        <f>IFERROR(VLOOKUP(AE1934,'Chemical Cost'!A:D,4,0),0)</f>
        <v>0</v>
      </c>
      <c r="AG1934" s="114">
        <f t="shared" si="779"/>
        <v>0</v>
      </c>
      <c r="AH1934" s="36">
        <f t="shared" si="788"/>
        <v>0</v>
      </c>
      <c r="AI1934" s="36">
        <f t="shared" si="789"/>
        <v>0.28000000000000003</v>
      </c>
      <c r="AJ1934" s="36">
        <f>IFERROR(VLOOKUP(A1934,'All Products'!A:F,6,0),0)</f>
        <v>0</v>
      </c>
      <c r="AK1934" s="36"/>
      <c r="AL1934" s="23">
        <v>0.8</v>
      </c>
      <c r="AM1934" s="23">
        <v>0.2</v>
      </c>
      <c r="AN1934" s="54" t="e">
        <v>#N/A</v>
      </c>
      <c r="AO1934" s="47"/>
      <c r="AP1934" s="4">
        <v>1.1000000000000001</v>
      </c>
      <c r="AQ1934" s="111">
        <f t="shared" si="782"/>
        <v>0</v>
      </c>
      <c r="AR1934">
        <f>_xlfn.XLOOKUP(F1934,'RM Cost'!A:A,'RM Cost'!S:S)</f>
        <v>0</v>
      </c>
      <c r="AS1934" t="str">
        <f>_xlfn.XLOOKUP(A1934,[3]Sheet1!$B:$B,[3]Sheet1!$B:$B)</f>
        <v>676CCS</v>
      </c>
      <c r="AT1934" t="e">
        <f>_xlfn.XLOOKUP(H1934,'Yield &amp; Time'!A:A,'Yield &amp; Time'!F:F)</f>
        <v>#N/A</v>
      </c>
    </row>
    <row r="1935" spans="1:46" x14ac:dyDescent="0.25">
      <c r="A1935" s="1" t="s">
        <v>4858</v>
      </c>
      <c r="B1935" s="2" t="s">
        <v>552</v>
      </c>
      <c r="C1935" s="2" t="s">
        <v>573</v>
      </c>
      <c r="D1935" s="2" t="s">
        <v>554</v>
      </c>
      <c r="E1935" s="2">
        <v>2.5</v>
      </c>
      <c r="F1935" s="1" t="str">
        <f>VLOOKUP(H1935,'RM Used'!A:B,2,0)</f>
        <v>1318CS</v>
      </c>
      <c r="G1935" s="1" t="str">
        <f>IFERROR(VLOOKUP(F1935,'RM Cost'!A:B,2,0),"")</f>
        <v>RM - PREP ONION RED WHOLE 2.5KG</v>
      </c>
      <c r="H1935" s="2" t="s">
        <v>1444</v>
      </c>
      <c r="I1935" s="1" t="str">
        <f>VLOOKUP(F1935,'RM Used'!B:D,3,0)</f>
        <v>RM-FOOD</v>
      </c>
      <c r="J1935" s="66">
        <v>1</v>
      </c>
      <c r="K1935" s="35">
        <f t="shared" si="765"/>
        <v>2.5</v>
      </c>
      <c r="L1935" s="35">
        <f t="shared" si="766"/>
        <v>2.5</v>
      </c>
      <c r="M1935" s="77" cm="1">
        <f t="array" ref="M1935">_xlfn.IFS(BOM!I1935="RM-PACKING","100%",B1935="Reynolds",VLOOKUP(H1935,'Yield &amp; Time'!A:V,22,0),BOM!B1935="Dnata",VLOOKUP(BOM!H1935,'Yield &amp; Time'!A:M,13,0),B1935="NK",VLOOKUP(H1935,'Yield &amp; Time'!A:X,24,0))</f>
        <v>0.84699381973635623</v>
      </c>
      <c r="N1935" s="35">
        <f t="shared" si="767"/>
        <v>2.9516153975930721</v>
      </c>
      <c r="O1935" s="1" t="str">
        <f>VLOOKUP(H1935,'RM Used'!A:E,5,0)</f>
        <v>KG</v>
      </c>
      <c r="P1935" s="11">
        <f>VLOOKUP(H1935,'RM Used'!A:F,6,0)</f>
        <v>1.08</v>
      </c>
      <c r="Q1935" s="11">
        <f t="shared" si="783"/>
        <v>3.1877446294005183</v>
      </c>
      <c r="R1935" s="11">
        <f>IFERROR(IF(B1935="Reynolds",VLOOKUP(H1935,'Yield &amp; Time'!A:U,21,0),VLOOKUP(H1935,'Yield &amp; Time'!A:L,12,0)),0)</f>
        <v>0.73</v>
      </c>
      <c r="S1935" s="11">
        <f t="shared" si="769"/>
        <v>0.61776249999999988</v>
      </c>
      <c r="T1935" s="11">
        <f t="shared" si="770"/>
        <v>3.0416666666666665E-2</v>
      </c>
      <c r="U1935" s="11">
        <f>IF(A1934=A1935,0,VLOOKUP(A1935,'Packing Time'!A:F,6,0))</f>
        <v>0.875</v>
      </c>
      <c r="V1935" s="11">
        <f t="shared" si="784"/>
        <v>0.29618749999999999</v>
      </c>
      <c r="W1935" s="11">
        <f t="shared" si="785"/>
        <v>1.4583333333333334E-2</v>
      </c>
      <c r="X1935" s="11">
        <f t="shared" si="773"/>
        <v>1.0053449999999999</v>
      </c>
      <c r="Y1935" s="11">
        <f t="shared" si="786"/>
        <v>1.0053449999999999</v>
      </c>
      <c r="Z1935" s="37">
        <v>1</v>
      </c>
      <c r="AA1935" s="36">
        <f t="shared" si="775"/>
        <v>2.9516153975930721</v>
      </c>
      <c r="AB1935" s="36">
        <f t="shared" si="776"/>
        <v>3.1877446294005183</v>
      </c>
      <c r="AC1935" s="11">
        <f t="shared" si="777"/>
        <v>4.9500000000000009E-2</v>
      </c>
      <c r="AD1935" s="36">
        <f t="shared" si="787"/>
        <v>1.0053450000000002</v>
      </c>
      <c r="AE1935" s="36" t="str">
        <f>VLOOKUP(H1935,'Yield &amp; Time'!A:R,18,0)</f>
        <v>CHLORINE</v>
      </c>
      <c r="AF1935" s="36">
        <f>IFERROR(VLOOKUP(AE1935,'Chemical Cost'!A:D,4,0),0)</f>
        <v>2.7756518066439469E-2</v>
      </c>
      <c r="AG1935" s="114">
        <f t="shared" si="779"/>
        <v>2.7308855369491011E-2</v>
      </c>
      <c r="AH1935" s="36">
        <f t="shared" si="788"/>
        <v>2.7308855369491011E-2</v>
      </c>
      <c r="AI1935" s="36">
        <f t="shared" si="789"/>
        <v>4.2203984847700093</v>
      </c>
      <c r="AJ1935" s="36">
        <f>IFERROR(VLOOKUP(A1935,'All Products'!A:F,6,0),0)</f>
        <v>0</v>
      </c>
      <c r="AK1935" s="36">
        <f>AJ1935*Z1935*J1935</f>
        <v>0</v>
      </c>
      <c r="AL1935" s="23">
        <v>0.8</v>
      </c>
      <c r="AM1935" s="23">
        <v>0.2</v>
      </c>
      <c r="AN1935" s="54" t="e">
        <v>#N/A</v>
      </c>
      <c r="AO1935" s="47"/>
      <c r="AP1935" s="4">
        <v>1.1000000000000001</v>
      </c>
      <c r="AQ1935" s="111">
        <f t="shared" si="782"/>
        <v>4.9500000000000009E-2</v>
      </c>
      <c r="AR1935">
        <f>_xlfn.XLOOKUP(F1935,'RM Cost'!A:A,'RM Cost'!S:S)</f>
        <v>0</v>
      </c>
      <c r="AS1935" t="str">
        <f>_xlfn.XLOOKUP(A1935,[3]Sheet1!$B:$B,[3]Sheet1!$B:$B)</f>
        <v>677CCS</v>
      </c>
      <c r="AT1935" t="str">
        <f>_xlfn.XLOOKUP(H1935,'Yield &amp; Time'!A:A,'Yield &amp; Time'!O:O)</f>
        <v>Yes</v>
      </c>
    </row>
    <row r="1936" spans="1:46" x14ac:dyDescent="0.25">
      <c r="A1936" s="1" t="s">
        <v>4858</v>
      </c>
      <c r="B1936" s="2" t="s">
        <v>552</v>
      </c>
      <c r="C1936" s="2" t="s">
        <v>573</v>
      </c>
      <c r="D1936" s="2" t="s">
        <v>554</v>
      </c>
      <c r="E1936" s="2">
        <v>2.5</v>
      </c>
      <c r="F1936" s="1" t="str">
        <f>VLOOKUP(H1936,'RM Used'!A:B,2,0)</f>
        <v>P0020</v>
      </c>
      <c r="G1936" s="1" t="str">
        <f>IFERROR(VLOOKUP(F1936,'RM Cost'!A:B,2,0),"")</f>
        <v>PALE BLUE BAG 430X430MM</v>
      </c>
      <c r="H1936" s="2" t="s">
        <v>1659</v>
      </c>
      <c r="I1936" s="1" t="str">
        <f>VLOOKUP(F1936,'RM Used'!B:D,3,0)</f>
        <v>RM-PACKING</v>
      </c>
      <c r="J1936" s="66">
        <v>1</v>
      </c>
      <c r="K1936" s="35" t="str">
        <f t="shared" si="765"/>
        <v/>
      </c>
      <c r="L1936" s="35">
        <f t="shared" si="766"/>
        <v>0</v>
      </c>
      <c r="M1936" s="77" t="str" cm="1">
        <f t="array" ref="M1936">_xlfn.IFS(BOM!I1936="RM-PACKING","100%",B1936="Reynolds",VLOOKUP(H1936,'Yield &amp; Time'!A:V,22,0),BOM!B1936="Dnata",VLOOKUP(BOM!H1936,'Yield &amp; Time'!A:M,13,0),B1936="NK",VLOOKUP(H1936,'Yield &amp; Time'!A:X,24,0))</f>
        <v>100%</v>
      </c>
      <c r="N1936" s="35">
        <f t="shared" si="767"/>
        <v>1</v>
      </c>
      <c r="O1936" s="1" t="str">
        <f>VLOOKUP(H1936,'RM Used'!A:E,5,0)</f>
        <v>Count</v>
      </c>
      <c r="P1936" s="11">
        <f>VLOOKUP(H1936,'RM Used'!A:F,6,0)</f>
        <v>0.09</v>
      </c>
      <c r="Q1936" s="11">
        <f t="shared" si="783"/>
        <v>0.09</v>
      </c>
      <c r="R1936" s="11">
        <f>IFERROR(IF(B1936="Reynolds",VLOOKUP(H1936,'Yield &amp; Time'!A:U,21,0),VLOOKUP(H1936,'Yield &amp; Time'!A:L,12,0)),0)</f>
        <v>0</v>
      </c>
      <c r="S1936" s="11">
        <f t="shared" si="769"/>
        <v>0</v>
      </c>
      <c r="T1936" s="11">
        <f t="shared" si="770"/>
        <v>0</v>
      </c>
      <c r="U1936" s="11">
        <f>IF(A1935=A1936,0,VLOOKUP(A1936,'Packing Time'!A:F,6,0))</f>
        <v>0</v>
      </c>
      <c r="V1936" s="11">
        <f t="shared" si="784"/>
        <v>0</v>
      </c>
      <c r="W1936" s="11">
        <f t="shared" si="785"/>
        <v>0</v>
      </c>
      <c r="X1936" s="11">
        <f t="shared" si="773"/>
        <v>0</v>
      </c>
      <c r="Y1936" s="11">
        <f t="shared" si="786"/>
        <v>0</v>
      </c>
      <c r="Z1936" s="37">
        <v>1</v>
      </c>
      <c r="AA1936" s="36">
        <f t="shared" si="775"/>
        <v>1</v>
      </c>
      <c r="AB1936" s="36">
        <f t="shared" si="776"/>
        <v>0.09</v>
      </c>
      <c r="AC1936" s="11">
        <f t="shared" si="777"/>
        <v>0</v>
      </c>
      <c r="AD1936" s="36">
        <f t="shared" si="787"/>
        <v>0</v>
      </c>
      <c r="AE1936" s="36"/>
      <c r="AF1936" s="36">
        <f>IFERROR(VLOOKUP(AE1936,'Chemical Cost'!A:D,4,0),0)</f>
        <v>0</v>
      </c>
      <c r="AG1936" s="114">
        <f t="shared" si="779"/>
        <v>0</v>
      </c>
      <c r="AH1936" s="36">
        <f t="shared" si="788"/>
        <v>0</v>
      </c>
      <c r="AI1936" s="36">
        <f t="shared" si="789"/>
        <v>0.09</v>
      </c>
      <c r="AJ1936" s="36">
        <f>IFERROR(VLOOKUP(A1936,'All Products'!A:F,6,0),0)</f>
        <v>0</v>
      </c>
      <c r="AK1936" s="36"/>
      <c r="AL1936" s="23">
        <v>0.8</v>
      </c>
      <c r="AM1936" s="23">
        <v>0.2</v>
      </c>
      <c r="AN1936" s="54" t="e">
        <v>#N/A</v>
      </c>
      <c r="AO1936" s="47"/>
      <c r="AP1936" s="4">
        <v>1.1000000000000001</v>
      </c>
      <c r="AQ1936" s="111">
        <f t="shared" si="782"/>
        <v>0</v>
      </c>
      <c r="AR1936">
        <f>_xlfn.XLOOKUP(F1936,'RM Cost'!A:A,'RM Cost'!S:S)</f>
        <v>0</v>
      </c>
      <c r="AS1936" t="str">
        <f>_xlfn.XLOOKUP(A1936,[3]Sheet1!$B:$B,[3]Sheet1!$B:$B)</f>
        <v>677CCS</v>
      </c>
      <c r="AT1936" t="e">
        <f>_xlfn.XLOOKUP(H1936,'Yield &amp; Time'!A:A,'Yield &amp; Time'!F:F)</f>
        <v>#N/A</v>
      </c>
    </row>
    <row r="1937" spans="1:46" x14ac:dyDescent="0.25">
      <c r="A1937" s="1" t="s">
        <v>4858</v>
      </c>
      <c r="B1937" s="2" t="s">
        <v>552</v>
      </c>
      <c r="C1937" s="2" t="s">
        <v>573</v>
      </c>
      <c r="D1937" s="2" t="s">
        <v>554</v>
      </c>
      <c r="E1937" s="2">
        <v>2.5</v>
      </c>
      <c r="F1937" s="1" t="str">
        <f>VLOOKUP(H1937,'RM Used'!A:B,2,0)</f>
        <v>P0016</v>
      </c>
      <c r="G1937" s="1" t="str">
        <f>IFERROR(VLOOKUP(F1937,'RM Cost'!A:B,2,0),"")</f>
        <v>REY 40 30 BOX</v>
      </c>
      <c r="H1937" s="2" t="s">
        <v>1332</v>
      </c>
      <c r="I1937" s="1" t="str">
        <f>VLOOKUP(F1937,'RM Used'!B:D,3,0)</f>
        <v>RM-PACKING</v>
      </c>
      <c r="J1937" s="66">
        <v>1</v>
      </c>
      <c r="K1937" s="35" t="str">
        <f t="shared" si="765"/>
        <v/>
      </c>
      <c r="L1937" s="35">
        <f t="shared" si="766"/>
        <v>0</v>
      </c>
      <c r="M1937" s="77" t="str" cm="1">
        <f t="array" ref="M1937">_xlfn.IFS(BOM!I1937="RM-PACKING","100%",B1937="Reynolds",VLOOKUP(H1937,'Yield &amp; Time'!A:V,22,0),BOM!B1937="Dnata",VLOOKUP(BOM!H1937,'Yield &amp; Time'!A:M,13,0),B1937="NK",VLOOKUP(H1937,'Yield &amp; Time'!A:X,24,0))</f>
        <v>100%</v>
      </c>
      <c r="N1937" s="35">
        <f t="shared" si="767"/>
        <v>1</v>
      </c>
      <c r="O1937" s="1" t="str">
        <f>VLOOKUP(H1937,'RM Used'!A:E,5,0)</f>
        <v>Count</v>
      </c>
      <c r="P1937" s="11">
        <f>VLOOKUP(H1937,'RM Used'!A:F,6,0)</f>
        <v>0.28000000000000003</v>
      </c>
      <c r="Q1937" s="11">
        <f t="shared" si="783"/>
        <v>0.28000000000000003</v>
      </c>
      <c r="R1937" s="11">
        <f>IFERROR(IF(B1937="Reynolds",VLOOKUP(H1937,'Yield &amp; Time'!A:U,21,0),VLOOKUP(H1937,'Yield &amp; Time'!A:L,12,0)),0)</f>
        <v>0</v>
      </c>
      <c r="S1937" s="11">
        <f t="shared" si="769"/>
        <v>0</v>
      </c>
      <c r="T1937" s="11">
        <f t="shared" si="770"/>
        <v>0</v>
      </c>
      <c r="U1937" s="11">
        <f>IF(A1936=A1937,0,VLOOKUP(A1937,'Packing Time'!A:F,6,0))</f>
        <v>0</v>
      </c>
      <c r="V1937" s="11">
        <f t="shared" si="784"/>
        <v>0</v>
      </c>
      <c r="W1937" s="11">
        <f t="shared" si="785"/>
        <v>0</v>
      </c>
      <c r="X1937" s="11">
        <f t="shared" si="773"/>
        <v>0</v>
      </c>
      <c r="Y1937" s="11">
        <f t="shared" si="786"/>
        <v>0</v>
      </c>
      <c r="Z1937" s="37">
        <v>1</v>
      </c>
      <c r="AA1937" s="36">
        <f t="shared" si="775"/>
        <v>1</v>
      </c>
      <c r="AB1937" s="36">
        <f t="shared" si="776"/>
        <v>0.28000000000000003</v>
      </c>
      <c r="AC1937" s="11">
        <f t="shared" si="777"/>
        <v>0</v>
      </c>
      <c r="AD1937" s="36">
        <f t="shared" si="787"/>
        <v>0</v>
      </c>
      <c r="AE1937" s="36"/>
      <c r="AF1937" s="36">
        <f>IFERROR(VLOOKUP(AE1937,'Chemical Cost'!A:D,4,0),0)</f>
        <v>0</v>
      </c>
      <c r="AG1937" s="114">
        <f t="shared" si="779"/>
        <v>0</v>
      </c>
      <c r="AH1937" s="36">
        <f t="shared" si="788"/>
        <v>0</v>
      </c>
      <c r="AI1937" s="36">
        <f t="shared" si="789"/>
        <v>0.28000000000000003</v>
      </c>
      <c r="AJ1937" s="36">
        <f>IFERROR(VLOOKUP(A1937,'All Products'!A:F,6,0),0)</f>
        <v>0</v>
      </c>
      <c r="AK1937" s="36"/>
      <c r="AL1937" s="23">
        <v>0.8</v>
      </c>
      <c r="AM1937" s="23">
        <v>0.2</v>
      </c>
      <c r="AN1937" s="54" t="e">
        <v>#N/A</v>
      </c>
      <c r="AO1937" s="47"/>
      <c r="AP1937" s="4">
        <v>1.1000000000000001</v>
      </c>
      <c r="AQ1937" s="111">
        <f t="shared" si="782"/>
        <v>0</v>
      </c>
      <c r="AR1937">
        <f>_xlfn.XLOOKUP(F1937,'RM Cost'!A:A,'RM Cost'!S:S)</f>
        <v>0</v>
      </c>
      <c r="AS1937" t="str">
        <f>_xlfn.XLOOKUP(A1937,[3]Sheet1!$B:$B,[3]Sheet1!$B:$B)</f>
        <v>677CCS</v>
      </c>
      <c r="AT1937" t="e">
        <f>_xlfn.XLOOKUP(H1937,'Yield &amp; Time'!A:A,'Yield &amp; Time'!F:F)</f>
        <v>#N/A</v>
      </c>
    </row>
    <row r="1938" spans="1:46" x14ac:dyDescent="0.25">
      <c r="A1938" s="1" t="s">
        <v>4857</v>
      </c>
      <c r="B1938" s="2" t="s">
        <v>552</v>
      </c>
      <c r="C1938" s="2" t="s">
        <v>569</v>
      </c>
      <c r="D1938" s="2" t="s">
        <v>554</v>
      </c>
      <c r="E1938" s="2">
        <v>2.5</v>
      </c>
      <c r="F1938" s="1" t="str">
        <f>VLOOKUP(H1938,'RM Used'!A:B,2,0)</f>
        <v>206ACS</v>
      </c>
      <c r="G1938" s="1" t="str">
        <f>IFERROR(VLOOKUP(F1938,'RM Cost'!A:B,2,0),"")</f>
        <v>RM - PREP ONION WHOLE 10KG</v>
      </c>
      <c r="H1938" s="2" t="s">
        <v>1440</v>
      </c>
      <c r="I1938" s="1" t="str">
        <f>VLOOKUP(F1938,'RM Used'!B:D,3,0)</f>
        <v>RM-FOOD</v>
      </c>
      <c r="J1938" s="66">
        <v>1</v>
      </c>
      <c r="K1938" s="35">
        <f t="shared" si="765"/>
        <v>2.5</v>
      </c>
      <c r="L1938" s="35">
        <f t="shared" si="766"/>
        <v>2.5</v>
      </c>
      <c r="M1938" s="77" cm="1">
        <f t="array" ref="M1938">_xlfn.IFS(BOM!I1938="RM-PACKING","100%",B1938="Reynolds",VLOOKUP(H1938,'Yield &amp; Time'!A:V,22,0),BOM!B1938="Dnata",VLOOKUP(BOM!H1938,'Yield &amp; Time'!A:M,13,0),B1938="NK",VLOOKUP(H1938,'Yield &amp; Time'!A:X,24,0))</f>
        <v>0.89250682605603093</v>
      </c>
      <c r="N1938" s="35">
        <f t="shared" si="767"/>
        <v>2.8010990246959206</v>
      </c>
      <c r="O1938" s="1" t="str">
        <f>VLOOKUP(H1938,'RM Used'!A:E,5,0)</f>
        <v>KG</v>
      </c>
      <c r="P1938" s="11">
        <f>VLOOKUP(H1938,'RM Used'!A:F,6,0)</f>
        <v>0.87</v>
      </c>
      <c r="Q1938" s="11">
        <f t="shared" si="783"/>
        <v>2.4369561514854508</v>
      </c>
      <c r="R1938" s="11">
        <f>IFERROR(IF(B1938="Reynolds",VLOOKUP(H1938,'Yield &amp; Time'!A:U,21,0),VLOOKUP(H1938,'Yield &amp; Time'!A:L,12,0)),0)</f>
        <v>0.73</v>
      </c>
      <c r="S1938" s="11">
        <f t="shared" si="769"/>
        <v>0.61776249999999988</v>
      </c>
      <c r="T1938" s="11">
        <f t="shared" si="770"/>
        <v>3.0416666666666665E-2</v>
      </c>
      <c r="U1938" s="11">
        <f>IF(A1937=A1938,0,VLOOKUP(A1938,'Packing Time'!A:F,6,0))</f>
        <v>0.875</v>
      </c>
      <c r="V1938" s="11">
        <f t="shared" si="784"/>
        <v>0.29618749999999999</v>
      </c>
      <c r="W1938" s="11">
        <f t="shared" si="785"/>
        <v>1.4583333333333334E-2</v>
      </c>
      <c r="X1938" s="11">
        <f t="shared" si="773"/>
        <v>1.0053449999999999</v>
      </c>
      <c r="Y1938" s="11">
        <f t="shared" si="786"/>
        <v>1.0053449999999999</v>
      </c>
      <c r="Z1938" s="37">
        <v>1</v>
      </c>
      <c r="AA1938" s="36">
        <f t="shared" si="775"/>
        <v>2.8010990246959206</v>
      </c>
      <c r="AB1938" s="36">
        <f t="shared" si="776"/>
        <v>2.4369561514854508</v>
      </c>
      <c r="AC1938" s="11">
        <f t="shared" si="777"/>
        <v>4.9500000000000009E-2</v>
      </c>
      <c r="AD1938" s="36">
        <f t="shared" si="787"/>
        <v>1.0053450000000002</v>
      </c>
      <c r="AE1938" s="36" t="str">
        <f>VLOOKUP(H1938,'Yield &amp; Time'!A:R,18,0)</f>
        <v>CHLORINE</v>
      </c>
      <c r="AF1938" s="36">
        <f>IFERROR(VLOOKUP(AE1938,'Chemical Cost'!A:D,4,0),0)</f>
        <v>2.7756518066439469E-2</v>
      </c>
      <c r="AG1938" s="114">
        <f t="shared" si="779"/>
        <v>2.5916251894952766E-2</v>
      </c>
      <c r="AH1938" s="36">
        <f t="shared" si="788"/>
        <v>2.5916251894952766E-2</v>
      </c>
      <c r="AI1938" s="36">
        <f t="shared" si="789"/>
        <v>3.4682174033804034</v>
      </c>
      <c r="AJ1938" s="36">
        <f>IFERROR(VLOOKUP(A1938,'All Products'!A:F,6,0),0)</f>
        <v>0</v>
      </c>
      <c r="AK1938" s="36">
        <f>AJ1938*Z1938*J1938</f>
        <v>0</v>
      </c>
      <c r="AL1938" s="23">
        <v>0.8</v>
      </c>
      <c r="AM1938" s="23">
        <v>0.2</v>
      </c>
      <c r="AN1938" s="54" t="e">
        <v>#N/A</v>
      </c>
      <c r="AO1938" s="47"/>
      <c r="AP1938" s="4">
        <v>1.1000000000000001</v>
      </c>
      <c r="AQ1938" s="111">
        <f t="shared" si="782"/>
        <v>4.9500000000000009E-2</v>
      </c>
      <c r="AR1938">
        <f>_xlfn.XLOOKUP(F1938,'RM Cost'!A:A,'RM Cost'!S:S)</f>
        <v>0</v>
      </c>
      <c r="AS1938" t="str">
        <f>_xlfn.XLOOKUP(A1938,[3]Sheet1!$B:$B,[3]Sheet1!$B:$B)</f>
        <v>678CCS</v>
      </c>
      <c r="AT1938" t="str">
        <f>_xlfn.XLOOKUP(H1938,'Yield &amp; Time'!A:A,'Yield &amp; Time'!O:O)</f>
        <v>Yes</v>
      </c>
    </row>
    <row r="1939" spans="1:46" x14ac:dyDescent="0.25">
      <c r="A1939" s="1" t="s">
        <v>4857</v>
      </c>
      <c r="B1939" s="2" t="s">
        <v>552</v>
      </c>
      <c r="C1939" s="2" t="s">
        <v>569</v>
      </c>
      <c r="D1939" s="2" t="s">
        <v>554</v>
      </c>
      <c r="E1939" s="2">
        <v>2.5</v>
      </c>
      <c r="F1939" s="1" t="str">
        <f>VLOOKUP(H1939,'RM Used'!A:B,2,0)</f>
        <v>P0020</v>
      </c>
      <c r="G1939" s="1" t="str">
        <f>IFERROR(VLOOKUP(F1939,'RM Cost'!A:B,2,0),"")</f>
        <v>PALE BLUE BAG 430X430MM</v>
      </c>
      <c r="H1939" s="2" t="s">
        <v>1659</v>
      </c>
      <c r="I1939" s="1" t="str">
        <f>VLOOKUP(F1939,'RM Used'!B:D,3,0)</f>
        <v>RM-PACKING</v>
      </c>
      <c r="J1939" s="66">
        <v>1</v>
      </c>
      <c r="K1939" s="35" t="str">
        <f t="shared" si="765"/>
        <v/>
      </c>
      <c r="L1939" s="35">
        <f t="shared" si="766"/>
        <v>0</v>
      </c>
      <c r="M1939" s="77" t="str" cm="1">
        <f t="array" ref="M1939">_xlfn.IFS(BOM!I1939="RM-PACKING","100%",B1939="Reynolds",VLOOKUP(H1939,'Yield &amp; Time'!A:V,22,0),BOM!B1939="Dnata",VLOOKUP(BOM!H1939,'Yield &amp; Time'!A:M,13,0),B1939="NK",VLOOKUP(H1939,'Yield &amp; Time'!A:X,24,0))</f>
        <v>100%</v>
      </c>
      <c r="N1939" s="35">
        <f t="shared" si="767"/>
        <v>1</v>
      </c>
      <c r="O1939" s="1" t="str">
        <f>VLOOKUP(H1939,'RM Used'!A:E,5,0)</f>
        <v>Count</v>
      </c>
      <c r="P1939" s="11">
        <f>VLOOKUP(H1939,'RM Used'!A:F,6,0)</f>
        <v>0.09</v>
      </c>
      <c r="Q1939" s="11">
        <f t="shared" si="783"/>
        <v>0.09</v>
      </c>
      <c r="R1939" s="11">
        <f>IFERROR(IF(B1939="Reynolds",VLOOKUP(H1939,'Yield &amp; Time'!A:U,21,0),VLOOKUP(H1939,'Yield &amp; Time'!A:L,12,0)),0)</f>
        <v>0</v>
      </c>
      <c r="S1939" s="11">
        <f t="shared" si="769"/>
        <v>0</v>
      </c>
      <c r="T1939" s="11">
        <f t="shared" si="770"/>
        <v>0</v>
      </c>
      <c r="U1939" s="11">
        <f>IF(A1938=A1939,0,VLOOKUP(A1939,'Packing Time'!A:F,6,0))</f>
        <v>0</v>
      </c>
      <c r="V1939" s="11">
        <f t="shared" si="784"/>
        <v>0</v>
      </c>
      <c r="W1939" s="11">
        <f t="shared" si="785"/>
        <v>0</v>
      </c>
      <c r="X1939" s="11">
        <f t="shared" si="773"/>
        <v>0</v>
      </c>
      <c r="Y1939" s="11">
        <f t="shared" si="786"/>
        <v>0</v>
      </c>
      <c r="Z1939" s="37">
        <v>1</v>
      </c>
      <c r="AA1939" s="36">
        <f t="shared" si="775"/>
        <v>1</v>
      </c>
      <c r="AB1939" s="36">
        <f t="shared" si="776"/>
        <v>0.09</v>
      </c>
      <c r="AC1939" s="11">
        <f t="shared" si="777"/>
        <v>0</v>
      </c>
      <c r="AD1939" s="36">
        <f t="shared" si="787"/>
        <v>0</v>
      </c>
      <c r="AE1939" s="36"/>
      <c r="AF1939" s="36">
        <f>IFERROR(VLOOKUP(AE1939,'Chemical Cost'!A:D,4,0),0)</f>
        <v>0</v>
      </c>
      <c r="AG1939" s="114">
        <f t="shared" si="779"/>
        <v>0</v>
      </c>
      <c r="AH1939" s="36">
        <f t="shared" si="788"/>
        <v>0</v>
      </c>
      <c r="AI1939" s="36">
        <f t="shared" si="789"/>
        <v>0.09</v>
      </c>
      <c r="AJ1939" s="36">
        <f>IFERROR(VLOOKUP(A1939,'All Products'!A:F,6,0),0)</f>
        <v>0</v>
      </c>
      <c r="AK1939" s="36"/>
      <c r="AL1939" s="23">
        <v>0.8</v>
      </c>
      <c r="AM1939" s="23">
        <v>0.2</v>
      </c>
      <c r="AN1939" s="54" t="e">
        <v>#N/A</v>
      </c>
      <c r="AO1939" s="47"/>
      <c r="AP1939" s="4">
        <v>1.1000000000000001</v>
      </c>
      <c r="AQ1939" s="111">
        <f t="shared" si="782"/>
        <v>0</v>
      </c>
      <c r="AR1939">
        <f>_xlfn.XLOOKUP(F1939,'RM Cost'!A:A,'RM Cost'!S:S)</f>
        <v>0</v>
      </c>
      <c r="AS1939" t="str">
        <f>_xlfn.XLOOKUP(A1939,[3]Sheet1!$B:$B,[3]Sheet1!$B:$B)</f>
        <v>678CCS</v>
      </c>
      <c r="AT1939" t="e">
        <f>_xlfn.XLOOKUP(H1939,'Yield &amp; Time'!A:A,'Yield &amp; Time'!F:F)</f>
        <v>#N/A</v>
      </c>
    </row>
    <row r="1940" spans="1:46" x14ac:dyDescent="0.25">
      <c r="A1940" s="1" t="s">
        <v>4857</v>
      </c>
      <c r="B1940" s="2" t="s">
        <v>552</v>
      </c>
      <c r="C1940" s="2" t="s">
        <v>569</v>
      </c>
      <c r="D1940" s="2" t="s">
        <v>554</v>
      </c>
      <c r="E1940" s="2">
        <v>2.5</v>
      </c>
      <c r="F1940" s="1" t="str">
        <f>VLOOKUP(H1940,'RM Used'!A:B,2,0)</f>
        <v>P0016</v>
      </c>
      <c r="G1940" s="1" t="str">
        <f>IFERROR(VLOOKUP(F1940,'RM Cost'!A:B,2,0),"")</f>
        <v>REY 40 30 BOX</v>
      </c>
      <c r="H1940" s="2" t="s">
        <v>1332</v>
      </c>
      <c r="I1940" s="1" t="str">
        <f>VLOOKUP(F1940,'RM Used'!B:D,3,0)</f>
        <v>RM-PACKING</v>
      </c>
      <c r="J1940" s="66">
        <v>1</v>
      </c>
      <c r="K1940" s="35" t="str">
        <f t="shared" si="765"/>
        <v/>
      </c>
      <c r="L1940" s="35">
        <f t="shared" si="766"/>
        <v>0</v>
      </c>
      <c r="M1940" s="77" t="str" cm="1">
        <f t="array" ref="M1940">_xlfn.IFS(BOM!I1940="RM-PACKING","100%",B1940="Reynolds",VLOOKUP(H1940,'Yield &amp; Time'!A:V,22,0),BOM!B1940="Dnata",VLOOKUP(BOM!H1940,'Yield &amp; Time'!A:M,13,0),B1940="NK",VLOOKUP(H1940,'Yield &amp; Time'!A:X,24,0))</f>
        <v>100%</v>
      </c>
      <c r="N1940" s="35">
        <f t="shared" si="767"/>
        <v>1</v>
      </c>
      <c r="O1940" s="1" t="str">
        <f>VLOOKUP(H1940,'RM Used'!A:E,5,0)</f>
        <v>Count</v>
      </c>
      <c r="P1940" s="11">
        <f>VLOOKUP(H1940,'RM Used'!A:F,6,0)</f>
        <v>0.28000000000000003</v>
      </c>
      <c r="Q1940" s="11">
        <f t="shared" si="783"/>
        <v>0.28000000000000003</v>
      </c>
      <c r="R1940" s="11">
        <f>IFERROR(IF(B1940="Reynolds",VLOOKUP(H1940,'Yield &amp; Time'!A:U,21,0),VLOOKUP(H1940,'Yield &amp; Time'!A:L,12,0)),0)</f>
        <v>0</v>
      </c>
      <c r="S1940" s="11">
        <f t="shared" si="769"/>
        <v>0</v>
      </c>
      <c r="T1940" s="11">
        <f t="shared" si="770"/>
        <v>0</v>
      </c>
      <c r="U1940" s="11">
        <f>IF(A1939=A1940,0,VLOOKUP(A1940,'Packing Time'!A:F,6,0))</f>
        <v>0</v>
      </c>
      <c r="V1940" s="11">
        <f t="shared" si="784"/>
        <v>0</v>
      </c>
      <c r="W1940" s="11">
        <f t="shared" si="785"/>
        <v>0</v>
      </c>
      <c r="X1940" s="11">
        <f t="shared" si="773"/>
        <v>0</v>
      </c>
      <c r="Y1940" s="11">
        <f t="shared" si="786"/>
        <v>0</v>
      </c>
      <c r="Z1940" s="37">
        <v>1</v>
      </c>
      <c r="AA1940" s="36">
        <f t="shared" si="775"/>
        <v>1</v>
      </c>
      <c r="AB1940" s="36">
        <f t="shared" si="776"/>
        <v>0.28000000000000003</v>
      </c>
      <c r="AC1940" s="11">
        <f t="shared" si="777"/>
        <v>0</v>
      </c>
      <c r="AD1940" s="36">
        <f t="shared" si="787"/>
        <v>0</v>
      </c>
      <c r="AE1940" s="36"/>
      <c r="AF1940" s="36">
        <f>IFERROR(VLOOKUP(AE1940,'Chemical Cost'!A:D,4,0),0)</f>
        <v>0</v>
      </c>
      <c r="AG1940" s="114">
        <f t="shared" si="779"/>
        <v>0</v>
      </c>
      <c r="AH1940" s="36">
        <f t="shared" si="788"/>
        <v>0</v>
      </c>
      <c r="AI1940" s="36">
        <f t="shared" si="789"/>
        <v>0.28000000000000003</v>
      </c>
      <c r="AJ1940" s="36">
        <f>IFERROR(VLOOKUP(A1940,'All Products'!A:F,6,0),0)</f>
        <v>0</v>
      </c>
      <c r="AK1940" s="36"/>
      <c r="AL1940" s="23">
        <v>0.8</v>
      </c>
      <c r="AM1940" s="23">
        <v>0.2</v>
      </c>
      <c r="AN1940" s="54" t="e">
        <v>#N/A</v>
      </c>
      <c r="AO1940" s="47"/>
      <c r="AP1940" s="4">
        <v>1.1000000000000001</v>
      </c>
      <c r="AQ1940" s="111">
        <f t="shared" si="782"/>
        <v>0</v>
      </c>
      <c r="AR1940">
        <f>_xlfn.XLOOKUP(F1940,'RM Cost'!A:A,'RM Cost'!S:S)</f>
        <v>0</v>
      </c>
      <c r="AS1940" t="str">
        <f>_xlfn.XLOOKUP(A1940,[3]Sheet1!$B:$B,[3]Sheet1!$B:$B)</f>
        <v>678CCS</v>
      </c>
      <c r="AT1940" t="e">
        <f>_xlfn.XLOOKUP(H1940,'Yield &amp; Time'!A:A,'Yield &amp; Time'!F:F)</f>
        <v>#N/A</v>
      </c>
    </row>
    <row r="1941" spans="1:46" x14ac:dyDescent="0.25">
      <c r="A1941" s="1" t="s">
        <v>4856</v>
      </c>
      <c r="B1941" s="2" t="s">
        <v>552</v>
      </c>
      <c r="C1941" s="2" t="s">
        <v>558</v>
      </c>
      <c r="D1941" s="2" t="s">
        <v>554</v>
      </c>
      <c r="E1941" s="2">
        <v>2.5</v>
      </c>
      <c r="F1941" s="1" t="str">
        <f>VLOOKUP(H1941,'RM Used'!A:B,2,0)</f>
        <v>206ACS</v>
      </c>
      <c r="G1941" s="1" t="str">
        <f>IFERROR(VLOOKUP(F1941,'RM Cost'!A:B,2,0),"")</f>
        <v>RM - PREP ONION WHOLE 10KG</v>
      </c>
      <c r="H1941" s="2" t="s">
        <v>1435</v>
      </c>
      <c r="I1941" s="1" t="str">
        <f>VLOOKUP(F1941,'RM Used'!B:D,3,0)</f>
        <v>RM-FOOD</v>
      </c>
      <c r="J1941" s="66">
        <v>1</v>
      </c>
      <c r="K1941" s="35">
        <f t="shared" si="765"/>
        <v>2.5</v>
      </c>
      <c r="L1941" s="35">
        <f t="shared" si="766"/>
        <v>2.5</v>
      </c>
      <c r="M1941" s="77" cm="1">
        <f t="array" ref="M1941">_xlfn.IFS(BOM!I1941="RM-PACKING","100%",B1941="Reynolds",VLOOKUP(H1941,'Yield &amp; Time'!A:V,22,0),BOM!B1941="Dnata",VLOOKUP(BOM!H1941,'Yield &amp; Time'!A:M,13,0),B1941="NK",VLOOKUP(H1941,'Yield &amp; Time'!A:X,24,0))</f>
        <v>0.82139712728001835</v>
      </c>
      <c r="N1941" s="35">
        <f t="shared" si="767"/>
        <v>3.043594769169113</v>
      </c>
      <c r="O1941" s="1" t="str">
        <f>VLOOKUP(H1941,'RM Used'!A:E,5,0)</f>
        <v>KG</v>
      </c>
      <c r="P1941" s="11">
        <f>VLOOKUP(H1941,'RM Used'!A:F,6,0)</f>
        <v>0.87</v>
      </c>
      <c r="Q1941" s="11">
        <f t="shared" si="783"/>
        <v>2.6479274491771281</v>
      </c>
      <c r="R1941" s="11">
        <f>IFERROR(IF(B1941="Reynolds",VLOOKUP(H1941,'Yield &amp; Time'!A:U,21,0),VLOOKUP(H1941,'Yield &amp; Time'!A:L,12,0)),0)</f>
        <v>0.65</v>
      </c>
      <c r="S1941" s="11">
        <f t="shared" si="769"/>
        <v>0.5500624999999999</v>
      </c>
      <c r="T1941" s="11">
        <f t="shared" si="770"/>
        <v>2.7083333333333334E-2</v>
      </c>
      <c r="U1941" s="11">
        <f>IF(A1940=A1941,0,VLOOKUP(A1941,'Packing Time'!A:F,6,0))</f>
        <v>0.875</v>
      </c>
      <c r="V1941" s="11">
        <f t="shared" si="784"/>
        <v>0.29618749999999999</v>
      </c>
      <c r="W1941" s="11">
        <f t="shared" si="785"/>
        <v>1.4583333333333334E-2</v>
      </c>
      <c r="X1941" s="11">
        <f t="shared" si="773"/>
        <v>0.93087500000000001</v>
      </c>
      <c r="Y1941" s="11">
        <f t="shared" si="786"/>
        <v>0.93087500000000001</v>
      </c>
      <c r="Z1941" s="37">
        <v>1</v>
      </c>
      <c r="AA1941" s="36">
        <f t="shared" si="775"/>
        <v>3.043594769169113</v>
      </c>
      <c r="AB1941" s="36">
        <f t="shared" si="776"/>
        <v>2.6479274491771281</v>
      </c>
      <c r="AC1941" s="11">
        <f t="shared" si="777"/>
        <v>4.5833333333333337E-2</v>
      </c>
      <c r="AD1941" s="36">
        <f t="shared" si="787"/>
        <v>0.9308749999999999</v>
      </c>
      <c r="AE1941" s="36" t="str">
        <f>VLOOKUP(H1941,'Yield &amp; Time'!A:R,18,0)</f>
        <v>CHLORINE</v>
      </c>
      <c r="AF1941" s="36">
        <f>IFERROR(VLOOKUP(AE1941,'Chemical Cost'!A:D,4,0),0)</f>
        <v>2.7756518066439469E-2</v>
      </c>
      <c r="AG1941" s="114">
        <f t="shared" si="779"/>
        <v>2.8159864399121048E-2</v>
      </c>
      <c r="AH1941" s="36">
        <f t="shared" si="788"/>
        <v>2.8159864399121048E-2</v>
      </c>
      <c r="AI1941" s="36">
        <f t="shared" si="789"/>
        <v>3.6069623135762492</v>
      </c>
      <c r="AJ1941" s="36">
        <f>IFERROR(VLOOKUP(A1941,'All Products'!A:F,6,0),0)</f>
        <v>0</v>
      </c>
      <c r="AK1941" s="36">
        <f>AJ1941*Z1941*J1941</f>
        <v>0</v>
      </c>
      <c r="AL1941" s="23">
        <v>0.8</v>
      </c>
      <c r="AM1941" s="23">
        <v>0.2</v>
      </c>
      <c r="AN1941" s="54" t="e">
        <v>#N/A</v>
      </c>
      <c r="AO1941" s="47"/>
      <c r="AP1941" s="4">
        <v>1.1000000000000001</v>
      </c>
      <c r="AQ1941" s="111">
        <f t="shared" si="782"/>
        <v>4.5833333333333337E-2</v>
      </c>
      <c r="AR1941">
        <f>_xlfn.XLOOKUP(F1941,'RM Cost'!A:A,'RM Cost'!S:S)</f>
        <v>0</v>
      </c>
      <c r="AS1941" t="str">
        <f>_xlfn.XLOOKUP(A1941,[3]Sheet1!$B:$B,[3]Sheet1!$B:$B)</f>
        <v>679CCS</v>
      </c>
      <c r="AT1941" t="str">
        <f>_xlfn.XLOOKUP(H1941,'Yield &amp; Time'!A:A,'Yield &amp; Time'!O:O)</f>
        <v>Yes</v>
      </c>
    </row>
    <row r="1942" spans="1:46" x14ac:dyDescent="0.25">
      <c r="A1942" s="1" t="s">
        <v>4856</v>
      </c>
      <c r="B1942" s="2" t="s">
        <v>552</v>
      </c>
      <c r="C1942" s="2" t="s">
        <v>558</v>
      </c>
      <c r="D1942" s="2" t="s">
        <v>554</v>
      </c>
      <c r="E1942" s="2">
        <v>2.5</v>
      </c>
      <c r="F1942" s="1" t="str">
        <f>VLOOKUP(H1942,'RM Used'!A:B,2,0)</f>
        <v>P0020</v>
      </c>
      <c r="G1942" s="1" t="str">
        <f>IFERROR(VLOOKUP(F1942,'RM Cost'!A:B,2,0),"")</f>
        <v>PALE BLUE BAG 430X430MM</v>
      </c>
      <c r="H1942" s="2" t="s">
        <v>1659</v>
      </c>
      <c r="I1942" s="1" t="str">
        <f>VLOOKUP(F1942,'RM Used'!B:D,3,0)</f>
        <v>RM-PACKING</v>
      </c>
      <c r="J1942" s="66">
        <v>1</v>
      </c>
      <c r="K1942" s="35" t="str">
        <f t="shared" si="765"/>
        <v/>
      </c>
      <c r="L1942" s="35">
        <f t="shared" si="766"/>
        <v>0</v>
      </c>
      <c r="M1942" s="77" t="str" cm="1">
        <f t="array" ref="M1942">_xlfn.IFS(BOM!I1942="RM-PACKING","100%",B1942="Reynolds",VLOOKUP(H1942,'Yield &amp; Time'!A:V,22,0),BOM!B1942="Dnata",VLOOKUP(BOM!H1942,'Yield &amp; Time'!A:M,13,0),B1942="NK",VLOOKUP(H1942,'Yield &amp; Time'!A:X,24,0))</f>
        <v>100%</v>
      </c>
      <c r="N1942" s="35">
        <f t="shared" si="767"/>
        <v>1</v>
      </c>
      <c r="O1942" s="1" t="str">
        <f>VLOOKUP(H1942,'RM Used'!A:E,5,0)</f>
        <v>Count</v>
      </c>
      <c r="P1942" s="11">
        <f>VLOOKUP(H1942,'RM Used'!A:F,6,0)</f>
        <v>0.09</v>
      </c>
      <c r="Q1942" s="11">
        <f t="shared" si="783"/>
        <v>0.09</v>
      </c>
      <c r="R1942" s="11">
        <f>IFERROR(IF(B1942="Reynolds",VLOOKUP(H1942,'Yield &amp; Time'!A:U,21,0),VLOOKUP(H1942,'Yield &amp; Time'!A:L,12,0)),0)</f>
        <v>0</v>
      </c>
      <c r="S1942" s="11">
        <f t="shared" si="769"/>
        <v>0</v>
      </c>
      <c r="T1942" s="11">
        <f t="shared" si="770"/>
        <v>0</v>
      </c>
      <c r="U1942" s="11">
        <f>IF(A1941=A1942,0,VLOOKUP(A1942,'Packing Time'!A:F,6,0))</f>
        <v>0</v>
      </c>
      <c r="V1942" s="11">
        <f t="shared" si="784"/>
        <v>0</v>
      </c>
      <c r="W1942" s="11">
        <f t="shared" si="785"/>
        <v>0</v>
      </c>
      <c r="X1942" s="11">
        <f t="shared" si="773"/>
        <v>0</v>
      </c>
      <c r="Y1942" s="11">
        <f t="shared" si="786"/>
        <v>0</v>
      </c>
      <c r="Z1942" s="37">
        <v>1</v>
      </c>
      <c r="AA1942" s="36">
        <f t="shared" si="775"/>
        <v>1</v>
      </c>
      <c r="AB1942" s="36">
        <f t="shared" si="776"/>
        <v>0.09</v>
      </c>
      <c r="AC1942" s="11">
        <f t="shared" si="777"/>
        <v>0</v>
      </c>
      <c r="AD1942" s="36">
        <f t="shared" si="787"/>
        <v>0</v>
      </c>
      <c r="AE1942" s="36"/>
      <c r="AF1942" s="36">
        <f>IFERROR(VLOOKUP(AE1942,'Chemical Cost'!A:D,4,0),0)</f>
        <v>0</v>
      </c>
      <c r="AG1942" s="114">
        <f t="shared" si="779"/>
        <v>0</v>
      </c>
      <c r="AH1942" s="36">
        <f t="shared" si="788"/>
        <v>0</v>
      </c>
      <c r="AI1942" s="36">
        <f t="shared" si="789"/>
        <v>0.09</v>
      </c>
      <c r="AJ1942" s="36">
        <f>IFERROR(VLOOKUP(A1942,'All Products'!A:F,6,0),0)</f>
        <v>0</v>
      </c>
      <c r="AK1942" s="36"/>
      <c r="AL1942" s="23">
        <v>0.8</v>
      </c>
      <c r="AM1942" s="23">
        <v>0.2</v>
      </c>
      <c r="AN1942" s="54" t="e">
        <v>#N/A</v>
      </c>
      <c r="AO1942" s="47"/>
      <c r="AP1942" s="4">
        <v>1.1000000000000001</v>
      </c>
      <c r="AQ1942" s="111">
        <f t="shared" si="782"/>
        <v>0</v>
      </c>
      <c r="AR1942">
        <f>_xlfn.XLOOKUP(F1942,'RM Cost'!A:A,'RM Cost'!S:S)</f>
        <v>0</v>
      </c>
      <c r="AS1942" t="str">
        <f>_xlfn.XLOOKUP(A1942,[3]Sheet1!$B:$B,[3]Sheet1!$B:$B)</f>
        <v>679CCS</v>
      </c>
      <c r="AT1942" t="e">
        <f>_xlfn.XLOOKUP(H1942,'Yield &amp; Time'!A:A,'Yield &amp; Time'!F:F)</f>
        <v>#N/A</v>
      </c>
    </row>
    <row r="1943" spans="1:46" x14ac:dyDescent="0.25">
      <c r="A1943" s="1" t="s">
        <v>4856</v>
      </c>
      <c r="B1943" s="2" t="s">
        <v>552</v>
      </c>
      <c r="C1943" s="2" t="s">
        <v>558</v>
      </c>
      <c r="D1943" s="2" t="s">
        <v>554</v>
      </c>
      <c r="E1943" s="2">
        <v>2.5</v>
      </c>
      <c r="F1943" s="1" t="str">
        <f>VLOOKUP(H1943,'RM Used'!A:B,2,0)</f>
        <v>P0016</v>
      </c>
      <c r="G1943" s="1" t="str">
        <f>IFERROR(VLOOKUP(F1943,'RM Cost'!A:B,2,0),"")</f>
        <v>REY 40 30 BOX</v>
      </c>
      <c r="H1943" s="2" t="s">
        <v>1332</v>
      </c>
      <c r="I1943" s="1" t="str">
        <f>VLOOKUP(F1943,'RM Used'!B:D,3,0)</f>
        <v>RM-PACKING</v>
      </c>
      <c r="J1943" s="66">
        <v>1</v>
      </c>
      <c r="K1943" s="35" t="str">
        <f t="shared" si="765"/>
        <v/>
      </c>
      <c r="L1943" s="35">
        <f t="shared" si="766"/>
        <v>0</v>
      </c>
      <c r="M1943" s="77" t="str" cm="1">
        <f t="array" ref="M1943">_xlfn.IFS(BOM!I1943="RM-PACKING","100%",B1943="Reynolds",VLOOKUP(H1943,'Yield &amp; Time'!A:V,22,0),BOM!B1943="Dnata",VLOOKUP(BOM!H1943,'Yield &amp; Time'!A:M,13,0),B1943="NK",VLOOKUP(H1943,'Yield &amp; Time'!A:X,24,0))</f>
        <v>100%</v>
      </c>
      <c r="N1943" s="35">
        <f t="shared" si="767"/>
        <v>1</v>
      </c>
      <c r="O1943" s="1" t="str">
        <f>VLOOKUP(H1943,'RM Used'!A:E,5,0)</f>
        <v>Count</v>
      </c>
      <c r="P1943" s="11">
        <f>VLOOKUP(H1943,'RM Used'!A:F,6,0)</f>
        <v>0.28000000000000003</v>
      </c>
      <c r="Q1943" s="11">
        <f t="shared" si="783"/>
        <v>0.28000000000000003</v>
      </c>
      <c r="R1943" s="11">
        <f>IFERROR(IF(B1943="Reynolds",VLOOKUP(H1943,'Yield &amp; Time'!A:U,21,0),VLOOKUP(H1943,'Yield &amp; Time'!A:L,12,0)),0)</f>
        <v>0</v>
      </c>
      <c r="S1943" s="11">
        <f t="shared" si="769"/>
        <v>0</v>
      </c>
      <c r="T1943" s="11">
        <f t="shared" si="770"/>
        <v>0</v>
      </c>
      <c r="U1943" s="11">
        <f>IF(A1942=A1943,0,VLOOKUP(A1943,'Packing Time'!A:F,6,0))</f>
        <v>0</v>
      </c>
      <c r="V1943" s="11">
        <f t="shared" si="784"/>
        <v>0</v>
      </c>
      <c r="W1943" s="11">
        <f t="shared" si="785"/>
        <v>0</v>
      </c>
      <c r="X1943" s="11">
        <f t="shared" si="773"/>
        <v>0</v>
      </c>
      <c r="Y1943" s="11">
        <f t="shared" si="786"/>
        <v>0</v>
      </c>
      <c r="Z1943" s="37">
        <v>1</v>
      </c>
      <c r="AA1943" s="36">
        <f t="shared" si="775"/>
        <v>1</v>
      </c>
      <c r="AB1943" s="36">
        <f t="shared" si="776"/>
        <v>0.28000000000000003</v>
      </c>
      <c r="AC1943" s="11">
        <f t="shared" si="777"/>
        <v>0</v>
      </c>
      <c r="AD1943" s="36">
        <f t="shared" si="787"/>
        <v>0</v>
      </c>
      <c r="AE1943" s="36"/>
      <c r="AF1943" s="36">
        <f>IFERROR(VLOOKUP(AE1943,'Chemical Cost'!A:D,4,0),0)</f>
        <v>0</v>
      </c>
      <c r="AG1943" s="114">
        <f t="shared" si="779"/>
        <v>0</v>
      </c>
      <c r="AH1943" s="36">
        <f t="shared" si="788"/>
        <v>0</v>
      </c>
      <c r="AI1943" s="36">
        <f t="shared" si="789"/>
        <v>0.28000000000000003</v>
      </c>
      <c r="AJ1943" s="36">
        <f>IFERROR(VLOOKUP(A1943,'All Products'!A:F,6,0),0)</f>
        <v>0</v>
      </c>
      <c r="AK1943" s="36"/>
      <c r="AL1943" s="23">
        <v>0.8</v>
      </c>
      <c r="AM1943" s="23">
        <v>0.2</v>
      </c>
      <c r="AN1943" s="54" t="e">
        <v>#N/A</v>
      </c>
      <c r="AO1943" s="47"/>
      <c r="AP1943" s="4">
        <v>1.1000000000000001</v>
      </c>
      <c r="AQ1943" s="111">
        <f t="shared" si="782"/>
        <v>0</v>
      </c>
      <c r="AR1943">
        <f>_xlfn.XLOOKUP(F1943,'RM Cost'!A:A,'RM Cost'!S:S)</f>
        <v>0</v>
      </c>
      <c r="AS1943" t="str">
        <f>_xlfn.XLOOKUP(A1943,[3]Sheet1!$B:$B,[3]Sheet1!$B:$B)</f>
        <v>679CCS</v>
      </c>
      <c r="AT1943" t="e">
        <f>_xlfn.XLOOKUP(H1943,'Yield &amp; Time'!A:A,'Yield &amp; Time'!F:F)</f>
        <v>#N/A</v>
      </c>
    </row>
    <row r="1944" spans="1:46" x14ac:dyDescent="0.25">
      <c r="A1944" s="16" t="s">
        <v>4863</v>
      </c>
      <c r="B1944" s="2" t="s">
        <v>552</v>
      </c>
      <c r="C1944" s="2" t="s">
        <v>1107</v>
      </c>
      <c r="D1944" s="2" t="s">
        <v>554</v>
      </c>
      <c r="E1944" s="2">
        <v>2.5</v>
      </c>
      <c r="F1944" s="1" t="str">
        <f>VLOOKUP(H1944,'RM Used'!A:B,2,0)</f>
        <v>206ACS</v>
      </c>
      <c r="G1944" s="1" t="str">
        <f>IFERROR(VLOOKUP(F1944,'RM Cost'!A:B,2,0),"")</f>
        <v>RM - PREP ONION WHOLE 10KG</v>
      </c>
      <c r="H1944" s="2" t="s">
        <v>1650</v>
      </c>
      <c r="I1944" s="1" t="str">
        <f>VLOOKUP(F1944,'RM Used'!B:D,3,0)</f>
        <v>RM-FOOD</v>
      </c>
      <c r="J1944" s="74">
        <v>1</v>
      </c>
      <c r="K1944" s="35">
        <f t="shared" si="765"/>
        <v>2.5</v>
      </c>
      <c r="L1944" s="35">
        <f t="shared" si="766"/>
        <v>2.5</v>
      </c>
      <c r="M1944" s="77" cm="1">
        <f t="array" ref="M1944">_xlfn.IFS(BOM!I1944="RM-PACKING","100%",B1944="Reynolds",VLOOKUP(H1944,'Yield &amp; Time'!A:V,22,0),BOM!B1944="Dnata",VLOOKUP(BOM!H1944,'Yield &amp; Time'!A:M,13,0),B1944="NK",VLOOKUP(H1944,'Yield &amp; Time'!A:X,24,0))</f>
        <v>0.91823899371069173</v>
      </c>
      <c r="N1944" s="35">
        <f t="shared" si="767"/>
        <v>2.7226027397260277</v>
      </c>
      <c r="O1944" s="1" t="str">
        <f>VLOOKUP(H1944,'RM Used'!A:E,5,0)</f>
        <v>KG</v>
      </c>
      <c r="P1944" s="11">
        <f>VLOOKUP(H1944,'RM Used'!A:F,6,0)</f>
        <v>0.87</v>
      </c>
      <c r="Q1944" s="11">
        <f t="shared" si="783"/>
        <v>2.3686643835616441</v>
      </c>
      <c r="R1944" s="11">
        <f>IFERROR(IF(B1944="Reynolds",VLOOKUP(H1944,'Yield &amp; Time'!A:U,21,0),VLOOKUP(H1944,'Yield &amp; Time'!A:L,12,0)),0)</f>
        <v>0.2</v>
      </c>
      <c r="S1944" s="11">
        <f t="shared" si="769"/>
        <v>0.16924999999999998</v>
      </c>
      <c r="T1944" s="11">
        <f t="shared" si="770"/>
        <v>8.3333333333333332E-3</v>
      </c>
      <c r="U1944" s="11">
        <f>IF(A1943=A1944,0,VLOOKUP(A1944,'Packing Time'!A:F,6,0))</f>
        <v>0.875</v>
      </c>
      <c r="V1944" s="11">
        <f t="shared" si="784"/>
        <v>0.29618749999999999</v>
      </c>
      <c r="W1944" s="11">
        <f t="shared" si="785"/>
        <v>1.4583333333333334E-2</v>
      </c>
      <c r="X1944" s="11">
        <f t="shared" si="773"/>
        <v>0.74469999999999992</v>
      </c>
      <c r="Y1944" s="11">
        <f t="shared" si="786"/>
        <v>0.74469999999999992</v>
      </c>
      <c r="Z1944" s="37">
        <v>1</v>
      </c>
      <c r="AA1944" s="36">
        <f t="shared" si="775"/>
        <v>2.7226027397260277</v>
      </c>
      <c r="AB1944" s="36">
        <f t="shared" si="776"/>
        <v>2.3686643835616441</v>
      </c>
      <c r="AC1944" s="11">
        <f t="shared" si="777"/>
        <v>3.6666666666666667E-2</v>
      </c>
      <c r="AD1944" s="36">
        <f t="shared" si="787"/>
        <v>0.74470000000000003</v>
      </c>
      <c r="AE1944" s="36"/>
      <c r="AF1944" s="36">
        <f>IFERROR(VLOOKUP(AE1944,'Chemical Cost'!A:D,4,0),0)</f>
        <v>0</v>
      </c>
      <c r="AG1944" s="114">
        <f t="shared" si="779"/>
        <v>0</v>
      </c>
      <c r="AH1944" s="36">
        <f t="shared" si="788"/>
        <v>0</v>
      </c>
      <c r="AI1944" s="36">
        <f t="shared" si="789"/>
        <v>3.113364383561644</v>
      </c>
      <c r="AJ1944" s="36">
        <f>IFERROR(VLOOKUP(A1944,'All Products'!A:F,6,0),0)</f>
        <v>0</v>
      </c>
      <c r="AK1944" s="36">
        <f>AJ1944*Z1944*J1944</f>
        <v>0</v>
      </c>
      <c r="AL1944" s="23">
        <v>1</v>
      </c>
      <c r="AM1944" s="23"/>
      <c r="AN1944" s="54" t="e">
        <v>#N/A</v>
      </c>
      <c r="AO1944" s="47"/>
      <c r="AP1944" s="4">
        <v>1.6</v>
      </c>
      <c r="AQ1944" s="111">
        <f t="shared" si="782"/>
        <v>3.6666666666666667E-2</v>
      </c>
      <c r="AR1944">
        <f>_xlfn.XLOOKUP(F1944,'RM Cost'!A:A,'RM Cost'!S:S)</f>
        <v>0</v>
      </c>
      <c r="AS1944" t="str">
        <f>_xlfn.XLOOKUP(A1944,[3]Sheet1!$B:$B,[3]Sheet1!$B:$B)</f>
        <v>680CCS</v>
      </c>
      <c r="AT1944">
        <f>_xlfn.XLOOKUP(H1944,'Yield &amp; Time'!A:A,'Yield &amp; Time'!F:F)</f>
        <v>0</v>
      </c>
    </row>
    <row r="1945" spans="1:46" x14ac:dyDescent="0.25">
      <c r="A1945" s="16" t="s">
        <v>4863</v>
      </c>
      <c r="B1945" s="2" t="s">
        <v>552</v>
      </c>
      <c r="C1945" s="2" t="s">
        <v>1107</v>
      </c>
      <c r="D1945" s="2" t="s">
        <v>554</v>
      </c>
      <c r="E1945" s="2">
        <v>2.5</v>
      </c>
      <c r="F1945" s="1" t="str">
        <f>VLOOKUP(H1945,'RM Used'!A:B,2,0)</f>
        <v>P0020</v>
      </c>
      <c r="G1945" s="1" t="str">
        <f>IFERROR(VLOOKUP(F1945,'RM Cost'!A:B,2,0),"")</f>
        <v>PALE BLUE BAG 430X430MM</v>
      </c>
      <c r="H1945" s="2" t="s">
        <v>1659</v>
      </c>
      <c r="I1945" s="1" t="str">
        <f>VLOOKUP(F1945,'RM Used'!B:D,3,0)</f>
        <v>RM-PACKING</v>
      </c>
      <c r="J1945" s="66">
        <v>1</v>
      </c>
      <c r="K1945" s="35" t="str">
        <f t="shared" si="765"/>
        <v/>
      </c>
      <c r="L1945" s="35">
        <f t="shared" si="766"/>
        <v>0</v>
      </c>
      <c r="M1945" s="77" t="str" cm="1">
        <f t="array" ref="M1945">_xlfn.IFS(BOM!I1945="RM-PACKING","100%",B1945="Reynolds",VLOOKUP(H1945,'Yield &amp; Time'!A:V,22,0),BOM!B1945="Dnata",VLOOKUP(BOM!H1945,'Yield &amp; Time'!A:M,13,0),B1945="NK",VLOOKUP(H1945,'Yield &amp; Time'!A:X,24,0))</f>
        <v>100%</v>
      </c>
      <c r="N1945" s="35">
        <f t="shared" si="767"/>
        <v>1</v>
      </c>
      <c r="O1945" s="1" t="str">
        <f>VLOOKUP(H1945,'RM Used'!A:E,5,0)</f>
        <v>Count</v>
      </c>
      <c r="P1945" s="11">
        <f>VLOOKUP(H1945,'RM Used'!A:F,6,0)</f>
        <v>0.09</v>
      </c>
      <c r="Q1945" s="11">
        <f t="shared" si="783"/>
        <v>0.09</v>
      </c>
      <c r="R1945" s="11">
        <f>IFERROR(IF(B1945="Reynolds",VLOOKUP(H1945,'Yield &amp; Time'!A:U,21,0),VLOOKUP(H1945,'Yield &amp; Time'!A:L,12,0)),0)</f>
        <v>0</v>
      </c>
      <c r="S1945" s="11">
        <f t="shared" si="769"/>
        <v>0</v>
      </c>
      <c r="T1945" s="11">
        <f t="shared" si="770"/>
        <v>0</v>
      </c>
      <c r="U1945" s="11">
        <f>IF(A1944=A1945,0,VLOOKUP(A1945,'Packing Time'!A:F,6,0))</f>
        <v>0</v>
      </c>
      <c r="V1945" s="11">
        <f t="shared" si="784"/>
        <v>0</v>
      </c>
      <c r="W1945" s="11">
        <f t="shared" si="785"/>
        <v>0</v>
      </c>
      <c r="X1945" s="11">
        <f t="shared" si="773"/>
        <v>0</v>
      </c>
      <c r="Y1945" s="11">
        <f t="shared" si="786"/>
        <v>0</v>
      </c>
      <c r="Z1945" s="37">
        <v>1</v>
      </c>
      <c r="AA1945" s="36">
        <f t="shared" si="775"/>
        <v>1</v>
      </c>
      <c r="AB1945" s="36">
        <f t="shared" si="776"/>
        <v>0.09</v>
      </c>
      <c r="AC1945" s="11">
        <f t="shared" si="777"/>
        <v>0</v>
      </c>
      <c r="AD1945" s="36">
        <f t="shared" si="787"/>
        <v>0</v>
      </c>
      <c r="AE1945" s="36"/>
      <c r="AF1945" s="36">
        <f>IFERROR(VLOOKUP(AE1945,'Chemical Cost'!A:D,4,0),0)</f>
        <v>0</v>
      </c>
      <c r="AG1945" s="114">
        <f t="shared" si="779"/>
        <v>0</v>
      </c>
      <c r="AH1945" s="36">
        <f t="shared" si="788"/>
        <v>0</v>
      </c>
      <c r="AI1945" s="36">
        <f t="shared" si="789"/>
        <v>0.09</v>
      </c>
      <c r="AJ1945" s="36">
        <f>IFERROR(VLOOKUP(A1945,'All Products'!A:F,6,0),0)</f>
        <v>0</v>
      </c>
      <c r="AK1945" s="36"/>
      <c r="AL1945" s="23">
        <v>1</v>
      </c>
      <c r="AM1945" s="23"/>
      <c r="AN1945" s="54" t="e">
        <v>#N/A</v>
      </c>
      <c r="AO1945" s="47"/>
      <c r="AP1945" s="4">
        <v>1.6</v>
      </c>
      <c r="AQ1945" s="111">
        <f t="shared" si="782"/>
        <v>0</v>
      </c>
      <c r="AR1945">
        <f>_xlfn.XLOOKUP(F1945,'RM Cost'!A:A,'RM Cost'!S:S)</f>
        <v>0</v>
      </c>
      <c r="AS1945" t="str">
        <f>_xlfn.XLOOKUP(A1945,[3]Sheet1!$B:$B,[3]Sheet1!$B:$B)</f>
        <v>680CCS</v>
      </c>
      <c r="AT1945" t="e">
        <f>_xlfn.XLOOKUP(H1945,'Yield &amp; Time'!A:A,'Yield &amp; Time'!F:F)</f>
        <v>#N/A</v>
      </c>
    </row>
    <row r="1946" spans="1:46" x14ac:dyDescent="0.25">
      <c r="A1946" s="16" t="s">
        <v>4863</v>
      </c>
      <c r="B1946" s="2" t="s">
        <v>552</v>
      </c>
      <c r="C1946" s="2" t="s">
        <v>1107</v>
      </c>
      <c r="D1946" s="2" t="s">
        <v>554</v>
      </c>
      <c r="E1946" s="2">
        <v>2.5</v>
      </c>
      <c r="F1946" s="1" t="str">
        <f>VLOOKUP(H1946,'RM Used'!A:B,2,0)</f>
        <v>P0016</v>
      </c>
      <c r="G1946" s="1" t="str">
        <f>IFERROR(VLOOKUP(F1946,'RM Cost'!A:B,2,0),"")</f>
        <v>REY 40 30 BOX</v>
      </c>
      <c r="H1946" s="1" t="s">
        <v>1332</v>
      </c>
      <c r="I1946" s="1" t="str">
        <f>VLOOKUP(F1946,'RM Used'!B:D,3,0)</f>
        <v>RM-PACKING</v>
      </c>
      <c r="J1946" s="66">
        <v>1</v>
      </c>
      <c r="K1946" s="35" t="str">
        <f>IF(I1946="RM-FOOD",J1946*E1946,"")</f>
        <v/>
      </c>
      <c r="L1946" s="35">
        <f t="shared" si="766"/>
        <v>0</v>
      </c>
      <c r="M1946" s="77" t="str" cm="1">
        <f t="array" ref="M1946">_xlfn.IFS(BOM!I1946="RM-PACKING","100%",B1946="Reynolds",VLOOKUP(H1946,'Yield &amp; Time'!A:V,22,0),BOM!B1946="Dnata",VLOOKUP(BOM!H1946,'Yield &amp; Time'!A:M,13,0),B1946="NK",VLOOKUP(H1946,'Yield &amp; Time'!A:X,24,0))</f>
        <v>100%</v>
      </c>
      <c r="N1946" s="35">
        <f>IFERROR(IF(I1946="RM-FOOD",(E1946*J1946)/M1946,1),0)</f>
        <v>1</v>
      </c>
      <c r="O1946" s="1" t="str">
        <f>VLOOKUP(H1946,'RM Used'!A:E,5,0)</f>
        <v>Count</v>
      </c>
      <c r="P1946" s="11">
        <f>VLOOKUP(H1946,'RM Used'!A:F,6,0)</f>
        <v>0.28000000000000003</v>
      </c>
      <c r="Q1946" s="11">
        <f t="shared" si="783"/>
        <v>0.28000000000000003</v>
      </c>
      <c r="R1946" s="11">
        <f>IFERROR(IF(B1946="Reynolds",VLOOKUP(H1946,'Yield &amp; Time'!A:U,21,0),VLOOKUP(H1946,'Yield &amp; Time'!A:L,12,0)),0)</f>
        <v>0</v>
      </c>
      <c r="S1946" s="11">
        <f t="shared" si="769"/>
        <v>0</v>
      </c>
      <c r="T1946" s="11">
        <f t="shared" si="770"/>
        <v>0</v>
      </c>
      <c r="U1946" s="11">
        <f>IF(A1945=A1946,0,VLOOKUP(A1946,'Packing Time'!A:F,6,0))</f>
        <v>0</v>
      </c>
      <c r="V1946" s="11">
        <f>U1946*AO$1</f>
        <v>0</v>
      </c>
      <c r="W1946" s="11">
        <f>(U1946*Z1946)/60</f>
        <v>0</v>
      </c>
      <c r="X1946" s="11">
        <f t="shared" si="773"/>
        <v>0</v>
      </c>
      <c r="Y1946" s="11">
        <f>X1946*Z1946</f>
        <v>0</v>
      </c>
      <c r="Z1946" s="37">
        <v>1</v>
      </c>
      <c r="AA1946" s="36">
        <f t="shared" si="775"/>
        <v>1</v>
      </c>
      <c r="AB1946" s="36">
        <f t="shared" si="776"/>
        <v>0.28000000000000003</v>
      </c>
      <c r="AC1946" s="11">
        <f t="shared" si="777"/>
        <v>0</v>
      </c>
      <c r="AD1946" s="36">
        <f>AC1946*60*AO$1</f>
        <v>0</v>
      </c>
      <c r="AE1946" s="36"/>
      <c r="AF1946" s="36">
        <f>IFERROR(VLOOKUP(AE1946,'Chemical Cost'!A:D,4,0),0)</f>
        <v>0</v>
      </c>
      <c r="AG1946" s="114">
        <f t="shared" si="779"/>
        <v>0</v>
      </c>
      <c r="AH1946" s="36">
        <f t="shared" si="788"/>
        <v>0</v>
      </c>
      <c r="AI1946" s="36">
        <f>IFERROR((Q1946*Z1946)+(Z1946*X1946)+AH1946,0)</f>
        <v>0.28000000000000003</v>
      </c>
      <c r="AJ1946" s="36">
        <f>IFERROR(VLOOKUP(A1946,'All Products'!A:F,6,0),0)</f>
        <v>0</v>
      </c>
      <c r="AK1946" s="36"/>
      <c r="AL1946" s="23">
        <v>1</v>
      </c>
      <c r="AM1946" s="23"/>
      <c r="AN1946" s="54" t="e">
        <v>#N/A</v>
      </c>
      <c r="AO1946" s="47"/>
      <c r="AP1946" s="4">
        <v>1.6</v>
      </c>
      <c r="AQ1946" s="111">
        <f t="shared" si="782"/>
        <v>0</v>
      </c>
      <c r="AR1946">
        <f>_xlfn.XLOOKUP(F1946,'RM Cost'!A:A,'RM Cost'!S:S)</f>
        <v>0</v>
      </c>
      <c r="AS1946" t="str">
        <f>_xlfn.XLOOKUP(A1946,[3]Sheet1!$B:$B,[3]Sheet1!$B:$B)</f>
        <v>680CCS</v>
      </c>
      <c r="AT1946" t="e">
        <f>_xlfn.XLOOKUP(H1946,'Yield &amp; Time'!A:A,'Yield &amp; Time'!F:F)</f>
        <v>#N/A</v>
      </c>
    </row>
    <row r="1947" spans="1:46" x14ac:dyDescent="0.25">
      <c r="A1947" s="1" t="s">
        <v>4864</v>
      </c>
      <c r="B1947" s="2" t="s">
        <v>552</v>
      </c>
      <c r="C1947" s="2" t="s">
        <v>1763</v>
      </c>
      <c r="D1947" s="2" t="s">
        <v>554</v>
      </c>
      <c r="E1947" s="2">
        <v>2.5</v>
      </c>
      <c r="F1947" s="1" t="str">
        <f>VLOOKUP(H1947,'RM Used'!A:B,2,0)</f>
        <v>1318CS</v>
      </c>
      <c r="G1947" s="1" t="str">
        <f>IFERROR(VLOOKUP(F1947,'RM Cost'!A:B,2,0),"")</f>
        <v>RM - PREP ONION RED WHOLE 2.5KG</v>
      </c>
      <c r="H1947" s="2" t="s">
        <v>4540</v>
      </c>
      <c r="I1947" s="1" t="str">
        <f>VLOOKUP(F1947,'RM Used'!B:D,3,0)</f>
        <v>RM-FOOD</v>
      </c>
      <c r="J1947" s="66">
        <v>1</v>
      </c>
      <c r="K1947" s="35">
        <f t="shared" ref="K1947:K1960" si="790">IF(I1947="RM-FOOD",J1947*E1947,"")</f>
        <v>2.5</v>
      </c>
      <c r="L1947" s="35">
        <f t="shared" si="766"/>
        <v>2.5</v>
      </c>
      <c r="M1947" s="77" cm="1">
        <f t="array" ref="M1947">_xlfn.IFS(BOM!I1947="RM-PACKING","100%",B1947="Reynolds",VLOOKUP(H1947,'Yield &amp; Time'!A:V,22,0),BOM!B1947="Dnata",VLOOKUP(BOM!H1947,'Yield &amp; Time'!A:M,13,0),B1947="NK",VLOOKUP(H1947,'Yield &amp; Time'!A:X,24,0))</f>
        <v>1</v>
      </c>
      <c r="N1947" s="35">
        <f t="shared" ref="N1947:N1960" si="791">IFERROR(IF(I1947="RM-FOOD",(E1947*J1947)/M1947,1),0)</f>
        <v>2.5</v>
      </c>
      <c r="O1947" s="1" t="str">
        <f>VLOOKUP(H1947,'RM Used'!A:E,5,0)</f>
        <v>KG</v>
      </c>
      <c r="P1947" s="11">
        <f>VLOOKUP(H1947,'RM Used'!A:F,6,0)</f>
        <v>1.08</v>
      </c>
      <c r="Q1947" s="11">
        <f t="shared" si="783"/>
        <v>2.7</v>
      </c>
      <c r="R1947" s="11">
        <f>IFERROR(IF(B1947="Reynolds",VLOOKUP(H1947,'Yield &amp; Time'!A:U,21,0),VLOOKUP(H1947,'Yield &amp; Time'!A:L,12,0)),0)</f>
        <v>0.5</v>
      </c>
      <c r="S1947" s="11">
        <f t="shared" si="769"/>
        <v>0.42312499999999997</v>
      </c>
      <c r="T1947" s="11">
        <f t="shared" si="770"/>
        <v>2.0833333333333332E-2</v>
      </c>
      <c r="U1947" s="11">
        <f>IF(A1946=A1947,0,VLOOKUP(A1947,'Packing Time'!A:F,6,0))</f>
        <v>0.875</v>
      </c>
      <c r="V1947" s="11">
        <f t="shared" ref="V1947:V1960" si="792">U1947*AO$1</f>
        <v>0.29618749999999999</v>
      </c>
      <c r="W1947" s="11">
        <f t="shared" ref="W1947:W1960" si="793">(U1947*Z1947)/60</f>
        <v>1.4583333333333334E-2</v>
      </c>
      <c r="X1947" s="11">
        <f t="shared" si="773"/>
        <v>1.1508999999999998</v>
      </c>
      <c r="Y1947" s="11">
        <f t="shared" ref="Y1947:Y1960" si="794">X1947*Z1947</f>
        <v>1.1508999999999998</v>
      </c>
      <c r="Z1947" s="37">
        <v>1</v>
      </c>
      <c r="AA1947" s="36">
        <f t="shared" si="775"/>
        <v>2.5</v>
      </c>
      <c r="AB1947" s="11">
        <f t="shared" si="776"/>
        <v>2.7</v>
      </c>
      <c r="AC1947" s="11">
        <f t="shared" si="777"/>
        <v>5.6666666666666671E-2</v>
      </c>
      <c r="AD1947" s="36">
        <f t="shared" ref="AD1947:AD1960" si="795">AC1947*60*AO$1</f>
        <v>1.1509</v>
      </c>
      <c r="AE1947" s="36">
        <f>VLOOKUP(H1947,'Yield &amp; Time'!A:I,9,0)</f>
        <v>0</v>
      </c>
      <c r="AF1947" s="36">
        <f>IFERROR(VLOOKUP(AE1947,'Chemical Cost'!A:D,4,0),0)</f>
        <v>0</v>
      </c>
      <c r="AG1947" s="114">
        <f t="shared" si="779"/>
        <v>0</v>
      </c>
      <c r="AH1947" s="36">
        <f t="shared" si="788"/>
        <v>0</v>
      </c>
      <c r="AI1947" s="36">
        <f t="shared" ref="AI1947:AI1960" si="796">IFERROR((Q1947*Z1947)+(Z1947*X1947)+AH1947,0)</f>
        <v>3.8509000000000002</v>
      </c>
      <c r="AJ1947" s="36">
        <f>IFERROR(VLOOKUP(A1947,'All Products'!A:F,6,0),0)</f>
        <v>0</v>
      </c>
      <c r="AK1947" s="36"/>
      <c r="AL1947" s="23">
        <v>1</v>
      </c>
      <c r="AM1947" s="1"/>
      <c r="AN1947" s="54" t="e">
        <v>#N/A</v>
      </c>
      <c r="AP1947" s="4">
        <v>1.6</v>
      </c>
      <c r="AQ1947" s="111">
        <f t="shared" si="782"/>
        <v>5.6666666666666671E-2</v>
      </c>
      <c r="AR1947">
        <f>_xlfn.XLOOKUP(F1947,'RM Cost'!A:A,'RM Cost'!S:S)</f>
        <v>0</v>
      </c>
      <c r="AS1947" t="str">
        <f>_xlfn.XLOOKUP(A1947,[3]Sheet1!$B:$B,[3]Sheet1!$B:$B)</f>
        <v>681CCS</v>
      </c>
      <c r="AT1947">
        <f>_xlfn.XLOOKUP(H1947,'Yield &amp; Time'!A:A,'Yield &amp; Time'!F:F)</f>
        <v>0</v>
      </c>
    </row>
    <row r="1948" spans="1:46" x14ac:dyDescent="0.25">
      <c r="A1948" s="1" t="s">
        <v>4864</v>
      </c>
      <c r="B1948" s="2" t="s">
        <v>552</v>
      </c>
      <c r="C1948" s="2" t="s">
        <v>1763</v>
      </c>
      <c r="D1948" s="2" t="s">
        <v>554</v>
      </c>
      <c r="E1948" s="2">
        <v>2.5</v>
      </c>
      <c r="F1948" s="1" t="str">
        <f>VLOOKUP(H1948,'RM Used'!A:B,2,0)</f>
        <v>P0008</v>
      </c>
      <c r="G1948" s="1" t="str">
        <f>IFERROR(VLOOKUP(F1948,'RM Cost'!A:B,2,0),"")</f>
        <v>PALE BLUE BAG 470X750MM</v>
      </c>
      <c r="H1948" s="2" t="s">
        <v>1323</v>
      </c>
      <c r="I1948" s="1" t="str">
        <f>VLOOKUP(F1948,'RM Used'!B:D,3,0)</f>
        <v>RM-PACKING</v>
      </c>
      <c r="J1948" s="66">
        <v>1</v>
      </c>
      <c r="K1948" s="35" t="str">
        <f t="shared" si="790"/>
        <v/>
      </c>
      <c r="L1948" s="35">
        <f t="shared" si="766"/>
        <v>0</v>
      </c>
      <c r="M1948" s="77" t="str" cm="1">
        <f t="array" ref="M1948">_xlfn.IFS(BOM!I1948="RM-PACKING","100%",B1948="Reynolds",VLOOKUP(H1948,'Yield &amp; Time'!A:V,22,0),BOM!B1948="Dnata",VLOOKUP(BOM!H1948,'Yield &amp; Time'!A:M,13,0),B1948="NK",VLOOKUP(H1948,'Yield &amp; Time'!A:X,24,0))</f>
        <v>100%</v>
      </c>
      <c r="N1948" s="35">
        <f t="shared" si="791"/>
        <v>1</v>
      </c>
      <c r="O1948" s="1" t="str">
        <f>VLOOKUP(H1948,'RM Used'!A:E,5,0)</f>
        <v>Count</v>
      </c>
      <c r="P1948" s="11">
        <f>VLOOKUP(H1948,'RM Used'!A:F,6,0)</f>
        <v>0.14000000000000001</v>
      </c>
      <c r="Q1948" s="11">
        <f t="shared" si="783"/>
        <v>0.14000000000000001</v>
      </c>
      <c r="R1948" s="11">
        <f>IFERROR(IF(B1948="Reynolds",VLOOKUP(H1948,'Yield &amp; Time'!A:U,21,0),VLOOKUP(H1948,'Yield &amp; Time'!A:L,12,0)),0)</f>
        <v>0</v>
      </c>
      <c r="S1948" s="11">
        <f t="shared" si="769"/>
        <v>0</v>
      </c>
      <c r="T1948" s="11">
        <f t="shared" si="770"/>
        <v>0</v>
      </c>
      <c r="U1948" s="11">
        <f>IF(A1947=A1948,0,VLOOKUP(A1948,'Packing Time'!A:F,6,0))</f>
        <v>0</v>
      </c>
      <c r="V1948" s="11">
        <f t="shared" si="792"/>
        <v>0</v>
      </c>
      <c r="W1948" s="11">
        <f t="shared" si="793"/>
        <v>0</v>
      </c>
      <c r="X1948" s="11">
        <f t="shared" si="773"/>
        <v>0</v>
      </c>
      <c r="Y1948" s="11">
        <f t="shared" si="794"/>
        <v>0</v>
      </c>
      <c r="Z1948" s="37">
        <v>1</v>
      </c>
      <c r="AA1948" s="36">
        <f t="shared" si="775"/>
        <v>1</v>
      </c>
      <c r="AB1948" s="11">
        <f t="shared" si="776"/>
        <v>0.14000000000000001</v>
      </c>
      <c r="AC1948" s="11">
        <f t="shared" si="777"/>
        <v>0</v>
      </c>
      <c r="AD1948" s="36">
        <f t="shared" si="795"/>
        <v>0</v>
      </c>
      <c r="AE1948" s="36"/>
      <c r="AF1948" s="36">
        <f>IFERROR(VLOOKUP(AE1948,'Chemical Cost'!A:D,4,0),0)</f>
        <v>0</v>
      </c>
      <c r="AG1948" s="114">
        <f t="shared" si="779"/>
        <v>0</v>
      </c>
      <c r="AH1948" s="36">
        <f t="shared" si="788"/>
        <v>0</v>
      </c>
      <c r="AI1948" s="36">
        <f t="shared" si="796"/>
        <v>0.14000000000000001</v>
      </c>
      <c r="AJ1948" s="36">
        <f>IFERROR(VLOOKUP(A1948,'All Products'!A:F,6,0),0)</f>
        <v>0</v>
      </c>
      <c r="AK1948" s="36"/>
      <c r="AL1948" s="23">
        <v>1</v>
      </c>
      <c r="AM1948" s="1"/>
      <c r="AN1948" s="54" t="e">
        <v>#N/A</v>
      </c>
      <c r="AP1948" s="4">
        <v>1.6</v>
      </c>
      <c r="AQ1948" s="111">
        <f t="shared" si="782"/>
        <v>0</v>
      </c>
      <c r="AR1948">
        <f>_xlfn.XLOOKUP(F1948,'RM Cost'!A:A,'RM Cost'!S:S)</f>
        <v>0</v>
      </c>
      <c r="AS1948" t="str">
        <f>_xlfn.XLOOKUP(A1948,[3]Sheet1!$B:$B,[3]Sheet1!$B:$B)</f>
        <v>681CCS</v>
      </c>
      <c r="AT1948" t="e">
        <f>_xlfn.XLOOKUP(H1948,'Yield &amp; Time'!A:A,'Yield &amp; Time'!F:F)</f>
        <v>#N/A</v>
      </c>
    </row>
    <row r="1949" spans="1:46" x14ac:dyDescent="0.25">
      <c r="A1949" s="1" t="s">
        <v>4864</v>
      </c>
      <c r="B1949" s="2" t="s">
        <v>552</v>
      </c>
      <c r="C1949" s="2" t="s">
        <v>1763</v>
      </c>
      <c r="D1949" s="2" t="s">
        <v>554</v>
      </c>
      <c r="E1949" s="2">
        <v>2.5</v>
      </c>
      <c r="F1949" s="1" t="str">
        <f>VLOOKUP(H1949,'RM Used'!A:B,2,0)</f>
        <v>P0016</v>
      </c>
      <c r="G1949" s="1" t="str">
        <f>IFERROR(VLOOKUP(F1949,'RM Cost'!A:B,2,0),"")</f>
        <v>REY 40 30 BOX</v>
      </c>
      <c r="H1949" s="1" t="s">
        <v>1332</v>
      </c>
      <c r="I1949" s="1" t="str">
        <f>VLOOKUP(F1949,'RM Used'!B:D,3,0)</f>
        <v>RM-PACKING</v>
      </c>
      <c r="J1949" s="66">
        <v>1</v>
      </c>
      <c r="K1949" s="35" t="str">
        <f t="shared" si="790"/>
        <v/>
      </c>
      <c r="L1949" s="35">
        <f t="shared" si="766"/>
        <v>0</v>
      </c>
      <c r="M1949" s="77" t="str" cm="1">
        <f t="array" ref="M1949">_xlfn.IFS(BOM!I1949="RM-PACKING","100%",B1949="Reynolds",VLOOKUP(H1949,'Yield &amp; Time'!A:V,22,0),BOM!B1949="Dnata",VLOOKUP(BOM!H1949,'Yield &amp; Time'!A:M,13,0),B1949="NK",VLOOKUP(H1949,'Yield &amp; Time'!A:X,24,0))</f>
        <v>100%</v>
      </c>
      <c r="N1949" s="35">
        <f t="shared" si="791"/>
        <v>1</v>
      </c>
      <c r="O1949" s="1" t="str">
        <f>VLOOKUP(H1949,'RM Used'!A:E,5,0)</f>
        <v>Count</v>
      </c>
      <c r="P1949" s="11">
        <f>VLOOKUP(H1949,'RM Used'!A:F,6,0)</f>
        <v>0.28000000000000003</v>
      </c>
      <c r="Q1949" s="11">
        <f t="shared" si="783"/>
        <v>0.28000000000000003</v>
      </c>
      <c r="R1949" s="11">
        <f>IFERROR(IF(B1949="Reynolds",VLOOKUP(H1949,'Yield &amp; Time'!A:U,21,0),VLOOKUP(H1949,'Yield &amp; Time'!A:L,12,0)),0)</f>
        <v>0</v>
      </c>
      <c r="S1949" s="11">
        <f t="shared" si="769"/>
        <v>0</v>
      </c>
      <c r="T1949" s="11">
        <f t="shared" si="770"/>
        <v>0</v>
      </c>
      <c r="U1949" s="11">
        <f>IF(A1948=A1949,0,VLOOKUP(A1949,'Packing Time'!A:F,6,0))</f>
        <v>0</v>
      </c>
      <c r="V1949" s="11">
        <f t="shared" si="792"/>
        <v>0</v>
      </c>
      <c r="W1949" s="11">
        <f t="shared" si="793"/>
        <v>0</v>
      </c>
      <c r="X1949" s="11">
        <f t="shared" si="773"/>
        <v>0</v>
      </c>
      <c r="Y1949" s="11">
        <f t="shared" si="794"/>
        <v>0</v>
      </c>
      <c r="Z1949" s="37">
        <v>1</v>
      </c>
      <c r="AA1949" s="36">
        <f t="shared" si="775"/>
        <v>1</v>
      </c>
      <c r="AB1949" s="11">
        <f t="shared" si="776"/>
        <v>0.28000000000000003</v>
      </c>
      <c r="AC1949" s="11">
        <f t="shared" si="777"/>
        <v>0</v>
      </c>
      <c r="AD1949" s="36">
        <f t="shared" si="795"/>
        <v>0</v>
      </c>
      <c r="AE1949" s="36"/>
      <c r="AF1949" s="36">
        <f>IFERROR(VLOOKUP(AE1949,'Chemical Cost'!A:D,4,0),0)</f>
        <v>0</v>
      </c>
      <c r="AG1949" s="114">
        <f t="shared" si="779"/>
        <v>0</v>
      </c>
      <c r="AH1949" s="36">
        <f t="shared" si="788"/>
        <v>0</v>
      </c>
      <c r="AI1949" s="36">
        <f t="shared" si="796"/>
        <v>0.28000000000000003</v>
      </c>
      <c r="AJ1949" s="36">
        <f>IFERROR(VLOOKUP(A1949,'All Products'!A:F,6,0),0)</f>
        <v>0</v>
      </c>
      <c r="AK1949" s="36"/>
      <c r="AL1949" s="23">
        <v>1</v>
      </c>
      <c r="AM1949" s="1"/>
      <c r="AN1949" s="54" t="e">
        <v>#N/A</v>
      </c>
      <c r="AP1949" s="4">
        <v>1.6</v>
      </c>
      <c r="AQ1949" s="111">
        <f t="shared" si="782"/>
        <v>0</v>
      </c>
      <c r="AR1949">
        <f>_xlfn.XLOOKUP(F1949,'RM Cost'!A:A,'RM Cost'!S:S)</f>
        <v>0</v>
      </c>
      <c r="AS1949" t="str">
        <f>_xlfn.XLOOKUP(A1949,[3]Sheet1!$B:$B,[3]Sheet1!$B:$B)</f>
        <v>681CCS</v>
      </c>
      <c r="AT1949" t="e">
        <f>_xlfn.XLOOKUP(H1949,'Yield &amp; Time'!A:A,'Yield &amp; Time'!F:F)</f>
        <v>#N/A</v>
      </c>
    </row>
    <row r="1950" spans="1:46" x14ac:dyDescent="0.25">
      <c r="A1950" s="1" t="s">
        <v>4860</v>
      </c>
      <c r="B1950" s="2" t="s">
        <v>552</v>
      </c>
      <c r="C1950" s="2" t="s">
        <v>581</v>
      </c>
      <c r="D1950" s="2" t="s">
        <v>554</v>
      </c>
      <c r="E1950" s="2">
        <v>2.5</v>
      </c>
      <c r="F1950" s="1" t="str">
        <f>VLOOKUP(H1950,'RM Used'!A:B,2,0)</f>
        <v>3242CS</v>
      </c>
      <c r="G1950" s="1" t="str">
        <f>IFERROR(VLOOKUP(F1950,'RM Cost'!A:B,2,0),"")</f>
        <v>RM - SWEET POTATOES ORANGE FLESH 6K</v>
      </c>
      <c r="H1950" s="2" t="s">
        <v>1448</v>
      </c>
      <c r="I1950" s="1" t="str">
        <f>VLOOKUP(F1950,'RM Used'!B:D,3,0)</f>
        <v>RM-FOOD</v>
      </c>
      <c r="J1950" s="66">
        <v>1</v>
      </c>
      <c r="K1950" s="35">
        <f t="shared" si="790"/>
        <v>2.5</v>
      </c>
      <c r="L1950" s="35">
        <f t="shared" si="766"/>
        <v>2.5</v>
      </c>
      <c r="M1950" s="77" cm="1">
        <f t="array" ref="M1950">_xlfn.IFS(BOM!I1950="RM-PACKING","100%",B1950="Reynolds",VLOOKUP(H1950,'Yield &amp; Time'!A:V,22,0),BOM!B1950="Dnata",VLOOKUP(BOM!H1950,'Yield &amp; Time'!A:M,13,0),B1950="NK",VLOOKUP(H1950,'Yield &amp; Time'!A:X,24,0))</f>
        <v>0.81530446803991419</v>
      </c>
      <c r="N1950" s="35">
        <f t="shared" si="791"/>
        <v>3.0663391383225065</v>
      </c>
      <c r="O1950" s="1" t="str">
        <f>VLOOKUP(H1950,'RM Used'!A:E,5,0)</f>
        <v>KG</v>
      </c>
      <c r="P1950" s="11">
        <f>VLOOKUP(H1950,'RM Used'!A:F,6,0)</f>
        <v>0.88</v>
      </c>
      <c r="Q1950" s="11">
        <f t="shared" si="783"/>
        <v>2.6983784417238059</v>
      </c>
      <c r="R1950" s="11">
        <f>IFERROR(IF(B1950="Reynolds",VLOOKUP(H1950,'Yield &amp; Time'!A:U,21,0),VLOOKUP(H1950,'Yield &amp; Time'!A:L,12,0)),0)</f>
        <v>1.3025073571805521</v>
      </c>
      <c r="S1950" s="11">
        <f t="shared" si="769"/>
        <v>1.1022468510140422</v>
      </c>
      <c r="T1950" s="11">
        <f t="shared" si="770"/>
        <v>5.4271139882523002E-2</v>
      </c>
      <c r="U1950" s="11">
        <f>IF(A1949=A1950,0,VLOOKUP(A1950,'Packing Time'!A:F,6,0))</f>
        <v>0.875</v>
      </c>
      <c r="V1950" s="11">
        <f t="shared" si="792"/>
        <v>0.29618749999999999</v>
      </c>
      <c r="W1950" s="11">
        <f t="shared" si="793"/>
        <v>1.4583333333333334E-2</v>
      </c>
      <c r="X1950" s="11">
        <f t="shared" si="773"/>
        <v>1.5382777861154464</v>
      </c>
      <c r="Y1950" s="11">
        <f t="shared" si="794"/>
        <v>1.5382777861154464</v>
      </c>
      <c r="Z1950" s="37">
        <v>1</v>
      </c>
      <c r="AA1950" s="36">
        <f t="shared" si="775"/>
        <v>3.0663391383225065</v>
      </c>
      <c r="AB1950" s="36">
        <f t="shared" si="776"/>
        <v>2.6983784417238059</v>
      </c>
      <c r="AC1950" s="11">
        <f t="shared" si="777"/>
        <v>7.5739920537441968E-2</v>
      </c>
      <c r="AD1950" s="36">
        <f t="shared" si="795"/>
        <v>1.5382777861154462</v>
      </c>
      <c r="AE1950" s="36"/>
      <c r="AF1950" s="36">
        <f>IFERROR(VLOOKUP(AE1950,'Chemical Cost'!A:D,4,0),0)</f>
        <v>0</v>
      </c>
      <c r="AG1950" s="114">
        <f t="shared" si="779"/>
        <v>0</v>
      </c>
      <c r="AH1950" s="36">
        <f t="shared" si="788"/>
        <v>0</v>
      </c>
      <c r="AI1950" s="36">
        <f t="shared" si="796"/>
        <v>4.2366562278392523</v>
      </c>
      <c r="AJ1950" s="36">
        <f>IFERROR(VLOOKUP(A1950,'All Products'!A:F,6,0),0)</f>
        <v>0</v>
      </c>
      <c r="AK1950" s="36">
        <f>AJ1950*Z1950*J1950</f>
        <v>0</v>
      </c>
      <c r="AL1950" s="23">
        <v>1</v>
      </c>
      <c r="AM1950" s="23"/>
      <c r="AN1950" s="54" t="e">
        <v>#N/A</v>
      </c>
      <c r="AO1950" s="47"/>
      <c r="AP1950" s="4">
        <v>1.1000000000000001</v>
      </c>
      <c r="AQ1950" s="111">
        <f t="shared" si="782"/>
        <v>7.5739920537441968E-2</v>
      </c>
      <c r="AR1950">
        <f>_xlfn.XLOOKUP(F1950,'RM Cost'!A:A,'RM Cost'!S:S)</f>
        <v>0</v>
      </c>
      <c r="AS1950" t="str">
        <f>_xlfn.XLOOKUP(A1950,[3]Sheet1!$B:$B,[3]Sheet1!$B:$B)</f>
        <v>682CCS</v>
      </c>
      <c r="AT1950">
        <f>_xlfn.XLOOKUP(H1950,'Yield &amp; Time'!A:A,'Yield &amp; Time'!F:F)</f>
        <v>0</v>
      </c>
    </row>
    <row r="1951" spans="1:46" x14ac:dyDescent="0.25">
      <c r="A1951" s="1" t="s">
        <v>4860</v>
      </c>
      <c r="B1951" s="2" t="s">
        <v>552</v>
      </c>
      <c r="C1951" s="2" t="s">
        <v>581</v>
      </c>
      <c r="D1951" s="2" t="s">
        <v>554</v>
      </c>
      <c r="E1951" s="2">
        <v>2.5</v>
      </c>
      <c r="F1951" s="1" t="str">
        <f>VLOOKUP(H1951,'RM Used'!A:B,2,0)</f>
        <v>P0020</v>
      </c>
      <c r="G1951" s="1" t="str">
        <f>IFERROR(VLOOKUP(F1951,'RM Cost'!A:B,2,0),"")</f>
        <v>PALE BLUE BAG 430X430MM</v>
      </c>
      <c r="H1951" s="2" t="s">
        <v>1659</v>
      </c>
      <c r="I1951" s="1" t="str">
        <f>VLOOKUP(F1951,'RM Used'!B:D,3,0)</f>
        <v>RM-PACKING</v>
      </c>
      <c r="J1951" s="66">
        <v>1</v>
      </c>
      <c r="K1951" s="35" t="str">
        <f t="shared" si="790"/>
        <v/>
      </c>
      <c r="L1951" s="35">
        <f t="shared" si="766"/>
        <v>0</v>
      </c>
      <c r="M1951" s="77" t="str" cm="1">
        <f t="array" ref="M1951">_xlfn.IFS(BOM!I1951="RM-PACKING","100%",B1951="Reynolds",VLOOKUP(H1951,'Yield &amp; Time'!A:V,22,0),BOM!B1951="Dnata",VLOOKUP(BOM!H1951,'Yield &amp; Time'!A:M,13,0),B1951="NK",VLOOKUP(H1951,'Yield &amp; Time'!A:X,24,0))</f>
        <v>100%</v>
      </c>
      <c r="N1951" s="35">
        <f t="shared" si="791"/>
        <v>1</v>
      </c>
      <c r="O1951" s="1" t="str">
        <f>VLOOKUP(H1951,'RM Used'!A:E,5,0)</f>
        <v>Count</v>
      </c>
      <c r="P1951" s="11">
        <f>VLOOKUP(H1951,'RM Used'!A:F,6,0)</f>
        <v>0.09</v>
      </c>
      <c r="Q1951" s="11">
        <f t="shared" si="783"/>
        <v>0.09</v>
      </c>
      <c r="R1951" s="11">
        <f>IFERROR(IF(B1951="Reynolds",VLOOKUP(H1951,'Yield &amp; Time'!A:U,21,0),VLOOKUP(H1951,'Yield &amp; Time'!A:L,12,0)),0)</f>
        <v>0</v>
      </c>
      <c r="S1951" s="11">
        <f t="shared" si="769"/>
        <v>0</v>
      </c>
      <c r="T1951" s="11">
        <f t="shared" si="770"/>
        <v>0</v>
      </c>
      <c r="U1951" s="11">
        <f>IF(A1950=A1951,0,VLOOKUP(A1951,'Packing Time'!A:F,6,0))</f>
        <v>0</v>
      </c>
      <c r="V1951" s="11">
        <f t="shared" si="792"/>
        <v>0</v>
      </c>
      <c r="W1951" s="11">
        <f t="shared" si="793"/>
        <v>0</v>
      </c>
      <c r="X1951" s="11">
        <f t="shared" si="773"/>
        <v>0</v>
      </c>
      <c r="Y1951" s="11">
        <f t="shared" si="794"/>
        <v>0</v>
      </c>
      <c r="Z1951" s="37">
        <v>1</v>
      </c>
      <c r="AA1951" s="36">
        <f t="shared" si="775"/>
        <v>1</v>
      </c>
      <c r="AB1951" s="36">
        <f t="shared" si="776"/>
        <v>0.09</v>
      </c>
      <c r="AC1951" s="11">
        <f t="shared" si="777"/>
        <v>0</v>
      </c>
      <c r="AD1951" s="36">
        <f t="shared" si="795"/>
        <v>0</v>
      </c>
      <c r="AE1951" s="36"/>
      <c r="AF1951" s="36">
        <f>IFERROR(VLOOKUP(AE1951,'Chemical Cost'!A:D,4,0),0)</f>
        <v>0</v>
      </c>
      <c r="AG1951" s="114">
        <f t="shared" si="779"/>
        <v>0</v>
      </c>
      <c r="AH1951" s="36">
        <f t="shared" si="788"/>
        <v>0</v>
      </c>
      <c r="AI1951" s="36">
        <f t="shared" si="796"/>
        <v>0.09</v>
      </c>
      <c r="AJ1951" s="36">
        <f>IFERROR(VLOOKUP(A1951,'All Products'!A:F,6,0),0)</f>
        <v>0</v>
      </c>
      <c r="AK1951" s="36"/>
      <c r="AL1951" s="23">
        <v>1</v>
      </c>
      <c r="AM1951" s="23"/>
      <c r="AN1951" s="54" t="e">
        <v>#N/A</v>
      </c>
      <c r="AO1951" s="47"/>
      <c r="AP1951" s="4">
        <v>1.1000000000000001</v>
      </c>
      <c r="AQ1951" s="111">
        <f t="shared" si="782"/>
        <v>0</v>
      </c>
      <c r="AR1951">
        <f>_xlfn.XLOOKUP(F1951,'RM Cost'!A:A,'RM Cost'!S:S)</f>
        <v>0</v>
      </c>
      <c r="AS1951" t="str">
        <f>_xlfn.XLOOKUP(A1951,[3]Sheet1!$B:$B,[3]Sheet1!$B:$B)</f>
        <v>682CCS</v>
      </c>
      <c r="AT1951" t="e">
        <f>_xlfn.XLOOKUP(H1951,'Yield &amp; Time'!A:A,'Yield &amp; Time'!F:F)</f>
        <v>#N/A</v>
      </c>
    </row>
    <row r="1952" spans="1:46" x14ac:dyDescent="0.25">
      <c r="A1952" s="1" t="s">
        <v>4860</v>
      </c>
      <c r="B1952" s="2" t="s">
        <v>552</v>
      </c>
      <c r="C1952" s="2" t="s">
        <v>581</v>
      </c>
      <c r="D1952" s="2" t="s">
        <v>554</v>
      </c>
      <c r="E1952" s="2">
        <v>2.5</v>
      </c>
      <c r="F1952" s="1" t="str">
        <f>VLOOKUP(H1952,'RM Used'!A:B,2,0)</f>
        <v>P0016</v>
      </c>
      <c r="G1952" s="1" t="str">
        <f>IFERROR(VLOOKUP(F1952,'RM Cost'!A:B,2,0),"")</f>
        <v>REY 40 30 BOX</v>
      </c>
      <c r="H1952" s="2" t="s">
        <v>1332</v>
      </c>
      <c r="I1952" s="1" t="str">
        <f>VLOOKUP(F1952,'RM Used'!B:D,3,0)</f>
        <v>RM-PACKING</v>
      </c>
      <c r="J1952" s="66">
        <v>1</v>
      </c>
      <c r="K1952" s="35" t="str">
        <f t="shared" si="790"/>
        <v/>
      </c>
      <c r="L1952" s="35">
        <f t="shared" si="766"/>
        <v>0</v>
      </c>
      <c r="M1952" s="77" t="str" cm="1">
        <f t="array" ref="M1952">_xlfn.IFS(BOM!I1952="RM-PACKING","100%",B1952="Reynolds",VLOOKUP(H1952,'Yield &amp; Time'!A:V,22,0),BOM!B1952="Dnata",VLOOKUP(BOM!H1952,'Yield &amp; Time'!A:M,13,0),B1952="NK",VLOOKUP(H1952,'Yield &amp; Time'!A:X,24,0))</f>
        <v>100%</v>
      </c>
      <c r="N1952" s="35">
        <f t="shared" si="791"/>
        <v>1</v>
      </c>
      <c r="O1952" s="1" t="str">
        <f>VLOOKUP(H1952,'RM Used'!A:E,5,0)</f>
        <v>Count</v>
      </c>
      <c r="P1952" s="11">
        <f>VLOOKUP(H1952,'RM Used'!A:F,6,0)</f>
        <v>0.28000000000000003</v>
      </c>
      <c r="Q1952" s="11">
        <f t="shared" si="783"/>
        <v>0.28000000000000003</v>
      </c>
      <c r="R1952" s="11">
        <f>IFERROR(IF(B1952="Reynolds",VLOOKUP(H1952,'Yield &amp; Time'!A:U,21,0),VLOOKUP(H1952,'Yield &amp; Time'!A:L,12,0)),0)</f>
        <v>0</v>
      </c>
      <c r="S1952" s="11">
        <f t="shared" si="769"/>
        <v>0</v>
      </c>
      <c r="T1952" s="11">
        <f t="shared" si="770"/>
        <v>0</v>
      </c>
      <c r="U1952" s="11">
        <f>IF(A1951=A1952,0,VLOOKUP(A1952,'Packing Time'!A:F,6,0))</f>
        <v>0</v>
      </c>
      <c r="V1952" s="11">
        <f t="shared" si="792"/>
        <v>0</v>
      </c>
      <c r="W1952" s="11">
        <f t="shared" si="793"/>
        <v>0</v>
      </c>
      <c r="X1952" s="11">
        <f t="shared" si="773"/>
        <v>0</v>
      </c>
      <c r="Y1952" s="11">
        <f t="shared" si="794"/>
        <v>0</v>
      </c>
      <c r="Z1952" s="37">
        <v>1</v>
      </c>
      <c r="AA1952" s="36">
        <f t="shared" si="775"/>
        <v>1</v>
      </c>
      <c r="AB1952" s="36">
        <f t="shared" si="776"/>
        <v>0.28000000000000003</v>
      </c>
      <c r="AC1952" s="11">
        <f t="shared" si="777"/>
        <v>0</v>
      </c>
      <c r="AD1952" s="36">
        <f t="shared" si="795"/>
        <v>0</v>
      </c>
      <c r="AE1952" s="36"/>
      <c r="AF1952" s="36">
        <f>IFERROR(VLOOKUP(AE1952,'Chemical Cost'!A:D,4,0),0)</f>
        <v>0</v>
      </c>
      <c r="AG1952" s="114">
        <f t="shared" si="779"/>
        <v>0</v>
      </c>
      <c r="AH1952" s="36">
        <f t="shared" si="788"/>
        <v>0</v>
      </c>
      <c r="AI1952" s="36">
        <f t="shared" si="796"/>
        <v>0.28000000000000003</v>
      </c>
      <c r="AJ1952" s="36">
        <f>IFERROR(VLOOKUP(A1952,'All Products'!A:F,6,0),0)</f>
        <v>0</v>
      </c>
      <c r="AK1952" s="36"/>
      <c r="AL1952" s="23">
        <v>1</v>
      </c>
      <c r="AM1952" s="23"/>
      <c r="AN1952" s="54" t="e">
        <v>#N/A</v>
      </c>
      <c r="AO1952" s="47"/>
      <c r="AP1952" s="4">
        <v>1.1000000000000001</v>
      </c>
      <c r="AQ1952" s="111">
        <f t="shared" si="782"/>
        <v>0</v>
      </c>
      <c r="AR1952">
        <f>_xlfn.XLOOKUP(F1952,'RM Cost'!A:A,'RM Cost'!S:S)</f>
        <v>0</v>
      </c>
      <c r="AS1952" t="str">
        <f>_xlfn.XLOOKUP(A1952,[3]Sheet1!$B:$B,[3]Sheet1!$B:$B)</f>
        <v>682CCS</v>
      </c>
      <c r="AT1952" t="e">
        <f>_xlfn.XLOOKUP(H1952,'Yield &amp; Time'!A:A,'Yield &amp; Time'!F:F)</f>
        <v>#N/A</v>
      </c>
    </row>
    <row r="1953" spans="1:46" x14ac:dyDescent="0.25">
      <c r="A1953" s="15" t="s">
        <v>4861</v>
      </c>
      <c r="B1953" s="2" t="s">
        <v>552</v>
      </c>
      <c r="C1953" s="2" t="s">
        <v>582</v>
      </c>
      <c r="D1953" s="2" t="s">
        <v>554</v>
      </c>
      <c r="E1953" s="2">
        <v>1</v>
      </c>
      <c r="F1953" s="1" t="str">
        <f>VLOOKUP(H1953,'RM Used'!A:B,2,0)</f>
        <v>3566CS</v>
      </c>
      <c r="G1953" s="1" t="str">
        <f>IFERROR(VLOOKUP(F1953,'RM Cost'!A:B,2,0),"")</f>
        <v>PEPPERS RED X 5KG</v>
      </c>
      <c r="H1953" s="2" t="s">
        <v>1397</v>
      </c>
      <c r="I1953" s="1" t="str">
        <f>VLOOKUP(F1953,'RM Used'!B:D,3,0)</f>
        <v>RM-FOOD</v>
      </c>
      <c r="J1953" s="66">
        <v>6.6600000000000006E-2</v>
      </c>
      <c r="K1953" s="35">
        <f t="shared" si="790"/>
        <v>6.6600000000000006E-2</v>
      </c>
      <c r="L1953" s="35">
        <f t="shared" si="766"/>
        <v>6.6600000000000006E-2</v>
      </c>
      <c r="M1953" s="77" cm="1">
        <f t="array" ref="M1953">_xlfn.IFS(BOM!I1953="RM-PACKING","100%",B1953="Reynolds",VLOOKUP(H1953,'Yield &amp; Time'!A:V,22,0),BOM!B1953="Dnata",VLOOKUP(BOM!H1953,'Yield &amp; Time'!A:M,13,0),B1953="NK",VLOOKUP(H1953,'Yield &amp; Time'!A:X,24,0))</f>
        <v>0.45454545454545459</v>
      </c>
      <c r="N1953" s="35">
        <f t="shared" si="791"/>
        <v>0.14652000000000001</v>
      </c>
      <c r="O1953" s="1" t="str">
        <f>VLOOKUP(H1953,'RM Used'!A:E,5,0)</f>
        <v>KG</v>
      </c>
      <c r="P1953" s="11">
        <f>VLOOKUP(H1953,'RM Used'!A:F,6,0)</f>
        <v>1.72</v>
      </c>
      <c r="Q1953" s="11">
        <f t="shared" si="783"/>
        <v>0.25201440000000003</v>
      </c>
      <c r="R1953" s="11">
        <f>IFERROR(IF(B1953="Reynolds",VLOOKUP(H1953,'Yield &amp; Time'!A:U,21,0),VLOOKUP(H1953,'Yield &amp; Time'!A:L,12,0)),0)</f>
        <v>6.75</v>
      </c>
      <c r="S1953" s="11">
        <f t="shared" si="769"/>
        <v>0.15217267500000001</v>
      </c>
      <c r="T1953" s="11">
        <f t="shared" si="770"/>
        <v>7.4925000000000009E-3</v>
      </c>
      <c r="U1953" s="11">
        <f>IF(A1952=A1953,0,VLOOKUP(A1953,'Packing Time'!A:F,6,0))</f>
        <v>0.64500000000000002</v>
      </c>
      <c r="V1953" s="11">
        <f t="shared" si="792"/>
        <v>0.21833249999999998</v>
      </c>
      <c r="W1953" s="11">
        <f t="shared" si="793"/>
        <v>1.0750000000000001E-2</v>
      </c>
      <c r="X1953" s="11">
        <f t="shared" si="773"/>
        <v>0.40755569250000007</v>
      </c>
      <c r="Y1953" s="11">
        <f t="shared" si="794"/>
        <v>0.40755569250000007</v>
      </c>
      <c r="Z1953" s="37">
        <v>1</v>
      </c>
      <c r="AA1953" s="36">
        <f t="shared" si="775"/>
        <v>0.14652000000000001</v>
      </c>
      <c r="AB1953" s="36">
        <f t="shared" si="776"/>
        <v>0.25201440000000003</v>
      </c>
      <c r="AC1953" s="11">
        <f t="shared" si="777"/>
        <v>2.0066750000000005E-2</v>
      </c>
      <c r="AD1953" s="36">
        <f t="shared" si="795"/>
        <v>0.40755569250000001</v>
      </c>
      <c r="AE1953" s="36"/>
      <c r="AF1953" s="36">
        <f>IFERROR(VLOOKUP(AE1953,'Chemical Cost'!A:D,4,0),0)</f>
        <v>0</v>
      </c>
      <c r="AG1953" s="114">
        <f t="shared" si="779"/>
        <v>0</v>
      </c>
      <c r="AH1953" s="36">
        <f t="shared" si="788"/>
        <v>0</v>
      </c>
      <c r="AI1953" s="36">
        <f t="shared" si="796"/>
        <v>0.65957009250000009</v>
      </c>
      <c r="AJ1953" s="36">
        <f>IFERROR(VLOOKUP(A1953,'All Products'!A:F,6,0),0)</f>
        <v>0</v>
      </c>
      <c r="AK1953" s="36">
        <f t="shared" ref="AK1953:AK1959" si="797">AJ1953*Z1953*J1953</f>
        <v>0</v>
      </c>
      <c r="AL1953" s="23">
        <v>1</v>
      </c>
      <c r="AM1953" s="23"/>
      <c r="AN1953" s="54" t="e">
        <v>#N/A</v>
      </c>
      <c r="AO1953" s="47"/>
      <c r="AP1953" s="4">
        <v>1.1000000000000001</v>
      </c>
      <c r="AQ1953" s="111">
        <f t="shared" si="782"/>
        <v>2.0066750000000005E-2</v>
      </c>
      <c r="AR1953">
        <f>_xlfn.XLOOKUP(F1953,'RM Cost'!A:A,'RM Cost'!S:S)</f>
        <v>0</v>
      </c>
      <c r="AS1953" t="str">
        <f>_xlfn.XLOOKUP(A1953,[3]Sheet1!$B:$B,[3]Sheet1!$B:$B)</f>
        <v>683CCS</v>
      </c>
      <c r="AT1953">
        <f>_xlfn.XLOOKUP(H1953,'Yield &amp; Time'!A:A,'Yield &amp; Time'!F:F)</f>
        <v>0</v>
      </c>
    </row>
    <row r="1954" spans="1:46" x14ac:dyDescent="0.25">
      <c r="A1954" s="15" t="s">
        <v>4861</v>
      </c>
      <c r="B1954" s="2" t="s">
        <v>552</v>
      </c>
      <c r="C1954" s="2" t="s">
        <v>582</v>
      </c>
      <c r="D1954" s="2" t="s">
        <v>554</v>
      </c>
      <c r="E1954" s="2">
        <v>1</v>
      </c>
      <c r="F1954" s="1" t="str">
        <f>VLOOKUP(H1954,'RM Used'!A:B,2,0)</f>
        <v>3565CS</v>
      </c>
      <c r="G1954" s="1" t="str">
        <f>IFERROR(VLOOKUP(F1954,'RM Cost'!A:B,2,0),"")</f>
        <v>RM - PEPPERS GREEN  X 5KG</v>
      </c>
      <c r="H1954" s="2" t="s">
        <v>1398</v>
      </c>
      <c r="I1954" s="1" t="str">
        <f>VLOOKUP(F1954,'RM Used'!B:D,3,0)</f>
        <v>RM-FOOD</v>
      </c>
      <c r="J1954" s="66">
        <v>6.6600000000000006E-2</v>
      </c>
      <c r="K1954" s="35">
        <f t="shared" si="790"/>
        <v>6.6600000000000006E-2</v>
      </c>
      <c r="L1954" s="35">
        <f t="shared" si="766"/>
        <v>6.6600000000000006E-2</v>
      </c>
      <c r="M1954" s="77" cm="1">
        <f t="array" ref="M1954">_xlfn.IFS(BOM!I1954="RM-PACKING","100%",B1954="Reynolds",VLOOKUP(H1954,'Yield &amp; Time'!A:V,22,0),BOM!B1954="Dnata",VLOOKUP(BOM!H1954,'Yield &amp; Time'!A:M,13,0),B1954="NK",VLOOKUP(H1954,'Yield &amp; Time'!A:X,24,0))</f>
        <v>0.45454545454545459</v>
      </c>
      <c r="N1954" s="35">
        <f t="shared" si="791"/>
        <v>0.14652000000000001</v>
      </c>
      <c r="O1954" s="1" t="str">
        <f>VLOOKUP(H1954,'RM Used'!A:E,5,0)</f>
        <v>KG</v>
      </c>
      <c r="P1954" s="11">
        <f>VLOOKUP(H1954,'RM Used'!A:F,6,0)</f>
        <v>1.76</v>
      </c>
      <c r="Q1954" s="11">
        <f t="shared" si="783"/>
        <v>0.25787520000000003</v>
      </c>
      <c r="R1954" s="11">
        <f>IFERROR(IF(B1954="Reynolds",VLOOKUP(H1954,'Yield &amp; Time'!A:U,21,0),VLOOKUP(H1954,'Yield &amp; Time'!A:L,12,0)),0)</f>
        <v>6.75</v>
      </c>
      <c r="S1954" s="11">
        <f t="shared" si="769"/>
        <v>0.15217267500000001</v>
      </c>
      <c r="T1954" s="11">
        <f t="shared" si="770"/>
        <v>7.4925000000000009E-3</v>
      </c>
      <c r="U1954" s="11">
        <f>IF(A1953=A1954,0,VLOOKUP(A1954,'Packing Time'!A:F,6,0))</f>
        <v>0</v>
      </c>
      <c r="V1954" s="11">
        <f t="shared" si="792"/>
        <v>0</v>
      </c>
      <c r="W1954" s="11">
        <f t="shared" si="793"/>
        <v>0</v>
      </c>
      <c r="X1954" s="11">
        <f t="shared" si="773"/>
        <v>0.16738994250000003</v>
      </c>
      <c r="Y1954" s="11">
        <f t="shared" si="794"/>
        <v>0.16738994250000003</v>
      </c>
      <c r="Z1954" s="37">
        <v>1</v>
      </c>
      <c r="AA1954" s="36">
        <f t="shared" si="775"/>
        <v>0.14652000000000001</v>
      </c>
      <c r="AB1954" s="36">
        <f t="shared" si="776"/>
        <v>0.25787520000000003</v>
      </c>
      <c r="AC1954" s="11">
        <f t="shared" si="777"/>
        <v>8.2417500000000008E-3</v>
      </c>
      <c r="AD1954" s="36">
        <f t="shared" si="795"/>
        <v>0.1673899425</v>
      </c>
      <c r="AE1954" s="36"/>
      <c r="AF1954" s="36">
        <f>IFERROR(VLOOKUP(AE1954,'Chemical Cost'!A:D,4,0),0)</f>
        <v>0</v>
      </c>
      <c r="AG1954" s="114">
        <f t="shared" si="779"/>
        <v>0</v>
      </c>
      <c r="AH1954" s="36">
        <f t="shared" si="788"/>
        <v>0</v>
      </c>
      <c r="AI1954" s="36">
        <f t="shared" si="796"/>
        <v>0.42526514250000003</v>
      </c>
      <c r="AJ1954" s="36">
        <f>IFERROR(VLOOKUP(A1954,'All Products'!A:F,6,0),0)</f>
        <v>0</v>
      </c>
      <c r="AK1954" s="36">
        <f t="shared" si="797"/>
        <v>0</v>
      </c>
      <c r="AL1954" s="23">
        <v>1</v>
      </c>
      <c r="AM1954" s="23"/>
      <c r="AN1954" s="54" t="e">
        <v>#N/A</v>
      </c>
      <c r="AO1954" s="47"/>
      <c r="AP1954" s="4">
        <v>1.1000000000000001</v>
      </c>
      <c r="AQ1954" s="111">
        <f t="shared" si="782"/>
        <v>8.2417500000000008E-3</v>
      </c>
      <c r="AR1954">
        <f>_xlfn.XLOOKUP(F1954,'RM Cost'!A:A,'RM Cost'!S:S)</f>
        <v>0</v>
      </c>
      <c r="AS1954" t="str">
        <f>_xlfn.XLOOKUP(A1954,[3]Sheet1!$B:$B,[3]Sheet1!$B:$B)</f>
        <v>683CCS</v>
      </c>
      <c r="AT1954">
        <f>_xlfn.XLOOKUP(H1954,'Yield &amp; Time'!A:A,'Yield &amp; Time'!F:F)</f>
        <v>0</v>
      </c>
    </row>
    <row r="1955" spans="1:46" x14ac:dyDescent="0.25">
      <c r="A1955" s="15" t="s">
        <v>4861</v>
      </c>
      <c r="B1955" s="2" t="s">
        <v>552</v>
      </c>
      <c r="C1955" s="2" t="s">
        <v>582</v>
      </c>
      <c r="D1955" s="2" t="s">
        <v>554</v>
      </c>
      <c r="E1955" s="2">
        <v>1</v>
      </c>
      <c r="F1955" s="1" t="str">
        <f>VLOOKUP(H1955,'RM Used'!A:B,2,0)</f>
        <v>3567CS</v>
      </c>
      <c r="G1955" s="1" t="str">
        <f>IFERROR(VLOOKUP(F1955,'RM Cost'!A:B,2,0),"")</f>
        <v>RM - PEPPERS YELLOW  X 5KG</v>
      </c>
      <c r="H1955" s="2" t="s">
        <v>1399</v>
      </c>
      <c r="I1955" s="1" t="str">
        <f>VLOOKUP(F1955,'RM Used'!B:D,3,0)</f>
        <v>RM-FOOD</v>
      </c>
      <c r="J1955" s="66">
        <v>6.6600000000000006E-2</v>
      </c>
      <c r="K1955" s="35">
        <f t="shared" si="790"/>
        <v>6.6600000000000006E-2</v>
      </c>
      <c r="L1955" s="35">
        <f t="shared" si="766"/>
        <v>6.6600000000000006E-2</v>
      </c>
      <c r="M1955" s="77" cm="1">
        <f t="array" ref="M1955">_xlfn.IFS(BOM!I1955="RM-PACKING","100%",B1955="Reynolds",VLOOKUP(H1955,'Yield &amp; Time'!A:V,22,0),BOM!B1955="Dnata",VLOOKUP(BOM!H1955,'Yield &amp; Time'!A:M,13,0),B1955="NK",VLOOKUP(H1955,'Yield &amp; Time'!A:X,24,0))</f>
        <v>0.45454545454545459</v>
      </c>
      <c r="N1955" s="35">
        <f t="shared" si="791"/>
        <v>0.14652000000000001</v>
      </c>
      <c r="O1955" s="1" t="str">
        <f>VLOOKUP(H1955,'RM Used'!A:E,5,0)</f>
        <v>KG</v>
      </c>
      <c r="P1955" s="11">
        <f>VLOOKUP(H1955,'RM Used'!A:F,6,0)</f>
        <v>1.68</v>
      </c>
      <c r="Q1955" s="11">
        <f t="shared" si="783"/>
        <v>0.2461536</v>
      </c>
      <c r="R1955" s="11">
        <f>IFERROR(IF(B1955="Reynolds",VLOOKUP(H1955,'Yield &amp; Time'!A:U,21,0),VLOOKUP(H1955,'Yield &amp; Time'!A:L,12,0)),0)</f>
        <v>6.75</v>
      </c>
      <c r="S1955" s="11">
        <f t="shared" si="769"/>
        <v>0.15217267500000001</v>
      </c>
      <c r="T1955" s="11">
        <f t="shared" si="770"/>
        <v>7.4925000000000009E-3</v>
      </c>
      <c r="U1955" s="11">
        <f>IF(A1954=A1955,0,VLOOKUP(A1955,'Packing Time'!A:F,6,0))</f>
        <v>0</v>
      </c>
      <c r="V1955" s="11">
        <f t="shared" si="792"/>
        <v>0</v>
      </c>
      <c r="W1955" s="11">
        <f t="shared" si="793"/>
        <v>0</v>
      </c>
      <c r="X1955" s="11">
        <f t="shared" si="773"/>
        <v>0.16738994250000003</v>
      </c>
      <c r="Y1955" s="11">
        <f t="shared" si="794"/>
        <v>0.16738994250000003</v>
      </c>
      <c r="Z1955" s="37">
        <v>1</v>
      </c>
      <c r="AA1955" s="36">
        <f t="shared" si="775"/>
        <v>0.14652000000000001</v>
      </c>
      <c r="AB1955" s="36">
        <f t="shared" si="776"/>
        <v>0.2461536</v>
      </c>
      <c r="AC1955" s="11">
        <f t="shared" si="777"/>
        <v>8.2417500000000008E-3</v>
      </c>
      <c r="AD1955" s="36">
        <f t="shared" si="795"/>
        <v>0.1673899425</v>
      </c>
      <c r="AE1955" s="36"/>
      <c r="AF1955" s="36">
        <f>IFERROR(VLOOKUP(AE1955,'Chemical Cost'!A:D,4,0),0)</f>
        <v>0</v>
      </c>
      <c r="AG1955" s="114">
        <f t="shared" si="779"/>
        <v>0</v>
      </c>
      <c r="AH1955" s="36">
        <f t="shared" si="788"/>
        <v>0</v>
      </c>
      <c r="AI1955" s="36">
        <f t="shared" si="796"/>
        <v>0.41354354250000003</v>
      </c>
      <c r="AJ1955" s="36">
        <f>IFERROR(VLOOKUP(A1955,'All Products'!A:F,6,0),0)</f>
        <v>0</v>
      </c>
      <c r="AK1955" s="36">
        <f t="shared" si="797"/>
        <v>0</v>
      </c>
      <c r="AL1955" s="23">
        <v>1</v>
      </c>
      <c r="AM1955" s="23"/>
      <c r="AN1955" s="54" t="e">
        <v>#N/A</v>
      </c>
      <c r="AO1955" s="47"/>
      <c r="AP1955" s="4">
        <v>1.1000000000000001</v>
      </c>
      <c r="AQ1955" s="111">
        <f t="shared" si="782"/>
        <v>8.2417500000000008E-3</v>
      </c>
      <c r="AR1955">
        <f>_xlfn.XLOOKUP(F1955,'RM Cost'!A:A,'RM Cost'!S:S)</f>
        <v>0</v>
      </c>
      <c r="AS1955" t="str">
        <f>_xlfn.XLOOKUP(A1955,[3]Sheet1!$B:$B,[3]Sheet1!$B:$B)</f>
        <v>683CCS</v>
      </c>
      <c r="AT1955">
        <f>_xlfn.XLOOKUP(H1955,'Yield &amp; Time'!A:A,'Yield &amp; Time'!F:F)</f>
        <v>0</v>
      </c>
    </row>
    <row r="1956" spans="1:46" x14ac:dyDescent="0.25">
      <c r="A1956" s="15" t="s">
        <v>4861</v>
      </c>
      <c r="B1956" s="2" t="s">
        <v>552</v>
      </c>
      <c r="C1956" s="2" t="s">
        <v>582</v>
      </c>
      <c r="D1956" s="2" t="s">
        <v>554</v>
      </c>
      <c r="E1956" s="2">
        <v>1</v>
      </c>
      <c r="F1956" s="1" t="str">
        <f>VLOOKUP(H1956,'RM Used'!A:B,2,0)</f>
        <v>3001CS</v>
      </c>
      <c r="G1956" s="1" t="str">
        <f>IFERROR(VLOOKUP(F1956,'RM Cost'!A:B,2,0),"")</f>
        <v>RM - AUBERGINE 5KG</v>
      </c>
      <c r="H1956" s="2" t="s">
        <v>1400</v>
      </c>
      <c r="I1956" s="1" t="str">
        <f>VLOOKUP(F1956,'RM Used'!B:D,3,0)</f>
        <v>RM-FOOD</v>
      </c>
      <c r="J1956" s="66">
        <v>0.2</v>
      </c>
      <c r="K1956" s="35">
        <f t="shared" si="790"/>
        <v>0.2</v>
      </c>
      <c r="L1956" s="35">
        <f t="shared" si="766"/>
        <v>0.2</v>
      </c>
      <c r="M1956" s="77" cm="1">
        <f t="array" ref="M1956">_xlfn.IFS(BOM!I1956="RM-PACKING","100%",B1956="Reynolds",VLOOKUP(H1956,'Yield &amp; Time'!A:V,22,0),BOM!B1956="Dnata",VLOOKUP(BOM!H1956,'Yield &amp; Time'!A:M,13,0),B1956="NK",VLOOKUP(H1956,'Yield &amp; Time'!A:X,24,0))</f>
        <v>0.8</v>
      </c>
      <c r="N1956" s="35">
        <f t="shared" si="791"/>
        <v>0.25</v>
      </c>
      <c r="O1956" s="1" t="str">
        <f>VLOOKUP(H1956,'RM Used'!A:E,5,0)</f>
        <v>KG</v>
      </c>
      <c r="P1956" s="11">
        <f>VLOOKUP(H1956,'RM Used'!A:F,6,0)</f>
        <v>1.34</v>
      </c>
      <c r="Q1956" s="11">
        <f t="shared" si="783"/>
        <v>0.33500000000000002</v>
      </c>
      <c r="R1956" s="11">
        <f>IFERROR(IF(B1956="Reynolds",VLOOKUP(H1956,'Yield &amp; Time'!A:U,21,0),VLOOKUP(H1956,'Yield &amp; Time'!A:L,12,0)),0)</f>
        <v>2.4958333333333336</v>
      </c>
      <c r="S1956" s="11">
        <f t="shared" si="769"/>
        <v>0.16896791666666669</v>
      </c>
      <c r="T1956" s="11">
        <f t="shared" si="770"/>
        <v>8.3194444444444453E-3</v>
      </c>
      <c r="U1956" s="11">
        <f>IF(A1955=A1956,0,VLOOKUP(A1956,'Packing Time'!A:F,6,0))</f>
        <v>0</v>
      </c>
      <c r="V1956" s="11">
        <f t="shared" si="792"/>
        <v>0</v>
      </c>
      <c r="W1956" s="11">
        <f t="shared" si="793"/>
        <v>0</v>
      </c>
      <c r="X1956" s="11">
        <f t="shared" si="773"/>
        <v>0.18586470833333338</v>
      </c>
      <c r="Y1956" s="11">
        <f t="shared" si="794"/>
        <v>0.18586470833333338</v>
      </c>
      <c r="Z1956" s="37">
        <v>1</v>
      </c>
      <c r="AA1956" s="36">
        <f t="shared" si="775"/>
        <v>0.25</v>
      </c>
      <c r="AB1956" s="36">
        <f t="shared" si="776"/>
        <v>0.33500000000000002</v>
      </c>
      <c r="AC1956" s="11">
        <f t="shared" si="777"/>
        <v>9.1513888888888912E-3</v>
      </c>
      <c r="AD1956" s="36">
        <f t="shared" si="795"/>
        <v>0.18586470833333338</v>
      </c>
      <c r="AE1956" s="36" t="str">
        <f>VLOOKUP(H1956,'Yield &amp; Time'!A:R,18,0)</f>
        <v>SODIUM METABISULPHITE</v>
      </c>
      <c r="AF1956" s="36">
        <f>IFERROR(VLOOKUP(AE1956,'Chemical Cost'!A:D,4,0),0)</f>
        <v>9.7586225455882462E-3</v>
      </c>
      <c r="AG1956" s="114">
        <f t="shared" si="779"/>
        <v>8.1321854546568715E-4</v>
      </c>
      <c r="AH1956" s="36">
        <f t="shared" si="788"/>
        <v>8.1321854546568715E-4</v>
      </c>
      <c r="AI1956" s="36">
        <f t="shared" si="796"/>
        <v>0.5216779268787991</v>
      </c>
      <c r="AJ1956" s="36">
        <f>IFERROR(VLOOKUP(A1956,'All Products'!A:F,6,0),0)</f>
        <v>0</v>
      </c>
      <c r="AK1956" s="36">
        <f t="shared" si="797"/>
        <v>0</v>
      </c>
      <c r="AL1956" s="23">
        <v>1</v>
      </c>
      <c r="AM1956" s="23"/>
      <c r="AN1956" s="54" t="e">
        <v>#N/A</v>
      </c>
      <c r="AO1956" s="47"/>
      <c r="AP1956" s="4">
        <v>1.1000000000000001</v>
      </c>
      <c r="AQ1956" s="111">
        <f t="shared" si="782"/>
        <v>9.1513888888888912E-3</v>
      </c>
      <c r="AR1956">
        <f>_xlfn.XLOOKUP(F1956,'RM Cost'!A:A,'RM Cost'!S:S)</f>
        <v>0</v>
      </c>
      <c r="AS1956" t="str">
        <f>_xlfn.XLOOKUP(A1956,[3]Sheet1!$B:$B,[3]Sheet1!$B:$B)</f>
        <v>683CCS</v>
      </c>
      <c r="AT1956">
        <f>_xlfn.XLOOKUP(H1956,'Yield &amp; Time'!A:A,'Yield &amp; Time'!F:F)</f>
        <v>0</v>
      </c>
    </row>
    <row r="1957" spans="1:46" x14ac:dyDescent="0.25">
      <c r="A1957" s="15" t="s">
        <v>4861</v>
      </c>
      <c r="B1957" s="2" t="s">
        <v>552</v>
      </c>
      <c r="C1957" s="2" t="s">
        <v>582</v>
      </c>
      <c r="D1957" s="2" t="s">
        <v>554</v>
      </c>
      <c r="E1957" s="2">
        <v>1</v>
      </c>
      <c r="F1957" s="1" t="str">
        <f>VLOOKUP(H1957,'RM Used'!A:B,2,0)</f>
        <v>0930CS</v>
      </c>
      <c r="G1957" s="1" t="str">
        <f>IFERROR(VLOOKUP(F1957,'RM Cost'!A:B,2,0),"")</f>
        <v>RM - COURGETTE STANDARD</v>
      </c>
      <c r="H1957" s="2" t="s">
        <v>1401</v>
      </c>
      <c r="I1957" s="1" t="str">
        <f>VLOOKUP(F1957,'RM Used'!B:D,3,0)</f>
        <v>RM-FOOD</v>
      </c>
      <c r="J1957" s="66">
        <v>0.2</v>
      </c>
      <c r="K1957" s="35">
        <f t="shared" si="790"/>
        <v>0.2</v>
      </c>
      <c r="L1957" s="35">
        <f t="shared" si="766"/>
        <v>0.2</v>
      </c>
      <c r="M1957" s="77" cm="1">
        <f t="array" ref="M1957">_xlfn.IFS(BOM!I1957="RM-PACKING","100%",B1957="Reynolds",VLOOKUP(H1957,'Yield &amp; Time'!A:V,22,0),BOM!B1957="Dnata",VLOOKUP(BOM!H1957,'Yield &amp; Time'!A:M,13,0),B1957="NK",VLOOKUP(H1957,'Yield &amp; Time'!A:X,24,0))</f>
        <v>0.8</v>
      </c>
      <c r="N1957" s="35">
        <f t="shared" si="791"/>
        <v>0.25</v>
      </c>
      <c r="O1957" s="1" t="str">
        <f>VLOOKUP(H1957,'RM Used'!A:E,5,0)</f>
        <v>KG</v>
      </c>
      <c r="P1957" s="11">
        <f>VLOOKUP(H1957,'RM Used'!A:F,6,0)</f>
        <v>1.1000000000000001</v>
      </c>
      <c r="Q1957" s="11">
        <f t="shared" si="783"/>
        <v>0.27500000000000002</v>
      </c>
      <c r="R1957" s="11">
        <f>IFERROR(IF(B1957="Reynolds",VLOOKUP(H1957,'Yield &amp; Time'!A:U,21,0),VLOOKUP(H1957,'Yield &amp; Time'!A:L,12,0)),0)</f>
        <v>1.75</v>
      </c>
      <c r="S1957" s="11">
        <f t="shared" si="769"/>
        <v>0.118475</v>
      </c>
      <c r="T1957" s="11">
        <f t="shared" si="770"/>
        <v>5.8333333333333336E-3</v>
      </c>
      <c r="U1957" s="11">
        <f>IF(A1956=A1957,0,VLOOKUP(A1957,'Packing Time'!A:F,6,0))</f>
        <v>0</v>
      </c>
      <c r="V1957" s="11">
        <f t="shared" si="792"/>
        <v>0</v>
      </c>
      <c r="W1957" s="11">
        <f t="shared" si="793"/>
        <v>0</v>
      </c>
      <c r="X1957" s="11">
        <f t="shared" si="773"/>
        <v>0.13032250000000001</v>
      </c>
      <c r="Y1957" s="11">
        <f t="shared" si="794"/>
        <v>0.13032250000000001</v>
      </c>
      <c r="Z1957" s="37">
        <v>1</v>
      </c>
      <c r="AA1957" s="36">
        <f t="shared" si="775"/>
        <v>0.25</v>
      </c>
      <c r="AB1957" s="36">
        <f t="shared" si="776"/>
        <v>0.27500000000000002</v>
      </c>
      <c r="AC1957" s="11">
        <f t="shared" si="777"/>
        <v>6.4166666666666677E-3</v>
      </c>
      <c r="AD1957" s="36">
        <f t="shared" si="795"/>
        <v>0.13032250000000001</v>
      </c>
      <c r="AE1957" s="36"/>
      <c r="AF1957" s="36">
        <f>IFERROR(VLOOKUP(AE1957,'Chemical Cost'!A:D,4,0),0)</f>
        <v>0</v>
      </c>
      <c r="AG1957" s="114">
        <f t="shared" si="779"/>
        <v>0</v>
      </c>
      <c r="AH1957" s="36">
        <f t="shared" si="788"/>
        <v>0</v>
      </c>
      <c r="AI1957" s="36">
        <f t="shared" si="796"/>
        <v>0.40532250000000003</v>
      </c>
      <c r="AJ1957" s="36">
        <f>IFERROR(VLOOKUP(A1957,'All Products'!A:F,6,0),0)</f>
        <v>0</v>
      </c>
      <c r="AK1957" s="36">
        <f t="shared" si="797"/>
        <v>0</v>
      </c>
      <c r="AL1957" s="23">
        <v>1</v>
      </c>
      <c r="AM1957" s="23"/>
      <c r="AN1957" s="54" t="e">
        <v>#N/A</v>
      </c>
      <c r="AO1957" s="47"/>
      <c r="AP1957" s="4">
        <v>1.1000000000000001</v>
      </c>
      <c r="AQ1957" s="111">
        <f t="shared" si="782"/>
        <v>6.4166666666666677E-3</v>
      </c>
      <c r="AR1957">
        <f>_xlfn.XLOOKUP(F1957,'RM Cost'!A:A,'RM Cost'!S:S)</f>
        <v>1.1644775886170367</v>
      </c>
      <c r="AS1957" t="str">
        <f>_xlfn.XLOOKUP(A1957,[3]Sheet1!$B:$B,[3]Sheet1!$B:$B)</f>
        <v>683CCS</v>
      </c>
      <c r="AT1957">
        <f>_xlfn.XLOOKUP(H1957,'Yield &amp; Time'!A:A,'Yield &amp; Time'!F:F)</f>
        <v>0</v>
      </c>
    </row>
    <row r="1958" spans="1:46" x14ac:dyDescent="0.25">
      <c r="A1958" s="15" t="s">
        <v>4861</v>
      </c>
      <c r="B1958" s="2" t="s">
        <v>552</v>
      </c>
      <c r="C1958" s="2" t="s">
        <v>582</v>
      </c>
      <c r="D1958" s="2" t="s">
        <v>554</v>
      </c>
      <c r="E1958" s="2">
        <v>1</v>
      </c>
      <c r="F1958" s="1" t="str">
        <f>VLOOKUP(H1958,'RM Used'!A:B,2,0)</f>
        <v>1318CS</v>
      </c>
      <c r="G1958" s="1" t="str">
        <f>IFERROR(VLOOKUP(F1958,'RM Cost'!A:B,2,0),"")</f>
        <v>RM - PREP ONION RED WHOLE 2.5KG</v>
      </c>
      <c r="H1958" s="2" t="s">
        <v>1402</v>
      </c>
      <c r="I1958" s="1" t="str">
        <f>VLOOKUP(F1958,'RM Used'!B:D,3,0)</f>
        <v>RM-FOOD</v>
      </c>
      <c r="J1958" s="66">
        <v>0.2</v>
      </c>
      <c r="K1958" s="35">
        <f t="shared" si="790"/>
        <v>0.2</v>
      </c>
      <c r="L1958" s="35">
        <f t="shared" si="766"/>
        <v>0.2</v>
      </c>
      <c r="M1958" s="77" cm="1">
        <f t="array" ref="M1958">_xlfn.IFS(BOM!I1958="RM-PACKING","100%",B1958="Reynolds",VLOOKUP(H1958,'Yield &amp; Time'!A:V,22,0),BOM!B1958="Dnata",VLOOKUP(BOM!H1958,'Yield &amp; Time'!A:M,13,0),B1958="NK",VLOOKUP(H1958,'Yield &amp; Time'!A:X,24,0))</f>
        <v>0.72169099144438853</v>
      </c>
      <c r="N1958" s="35">
        <f t="shared" si="791"/>
        <v>0.27712691771269177</v>
      </c>
      <c r="O1958" s="1" t="str">
        <f>VLOOKUP(H1958,'RM Used'!A:E,5,0)</f>
        <v>KG</v>
      </c>
      <c r="P1958" s="11">
        <f>VLOOKUP(H1958,'RM Used'!A:F,6,0)</f>
        <v>1.08</v>
      </c>
      <c r="Q1958" s="11">
        <f t="shared" si="783"/>
        <v>0.2992970711297071</v>
      </c>
      <c r="R1958" s="11">
        <f>IFERROR(IF(B1958="Reynolds",VLOOKUP(H1958,'Yield &amp; Time'!A:U,21,0),VLOOKUP(H1958,'Yield &amp; Time'!A:L,12,0)),0)</f>
        <v>5.6485355648535567</v>
      </c>
      <c r="S1958" s="11">
        <f t="shared" si="769"/>
        <v>0.38240585774058578</v>
      </c>
      <c r="T1958" s="11">
        <f t="shared" si="770"/>
        <v>1.8828451882845192E-2</v>
      </c>
      <c r="U1958" s="11">
        <f>IF(A1957=A1958,0,VLOOKUP(A1958,'Packing Time'!A:F,6,0))</f>
        <v>0</v>
      </c>
      <c r="V1958" s="11">
        <f t="shared" si="792"/>
        <v>0</v>
      </c>
      <c r="W1958" s="11">
        <f t="shared" si="793"/>
        <v>0</v>
      </c>
      <c r="X1958" s="11">
        <f t="shared" si="773"/>
        <v>0.42064644351464436</v>
      </c>
      <c r="Y1958" s="11">
        <f t="shared" si="794"/>
        <v>0.42064644351464436</v>
      </c>
      <c r="Z1958" s="37">
        <v>1</v>
      </c>
      <c r="AA1958" s="36">
        <f t="shared" si="775"/>
        <v>0.27712691771269177</v>
      </c>
      <c r="AB1958" s="36">
        <f t="shared" si="776"/>
        <v>0.2992970711297071</v>
      </c>
      <c r="AC1958" s="11">
        <f t="shared" si="777"/>
        <v>2.0711297071129713E-2</v>
      </c>
      <c r="AD1958" s="36">
        <f t="shared" si="795"/>
        <v>0.42064644351464442</v>
      </c>
      <c r="AE1958" s="36"/>
      <c r="AF1958" s="36">
        <f>IFERROR(VLOOKUP(AE1958,'Chemical Cost'!A:D,4,0),0)</f>
        <v>0</v>
      </c>
      <c r="AG1958" s="114">
        <f t="shared" si="779"/>
        <v>0</v>
      </c>
      <c r="AH1958" s="36">
        <f t="shared" si="788"/>
        <v>0</v>
      </c>
      <c r="AI1958" s="36">
        <f t="shared" si="796"/>
        <v>0.71994351464435147</v>
      </c>
      <c r="AJ1958" s="36">
        <f>IFERROR(VLOOKUP(A1958,'All Products'!A:F,6,0),0)</f>
        <v>0</v>
      </c>
      <c r="AK1958" s="36">
        <f t="shared" si="797"/>
        <v>0</v>
      </c>
      <c r="AL1958" s="23">
        <v>1</v>
      </c>
      <c r="AM1958" s="23"/>
      <c r="AN1958" s="54" t="e">
        <v>#N/A</v>
      </c>
      <c r="AO1958" s="47"/>
      <c r="AP1958" s="4">
        <v>1.1000000000000001</v>
      </c>
      <c r="AQ1958" s="111">
        <f t="shared" si="782"/>
        <v>2.0711297071129713E-2</v>
      </c>
      <c r="AR1958">
        <f>_xlfn.XLOOKUP(F1958,'RM Cost'!A:A,'RM Cost'!S:S)</f>
        <v>0</v>
      </c>
      <c r="AS1958" t="str">
        <f>_xlfn.XLOOKUP(A1958,[3]Sheet1!$B:$B,[3]Sheet1!$B:$B)</f>
        <v>683CCS</v>
      </c>
      <c r="AT1958">
        <f>_xlfn.XLOOKUP(H1958,'Yield &amp; Time'!A:A,'Yield &amp; Time'!F:F)</f>
        <v>0</v>
      </c>
    </row>
    <row r="1959" spans="1:46" x14ac:dyDescent="0.25">
      <c r="A1959" s="15" t="s">
        <v>4861</v>
      </c>
      <c r="B1959" s="2" t="s">
        <v>552</v>
      </c>
      <c r="C1959" s="2" t="s">
        <v>582</v>
      </c>
      <c r="D1959" s="2" t="s">
        <v>554</v>
      </c>
      <c r="E1959" s="2">
        <v>1</v>
      </c>
      <c r="F1959" s="1" t="str">
        <f>VLOOKUP(H1959,'RM Used'!A:B,2,0)</f>
        <v>206ACS</v>
      </c>
      <c r="G1959" s="1" t="str">
        <f>IFERROR(VLOOKUP(F1959,'RM Cost'!A:B,2,0),"")</f>
        <v>RM - PREP ONION WHOLE 10KG</v>
      </c>
      <c r="H1959" s="2" t="s">
        <v>1403</v>
      </c>
      <c r="I1959" s="1" t="str">
        <f>VLOOKUP(F1959,'RM Used'!B:D,3,0)</f>
        <v>RM-FOOD</v>
      </c>
      <c r="J1959" s="66">
        <v>0.2</v>
      </c>
      <c r="K1959" s="35">
        <f t="shared" si="790"/>
        <v>0.2</v>
      </c>
      <c r="L1959" s="35">
        <f t="shared" si="766"/>
        <v>0.2</v>
      </c>
      <c r="M1959" s="77" cm="1">
        <f t="array" ref="M1959">_xlfn.IFS(BOM!I1959="RM-PACKING","100%",B1959="Reynolds",VLOOKUP(H1959,'Yield &amp; Time'!A:V,22,0),BOM!B1959="Dnata",VLOOKUP(BOM!H1959,'Yield &amp; Time'!A:M,13,0),B1959="NK",VLOOKUP(H1959,'Yield &amp; Time'!A:X,24,0))</f>
        <v>0.89371428571428579</v>
      </c>
      <c r="N1959" s="35">
        <f t="shared" si="791"/>
        <v>0.2237851662404092</v>
      </c>
      <c r="O1959" s="1" t="str">
        <f>VLOOKUP(H1959,'RM Used'!A:E,5,0)</f>
        <v>KG</v>
      </c>
      <c r="P1959" s="11">
        <f>VLOOKUP(H1959,'RM Used'!A:F,6,0)</f>
        <v>0.87</v>
      </c>
      <c r="Q1959" s="11">
        <f t="shared" si="783"/>
        <v>0.19469309462915602</v>
      </c>
      <c r="R1959" s="11">
        <f>IFERROR(IF(B1959="Reynolds",VLOOKUP(H1959,'Yield &amp; Time'!A:U,21,0),VLOOKUP(H1959,'Yield &amp; Time'!A:L,12,0)),0)</f>
        <v>0.5</v>
      </c>
      <c r="S1959" s="11">
        <f t="shared" si="769"/>
        <v>3.3849999999999998E-2</v>
      </c>
      <c r="T1959" s="11">
        <f t="shared" si="770"/>
        <v>1.6666666666666668E-3</v>
      </c>
      <c r="U1959" s="11">
        <f>IF(A1958=A1959,0,VLOOKUP(A1959,'Packing Time'!A:F,6,0))</f>
        <v>0</v>
      </c>
      <c r="V1959" s="11">
        <f t="shared" si="792"/>
        <v>0</v>
      </c>
      <c r="W1959" s="11">
        <f t="shared" si="793"/>
        <v>0</v>
      </c>
      <c r="X1959" s="11">
        <f t="shared" si="773"/>
        <v>3.7235000000000004E-2</v>
      </c>
      <c r="Y1959" s="11">
        <f t="shared" si="794"/>
        <v>3.7235000000000004E-2</v>
      </c>
      <c r="Z1959" s="37">
        <v>1</v>
      </c>
      <c r="AA1959" s="36">
        <f t="shared" si="775"/>
        <v>0.2237851662404092</v>
      </c>
      <c r="AB1959" s="36">
        <f t="shared" si="776"/>
        <v>0.19469309462915602</v>
      </c>
      <c r="AC1959" s="11">
        <f t="shared" si="777"/>
        <v>1.8333333333333335E-3</v>
      </c>
      <c r="AD1959" s="36">
        <f t="shared" si="795"/>
        <v>3.7235000000000004E-2</v>
      </c>
      <c r="AE1959" s="36" t="str">
        <f>VLOOKUP(H1959,'Yield &amp; Time'!A:R,18,0)</f>
        <v>CHLORINE</v>
      </c>
      <c r="AF1959" s="36">
        <f>IFERROR(VLOOKUP(AE1959,'Chemical Cost'!A:D,4,0),0)</f>
        <v>2.7756518066439469E-2</v>
      </c>
      <c r="AG1959" s="114">
        <f t="shared" si="779"/>
        <v>2.0704990032510261E-3</v>
      </c>
      <c r="AH1959" s="36">
        <f t="shared" si="788"/>
        <v>2.0704990032510261E-3</v>
      </c>
      <c r="AI1959" s="36">
        <f t="shared" si="796"/>
        <v>0.23399859363240705</v>
      </c>
      <c r="AJ1959" s="36">
        <f>IFERROR(VLOOKUP(A1959,'All Products'!A:F,6,0),0)</f>
        <v>0</v>
      </c>
      <c r="AK1959" s="36">
        <f t="shared" si="797"/>
        <v>0</v>
      </c>
      <c r="AL1959" s="23">
        <v>1</v>
      </c>
      <c r="AM1959" s="23"/>
      <c r="AN1959" s="54" t="e">
        <v>#N/A</v>
      </c>
      <c r="AO1959" s="47"/>
      <c r="AP1959" s="4">
        <v>1.1000000000000001</v>
      </c>
      <c r="AQ1959" s="111">
        <f t="shared" si="782"/>
        <v>1.8333333333333335E-3</v>
      </c>
      <c r="AR1959">
        <f>_xlfn.XLOOKUP(F1959,'RM Cost'!A:A,'RM Cost'!S:S)</f>
        <v>0</v>
      </c>
      <c r="AS1959" t="str">
        <f>_xlfn.XLOOKUP(A1959,[3]Sheet1!$B:$B,[3]Sheet1!$B:$B)</f>
        <v>683CCS</v>
      </c>
      <c r="AT1959">
        <f>_xlfn.XLOOKUP(H1959,'Yield &amp; Time'!A:A,'Yield &amp; Time'!F:F)</f>
        <v>0</v>
      </c>
    </row>
    <row r="1960" spans="1:46" x14ac:dyDescent="0.25">
      <c r="A1960" s="15" t="s">
        <v>4861</v>
      </c>
      <c r="B1960" s="2" t="s">
        <v>552</v>
      </c>
      <c r="C1960" s="2" t="s">
        <v>582</v>
      </c>
      <c r="D1960" s="2" t="s">
        <v>554</v>
      </c>
      <c r="E1960" s="2">
        <v>1</v>
      </c>
      <c r="F1960" s="1" t="str">
        <f>VLOOKUP(H1960,'RM Used'!A:B,2,0)</f>
        <v>P0020</v>
      </c>
      <c r="G1960" s="1" t="str">
        <f>IFERROR(VLOOKUP(F1960,'RM Cost'!A:B,2,0),"")</f>
        <v>PALE BLUE BAG 430X430MM</v>
      </c>
      <c r="H1960" s="2" t="s">
        <v>1659</v>
      </c>
      <c r="I1960" s="1" t="str">
        <f>VLOOKUP(F1960,'RM Used'!B:D,3,0)</f>
        <v>RM-PACKING</v>
      </c>
      <c r="J1960" s="66">
        <v>1</v>
      </c>
      <c r="K1960" s="35" t="str">
        <f t="shared" si="790"/>
        <v/>
      </c>
      <c r="L1960" s="35">
        <f t="shared" si="766"/>
        <v>0</v>
      </c>
      <c r="M1960" s="77" t="str" cm="1">
        <f t="array" ref="M1960">_xlfn.IFS(BOM!I1960="RM-PACKING","100%",B1960="Reynolds",VLOOKUP(H1960,'Yield &amp; Time'!A:V,22,0),BOM!B1960="Dnata",VLOOKUP(BOM!H1960,'Yield &amp; Time'!A:M,13,0),B1960="NK",VLOOKUP(H1960,'Yield &amp; Time'!A:X,24,0))</f>
        <v>100%</v>
      </c>
      <c r="N1960" s="35">
        <f t="shared" si="791"/>
        <v>1</v>
      </c>
      <c r="O1960" s="1" t="str">
        <f>VLOOKUP(H1960,'RM Used'!A:E,5,0)</f>
        <v>Count</v>
      </c>
      <c r="P1960" s="11">
        <f>VLOOKUP(H1960,'RM Used'!A:F,6,0)</f>
        <v>0.09</v>
      </c>
      <c r="Q1960" s="11">
        <f t="shared" si="783"/>
        <v>0.09</v>
      </c>
      <c r="R1960" s="11">
        <f>IFERROR(IF(B1960="Reynolds",VLOOKUP(H1960,'Yield &amp; Time'!A:U,21,0),VLOOKUP(H1960,'Yield &amp; Time'!A:L,12,0)),0)</f>
        <v>0</v>
      </c>
      <c r="S1960" s="11">
        <f t="shared" si="769"/>
        <v>0</v>
      </c>
      <c r="T1960" s="11">
        <f t="shared" si="770"/>
        <v>0</v>
      </c>
      <c r="U1960" s="11">
        <f>IF(A1959=A1960,0,VLOOKUP(A1960,'Packing Time'!A:F,6,0))</f>
        <v>0</v>
      </c>
      <c r="V1960" s="11">
        <f t="shared" si="792"/>
        <v>0</v>
      </c>
      <c r="W1960" s="11">
        <f t="shared" si="793"/>
        <v>0</v>
      </c>
      <c r="X1960" s="11">
        <f t="shared" si="773"/>
        <v>0</v>
      </c>
      <c r="Y1960" s="11">
        <f t="shared" si="794"/>
        <v>0</v>
      </c>
      <c r="Z1960" s="37">
        <v>1</v>
      </c>
      <c r="AA1960" s="36">
        <f t="shared" si="775"/>
        <v>1</v>
      </c>
      <c r="AB1960" s="36">
        <f t="shared" si="776"/>
        <v>0.09</v>
      </c>
      <c r="AC1960" s="11">
        <f t="shared" si="777"/>
        <v>0</v>
      </c>
      <c r="AD1960" s="36">
        <f t="shared" si="795"/>
        <v>0</v>
      </c>
      <c r="AE1960" s="36"/>
      <c r="AF1960" s="36">
        <f>IFERROR(VLOOKUP(AE1960,'Chemical Cost'!A:D,4,0),0)</f>
        <v>0</v>
      </c>
      <c r="AG1960" s="114">
        <f t="shared" si="779"/>
        <v>0</v>
      </c>
      <c r="AH1960" s="36">
        <f t="shared" si="788"/>
        <v>0</v>
      </c>
      <c r="AI1960" s="36">
        <f t="shared" si="796"/>
        <v>0.09</v>
      </c>
      <c r="AJ1960" s="36">
        <f>IFERROR(VLOOKUP(A1960,'All Products'!A:F,6,0),0)</f>
        <v>0</v>
      </c>
      <c r="AK1960" s="36"/>
      <c r="AL1960" s="23">
        <v>1</v>
      </c>
      <c r="AM1960" s="23"/>
      <c r="AN1960" s="54" t="e">
        <v>#N/A</v>
      </c>
      <c r="AO1960" s="47"/>
      <c r="AP1960" s="4">
        <v>1.1000000000000001</v>
      </c>
      <c r="AQ1960" s="111">
        <f t="shared" si="782"/>
        <v>0</v>
      </c>
      <c r="AR1960">
        <f>_xlfn.XLOOKUP(F1960,'RM Cost'!A:A,'RM Cost'!S:S)</f>
        <v>0</v>
      </c>
      <c r="AS1960" t="str">
        <f>_xlfn.XLOOKUP(A1960,[3]Sheet1!$B:$B,[3]Sheet1!$B:$B)</f>
        <v>683CCS</v>
      </c>
      <c r="AT1960" t="e">
        <f>_xlfn.XLOOKUP(H1960,'Yield &amp; Time'!A:A,'Yield &amp; Time'!F:F)</f>
        <v>#N/A</v>
      </c>
    </row>
    <row r="1961" spans="1:46" x14ac:dyDescent="0.25">
      <c r="A1961" t="s">
        <v>4865</v>
      </c>
      <c r="B1961" s="2" t="s">
        <v>552</v>
      </c>
      <c r="C1961" s="94" t="s">
        <v>4870</v>
      </c>
      <c r="D1961" s="2" t="s">
        <v>554</v>
      </c>
      <c r="E1961" s="63">
        <v>2.5</v>
      </c>
      <c r="F1961" s="1" t="str">
        <f>VLOOKUP(H1961,'RM Used'!A:B,2,0)</f>
        <v>S3997CS</v>
      </c>
      <c r="G1961" s="1" t="str">
        <f>IFERROR(VLOOKUP(F1961,'RM Cost'!A:B,2,0),"")</f>
        <v>RM - DECORE WHITE CABBAGE 1/3 1200KG</v>
      </c>
      <c r="H1961" s="2" t="s">
        <v>1350</v>
      </c>
      <c r="I1961" s="1" t="str">
        <f>VLOOKUP(F1961,'RM Used'!B:D,3,0)</f>
        <v>RM-FOOD</v>
      </c>
      <c r="J1961" s="66">
        <v>0.5</v>
      </c>
      <c r="K1961" s="35">
        <f t="shared" ref="K1961:K1974" si="798">IF(I1961="RM-FOOD",J1961*E1961,"")</f>
        <v>1.25</v>
      </c>
      <c r="L1961" s="35">
        <f t="shared" ref="L1961:L1984" si="799">IFERROR(K1961*Z1961,0)</f>
        <v>1.25</v>
      </c>
      <c r="M1961" s="77" cm="1">
        <f t="array" ref="M1961">_xlfn.IFS(BOM!I1961="RM-PACKING","100%",B1961="Reynolds",VLOOKUP(H1961,'Yield &amp; Time'!A:V,22,0),BOM!B1961="Dnata",VLOOKUP(BOM!H1961,'Yield &amp; Time'!A:M,13,0),B1961="NK",VLOOKUP(H1961,'Yield &amp; Time'!A:X,24,0))</f>
        <v>0.77222322232223217</v>
      </c>
      <c r="N1961" s="35">
        <f t="shared" ref="N1961:N1972" si="800">IFERROR(IF(I1961="RM-FOOD",(E1961*J1961)/M1961,1),0)</f>
        <v>1.6187029395995058</v>
      </c>
      <c r="O1961" s="1" t="str">
        <f>VLOOKUP(H1961,'RM Used'!A:E,5,0)</f>
        <v>KG</v>
      </c>
      <c r="P1961" s="11">
        <f>VLOOKUP(H1961,'RM Used'!A:F,6,0)</f>
        <v>0.34</v>
      </c>
      <c r="Q1961" s="11">
        <f t="shared" ref="Q1961:Q1984" si="801">P1961*N1961</f>
        <v>0.55035899946383204</v>
      </c>
      <c r="R1961" s="11">
        <f>IFERROR(IF(B1961="Reynolds",VLOOKUP(H1961,'Yield &amp; Time'!A:U,21,0),VLOOKUP(H1961,'Yield &amp; Time'!A:L,12,0)),0)</f>
        <v>0.82773480662983423</v>
      </c>
      <c r="S1961" s="11">
        <f t="shared" ref="S1961:S1984" si="802">R1961*J1961*E1961*AO$1</f>
        <v>0.35023529005524862</v>
      </c>
      <c r="T1961" s="11">
        <f t="shared" ref="T1961:T1984" si="803">(R1961*Z1961*J1961*E1961)/60</f>
        <v>1.7244475138121548E-2</v>
      </c>
      <c r="U1961" s="11">
        <f>IF(A1960=A1961,0,VLOOKUP(A1961,'Packing Time'!A:F,6,0))</f>
        <v>0.875</v>
      </c>
      <c r="V1961" s="11">
        <f t="shared" ref="V1961:V1972" si="804">U1961*AO$1</f>
        <v>0.29618749999999999</v>
      </c>
      <c r="W1961" s="11">
        <f t="shared" ref="W1961:W1972" si="805">(U1961*Z1961)/60</f>
        <v>1.4583333333333334E-2</v>
      </c>
      <c r="X1961" s="11">
        <f t="shared" ref="X1961:X1984" si="806">((R1961*J1961*E1961)+U1961)*AO$1*AP1961</f>
        <v>0.71106506906077349</v>
      </c>
      <c r="Y1961" s="11">
        <f t="shared" ref="Y1961:Y1972" si="807">X1961*Z1961</f>
        <v>0.71106506906077349</v>
      </c>
      <c r="Z1961" s="37">
        <v>1</v>
      </c>
      <c r="AA1961" s="36">
        <f t="shared" ref="AA1961:AA1984" si="808">Z1961*N1961</f>
        <v>1.6187029395995058</v>
      </c>
      <c r="AB1961" s="36">
        <f t="shared" ref="AB1961:AB1984" si="809">AA1961*P1961</f>
        <v>0.55035899946383204</v>
      </c>
      <c r="AC1961" s="11">
        <f t="shared" ref="AC1961:AC1984" si="810">(((R1961*J1961*E1961)+U1961)/60)*Z1961*AP1961</f>
        <v>3.501058931860037E-2</v>
      </c>
      <c r="AD1961" s="36">
        <f t="shared" ref="AD1961:AD1972" si="811">AC1961*60*AO$1</f>
        <v>0.71106506906077349</v>
      </c>
      <c r="AE1961" s="36"/>
      <c r="AF1961" s="36">
        <f>IFERROR(VLOOKUP(AE1961,'Chemical Cost'!A:D,4,0),0)</f>
        <v>0</v>
      </c>
      <c r="AG1961" s="114">
        <f t="shared" ref="AG1961:AG1984" si="812">AF1961*N1961/3</f>
        <v>0</v>
      </c>
      <c r="AH1961" s="36">
        <f t="shared" ref="AH1961:AH1974" si="813">AF1961*AA1961/3</f>
        <v>0</v>
      </c>
      <c r="AI1961" s="36">
        <f t="shared" ref="AI1961:AI1972" si="814">IFERROR((Q1961*Z1961)+(Z1961*X1961)+AH1961,0)</f>
        <v>1.2614240685246054</v>
      </c>
      <c r="AJ1961" s="36">
        <f>IFERROR(VLOOKUP(A1961,'All Products'!A:F,6,0),0)</f>
        <v>0</v>
      </c>
      <c r="AK1961" s="36"/>
      <c r="AL1961" s="23">
        <v>1</v>
      </c>
      <c r="AM1961" s="23"/>
      <c r="AN1961" s="54" t="e">
        <v>#N/A</v>
      </c>
      <c r="AO1961" s="47"/>
      <c r="AP1961" s="4">
        <v>1.1000000000000001</v>
      </c>
      <c r="AQ1961" s="111">
        <f t="shared" ref="AQ1961:AQ1979" si="815">(((R1961*J1961*E1961)+U1961)/60)*AP1961</f>
        <v>3.501058931860037E-2</v>
      </c>
      <c r="AS1961" t="str">
        <f>_xlfn.XLOOKUP(A1961,[3]Sheet1!$B:$B,[3]Sheet1!$B:$B)</f>
        <v>673CCS</v>
      </c>
      <c r="AT1961" t="str">
        <f>_xlfn.XLOOKUP(H1961,'Yield &amp; Time'!A:A,'Yield &amp; Time'!O:O)</f>
        <v>Yes</v>
      </c>
    </row>
    <row r="1962" spans="1:46" x14ac:dyDescent="0.25">
      <c r="A1962" t="s">
        <v>4865</v>
      </c>
      <c r="B1962" s="2" t="s">
        <v>552</v>
      </c>
      <c r="C1962" s="94" t="s">
        <v>4870</v>
      </c>
      <c r="D1962" s="2" t="s">
        <v>554</v>
      </c>
      <c r="E1962" s="63">
        <v>2.5</v>
      </c>
      <c r="F1962" s="1" t="str">
        <f>VLOOKUP(H1962,'RM Used'!A:B,2,0)</f>
        <v>S3998CS</v>
      </c>
      <c r="G1962" s="1" t="str">
        <f>IFERROR(VLOOKUP(F1962,'RM Cost'!A:B,2,0),"")</f>
        <v>RM - DECORED RED CABBAGE 1/3 1200KG</v>
      </c>
      <c r="H1962" s="2" t="s">
        <v>1360</v>
      </c>
      <c r="I1962" s="1" t="str">
        <f>VLOOKUP(F1962,'RM Used'!B:D,3,0)</f>
        <v>RM-FOOD</v>
      </c>
      <c r="J1962" s="66">
        <v>0.35</v>
      </c>
      <c r="K1962" s="35">
        <f t="shared" si="798"/>
        <v>0.875</v>
      </c>
      <c r="L1962" s="35">
        <f t="shared" si="799"/>
        <v>0.875</v>
      </c>
      <c r="M1962" s="77" cm="1">
        <f t="array" ref="M1962">_xlfn.IFS(BOM!I1962="RM-PACKING","100%",B1962="Reynolds",VLOOKUP(H1962,'Yield &amp; Time'!A:V,22,0),BOM!B1962="Dnata",VLOOKUP(BOM!H1962,'Yield &amp; Time'!A:M,13,0),B1962="NK",VLOOKUP(H1962,'Yield &amp; Time'!A:X,24,0))</f>
        <v>0.70079999999999998</v>
      </c>
      <c r="N1962" s="35">
        <f t="shared" si="800"/>
        <v>1.2485730593607307</v>
      </c>
      <c r="O1962" s="1" t="str">
        <f>VLOOKUP(H1962,'RM Used'!A:E,5,0)</f>
        <v>KG</v>
      </c>
      <c r="P1962" s="11">
        <f>VLOOKUP(H1962,'RM Used'!A:F,6,0)</f>
        <v>0.38</v>
      </c>
      <c r="Q1962" s="11">
        <f t="shared" si="801"/>
        <v>0.47445776255707767</v>
      </c>
      <c r="R1962" s="11">
        <f>IFERROR(IF(B1962="Reynolds",VLOOKUP(H1962,'Yield &amp; Time'!A:U,21,0),VLOOKUP(H1962,'Yield &amp; Time'!A:L,12,0)),0)</f>
        <v>0.89425536255080118</v>
      </c>
      <c r="S1962" s="11">
        <f t="shared" si="802"/>
        <v>0.26486726019551537</v>
      </c>
      <c r="T1962" s="11">
        <f t="shared" si="803"/>
        <v>1.3041224037199184E-2</v>
      </c>
      <c r="U1962" s="11">
        <f>IF(A1961=A1962,0,VLOOKUP(A1962,'Packing Time'!A:F,6,0))</f>
        <v>0</v>
      </c>
      <c r="V1962" s="11">
        <f t="shared" si="804"/>
        <v>0</v>
      </c>
      <c r="W1962" s="11">
        <f t="shared" si="805"/>
        <v>0</v>
      </c>
      <c r="X1962" s="11">
        <f t="shared" si="806"/>
        <v>0.29135398621506692</v>
      </c>
      <c r="Y1962" s="11">
        <f t="shared" si="807"/>
        <v>0.29135398621506692</v>
      </c>
      <c r="Z1962" s="37">
        <v>1</v>
      </c>
      <c r="AA1962" s="36">
        <f t="shared" si="808"/>
        <v>1.2485730593607307</v>
      </c>
      <c r="AB1962" s="36">
        <f t="shared" si="809"/>
        <v>0.47445776255707767</v>
      </c>
      <c r="AC1962" s="11">
        <f t="shared" si="810"/>
        <v>1.4345346440919103E-2</v>
      </c>
      <c r="AD1962" s="36">
        <f t="shared" si="811"/>
        <v>0.29135398621506697</v>
      </c>
      <c r="AE1962" s="36"/>
      <c r="AF1962" s="36">
        <f>IFERROR(VLOOKUP(AE1962,'Chemical Cost'!A:D,4,0),0)</f>
        <v>0</v>
      </c>
      <c r="AG1962" s="114">
        <f t="shared" si="812"/>
        <v>0</v>
      </c>
      <c r="AH1962" s="36">
        <f t="shared" si="813"/>
        <v>0</v>
      </c>
      <c r="AI1962" s="36">
        <f t="shared" si="814"/>
        <v>0.76581174877214453</v>
      </c>
      <c r="AJ1962" s="36">
        <f>IFERROR(VLOOKUP(A1962,'All Products'!A:F,6,0),0)</f>
        <v>0</v>
      </c>
      <c r="AK1962" s="36"/>
      <c r="AL1962" s="23">
        <v>1</v>
      </c>
      <c r="AM1962" s="23"/>
      <c r="AN1962" s="54" t="e">
        <v>#N/A</v>
      </c>
      <c r="AO1962" s="47"/>
      <c r="AP1962" s="4">
        <v>1.1000000000000001</v>
      </c>
      <c r="AQ1962" s="111">
        <f t="shared" si="815"/>
        <v>1.4345346440919103E-2</v>
      </c>
      <c r="AS1962" t="str">
        <f>_xlfn.XLOOKUP(A1962,[3]Sheet1!$B:$B,[3]Sheet1!$B:$B)</f>
        <v>673CCS</v>
      </c>
      <c r="AT1962" t="str">
        <f>_xlfn.XLOOKUP(H1962,'Yield &amp; Time'!A:A,'Yield &amp; Time'!O:O)</f>
        <v>Yes</v>
      </c>
    </row>
    <row r="1963" spans="1:46" x14ac:dyDescent="0.25">
      <c r="A1963" t="s">
        <v>4865</v>
      </c>
      <c r="B1963" s="2" t="s">
        <v>552</v>
      </c>
      <c r="C1963" s="94" t="s">
        <v>4870</v>
      </c>
      <c r="D1963" s="2" t="s">
        <v>554</v>
      </c>
      <c r="E1963" s="63">
        <v>2.5</v>
      </c>
      <c r="F1963" s="1" t="str">
        <f>VLOOKUP(H1963,'RM Used'!A:B,2,0)</f>
        <v>032ACS</v>
      </c>
      <c r="G1963" s="1" t="str">
        <f>IFERROR(VLOOKUP(F1963,'RM Cost'!A:B,2,0),"")</f>
        <v>RM - LRG PROCESSING CARROT X 1000KG</v>
      </c>
      <c r="H1963" s="2" t="s">
        <v>1351</v>
      </c>
      <c r="I1963" s="1" t="str">
        <f>VLOOKUP(F1963,'RM Used'!B:D,3,0)</f>
        <v>RM-FOOD</v>
      </c>
      <c r="J1963" s="66">
        <v>0.15</v>
      </c>
      <c r="K1963" s="35">
        <f t="shared" si="798"/>
        <v>0.375</v>
      </c>
      <c r="L1963" s="35">
        <f t="shared" si="799"/>
        <v>0.375</v>
      </c>
      <c r="M1963" s="77" cm="1">
        <f t="array" ref="M1963">_xlfn.IFS(BOM!I1963="RM-PACKING","100%",B1963="Reynolds",VLOOKUP(H1963,'Yield &amp; Time'!A:V,22,0),BOM!B1963="Dnata",VLOOKUP(BOM!H1963,'Yield &amp; Time'!A:M,13,0),B1963="NK",VLOOKUP(H1963,'Yield &amp; Time'!A:X,24,0))</f>
        <v>0.75330000000000008</v>
      </c>
      <c r="N1963" s="35">
        <f t="shared" si="800"/>
        <v>0.4978096375945838</v>
      </c>
      <c r="O1963" s="1" t="str">
        <f>VLOOKUP(H1963,'RM Used'!A:E,5,0)</f>
        <v>KG</v>
      </c>
      <c r="P1963" s="11">
        <f>VLOOKUP(H1963,'RM Used'!A:F,6,0)</f>
        <v>0.38</v>
      </c>
      <c r="Q1963" s="11">
        <f t="shared" si="801"/>
        <v>0.18916766228594184</v>
      </c>
      <c r="R1963" s="11">
        <f>IFERROR(IF(B1963="Reynolds",VLOOKUP(H1963,'Yield &amp; Time'!A:U,21,0),VLOOKUP(H1963,'Yield &amp; Time'!A:L,12,0)),0)</f>
        <v>0.90531914893617027</v>
      </c>
      <c r="S1963" s="11">
        <f t="shared" si="802"/>
        <v>0.11491894946808509</v>
      </c>
      <c r="T1963" s="11">
        <f t="shared" si="803"/>
        <v>5.6582446808510637E-3</v>
      </c>
      <c r="U1963" s="11">
        <f>IF(A1962=A1963,0,VLOOKUP(A1963,'Packing Time'!A:F,6,0))</f>
        <v>0</v>
      </c>
      <c r="V1963" s="11">
        <f t="shared" si="804"/>
        <v>0</v>
      </c>
      <c r="W1963" s="11">
        <f t="shared" si="805"/>
        <v>0</v>
      </c>
      <c r="X1963" s="11">
        <f t="shared" si="806"/>
        <v>0.12641084441489361</v>
      </c>
      <c r="Y1963" s="11">
        <f t="shared" si="807"/>
        <v>0.12641084441489361</v>
      </c>
      <c r="Z1963" s="37">
        <v>1</v>
      </c>
      <c r="AA1963" s="36">
        <f t="shared" si="808"/>
        <v>0.4978096375945838</v>
      </c>
      <c r="AB1963" s="36">
        <f t="shared" si="809"/>
        <v>0.18916766228594184</v>
      </c>
      <c r="AC1963" s="11">
        <f t="shared" si="810"/>
        <v>6.2240691489361703E-3</v>
      </c>
      <c r="AD1963" s="36">
        <f t="shared" si="811"/>
        <v>0.12641084441489361</v>
      </c>
      <c r="AE1963" s="36"/>
      <c r="AF1963" s="36">
        <f>IFERROR(VLOOKUP(AE1963,'Chemical Cost'!A:D,4,0),0)</f>
        <v>0</v>
      </c>
      <c r="AG1963" s="114">
        <f t="shared" si="812"/>
        <v>0</v>
      </c>
      <c r="AH1963" s="36">
        <f t="shared" si="813"/>
        <v>0</v>
      </c>
      <c r="AI1963" s="36">
        <f t="shared" si="814"/>
        <v>0.31557850670083543</v>
      </c>
      <c r="AJ1963" s="36">
        <f>IFERROR(VLOOKUP(A1963,'All Products'!A:F,6,0),0)</f>
        <v>0</v>
      </c>
      <c r="AK1963" s="36"/>
      <c r="AL1963" s="23">
        <v>1</v>
      </c>
      <c r="AM1963" s="23"/>
      <c r="AN1963" s="54" t="e">
        <v>#N/A</v>
      </c>
      <c r="AO1963" s="47"/>
      <c r="AP1963" s="4">
        <v>1.1000000000000001</v>
      </c>
      <c r="AQ1963" s="111">
        <f t="shared" si="815"/>
        <v>6.2240691489361703E-3</v>
      </c>
      <c r="AS1963" t="str">
        <f>_xlfn.XLOOKUP(A1963,[3]Sheet1!$B:$B,[3]Sheet1!$B:$B)</f>
        <v>673CCS</v>
      </c>
      <c r="AT1963" t="str">
        <f>_xlfn.XLOOKUP(H1963,'Yield &amp; Time'!A:A,'Yield &amp; Time'!O:O)</f>
        <v>Yes</v>
      </c>
    </row>
    <row r="1964" spans="1:46" x14ac:dyDescent="0.25">
      <c r="A1964" t="s">
        <v>4865</v>
      </c>
      <c r="B1964" s="2" t="s">
        <v>552</v>
      </c>
      <c r="C1964" s="94" t="s">
        <v>4870</v>
      </c>
      <c r="D1964" s="2" t="s">
        <v>554</v>
      </c>
      <c r="E1964" s="63">
        <v>2.5</v>
      </c>
      <c r="F1964" s="1" t="str">
        <f>VLOOKUP(H1964,'RM Used'!A:B,2,0)</f>
        <v>P0020</v>
      </c>
      <c r="G1964" s="1" t="str">
        <f>IFERROR(VLOOKUP(F1964,'RM Cost'!A:B,2,0),"")</f>
        <v>PALE BLUE BAG 430X430MM</v>
      </c>
      <c r="H1964" s="2" t="s">
        <v>1659</v>
      </c>
      <c r="I1964" s="1" t="str">
        <f>VLOOKUP(F1964,'RM Used'!B:D,3,0)</f>
        <v>RM-PACKING</v>
      </c>
      <c r="J1964" s="66">
        <v>1</v>
      </c>
      <c r="K1964" s="35" t="str">
        <f t="shared" si="798"/>
        <v/>
      </c>
      <c r="L1964" s="35">
        <f t="shared" si="799"/>
        <v>0</v>
      </c>
      <c r="M1964" s="77" t="str" cm="1">
        <f t="array" ref="M1964">_xlfn.IFS(BOM!I1964="RM-PACKING","100%",B1964="Reynolds",VLOOKUP(H1964,'Yield &amp; Time'!A:V,22,0),BOM!B1964="Dnata",VLOOKUP(BOM!H1964,'Yield &amp; Time'!A:M,13,0),B1964="NK",VLOOKUP(H1964,'Yield &amp; Time'!A:X,24,0))</f>
        <v>100%</v>
      </c>
      <c r="N1964" s="35">
        <f t="shared" si="800"/>
        <v>1</v>
      </c>
      <c r="O1964" s="1" t="str">
        <f>VLOOKUP(H1964,'RM Used'!A:E,5,0)</f>
        <v>Count</v>
      </c>
      <c r="P1964" s="11">
        <f>VLOOKUP(H1964,'RM Used'!A:F,6,0)</f>
        <v>0.09</v>
      </c>
      <c r="Q1964" s="11">
        <f t="shared" si="801"/>
        <v>0.09</v>
      </c>
      <c r="R1964" s="11">
        <f>IFERROR(IF(B1964="Reynolds",VLOOKUP(H1964,'Yield &amp; Time'!A:U,21,0),VLOOKUP(H1964,'Yield &amp; Time'!A:L,12,0)),0)</f>
        <v>0</v>
      </c>
      <c r="S1964" s="11">
        <f t="shared" si="802"/>
        <v>0</v>
      </c>
      <c r="T1964" s="11">
        <f t="shared" si="803"/>
        <v>0</v>
      </c>
      <c r="U1964" s="11">
        <f>IF(A1963=A1964,0,VLOOKUP(A1964,'Packing Time'!A:F,6,0))</f>
        <v>0</v>
      </c>
      <c r="V1964" s="11">
        <f t="shared" si="804"/>
        <v>0</v>
      </c>
      <c r="W1964" s="11">
        <f t="shared" si="805"/>
        <v>0</v>
      </c>
      <c r="X1964" s="11">
        <f t="shared" si="806"/>
        <v>0</v>
      </c>
      <c r="Y1964" s="11">
        <f t="shared" si="807"/>
        <v>0</v>
      </c>
      <c r="Z1964" s="37">
        <v>1</v>
      </c>
      <c r="AA1964" s="36">
        <f t="shared" si="808"/>
        <v>1</v>
      </c>
      <c r="AB1964" s="36">
        <f t="shared" si="809"/>
        <v>0.09</v>
      </c>
      <c r="AC1964" s="11">
        <f t="shared" si="810"/>
        <v>0</v>
      </c>
      <c r="AD1964" s="36">
        <f t="shared" si="811"/>
        <v>0</v>
      </c>
      <c r="AE1964" s="36"/>
      <c r="AF1964" s="36">
        <f>IFERROR(VLOOKUP(AE1964,'Chemical Cost'!A:D,4,0),0)</f>
        <v>0</v>
      </c>
      <c r="AG1964" s="114">
        <f t="shared" si="812"/>
        <v>0</v>
      </c>
      <c r="AH1964" s="36">
        <f t="shared" si="813"/>
        <v>0</v>
      </c>
      <c r="AI1964" s="36">
        <f t="shared" si="814"/>
        <v>0.09</v>
      </c>
      <c r="AJ1964" s="36">
        <f>IFERROR(VLOOKUP(A1964,'All Products'!A:F,6,0),0)</f>
        <v>0</v>
      </c>
      <c r="AK1964" s="36"/>
      <c r="AL1964" s="23">
        <v>1</v>
      </c>
      <c r="AM1964" s="23"/>
      <c r="AN1964" s="54" t="e">
        <v>#N/A</v>
      </c>
      <c r="AO1964" s="47"/>
      <c r="AP1964" s="4">
        <v>1.1000000000000001</v>
      </c>
      <c r="AQ1964" s="111">
        <f t="shared" si="815"/>
        <v>0</v>
      </c>
      <c r="AS1964" t="str">
        <f>_xlfn.XLOOKUP(A1964,[3]Sheet1!$B:$B,[3]Sheet1!$B:$B)</f>
        <v>673CCS</v>
      </c>
      <c r="AT1964" t="e">
        <f>_xlfn.XLOOKUP(H1964,'Yield &amp; Time'!A:A,'Yield &amp; Time'!F:F)</f>
        <v>#N/A</v>
      </c>
    </row>
    <row r="1965" spans="1:46" x14ac:dyDescent="0.25">
      <c r="A1965" t="s">
        <v>4865</v>
      </c>
      <c r="B1965" s="2" t="s">
        <v>552</v>
      </c>
      <c r="C1965" s="94" t="s">
        <v>4870</v>
      </c>
      <c r="D1965" s="2" t="s">
        <v>554</v>
      </c>
      <c r="E1965" s="63">
        <v>2.5</v>
      </c>
      <c r="F1965" s="1" t="str">
        <f>VLOOKUP(H1965,'RM Used'!A:B,2,0)</f>
        <v>P0016</v>
      </c>
      <c r="G1965" s="1" t="str">
        <f>IFERROR(VLOOKUP(F1965,'RM Cost'!A:B,2,0),"")</f>
        <v>REY 40 30 BOX</v>
      </c>
      <c r="H1965" s="2" t="s">
        <v>1332</v>
      </c>
      <c r="I1965" s="1" t="str">
        <f>VLOOKUP(F1965,'RM Used'!B:D,3,0)</f>
        <v>RM-PACKING</v>
      </c>
      <c r="J1965" s="66">
        <v>1</v>
      </c>
      <c r="K1965" s="35" t="str">
        <f t="shared" si="798"/>
        <v/>
      </c>
      <c r="L1965" s="35">
        <f t="shared" si="799"/>
        <v>0</v>
      </c>
      <c r="M1965" s="77" t="str" cm="1">
        <f t="array" ref="M1965">_xlfn.IFS(BOM!I1965="RM-PACKING","100%",B1965="Reynolds",VLOOKUP(H1965,'Yield &amp; Time'!A:V,22,0),BOM!B1965="Dnata",VLOOKUP(BOM!H1965,'Yield &amp; Time'!A:M,13,0),B1965="NK",VLOOKUP(H1965,'Yield &amp; Time'!A:X,24,0))</f>
        <v>100%</v>
      </c>
      <c r="N1965" s="35">
        <f t="shared" si="800"/>
        <v>1</v>
      </c>
      <c r="O1965" s="1" t="str">
        <f>VLOOKUP(H1965,'RM Used'!A:E,5,0)</f>
        <v>Count</v>
      </c>
      <c r="P1965" s="11">
        <f>VLOOKUP(H1965,'RM Used'!A:F,6,0)</f>
        <v>0.28000000000000003</v>
      </c>
      <c r="Q1965" s="11">
        <f t="shared" si="801"/>
        <v>0.28000000000000003</v>
      </c>
      <c r="R1965" s="11">
        <f>IFERROR(IF(B1965="Reynolds",VLOOKUP(H1965,'Yield &amp; Time'!A:U,21,0),VLOOKUP(H1965,'Yield &amp; Time'!A:L,12,0)),0)</f>
        <v>0</v>
      </c>
      <c r="S1965" s="11">
        <f t="shared" si="802"/>
        <v>0</v>
      </c>
      <c r="T1965" s="11">
        <f t="shared" si="803"/>
        <v>0</v>
      </c>
      <c r="U1965" s="11">
        <f>IF(A1964=A1965,0,VLOOKUP(A1965,'Packing Time'!A:F,6,0))</f>
        <v>0</v>
      </c>
      <c r="V1965" s="11">
        <f t="shared" si="804"/>
        <v>0</v>
      </c>
      <c r="W1965" s="11">
        <f t="shared" si="805"/>
        <v>0</v>
      </c>
      <c r="X1965" s="11">
        <f t="shared" si="806"/>
        <v>0</v>
      </c>
      <c r="Y1965" s="11">
        <f t="shared" si="807"/>
        <v>0</v>
      </c>
      <c r="Z1965" s="37">
        <v>1</v>
      </c>
      <c r="AA1965" s="36">
        <f t="shared" si="808"/>
        <v>1</v>
      </c>
      <c r="AB1965" s="36">
        <f t="shared" si="809"/>
        <v>0.28000000000000003</v>
      </c>
      <c r="AC1965" s="11">
        <f t="shared" si="810"/>
        <v>0</v>
      </c>
      <c r="AD1965" s="36">
        <f t="shared" si="811"/>
        <v>0</v>
      </c>
      <c r="AE1965" s="36"/>
      <c r="AF1965" s="36">
        <f>IFERROR(VLOOKUP(AE1965,'Chemical Cost'!A:D,4,0),0)</f>
        <v>0</v>
      </c>
      <c r="AG1965" s="114">
        <f t="shared" si="812"/>
        <v>0</v>
      </c>
      <c r="AH1965" s="36">
        <f t="shared" si="813"/>
        <v>0</v>
      </c>
      <c r="AI1965" s="36">
        <f t="shared" si="814"/>
        <v>0.28000000000000003</v>
      </c>
      <c r="AJ1965" s="36">
        <f>IFERROR(VLOOKUP(A1965,'All Products'!A:F,6,0),0)</f>
        <v>0</v>
      </c>
      <c r="AK1965" s="36"/>
      <c r="AL1965" s="23">
        <v>1</v>
      </c>
      <c r="AM1965" s="23"/>
      <c r="AN1965" s="54" t="e">
        <v>#N/A</v>
      </c>
      <c r="AO1965" s="47"/>
      <c r="AP1965" s="4">
        <v>1.1000000000000001</v>
      </c>
      <c r="AQ1965" s="111">
        <f t="shared" si="815"/>
        <v>0</v>
      </c>
      <c r="AS1965" t="str">
        <f>_xlfn.XLOOKUP(A1965,[3]Sheet1!$B:$B,[3]Sheet1!$B:$B)</f>
        <v>673CCS</v>
      </c>
      <c r="AT1965" t="e">
        <f>_xlfn.XLOOKUP(H1965,'Yield &amp; Time'!A:A,'Yield &amp; Time'!F:F)</f>
        <v>#N/A</v>
      </c>
    </row>
    <row r="1966" spans="1:46" x14ac:dyDescent="0.25">
      <c r="A1966" s="2" t="s">
        <v>4882</v>
      </c>
      <c r="B1966" s="2" t="s">
        <v>552</v>
      </c>
      <c r="C1966" s="2" t="s">
        <v>117</v>
      </c>
      <c r="D1966" s="2" t="s">
        <v>554</v>
      </c>
      <c r="E1966" s="2">
        <v>2.7</v>
      </c>
      <c r="F1966" s="1" t="str">
        <f>VLOOKUP(H1966,'RM Used'!A:B,2,0)</f>
        <v>2789CS</v>
      </c>
      <c r="G1966" s="1" t="str">
        <f>IFERROR(VLOOKUP(F1966,'RM Cost'!A:B,2,0),"")</f>
        <v>RM - PINEAPPLE X 6</v>
      </c>
      <c r="H1966" s="2" t="s">
        <v>1379</v>
      </c>
      <c r="I1966" s="1" t="str">
        <f>VLOOKUP(F1966,'RM Used'!B:D,3,0)</f>
        <v>RM-FOOD</v>
      </c>
      <c r="J1966" s="66">
        <v>0.14814814814814814</v>
      </c>
      <c r="K1966" s="35">
        <f t="shared" si="798"/>
        <v>0.4</v>
      </c>
      <c r="L1966" s="35">
        <f t="shared" si="799"/>
        <v>0.4</v>
      </c>
      <c r="M1966" s="77" cm="1">
        <f t="array" ref="M1966">_xlfn.IFS(BOM!I1966="RM-PACKING","100%",B1966="Reynolds",VLOOKUP(H1966,'Yield &amp; Time'!A:V,22,0),BOM!B1966="Dnata",VLOOKUP(BOM!H1966,'Yield &amp; Time'!A:M,13,0),B1966="NK",VLOOKUP(H1966,'Yield &amp; Time'!A:X,24,0))</f>
        <v>0.35230352303523038</v>
      </c>
      <c r="N1966" s="35">
        <f t="shared" si="800"/>
        <v>1.1353846153846154</v>
      </c>
      <c r="O1966" s="1" t="str">
        <f>VLOOKUP(H1966,'RM Used'!A:E,5,0)</f>
        <v>KG</v>
      </c>
      <c r="P1966" s="11">
        <f>VLOOKUP(H1966,'RM Used'!A:F,6,0)</f>
        <v>0.7</v>
      </c>
      <c r="Q1966" s="11">
        <f t="shared" si="801"/>
        <v>0.79476923076923078</v>
      </c>
      <c r="R1966" s="11">
        <f>IFERROR(IF(B1966="Reynolds",VLOOKUP(H1966,'Yield &amp; Time'!A:U,21,0),VLOOKUP(H1966,'Yield &amp; Time'!A:L,12,0)),0)</f>
        <v>1.3973833543505674</v>
      </c>
      <c r="S1966" s="11">
        <f t="shared" si="802"/>
        <v>0.18920570617906679</v>
      </c>
      <c r="T1966" s="11">
        <f t="shared" si="803"/>
        <v>9.3158890290037828E-3</v>
      </c>
      <c r="U1966" s="11">
        <f>IF(A1965=A1966,0,VLOOKUP(A1966,'Packing Time'!A:F,6,0))</f>
        <v>2.375</v>
      </c>
      <c r="V1966" s="11">
        <f t="shared" si="804"/>
        <v>0.80393749999999997</v>
      </c>
      <c r="W1966" s="11">
        <f t="shared" si="805"/>
        <v>3.9583333333333331E-2</v>
      </c>
      <c r="X1966" s="11">
        <f t="shared" si="806"/>
        <v>1.0924575267969734</v>
      </c>
      <c r="Y1966" s="11">
        <f t="shared" si="807"/>
        <v>1.0924575267969734</v>
      </c>
      <c r="Z1966" s="37">
        <v>1</v>
      </c>
      <c r="AA1966" s="36">
        <f t="shared" si="808"/>
        <v>1.1353846153846154</v>
      </c>
      <c r="AB1966" s="36">
        <f t="shared" si="809"/>
        <v>0.79476923076923078</v>
      </c>
      <c r="AC1966" s="11">
        <f t="shared" si="810"/>
        <v>5.3789144598570836E-2</v>
      </c>
      <c r="AD1966" s="36">
        <f t="shared" si="811"/>
        <v>1.0924575267969736</v>
      </c>
      <c r="AE1966" s="36" t="str">
        <f>VLOOKUP(H1966,'Yield &amp; Time'!A:R,18,0)</f>
        <v>CHLORINE</v>
      </c>
      <c r="AF1966" s="36">
        <f>IFERROR(VLOOKUP(AE1966,'Chemical Cost'!A:D,4,0),0)</f>
        <v>2.7756518066439469E-2</v>
      </c>
      <c r="AG1966" s="114">
        <f t="shared" si="812"/>
        <v>1.0504774529760168E-2</v>
      </c>
      <c r="AH1966" s="36">
        <f t="shared" si="813"/>
        <v>1.0504774529760168E-2</v>
      </c>
      <c r="AI1966" s="36">
        <f t="shared" si="814"/>
        <v>1.8977315320959642</v>
      </c>
      <c r="AJ1966" s="36">
        <f>IFERROR(VLOOKUP(A1966,'All Products'!A:F,6,0),0)</f>
        <v>0</v>
      </c>
      <c r="AK1966" s="36">
        <f t="shared" ref="AK1966:AK1973" si="816">AJ1966*Z1966*J1966</f>
        <v>0</v>
      </c>
      <c r="AL1966" s="23"/>
      <c r="AM1966" s="23">
        <v>1</v>
      </c>
      <c r="AN1966" s="54" t="e">
        <v>#N/A</v>
      </c>
      <c r="AO1966" s="47"/>
      <c r="AP1966" s="4">
        <v>1.1000000000000001</v>
      </c>
      <c r="AQ1966" s="111">
        <f t="shared" si="815"/>
        <v>5.3789144598570836E-2</v>
      </c>
      <c r="AR1966">
        <f>_xlfn.XLOOKUP(F1966,'RM Cost'!A:A,'RM Cost'!S:S)</f>
        <v>0</v>
      </c>
      <c r="AS1966" t="str">
        <f>_xlfn.XLOOKUP(A1966,[3]Sheet1!$B:$B,[3]Sheet1!$B:$B)</f>
        <v>688CCS</v>
      </c>
      <c r="AT1966" t="str">
        <f>_xlfn.XLOOKUP(H1966,'Yield &amp; Time'!A:A,'Yield &amp; Time'!O:O)</f>
        <v>Yes</v>
      </c>
    </row>
    <row r="1967" spans="1:46" x14ac:dyDescent="0.25">
      <c r="A1967" s="2" t="s">
        <v>4882</v>
      </c>
      <c r="B1967" s="2" t="s">
        <v>552</v>
      </c>
      <c r="C1967" s="2" t="s">
        <v>117</v>
      </c>
      <c r="D1967" s="2" t="s">
        <v>554</v>
      </c>
      <c r="E1967" s="2">
        <v>2.7</v>
      </c>
      <c r="F1967" s="1" t="str">
        <f>VLOOKUP(H1967,'RM Used'!A:B,2,0)</f>
        <v>2794CS</v>
      </c>
      <c r="G1967" s="1" t="str">
        <f>IFERROR(VLOOKUP(F1967,'RM Cost'!A:B,2,0),"")</f>
        <v>RM - MELON YELLOW X 6EA</v>
      </c>
      <c r="H1967" s="2" t="s">
        <v>1380</v>
      </c>
      <c r="I1967" s="1" t="str">
        <f>VLOOKUP(F1967,'RM Used'!B:D,3,0)</f>
        <v>RM-FOOD</v>
      </c>
      <c r="J1967" s="66">
        <v>0.14814814814814814</v>
      </c>
      <c r="K1967" s="35">
        <f t="shared" si="798"/>
        <v>0.4</v>
      </c>
      <c r="L1967" s="35">
        <f t="shared" si="799"/>
        <v>0.4</v>
      </c>
      <c r="M1967" s="77" cm="1">
        <f t="array" ref="M1967">_xlfn.IFS(BOM!I1967="RM-PACKING","100%",B1967="Reynolds",VLOOKUP(H1967,'Yield &amp; Time'!A:V,22,0),BOM!B1967="Dnata",VLOOKUP(BOM!H1967,'Yield &amp; Time'!A:M,13,0),B1967="NK",VLOOKUP(H1967,'Yield &amp; Time'!A:X,24,0))</f>
        <v>0.54941373534338356</v>
      </c>
      <c r="N1967" s="35">
        <f t="shared" si="800"/>
        <v>0.72804878048780497</v>
      </c>
      <c r="O1967" s="1" t="str">
        <f>VLOOKUP(H1967,'RM Used'!A:E,5,0)</f>
        <v>KG</v>
      </c>
      <c r="P1967" s="11">
        <f>VLOOKUP(H1967,'RM Used'!A:F,6,0)</f>
        <v>0.81</v>
      </c>
      <c r="Q1967" s="11">
        <f t="shared" si="801"/>
        <v>0.58971951219512209</v>
      </c>
      <c r="R1967" s="11">
        <f>IFERROR(IF(B1967="Reynolds",VLOOKUP(H1967,'Yield &amp; Time'!A:U,21,0),VLOOKUP(H1967,'Yield &amp; Time'!A:L,12,0)),0)</f>
        <v>1.8568181818181819</v>
      </c>
      <c r="S1967" s="11">
        <f t="shared" si="802"/>
        <v>0.25141318181818184</v>
      </c>
      <c r="T1967" s="11">
        <f t="shared" si="803"/>
        <v>1.237878787878788E-2</v>
      </c>
      <c r="U1967" s="11">
        <f>IF(A1966=A1967,0,VLOOKUP(A1967,'Packing Time'!A:F,6,0))</f>
        <v>0</v>
      </c>
      <c r="V1967" s="11">
        <f t="shared" si="804"/>
        <v>0</v>
      </c>
      <c r="W1967" s="11">
        <f t="shared" si="805"/>
        <v>0</v>
      </c>
      <c r="X1967" s="11">
        <f t="shared" si="806"/>
        <v>0.27655450000000004</v>
      </c>
      <c r="Y1967" s="11">
        <f t="shared" si="807"/>
        <v>0.27655450000000004</v>
      </c>
      <c r="Z1967" s="37">
        <v>1</v>
      </c>
      <c r="AA1967" s="36">
        <f t="shared" si="808"/>
        <v>0.72804878048780497</v>
      </c>
      <c r="AB1967" s="36">
        <f t="shared" si="809"/>
        <v>0.58971951219512209</v>
      </c>
      <c r="AC1967" s="11">
        <f t="shared" si="810"/>
        <v>1.3616666666666669E-2</v>
      </c>
      <c r="AD1967" s="36">
        <f t="shared" si="811"/>
        <v>0.27655450000000004</v>
      </c>
      <c r="AE1967" s="36" t="str">
        <f>VLOOKUP(H1967,'Yield &amp; Time'!A:R,18,0)</f>
        <v>CHLORINE</v>
      </c>
      <c r="AF1967" s="36">
        <f>IFERROR(VLOOKUP(AE1967,'Chemical Cost'!A:D,4,0),0)</f>
        <v>2.7756518066439469E-2</v>
      </c>
      <c r="AG1967" s="114">
        <f t="shared" si="812"/>
        <v>6.7360330429529942E-3</v>
      </c>
      <c r="AH1967" s="36">
        <f t="shared" si="813"/>
        <v>6.7360330429529942E-3</v>
      </c>
      <c r="AI1967" s="36">
        <f t="shared" si="814"/>
        <v>0.87301004523807513</v>
      </c>
      <c r="AJ1967" s="36">
        <f>IFERROR(VLOOKUP(A1967,'All Products'!A:F,6,0),0)</f>
        <v>0</v>
      </c>
      <c r="AK1967" s="36">
        <f t="shared" si="816"/>
        <v>0</v>
      </c>
      <c r="AL1967" s="23"/>
      <c r="AM1967" s="23">
        <v>1</v>
      </c>
      <c r="AN1967" s="54" t="e">
        <v>#N/A</v>
      </c>
      <c r="AO1967" s="47"/>
      <c r="AP1967" s="4">
        <v>1.1000000000000001</v>
      </c>
      <c r="AQ1967" s="111">
        <f t="shared" si="815"/>
        <v>1.3616666666666669E-2</v>
      </c>
      <c r="AR1967">
        <f>_xlfn.XLOOKUP(F1967,'RM Cost'!A:A,'RM Cost'!S:S)</f>
        <v>0</v>
      </c>
      <c r="AS1967" t="str">
        <f>_xlfn.XLOOKUP(A1967,[3]Sheet1!$B:$B,[3]Sheet1!$B:$B)</f>
        <v>688CCS</v>
      </c>
      <c r="AT1967" t="str">
        <f>_xlfn.XLOOKUP(H1967,'Yield &amp; Time'!A:A,'Yield &amp; Time'!O:O)</f>
        <v>Yes</v>
      </c>
    </row>
    <row r="1968" spans="1:46" x14ac:dyDescent="0.25">
      <c r="A1968" s="2" t="s">
        <v>4882</v>
      </c>
      <c r="B1968" s="2" t="s">
        <v>552</v>
      </c>
      <c r="C1968" s="2" t="s">
        <v>117</v>
      </c>
      <c r="D1968" s="2" t="s">
        <v>554</v>
      </c>
      <c r="E1968" s="2">
        <v>2.7</v>
      </c>
      <c r="F1968" s="1" t="str">
        <f>VLOOKUP(H1968,'RM Used'!A:B,2,0)</f>
        <v>2730CS</v>
      </c>
      <c r="G1968" s="1" t="str">
        <f>IFERROR(VLOOKUP(F1968,'RM Cost'!A:B,2,0),"")</f>
        <v>RM - ORANGE LARGE X 15KG</v>
      </c>
      <c r="H1968" s="2" t="s">
        <v>1381</v>
      </c>
      <c r="I1968" s="1" t="str">
        <f>VLOOKUP(F1968,'RM Used'!B:D,3,0)</f>
        <v>RM-FOOD</v>
      </c>
      <c r="J1968" s="66">
        <v>0.14814814814814814</v>
      </c>
      <c r="K1968" s="35">
        <f t="shared" si="798"/>
        <v>0.4</v>
      </c>
      <c r="L1968" s="35">
        <f t="shared" si="799"/>
        <v>0.4</v>
      </c>
      <c r="M1968" s="77" cm="1">
        <f t="array" ref="M1968">_xlfn.IFS(BOM!I1968="RM-PACKING","100%",B1968="Reynolds",VLOOKUP(H1968,'Yield &amp; Time'!A:V,22,0),BOM!B1968="Dnata",VLOOKUP(BOM!H1968,'Yield &amp; Time'!A:M,13,0),B1968="NK",VLOOKUP(H1968,'Yield &amp; Time'!A:X,24,0))</f>
        <v>0.46641791044776115</v>
      </c>
      <c r="N1968" s="35">
        <f t="shared" si="800"/>
        <v>0.85760000000000014</v>
      </c>
      <c r="O1968" s="1" t="str">
        <f>VLOOKUP(H1968,'RM Used'!A:E,5,0)</f>
        <v>KG</v>
      </c>
      <c r="P1968" s="11">
        <f>VLOOKUP(H1968,'RM Used'!A:F,6,0)</f>
        <v>0.8</v>
      </c>
      <c r="Q1968" s="11">
        <f t="shared" si="801"/>
        <v>0.68608000000000013</v>
      </c>
      <c r="R1968" s="11">
        <f>IFERROR(IF(B1968="Reynolds",VLOOKUP(H1968,'Yield &amp; Time'!A:U,21,0),VLOOKUP(H1968,'Yield &amp; Time'!A:L,12,0)),0)</f>
        <v>4.9222222222222216</v>
      </c>
      <c r="S1968" s="11">
        <f t="shared" si="802"/>
        <v>0.66646888888888878</v>
      </c>
      <c r="T1968" s="11">
        <f t="shared" si="803"/>
        <v>3.2814814814814811E-2</v>
      </c>
      <c r="U1968" s="11">
        <f>IF(A1967=A1968,0,VLOOKUP(A1968,'Packing Time'!A:F,6,0))</f>
        <v>0</v>
      </c>
      <c r="V1968" s="11">
        <f t="shared" si="804"/>
        <v>0</v>
      </c>
      <c r="W1968" s="11">
        <f t="shared" si="805"/>
        <v>0</v>
      </c>
      <c r="X1968" s="11">
        <f t="shared" si="806"/>
        <v>0.7331157777777777</v>
      </c>
      <c r="Y1968" s="11">
        <f t="shared" si="807"/>
        <v>0.7331157777777777</v>
      </c>
      <c r="Z1968" s="37">
        <v>1</v>
      </c>
      <c r="AA1968" s="36">
        <f t="shared" si="808"/>
        <v>0.85760000000000014</v>
      </c>
      <c r="AB1968" s="36">
        <f t="shared" si="809"/>
        <v>0.68608000000000013</v>
      </c>
      <c r="AC1968" s="11">
        <f t="shared" si="810"/>
        <v>3.6096296296296293E-2</v>
      </c>
      <c r="AD1968" s="36">
        <f t="shared" si="811"/>
        <v>0.73311577777777759</v>
      </c>
      <c r="AE1968" s="36" t="str">
        <f>VLOOKUP(H1968,'Yield &amp; Time'!A:R,18,0)</f>
        <v>CHLORINE</v>
      </c>
      <c r="AF1968" s="36">
        <f>IFERROR(VLOOKUP(AE1968,'Chemical Cost'!A:D,4,0),0)</f>
        <v>2.7756518066439469E-2</v>
      </c>
      <c r="AG1968" s="114">
        <f t="shared" si="812"/>
        <v>7.9346632979261644E-3</v>
      </c>
      <c r="AH1968" s="36">
        <f t="shared" si="813"/>
        <v>7.9346632979261644E-3</v>
      </c>
      <c r="AI1968" s="36">
        <f t="shared" si="814"/>
        <v>1.4271304410757042</v>
      </c>
      <c r="AJ1968" s="36">
        <f>IFERROR(VLOOKUP(A1968,'All Products'!A:F,6,0),0)</f>
        <v>0</v>
      </c>
      <c r="AK1968" s="36">
        <f t="shared" si="816"/>
        <v>0</v>
      </c>
      <c r="AL1968" s="23"/>
      <c r="AM1968" s="23">
        <v>1</v>
      </c>
      <c r="AN1968" s="54" t="e">
        <v>#N/A</v>
      </c>
      <c r="AO1968" s="47"/>
      <c r="AP1968" s="4">
        <v>1.1000000000000001</v>
      </c>
      <c r="AQ1968" s="111">
        <f t="shared" si="815"/>
        <v>3.6096296296296293E-2</v>
      </c>
      <c r="AR1968">
        <f>_xlfn.XLOOKUP(F1968,'RM Cost'!A:A,'RM Cost'!S:S)</f>
        <v>0</v>
      </c>
      <c r="AS1968" t="str">
        <f>_xlfn.XLOOKUP(A1968,[3]Sheet1!$B:$B,[3]Sheet1!$B:$B)</f>
        <v>688CCS</v>
      </c>
      <c r="AT1968" t="str">
        <f>_xlfn.XLOOKUP(H1968,'Yield &amp; Time'!A:A,'Yield &amp; Time'!O:O)</f>
        <v>Yes</v>
      </c>
    </row>
    <row r="1969" spans="1:46" x14ac:dyDescent="0.25">
      <c r="A1969" s="2" t="s">
        <v>4882</v>
      </c>
      <c r="B1969" s="2" t="s">
        <v>552</v>
      </c>
      <c r="C1969" s="2" t="s">
        <v>117</v>
      </c>
      <c r="D1969" s="2" t="s">
        <v>554</v>
      </c>
      <c r="E1969" s="2">
        <v>2.7</v>
      </c>
      <c r="F1969" s="1" t="str">
        <f>VLOOKUP(H1969,'RM Used'!A:B,2,0)</f>
        <v>2519CS</v>
      </c>
      <c r="G1969" s="1" t="str">
        <f>IFERROR(VLOOKUP(F1969,'RM Cost'!A:B,2,0),"")</f>
        <v>RM - APPLES RED X 125/138</v>
      </c>
      <c r="H1969" s="2" t="s">
        <v>1382</v>
      </c>
      <c r="I1969" s="1" t="str">
        <f>VLOOKUP(F1969,'RM Used'!B:D,3,0)</f>
        <v>RM-FOOD</v>
      </c>
      <c r="J1969" s="66">
        <v>0.13333333333333333</v>
      </c>
      <c r="K1969" s="35">
        <f t="shared" si="798"/>
        <v>0.36000000000000004</v>
      </c>
      <c r="L1969" s="35">
        <f t="shared" si="799"/>
        <v>0.36000000000000004</v>
      </c>
      <c r="M1969" s="77" cm="1">
        <f t="array" ref="M1969">_xlfn.IFS(BOM!I1969="RM-PACKING","100%",B1969="Reynolds",VLOOKUP(H1969,'Yield &amp; Time'!A:V,22,0),BOM!B1969="Dnata",VLOOKUP(BOM!H1969,'Yield &amp; Time'!A:M,13,0),B1969="NK",VLOOKUP(H1969,'Yield &amp; Time'!A:X,24,0))</f>
        <v>0.76402439024390245</v>
      </c>
      <c r="N1969" s="35">
        <f t="shared" si="800"/>
        <v>0.47118914604948131</v>
      </c>
      <c r="O1969" s="1" t="str">
        <f>VLOOKUP(H1969,'RM Used'!A:E,5,0)</f>
        <v>KG</v>
      </c>
      <c r="P1969" s="11">
        <f>VLOOKUP(H1969,'RM Used'!A:F,6,0)</f>
        <v>1.1200000000000001</v>
      </c>
      <c r="Q1969" s="11">
        <f t="shared" si="801"/>
        <v>0.52773184357541914</v>
      </c>
      <c r="R1969" s="11">
        <f>IFERROR(IF(B1969="Reynolds",VLOOKUP(H1969,'Yield &amp; Time'!A:U,21,0),VLOOKUP(H1969,'Yield &amp; Time'!A:L,12,0)),0)</f>
        <v>4.0425063181697265</v>
      </c>
      <c r="S1969" s="11">
        <f t="shared" si="802"/>
        <v>0.49261981993216286</v>
      </c>
      <c r="T1969" s="11">
        <f t="shared" si="803"/>
        <v>2.4255037909018361E-2</v>
      </c>
      <c r="U1969" s="11">
        <f>IF(A1968=A1969,0,VLOOKUP(A1969,'Packing Time'!A:F,6,0))</f>
        <v>0</v>
      </c>
      <c r="V1969" s="11">
        <f t="shared" si="804"/>
        <v>0</v>
      </c>
      <c r="W1969" s="11">
        <f t="shared" si="805"/>
        <v>0</v>
      </c>
      <c r="X1969" s="11">
        <f t="shared" si="806"/>
        <v>0.54188180192537916</v>
      </c>
      <c r="Y1969" s="11">
        <f t="shared" si="807"/>
        <v>0.54188180192537916</v>
      </c>
      <c r="Z1969" s="37">
        <v>1</v>
      </c>
      <c r="AA1969" s="36">
        <f t="shared" si="808"/>
        <v>0.47118914604948131</v>
      </c>
      <c r="AB1969" s="36">
        <f t="shared" si="809"/>
        <v>0.52773184357541914</v>
      </c>
      <c r="AC1969" s="11">
        <f t="shared" si="810"/>
        <v>2.66805416999202E-2</v>
      </c>
      <c r="AD1969" s="36">
        <f t="shared" si="811"/>
        <v>0.54188180192537927</v>
      </c>
      <c r="AE1969" s="36" t="str">
        <f>VLOOKUP(H1969,'Yield &amp; Time'!A:R,18,0)</f>
        <v>CHLORINE, NATURE SEAL A5</v>
      </c>
      <c r="AF1969" s="36">
        <f>IFERROR(VLOOKUP(AE1969,'Chemical Cost'!A:D,4,0),0)</f>
        <v>0.51079223287545206</v>
      </c>
      <c r="AG1969" s="114">
        <f t="shared" si="812"/>
        <v>8.022658533909735E-2</v>
      </c>
      <c r="AH1969" s="36">
        <f t="shared" si="813"/>
        <v>8.022658533909735E-2</v>
      </c>
      <c r="AI1969" s="36">
        <f t="shared" si="814"/>
        <v>1.1498402308398956</v>
      </c>
      <c r="AJ1969" s="36">
        <f>IFERROR(VLOOKUP(A1969,'All Products'!A:F,6,0),0)</f>
        <v>0</v>
      </c>
      <c r="AK1969" s="36">
        <f t="shared" si="816"/>
        <v>0</v>
      </c>
      <c r="AL1969" s="23"/>
      <c r="AM1969" s="23">
        <v>1</v>
      </c>
      <c r="AN1969" s="54" t="e">
        <v>#N/A</v>
      </c>
      <c r="AO1969" s="47"/>
      <c r="AP1969" s="4">
        <v>1.1000000000000001</v>
      </c>
      <c r="AQ1969" s="111">
        <f t="shared" si="815"/>
        <v>2.66805416999202E-2</v>
      </c>
      <c r="AR1969">
        <f>_xlfn.XLOOKUP(F1969,'RM Cost'!A:A,'RM Cost'!S:S)</f>
        <v>0</v>
      </c>
      <c r="AS1969" t="str">
        <f>_xlfn.XLOOKUP(A1969,[3]Sheet1!$B:$B,[3]Sheet1!$B:$B)</f>
        <v>688CCS</v>
      </c>
      <c r="AT1969" t="str">
        <f>_xlfn.XLOOKUP(H1969,'Yield &amp; Time'!A:A,'Yield &amp; Time'!O:O)</f>
        <v>Yes</v>
      </c>
    </row>
    <row r="1970" spans="1:46" x14ac:dyDescent="0.25">
      <c r="A1970" s="2" t="s">
        <v>4882</v>
      </c>
      <c r="B1970" s="2" t="s">
        <v>552</v>
      </c>
      <c r="C1970" s="2" t="s">
        <v>117</v>
      </c>
      <c r="D1970" s="2" t="s">
        <v>554</v>
      </c>
      <c r="E1970" s="2">
        <v>2.7</v>
      </c>
      <c r="F1970" s="1" t="str">
        <f>VLOOKUP(H1970,'RM Used'!A:B,2,0)</f>
        <v>2608CS</v>
      </c>
      <c r="G1970" s="1" t="str">
        <f>IFERROR(VLOOKUP(F1970,'RM Cost'!A:B,2,0),"")</f>
        <v>RM - GRAPE BLACK SLESS P/P 10X500G</v>
      </c>
      <c r="H1970" s="2" t="s">
        <v>1383</v>
      </c>
      <c r="I1970" s="1" t="str">
        <f>VLOOKUP(F1970,'RM Used'!B:D,3,0)</f>
        <v>RM-FOOD</v>
      </c>
      <c r="J1970" s="66">
        <v>5.5555555555555552E-2</v>
      </c>
      <c r="K1970" s="35">
        <f t="shared" si="798"/>
        <v>0.15</v>
      </c>
      <c r="L1970" s="35">
        <f t="shared" si="799"/>
        <v>0.15</v>
      </c>
      <c r="M1970" s="77" cm="1">
        <f t="array" ref="M1970">_xlfn.IFS(BOM!I1970="RM-PACKING","100%",B1970="Reynolds",VLOOKUP(H1970,'Yield &amp; Time'!A:V,22,0),BOM!B1970="Dnata",VLOOKUP(BOM!H1970,'Yield &amp; Time'!A:M,13,0),B1970="NK",VLOOKUP(H1970,'Yield &amp; Time'!A:X,24,0))</f>
        <v>0.95121951219512202</v>
      </c>
      <c r="N1970" s="35">
        <f t="shared" si="800"/>
        <v>0.15769230769230769</v>
      </c>
      <c r="O1970" s="1" t="str">
        <f>VLOOKUP(H1970,'RM Used'!A:E,5,0)</f>
        <v>KG</v>
      </c>
      <c r="P1970" s="11">
        <f>VLOOKUP(H1970,'RM Used'!A:F,6,0)</f>
        <v>2.2599999999999998</v>
      </c>
      <c r="Q1970" s="11">
        <f t="shared" si="801"/>
        <v>0.35638461538461536</v>
      </c>
      <c r="R1970" s="11">
        <f>IFERROR(IF(B1970="Reynolds",VLOOKUP(H1970,'Yield &amp; Time'!A:U,21,0),VLOOKUP(H1970,'Yield &amp; Time'!A:L,12,0)),0)</f>
        <v>2.6266025641025639</v>
      </c>
      <c r="S1970" s="11">
        <f t="shared" si="802"/>
        <v>0.13336574519230768</v>
      </c>
      <c r="T1970" s="11">
        <f t="shared" si="803"/>
        <v>6.5665064102564102E-3</v>
      </c>
      <c r="U1970" s="11">
        <f>IF(A1969=A1970,0,VLOOKUP(A1970,'Packing Time'!A:F,6,0))</f>
        <v>0</v>
      </c>
      <c r="V1970" s="11">
        <f t="shared" si="804"/>
        <v>0</v>
      </c>
      <c r="W1970" s="11">
        <f t="shared" si="805"/>
        <v>0</v>
      </c>
      <c r="X1970" s="11">
        <f t="shared" si="806"/>
        <v>0.14670231971153846</v>
      </c>
      <c r="Y1970" s="11">
        <f t="shared" si="807"/>
        <v>0.14670231971153846</v>
      </c>
      <c r="Z1970" s="37">
        <v>1</v>
      </c>
      <c r="AA1970" s="36">
        <f t="shared" si="808"/>
        <v>0.15769230769230769</v>
      </c>
      <c r="AB1970" s="36">
        <f t="shared" si="809"/>
        <v>0.35638461538461536</v>
      </c>
      <c r="AC1970" s="11">
        <f t="shared" si="810"/>
        <v>7.2231570512820515E-3</v>
      </c>
      <c r="AD1970" s="36">
        <f t="shared" si="811"/>
        <v>0.14670231971153844</v>
      </c>
      <c r="AE1970" s="36" t="str">
        <f>VLOOKUP(H1970,'Yield &amp; Time'!A:R,18,0)</f>
        <v>CHLORINE</v>
      </c>
      <c r="AF1970" s="36">
        <f>IFERROR(VLOOKUP(AE1970,'Chemical Cost'!A:D,4,0),0)</f>
        <v>2.7756518066439469E-2</v>
      </c>
      <c r="AG1970" s="114">
        <f t="shared" si="812"/>
        <v>1.4589964624666899E-3</v>
      </c>
      <c r="AH1970" s="36">
        <f t="shared" si="813"/>
        <v>1.4589964624666899E-3</v>
      </c>
      <c r="AI1970" s="36">
        <f t="shared" si="814"/>
        <v>0.50454593155862049</v>
      </c>
      <c r="AJ1970" s="36">
        <f>IFERROR(VLOOKUP(A1970,'All Products'!A:F,6,0),0)</f>
        <v>0</v>
      </c>
      <c r="AK1970" s="36">
        <f t="shared" si="816"/>
        <v>0</v>
      </c>
      <c r="AL1970" s="23"/>
      <c r="AM1970" s="23">
        <v>1</v>
      </c>
      <c r="AN1970" s="54" t="e">
        <v>#N/A</v>
      </c>
      <c r="AO1970" s="47"/>
      <c r="AP1970" s="4">
        <v>1.1000000000000001</v>
      </c>
      <c r="AQ1970" s="111">
        <f t="shared" si="815"/>
        <v>7.2231570512820515E-3</v>
      </c>
      <c r="AR1970">
        <f>_xlfn.XLOOKUP(F1970,'RM Cost'!A:A,'RM Cost'!S:S)</f>
        <v>0</v>
      </c>
      <c r="AS1970" t="str">
        <f>_xlfn.XLOOKUP(A1970,[3]Sheet1!$B:$B,[3]Sheet1!$B:$B)</f>
        <v>688CCS</v>
      </c>
      <c r="AT1970" t="str">
        <f>_xlfn.XLOOKUP(H1970,'Yield &amp; Time'!A:A,'Yield &amp; Time'!O:O)</f>
        <v>Yes</v>
      </c>
    </row>
    <row r="1971" spans="1:46" x14ac:dyDescent="0.25">
      <c r="A1971" s="2" t="s">
        <v>4882</v>
      </c>
      <c r="B1971" s="2" t="s">
        <v>552</v>
      </c>
      <c r="C1971" s="2" t="s">
        <v>117</v>
      </c>
      <c r="D1971" s="2" t="s">
        <v>554</v>
      </c>
      <c r="E1971" s="2">
        <v>2.7</v>
      </c>
      <c r="F1971" s="1" t="str">
        <f>VLOOKUP(H1971,'RM Used'!A:B,2,0)</f>
        <v>2613CS</v>
      </c>
      <c r="G1971" s="1" t="str">
        <f>IFERROR(VLOOKUP(F1971,'RM Cost'!A:B,2,0),"")</f>
        <v>RM - GRAPE WHITE SLESS P/P 10X500G</v>
      </c>
      <c r="H1971" s="2" t="s">
        <v>1384</v>
      </c>
      <c r="I1971" s="1" t="str">
        <f>VLOOKUP(F1971,'RM Used'!B:D,3,0)</f>
        <v>RM-FOOD</v>
      </c>
      <c r="J1971" s="66">
        <v>5.5555555555555552E-2</v>
      </c>
      <c r="K1971" s="35">
        <f t="shared" si="798"/>
        <v>0.15</v>
      </c>
      <c r="L1971" s="35">
        <f t="shared" si="799"/>
        <v>0.15</v>
      </c>
      <c r="M1971" s="77" cm="1">
        <f t="array" ref="M1971">_xlfn.IFS(BOM!I1971="RM-PACKING","100%",B1971="Reynolds",VLOOKUP(H1971,'Yield &amp; Time'!A:V,22,0),BOM!B1971="Dnata",VLOOKUP(BOM!H1971,'Yield &amp; Time'!A:M,13,0),B1971="NK",VLOOKUP(H1971,'Yield &amp; Time'!A:X,24,0))</f>
        <v>0.95454545454545447</v>
      </c>
      <c r="N1971" s="35">
        <f t="shared" si="800"/>
        <v>0.15714285714285714</v>
      </c>
      <c r="O1971" s="1" t="str">
        <f>VLOOKUP(H1971,'RM Used'!A:E,5,0)</f>
        <v>KG</v>
      </c>
      <c r="P1971" s="11">
        <f>VLOOKUP(H1971,'RM Used'!A:F,6,0)</f>
        <v>2.2400000000000002</v>
      </c>
      <c r="Q1971" s="11">
        <f t="shared" si="801"/>
        <v>0.35200000000000004</v>
      </c>
      <c r="R1971" s="11">
        <f>IFERROR(IF(B1971="Reynolds",VLOOKUP(H1971,'Yield &amp; Time'!A:U,21,0),VLOOKUP(H1971,'Yield &amp; Time'!A:L,12,0)),0)</f>
        <v>2.3878968253968256</v>
      </c>
      <c r="S1971" s="11">
        <f t="shared" si="802"/>
        <v>0.12124546130952379</v>
      </c>
      <c r="T1971" s="11">
        <f t="shared" si="803"/>
        <v>5.9697420634920633E-3</v>
      </c>
      <c r="U1971" s="11">
        <f>IF(A1970=A1971,0,VLOOKUP(A1971,'Packing Time'!A:F,6,0))</f>
        <v>0</v>
      </c>
      <c r="V1971" s="11">
        <f t="shared" si="804"/>
        <v>0</v>
      </c>
      <c r="W1971" s="11">
        <f t="shared" si="805"/>
        <v>0</v>
      </c>
      <c r="X1971" s="11">
        <f t="shared" si="806"/>
        <v>0.1333700074404762</v>
      </c>
      <c r="Y1971" s="11">
        <f t="shared" si="807"/>
        <v>0.1333700074404762</v>
      </c>
      <c r="Z1971" s="37">
        <v>1</v>
      </c>
      <c r="AA1971" s="36">
        <f t="shared" si="808"/>
        <v>0.15714285714285714</v>
      </c>
      <c r="AB1971" s="36">
        <f t="shared" si="809"/>
        <v>0.35200000000000004</v>
      </c>
      <c r="AC1971" s="11">
        <f t="shared" si="810"/>
        <v>6.5667162698412702E-3</v>
      </c>
      <c r="AD1971" s="36">
        <f t="shared" si="811"/>
        <v>0.13337000744047617</v>
      </c>
      <c r="AE1971" s="36" t="str">
        <f>VLOOKUP(H1971,'Yield &amp; Time'!A:R,18,0)</f>
        <v>CHLORINE</v>
      </c>
      <c r="AF1971" s="36">
        <f>IFERROR(VLOOKUP(AE1971,'Chemical Cost'!A:D,4,0),0)</f>
        <v>2.7756518066439469E-2</v>
      </c>
      <c r="AG1971" s="114">
        <f t="shared" si="812"/>
        <v>1.4539128510992103E-3</v>
      </c>
      <c r="AH1971" s="36">
        <f t="shared" si="813"/>
        <v>1.4539128510992103E-3</v>
      </c>
      <c r="AI1971" s="36">
        <f t="shared" si="814"/>
        <v>0.4868239202915754</v>
      </c>
      <c r="AJ1971" s="36">
        <f>IFERROR(VLOOKUP(A1971,'All Products'!A:F,6,0),0)</f>
        <v>0</v>
      </c>
      <c r="AK1971" s="36">
        <f t="shared" si="816"/>
        <v>0</v>
      </c>
      <c r="AL1971" s="23"/>
      <c r="AM1971" s="23">
        <v>1</v>
      </c>
      <c r="AN1971" s="54" t="e">
        <v>#N/A</v>
      </c>
      <c r="AO1971" s="47"/>
      <c r="AP1971" s="4">
        <v>1.1000000000000001</v>
      </c>
      <c r="AQ1971" s="111">
        <f t="shared" si="815"/>
        <v>6.5667162698412702E-3</v>
      </c>
      <c r="AR1971">
        <f>_xlfn.XLOOKUP(F1971,'RM Cost'!A:A,'RM Cost'!S:S)</f>
        <v>0</v>
      </c>
      <c r="AS1971" t="str">
        <f>_xlfn.XLOOKUP(A1971,[3]Sheet1!$B:$B,[3]Sheet1!$B:$B)</f>
        <v>688CCS</v>
      </c>
      <c r="AT1971" t="str">
        <f>_xlfn.XLOOKUP(H1971,'Yield &amp; Time'!A:A,'Yield &amp; Time'!O:O)</f>
        <v>Yes</v>
      </c>
    </row>
    <row r="1972" spans="1:46" x14ac:dyDescent="0.25">
      <c r="A1972" s="2" t="s">
        <v>4882</v>
      </c>
      <c r="B1972" s="2" t="s">
        <v>552</v>
      </c>
      <c r="C1972" s="2" t="s">
        <v>117</v>
      </c>
      <c r="D1972" s="2" t="s">
        <v>554</v>
      </c>
      <c r="E1972" s="2">
        <v>2.7</v>
      </c>
      <c r="F1972" s="1" t="str">
        <f>VLOOKUP(H1972,'RM Used'!A:B,2,0)</f>
        <v>4447CS</v>
      </c>
      <c r="G1972" s="1" t="str">
        <f>IFERROR(VLOOKUP(F1972,'RM Cost'!A:B,2,0),"")</f>
        <v>RM - KIWI X 10KG</v>
      </c>
      <c r="H1972" s="2" t="s">
        <v>1385</v>
      </c>
      <c r="I1972" s="1" t="str">
        <f>VLOOKUP(F1972,'RM Used'!B:D,3,0)</f>
        <v>RM-FOOD</v>
      </c>
      <c r="J1972" s="66">
        <v>5.185185185185185E-2</v>
      </c>
      <c r="K1972" s="35">
        <f t="shared" si="798"/>
        <v>0.14000000000000001</v>
      </c>
      <c r="L1972" s="35">
        <f t="shared" si="799"/>
        <v>0.14000000000000001</v>
      </c>
      <c r="M1972" s="77" cm="1">
        <f t="array" ref="M1972">_xlfn.IFS(BOM!I1972="RM-PACKING","100%",B1972="Reynolds",VLOOKUP(H1972,'Yield &amp; Time'!A:V,22,0),BOM!B1972="Dnata",VLOOKUP(BOM!H1972,'Yield &amp; Time'!A:M,13,0),B1972="NK",VLOOKUP(H1972,'Yield &amp; Time'!A:X,24,0))</f>
        <v>0.65354000837871795</v>
      </c>
      <c r="N1972" s="35">
        <f t="shared" si="800"/>
        <v>0.21421794871794878</v>
      </c>
      <c r="O1972" s="1" t="str">
        <f>VLOOKUP(H1972,'RM Used'!A:E,5,0)</f>
        <v>KG</v>
      </c>
      <c r="P1972" s="11">
        <f>VLOOKUP(H1972,'RM Used'!A:F,6,0)</f>
        <v>2.23</v>
      </c>
      <c r="Q1972" s="11">
        <f t="shared" si="801"/>
        <v>0.47770602564102577</v>
      </c>
      <c r="R1972" s="11">
        <f>IFERROR(IF(B1972="Reynolds",VLOOKUP(H1972,'Yield &amp; Time'!A:U,21,0),VLOOKUP(H1972,'Yield &amp; Time'!A:L,12,0)),0)</f>
        <v>14.303952991452993</v>
      </c>
      <c r="S1972" s="11">
        <f t="shared" si="802"/>
        <v>0.67786433226495735</v>
      </c>
      <c r="T1972" s="11">
        <f t="shared" si="803"/>
        <v>3.3375890313390319E-2</v>
      </c>
      <c r="U1972" s="11">
        <f>IF(A1971=A1972,0,VLOOKUP(A1972,'Packing Time'!A:F,6,0))</f>
        <v>0</v>
      </c>
      <c r="V1972" s="11">
        <f t="shared" si="804"/>
        <v>0</v>
      </c>
      <c r="W1972" s="11">
        <f t="shared" si="805"/>
        <v>0</v>
      </c>
      <c r="X1972" s="11">
        <f t="shared" si="806"/>
        <v>0.74565076549145315</v>
      </c>
      <c r="Y1972" s="11">
        <f t="shared" si="807"/>
        <v>0.74565076549145315</v>
      </c>
      <c r="Z1972" s="37">
        <v>1</v>
      </c>
      <c r="AA1972" s="36">
        <f t="shared" si="808"/>
        <v>0.21421794871794878</v>
      </c>
      <c r="AB1972" s="36">
        <f t="shared" si="809"/>
        <v>0.47770602564102577</v>
      </c>
      <c r="AC1972" s="11">
        <f t="shared" si="810"/>
        <v>3.6713479344729356E-2</v>
      </c>
      <c r="AD1972" s="36">
        <f t="shared" si="811"/>
        <v>0.74565076549145315</v>
      </c>
      <c r="AE1972" s="36" t="str">
        <f>VLOOKUP(H1972,'Yield &amp; Time'!A:R,18,0)</f>
        <v>CHLORINE</v>
      </c>
      <c r="AF1972" s="36">
        <f>IFERROR(VLOOKUP(AE1972,'Chemical Cost'!A:D,4,0),0)</f>
        <v>2.7756518066439469E-2</v>
      </c>
      <c r="AG1972" s="114">
        <f t="shared" si="812"/>
        <v>1.9819814545817831E-3</v>
      </c>
      <c r="AH1972" s="36">
        <f t="shared" si="813"/>
        <v>1.9819814545817831E-3</v>
      </c>
      <c r="AI1972" s="36">
        <f t="shared" si="814"/>
        <v>1.2253387725870608</v>
      </c>
      <c r="AJ1972" s="36">
        <f>IFERROR(VLOOKUP(A1972,'All Products'!A:F,6,0),0)</f>
        <v>0</v>
      </c>
      <c r="AK1972" s="36">
        <f t="shared" si="816"/>
        <v>0</v>
      </c>
      <c r="AL1972" s="23"/>
      <c r="AM1972" s="23">
        <v>1</v>
      </c>
      <c r="AN1972" s="54" t="e">
        <v>#N/A</v>
      </c>
      <c r="AO1972" s="47"/>
      <c r="AP1972" s="4">
        <v>1.1000000000000001</v>
      </c>
      <c r="AQ1972" s="111">
        <f t="shared" si="815"/>
        <v>3.6713479344729356E-2</v>
      </c>
      <c r="AR1972">
        <f>_xlfn.XLOOKUP(F1972,'RM Cost'!A:A,'RM Cost'!S:S)</f>
        <v>0</v>
      </c>
      <c r="AS1972" t="str">
        <f>_xlfn.XLOOKUP(A1972,[3]Sheet1!$B:$B,[3]Sheet1!$B:$B)</f>
        <v>688CCS</v>
      </c>
      <c r="AT1972" t="str">
        <f>_xlfn.XLOOKUP(H1972,'Yield &amp; Time'!A:A,'Yield &amp; Time'!O:O)</f>
        <v>Yes</v>
      </c>
    </row>
    <row r="1973" spans="1:46" x14ac:dyDescent="0.25">
      <c r="A1973" s="2" t="s">
        <v>4882</v>
      </c>
      <c r="B1973" s="2" t="s">
        <v>552</v>
      </c>
      <c r="C1973" s="2" t="s">
        <v>117</v>
      </c>
      <c r="D1973" s="2" t="s">
        <v>554</v>
      </c>
      <c r="E1973" s="2">
        <v>2.7</v>
      </c>
      <c r="F1973" s="1" t="str">
        <f>VLOOKUP(H1973,'RM Used'!A:B,2,0)</f>
        <v>8929CS</v>
      </c>
      <c r="G1973" s="1" t="str">
        <f>IFERROR(VLOOKUP(F1973,'RM Cost'!A:B,2,0),"")</f>
        <v>GRANULATED SUGAR 1 X 25K</v>
      </c>
      <c r="H1973" s="2" t="s">
        <v>1757</v>
      </c>
      <c r="I1973" s="1" t="str">
        <f>VLOOKUP(F1973,'RM Used'!B:D,3,0)</f>
        <v>RM-FOOD</v>
      </c>
      <c r="J1973" s="66">
        <v>0.25925925925925924</v>
      </c>
      <c r="K1973" s="35">
        <f t="shared" si="798"/>
        <v>0.7</v>
      </c>
      <c r="L1973" s="35">
        <f t="shared" si="799"/>
        <v>0.7</v>
      </c>
      <c r="M1973" s="77" cm="1">
        <f t="array" ref="M1973">_xlfn.IFS(BOM!I1973="RM-PACKING","100%",B1973="Reynolds",VLOOKUP(H1973,'Yield &amp; Time'!A:V,22,0),BOM!B1973="Dnata",VLOOKUP(BOM!H1973,'Yield &amp; Time'!A:M,13,0),B1973="NK",VLOOKUP(H1973,'Yield &amp; Time'!A:X,24,0))</f>
        <v>1</v>
      </c>
      <c r="N1973" s="35">
        <f>IFERROR(IF(I1973="RM-FOOD",(E1973*J1973)/M1973,1),0)</f>
        <v>0.7</v>
      </c>
      <c r="O1973" s="1" t="str">
        <f>VLOOKUP(H1973,'RM Used'!A:E,5,0)</f>
        <v>KG</v>
      </c>
      <c r="P1973" s="11">
        <f>VLOOKUP(H1973,'RM Used'!A:F,6,0)</f>
        <v>6.3E-2</v>
      </c>
      <c r="Q1973" s="11">
        <f t="shared" si="801"/>
        <v>4.41E-2</v>
      </c>
      <c r="R1973" s="11">
        <f>IFERROR(IF(B1973="Reynolds",VLOOKUP(H1973,'Yield &amp; Time'!A:U,21,0),VLOOKUP(H1973,'Yield &amp; Time'!A:L,12,0)),0)</f>
        <v>0.16666666666666666</v>
      </c>
      <c r="S1973" s="11">
        <f t="shared" si="802"/>
        <v>3.9491666666666661E-2</v>
      </c>
      <c r="T1973" s="11">
        <f t="shared" si="803"/>
        <v>1.9444444444444444E-3</v>
      </c>
      <c r="U1973" s="11">
        <f>IF(A1972=A1973,0,VLOOKUP(A1973,'Packing Time'!A:F,6,0))</f>
        <v>0</v>
      </c>
      <c r="V1973" s="11">
        <f>U1973*AO$1</f>
        <v>0</v>
      </c>
      <c r="W1973" s="11">
        <f>(U1973*Z1973)/60</f>
        <v>0</v>
      </c>
      <c r="X1973" s="11">
        <f t="shared" si="806"/>
        <v>4.3440833333333331E-2</v>
      </c>
      <c r="Y1973" s="11">
        <f>X1973*Z1973</f>
        <v>4.3440833333333331E-2</v>
      </c>
      <c r="Z1973" s="37">
        <v>1</v>
      </c>
      <c r="AA1973" s="36">
        <f t="shared" si="808"/>
        <v>0.7</v>
      </c>
      <c r="AB1973" s="36">
        <f t="shared" si="809"/>
        <v>4.41E-2</v>
      </c>
      <c r="AC1973" s="11">
        <f t="shared" si="810"/>
        <v>2.138888888888889E-3</v>
      </c>
      <c r="AD1973" s="36">
        <f>AC1973*60*AO$1</f>
        <v>4.3440833333333324E-2</v>
      </c>
      <c r="AE1973" s="36">
        <f>VLOOKUP(H1973,'Yield &amp; Time'!A:R,18,0)</f>
        <v>0</v>
      </c>
      <c r="AF1973" s="36">
        <f>IFERROR(VLOOKUP(AE1973,'Chemical Cost'!A:D,4,0),0)</f>
        <v>0</v>
      </c>
      <c r="AG1973" s="114">
        <f t="shared" si="812"/>
        <v>0</v>
      </c>
      <c r="AH1973" s="36">
        <f t="shared" si="813"/>
        <v>0</v>
      </c>
      <c r="AI1973" s="36">
        <f>IFERROR((Q1973*Z1973)+(Z1973*X1973)+AH1973,0)</f>
        <v>8.7540833333333332E-2</v>
      </c>
      <c r="AJ1973" s="36">
        <f>IFERROR(VLOOKUP(A1973,'All Products'!A:F,6,0),0)</f>
        <v>0</v>
      </c>
      <c r="AK1973" s="36">
        <f t="shared" si="816"/>
        <v>0</v>
      </c>
      <c r="AL1973" s="23"/>
      <c r="AM1973" s="23">
        <v>1</v>
      </c>
      <c r="AN1973" s="54" t="e">
        <v>#N/A</v>
      </c>
      <c r="AO1973" s="47"/>
      <c r="AP1973" s="4">
        <v>1.1000000000000001</v>
      </c>
      <c r="AQ1973" s="111">
        <f t="shared" si="815"/>
        <v>2.138888888888889E-3</v>
      </c>
      <c r="AR1973">
        <f>_xlfn.XLOOKUP(F1973,'RM Cost'!A:A,'RM Cost'!S:S)</f>
        <v>0</v>
      </c>
      <c r="AS1973" t="str">
        <f>_xlfn.XLOOKUP(A1973,[3]Sheet1!$B:$B,[3]Sheet1!$B:$B)</f>
        <v>688CCS</v>
      </c>
      <c r="AT1973">
        <f>_xlfn.XLOOKUP(H1973,'Yield &amp; Time'!A:A,'Yield &amp; Time'!F:F)</f>
        <v>0</v>
      </c>
    </row>
    <row r="1974" spans="1:46" x14ac:dyDescent="0.25">
      <c r="A1974" s="2" t="s">
        <v>4882</v>
      </c>
      <c r="B1974" s="2" t="s">
        <v>552</v>
      </c>
      <c r="C1974" s="2" t="s">
        <v>117</v>
      </c>
      <c r="D1974" s="2" t="s">
        <v>554</v>
      </c>
      <c r="E1974" s="2">
        <v>2.7</v>
      </c>
      <c r="F1974" s="1" t="str">
        <f>VLOOKUP(H1974,'RM Used'!A:B,2,0)</f>
        <v>P0010</v>
      </c>
      <c r="G1974" s="1" t="str">
        <f>IFERROR(VLOOKUP(F1974,'RM Cost'!A:B,2,0),"")</f>
        <v>BUCKET 3L PJET</v>
      </c>
      <c r="H1974" s="2" t="s">
        <v>4672</v>
      </c>
      <c r="I1974" s="1" t="str">
        <f>VLOOKUP(F1974,'RM Used'!B:D,3,0)</f>
        <v>RM-PACKING</v>
      </c>
      <c r="J1974" s="66">
        <v>1</v>
      </c>
      <c r="K1974" s="35" t="str">
        <f t="shared" si="798"/>
        <v/>
      </c>
      <c r="L1974" s="35">
        <f t="shared" si="799"/>
        <v>0</v>
      </c>
      <c r="M1974" s="77" t="str" cm="1">
        <f t="array" ref="M1974">_xlfn.IFS(BOM!I1974="RM-PACKING","100%",B1974="Reynolds",VLOOKUP(H1974,'Yield &amp; Time'!A:V,22,0),BOM!B1974="Dnata",VLOOKUP(BOM!H1974,'Yield &amp; Time'!A:M,13,0),B1974="NK",VLOOKUP(H1974,'Yield &amp; Time'!A:X,24,0))</f>
        <v>100%</v>
      </c>
      <c r="N1974" s="35">
        <f t="shared" ref="N1974" si="817">IFERROR(IF(I1974="RM-FOOD",(E1974*J1974)/M1974,1),0)</f>
        <v>1</v>
      </c>
      <c r="O1974" s="1" t="str">
        <f>VLOOKUP(H1974,'RM Used'!A:E,5,0)</f>
        <v>Count</v>
      </c>
      <c r="P1974" s="11">
        <f>VLOOKUP(H1974,'RM Used'!A:F,6,0)</f>
        <v>0.56000000000000005</v>
      </c>
      <c r="Q1974" s="11">
        <f t="shared" si="801"/>
        <v>0.56000000000000005</v>
      </c>
      <c r="R1974" s="11">
        <f>IFERROR(IF(B1974="Reynolds",VLOOKUP(H1974,'Yield &amp; Time'!A:U,21,0),VLOOKUP(H1974,'Yield &amp; Time'!A:L,12,0)),0)</f>
        <v>0</v>
      </c>
      <c r="S1974" s="11">
        <f t="shared" si="802"/>
        <v>0</v>
      </c>
      <c r="T1974" s="11">
        <f t="shared" si="803"/>
        <v>0</v>
      </c>
      <c r="U1974" s="11">
        <f>IF(A1973=A1974,0,VLOOKUP(A1974,'Packing Time'!A:F,6,0))</f>
        <v>0</v>
      </c>
      <c r="V1974" s="11">
        <f t="shared" ref="V1974" si="818">U1974*AO$1</f>
        <v>0</v>
      </c>
      <c r="W1974" s="11">
        <f t="shared" ref="W1974" si="819">(U1974*Z1974)/60</f>
        <v>0</v>
      </c>
      <c r="X1974" s="11">
        <f t="shared" si="806"/>
        <v>0</v>
      </c>
      <c r="Y1974" s="11">
        <f t="shared" ref="Y1974" si="820">X1974*Z1974</f>
        <v>0</v>
      </c>
      <c r="Z1974" s="37">
        <v>1</v>
      </c>
      <c r="AA1974" s="36">
        <f t="shared" si="808"/>
        <v>1</v>
      </c>
      <c r="AB1974" s="36">
        <f t="shared" si="809"/>
        <v>0.56000000000000005</v>
      </c>
      <c r="AC1974" s="11">
        <f t="shared" si="810"/>
        <v>0</v>
      </c>
      <c r="AD1974" s="36">
        <f t="shared" ref="AD1974" si="821">AC1974*60*AO$1</f>
        <v>0</v>
      </c>
      <c r="AE1974" s="36"/>
      <c r="AF1974" s="36">
        <f>IFERROR(VLOOKUP(AE1974,'Chemical Cost'!A:D,4,0),0)</f>
        <v>0</v>
      </c>
      <c r="AG1974" s="114">
        <f t="shared" si="812"/>
        <v>0</v>
      </c>
      <c r="AH1974" s="36">
        <f t="shared" si="813"/>
        <v>0</v>
      </c>
      <c r="AI1974" s="36">
        <f t="shared" ref="AI1974" si="822">IFERROR((Q1974*Z1974)+(Z1974*X1974)+AH1974,0)</f>
        <v>0.56000000000000005</v>
      </c>
      <c r="AJ1974" s="36">
        <f>IFERROR(VLOOKUP(A1974,'All Products'!A:F,6,0),0)</f>
        <v>0</v>
      </c>
      <c r="AK1974" s="36"/>
      <c r="AL1974" s="23"/>
      <c r="AM1974" s="23">
        <v>1</v>
      </c>
      <c r="AN1974" s="54" t="e">
        <v>#N/A</v>
      </c>
      <c r="AO1974" s="47"/>
      <c r="AP1974" s="4">
        <v>1.1000000000000001</v>
      </c>
      <c r="AQ1974" s="111">
        <f t="shared" si="815"/>
        <v>0</v>
      </c>
      <c r="AR1974">
        <f>_xlfn.XLOOKUP(F1974,'RM Cost'!A:A,'RM Cost'!S:S)</f>
        <v>0</v>
      </c>
      <c r="AS1974" t="str">
        <f>_xlfn.XLOOKUP(A1974,[3]Sheet1!$B:$B,[3]Sheet1!$B:$B)</f>
        <v>688CCS</v>
      </c>
      <c r="AT1974" t="e">
        <f>_xlfn.XLOOKUP(H1974,'Yield &amp; Time'!A:A,'Yield &amp; Time'!F:F)</f>
        <v>#N/A</v>
      </c>
    </row>
    <row r="1975" spans="1:46" x14ac:dyDescent="0.25">
      <c r="A1975" s="2" t="s">
        <v>4882</v>
      </c>
      <c r="B1975" s="2" t="s">
        <v>552</v>
      </c>
      <c r="C1975" s="2" t="s">
        <v>117</v>
      </c>
      <c r="D1975" s="2" t="s">
        <v>554</v>
      </c>
      <c r="E1975" s="2">
        <v>2.7</v>
      </c>
      <c r="F1975" s="1" t="str">
        <f>VLOOKUP(H1975,'RM Used'!A:B,2,0)</f>
        <v>P0026</v>
      </c>
      <c r="G1975" s="1" t="str">
        <f>IFERROR(VLOOKUP(F1975,'RM Cost'!A:B,2,0),"")</f>
        <v>LID 2.2L PJET 2.2L-3.8L</v>
      </c>
      <c r="H1975" s="2" t="s">
        <v>4673</v>
      </c>
      <c r="I1975" s="1" t="str">
        <f>VLOOKUP(F1975,'RM Used'!B:D,3,0)</f>
        <v>RM-PACKING</v>
      </c>
      <c r="J1975" s="66">
        <v>1</v>
      </c>
      <c r="K1975" s="35" t="str">
        <f>IF(I1975="RM-FOOD",J1975*E1975,"")</f>
        <v/>
      </c>
      <c r="L1975" s="35">
        <f t="shared" si="799"/>
        <v>0</v>
      </c>
      <c r="M1975" s="77" t="str" cm="1">
        <f t="array" ref="M1975">_xlfn.IFS(BOM!I1975="RM-PACKING","100%",B1975="Reynolds",VLOOKUP(H1975,'Yield &amp; Time'!A:V,22,0),BOM!B1975="Dnata",VLOOKUP(BOM!H1975,'Yield &amp; Time'!A:M,13,0),B1975="NK",VLOOKUP(H1975,'Yield &amp; Time'!A:X,24,0))</f>
        <v>100%</v>
      </c>
      <c r="N1975" s="35">
        <f>IFERROR(IF(I1975="RM-FOOD",(E1975*J1975)/M1975,1),0)</f>
        <v>1</v>
      </c>
      <c r="O1975" s="1" t="str">
        <f>VLOOKUP(H1975,'RM Used'!A:E,5,0)</f>
        <v>Count</v>
      </c>
      <c r="P1975" s="11">
        <f>VLOOKUP(H1975,'RM Used'!A:F,6,0)</f>
        <v>0.16</v>
      </c>
      <c r="Q1975" s="11">
        <f t="shared" si="801"/>
        <v>0.16</v>
      </c>
      <c r="R1975" s="11">
        <f>IFERROR(IF(B1975="Reynolds",VLOOKUP(H1975,'Yield &amp; Time'!A:U,21,0),VLOOKUP(H1975,'Yield &amp; Time'!A:L,12,0)),0)</f>
        <v>0</v>
      </c>
      <c r="S1975" s="11">
        <f t="shared" si="802"/>
        <v>0</v>
      </c>
      <c r="T1975" s="11">
        <f t="shared" si="803"/>
        <v>0</v>
      </c>
      <c r="U1975" s="11">
        <f>IF(A1974=A1975,0,VLOOKUP(A1975,'Packing Time'!A:F,6,0))</f>
        <v>0</v>
      </c>
      <c r="V1975" s="11">
        <f>U1975*AO$1</f>
        <v>0</v>
      </c>
      <c r="W1975" s="11">
        <f>(U1975*Z1975)/60</f>
        <v>0</v>
      </c>
      <c r="X1975" s="11">
        <f t="shared" si="806"/>
        <v>0</v>
      </c>
      <c r="Y1975" s="11">
        <f>X1975*Z1975</f>
        <v>0</v>
      </c>
      <c r="Z1975" s="37">
        <v>1</v>
      </c>
      <c r="AA1975" s="36">
        <f t="shared" si="808"/>
        <v>1</v>
      </c>
      <c r="AB1975" s="36">
        <f t="shared" si="809"/>
        <v>0.16</v>
      </c>
      <c r="AC1975" s="11">
        <f t="shared" si="810"/>
        <v>0</v>
      </c>
      <c r="AD1975" s="36">
        <f>AC1975*60*AO$1</f>
        <v>0</v>
      </c>
      <c r="AE1975" s="36"/>
      <c r="AF1975" s="36">
        <f>IFERROR(VLOOKUP(AE1975,'Chemical Cost'!A:D,4,0),0)</f>
        <v>0</v>
      </c>
      <c r="AG1975" s="114">
        <f t="shared" si="812"/>
        <v>0</v>
      </c>
      <c r="AH1975" s="36">
        <f>AF1975*AA1975/3</f>
        <v>0</v>
      </c>
      <c r="AI1975" s="36">
        <f>IFERROR((Q1975*Z1975)+(Z1975*X1975)+AH1975,0)</f>
        <v>0.16</v>
      </c>
      <c r="AJ1975" s="36">
        <f>IFERROR(VLOOKUP(A1975,'All Products'!A:F,6,0),0)</f>
        <v>0</v>
      </c>
      <c r="AK1975" s="36"/>
      <c r="AL1975" s="23"/>
      <c r="AM1975" s="23">
        <v>1</v>
      </c>
      <c r="AN1975" s="54" t="e">
        <v>#N/A</v>
      </c>
      <c r="AO1975" s="47"/>
      <c r="AP1975" s="4">
        <v>1.1000000000000001</v>
      </c>
      <c r="AQ1975" s="111">
        <f t="shared" si="815"/>
        <v>0</v>
      </c>
      <c r="AR1975">
        <f>_xlfn.XLOOKUP(F1975,'RM Cost'!A:A,'RM Cost'!S:S)</f>
        <v>0</v>
      </c>
      <c r="AS1975" t="str">
        <f>_xlfn.XLOOKUP(A1975,[3]Sheet1!$B:$B,[3]Sheet1!$B:$B)</f>
        <v>688CCS</v>
      </c>
      <c r="AT1975" t="e">
        <f>_xlfn.XLOOKUP(H1975,'Yield &amp; Time'!A:A,'Yield &amp; Time'!F:F)</f>
        <v>#N/A</v>
      </c>
    </row>
    <row r="1976" spans="1:46" x14ac:dyDescent="0.25">
      <c r="A1976" s="1" t="s">
        <v>4883</v>
      </c>
      <c r="B1976" s="2" t="s">
        <v>552</v>
      </c>
      <c r="C1976" s="2" t="s">
        <v>96</v>
      </c>
      <c r="D1976" s="2" t="s">
        <v>554</v>
      </c>
      <c r="E1976" s="2">
        <v>2.7</v>
      </c>
      <c r="F1976" s="1" t="str">
        <f>VLOOKUP(H1976,'RM Used'!A:B,2,0)</f>
        <v>2789CS</v>
      </c>
      <c r="G1976" s="1" t="str">
        <f>IFERROR(VLOOKUP(F1976,'RM Cost'!A:B,2,0),"")</f>
        <v>RM - PINEAPPLE X 6</v>
      </c>
      <c r="H1976" s="2" t="s">
        <v>1443</v>
      </c>
      <c r="I1976" s="1" t="str">
        <f>VLOOKUP(F1976,'RM Used'!B:D,3,0)</f>
        <v>RM-FOOD</v>
      </c>
      <c r="J1976" s="66">
        <v>0.7407407407407407</v>
      </c>
      <c r="K1976" s="35">
        <f t="shared" ref="K1976" si="823">IF(I1976="RM-FOOD",J1976*E1976,"")</f>
        <v>2</v>
      </c>
      <c r="L1976" s="35">
        <f t="shared" si="799"/>
        <v>2</v>
      </c>
      <c r="M1976" s="77" cm="1">
        <f t="array" ref="M1976">_xlfn.IFS(BOM!I1976="RM-PACKING","100%",B1976="Reynolds",VLOOKUP(H1976,'Yield &amp; Time'!A:V,22,0),BOM!B1976="Dnata",VLOOKUP(BOM!H1976,'Yield &amp; Time'!A:M,13,0),B1976="NK",VLOOKUP(H1976,'Yield &amp; Time'!A:X,24,0))</f>
        <v>0.4</v>
      </c>
      <c r="N1976" s="35">
        <f t="shared" ref="N1976" si="824">IFERROR(IF(I1976="RM-FOOD",(E1976*J1976)/M1976,1),0)</f>
        <v>5</v>
      </c>
      <c r="O1976" s="1" t="str">
        <f>VLOOKUP(H1976,'RM Used'!A:E,5,0)</f>
        <v>KG</v>
      </c>
      <c r="P1976" s="11">
        <f>VLOOKUP(H1976,'RM Used'!A:F,6,0)</f>
        <v>0.7</v>
      </c>
      <c r="Q1976" s="11">
        <f t="shared" si="801"/>
        <v>3.5</v>
      </c>
      <c r="R1976" s="11">
        <f>IFERROR(IF(B1976="Reynolds",VLOOKUP(H1976,'Yield &amp; Time'!A:U,21,0),VLOOKUP(H1976,'Yield &amp; Time'!A:L,12,0)),0)</f>
        <v>1.5635751872090669</v>
      </c>
      <c r="S1976" s="11">
        <f t="shared" si="802"/>
        <v>1.0585404017405382</v>
      </c>
      <c r="T1976" s="11">
        <f t="shared" si="803"/>
        <v>5.2119172906968894E-2</v>
      </c>
      <c r="U1976" s="11">
        <f>IF(A1975=A1976,0,VLOOKUP(A1976,'Packing Time'!A:F,6,0))</f>
        <v>0.8</v>
      </c>
      <c r="V1976" s="11">
        <f t="shared" ref="V1976" si="825">U1976*AO$1</f>
        <v>0.27079999999999999</v>
      </c>
      <c r="W1976" s="11">
        <f t="shared" ref="W1976" si="826">(U1976*Z1976)/60</f>
        <v>1.3333333333333334E-2</v>
      </c>
      <c r="X1976" s="11">
        <f t="shared" si="806"/>
        <v>1.6616755021756726</v>
      </c>
      <c r="Y1976" s="11">
        <f t="shared" ref="Y1976" si="827">X1976*Z1976</f>
        <v>1.6616755021756726</v>
      </c>
      <c r="Z1976" s="37">
        <v>1</v>
      </c>
      <c r="AA1976" s="36">
        <f t="shared" si="808"/>
        <v>5</v>
      </c>
      <c r="AB1976" s="36">
        <f t="shared" si="809"/>
        <v>3.5</v>
      </c>
      <c r="AC1976" s="11">
        <f t="shared" si="810"/>
        <v>8.1815632800377791E-2</v>
      </c>
      <c r="AD1976" s="36">
        <f t="shared" ref="AD1976" si="828">AC1976*60*AO$1</f>
        <v>1.6616755021756726</v>
      </c>
      <c r="AE1976" s="36" t="str">
        <f>VLOOKUP(H1976,'Yield &amp; Time'!A:R,18,0)</f>
        <v>CHLORINE</v>
      </c>
      <c r="AF1976" s="36">
        <f>IFERROR(VLOOKUP(AE1976,'Chemical Cost'!A:D,4,0),0)</f>
        <v>2.7756518066439469E-2</v>
      </c>
      <c r="AG1976" s="114">
        <f t="shared" si="812"/>
        <v>4.6260863444065776E-2</v>
      </c>
      <c r="AH1976" s="36">
        <f t="shared" ref="AH1976:AH1978" si="829">AF1976*AA1976/3</f>
        <v>4.6260863444065776E-2</v>
      </c>
      <c r="AI1976" s="36">
        <f t="shared" ref="AI1976" si="830">IFERROR((Q1976*Z1976)+(Z1976*X1976)+AH1976,0)</f>
        <v>5.2079363656197382</v>
      </c>
      <c r="AJ1976" s="36">
        <f>IFERROR(VLOOKUP(A1976,'All Products'!A:F,6,0),0)</f>
        <v>0</v>
      </c>
      <c r="AK1976" s="36">
        <f>AJ1976*Z1976*J1976</f>
        <v>0</v>
      </c>
      <c r="AL1976" s="23"/>
      <c r="AM1976" s="23">
        <v>1</v>
      </c>
      <c r="AN1976" s="54" t="e">
        <v>#N/A</v>
      </c>
      <c r="AO1976" s="47"/>
      <c r="AP1976" s="4">
        <v>1.25</v>
      </c>
      <c r="AQ1976" s="111">
        <f t="shared" si="815"/>
        <v>8.1815632800377791E-2</v>
      </c>
      <c r="AR1976">
        <f>_xlfn.XLOOKUP(F1976,'RM Cost'!A:A,'RM Cost'!S:S)</f>
        <v>0</v>
      </c>
      <c r="AS1976" t="str">
        <f>_xlfn.XLOOKUP(A1976,[3]Sheet1!$B:$B,[3]Sheet1!$B:$B)</f>
        <v>689CCS</v>
      </c>
      <c r="AT1976" t="str">
        <f>_xlfn.XLOOKUP(H1976,'Yield &amp; Time'!A:A,'Yield &amp; Time'!O:O)</f>
        <v>Yes</v>
      </c>
    </row>
    <row r="1977" spans="1:46" x14ac:dyDescent="0.25">
      <c r="A1977" s="1" t="s">
        <v>4883</v>
      </c>
      <c r="B1977" s="2" t="s">
        <v>552</v>
      </c>
      <c r="C1977" s="2" t="s">
        <v>96</v>
      </c>
      <c r="D1977" s="2" t="s">
        <v>554</v>
      </c>
      <c r="E1977" s="2">
        <v>2.7</v>
      </c>
      <c r="F1977" s="1" t="str">
        <f>VLOOKUP(H1977,'RM Used'!A:B,2,0)</f>
        <v>8929CS</v>
      </c>
      <c r="G1977" s="1" t="str">
        <f>IFERROR(VLOOKUP(F1977,'RM Cost'!A:B,2,0),"")</f>
        <v>GRANULATED SUGAR 1 X 25K</v>
      </c>
      <c r="H1977" s="2" t="s">
        <v>1757</v>
      </c>
      <c r="I1977" s="1" t="str">
        <f>VLOOKUP(F1977,'RM Used'!B:D,3,0)</f>
        <v>RM-FOOD</v>
      </c>
      <c r="J1977" s="66">
        <v>0.25925925925925924</v>
      </c>
      <c r="K1977" s="35">
        <f>IF(I1977="RM-FOOD",J1977*E1977,"")</f>
        <v>0.7</v>
      </c>
      <c r="L1977" s="35">
        <f t="shared" si="799"/>
        <v>0.7</v>
      </c>
      <c r="M1977" s="77" cm="1">
        <f t="array" ref="M1977">_xlfn.IFS(BOM!I1977="RM-PACKING","100%",B1977="Reynolds",VLOOKUP(H1977,'Yield &amp; Time'!A:V,22,0),BOM!B1977="Dnata",VLOOKUP(BOM!H1977,'Yield &amp; Time'!A:M,13,0),B1977="NK",VLOOKUP(H1977,'Yield &amp; Time'!A:X,24,0))</f>
        <v>1</v>
      </c>
      <c r="N1977" s="35">
        <f>IFERROR(IF(I1977="RM-FOOD",(E1977*J1977)/M1977,1),0)</f>
        <v>0.7</v>
      </c>
      <c r="O1977" s="1" t="str">
        <f>VLOOKUP(H1977,'RM Used'!A:E,5,0)</f>
        <v>KG</v>
      </c>
      <c r="P1977" s="11">
        <f>VLOOKUP(H1977,'RM Used'!A:F,6,0)</f>
        <v>6.3E-2</v>
      </c>
      <c r="Q1977" s="11">
        <f t="shared" si="801"/>
        <v>4.41E-2</v>
      </c>
      <c r="R1977" s="11">
        <f>IFERROR(IF(B1977="Reynolds",VLOOKUP(H1977,'Yield &amp; Time'!A:U,21,0),VLOOKUP(H1977,'Yield &amp; Time'!A:L,12,0)),0)</f>
        <v>0.16666666666666666</v>
      </c>
      <c r="S1977" s="11">
        <f t="shared" si="802"/>
        <v>3.9491666666666661E-2</v>
      </c>
      <c r="T1977" s="11">
        <f t="shared" si="803"/>
        <v>1.9444444444444444E-3</v>
      </c>
      <c r="U1977" s="11">
        <f>IF(A1976=A1977,0,VLOOKUP(A1977,'Packing Time'!A:F,6,0))</f>
        <v>0</v>
      </c>
      <c r="V1977" s="11">
        <f>U1977*AO$1</f>
        <v>0</v>
      </c>
      <c r="W1977" s="11">
        <f>(U1977*Z1977)/60</f>
        <v>0</v>
      </c>
      <c r="X1977" s="11">
        <f t="shared" si="806"/>
        <v>4.9364583333333323E-2</v>
      </c>
      <c r="Y1977" s="11">
        <f>X1977*Z1977</f>
        <v>4.9364583333333323E-2</v>
      </c>
      <c r="Z1977" s="37">
        <v>1</v>
      </c>
      <c r="AA1977" s="36">
        <f t="shared" si="808"/>
        <v>0.7</v>
      </c>
      <c r="AB1977" s="36">
        <f t="shared" si="809"/>
        <v>4.41E-2</v>
      </c>
      <c r="AC1977" s="11">
        <f t="shared" si="810"/>
        <v>2.4305555555555556E-3</v>
      </c>
      <c r="AD1977" s="36">
        <f>AC1977*60*AO$1</f>
        <v>4.936458333333333E-2</v>
      </c>
      <c r="AE1977" s="36">
        <f>VLOOKUP(H1977,'Yield &amp; Time'!A:R,18,0)</f>
        <v>0</v>
      </c>
      <c r="AF1977" s="36">
        <f>IFERROR(VLOOKUP(AE1977,'Chemical Cost'!A:D,4,0),0)</f>
        <v>0</v>
      </c>
      <c r="AG1977" s="114">
        <f t="shared" si="812"/>
        <v>0</v>
      </c>
      <c r="AH1977" s="36">
        <f t="shared" si="829"/>
        <v>0</v>
      </c>
      <c r="AI1977" s="36">
        <f>IFERROR((Q1977*Z1977)+(Z1977*X1977)+AH1977,0)</f>
        <v>9.3464583333333323E-2</v>
      </c>
      <c r="AJ1977" s="36">
        <f>IFERROR(VLOOKUP(A1977,'All Products'!A:F,6,0),0)</f>
        <v>0</v>
      </c>
      <c r="AK1977" s="36">
        <f>AJ1977*Z1977*J1977</f>
        <v>0</v>
      </c>
      <c r="AL1977" s="23"/>
      <c r="AM1977" s="23">
        <v>1</v>
      </c>
      <c r="AN1977" s="54" t="e">
        <v>#N/A</v>
      </c>
      <c r="AO1977" s="47"/>
      <c r="AP1977" s="4">
        <v>1.25</v>
      </c>
      <c r="AQ1977" s="111">
        <f t="shared" si="815"/>
        <v>2.4305555555555556E-3</v>
      </c>
      <c r="AR1977">
        <f>_xlfn.XLOOKUP(F1977,'RM Cost'!A:A,'RM Cost'!S:S)</f>
        <v>0</v>
      </c>
      <c r="AS1977" t="str">
        <f>_xlfn.XLOOKUP(A1977,[3]Sheet1!$B:$B,[3]Sheet1!$B:$B)</f>
        <v>689CCS</v>
      </c>
      <c r="AT1977">
        <f>_xlfn.XLOOKUP(H1977,'Yield &amp; Time'!A:A,'Yield &amp; Time'!F:F)</f>
        <v>0</v>
      </c>
    </row>
    <row r="1978" spans="1:46" x14ac:dyDescent="0.25">
      <c r="A1978" s="1" t="s">
        <v>4883</v>
      </c>
      <c r="B1978" s="2" t="s">
        <v>552</v>
      </c>
      <c r="C1978" s="2" t="s">
        <v>96</v>
      </c>
      <c r="D1978" s="2" t="s">
        <v>554</v>
      </c>
      <c r="E1978" s="2">
        <v>2.7</v>
      </c>
      <c r="F1978" s="1" t="str">
        <f>VLOOKUP(H1978,'RM Used'!A:B,2,0)</f>
        <v>P0010</v>
      </c>
      <c r="G1978" s="1" t="str">
        <f>IFERROR(VLOOKUP(F1978,'RM Cost'!A:B,2,0),"")</f>
        <v>BUCKET 3L PJET</v>
      </c>
      <c r="H1978" s="2" t="s">
        <v>4672</v>
      </c>
      <c r="I1978" s="1" t="str">
        <f>VLOOKUP(F1978,'RM Used'!B:D,3,0)</f>
        <v>RM-PACKING</v>
      </c>
      <c r="J1978" s="66">
        <v>1</v>
      </c>
      <c r="K1978" s="35" t="str">
        <f t="shared" ref="K1978" si="831">IF(I1978="RM-FOOD",J1978*E1978,"")</f>
        <v/>
      </c>
      <c r="L1978" s="35">
        <f t="shared" si="799"/>
        <v>0</v>
      </c>
      <c r="M1978" s="77" t="str" cm="1">
        <f t="array" ref="M1978">_xlfn.IFS(BOM!I1978="RM-PACKING","100%",B1978="Reynolds",VLOOKUP(H1978,'Yield &amp; Time'!A:V,22,0),BOM!B1978="Dnata",VLOOKUP(BOM!H1978,'Yield &amp; Time'!A:M,13,0),B1978="NK",VLOOKUP(H1978,'Yield &amp; Time'!A:X,24,0))</f>
        <v>100%</v>
      </c>
      <c r="N1978" s="35">
        <f t="shared" ref="N1978" si="832">IFERROR(IF(I1978="RM-FOOD",(E1978*J1978)/M1978,1),0)</f>
        <v>1</v>
      </c>
      <c r="O1978" s="1" t="str">
        <f>VLOOKUP(H1978,'RM Used'!A:E,5,0)</f>
        <v>Count</v>
      </c>
      <c r="P1978" s="11">
        <f>VLOOKUP(H1978,'RM Used'!A:F,6,0)</f>
        <v>0.56000000000000005</v>
      </c>
      <c r="Q1978" s="11">
        <f t="shared" si="801"/>
        <v>0.56000000000000005</v>
      </c>
      <c r="R1978" s="11">
        <f>IFERROR(IF(B1978="Reynolds",VLOOKUP(H1978,'Yield &amp; Time'!A:U,21,0),VLOOKUP(H1978,'Yield &amp; Time'!A:L,12,0)),0)</f>
        <v>0</v>
      </c>
      <c r="S1978" s="11">
        <f t="shared" si="802"/>
        <v>0</v>
      </c>
      <c r="T1978" s="11">
        <f t="shared" si="803"/>
        <v>0</v>
      </c>
      <c r="U1978" s="11">
        <f>IF(A1977=A1978,0,VLOOKUP(A1978,'Packing Time'!A:F,6,0))</f>
        <v>0</v>
      </c>
      <c r="V1978" s="11">
        <f t="shared" ref="V1978" si="833">U1978*AO$1</f>
        <v>0</v>
      </c>
      <c r="W1978" s="11">
        <f t="shared" ref="W1978" si="834">(U1978*Z1978)/60</f>
        <v>0</v>
      </c>
      <c r="X1978" s="11">
        <f t="shared" si="806"/>
        <v>0</v>
      </c>
      <c r="Y1978" s="11">
        <f t="shared" ref="Y1978" si="835">X1978*Z1978</f>
        <v>0</v>
      </c>
      <c r="Z1978" s="37">
        <v>1</v>
      </c>
      <c r="AA1978" s="36">
        <f t="shared" si="808"/>
        <v>1</v>
      </c>
      <c r="AB1978" s="36">
        <f t="shared" si="809"/>
        <v>0.56000000000000005</v>
      </c>
      <c r="AC1978" s="11">
        <f t="shared" si="810"/>
        <v>0</v>
      </c>
      <c r="AD1978" s="36">
        <f t="shared" ref="AD1978" si="836">AC1978*60*AO$1</f>
        <v>0</v>
      </c>
      <c r="AE1978" s="36"/>
      <c r="AF1978" s="36">
        <f>IFERROR(VLOOKUP(AE1978,'Chemical Cost'!A:D,4,0),0)</f>
        <v>0</v>
      </c>
      <c r="AG1978" s="114">
        <f t="shared" si="812"/>
        <v>0</v>
      </c>
      <c r="AH1978" s="36">
        <f t="shared" si="829"/>
        <v>0</v>
      </c>
      <c r="AI1978" s="36">
        <f t="shared" ref="AI1978" si="837">IFERROR((Q1978*Z1978)+(Z1978*X1978)+AH1978,0)</f>
        <v>0.56000000000000005</v>
      </c>
      <c r="AJ1978" s="36">
        <f>IFERROR(VLOOKUP(A1978,'All Products'!A:F,6,0),0)</f>
        <v>0</v>
      </c>
      <c r="AK1978" s="36"/>
      <c r="AL1978" s="23"/>
      <c r="AM1978" s="23">
        <v>1</v>
      </c>
      <c r="AN1978" s="54" t="e">
        <v>#N/A</v>
      </c>
      <c r="AO1978" s="47"/>
      <c r="AP1978" s="4">
        <v>1.25</v>
      </c>
      <c r="AQ1978" s="111">
        <f t="shared" si="815"/>
        <v>0</v>
      </c>
      <c r="AR1978">
        <f>_xlfn.XLOOKUP(F1978,'RM Cost'!A:A,'RM Cost'!S:S)</f>
        <v>0</v>
      </c>
      <c r="AS1978" t="str">
        <f>_xlfn.XLOOKUP(A1978,[3]Sheet1!$B:$B,[3]Sheet1!$B:$B)</f>
        <v>689CCS</v>
      </c>
      <c r="AT1978" t="e">
        <f>_xlfn.XLOOKUP(H1978,'Yield &amp; Time'!A:A,'Yield &amp; Time'!F:F)</f>
        <v>#N/A</v>
      </c>
    </row>
    <row r="1979" spans="1:46" x14ac:dyDescent="0.25">
      <c r="A1979" s="1" t="s">
        <v>4883</v>
      </c>
      <c r="B1979" s="2" t="s">
        <v>552</v>
      </c>
      <c r="C1979" s="2" t="s">
        <v>96</v>
      </c>
      <c r="D1979" s="2" t="s">
        <v>554</v>
      </c>
      <c r="E1979" s="2">
        <v>2.7</v>
      </c>
      <c r="F1979" s="1" t="str">
        <f>VLOOKUP(H1979,'RM Used'!A:B,2,0)</f>
        <v>P0026</v>
      </c>
      <c r="G1979" s="1" t="str">
        <f>IFERROR(VLOOKUP(F1979,'RM Cost'!A:B,2,0),"")</f>
        <v>LID 2.2L PJET 2.2L-3.8L</v>
      </c>
      <c r="H1979" s="2" t="s">
        <v>4673</v>
      </c>
      <c r="I1979" s="1" t="str">
        <f>VLOOKUP(F1979,'RM Used'!B:D,3,0)</f>
        <v>RM-PACKING</v>
      </c>
      <c r="J1979" s="66">
        <v>1</v>
      </c>
      <c r="K1979" s="35" t="str">
        <f>IF(I1979="RM-FOOD",J1979*E1979,"")</f>
        <v/>
      </c>
      <c r="L1979" s="35">
        <f t="shared" si="799"/>
        <v>0</v>
      </c>
      <c r="M1979" s="77" t="str" cm="1">
        <f t="array" ref="M1979">_xlfn.IFS(BOM!I1979="RM-PACKING","100%",B1979="Reynolds",VLOOKUP(H1979,'Yield &amp; Time'!A:V,22,0),BOM!B1979="Dnata",VLOOKUP(BOM!H1979,'Yield &amp; Time'!A:M,13,0),B1979="NK",VLOOKUP(H1979,'Yield &amp; Time'!A:X,24,0))</f>
        <v>100%</v>
      </c>
      <c r="N1979" s="35">
        <f>IFERROR(IF(I1979="RM-FOOD",(E1979*J1979)/M1979,1),0)</f>
        <v>1</v>
      </c>
      <c r="O1979" s="1" t="str">
        <f>VLOOKUP(H1979,'RM Used'!A:E,5,0)</f>
        <v>Count</v>
      </c>
      <c r="P1979" s="11">
        <f>VLOOKUP(H1979,'RM Used'!A:F,6,0)</f>
        <v>0.16</v>
      </c>
      <c r="Q1979" s="11">
        <f t="shared" si="801"/>
        <v>0.16</v>
      </c>
      <c r="R1979" s="11">
        <f>IFERROR(IF(B1979="Reynolds",VLOOKUP(H1979,'Yield &amp; Time'!A:U,21,0),VLOOKUP(H1979,'Yield &amp; Time'!A:L,12,0)),0)</f>
        <v>0</v>
      </c>
      <c r="S1979" s="11">
        <f t="shared" si="802"/>
        <v>0</v>
      </c>
      <c r="T1979" s="11">
        <f t="shared" si="803"/>
        <v>0</v>
      </c>
      <c r="U1979" s="11">
        <f>IF(A1978=A1979,0,VLOOKUP(A1979,'Packing Time'!A:F,6,0))</f>
        <v>0</v>
      </c>
      <c r="V1979" s="11">
        <f>U1979*AO$1</f>
        <v>0</v>
      </c>
      <c r="W1979" s="11">
        <f>(U1979*Z1979)/60</f>
        <v>0</v>
      </c>
      <c r="X1979" s="11">
        <f t="shared" si="806"/>
        <v>0</v>
      </c>
      <c r="Y1979" s="11">
        <f>X1979*Z1979</f>
        <v>0</v>
      </c>
      <c r="Z1979" s="37">
        <v>1</v>
      </c>
      <c r="AA1979" s="36">
        <f t="shared" si="808"/>
        <v>1</v>
      </c>
      <c r="AB1979" s="36">
        <f t="shared" si="809"/>
        <v>0.16</v>
      </c>
      <c r="AC1979" s="11">
        <f t="shared" si="810"/>
        <v>0</v>
      </c>
      <c r="AD1979" s="36">
        <f>AC1979*60*AO$1</f>
        <v>0</v>
      </c>
      <c r="AE1979" s="36"/>
      <c r="AF1979" s="36">
        <f>IFERROR(VLOOKUP(AE1979,'Chemical Cost'!A:D,4,0),0)</f>
        <v>0</v>
      </c>
      <c r="AG1979" s="114">
        <f t="shared" si="812"/>
        <v>0</v>
      </c>
      <c r="AH1979" s="36">
        <f>AF1979*AA1979/3</f>
        <v>0</v>
      </c>
      <c r="AI1979" s="36">
        <f>IFERROR((Q1979*Z1979)+(Z1979*X1979)+AH1979,0)</f>
        <v>0.16</v>
      </c>
      <c r="AJ1979" s="36">
        <f>IFERROR(VLOOKUP(A1979,'All Products'!A:F,6,0),0)</f>
        <v>0</v>
      </c>
      <c r="AK1979" s="36"/>
      <c r="AL1979" s="23"/>
      <c r="AM1979" s="23">
        <v>1</v>
      </c>
      <c r="AN1979" s="54" t="e">
        <v>#N/A</v>
      </c>
      <c r="AO1979" s="47"/>
      <c r="AP1979" s="4">
        <v>1.25</v>
      </c>
      <c r="AQ1979" s="111">
        <f t="shared" si="815"/>
        <v>0</v>
      </c>
      <c r="AR1979">
        <f>_xlfn.XLOOKUP(F1979,'RM Cost'!A:A,'RM Cost'!S:S)</f>
        <v>0</v>
      </c>
      <c r="AS1979" t="str">
        <f>_xlfn.XLOOKUP(A1979,[3]Sheet1!$B:$B,[3]Sheet1!$B:$B)</f>
        <v>689CCS</v>
      </c>
      <c r="AT1979" t="e">
        <f>_xlfn.XLOOKUP(H1979,'Yield &amp; Time'!A:A,'Yield &amp; Time'!F:F)</f>
        <v>#N/A</v>
      </c>
    </row>
    <row r="1980" spans="1:46" x14ac:dyDescent="0.25">
      <c r="A1980" s="2" t="s">
        <v>4888</v>
      </c>
      <c r="B1980" s="2" t="s">
        <v>552</v>
      </c>
      <c r="C1980" s="2" t="s">
        <v>2645</v>
      </c>
      <c r="D1980" s="2" t="s">
        <v>554</v>
      </c>
      <c r="E1980" s="2">
        <v>0.5</v>
      </c>
      <c r="F1980" s="1" t="str">
        <f>VLOOKUP(H1980,'RM Used'!A:B,2,0)</f>
        <v>032ACS</v>
      </c>
      <c r="G1980" s="1" t="str">
        <f>IFERROR(VLOOKUP(F1980,'RM Cost'!A:B,2,0),"")</f>
        <v>RM - LRG PROCESSING CARROT X 1000KG</v>
      </c>
      <c r="H1980" s="2" t="s">
        <v>1351</v>
      </c>
      <c r="I1980" s="1" t="str">
        <f>VLOOKUP(F1980,'RM Used'!B:D,3,0)</f>
        <v>RM-FOOD</v>
      </c>
      <c r="J1980" s="66">
        <v>0.25</v>
      </c>
      <c r="K1980" s="35">
        <f t="shared" ref="K1980" si="838">IF(I1980="RM-FOOD",J1980*E1980,"")</f>
        <v>0.125</v>
      </c>
      <c r="L1980" s="35">
        <f t="shared" si="799"/>
        <v>0.125</v>
      </c>
      <c r="M1980" s="77" cm="1">
        <f t="array" ref="M1980">_xlfn.IFS(BOM!I1980="RM-PACKING","100%",B1980="Reynolds",VLOOKUP(H1980,'Yield &amp; Time'!A:V,22,0),BOM!B1980="Dnata",VLOOKUP(BOM!H1980,'Yield &amp; Time'!A:M,13,0),B1980="NK",VLOOKUP(H1980,'Yield &amp; Time'!A:X,24,0))</f>
        <v>0.75330000000000008</v>
      </c>
      <c r="N1980" s="35">
        <f t="shared" ref="N1980:N1984" si="839">IFERROR(IF(I1980="RM-FOOD",(E1980*J1980)/M1980,1),0)</f>
        <v>0.16593654586486126</v>
      </c>
      <c r="O1980" s="1" t="str">
        <f>VLOOKUP(H1980,'RM Used'!A:E,5,0)</f>
        <v>KG</v>
      </c>
      <c r="P1980" s="11">
        <f>VLOOKUP(H1980,'RM Used'!A:F,6,0)</f>
        <v>0.38</v>
      </c>
      <c r="Q1980" s="11">
        <f t="shared" si="801"/>
        <v>6.3055887428647275E-2</v>
      </c>
      <c r="R1980" s="11">
        <f>IFERROR(IF(B1980="Reynolds",VLOOKUP(H1980,'Yield &amp; Time'!A:U,21,0),VLOOKUP(H1980,'Yield &amp; Time'!A:L,12,0)),0)</f>
        <v>0.90531914893617027</v>
      </c>
      <c r="S1980" s="11">
        <f t="shared" si="802"/>
        <v>3.8306316489361704E-2</v>
      </c>
      <c r="T1980" s="11">
        <f t="shared" si="803"/>
        <v>1.8860815602836881E-3</v>
      </c>
      <c r="U1980" s="11">
        <f>IF(A1979=A1980,0,VLOOKUP(A1980,'Packing Time'!A:F,6,0))</f>
        <v>0.55499999999999994</v>
      </c>
      <c r="V1980" s="11">
        <f t="shared" ref="V1980:V1984" si="840">U1980*AO$1</f>
        <v>0.18786749999999997</v>
      </c>
      <c r="W1980" s="11">
        <f t="shared" ref="W1980:W1984" si="841">(U1980*Z1980)/60</f>
        <v>9.2499999999999995E-3</v>
      </c>
      <c r="X1980" s="11">
        <f t="shared" si="806"/>
        <v>0.24879119813829784</v>
      </c>
      <c r="Y1980" s="11">
        <f t="shared" ref="Y1980:Y1984" si="842">X1980*Z1980</f>
        <v>0.24879119813829784</v>
      </c>
      <c r="Z1980" s="37">
        <v>1</v>
      </c>
      <c r="AA1980" s="36">
        <f t="shared" si="808"/>
        <v>0.16593654586486126</v>
      </c>
      <c r="AB1980" s="36">
        <f t="shared" si="809"/>
        <v>6.3055887428647275E-2</v>
      </c>
      <c r="AC1980" s="11">
        <f t="shared" si="810"/>
        <v>1.2249689716312058E-2</v>
      </c>
      <c r="AD1980" s="36">
        <f t="shared" ref="AD1980:AD1984" si="843">AC1980*60*AO$1</f>
        <v>0.24879119813829789</v>
      </c>
      <c r="AE1980" s="36" t="str">
        <f>VLOOKUP(H1980,'Yield &amp; Time'!A:R,18,0)</f>
        <v>CHLORINE</v>
      </c>
      <c r="AF1980" s="36">
        <f>IFERROR(VLOOKUP(AE1980,'Chemical Cost'!A:D,4,0),0)</f>
        <v>2.7756518066439469E-2</v>
      </c>
      <c r="AG1980" s="114">
        <f t="shared" si="812"/>
        <v>1.5352735777268611E-3</v>
      </c>
      <c r="AH1980" s="36">
        <f t="shared" ref="AH1980:AH1984" si="844">AF1980*AA1980/3</f>
        <v>1.5352735777268611E-3</v>
      </c>
      <c r="AI1980" s="36">
        <f t="shared" ref="AI1980:AI1984" si="845">IFERROR((Q1980*Z1980)+(Z1980*X1980)+AH1980,0)</f>
        <v>0.313382359144672</v>
      </c>
      <c r="AJ1980" s="36">
        <f>IFERROR(VLOOKUP(A1980,'All Products'!A:F,6,0),0)</f>
        <v>0</v>
      </c>
      <c r="AK1980" s="36">
        <f>AJ1980*Z1980*J1980</f>
        <v>0</v>
      </c>
      <c r="AL1980" s="23">
        <v>0.85</v>
      </c>
      <c r="AM1980" s="23">
        <v>0.15</v>
      </c>
      <c r="AN1980" s="54" t="e">
        <v>#N/A</v>
      </c>
      <c r="AO1980" s="47"/>
      <c r="AP1980" s="4">
        <v>1.1000000000000001</v>
      </c>
      <c r="AQ1980" s="111">
        <f>(((R1980*J1980*E1980)+U1980)/60)*AP1980</f>
        <v>1.2249689716312058E-2</v>
      </c>
      <c r="AR1980">
        <f>_xlfn.XLOOKUP(F1980,'RM Cost'!A:A,'RM Cost'!S:S)</f>
        <v>0</v>
      </c>
      <c r="AS1980" t="str">
        <f>_xlfn.XLOOKUP(A1980,[3]Sheet1!$B:$B,[3]Sheet1!$B:$B)</f>
        <v>553CEA</v>
      </c>
      <c r="AT1980" t="str">
        <f>_xlfn.XLOOKUP(H1980,'Yield &amp; Time'!A:A,'Yield &amp; Time'!O:O)</f>
        <v>Yes</v>
      </c>
    </row>
    <row r="1981" spans="1:46" x14ac:dyDescent="0.25">
      <c r="A1981" s="2" t="s">
        <v>4888</v>
      </c>
      <c r="B1981" s="2" t="s">
        <v>552</v>
      </c>
      <c r="C1981" s="2" t="s">
        <v>2645</v>
      </c>
      <c r="D1981" s="2" t="s">
        <v>554</v>
      </c>
      <c r="E1981" s="2">
        <v>0.5</v>
      </c>
      <c r="F1981" s="1" t="str">
        <f>VLOOKUP(H1981,'RM Used'!A:B,2,0)</f>
        <v>S3997CS</v>
      </c>
      <c r="G1981" s="1" t="str">
        <f>IFERROR(VLOOKUP(F1981,'RM Cost'!A:B,2,0),"")</f>
        <v>RM - DECORE WHITE CABBAGE 1/3 1200KG</v>
      </c>
      <c r="H1981" s="2" t="s">
        <v>1350</v>
      </c>
      <c r="I1981" s="1" t="str">
        <f>VLOOKUP(F1981,'RM Used'!B:D,3,0)</f>
        <v>RM-FOOD</v>
      </c>
      <c r="J1981" s="66">
        <v>0.5</v>
      </c>
      <c r="K1981" s="35">
        <f>IF(I1981="RM-FOOD",J1981*E1981,"")</f>
        <v>0.25</v>
      </c>
      <c r="L1981" s="35">
        <f t="shared" si="799"/>
        <v>0.25</v>
      </c>
      <c r="M1981" s="77" cm="1">
        <f t="array" ref="M1981">_xlfn.IFS(BOM!I1981="RM-PACKING","100%",B1981="Reynolds",VLOOKUP(H1981,'Yield &amp; Time'!A:V,22,0),BOM!B1981="Dnata",VLOOKUP(BOM!H1981,'Yield &amp; Time'!A:M,13,0),B1981="NK",VLOOKUP(H1981,'Yield &amp; Time'!A:X,24,0))</f>
        <v>0.77222322232223217</v>
      </c>
      <c r="N1981" s="35">
        <f t="shared" si="839"/>
        <v>0.32374058791990118</v>
      </c>
      <c r="O1981" s="1" t="str">
        <f>VLOOKUP(H1981,'RM Used'!A:E,5,0)</f>
        <v>KG</v>
      </c>
      <c r="P1981" s="11">
        <f>VLOOKUP(H1981,'RM Used'!A:F,6,0)</f>
        <v>0.34</v>
      </c>
      <c r="Q1981" s="11">
        <f t="shared" si="801"/>
        <v>0.11007179989276641</v>
      </c>
      <c r="R1981" s="11">
        <f>IFERROR(IF(B1981="Reynolds",VLOOKUP(H1981,'Yield &amp; Time'!A:U,21,0),VLOOKUP(H1981,'Yield &amp; Time'!A:L,12,0)),0)</f>
        <v>0.82773480662983423</v>
      </c>
      <c r="S1981" s="11">
        <f t="shared" si="802"/>
        <v>7.0047058011049712E-2</v>
      </c>
      <c r="T1981" s="11">
        <f t="shared" si="803"/>
        <v>3.4488950276243091E-3</v>
      </c>
      <c r="U1981" s="11">
        <f>IF(A1980=A1981,0,VLOOKUP(A1981,'Packing Time'!A:F,6,0))</f>
        <v>0</v>
      </c>
      <c r="V1981" s="11">
        <f t="shared" si="840"/>
        <v>0</v>
      </c>
      <c r="W1981" s="11">
        <f t="shared" si="841"/>
        <v>0</v>
      </c>
      <c r="X1981" s="11">
        <f t="shared" si="806"/>
        <v>0</v>
      </c>
      <c r="Y1981" s="11">
        <f t="shared" si="842"/>
        <v>0</v>
      </c>
      <c r="Z1981" s="37">
        <v>1</v>
      </c>
      <c r="AA1981" s="36">
        <f t="shared" si="808"/>
        <v>0.32374058791990118</v>
      </c>
      <c r="AB1981" s="36">
        <f t="shared" si="809"/>
        <v>0.11007179989276641</v>
      </c>
      <c r="AC1981" s="11">
        <f t="shared" si="810"/>
        <v>0</v>
      </c>
      <c r="AD1981" s="36">
        <f t="shared" si="843"/>
        <v>0</v>
      </c>
      <c r="AE1981" s="36" t="str">
        <f>VLOOKUP(H1981,'Yield &amp; Time'!A:R,18,0)</f>
        <v>CHLORINE</v>
      </c>
      <c r="AF1981" s="36">
        <f>IFERROR(VLOOKUP(AE1981,'Chemical Cost'!A:D,4,0),0)</f>
        <v>2.7756518066439469E-2</v>
      </c>
      <c r="AG1981" s="114">
        <f t="shared" si="812"/>
        <v>2.9953038258128243E-3</v>
      </c>
      <c r="AH1981" s="36">
        <f t="shared" si="844"/>
        <v>2.9953038258128243E-3</v>
      </c>
      <c r="AI1981" s="36">
        <f t="shared" si="845"/>
        <v>0.11306710371857924</v>
      </c>
      <c r="AJ1981" s="36">
        <f>IFERROR(VLOOKUP(A1981,'All Products'!A:F,6,0),0)</f>
        <v>0</v>
      </c>
      <c r="AK1981" s="36">
        <f>AJ1981*Z1981*J1981</f>
        <v>0</v>
      </c>
      <c r="AL1981" s="23">
        <v>0.85</v>
      </c>
      <c r="AM1981" s="23">
        <v>0.15</v>
      </c>
      <c r="AN1981" s="54" t="e">
        <v>#N/A</v>
      </c>
      <c r="AO1981" s="47"/>
      <c r="AP1981" s="4"/>
      <c r="AQ1981" s="111"/>
      <c r="AS1981" t="str">
        <f>_xlfn.XLOOKUP(A1981,[3]Sheet1!$B:$B,[3]Sheet1!$B:$B)</f>
        <v>553CEA</v>
      </c>
      <c r="AT1981" t="str">
        <f>_xlfn.XLOOKUP(H1981,'Yield &amp; Time'!A:A,'Yield &amp; Time'!O:O)</f>
        <v>Yes</v>
      </c>
    </row>
    <row r="1982" spans="1:46" x14ac:dyDescent="0.25">
      <c r="A1982" s="2" t="s">
        <v>4888</v>
      </c>
      <c r="B1982" s="2" t="s">
        <v>552</v>
      </c>
      <c r="C1982" s="2" t="s">
        <v>2645</v>
      </c>
      <c r="D1982" s="2" t="s">
        <v>554</v>
      </c>
      <c r="E1982" s="2">
        <v>0.5</v>
      </c>
      <c r="F1982" s="1" t="str">
        <f>VLOOKUP(H1982,'RM Used'!A:B,2,0)</f>
        <v>S3998CS</v>
      </c>
      <c r="G1982" s="1" t="str">
        <f>IFERROR(VLOOKUP(F1982,'RM Cost'!A:B,2,0),"")</f>
        <v>RM - DECORED RED CABBAGE 1/3 1200KG</v>
      </c>
      <c r="H1982" s="2" t="s">
        <v>1349</v>
      </c>
      <c r="I1982" s="1" t="str">
        <f>VLOOKUP(F1982,'RM Used'!B:D,3,0)</f>
        <v>RM-FOOD</v>
      </c>
      <c r="J1982" s="66">
        <v>0.25</v>
      </c>
      <c r="K1982" s="35">
        <f t="shared" ref="K1982:K1984" si="846">IF(I1982="RM-FOOD",J1982*E1982,"")</f>
        <v>0.125</v>
      </c>
      <c r="L1982" s="35">
        <f t="shared" si="799"/>
        <v>0.125</v>
      </c>
      <c r="M1982" s="77" cm="1">
        <f t="array" ref="M1982">_xlfn.IFS(BOM!I1982="RM-PACKING","100%",B1982="Reynolds",VLOOKUP(H1982,'Yield &amp; Time'!A:V,22,0),BOM!B1982="Dnata",VLOOKUP(BOM!H1982,'Yield &amp; Time'!A:M,13,0),B1982="NK",VLOOKUP(H1982,'Yield &amp; Time'!A:X,24,0))</f>
        <v>0.75138040345821322</v>
      </c>
      <c r="N1982" s="35">
        <f t="shared" si="839"/>
        <v>0.16636047390202088</v>
      </c>
      <c r="O1982" s="1" t="str">
        <f>VLOOKUP(H1982,'RM Used'!A:E,5,0)</f>
        <v>KG</v>
      </c>
      <c r="P1982" s="11">
        <f>VLOOKUP(H1982,'RM Used'!A:F,6,0)</f>
        <v>0.38</v>
      </c>
      <c r="Q1982" s="11">
        <f t="shared" si="801"/>
        <v>6.3216980082767937E-2</v>
      </c>
      <c r="R1982" s="11">
        <f>IFERROR(IF(B1982="Reynolds",VLOOKUP(H1982,'Yield &amp; Time'!A:U,21,0),VLOOKUP(H1982,'Yield &amp; Time'!A:L,12,0)),0)</f>
        <v>0.76261570798735501</v>
      </c>
      <c r="S1982" s="11">
        <f t="shared" si="802"/>
        <v>3.2268177144214955E-2</v>
      </c>
      <c r="T1982" s="11">
        <f t="shared" si="803"/>
        <v>1.5887827249736564E-3</v>
      </c>
      <c r="U1982" s="11">
        <f>IF(A1980=A1982,0,VLOOKUP(A1982,'Packing Time'!A:F,6,0))</f>
        <v>0</v>
      </c>
      <c r="V1982" s="11">
        <f t="shared" si="840"/>
        <v>0</v>
      </c>
      <c r="W1982" s="11">
        <f t="shared" si="841"/>
        <v>0</v>
      </c>
      <c r="X1982" s="11">
        <f t="shared" si="806"/>
        <v>3.5494994858636456E-2</v>
      </c>
      <c r="Y1982" s="11">
        <f t="shared" si="842"/>
        <v>3.5494994858636456E-2</v>
      </c>
      <c r="Z1982" s="37">
        <v>1</v>
      </c>
      <c r="AA1982" s="36">
        <f t="shared" si="808"/>
        <v>0.16636047390202088</v>
      </c>
      <c r="AB1982" s="36">
        <f t="shared" si="809"/>
        <v>6.3216980082767937E-2</v>
      </c>
      <c r="AC1982" s="11">
        <f t="shared" si="810"/>
        <v>1.7476609974710221E-3</v>
      </c>
      <c r="AD1982" s="36">
        <f t="shared" si="843"/>
        <v>3.5494994858636456E-2</v>
      </c>
      <c r="AE1982" s="36" t="str">
        <f>VLOOKUP(H1982,'Yield &amp; Time'!A:R,18,0)</f>
        <v>CHLORINE</v>
      </c>
      <c r="AF1982" s="36">
        <f>IFERROR(VLOOKUP(AE1982,'Chemical Cost'!A:D,4,0),0)</f>
        <v>2.7756518066439469E-2</v>
      </c>
      <c r="AG1982" s="114">
        <f t="shared" si="812"/>
        <v>1.5391958331342915E-3</v>
      </c>
      <c r="AH1982" s="36">
        <f t="shared" si="844"/>
        <v>1.5391958331342915E-3</v>
      </c>
      <c r="AI1982" s="36">
        <f t="shared" si="845"/>
        <v>0.10025117077453868</v>
      </c>
      <c r="AJ1982" s="36">
        <f>IFERROR(VLOOKUP(A1982,'All Products'!A:F,6,0),0)</f>
        <v>0</v>
      </c>
      <c r="AK1982" s="36">
        <f>AJ1982*Z1982*J1982</f>
        <v>0</v>
      </c>
      <c r="AL1982" s="23">
        <v>0.85</v>
      </c>
      <c r="AM1982" s="23">
        <v>0.15</v>
      </c>
      <c r="AN1982" s="54" t="e">
        <v>#N/A</v>
      </c>
      <c r="AO1982" s="47"/>
      <c r="AP1982" s="4">
        <v>1.1000000000000001</v>
      </c>
      <c r="AQ1982" s="111">
        <f t="shared" ref="AQ1982:AQ1984" si="847">(((R1982*J1982*E1982)+U1982)/60)*AP1982</f>
        <v>1.7476609974710221E-3</v>
      </c>
      <c r="AR1982">
        <f>_xlfn.XLOOKUP(F1982,'RM Cost'!A:A,'RM Cost'!S:S)</f>
        <v>0.29914853989077506</v>
      </c>
      <c r="AS1982" t="str">
        <f>_xlfn.XLOOKUP(A1982,[3]Sheet1!$B:$B,[3]Sheet1!$B:$B)</f>
        <v>553CEA</v>
      </c>
      <c r="AT1982" t="str">
        <f>_xlfn.XLOOKUP(H1982,'Yield &amp; Time'!A:A,'Yield &amp; Time'!O:O)</f>
        <v>Yes</v>
      </c>
    </row>
    <row r="1983" spans="1:46" x14ac:dyDescent="0.25">
      <c r="A1983" s="2" t="s">
        <v>4888</v>
      </c>
      <c r="B1983" s="2" t="s">
        <v>552</v>
      </c>
      <c r="C1983" s="2" t="s">
        <v>2645</v>
      </c>
      <c r="D1983" s="2" t="s">
        <v>554</v>
      </c>
      <c r="E1983" s="2">
        <v>0.5</v>
      </c>
      <c r="F1983" s="1" t="str">
        <f>VLOOKUP(H1983,'RM Used'!A:B,2,0)</f>
        <v>P0001</v>
      </c>
      <c r="G1983" s="1" t="str">
        <f>IFERROR(VLOOKUP(F1983,'RM Cost'!A:B,2,0),"")</f>
        <v>SOL 30EL # PPLUS 630x1000 BLUE -1</v>
      </c>
      <c r="H1983" s="2" t="s">
        <v>4678</v>
      </c>
      <c r="I1983" s="1" t="str">
        <f>VLOOKUP(F1983,'RM Used'!B:D,3,0)</f>
        <v>RM-PACKING</v>
      </c>
      <c r="J1983" s="66">
        <v>1</v>
      </c>
      <c r="K1983" s="35" t="str">
        <f t="shared" si="846"/>
        <v/>
      </c>
      <c r="L1983" s="35">
        <f t="shared" si="799"/>
        <v>0</v>
      </c>
      <c r="M1983" s="77" t="str" cm="1">
        <f t="array" ref="M1983">_xlfn.IFS(BOM!I1983="RM-PACKING","100%",B1983="Reynolds",VLOOKUP(H1983,'Yield &amp; Time'!A:V,22,0),BOM!B1983="Dnata",VLOOKUP(BOM!H1983,'Yield &amp; Time'!A:M,13,0),B1983="NK",VLOOKUP(H1983,'Yield &amp; Time'!A:X,24,0))</f>
        <v>100%</v>
      </c>
      <c r="N1983" s="35">
        <f t="shared" si="839"/>
        <v>1</v>
      </c>
      <c r="O1983" s="1" t="str">
        <f>VLOOKUP(H1983,'RM Used'!A:E,5,0)</f>
        <v>Count</v>
      </c>
      <c r="P1983" s="11">
        <f>VLOOKUP(H1983,'RM Used'!A:F,6,0)</f>
        <v>0.08</v>
      </c>
      <c r="Q1983" s="11">
        <f t="shared" si="801"/>
        <v>0.08</v>
      </c>
      <c r="R1983" s="11">
        <f>IFERROR(IF(B1983="Reynolds",VLOOKUP(H1983,'Yield &amp; Time'!A:U,21,0),VLOOKUP(H1983,'Yield &amp; Time'!A:L,12,0)),0)</f>
        <v>0</v>
      </c>
      <c r="S1983" s="11">
        <f t="shared" si="802"/>
        <v>0</v>
      </c>
      <c r="T1983" s="11">
        <f t="shared" si="803"/>
        <v>0</v>
      </c>
      <c r="U1983" s="11">
        <f>IF(A1982=A1983,0,VLOOKUP(A1983,'Packing Time'!A:F,6,0))</f>
        <v>0</v>
      </c>
      <c r="V1983" s="11">
        <f t="shared" si="840"/>
        <v>0</v>
      </c>
      <c r="W1983" s="11">
        <f t="shared" si="841"/>
        <v>0</v>
      </c>
      <c r="X1983" s="11">
        <f t="shared" si="806"/>
        <v>0</v>
      </c>
      <c r="Y1983" s="11">
        <f t="shared" si="842"/>
        <v>0</v>
      </c>
      <c r="Z1983" s="37">
        <v>1</v>
      </c>
      <c r="AA1983" s="36">
        <f t="shared" si="808"/>
        <v>1</v>
      </c>
      <c r="AB1983" s="36">
        <f t="shared" si="809"/>
        <v>0.08</v>
      </c>
      <c r="AC1983" s="11">
        <f t="shared" si="810"/>
        <v>0</v>
      </c>
      <c r="AD1983" s="36">
        <f t="shared" si="843"/>
        <v>0</v>
      </c>
      <c r="AE1983" s="36"/>
      <c r="AF1983" s="36">
        <f>IFERROR(VLOOKUP(AE1983,'Chemical Cost'!A:D,4,0),0)</f>
        <v>0</v>
      </c>
      <c r="AG1983" s="114">
        <f t="shared" si="812"/>
        <v>0</v>
      </c>
      <c r="AH1983" s="36">
        <f t="shared" si="844"/>
        <v>0</v>
      </c>
      <c r="AI1983" s="36">
        <f t="shared" si="845"/>
        <v>0.08</v>
      </c>
      <c r="AJ1983" s="36">
        <f>IFERROR(VLOOKUP(A1983,'All Products'!A:F,6,0),0)</f>
        <v>0</v>
      </c>
      <c r="AK1983" s="36"/>
      <c r="AL1983" s="23">
        <v>0.85</v>
      </c>
      <c r="AM1983" s="23">
        <v>0.15</v>
      </c>
      <c r="AN1983" s="54" t="e">
        <v>#N/A</v>
      </c>
      <c r="AO1983" s="47"/>
      <c r="AP1983" s="4">
        <v>1.1000000000000001</v>
      </c>
      <c r="AQ1983" s="111">
        <f t="shared" si="847"/>
        <v>0</v>
      </c>
      <c r="AR1983">
        <f>_xlfn.XLOOKUP(F1983,'RM Cost'!A:A,'RM Cost'!S:S)</f>
        <v>0</v>
      </c>
      <c r="AS1983" t="str">
        <f>_xlfn.XLOOKUP(A1983,[3]Sheet1!$B:$B,[3]Sheet1!$B:$B)</f>
        <v>553CEA</v>
      </c>
      <c r="AT1983" t="e">
        <f>_xlfn.XLOOKUP(H1983,'Yield &amp; Time'!A:A,'Yield &amp; Time'!F:F)</f>
        <v>#N/A</v>
      </c>
    </row>
    <row r="1984" spans="1:46" x14ac:dyDescent="0.25">
      <c r="A1984" s="2" t="s">
        <v>4888</v>
      </c>
      <c r="B1984" s="2" t="s">
        <v>552</v>
      </c>
      <c r="C1984" s="2" t="s">
        <v>2645</v>
      </c>
      <c r="D1984" s="2" t="s">
        <v>554</v>
      </c>
      <c r="E1984" s="2">
        <v>0.5</v>
      </c>
      <c r="F1984" s="1" t="str">
        <f>VLOOKUP(H1984,'RM Used'!A:B,2,0)</f>
        <v>P0016A</v>
      </c>
      <c r="G1984" s="1" t="str">
        <f>IFERROR(VLOOKUP(F1984,'RM Cost'!A:B,2,0),"")</f>
        <v>REY 40 30 BOX 4 in 1</v>
      </c>
      <c r="H1984" s="2" t="s">
        <v>4889</v>
      </c>
      <c r="I1984" s="1" t="str">
        <f>VLOOKUP(F1984,'RM Used'!B:D,3,0)</f>
        <v>RM-PACKING</v>
      </c>
      <c r="J1984" s="66">
        <v>1</v>
      </c>
      <c r="K1984" s="35" t="str">
        <f t="shared" si="846"/>
        <v/>
      </c>
      <c r="L1984" s="35">
        <f t="shared" si="799"/>
        <v>0</v>
      </c>
      <c r="M1984" s="77" t="str" cm="1">
        <f t="array" ref="M1984">_xlfn.IFS(BOM!I1984="RM-PACKING","100%",B1984="Reynolds",VLOOKUP(H1984,'Yield &amp; Time'!A:V,22,0),BOM!B1984="Dnata",VLOOKUP(BOM!H1984,'Yield &amp; Time'!A:M,13,0),B1984="NK",VLOOKUP(H1984,'Yield &amp; Time'!A:X,24,0))</f>
        <v>100%</v>
      </c>
      <c r="N1984" s="35">
        <f t="shared" si="839"/>
        <v>1</v>
      </c>
      <c r="O1984" s="1" t="str">
        <f>VLOOKUP(H1984,'RM Used'!A:E,5,0)</f>
        <v>Count</v>
      </c>
      <c r="P1984" s="11">
        <f>VLOOKUP(H1984,'RM Used'!A:F,6,0)</f>
        <v>7.0000000000000007E-2</v>
      </c>
      <c r="Q1984" s="11">
        <f t="shared" si="801"/>
        <v>7.0000000000000007E-2</v>
      </c>
      <c r="R1984" s="11">
        <f>IFERROR(IF(B1984="Reynolds",VLOOKUP(H1984,'Yield &amp; Time'!A:U,21,0),VLOOKUP(H1984,'Yield &amp; Time'!A:L,12,0)),0)</f>
        <v>0</v>
      </c>
      <c r="S1984" s="11">
        <f t="shared" si="802"/>
        <v>0</v>
      </c>
      <c r="T1984" s="11">
        <f t="shared" si="803"/>
        <v>0</v>
      </c>
      <c r="U1984" s="11">
        <f>IF(A1983=A1984,0,VLOOKUP(A1984,'Packing Time'!A:F,6,0))</f>
        <v>0</v>
      </c>
      <c r="V1984" s="11">
        <f t="shared" si="840"/>
        <v>0</v>
      </c>
      <c r="W1984" s="11">
        <f t="shared" si="841"/>
        <v>0</v>
      </c>
      <c r="X1984" s="11">
        <f t="shared" si="806"/>
        <v>0</v>
      </c>
      <c r="Y1984" s="11">
        <f t="shared" si="842"/>
        <v>0</v>
      </c>
      <c r="Z1984" s="37">
        <v>1</v>
      </c>
      <c r="AA1984" s="36">
        <f t="shared" si="808"/>
        <v>1</v>
      </c>
      <c r="AB1984" s="36">
        <f t="shared" si="809"/>
        <v>7.0000000000000007E-2</v>
      </c>
      <c r="AC1984" s="11">
        <f t="shared" si="810"/>
        <v>0</v>
      </c>
      <c r="AD1984" s="36">
        <f t="shared" si="843"/>
        <v>0</v>
      </c>
      <c r="AE1984" s="36"/>
      <c r="AF1984" s="36">
        <f>IFERROR(VLOOKUP(AE1984,'Chemical Cost'!A:D,4,0),0)</f>
        <v>0</v>
      </c>
      <c r="AG1984" s="114">
        <f t="shared" si="812"/>
        <v>0</v>
      </c>
      <c r="AH1984" s="36">
        <f t="shared" si="844"/>
        <v>0</v>
      </c>
      <c r="AI1984" s="36">
        <f t="shared" si="845"/>
        <v>7.0000000000000007E-2</v>
      </c>
      <c r="AJ1984" s="36">
        <f>IFERROR(VLOOKUP(A1984,'All Products'!A:F,6,0),0)</f>
        <v>0</v>
      </c>
      <c r="AK1984" s="36"/>
      <c r="AL1984" s="23">
        <v>0.85</v>
      </c>
      <c r="AM1984" s="23">
        <v>0.15</v>
      </c>
      <c r="AN1984" s="54" t="e">
        <v>#N/A</v>
      </c>
      <c r="AO1984" s="47"/>
      <c r="AP1984" s="4">
        <v>1.1000000000000001</v>
      </c>
      <c r="AQ1984" s="111">
        <f t="shared" si="847"/>
        <v>0</v>
      </c>
      <c r="AR1984">
        <f>_xlfn.XLOOKUP(F1984,'RM Cost'!A:A,'RM Cost'!S:S)</f>
        <v>0</v>
      </c>
      <c r="AS1984" t="str">
        <f>_xlfn.XLOOKUP(A1984,[3]Sheet1!$B:$B,[3]Sheet1!$B:$B)</f>
        <v>553CEA</v>
      </c>
      <c r="AT1984" t="e">
        <f>_xlfn.XLOOKUP(H1984,'Yield &amp; Time'!A:A,'Yield &amp; Time'!F:F)</f>
        <v>#N/A</v>
      </c>
    </row>
    <row r="1985" spans="1:46" x14ac:dyDescent="0.25">
      <c r="A1985" s="2" t="s">
        <v>4890</v>
      </c>
      <c r="B1985" s="2" t="s">
        <v>552</v>
      </c>
      <c r="C1985" s="2" t="s">
        <v>2645</v>
      </c>
      <c r="D1985" s="2" t="s">
        <v>554</v>
      </c>
      <c r="E1985" s="2">
        <v>0.5</v>
      </c>
      <c r="F1985" s="1" t="str">
        <f>VLOOKUP(H1985,'RM Used'!A:B,2,0)</f>
        <v>032ACS</v>
      </c>
      <c r="G1985" s="1" t="str">
        <f>IFERROR(VLOOKUP(F1985,'RM Cost'!A:B,2,0),"")</f>
        <v>RM - LRG PROCESSING CARROT X 1000KG</v>
      </c>
      <c r="H1985" s="2" t="s">
        <v>1351</v>
      </c>
      <c r="I1985" s="1" t="str">
        <f>VLOOKUP(F1985,'RM Used'!B:D,3,0)</f>
        <v>RM-FOOD</v>
      </c>
      <c r="J1985" s="66">
        <v>0.25</v>
      </c>
      <c r="K1985" s="35">
        <f t="shared" ref="K1985:K1989" si="848">IF(I1985="RM-FOOD",J1985*E1985,"")</f>
        <v>0.125</v>
      </c>
      <c r="L1985" s="35">
        <f t="shared" ref="L1985:L1989" si="849">IFERROR(K1985*Z1985,0)</f>
        <v>0.125</v>
      </c>
      <c r="M1985" s="77" cm="1">
        <f t="array" ref="M1985">_xlfn.IFS(BOM!I1985="RM-PACKING","100%",B1985="Reynolds",VLOOKUP(H1985,'Yield &amp; Time'!A:V,22,0),BOM!B1985="Dnata",VLOOKUP(BOM!H1985,'Yield &amp; Time'!A:M,13,0),B1985="NK",VLOOKUP(H1985,'Yield &amp; Time'!A:X,24,0))</f>
        <v>0.75330000000000008</v>
      </c>
      <c r="N1985" s="35">
        <f t="shared" ref="N1985:N1989" si="850">IFERROR(IF(I1985="RM-FOOD",(E1985*J1985)/M1985,1),0)</f>
        <v>0.16593654586486126</v>
      </c>
      <c r="O1985" s="1" t="str">
        <f>VLOOKUP(H1985,'RM Used'!A:E,5,0)</f>
        <v>KG</v>
      </c>
      <c r="P1985" s="11">
        <f>VLOOKUP(H1985,'RM Used'!A:F,6,0)</f>
        <v>0.38</v>
      </c>
      <c r="Q1985" s="11">
        <f t="shared" ref="Q1985:Q1989" si="851">P1985*N1985</f>
        <v>6.3055887428647275E-2</v>
      </c>
      <c r="R1985" s="11">
        <f>IFERROR(IF(B1985="Reynolds",VLOOKUP(H1985,'Yield &amp; Time'!A:U,21,0),VLOOKUP(H1985,'Yield &amp; Time'!A:L,12,0)),0)</f>
        <v>0.90531914893617027</v>
      </c>
      <c r="S1985" s="11">
        <f t="shared" ref="S1985:S1989" si="852">R1985*J1985*E1985*AO$1</f>
        <v>3.8306316489361704E-2</v>
      </c>
      <c r="T1985" s="11">
        <f t="shared" ref="T1985:T1989" si="853">(R1985*Z1985*J1985*E1985)/60</f>
        <v>1.8860815602836881E-3</v>
      </c>
      <c r="U1985" s="11">
        <f>IF(A1984=A1985,0,VLOOKUP(A1985,'Packing Time'!A:F,6,0))</f>
        <v>0.55499999999999994</v>
      </c>
      <c r="V1985" s="11">
        <f t="shared" ref="V1985:V1989" si="854">U1985*AO$1</f>
        <v>0.18786749999999997</v>
      </c>
      <c r="W1985" s="11">
        <f t="shared" ref="W1985:W1989" si="855">(U1985*Z1985)/60</f>
        <v>9.2499999999999995E-3</v>
      </c>
      <c r="X1985" s="11">
        <f t="shared" ref="X1985:X1989" si="856">((R1985*J1985*E1985)+U1985)*AO$1*AP1985</f>
        <v>0.24879119813829784</v>
      </c>
      <c r="Y1985" s="11">
        <f t="shared" ref="Y1985:Y1989" si="857">X1985*Z1985</f>
        <v>0.24879119813829784</v>
      </c>
      <c r="Z1985" s="37">
        <v>1</v>
      </c>
      <c r="AA1985" s="36">
        <f t="shared" ref="AA1985:AA1989" si="858">Z1985*N1985</f>
        <v>0.16593654586486126</v>
      </c>
      <c r="AB1985" s="36">
        <f t="shared" ref="AB1985:AB1989" si="859">AA1985*P1985</f>
        <v>6.3055887428647275E-2</v>
      </c>
      <c r="AC1985" s="11">
        <f t="shared" ref="AC1985:AC1989" si="860">(((R1985*J1985*E1985)+U1985)/60)*Z1985*AP1985</f>
        <v>1.2249689716312058E-2</v>
      </c>
      <c r="AD1985" s="36">
        <f t="shared" ref="AD1985:AD1989" si="861">AC1985*60*AO$1</f>
        <v>0.24879119813829789</v>
      </c>
      <c r="AE1985" s="36"/>
      <c r="AF1985" s="36">
        <f>IFERROR(VLOOKUP(AE1985,'Chemical Cost'!A:D,4,0),0)</f>
        <v>0</v>
      </c>
      <c r="AG1985" s="114">
        <f t="shared" ref="AG1985:AG1989" si="862">AF1985*N1985/3</f>
        <v>0</v>
      </c>
      <c r="AH1985" s="36">
        <f t="shared" ref="AH1985:AH1989" si="863">AF1985*AA1985/3</f>
        <v>0</v>
      </c>
      <c r="AI1985" s="36">
        <f t="shared" ref="AI1985:AI1989" si="864">IFERROR((Q1985*Z1985)+(Z1985*X1985)+AH1985,0)</f>
        <v>0.31184708556694513</v>
      </c>
      <c r="AJ1985" s="36">
        <f>IFERROR(VLOOKUP(A1985,'All Products'!A:F,6,0),0)</f>
        <v>0</v>
      </c>
      <c r="AK1985" s="36"/>
      <c r="AL1985" s="23">
        <v>0.85</v>
      </c>
      <c r="AM1985" s="23">
        <v>0.15</v>
      </c>
      <c r="AN1985" s="54" t="e">
        <v>#N/A</v>
      </c>
      <c r="AO1985" s="47"/>
      <c r="AP1985" s="4">
        <v>1.1000000000000001</v>
      </c>
      <c r="AQ1985" s="111">
        <f t="shared" ref="AQ1985:AQ1989" si="865">(((R1985*J1985*E1985)+U1985)/60)*AP1985</f>
        <v>1.2249689716312058E-2</v>
      </c>
      <c r="AR1985">
        <f>_xlfn.XLOOKUP(F1985,'RM Cost'!A:A,'RM Cost'!S:S)</f>
        <v>0</v>
      </c>
      <c r="AS1985" t="str">
        <f>_xlfn.XLOOKUP(A1985,[3]Sheet1!$B:$B,[3]Sheet1!$B:$B)</f>
        <v>N114CS</v>
      </c>
      <c r="AT1985" t="str">
        <f>_xlfn.XLOOKUP(H1985,'Yield &amp; Time'!A:A,'Yield &amp; Time'!O:O)</f>
        <v>Yes</v>
      </c>
    </row>
    <row r="1986" spans="1:46" x14ac:dyDescent="0.25">
      <c r="A1986" s="2" t="s">
        <v>4890</v>
      </c>
      <c r="B1986" s="2" t="s">
        <v>552</v>
      </c>
      <c r="C1986" s="2" t="s">
        <v>2645</v>
      </c>
      <c r="D1986" s="2" t="s">
        <v>554</v>
      </c>
      <c r="E1986" s="2">
        <v>0.5</v>
      </c>
      <c r="F1986" s="1" t="str">
        <f>VLOOKUP(H1986,'RM Used'!A:B,2,0)</f>
        <v>S3997CS</v>
      </c>
      <c r="G1986" s="1" t="str">
        <f>IFERROR(VLOOKUP(F1986,'RM Cost'!A:B,2,0),"")</f>
        <v>RM - DECORE WHITE CABBAGE 1/3 1200KG</v>
      </c>
      <c r="H1986" s="2" t="s">
        <v>1350</v>
      </c>
      <c r="I1986" s="1" t="str">
        <f>VLOOKUP(F1986,'RM Used'!B:D,3,0)</f>
        <v>RM-FOOD</v>
      </c>
      <c r="J1986" s="66">
        <v>0.5</v>
      </c>
      <c r="K1986" s="35">
        <f t="shared" si="848"/>
        <v>0.25</v>
      </c>
      <c r="L1986" s="35">
        <f t="shared" si="849"/>
        <v>0.25</v>
      </c>
      <c r="M1986" s="77" cm="1">
        <f t="array" ref="M1986">_xlfn.IFS(BOM!I1986="RM-PACKING","100%",B1986="Reynolds",VLOOKUP(H1986,'Yield &amp; Time'!A:V,22,0),BOM!B1986="Dnata",VLOOKUP(BOM!H1986,'Yield &amp; Time'!A:M,13,0),B1986="NK",VLOOKUP(H1986,'Yield &amp; Time'!A:X,24,0))</f>
        <v>0.77222322232223217</v>
      </c>
      <c r="N1986" s="35">
        <f t="shared" si="850"/>
        <v>0.32374058791990118</v>
      </c>
      <c r="O1986" s="1" t="str">
        <f>VLOOKUP(H1986,'RM Used'!A:E,5,0)</f>
        <v>KG</v>
      </c>
      <c r="P1986" s="11">
        <f>VLOOKUP(H1986,'RM Used'!A:F,6,0)</f>
        <v>0.34</v>
      </c>
      <c r="Q1986" s="11">
        <f t="shared" si="851"/>
        <v>0.11007179989276641</v>
      </c>
      <c r="R1986" s="11">
        <f>IFERROR(IF(B1986="Reynolds",VLOOKUP(H1986,'Yield &amp; Time'!A:U,21,0),VLOOKUP(H1986,'Yield &amp; Time'!A:L,12,0)),0)</f>
        <v>0.82773480662983423</v>
      </c>
      <c r="S1986" s="11">
        <f t="shared" si="852"/>
        <v>7.0047058011049712E-2</v>
      </c>
      <c r="T1986" s="11">
        <f t="shared" si="853"/>
        <v>3.4488950276243091E-3</v>
      </c>
      <c r="U1986" s="11">
        <f>IF(A1985=A1986,0,VLOOKUP(A1986,'Packing Time'!A:F,6,0))</f>
        <v>0</v>
      </c>
      <c r="V1986" s="11">
        <f t="shared" si="854"/>
        <v>0</v>
      </c>
      <c r="W1986" s="11">
        <f t="shared" si="855"/>
        <v>0</v>
      </c>
      <c r="X1986" s="11">
        <f t="shared" si="856"/>
        <v>7.7051763812154686E-2</v>
      </c>
      <c r="Y1986" s="11">
        <f t="shared" si="857"/>
        <v>7.7051763812154686E-2</v>
      </c>
      <c r="Z1986" s="37">
        <v>1</v>
      </c>
      <c r="AA1986" s="36">
        <f t="shared" si="858"/>
        <v>0.32374058791990118</v>
      </c>
      <c r="AB1986" s="36">
        <f t="shared" si="859"/>
        <v>0.11007179989276641</v>
      </c>
      <c r="AC1986" s="11">
        <f t="shared" si="860"/>
        <v>3.7937845303867403E-3</v>
      </c>
      <c r="AD1986" s="36">
        <f t="shared" si="861"/>
        <v>7.7051763812154686E-2</v>
      </c>
      <c r="AE1986" s="36"/>
      <c r="AF1986" s="36">
        <f>IFERROR(VLOOKUP(AE1986,'Chemical Cost'!A:D,4,0),0)</f>
        <v>0</v>
      </c>
      <c r="AG1986" s="114">
        <f t="shared" si="862"/>
        <v>0</v>
      </c>
      <c r="AH1986" s="36">
        <f t="shared" si="863"/>
        <v>0</v>
      </c>
      <c r="AI1986" s="36">
        <f t="shared" si="864"/>
        <v>0.18712356370492111</v>
      </c>
      <c r="AJ1986" s="36">
        <f>IFERROR(VLOOKUP(A1986,'All Products'!A:F,6,0),0)</f>
        <v>0</v>
      </c>
      <c r="AK1986" s="36"/>
      <c r="AL1986" s="23">
        <v>0.85</v>
      </c>
      <c r="AM1986" s="23">
        <v>0.15</v>
      </c>
      <c r="AN1986" s="54" t="e">
        <v>#N/A</v>
      </c>
      <c r="AO1986" s="47"/>
      <c r="AP1986" s="4">
        <v>1.1000000000000001</v>
      </c>
      <c r="AQ1986" s="111">
        <f t="shared" si="865"/>
        <v>3.7937845303867403E-3</v>
      </c>
      <c r="AR1986">
        <f>_xlfn.XLOOKUP(F1986,'RM Cost'!A:A,'RM Cost'!S:S)</f>
        <v>0.29914853989077506</v>
      </c>
      <c r="AS1986" t="str">
        <f>_xlfn.XLOOKUP(A1986,[3]Sheet1!$B:$B,[3]Sheet1!$B:$B)</f>
        <v>N114CS</v>
      </c>
      <c r="AT1986" t="str">
        <f>_xlfn.XLOOKUP(H1986,'Yield &amp; Time'!A:A,'Yield &amp; Time'!O:O)</f>
        <v>Yes</v>
      </c>
    </row>
    <row r="1987" spans="1:46" x14ac:dyDescent="0.25">
      <c r="A1987" s="2" t="s">
        <v>4890</v>
      </c>
      <c r="B1987" s="2" t="s">
        <v>552</v>
      </c>
      <c r="C1987" s="2" t="s">
        <v>2645</v>
      </c>
      <c r="D1987" s="2" t="s">
        <v>554</v>
      </c>
      <c r="E1987" s="2">
        <v>0.5</v>
      </c>
      <c r="F1987" s="1" t="str">
        <f>VLOOKUP(H1987,'RM Used'!A:B,2,0)</f>
        <v>S3998CS</v>
      </c>
      <c r="G1987" s="1" t="str">
        <f>IFERROR(VLOOKUP(F1987,'RM Cost'!A:B,2,0),"")</f>
        <v>RM - DECORED RED CABBAGE 1/3 1200KG</v>
      </c>
      <c r="H1987" s="2" t="s">
        <v>1349</v>
      </c>
      <c r="I1987" s="1" t="str">
        <f>VLOOKUP(F1987,'RM Used'!B:D,3,0)</f>
        <v>RM-FOOD</v>
      </c>
      <c r="J1987" s="66">
        <v>0.25</v>
      </c>
      <c r="K1987" s="35">
        <f t="shared" si="848"/>
        <v>0.125</v>
      </c>
      <c r="L1987" s="35">
        <f t="shared" si="849"/>
        <v>0.125</v>
      </c>
      <c r="M1987" s="77" cm="1">
        <f t="array" ref="M1987">_xlfn.IFS(BOM!I1987="RM-PACKING","100%",B1987="Reynolds",VLOOKUP(H1987,'Yield &amp; Time'!A:V,22,0),BOM!B1987="Dnata",VLOOKUP(BOM!H1987,'Yield &amp; Time'!A:M,13,0),B1987="NK",VLOOKUP(H1987,'Yield &amp; Time'!A:X,24,0))</f>
        <v>0.75138040345821322</v>
      </c>
      <c r="N1987" s="35">
        <f t="shared" si="850"/>
        <v>0.16636047390202088</v>
      </c>
      <c r="O1987" s="1" t="str">
        <f>VLOOKUP(H1987,'RM Used'!A:E,5,0)</f>
        <v>KG</v>
      </c>
      <c r="P1987" s="11">
        <f>VLOOKUP(H1987,'RM Used'!A:F,6,0)</f>
        <v>0.38</v>
      </c>
      <c r="Q1987" s="11">
        <f t="shared" si="851"/>
        <v>6.3216980082767937E-2</v>
      </c>
      <c r="R1987" s="11">
        <f>IFERROR(IF(B1987="Reynolds",VLOOKUP(H1987,'Yield &amp; Time'!A:U,21,0),VLOOKUP(H1987,'Yield &amp; Time'!A:L,12,0)),0)</f>
        <v>0.76261570798735501</v>
      </c>
      <c r="S1987" s="11">
        <f t="shared" si="852"/>
        <v>3.2268177144214955E-2</v>
      </c>
      <c r="T1987" s="11">
        <f t="shared" si="853"/>
        <v>1.5887827249736564E-3</v>
      </c>
      <c r="U1987" s="11">
        <f>IF(A1986=A1987,0,VLOOKUP(A1987,'Packing Time'!A:F,6,0))</f>
        <v>0</v>
      </c>
      <c r="V1987" s="11">
        <f t="shared" si="854"/>
        <v>0</v>
      </c>
      <c r="W1987" s="11">
        <f t="shared" si="855"/>
        <v>0</v>
      </c>
      <c r="X1987" s="11">
        <f t="shared" si="856"/>
        <v>3.5494994858636456E-2</v>
      </c>
      <c r="Y1987" s="11">
        <f t="shared" si="857"/>
        <v>3.5494994858636456E-2</v>
      </c>
      <c r="Z1987" s="37">
        <v>1</v>
      </c>
      <c r="AA1987" s="36">
        <f t="shared" si="858"/>
        <v>0.16636047390202088</v>
      </c>
      <c r="AB1987" s="36">
        <f t="shared" si="859"/>
        <v>6.3216980082767937E-2</v>
      </c>
      <c r="AC1987" s="11">
        <f t="shared" si="860"/>
        <v>1.7476609974710221E-3</v>
      </c>
      <c r="AD1987" s="36">
        <f t="shared" si="861"/>
        <v>3.5494994858636456E-2</v>
      </c>
      <c r="AE1987" s="36"/>
      <c r="AF1987" s="36">
        <f>IFERROR(VLOOKUP(AE1987,'Chemical Cost'!A:D,4,0),0)</f>
        <v>0</v>
      </c>
      <c r="AG1987" s="114">
        <f t="shared" si="862"/>
        <v>0</v>
      </c>
      <c r="AH1987" s="36">
        <f t="shared" si="863"/>
        <v>0</v>
      </c>
      <c r="AI1987" s="36">
        <f t="shared" si="864"/>
        <v>9.8711974941404393E-2</v>
      </c>
      <c r="AJ1987" s="36">
        <f>IFERROR(VLOOKUP(A1987,'All Products'!A:F,6,0),0)</f>
        <v>0</v>
      </c>
      <c r="AK1987" s="36"/>
      <c r="AL1987" s="23">
        <v>0.85</v>
      </c>
      <c r="AM1987" s="23">
        <v>0.15</v>
      </c>
      <c r="AN1987" s="54" t="e">
        <v>#N/A</v>
      </c>
      <c r="AO1987" s="47"/>
      <c r="AP1987" s="4">
        <v>1.1000000000000001</v>
      </c>
      <c r="AQ1987" s="111">
        <f t="shared" si="865"/>
        <v>1.7476609974710221E-3</v>
      </c>
      <c r="AR1987">
        <f>_xlfn.XLOOKUP(F1987,'RM Cost'!A:A,'RM Cost'!S:S)</f>
        <v>0.29914853989077506</v>
      </c>
      <c r="AS1987" t="str">
        <f>_xlfn.XLOOKUP(A1987,[3]Sheet1!$B:$B,[3]Sheet1!$B:$B)</f>
        <v>N114CS</v>
      </c>
      <c r="AT1987" t="str">
        <f>_xlfn.XLOOKUP(H1987,'Yield &amp; Time'!A:A,'Yield &amp; Time'!O:O)</f>
        <v>Yes</v>
      </c>
    </row>
    <row r="1988" spans="1:46" x14ac:dyDescent="0.25">
      <c r="A1988" s="2" t="s">
        <v>4890</v>
      </c>
      <c r="B1988" s="2" t="s">
        <v>552</v>
      </c>
      <c r="C1988" s="2" t="s">
        <v>2645</v>
      </c>
      <c r="D1988" s="2" t="s">
        <v>554</v>
      </c>
      <c r="E1988" s="2">
        <v>0.5</v>
      </c>
      <c r="F1988" s="1" t="str">
        <f>VLOOKUP(H1988,'RM Used'!A:B,2,0)</f>
        <v>P0001</v>
      </c>
      <c r="G1988" s="1" t="str">
        <f>IFERROR(VLOOKUP(F1988,'RM Cost'!A:B,2,0),"")</f>
        <v>SOL 30EL # PPLUS 630x1000 BLUE -1</v>
      </c>
      <c r="H1988" s="2" t="s">
        <v>4678</v>
      </c>
      <c r="I1988" s="1" t="str">
        <f>VLOOKUP(F1988,'RM Used'!B:D,3,0)</f>
        <v>RM-PACKING</v>
      </c>
      <c r="J1988" s="66">
        <v>1</v>
      </c>
      <c r="K1988" s="35" t="str">
        <f t="shared" si="848"/>
        <v/>
      </c>
      <c r="L1988" s="35">
        <f t="shared" si="849"/>
        <v>0</v>
      </c>
      <c r="M1988" s="77" t="str" cm="1">
        <f t="array" ref="M1988">_xlfn.IFS(BOM!I1988="RM-PACKING","100%",B1988="Reynolds",VLOOKUP(H1988,'Yield &amp; Time'!A:V,22,0),BOM!B1988="Dnata",VLOOKUP(BOM!H1988,'Yield &amp; Time'!A:M,13,0),B1988="NK",VLOOKUP(H1988,'Yield &amp; Time'!A:X,24,0))</f>
        <v>100%</v>
      </c>
      <c r="N1988" s="35">
        <f t="shared" si="850"/>
        <v>1</v>
      </c>
      <c r="O1988" s="1" t="str">
        <f>VLOOKUP(H1988,'RM Used'!A:E,5,0)</f>
        <v>Count</v>
      </c>
      <c r="P1988" s="11">
        <f>VLOOKUP(H1988,'RM Used'!A:F,6,0)</f>
        <v>0.08</v>
      </c>
      <c r="Q1988" s="11">
        <f t="shared" si="851"/>
        <v>0.08</v>
      </c>
      <c r="R1988" s="11">
        <f>IFERROR(IF(B1988="Reynolds",VLOOKUP(H1988,'Yield &amp; Time'!A:U,21,0),VLOOKUP(H1988,'Yield &amp; Time'!A:L,12,0)),0)</f>
        <v>0</v>
      </c>
      <c r="S1988" s="11">
        <f t="shared" si="852"/>
        <v>0</v>
      </c>
      <c r="T1988" s="11">
        <f t="shared" si="853"/>
        <v>0</v>
      </c>
      <c r="U1988" s="11">
        <f>IF(A1987=A1988,0,VLOOKUP(A1988,'Packing Time'!A:F,6,0))</f>
        <v>0</v>
      </c>
      <c r="V1988" s="11">
        <f t="shared" si="854"/>
        <v>0</v>
      </c>
      <c r="W1988" s="11">
        <f t="shared" si="855"/>
        <v>0</v>
      </c>
      <c r="X1988" s="11">
        <f t="shared" si="856"/>
        <v>0</v>
      </c>
      <c r="Y1988" s="11">
        <f t="shared" si="857"/>
        <v>0</v>
      </c>
      <c r="Z1988" s="37">
        <v>1</v>
      </c>
      <c r="AA1988" s="36">
        <f t="shared" si="858"/>
        <v>1</v>
      </c>
      <c r="AB1988" s="36">
        <f t="shared" si="859"/>
        <v>0.08</v>
      </c>
      <c r="AC1988" s="11">
        <f t="shared" si="860"/>
        <v>0</v>
      </c>
      <c r="AD1988" s="36">
        <f t="shared" si="861"/>
        <v>0</v>
      </c>
      <c r="AE1988" s="36"/>
      <c r="AF1988" s="36">
        <f>IFERROR(VLOOKUP(AE1988,'Chemical Cost'!A:D,4,0),0)</f>
        <v>0</v>
      </c>
      <c r="AG1988" s="114">
        <f t="shared" si="862"/>
        <v>0</v>
      </c>
      <c r="AH1988" s="36">
        <f t="shared" si="863"/>
        <v>0</v>
      </c>
      <c r="AI1988" s="36">
        <f t="shared" si="864"/>
        <v>0.08</v>
      </c>
      <c r="AJ1988" s="36">
        <f>IFERROR(VLOOKUP(A1988,'All Products'!A:F,6,0),0)</f>
        <v>0</v>
      </c>
      <c r="AK1988" s="36"/>
      <c r="AL1988" s="23">
        <v>0.85</v>
      </c>
      <c r="AM1988" s="23">
        <v>0.15</v>
      </c>
      <c r="AN1988" s="54" t="e">
        <v>#N/A</v>
      </c>
      <c r="AO1988" s="47"/>
      <c r="AP1988" s="4">
        <v>1.1000000000000001</v>
      </c>
      <c r="AQ1988" s="111">
        <f t="shared" si="865"/>
        <v>0</v>
      </c>
      <c r="AR1988">
        <f>_xlfn.XLOOKUP(F1988,'RM Cost'!A:A,'RM Cost'!S:S)</f>
        <v>0</v>
      </c>
      <c r="AS1988" t="str">
        <f>_xlfn.XLOOKUP(A1988,[3]Sheet1!$B:$B,[3]Sheet1!$B:$B)</f>
        <v>N114CS</v>
      </c>
      <c r="AT1988" t="e">
        <f>_xlfn.XLOOKUP(H1988,'Yield &amp; Time'!A:A,'Yield &amp; Time'!F:F)</f>
        <v>#N/A</v>
      </c>
    </row>
    <row r="1989" spans="1:46" x14ac:dyDescent="0.25">
      <c r="A1989" s="2" t="s">
        <v>4890</v>
      </c>
      <c r="B1989" s="2" t="s">
        <v>552</v>
      </c>
      <c r="C1989" s="2" t="s">
        <v>2645</v>
      </c>
      <c r="D1989" s="2" t="s">
        <v>554</v>
      </c>
      <c r="E1989" s="2">
        <v>0.5</v>
      </c>
      <c r="F1989" s="1" t="str">
        <f>VLOOKUP(H1989,'RM Used'!A:B,2,0)</f>
        <v>P0016A</v>
      </c>
      <c r="G1989" s="1" t="str">
        <f>IFERROR(VLOOKUP(F1989,'RM Cost'!A:B,2,0),"")</f>
        <v>REY 40 30 BOX 4 in 1</v>
      </c>
      <c r="H1989" s="2" t="s">
        <v>4889</v>
      </c>
      <c r="I1989" s="1" t="str">
        <f>VLOOKUP(F1989,'RM Used'!B:D,3,0)</f>
        <v>RM-PACKING</v>
      </c>
      <c r="J1989" s="66">
        <v>1</v>
      </c>
      <c r="K1989" s="35" t="str">
        <f t="shared" si="848"/>
        <v/>
      </c>
      <c r="L1989" s="35">
        <f t="shared" si="849"/>
        <v>0</v>
      </c>
      <c r="M1989" s="77" t="str" cm="1">
        <f t="array" ref="M1989">_xlfn.IFS(BOM!I1989="RM-PACKING","100%",B1989="Reynolds",VLOOKUP(H1989,'Yield &amp; Time'!A:V,22,0),BOM!B1989="Dnata",VLOOKUP(BOM!H1989,'Yield &amp; Time'!A:M,13,0),B1989="NK",VLOOKUP(H1989,'Yield &amp; Time'!A:X,24,0))</f>
        <v>100%</v>
      </c>
      <c r="N1989" s="35">
        <f t="shared" si="850"/>
        <v>1</v>
      </c>
      <c r="O1989" s="1" t="str">
        <f>VLOOKUP(H1989,'RM Used'!A:E,5,0)</f>
        <v>Count</v>
      </c>
      <c r="P1989" s="11">
        <f>VLOOKUP(H1989,'RM Used'!A:F,6,0)</f>
        <v>7.0000000000000007E-2</v>
      </c>
      <c r="Q1989" s="11">
        <f t="shared" si="851"/>
        <v>7.0000000000000007E-2</v>
      </c>
      <c r="R1989" s="11">
        <f>IFERROR(IF(B1989="Reynolds",VLOOKUP(H1989,'Yield &amp; Time'!A:U,21,0),VLOOKUP(H1989,'Yield &amp; Time'!A:L,12,0)),0)</f>
        <v>0</v>
      </c>
      <c r="S1989" s="11">
        <f t="shared" si="852"/>
        <v>0</v>
      </c>
      <c r="T1989" s="11">
        <f t="shared" si="853"/>
        <v>0</v>
      </c>
      <c r="U1989" s="11">
        <f>IF(A1988=A1989,0,VLOOKUP(A1989,'Packing Time'!A:F,6,0))</f>
        <v>0</v>
      </c>
      <c r="V1989" s="11">
        <f t="shared" si="854"/>
        <v>0</v>
      </c>
      <c r="W1989" s="11">
        <f t="shared" si="855"/>
        <v>0</v>
      </c>
      <c r="X1989" s="11">
        <f t="shared" si="856"/>
        <v>0</v>
      </c>
      <c r="Y1989" s="11">
        <f t="shared" si="857"/>
        <v>0</v>
      </c>
      <c r="Z1989" s="37">
        <v>1</v>
      </c>
      <c r="AA1989" s="36">
        <f t="shared" si="858"/>
        <v>1</v>
      </c>
      <c r="AB1989" s="36">
        <f t="shared" si="859"/>
        <v>7.0000000000000007E-2</v>
      </c>
      <c r="AC1989" s="11">
        <f t="shared" si="860"/>
        <v>0</v>
      </c>
      <c r="AD1989" s="36">
        <f t="shared" si="861"/>
        <v>0</v>
      </c>
      <c r="AE1989" s="36"/>
      <c r="AF1989" s="36">
        <f>IFERROR(VLOOKUP(AE1989,'Chemical Cost'!A:D,4,0),0)</f>
        <v>0</v>
      </c>
      <c r="AG1989" s="114">
        <f t="shared" si="862"/>
        <v>0</v>
      </c>
      <c r="AH1989" s="36">
        <f t="shared" si="863"/>
        <v>0</v>
      </c>
      <c r="AI1989" s="36">
        <f t="shared" si="864"/>
        <v>7.0000000000000007E-2</v>
      </c>
      <c r="AJ1989" s="36">
        <f>IFERROR(VLOOKUP(A1989,'All Products'!A:F,6,0),0)</f>
        <v>0</v>
      </c>
      <c r="AK1989" s="36"/>
      <c r="AL1989" s="23">
        <v>0.85</v>
      </c>
      <c r="AM1989" s="23">
        <v>0.15</v>
      </c>
      <c r="AN1989" s="54" t="e">
        <v>#N/A</v>
      </c>
      <c r="AO1989" s="47"/>
      <c r="AP1989" s="4">
        <v>1.1000000000000001</v>
      </c>
      <c r="AQ1989" s="111">
        <f t="shared" si="865"/>
        <v>0</v>
      </c>
      <c r="AR1989">
        <f>_xlfn.XLOOKUP(F1989,'RM Cost'!A:A,'RM Cost'!S:S)</f>
        <v>0</v>
      </c>
      <c r="AS1989" t="str">
        <f>_xlfn.XLOOKUP(A1989,[3]Sheet1!$B:$B,[3]Sheet1!$B:$B)</f>
        <v>N114CS</v>
      </c>
      <c r="AT1989" t="e">
        <f>_xlfn.XLOOKUP(H1989,'Yield &amp; Time'!A:A,'Yield &amp; Time'!F:F)</f>
        <v>#N/A</v>
      </c>
    </row>
    <row r="1990" spans="1:46" x14ac:dyDescent="0.25">
      <c r="A1990" s="2" t="s">
        <v>4892</v>
      </c>
      <c r="B1990" s="2" t="s">
        <v>552</v>
      </c>
      <c r="C1990" s="2" t="s">
        <v>4893</v>
      </c>
      <c r="D1990" s="2" t="s">
        <v>554</v>
      </c>
      <c r="E1990" s="2">
        <v>4</v>
      </c>
      <c r="F1990" s="1" t="str">
        <f>VLOOKUP(H1990,'RM Used'!A:B,2,0)</f>
        <v>3034CS</v>
      </c>
      <c r="G1990" s="1" t="str">
        <f>IFERROR(VLOOKUP(F1990,'RM Cost'!A:B,2,0),"")</f>
        <v>RM - BROCCOLI 6KG</v>
      </c>
      <c r="H1990" s="94" t="s">
        <v>4894</v>
      </c>
      <c r="I1990" s="1" t="str">
        <f>VLOOKUP(F1990,'RM Used'!B:D,3,0)</f>
        <v>RM-FOOD</v>
      </c>
      <c r="J1990" s="66">
        <v>1</v>
      </c>
      <c r="K1990" s="35">
        <f t="shared" ref="K1990:K1992" si="866">IF(I1990="RM-FOOD",J1990*E1990,"")</f>
        <v>4</v>
      </c>
      <c r="L1990" s="35">
        <f t="shared" ref="L1990:L1992" si="867">IFERROR(K1990*Z1990,0)</f>
        <v>4</v>
      </c>
      <c r="M1990" s="77" cm="1">
        <f t="array" ref="M1990">_xlfn.IFS(BOM!I1990="RM-PACKING","100%",B1990="Reynolds",VLOOKUP(H1990,'Yield &amp; Time'!A:V,22,0),BOM!B1990="Dnata",VLOOKUP(BOM!H1990,'Yield &amp; Time'!A:M,13,0),B1990="NK",VLOOKUP(H1990,'Yield &amp; Time'!A:X,24,0))</f>
        <v>0.82</v>
      </c>
      <c r="N1990" s="35">
        <f t="shared" ref="N1990:N1992" si="868">IFERROR(IF(I1990="RM-FOOD",(E1990*J1990)/M1990,1),0)</f>
        <v>4.8780487804878048</v>
      </c>
      <c r="O1990" s="1" t="str">
        <f>VLOOKUP(H1990,'RM Used'!A:E,5,0)</f>
        <v>KG</v>
      </c>
      <c r="P1990" s="11">
        <f>VLOOKUP(H1990,'RM Used'!A:F,6,0)</f>
        <v>1.02</v>
      </c>
      <c r="Q1990" s="11">
        <f t="shared" ref="Q1990:Q1992" si="869">P1990*N1990</f>
        <v>4.975609756097561</v>
      </c>
      <c r="R1990" s="11">
        <f>IFERROR(IF(B1990="Reynolds",VLOOKUP(H1990,'Yield &amp; Time'!A:U,21,0),VLOOKUP(H1990,'Yield &amp; Time'!A:L,12,0)),0)</f>
        <v>0.57999999999999996</v>
      </c>
      <c r="S1990" s="11">
        <f t="shared" ref="S1990:S1992" si="870">R1990*J1990*E1990*AO$1</f>
        <v>0.78531999999999991</v>
      </c>
      <c r="T1990" s="11">
        <f t="shared" ref="T1990:T1992" si="871">(R1990*Z1990*J1990*E1990)/60</f>
        <v>3.8666666666666662E-2</v>
      </c>
      <c r="U1990" s="11">
        <f>IF(A1989=A1990,0,VLOOKUP(A1990,'Packing Time'!A:F,6,0))</f>
        <v>1.75</v>
      </c>
      <c r="V1990" s="11">
        <f t="shared" ref="V1990:V1992" si="872">U1990*AO$1</f>
        <v>0.59237499999999998</v>
      </c>
      <c r="W1990" s="11">
        <f t="shared" ref="W1990:W1992" si="873">(U1990*Z1990)/60</f>
        <v>2.9166666666666667E-2</v>
      </c>
      <c r="X1990" s="11">
        <f t="shared" ref="X1990:X1992" si="874">((R1990*J1990*E1990)+U1990)*AO$1*AP1990</f>
        <v>1.5154645</v>
      </c>
      <c r="Y1990" s="11">
        <f t="shared" ref="Y1990:Y1992" si="875">X1990*Z1990</f>
        <v>1.5154645</v>
      </c>
      <c r="Z1990" s="37">
        <v>1</v>
      </c>
      <c r="AA1990" s="36">
        <f t="shared" ref="AA1990:AA1992" si="876">Z1990*N1990</f>
        <v>4.8780487804878048</v>
      </c>
      <c r="AB1990" s="36">
        <f t="shared" ref="AB1990:AB1992" si="877">AA1990*P1990</f>
        <v>4.975609756097561</v>
      </c>
      <c r="AC1990" s="11">
        <f t="shared" ref="AC1990:AC1992" si="878">(((R1990*J1990*E1990)+U1990)/60)*Z1990*AP1990</f>
        <v>7.4616666666666678E-2</v>
      </c>
      <c r="AD1990" s="36">
        <f t="shared" ref="AD1990:AD1992" si="879">AC1990*60*AO$1</f>
        <v>1.5154645</v>
      </c>
      <c r="AE1990" s="36"/>
      <c r="AF1990" s="36">
        <f>IFERROR(VLOOKUP(AE1990,'Chemical Cost'!A:D,4,0),0)</f>
        <v>0</v>
      </c>
      <c r="AG1990" s="114">
        <f t="shared" ref="AG1990:AG1992" si="880">AF1990*N1990/3</f>
        <v>0</v>
      </c>
      <c r="AH1990" s="36">
        <f t="shared" ref="AH1990:AH1992" si="881">AF1990*AA1990/3</f>
        <v>0</v>
      </c>
      <c r="AI1990" s="36">
        <f t="shared" ref="AI1990:AI1992" si="882">IFERROR((Q1990*Z1990)+(Z1990*X1990)+AH1990,0)</f>
        <v>6.4910742560975612</v>
      </c>
      <c r="AJ1990" s="36">
        <f>IFERROR(VLOOKUP(A1990,'All Products'!A:F,6,0),0)</f>
        <v>0</v>
      </c>
      <c r="AK1990" s="36"/>
      <c r="AL1990" s="23">
        <v>0.85</v>
      </c>
      <c r="AM1990" s="23">
        <v>0.15</v>
      </c>
      <c r="AN1990" s="54" t="e">
        <v>#N/A</v>
      </c>
      <c r="AO1990" s="47"/>
      <c r="AP1990" s="4">
        <v>1.1000000000000001</v>
      </c>
      <c r="AQ1990" s="111">
        <f t="shared" ref="AQ1990:AQ1992" si="883">(((R1990*J1990*E1990)+U1990)/60)*AP1990</f>
        <v>7.4616666666666678E-2</v>
      </c>
      <c r="AR1990">
        <f>_xlfn.XLOOKUP(F1990,'RM Cost'!A:A,'RM Cost'!S:S)</f>
        <v>0</v>
      </c>
      <c r="AS1990" t="e">
        <f>_xlfn.XLOOKUP(A1990,[3]Sheet1!$B:$B,[3]Sheet1!$B:$B)</f>
        <v>#N/A</v>
      </c>
    </row>
    <row r="1991" spans="1:46" x14ac:dyDescent="0.25">
      <c r="A1991" s="2" t="s">
        <v>4892</v>
      </c>
      <c r="B1991" s="2" t="s">
        <v>552</v>
      </c>
      <c r="C1991" s="2" t="s">
        <v>4893</v>
      </c>
      <c r="D1991" s="2" t="s">
        <v>554</v>
      </c>
      <c r="E1991" s="2">
        <v>4</v>
      </c>
      <c r="F1991" s="1" t="str">
        <f>VLOOKUP(H1991,'RM Used'!A:B,2,0)</f>
        <v>P0008</v>
      </c>
      <c r="G1991" s="1" t="str">
        <f>IFERROR(VLOOKUP(F1991,'RM Cost'!A:B,2,0),"")</f>
        <v>PALE BLUE BAG 470X750MM</v>
      </c>
      <c r="H1991" s="2" t="s">
        <v>1323</v>
      </c>
      <c r="I1991" s="1" t="str">
        <f>VLOOKUP(F1991,'RM Used'!B:D,3,0)</f>
        <v>RM-PACKING</v>
      </c>
      <c r="J1991" s="66">
        <v>1</v>
      </c>
      <c r="K1991" s="35" t="str">
        <f t="shared" si="866"/>
        <v/>
      </c>
      <c r="L1991" s="35">
        <f t="shared" si="867"/>
        <v>0</v>
      </c>
      <c r="M1991" s="77" t="str" cm="1">
        <f t="array" ref="M1991">_xlfn.IFS(BOM!I1991="RM-PACKING","100%",B1991="Reynolds",VLOOKUP(H1991,'Yield &amp; Time'!A:V,22,0),BOM!B1991="Dnata",VLOOKUP(BOM!H1991,'Yield &amp; Time'!A:M,13,0),B1991="NK",VLOOKUP(H1991,'Yield &amp; Time'!A:X,24,0))</f>
        <v>100%</v>
      </c>
      <c r="N1991" s="35">
        <f t="shared" si="868"/>
        <v>1</v>
      </c>
      <c r="O1991" s="1" t="str">
        <f>VLOOKUP(H1991,'RM Used'!A:E,5,0)</f>
        <v>Count</v>
      </c>
      <c r="P1991" s="11">
        <f>VLOOKUP(H1991,'RM Used'!A:F,6,0)</f>
        <v>0.14000000000000001</v>
      </c>
      <c r="Q1991" s="11">
        <f t="shared" si="869"/>
        <v>0.14000000000000001</v>
      </c>
      <c r="R1991" s="11">
        <f>IFERROR(IF(B1991="Reynolds",VLOOKUP(H1991,'Yield &amp; Time'!A:U,21,0),VLOOKUP(H1991,'Yield &amp; Time'!A:L,12,0)),0)</f>
        <v>0</v>
      </c>
      <c r="S1991" s="11">
        <f t="shared" si="870"/>
        <v>0</v>
      </c>
      <c r="T1991" s="11">
        <f t="shared" si="871"/>
        <v>0</v>
      </c>
      <c r="U1991" s="11">
        <f>IF(A1990=A1991,0,VLOOKUP(A1991,'Packing Time'!A:F,6,0))</f>
        <v>0</v>
      </c>
      <c r="V1991" s="11">
        <f t="shared" si="872"/>
        <v>0</v>
      </c>
      <c r="W1991" s="11">
        <f t="shared" si="873"/>
        <v>0</v>
      </c>
      <c r="X1991" s="11">
        <f t="shared" si="874"/>
        <v>0</v>
      </c>
      <c r="Y1991" s="11">
        <f t="shared" si="875"/>
        <v>0</v>
      </c>
      <c r="Z1991" s="37">
        <v>1</v>
      </c>
      <c r="AA1991" s="36">
        <f t="shared" si="876"/>
        <v>1</v>
      </c>
      <c r="AB1991" s="36">
        <f t="shared" si="877"/>
        <v>0.14000000000000001</v>
      </c>
      <c r="AC1991" s="11">
        <f t="shared" si="878"/>
        <v>0</v>
      </c>
      <c r="AD1991" s="36">
        <f t="shared" si="879"/>
        <v>0</v>
      </c>
      <c r="AE1991" s="36"/>
      <c r="AF1991" s="36">
        <f>IFERROR(VLOOKUP(AE1991,'Chemical Cost'!A:D,4,0),0)</f>
        <v>0</v>
      </c>
      <c r="AG1991" s="114">
        <f t="shared" si="880"/>
        <v>0</v>
      </c>
      <c r="AH1991" s="36">
        <f t="shared" si="881"/>
        <v>0</v>
      </c>
      <c r="AI1991" s="36">
        <f t="shared" si="882"/>
        <v>0.14000000000000001</v>
      </c>
      <c r="AJ1991" s="36">
        <f>IFERROR(VLOOKUP(A1991,'All Products'!A:F,6,0),0)</f>
        <v>0</v>
      </c>
      <c r="AK1991" s="36"/>
      <c r="AL1991" s="23">
        <v>0.85</v>
      </c>
      <c r="AM1991" s="23">
        <v>0.15</v>
      </c>
      <c r="AN1991" s="54" t="e">
        <v>#N/A</v>
      </c>
      <c r="AO1991" s="47"/>
      <c r="AP1991" s="4">
        <v>1.1000000000000001</v>
      </c>
      <c r="AQ1991" s="111">
        <f t="shared" si="883"/>
        <v>0</v>
      </c>
      <c r="AR1991">
        <f>_xlfn.XLOOKUP(F1991,'RM Cost'!A:A,'RM Cost'!S:S)</f>
        <v>0</v>
      </c>
      <c r="AS1991" t="e">
        <f>_xlfn.XLOOKUP(A1991,[3]Sheet1!$B:$B,[3]Sheet1!$B:$B)</f>
        <v>#N/A</v>
      </c>
    </row>
    <row r="1992" spans="1:46" x14ac:dyDescent="0.25">
      <c r="A1992" s="2" t="s">
        <v>4892</v>
      </c>
      <c r="B1992" s="2" t="s">
        <v>552</v>
      </c>
      <c r="C1992" s="2" t="s">
        <v>4893</v>
      </c>
      <c r="D1992" s="2" t="s">
        <v>554</v>
      </c>
      <c r="E1992" s="2">
        <v>4</v>
      </c>
      <c r="F1992" s="1" t="str">
        <f>VLOOKUP(H1992,'RM Used'!A:B,2,0)</f>
        <v>P0016</v>
      </c>
      <c r="G1992" s="1" t="str">
        <f>IFERROR(VLOOKUP(F1992,'RM Cost'!A:B,2,0),"")</f>
        <v>REY 40 30 BOX</v>
      </c>
      <c r="H1992" s="1" t="s">
        <v>1332</v>
      </c>
      <c r="I1992" s="1" t="str">
        <f>VLOOKUP(F1992,'RM Used'!B:D,3,0)</f>
        <v>RM-PACKING</v>
      </c>
      <c r="J1992" s="66">
        <v>1</v>
      </c>
      <c r="K1992" s="35" t="str">
        <f t="shared" si="866"/>
        <v/>
      </c>
      <c r="L1992" s="35">
        <f t="shared" si="867"/>
        <v>0</v>
      </c>
      <c r="M1992" s="77" t="str" cm="1">
        <f t="array" ref="M1992">_xlfn.IFS(BOM!I1992="RM-PACKING","100%",B1992="Reynolds",VLOOKUP(H1992,'Yield &amp; Time'!A:V,22,0),BOM!B1992="Dnata",VLOOKUP(BOM!H1992,'Yield &amp; Time'!A:M,13,0),B1992="NK",VLOOKUP(H1992,'Yield &amp; Time'!A:X,24,0))</f>
        <v>100%</v>
      </c>
      <c r="N1992" s="35">
        <f t="shared" si="868"/>
        <v>1</v>
      </c>
      <c r="O1992" s="1" t="str">
        <f>VLOOKUP(H1992,'RM Used'!A:E,5,0)</f>
        <v>Count</v>
      </c>
      <c r="P1992" s="11">
        <f>VLOOKUP(H1992,'RM Used'!A:F,6,0)</f>
        <v>0.28000000000000003</v>
      </c>
      <c r="Q1992" s="11">
        <f t="shared" si="869"/>
        <v>0.28000000000000003</v>
      </c>
      <c r="R1992" s="11">
        <f>IFERROR(IF(B1992="Reynolds",VLOOKUP(H1992,'Yield &amp; Time'!A:U,21,0),VLOOKUP(H1992,'Yield &amp; Time'!A:L,12,0)),0)</f>
        <v>0</v>
      </c>
      <c r="S1992" s="11">
        <f t="shared" si="870"/>
        <v>0</v>
      </c>
      <c r="T1992" s="11">
        <f t="shared" si="871"/>
        <v>0</v>
      </c>
      <c r="U1992" s="11">
        <f>IF(A1991=A1992,0,VLOOKUP(A1992,'Packing Time'!A:F,6,0))</f>
        <v>0</v>
      </c>
      <c r="V1992" s="11">
        <f t="shared" si="872"/>
        <v>0</v>
      </c>
      <c r="W1992" s="11">
        <f t="shared" si="873"/>
        <v>0</v>
      </c>
      <c r="X1992" s="11">
        <f t="shared" si="874"/>
        <v>0</v>
      </c>
      <c r="Y1992" s="11">
        <f t="shared" si="875"/>
        <v>0</v>
      </c>
      <c r="Z1992" s="37">
        <v>1</v>
      </c>
      <c r="AA1992" s="36">
        <f t="shared" si="876"/>
        <v>1</v>
      </c>
      <c r="AB1992" s="36">
        <f t="shared" si="877"/>
        <v>0.28000000000000003</v>
      </c>
      <c r="AC1992" s="11">
        <f t="shared" si="878"/>
        <v>0</v>
      </c>
      <c r="AD1992" s="36">
        <f t="shared" si="879"/>
        <v>0</v>
      </c>
      <c r="AE1992" s="36"/>
      <c r="AF1992" s="36">
        <f>IFERROR(VLOOKUP(AE1992,'Chemical Cost'!A:D,4,0),0)</f>
        <v>0</v>
      </c>
      <c r="AG1992" s="114">
        <f t="shared" si="880"/>
        <v>0</v>
      </c>
      <c r="AH1992" s="36">
        <f t="shared" si="881"/>
        <v>0</v>
      </c>
      <c r="AI1992" s="36">
        <f t="shared" si="882"/>
        <v>0.28000000000000003</v>
      </c>
      <c r="AJ1992" s="36">
        <f>IFERROR(VLOOKUP(A1992,'All Products'!A:F,6,0),0)</f>
        <v>0</v>
      </c>
      <c r="AK1992" s="36"/>
      <c r="AL1992" s="23">
        <v>0.85</v>
      </c>
      <c r="AM1992" s="23">
        <v>0.15</v>
      </c>
      <c r="AN1992" s="54" t="e">
        <v>#N/A</v>
      </c>
      <c r="AO1992" s="47"/>
      <c r="AP1992" s="4">
        <v>1.1000000000000001</v>
      </c>
      <c r="AQ1992" s="111">
        <f t="shared" si="883"/>
        <v>0</v>
      </c>
      <c r="AR1992">
        <f>_xlfn.XLOOKUP(F1992,'RM Cost'!A:A,'RM Cost'!S:S)</f>
        <v>0</v>
      </c>
      <c r="AS1992" t="e">
        <f>_xlfn.XLOOKUP(A1992,[3]Sheet1!$B:$B,[3]Sheet1!$B:$B)</f>
        <v>#N/A</v>
      </c>
    </row>
    <row r="1993" spans="1:46" x14ac:dyDescent="0.25">
      <c r="A1993" s="2" t="s">
        <v>4895</v>
      </c>
      <c r="B1993" s="2" t="s">
        <v>552</v>
      </c>
      <c r="C1993" s="2" t="s">
        <v>4896</v>
      </c>
      <c r="D1993" s="2" t="s">
        <v>554</v>
      </c>
      <c r="E1993" s="2">
        <v>1</v>
      </c>
      <c r="F1993" s="1" t="str">
        <f>VLOOKUP(H1993,'RM Used'!A:B,2,0)</f>
        <v>3034CS</v>
      </c>
      <c r="G1993" s="1" t="str">
        <f>IFERROR(VLOOKUP(F1993,'RM Cost'!A:B,2,0),"")</f>
        <v>RM - BROCCOLI 6KG</v>
      </c>
      <c r="H1993" s="1" t="s">
        <v>1480</v>
      </c>
      <c r="I1993" s="1" t="str">
        <f>VLOOKUP(F1993,'RM Used'!B:D,3,0)</f>
        <v>RM-FOOD</v>
      </c>
      <c r="J1993" s="66">
        <v>1</v>
      </c>
      <c r="K1993" s="35">
        <f t="shared" ref="K1993:K2006" si="884">IF(I1993="RM-FOOD",J1993*E1993,"")</f>
        <v>1</v>
      </c>
      <c r="L1993" s="35">
        <f t="shared" ref="L1993:L2011" si="885">IFERROR(K1993*Z1993,0)</f>
        <v>1</v>
      </c>
      <c r="M1993" s="77" cm="1">
        <f t="array" ref="M1993">_xlfn.IFS(BOM!I1993="RM-PACKING","100%",B1993="Reynolds",VLOOKUP(H1993,'Yield &amp; Time'!A:V,22,0),BOM!B1993="Dnata",VLOOKUP(BOM!H1993,'Yield &amp; Time'!A:M,13,0),B1993="NK",VLOOKUP(H1993,'Yield &amp; Time'!A:X,24,0))</f>
        <v>0.57999999999999996</v>
      </c>
      <c r="N1993" s="35">
        <f t="shared" ref="N1993:N2006" si="886">IFERROR(IF(I1993="RM-FOOD",(E1993*J1993)/M1993,1),0)</f>
        <v>1.7241379310344829</v>
      </c>
      <c r="O1993" s="1" t="str">
        <f>VLOOKUP(H1993,'RM Used'!A:E,5,0)</f>
        <v>KG</v>
      </c>
      <c r="P1993" s="11">
        <f>VLOOKUP(H1993,'RM Used'!A:F,6,0)</f>
        <v>1.02</v>
      </c>
      <c r="Q1993" s="11">
        <f t="shared" ref="Q1993:Q1998" si="887">P1993*N1993</f>
        <v>1.7586206896551726</v>
      </c>
      <c r="R1993" s="11">
        <f>IFERROR(IF(B1993="Reynolds",VLOOKUP(H1993,'Yield &amp; Time'!A:U,21,0),VLOOKUP(H1993,'Yield &amp; Time'!A:L,12,0)),0)</f>
        <v>2.7</v>
      </c>
      <c r="S1993" s="11">
        <f t="shared" ref="S1993:S2011" si="888">R1993*J1993*E1993*AO$1</f>
        <v>0.91394999999999993</v>
      </c>
      <c r="T1993" s="11">
        <f t="shared" ref="T1993:T2011" si="889">(R1993*Z1993*J1993*E1993)/60</f>
        <v>4.5000000000000005E-2</v>
      </c>
      <c r="U1993" s="11">
        <f>IF(A1992=A1993,0,VLOOKUP(A1993,'Packing Time'!A:F,6,0))</f>
        <v>0.64500000000000002</v>
      </c>
      <c r="V1993" s="11">
        <f t="shared" ref="V1993:V1998" si="890">U1993*AO$1</f>
        <v>0.21833249999999998</v>
      </c>
      <c r="W1993" s="11">
        <f t="shared" ref="W1993:W1998" si="891">(U1993*Z1993)/60</f>
        <v>1.0750000000000001E-2</v>
      </c>
      <c r="X1993" s="11">
        <f t="shared" ref="X1993:X2011" si="892">((R1993*J1993*E1993)+U1993)*AO$1*AP1993</f>
        <v>1.24551075</v>
      </c>
      <c r="Y1993" s="11">
        <f t="shared" ref="Y1993:Y1998" si="893">X1993*Z1993</f>
        <v>1.24551075</v>
      </c>
      <c r="Z1993" s="37">
        <v>1</v>
      </c>
      <c r="AA1993" s="36">
        <f t="shared" ref="AA1993:AA2011" si="894">Z1993*N1993</f>
        <v>1.7241379310344829</v>
      </c>
      <c r="AB1993" s="36">
        <f t="shared" ref="AB1993:AB2011" si="895">AA1993*P1993</f>
        <v>1.7586206896551726</v>
      </c>
      <c r="AC1993" s="11">
        <f t="shared" ref="AC1993:AC2011" si="896">(((R1993*J1993*E1993)+U1993)/60)*Z1993*AP1993</f>
        <v>6.1325000000000005E-2</v>
      </c>
      <c r="AD1993" s="36">
        <f t="shared" ref="AD1993:AD1998" si="897">AC1993*60*AO$1</f>
        <v>1.24551075</v>
      </c>
      <c r="AE1993" s="36"/>
      <c r="AF1993" s="36">
        <f>IFERROR(VLOOKUP(AE1993,'Chemical Cost'!A:D,4,0),0)</f>
        <v>0</v>
      </c>
      <c r="AG1993" s="114">
        <f t="shared" ref="AG1993:AG2011" si="898">AF1993*N1993/3</f>
        <v>0</v>
      </c>
      <c r="AH1993" s="36">
        <f t="shared" ref="AH1993:AH1998" si="899">AF1993*AA1993/3</f>
        <v>0</v>
      </c>
      <c r="AI1993" s="36">
        <f t="shared" ref="AI1993:AI1998" si="900">IFERROR((Q1993*Z1993)+(Z1993*X1993)+AH1993,0)</f>
        <v>3.0041314396551728</v>
      </c>
      <c r="AJ1993" s="36">
        <f>IFERROR(VLOOKUP(A1993,'All Products'!A:F,6,0),0)</f>
        <v>0</v>
      </c>
      <c r="AK1993" s="36"/>
      <c r="AL1993" s="23">
        <v>0.85</v>
      </c>
      <c r="AM1993" s="23">
        <v>0.15</v>
      </c>
      <c r="AN1993" s="54" t="e">
        <v>#N/A</v>
      </c>
      <c r="AO1993" s="47"/>
      <c r="AP1993" s="4">
        <v>1.1000000000000001</v>
      </c>
      <c r="AQ1993" s="111">
        <f t="shared" ref="AQ1993:AQ2011" si="901">(((R1993*J1993*E1993)+U1993)/60)*AP1993</f>
        <v>6.1325000000000005E-2</v>
      </c>
      <c r="AR1993">
        <f>_xlfn.XLOOKUP(F1993,'RM Cost'!A:A,'RM Cost'!S:S)</f>
        <v>0</v>
      </c>
      <c r="AS1993" t="e">
        <f>_xlfn.XLOOKUP(A1993,[3]Sheet1!$B:$B,[3]Sheet1!$B:$B)</f>
        <v>#N/A</v>
      </c>
    </row>
    <row r="1994" spans="1:46" x14ac:dyDescent="0.25">
      <c r="A1994" s="2" t="s">
        <v>4895</v>
      </c>
      <c r="B1994" s="2" t="s">
        <v>552</v>
      </c>
      <c r="C1994" s="2" t="s">
        <v>4896</v>
      </c>
      <c r="D1994" s="2" t="s">
        <v>554</v>
      </c>
      <c r="E1994" s="2">
        <v>1</v>
      </c>
      <c r="F1994" s="1" t="str">
        <f>VLOOKUP(H1994,'RM Used'!A:B,2,0)</f>
        <v>P0008</v>
      </c>
      <c r="G1994" s="1" t="str">
        <f>IFERROR(VLOOKUP(F1994,'RM Cost'!A:B,2,0),"")</f>
        <v>PALE BLUE BAG 470X750MM</v>
      </c>
      <c r="H1994" s="1" t="s">
        <v>1323</v>
      </c>
      <c r="I1994" s="1" t="str">
        <f>VLOOKUP(F1994,'RM Used'!B:D,3,0)</f>
        <v>RM-PACKING</v>
      </c>
      <c r="J1994" s="66">
        <v>1</v>
      </c>
      <c r="K1994" s="35" t="str">
        <f t="shared" si="884"/>
        <v/>
      </c>
      <c r="L1994" s="35">
        <f t="shared" si="885"/>
        <v>0</v>
      </c>
      <c r="M1994" s="77" t="str" cm="1">
        <f t="array" ref="M1994">_xlfn.IFS(BOM!I1994="RM-PACKING","100%",B1994="Reynolds",VLOOKUP(H1994,'Yield &amp; Time'!A:V,22,0),BOM!B1994="Dnata",VLOOKUP(BOM!H1994,'Yield &amp; Time'!A:M,13,0),B1994="NK",VLOOKUP(H1994,'Yield &amp; Time'!A:X,24,0))</f>
        <v>100%</v>
      </c>
      <c r="N1994" s="35">
        <f t="shared" si="886"/>
        <v>1</v>
      </c>
      <c r="O1994" s="1" t="str">
        <f>VLOOKUP(H1994,'RM Used'!A:E,5,0)</f>
        <v>Count</v>
      </c>
      <c r="P1994" s="11">
        <f>VLOOKUP(H1994,'RM Used'!A:F,6,0)</f>
        <v>0.14000000000000001</v>
      </c>
      <c r="Q1994" s="11">
        <f t="shared" si="887"/>
        <v>0.14000000000000001</v>
      </c>
      <c r="R1994" s="11">
        <f>IFERROR(IF(B1994="Reynolds",VLOOKUP(H1994,'Yield &amp; Time'!A:U,21,0),VLOOKUP(H1994,'Yield &amp; Time'!A:L,12,0)),0)</f>
        <v>0</v>
      </c>
      <c r="S1994" s="11">
        <f t="shared" si="888"/>
        <v>0</v>
      </c>
      <c r="T1994" s="11">
        <f t="shared" si="889"/>
        <v>0</v>
      </c>
      <c r="U1994" s="11">
        <f>IF(A1993=A1994,0,VLOOKUP(A1994,'Packing Time'!A:F,6,0))</f>
        <v>0</v>
      </c>
      <c r="V1994" s="11">
        <f t="shared" si="890"/>
        <v>0</v>
      </c>
      <c r="W1994" s="11">
        <f t="shared" si="891"/>
        <v>0</v>
      </c>
      <c r="X1994" s="11">
        <f t="shared" si="892"/>
        <v>0</v>
      </c>
      <c r="Y1994" s="11">
        <f t="shared" si="893"/>
        <v>0</v>
      </c>
      <c r="Z1994" s="37">
        <v>1</v>
      </c>
      <c r="AA1994" s="36">
        <f t="shared" si="894"/>
        <v>1</v>
      </c>
      <c r="AB1994" s="36">
        <f t="shared" si="895"/>
        <v>0.14000000000000001</v>
      </c>
      <c r="AC1994" s="11">
        <f t="shared" si="896"/>
        <v>0</v>
      </c>
      <c r="AD1994" s="36">
        <f t="shared" si="897"/>
        <v>0</v>
      </c>
      <c r="AE1994" s="36"/>
      <c r="AF1994" s="36">
        <f>IFERROR(VLOOKUP(AE1994,'Chemical Cost'!A:D,4,0),0)</f>
        <v>0</v>
      </c>
      <c r="AG1994" s="114">
        <f t="shared" si="898"/>
        <v>0</v>
      </c>
      <c r="AH1994" s="36">
        <f t="shared" si="899"/>
        <v>0</v>
      </c>
      <c r="AI1994" s="36">
        <f t="shared" si="900"/>
        <v>0.14000000000000001</v>
      </c>
      <c r="AJ1994" s="36">
        <f>IFERROR(VLOOKUP(A1994,'All Products'!A:F,6,0),0)</f>
        <v>0</v>
      </c>
      <c r="AK1994" s="36"/>
      <c r="AL1994" s="23">
        <v>0.85</v>
      </c>
      <c r="AM1994" s="23">
        <v>0.15</v>
      </c>
      <c r="AN1994" s="54" t="e">
        <v>#N/A</v>
      </c>
      <c r="AO1994" s="47"/>
      <c r="AP1994" s="4">
        <v>1.1000000000000001</v>
      </c>
      <c r="AQ1994" s="111">
        <f t="shared" si="901"/>
        <v>0</v>
      </c>
      <c r="AR1994">
        <f>_xlfn.XLOOKUP(F1994,'RM Cost'!A:A,'RM Cost'!S:S)</f>
        <v>0</v>
      </c>
      <c r="AS1994" t="e">
        <f>_xlfn.XLOOKUP(A1994,[3]Sheet1!$B:$B,[3]Sheet1!$B:$B)</f>
        <v>#N/A</v>
      </c>
    </row>
    <row r="1995" spans="1:46" x14ac:dyDescent="0.25">
      <c r="A1995" s="2" t="s">
        <v>4895</v>
      </c>
      <c r="B1995" s="2" t="s">
        <v>552</v>
      </c>
      <c r="C1995" s="2" t="s">
        <v>4896</v>
      </c>
      <c r="D1995" s="2" t="s">
        <v>554</v>
      </c>
      <c r="E1995" s="2">
        <v>1</v>
      </c>
      <c r="F1995" s="1" t="str">
        <f>VLOOKUP(H1995,'RM Used'!A:B,2,0)</f>
        <v>P0016</v>
      </c>
      <c r="G1995" s="1" t="str">
        <f>IFERROR(VLOOKUP(F1995,'RM Cost'!A:B,2,0),"")</f>
        <v>REY 40 30 BOX</v>
      </c>
      <c r="H1995" s="1" t="s">
        <v>1332</v>
      </c>
      <c r="I1995" s="1" t="str">
        <f>VLOOKUP(F1995,'RM Used'!B:D,3,0)</f>
        <v>RM-PACKING</v>
      </c>
      <c r="J1995" s="66">
        <v>1</v>
      </c>
      <c r="K1995" s="35" t="str">
        <f t="shared" si="884"/>
        <v/>
      </c>
      <c r="L1995" s="35">
        <f t="shared" si="885"/>
        <v>0</v>
      </c>
      <c r="M1995" s="77" t="str" cm="1">
        <f t="array" ref="M1995">_xlfn.IFS(BOM!I1995="RM-PACKING","100%",B1995="Reynolds",VLOOKUP(H1995,'Yield &amp; Time'!A:V,22,0),BOM!B1995="Dnata",VLOOKUP(BOM!H1995,'Yield &amp; Time'!A:M,13,0),B1995="NK",VLOOKUP(H1995,'Yield &amp; Time'!A:X,24,0))</f>
        <v>100%</v>
      </c>
      <c r="N1995" s="35">
        <f t="shared" si="886"/>
        <v>1</v>
      </c>
      <c r="O1995" s="1" t="str">
        <f>VLOOKUP(H1995,'RM Used'!A:E,5,0)</f>
        <v>Count</v>
      </c>
      <c r="P1995" s="11">
        <f>VLOOKUP(H1995,'RM Used'!A:F,6,0)</f>
        <v>0.28000000000000003</v>
      </c>
      <c r="Q1995" s="11">
        <f t="shared" si="887"/>
        <v>0.28000000000000003</v>
      </c>
      <c r="R1995" s="11">
        <f>IFERROR(IF(B1995="Reynolds",VLOOKUP(H1995,'Yield &amp; Time'!A:U,21,0),VLOOKUP(H1995,'Yield &amp; Time'!A:L,12,0)),0)</f>
        <v>0</v>
      </c>
      <c r="S1995" s="11">
        <f t="shared" si="888"/>
        <v>0</v>
      </c>
      <c r="T1995" s="11">
        <f t="shared" si="889"/>
        <v>0</v>
      </c>
      <c r="U1995" s="11">
        <f>IF(A1994=A1995,0,VLOOKUP(A1995,'Packing Time'!A:F,6,0))</f>
        <v>0</v>
      </c>
      <c r="V1995" s="11">
        <f t="shared" si="890"/>
        <v>0</v>
      </c>
      <c r="W1995" s="11">
        <f t="shared" si="891"/>
        <v>0</v>
      </c>
      <c r="X1995" s="11">
        <f t="shared" si="892"/>
        <v>0</v>
      </c>
      <c r="Y1995" s="11">
        <f t="shared" si="893"/>
        <v>0</v>
      </c>
      <c r="Z1995" s="37">
        <v>1</v>
      </c>
      <c r="AA1995" s="36">
        <f t="shared" si="894"/>
        <v>1</v>
      </c>
      <c r="AB1995" s="36">
        <f t="shared" si="895"/>
        <v>0.28000000000000003</v>
      </c>
      <c r="AC1995" s="11">
        <f t="shared" si="896"/>
        <v>0</v>
      </c>
      <c r="AD1995" s="36">
        <f t="shared" si="897"/>
        <v>0</v>
      </c>
      <c r="AE1995" s="36"/>
      <c r="AF1995" s="36">
        <f>IFERROR(VLOOKUP(AE1995,'Chemical Cost'!A:D,4,0),0)</f>
        <v>0</v>
      </c>
      <c r="AG1995" s="114">
        <f t="shared" si="898"/>
        <v>0</v>
      </c>
      <c r="AH1995" s="36">
        <f t="shared" si="899"/>
        <v>0</v>
      </c>
      <c r="AI1995" s="36">
        <f t="shared" si="900"/>
        <v>0.28000000000000003</v>
      </c>
      <c r="AJ1995" s="36">
        <f>IFERROR(VLOOKUP(A1995,'All Products'!A:F,6,0),0)</f>
        <v>0</v>
      </c>
      <c r="AK1995" s="36"/>
      <c r="AL1995" s="23">
        <v>0.85</v>
      </c>
      <c r="AM1995" s="23">
        <v>0.15</v>
      </c>
      <c r="AN1995" s="54" t="e">
        <v>#N/A</v>
      </c>
      <c r="AO1995" s="47"/>
      <c r="AP1995" s="4">
        <v>1.1000000000000001</v>
      </c>
      <c r="AQ1995" s="111">
        <f t="shared" si="901"/>
        <v>0</v>
      </c>
      <c r="AR1995">
        <f>_xlfn.XLOOKUP(F1995,'RM Cost'!A:A,'RM Cost'!S:S)</f>
        <v>0</v>
      </c>
      <c r="AS1995" t="e">
        <f>_xlfn.XLOOKUP(A1995,[3]Sheet1!$B:$B,[3]Sheet1!$B:$B)</f>
        <v>#N/A</v>
      </c>
    </row>
    <row r="1996" spans="1:46" x14ac:dyDescent="0.25">
      <c r="A1996" s="2" t="s">
        <v>4897</v>
      </c>
      <c r="B1996" s="2" t="s">
        <v>552</v>
      </c>
      <c r="C1996" s="2" t="s">
        <v>125</v>
      </c>
      <c r="D1996" s="2" t="s">
        <v>554</v>
      </c>
      <c r="E1996" s="2">
        <v>2.5</v>
      </c>
      <c r="F1996" s="1" t="str">
        <f>VLOOKUP(H1996,'RM Used'!A:B,2,0)</f>
        <v>032ACS</v>
      </c>
      <c r="G1996" s="1" t="str">
        <f>IFERROR(VLOOKUP(F1996,'RM Cost'!A:B,2,0),"")</f>
        <v>RM - LRG PROCESSING CARROT X 1000KG</v>
      </c>
      <c r="H1996" s="2" t="s">
        <v>1431</v>
      </c>
      <c r="I1996" s="1" t="str">
        <f>VLOOKUP(F1996,'RM Used'!B:D,3,0)</f>
        <v>RM-FOOD</v>
      </c>
      <c r="J1996" s="66">
        <v>1</v>
      </c>
      <c r="K1996" s="35">
        <f t="shared" si="884"/>
        <v>2.5</v>
      </c>
      <c r="L1996" s="35">
        <f t="shared" si="885"/>
        <v>2.5</v>
      </c>
      <c r="M1996" s="77" cm="1">
        <f t="array" ref="M1996">_xlfn.IFS(BOM!I1996="RM-PACKING","100%",B1996="Reynolds",VLOOKUP(H1996,'Yield &amp; Time'!A:V,22,0),BOM!B1996="Dnata",VLOOKUP(BOM!H1996,'Yield &amp; Time'!A:M,13,0),B1996="NK",VLOOKUP(H1996,'Yield &amp; Time'!A:X,24,0))</f>
        <v>0.59308538964496971</v>
      </c>
      <c r="N1996" s="35">
        <f t="shared" si="886"/>
        <v>4.2152446235381715</v>
      </c>
      <c r="O1996" s="1" t="str">
        <f>VLOOKUP(H1996,'RM Used'!A:E,5,0)</f>
        <v>KG</v>
      </c>
      <c r="P1996" s="11">
        <f>VLOOKUP(H1996,'RM Used'!A:F,6,0)</f>
        <v>0.38</v>
      </c>
      <c r="Q1996" s="11">
        <f t="shared" si="887"/>
        <v>1.6017929569445053</v>
      </c>
      <c r="R1996" s="11">
        <f>IFERROR(IF(B1996="Reynolds",VLOOKUP(H1996,'Yield &amp; Time'!A:U,21,0),VLOOKUP(H1996,'Yield &amp; Time'!A:L,12,0)),0)</f>
        <v>1</v>
      </c>
      <c r="S1996" s="11">
        <f t="shared" si="888"/>
        <v>0.84624999999999995</v>
      </c>
      <c r="T1996" s="11">
        <f t="shared" si="889"/>
        <v>4.1666666666666664E-2</v>
      </c>
      <c r="U1996" s="11">
        <f>IF(A1995=A1996,0,VLOOKUP(A1996,'Packing Time'!A:F,6,0))</f>
        <v>0.875</v>
      </c>
      <c r="V1996" s="11">
        <f t="shared" si="890"/>
        <v>0.29618749999999999</v>
      </c>
      <c r="W1996" s="11">
        <f t="shared" si="891"/>
        <v>1.4583333333333334E-2</v>
      </c>
      <c r="X1996" s="11">
        <f t="shared" si="892"/>
        <v>1.2566812500000002</v>
      </c>
      <c r="Y1996" s="11">
        <f t="shared" si="893"/>
        <v>1.2566812500000002</v>
      </c>
      <c r="Z1996" s="37">
        <v>1</v>
      </c>
      <c r="AA1996" s="36">
        <f t="shared" si="894"/>
        <v>4.2152446235381715</v>
      </c>
      <c r="AB1996" s="36">
        <f t="shared" si="895"/>
        <v>1.6017929569445053</v>
      </c>
      <c r="AC1996" s="11">
        <f t="shared" si="896"/>
        <v>6.1875000000000006E-2</v>
      </c>
      <c r="AD1996" s="36">
        <f t="shared" si="897"/>
        <v>1.25668125</v>
      </c>
      <c r="AE1996" s="36"/>
      <c r="AF1996" s="36">
        <f>IFERROR(VLOOKUP(AE1996,'Chemical Cost'!A:D,4,0),0)</f>
        <v>0</v>
      </c>
      <c r="AG1996" s="114">
        <f t="shared" si="898"/>
        <v>0</v>
      </c>
      <c r="AH1996" s="36">
        <f t="shared" si="899"/>
        <v>0</v>
      </c>
      <c r="AI1996" s="36">
        <f t="shared" si="900"/>
        <v>2.8584742069445053</v>
      </c>
      <c r="AJ1996" s="36">
        <f>IFERROR(VLOOKUP(A1996,'All Products'!A:F,6,0),0)</f>
        <v>0</v>
      </c>
      <c r="AK1996" s="36"/>
      <c r="AL1996" s="23">
        <v>0.8</v>
      </c>
      <c r="AM1996" s="23">
        <v>0.2</v>
      </c>
      <c r="AN1996" s="54" t="e">
        <v>#N/A</v>
      </c>
      <c r="AO1996" s="47"/>
      <c r="AP1996" s="4">
        <v>1.1000000000000001</v>
      </c>
      <c r="AQ1996" s="111">
        <f t="shared" si="901"/>
        <v>6.1875000000000006E-2</v>
      </c>
    </row>
    <row r="1997" spans="1:46" x14ac:dyDescent="0.25">
      <c r="A1997" s="2" t="s">
        <v>4897</v>
      </c>
      <c r="B1997" s="2" t="s">
        <v>552</v>
      </c>
      <c r="C1997" s="2" t="s">
        <v>125</v>
      </c>
      <c r="D1997" s="2" t="s">
        <v>554</v>
      </c>
      <c r="E1997" s="2">
        <v>2.5</v>
      </c>
      <c r="F1997" s="1" t="str">
        <f>VLOOKUP(H1997,'RM Used'!A:B,2,0)</f>
        <v>P0020</v>
      </c>
      <c r="G1997" s="1" t="str">
        <f>IFERROR(VLOOKUP(F1997,'RM Cost'!A:B,2,0),"")</f>
        <v>PALE BLUE BAG 430X430MM</v>
      </c>
      <c r="H1997" s="2" t="s">
        <v>1659</v>
      </c>
      <c r="I1997" s="1" t="str">
        <f>VLOOKUP(F1997,'RM Used'!B:D,3,0)</f>
        <v>RM-PACKING</v>
      </c>
      <c r="J1997" s="66">
        <v>1</v>
      </c>
      <c r="K1997" s="35" t="str">
        <f t="shared" si="884"/>
        <v/>
      </c>
      <c r="L1997" s="35">
        <f t="shared" si="885"/>
        <v>0</v>
      </c>
      <c r="M1997" s="77" t="str" cm="1">
        <f t="array" ref="M1997">_xlfn.IFS(BOM!I1997="RM-PACKING","100%",B1997="Reynolds",VLOOKUP(H1997,'Yield &amp; Time'!A:V,22,0),BOM!B1997="Dnata",VLOOKUP(BOM!H1997,'Yield &amp; Time'!A:M,13,0),B1997="NK",VLOOKUP(H1997,'Yield &amp; Time'!A:X,24,0))</f>
        <v>100%</v>
      </c>
      <c r="N1997" s="35">
        <f t="shared" si="886"/>
        <v>1</v>
      </c>
      <c r="O1997" s="1" t="str">
        <f>VLOOKUP(H1997,'RM Used'!A:E,5,0)</f>
        <v>Count</v>
      </c>
      <c r="P1997" s="11">
        <f>VLOOKUP(H1997,'RM Used'!A:F,6,0)</f>
        <v>0.09</v>
      </c>
      <c r="Q1997" s="11">
        <f t="shared" si="887"/>
        <v>0.09</v>
      </c>
      <c r="R1997" s="11">
        <f>IFERROR(IF(B1997="Reynolds",VLOOKUP(H1997,'Yield &amp; Time'!A:U,21,0),VLOOKUP(H1997,'Yield &amp; Time'!A:L,12,0)),0)</f>
        <v>0</v>
      </c>
      <c r="S1997" s="11">
        <f t="shared" si="888"/>
        <v>0</v>
      </c>
      <c r="T1997" s="11">
        <f t="shared" si="889"/>
        <v>0</v>
      </c>
      <c r="U1997" s="11">
        <f>IF(A1996=A1997,0,VLOOKUP(A1997,'Packing Time'!A:F,6,0))</f>
        <v>0</v>
      </c>
      <c r="V1997" s="11">
        <f t="shared" si="890"/>
        <v>0</v>
      </c>
      <c r="W1997" s="11">
        <f t="shared" si="891"/>
        <v>0</v>
      </c>
      <c r="X1997" s="11">
        <f t="shared" si="892"/>
        <v>0</v>
      </c>
      <c r="Y1997" s="11">
        <f t="shared" si="893"/>
        <v>0</v>
      </c>
      <c r="Z1997" s="37">
        <v>1</v>
      </c>
      <c r="AA1997" s="36">
        <f t="shared" si="894"/>
        <v>1</v>
      </c>
      <c r="AB1997" s="36">
        <f t="shared" si="895"/>
        <v>0.09</v>
      </c>
      <c r="AC1997" s="11">
        <f t="shared" si="896"/>
        <v>0</v>
      </c>
      <c r="AD1997" s="36">
        <f t="shared" si="897"/>
        <v>0</v>
      </c>
      <c r="AE1997" s="36"/>
      <c r="AF1997" s="36">
        <f>IFERROR(VLOOKUP(AE1997,'Chemical Cost'!A:D,4,0),0)</f>
        <v>0</v>
      </c>
      <c r="AG1997" s="114">
        <f t="shared" si="898"/>
        <v>0</v>
      </c>
      <c r="AH1997" s="36">
        <f t="shared" si="899"/>
        <v>0</v>
      </c>
      <c r="AI1997" s="36">
        <f t="shared" si="900"/>
        <v>0.09</v>
      </c>
      <c r="AJ1997" s="36">
        <f>IFERROR(VLOOKUP(A1997,'All Products'!A:F,6,0),0)</f>
        <v>0</v>
      </c>
      <c r="AK1997" s="36"/>
      <c r="AL1997" s="23">
        <v>0.8</v>
      </c>
      <c r="AM1997" s="23">
        <v>0.2</v>
      </c>
      <c r="AN1997" s="54" t="e">
        <v>#N/A</v>
      </c>
      <c r="AO1997" s="47"/>
      <c r="AP1997" s="4">
        <v>1.1000000000000001</v>
      </c>
      <c r="AQ1997" s="111">
        <f t="shared" si="901"/>
        <v>0</v>
      </c>
    </row>
    <row r="1998" spans="1:46" x14ac:dyDescent="0.25">
      <c r="A1998" s="2" t="s">
        <v>4897</v>
      </c>
      <c r="B1998" s="2" t="s">
        <v>552</v>
      </c>
      <c r="C1998" s="2" t="s">
        <v>125</v>
      </c>
      <c r="D1998" s="2" t="s">
        <v>554</v>
      </c>
      <c r="E1998" s="2">
        <v>2.5</v>
      </c>
      <c r="F1998" s="1" t="str">
        <f>VLOOKUP(H1998,'RM Used'!A:B,2,0)</f>
        <v>P0016</v>
      </c>
      <c r="G1998" s="1" t="str">
        <f>IFERROR(VLOOKUP(F1998,'RM Cost'!A:B,2,0),"")</f>
        <v>REY 40 30 BOX</v>
      </c>
      <c r="H1998" s="2" t="s">
        <v>1332</v>
      </c>
      <c r="I1998" s="1" t="str">
        <f>VLOOKUP(F1998,'RM Used'!B:D,3,0)</f>
        <v>RM-PACKING</v>
      </c>
      <c r="J1998" s="66">
        <v>1</v>
      </c>
      <c r="K1998" s="35" t="str">
        <f t="shared" si="884"/>
        <v/>
      </c>
      <c r="L1998" s="35">
        <f t="shared" si="885"/>
        <v>0</v>
      </c>
      <c r="M1998" s="77" t="str" cm="1">
        <f t="array" ref="M1998">_xlfn.IFS(BOM!I1998="RM-PACKING","100%",B1998="Reynolds",VLOOKUP(H1998,'Yield &amp; Time'!A:V,22,0),BOM!B1998="Dnata",VLOOKUP(BOM!H1998,'Yield &amp; Time'!A:M,13,0),B1998="NK",VLOOKUP(H1998,'Yield &amp; Time'!A:X,24,0))</f>
        <v>100%</v>
      </c>
      <c r="N1998" s="35">
        <f t="shared" si="886"/>
        <v>1</v>
      </c>
      <c r="O1998" s="1" t="str">
        <f>VLOOKUP(H1998,'RM Used'!A:E,5,0)</f>
        <v>Count</v>
      </c>
      <c r="P1998" s="11">
        <f>VLOOKUP(H1998,'RM Used'!A:F,6,0)</f>
        <v>0.28000000000000003</v>
      </c>
      <c r="Q1998" s="11">
        <f t="shared" si="887"/>
        <v>0.28000000000000003</v>
      </c>
      <c r="R1998" s="11">
        <f>IFERROR(IF(B1998="Reynolds",VLOOKUP(H1998,'Yield &amp; Time'!A:U,21,0),VLOOKUP(H1998,'Yield &amp; Time'!A:L,12,0)),0)</f>
        <v>0</v>
      </c>
      <c r="S1998" s="11">
        <f t="shared" si="888"/>
        <v>0</v>
      </c>
      <c r="T1998" s="11">
        <f t="shared" si="889"/>
        <v>0</v>
      </c>
      <c r="U1998" s="11">
        <f>IF(A1997=A1998,0,VLOOKUP(A1998,'Packing Time'!A:F,6,0))</f>
        <v>0</v>
      </c>
      <c r="V1998" s="11">
        <f t="shared" si="890"/>
        <v>0</v>
      </c>
      <c r="W1998" s="11">
        <f t="shared" si="891"/>
        <v>0</v>
      </c>
      <c r="X1998" s="11">
        <f t="shared" si="892"/>
        <v>0</v>
      </c>
      <c r="Y1998" s="11">
        <f t="shared" si="893"/>
        <v>0</v>
      </c>
      <c r="Z1998" s="37">
        <v>1</v>
      </c>
      <c r="AA1998" s="36">
        <f t="shared" si="894"/>
        <v>1</v>
      </c>
      <c r="AB1998" s="36">
        <f t="shared" si="895"/>
        <v>0.28000000000000003</v>
      </c>
      <c r="AC1998" s="11">
        <f t="shared" si="896"/>
        <v>0</v>
      </c>
      <c r="AD1998" s="36">
        <f t="shared" si="897"/>
        <v>0</v>
      </c>
      <c r="AE1998" s="36"/>
      <c r="AF1998" s="36">
        <f>IFERROR(VLOOKUP(AE1998,'Chemical Cost'!A:D,4,0),0)</f>
        <v>0</v>
      </c>
      <c r="AG1998" s="114">
        <f t="shared" si="898"/>
        <v>0</v>
      </c>
      <c r="AH1998" s="36">
        <f t="shared" si="899"/>
        <v>0</v>
      </c>
      <c r="AI1998" s="36">
        <f t="shared" si="900"/>
        <v>0.28000000000000003</v>
      </c>
      <c r="AJ1998" s="36">
        <f>IFERROR(VLOOKUP(A1998,'All Products'!A:F,6,0),0)</f>
        <v>0</v>
      </c>
      <c r="AK1998" s="36"/>
      <c r="AL1998" s="23">
        <v>0.8</v>
      </c>
      <c r="AM1998" s="23">
        <v>0.2</v>
      </c>
      <c r="AN1998" s="54" t="e">
        <v>#N/A</v>
      </c>
      <c r="AO1998" s="47"/>
      <c r="AP1998" s="4">
        <v>1.1000000000000001</v>
      </c>
      <c r="AQ1998" s="111">
        <f t="shared" si="901"/>
        <v>0</v>
      </c>
    </row>
    <row r="1999" spans="1:46" x14ac:dyDescent="0.25">
      <c r="A1999" s="1" t="s">
        <v>4898</v>
      </c>
      <c r="B1999" s="1" t="s">
        <v>552</v>
      </c>
      <c r="C1999" s="1" t="s">
        <v>4902</v>
      </c>
      <c r="D1999" s="2" t="s">
        <v>554</v>
      </c>
      <c r="E1999" s="2">
        <v>1</v>
      </c>
      <c r="F1999" s="1" t="str">
        <f>VLOOKUP(H1999,'RM Used'!A:B,2,0)</f>
        <v>032ACS</v>
      </c>
      <c r="G1999" s="1" t="str">
        <f>IFERROR(VLOOKUP(F1999,'RM Cost'!A:B,2,0),"")</f>
        <v>RM - LRG PROCESSING CARROT X 1000KG</v>
      </c>
      <c r="H1999" s="2" t="s">
        <v>1351</v>
      </c>
      <c r="I1999" s="1" t="str">
        <f>VLOOKUP(F1999,'RM Used'!B:D,3,0)</f>
        <v>RM-FOOD</v>
      </c>
      <c r="J1999" s="66">
        <v>1</v>
      </c>
      <c r="K1999" s="35">
        <f t="shared" si="884"/>
        <v>1</v>
      </c>
      <c r="L1999" s="35">
        <f t="shared" si="885"/>
        <v>1</v>
      </c>
      <c r="M1999" s="77" cm="1">
        <f t="array" ref="M1999">_xlfn.IFS(BOM!I1999="RM-PACKING","100%",B1999="Reynolds",VLOOKUP(H1999,'Yield &amp; Time'!A:V,22,0),BOM!B1999="Dnata",VLOOKUP(BOM!H1999,'Yield &amp; Time'!A:M,13,0),B1999="NK",VLOOKUP(H1999,'Yield &amp; Time'!A:X,24,0))</f>
        <v>0.75330000000000008</v>
      </c>
      <c r="N1999" s="35">
        <f t="shared" si="886"/>
        <v>1.3274923669188901</v>
      </c>
      <c r="O1999" s="1" t="str">
        <f>VLOOKUP(H1999,'RM Used'!A:E,5,0)</f>
        <v>KG</v>
      </c>
      <c r="P1999" s="11">
        <f>VLOOKUP(H1999,'RM Used'!A:F,6,0)</f>
        <v>0.38</v>
      </c>
      <c r="Q1999" s="11">
        <f>P1999*N1999</f>
        <v>0.5044470994291782</v>
      </c>
      <c r="R1999" s="11">
        <f>IFERROR(IF(B1999="Reynolds",VLOOKUP(H1999,'Yield &amp; Time'!A:U,21,0),VLOOKUP(H1999,'Yield &amp; Time'!A:L,12,0)),0)</f>
        <v>0.90531914893617027</v>
      </c>
      <c r="S1999" s="11">
        <f t="shared" si="888"/>
        <v>0.30645053191489363</v>
      </c>
      <c r="T1999" s="11">
        <f t="shared" si="889"/>
        <v>1.5088652482269505E-2</v>
      </c>
      <c r="U1999" s="11">
        <f>IF(A1998=A1999,0,VLOOKUP(A1999,'Packing Time'!A:F,6,0))</f>
        <v>0.55000000000000004</v>
      </c>
      <c r="V1999" s="11">
        <f>U1999*AO$1</f>
        <v>0.18617500000000001</v>
      </c>
      <c r="W1999" s="11">
        <f>(U1999*Z1999)/60</f>
        <v>9.1666666666666667E-3</v>
      </c>
      <c r="X1999" s="11">
        <f t="shared" si="892"/>
        <v>0.54188808510638298</v>
      </c>
      <c r="Y1999" s="11">
        <f>X1999*Z1999</f>
        <v>0.54188808510638298</v>
      </c>
      <c r="Z1999" s="37">
        <v>1</v>
      </c>
      <c r="AA1999" s="36">
        <f t="shared" si="894"/>
        <v>1.3274923669188901</v>
      </c>
      <c r="AB1999" s="11">
        <f t="shared" si="895"/>
        <v>0.5044470994291782</v>
      </c>
      <c r="AC1999" s="11">
        <f t="shared" si="896"/>
        <v>2.6680851063829794E-2</v>
      </c>
      <c r="AD1999" s="36">
        <f>AC1999*60*AO$1</f>
        <v>0.54188808510638309</v>
      </c>
      <c r="AE1999" s="36" t="str">
        <f>VLOOKUP(H1999,'Yield &amp; Time'!A:R,18,0)</f>
        <v>CHLORINE</v>
      </c>
      <c r="AF1999" s="36">
        <f>IFERROR(VLOOKUP(AE1999,'Chemical Cost'!A:D,4,0),0)</f>
        <v>2.7756518066439469E-2</v>
      </c>
      <c r="AG1999" s="114">
        <f t="shared" si="898"/>
        <v>1.2282188621814889E-2</v>
      </c>
      <c r="AH1999" s="36">
        <f>AF1999*AA1999/3</f>
        <v>1.2282188621814889E-2</v>
      </c>
      <c r="AI1999" s="36">
        <f>IFERROR((Q1999*Z1999)+(Z1999*X1999)+AH1999,0)</f>
        <v>1.058617373157376</v>
      </c>
      <c r="AJ1999" s="36">
        <f>IFERROR(VLOOKUP(A1999,'All Products'!A:F,6,0),0)</f>
        <v>0</v>
      </c>
      <c r="AK1999" s="36">
        <f>AJ1999*Z1999*J1999</f>
        <v>0</v>
      </c>
      <c r="AL1999" s="23">
        <v>0.85</v>
      </c>
      <c r="AM1999" s="23">
        <v>0.15</v>
      </c>
      <c r="AN1999" s="54" t="e">
        <v>#N/A</v>
      </c>
      <c r="AO1999" s="47"/>
      <c r="AP1999" s="4">
        <v>1.1000000000000001</v>
      </c>
      <c r="AQ1999" s="111">
        <f t="shared" si="901"/>
        <v>2.6680851063829794E-2</v>
      </c>
      <c r="AR1999">
        <f>_xlfn.XLOOKUP(F1999,'RM Cost'!A:A,'RM Cost'!S:S)</f>
        <v>0</v>
      </c>
      <c r="AS1999" t="e">
        <f>_xlfn.XLOOKUP(A1999,[3]Sheet1!$B:$B,[3]Sheet1!$B:$B)</f>
        <v>#N/A</v>
      </c>
      <c r="AT1999" t="str">
        <f>_xlfn.XLOOKUP(H1999,'Yield &amp; Time'!A:A,'Yield &amp; Time'!O:O)</f>
        <v>Yes</v>
      </c>
    </row>
    <row r="2000" spans="1:46" x14ac:dyDescent="0.25">
      <c r="A2000" s="1" t="s">
        <v>4898</v>
      </c>
      <c r="B2000" s="1" t="s">
        <v>552</v>
      </c>
      <c r="C2000" s="1" t="s">
        <v>4902</v>
      </c>
      <c r="D2000" s="2" t="s">
        <v>554</v>
      </c>
      <c r="E2000" s="2">
        <v>1</v>
      </c>
      <c r="F2000" s="1" t="str">
        <f>VLOOKUP(H2000,'RM Used'!A:B,2,0)</f>
        <v>P0001</v>
      </c>
      <c r="G2000" s="1" t="str">
        <f>IFERROR(VLOOKUP(F2000,'RM Cost'!A:B,2,0),"")</f>
        <v>SOL 30EL # PPLUS 630x1000 BLUE -1</v>
      </c>
      <c r="H2000" s="2" t="s">
        <v>4678</v>
      </c>
      <c r="I2000" s="1" t="str">
        <f>VLOOKUP(F2000,'RM Used'!B:D,3,0)</f>
        <v>RM-PACKING</v>
      </c>
      <c r="J2000" s="66">
        <v>1</v>
      </c>
      <c r="K2000" s="35" t="str">
        <f t="shared" si="884"/>
        <v/>
      </c>
      <c r="L2000" s="35">
        <f t="shared" si="885"/>
        <v>0</v>
      </c>
      <c r="M2000" s="77" t="str" cm="1">
        <f t="array" ref="M2000">_xlfn.IFS(BOM!I2000="RM-PACKING","100%",B2000="Reynolds",VLOOKUP(H2000,'Yield &amp; Time'!A:V,22,0),BOM!B2000="Dnata",VLOOKUP(BOM!H2000,'Yield &amp; Time'!A:M,13,0),B2000="NK",VLOOKUP(H2000,'Yield &amp; Time'!A:X,24,0))</f>
        <v>100%</v>
      </c>
      <c r="N2000" s="35">
        <f t="shared" si="886"/>
        <v>1</v>
      </c>
      <c r="O2000" s="1" t="str">
        <f>VLOOKUP(H2000,'RM Used'!A:E,5,0)</f>
        <v>Count</v>
      </c>
      <c r="P2000" s="11">
        <f>VLOOKUP(H2000,'RM Used'!A:F,6,0)</f>
        <v>0.08</v>
      </c>
      <c r="Q2000" s="11">
        <f t="shared" ref="Q2000:Q2011" si="902">P2000*N2000</f>
        <v>0.08</v>
      </c>
      <c r="R2000" s="11">
        <f>IFERROR(IF(B2000="Reynolds",VLOOKUP(H2000,'Yield &amp; Time'!A:U,21,0),VLOOKUP(H2000,'Yield &amp; Time'!A:L,12,0)),0)</f>
        <v>0</v>
      </c>
      <c r="S2000" s="11">
        <f t="shared" si="888"/>
        <v>0</v>
      </c>
      <c r="T2000" s="11">
        <f t="shared" si="889"/>
        <v>0</v>
      </c>
      <c r="U2000" s="11">
        <f>IF(A1999=A2000,0,VLOOKUP(A2000,'Packing Time'!A:F,6,0))</f>
        <v>0</v>
      </c>
      <c r="V2000" s="11">
        <f t="shared" ref="V2000:V2006" si="903">U2000*AO$1</f>
        <v>0</v>
      </c>
      <c r="W2000" s="11">
        <f t="shared" ref="W2000:W2006" si="904">(U2000*Z2000)/60</f>
        <v>0</v>
      </c>
      <c r="X2000" s="11">
        <f t="shared" si="892"/>
        <v>0</v>
      </c>
      <c r="Y2000" s="11">
        <f t="shared" ref="Y2000:Y2006" si="905">X2000*Z2000</f>
        <v>0</v>
      </c>
      <c r="Z2000" s="37">
        <v>1</v>
      </c>
      <c r="AA2000" s="36">
        <f t="shared" si="894"/>
        <v>1</v>
      </c>
      <c r="AB2000" s="36">
        <f t="shared" si="895"/>
        <v>0.08</v>
      </c>
      <c r="AC2000" s="11">
        <f t="shared" si="896"/>
        <v>0</v>
      </c>
      <c r="AD2000" s="36">
        <f t="shared" ref="AD2000:AD2006" si="906">AC2000*60*AO$1</f>
        <v>0</v>
      </c>
      <c r="AE2000" s="36"/>
      <c r="AF2000" s="36">
        <f>IFERROR(VLOOKUP(AE2000,'Chemical Cost'!A:D,4,0),0)</f>
        <v>0</v>
      </c>
      <c r="AG2000" s="114">
        <f t="shared" si="898"/>
        <v>0</v>
      </c>
      <c r="AH2000" s="36">
        <f t="shared" ref="AH2000:AH2011" si="907">AF2000*AA2000/3</f>
        <v>0</v>
      </c>
      <c r="AI2000" s="36">
        <f t="shared" ref="AI2000:AI2006" si="908">IFERROR((Q2000*Z2000)+(Z2000*X2000)+AH2000,0)</f>
        <v>0.08</v>
      </c>
      <c r="AJ2000" s="36">
        <f>IFERROR(VLOOKUP(A2000,'All Products'!A:F,6,0),0)</f>
        <v>0</v>
      </c>
      <c r="AK2000" s="36"/>
      <c r="AL2000" s="23">
        <v>0.85</v>
      </c>
      <c r="AM2000" s="23">
        <v>0.15</v>
      </c>
      <c r="AN2000" s="54" t="e">
        <v>#N/A</v>
      </c>
      <c r="AO2000" s="47"/>
      <c r="AP2000" s="4">
        <v>1.1000000000000001</v>
      </c>
      <c r="AQ2000" s="111">
        <f t="shared" si="901"/>
        <v>0</v>
      </c>
      <c r="AR2000">
        <f>_xlfn.XLOOKUP(F2000,'RM Cost'!A:A,'RM Cost'!S:S)</f>
        <v>0</v>
      </c>
      <c r="AS2000" t="e">
        <f>_xlfn.XLOOKUP(A2000,[3]Sheet1!$B:$B,[3]Sheet1!$B:$B)</f>
        <v>#N/A</v>
      </c>
      <c r="AT2000" t="e">
        <f>_xlfn.XLOOKUP(H2000,'Yield &amp; Time'!A:A,'Yield &amp; Time'!F:F)</f>
        <v>#N/A</v>
      </c>
    </row>
    <row r="2001" spans="1:46" x14ac:dyDescent="0.25">
      <c r="A2001" s="1" t="s">
        <v>4898</v>
      </c>
      <c r="B2001" s="1" t="s">
        <v>552</v>
      </c>
      <c r="C2001" s="1" t="s">
        <v>4902</v>
      </c>
      <c r="D2001" s="2" t="s">
        <v>554</v>
      </c>
      <c r="E2001" s="2">
        <v>1</v>
      </c>
      <c r="F2001" s="1" t="str">
        <f>VLOOKUP(H2001,'RM Used'!A:B,2,0)</f>
        <v>P0016</v>
      </c>
      <c r="G2001" s="1" t="str">
        <f>IFERROR(VLOOKUP(F2001,'RM Cost'!A:B,2,0),"")</f>
        <v>REY 40 30 BOX</v>
      </c>
      <c r="H2001" s="2" t="s">
        <v>1332</v>
      </c>
      <c r="I2001" s="1" t="str">
        <f>VLOOKUP(F2001,'RM Used'!B:D,3,0)</f>
        <v>RM-PACKING</v>
      </c>
      <c r="J2001" s="66">
        <v>1</v>
      </c>
      <c r="K2001" s="35" t="str">
        <f t="shared" si="884"/>
        <v/>
      </c>
      <c r="L2001" s="35">
        <f t="shared" si="885"/>
        <v>0</v>
      </c>
      <c r="M2001" s="77" t="str" cm="1">
        <f t="array" ref="M2001">_xlfn.IFS(BOM!I2001="RM-PACKING","100%",B2001="Reynolds",VLOOKUP(H2001,'Yield &amp; Time'!A:V,22,0),BOM!B2001="Dnata",VLOOKUP(BOM!H2001,'Yield &amp; Time'!A:M,13,0),B2001="NK",VLOOKUP(H2001,'Yield &amp; Time'!A:X,24,0))</f>
        <v>100%</v>
      </c>
      <c r="N2001" s="35">
        <f t="shared" si="886"/>
        <v>1</v>
      </c>
      <c r="O2001" s="1" t="str">
        <f>VLOOKUP(H2001,'RM Used'!A:E,5,0)</f>
        <v>Count</v>
      </c>
      <c r="P2001" s="11">
        <f>VLOOKUP(H2001,'RM Used'!A:F,6,0)</f>
        <v>0.28000000000000003</v>
      </c>
      <c r="Q2001" s="11">
        <f t="shared" si="902"/>
        <v>0.28000000000000003</v>
      </c>
      <c r="R2001" s="11">
        <f>IFERROR(IF(B2001="Reynolds",VLOOKUP(H2001,'Yield &amp; Time'!A:U,21,0),VLOOKUP(H2001,'Yield &amp; Time'!A:L,12,0)),0)</f>
        <v>0</v>
      </c>
      <c r="S2001" s="11">
        <f t="shared" si="888"/>
        <v>0</v>
      </c>
      <c r="T2001" s="11">
        <f t="shared" si="889"/>
        <v>0</v>
      </c>
      <c r="U2001" s="11">
        <f>IF(A2000=A2001,0,VLOOKUP(A2001,'Packing Time'!A:F,6,0))</f>
        <v>0</v>
      </c>
      <c r="V2001" s="11">
        <f t="shared" si="903"/>
        <v>0</v>
      </c>
      <c r="W2001" s="11">
        <f t="shared" si="904"/>
        <v>0</v>
      </c>
      <c r="X2001" s="11">
        <f t="shared" si="892"/>
        <v>0</v>
      </c>
      <c r="Y2001" s="11">
        <f t="shared" si="905"/>
        <v>0</v>
      </c>
      <c r="Z2001" s="37">
        <v>1</v>
      </c>
      <c r="AA2001" s="36">
        <f t="shared" si="894"/>
        <v>1</v>
      </c>
      <c r="AB2001" s="36">
        <f t="shared" si="895"/>
        <v>0.28000000000000003</v>
      </c>
      <c r="AC2001" s="11">
        <f t="shared" si="896"/>
        <v>0</v>
      </c>
      <c r="AD2001" s="36">
        <f t="shared" si="906"/>
        <v>0</v>
      </c>
      <c r="AE2001" s="36"/>
      <c r="AF2001" s="36">
        <f>IFERROR(VLOOKUP(AE2001,'Chemical Cost'!A:D,4,0),0)</f>
        <v>0</v>
      </c>
      <c r="AG2001" s="114">
        <f t="shared" si="898"/>
        <v>0</v>
      </c>
      <c r="AH2001" s="36">
        <f t="shared" si="907"/>
        <v>0</v>
      </c>
      <c r="AI2001" s="36">
        <f t="shared" si="908"/>
        <v>0.28000000000000003</v>
      </c>
      <c r="AJ2001" s="36">
        <f>IFERROR(VLOOKUP(A2001,'All Products'!A:F,6,0),0)</f>
        <v>0</v>
      </c>
      <c r="AK2001" s="36"/>
      <c r="AL2001" s="23">
        <v>0.85</v>
      </c>
      <c r="AM2001" s="23">
        <v>0.15</v>
      </c>
      <c r="AN2001" s="54" t="e">
        <v>#N/A</v>
      </c>
      <c r="AO2001" s="47"/>
      <c r="AP2001" s="4">
        <v>1.1000000000000001</v>
      </c>
      <c r="AQ2001" s="111">
        <f t="shared" si="901"/>
        <v>0</v>
      </c>
      <c r="AR2001">
        <f>_xlfn.XLOOKUP(F2001,'RM Cost'!A:A,'RM Cost'!S:S)</f>
        <v>0</v>
      </c>
      <c r="AS2001" t="e">
        <f>_xlfn.XLOOKUP(A2001,[3]Sheet1!$B:$B,[3]Sheet1!$B:$B)</f>
        <v>#N/A</v>
      </c>
      <c r="AT2001" t="e">
        <f>_xlfn.XLOOKUP(H2001,'Yield &amp; Time'!A:A,'Yield &amp; Time'!F:F)</f>
        <v>#N/A</v>
      </c>
    </row>
    <row r="2002" spans="1:46" x14ac:dyDescent="0.25">
      <c r="A2002" s="1" t="s">
        <v>4899</v>
      </c>
      <c r="B2002" s="1" t="s">
        <v>552</v>
      </c>
      <c r="C2002" s="1" t="s">
        <v>4903</v>
      </c>
      <c r="D2002" s="2" t="s">
        <v>554</v>
      </c>
      <c r="E2002" s="2">
        <v>0.5</v>
      </c>
      <c r="F2002" s="1" t="str">
        <f>VLOOKUP(H2002,'RM Used'!A:B,2,0)</f>
        <v>3026CS</v>
      </c>
      <c r="G2002" s="1" t="str">
        <f>IFERROR(VLOOKUP(F2002,'RM Cost'!A:B,2,0),"")</f>
        <v>RM - BEETROOT RAW  X10KG</v>
      </c>
      <c r="H2002" s="2" t="s">
        <v>1445</v>
      </c>
      <c r="I2002" s="1" t="str">
        <f>VLOOKUP(F2002,'RM Used'!B:D,3,0)</f>
        <v>RM-FOOD</v>
      </c>
      <c r="J2002" s="66">
        <v>1</v>
      </c>
      <c r="K2002" s="35">
        <f t="shared" si="884"/>
        <v>0.5</v>
      </c>
      <c r="L2002" s="35">
        <f t="shared" si="885"/>
        <v>0.5</v>
      </c>
      <c r="M2002" s="77" cm="1">
        <f t="array" ref="M2002">_xlfn.IFS(BOM!I2002="RM-PACKING","100%",B2002="Reynolds",VLOOKUP(H2002,'Yield &amp; Time'!A:V,22,0),BOM!B2002="Dnata",VLOOKUP(BOM!H2002,'Yield &amp; Time'!A:M,13,0),B2002="NK",VLOOKUP(H2002,'Yield &amp; Time'!A:X,24,0))</f>
        <v>0.70840000000000003</v>
      </c>
      <c r="N2002" s="35">
        <f t="shared" si="886"/>
        <v>0.70581592320722752</v>
      </c>
      <c r="O2002" s="1" t="str">
        <f>VLOOKUP(H2002,'RM Used'!A:E,5,0)</f>
        <v>KG</v>
      </c>
      <c r="P2002" s="11">
        <f>VLOOKUP(H2002,'RM Used'!A:F,6,0)</f>
        <v>0.47</v>
      </c>
      <c r="Q2002" s="11">
        <f t="shared" si="902"/>
        <v>0.33173348390739693</v>
      </c>
      <c r="R2002" s="11">
        <f>IFERROR(IF(B2002="Reynolds",VLOOKUP(H2002,'Yield &amp; Time'!A:U,21,0),VLOOKUP(H2002,'Yield &amp; Time'!A:L,12,0)),0)</f>
        <v>1.5999999999999999</v>
      </c>
      <c r="S2002" s="11">
        <f t="shared" si="888"/>
        <v>0.27079999999999993</v>
      </c>
      <c r="T2002" s="11">
        <f t="shared" si="889"/>
        <v>1.3333333333333332E-2</v>
      </c>
      <c r="U2002" s="11">
        <f>IF(A2001=A2002,0,VLOOKUP(A2002,'Packing Time'!A:F,6,0))</f>
        <v>0.55499999999999994</v>
      </c>
      <c r="V2002" s="11">
        <f t="shared" si="903"/>
        <v>0.18786749999999997</v>
      </c>
      <c r="W2002" s="11">
        <f t="shared" si="904"/>
        <v>9.2499999999999995E-3</v>
      </c>
      <c r="X2002" s="11">
        <f t="shared" si="892"/>
        <v>0.57333437499999995</v>
      </c>
      <c r="Y2002" s="11">
        <f t="shared" si="905"/>
        <v>0.57333437499999995</v>
      </c>
      <c r="Z2002" s="37">
        <v>1</v>
      </c>
      <c r="AA2002" s="36">
        <f t="shared" si="894"/>
        <v>0.70581592320722752</v>
      </c>
      <c r="AB2002" s="36">
        <f t="shared" si="895"/>
        <v>0.33173348390739693</v>
      </c>
      <c r="AC2002" s="11">
        <f t="shared" si="896"/>
        <v>2.8229166666666666E-2</v>
      </c>
      <c r="AD2002" s="36">
        <f t="shared" si="906"/>
        <v>0.57333437499999995</v>
      </c>
      <c r="AE2002" s="36" t="str">
        <f>VLOOKUP(H2002,'Yield &amp; Time'!A:R,18,0)</f>
        <v>CHLORINE</v>
      </c>
      <c r="AF2002" s="36">
        <f>IFERROR(VLOOKUP(AE2002,'Chemical Cost'!A:D,4,0),0)</f>
        <v>2.7756518066439469E-2</v>
      </c>
      <c r="AG2002" s="114">
        <f t="shared" si="898"/>
        <v>6.5303308080273542E-3</v>
      </c>
      <c r="AH2002" s="36">
        <f t="shared" si="907"/>
        <v>6.5303308080273542E-3</v>
      </c>
      <c r="AI2002" s="36">
        <f t="shared" si="908"/>
        <v>0.91159818971542417</v>
      </c>
      <c r="AJ2002" s="36">
        <f>IFERROR(VLOOKUP(A2002,'All Products'!A:F,6,0),0)</f>
        <v>0</v>
      </c>
      <c r="AK2002" s="36">
        <f>AJ2002*Z2002*J2002</f>
        <v>0</v>
      </c>
      <c r="AL2002" s="23"/>
      <c r="AM2002" s="23">
        <v>1</v>
      </c>
      <c r="AN2002" s="54" t="e">
        <v>#N/A</v>
      </c>
      <c r="AO2002" s="47"/>
      <c r="AP2002" s="4">
        <v>1.25</v>
      </c>
      <c r="AQ2002" s="111">
        <f t="shared" si="901"/>
        <v>2.8229166666666666E-2</v>
      </c>
      <c r="AR2002">
        <f>_xlfn.XLOOKUP(F2002,'RM Cost'!A:A,'RM Cost'!S:S)</f>
        <v>0</v>
      </c>
      <c r="AS2002" t="e">
        <f>_xlfn.XLOOKUP(A2002,[3]Sheet1!$B:$B,[3]Sheet1!$B:$B)</f>
        <v>#N/A</v>
      </c>
      <c r="AT2002">
        <f>_xlfn.XLOOKUP(H2002,'Yield &amp; Time'!A:A,'Yield &amp; Time'!F:F)</f>
        <v>0</v>
      </c>
    </row>
    <row r="2003" spans="1:46" x14ac:dyDescent="0.25">
      <c r="A2003" s="1" t="s">
        <v>4899</v>
      </c>
      <c r="B2003" s="1" t="s">
        <v>552</v>
      </c>
      <c r="C2003" s="1" t="s">
        <v>4903</v>
      </c>
      <c r="D2003" s="2" t="s">
        <v>554</v>
      </c>
      <c r="E2003" s="2">
        <v>0.5</v>
      </c>
      <c r="F2003" s="1" t="str">
        <f>VLOOKUP(H2003,'RM Used'!A:B,2,0)</f>
        <v>P0020</v>
      </c>
      <c r="G2003" s="1" t="str">
        <f>IFERROR(VLOOKUP(F2003,'RM Cost'!A:B,2,0),"")</f>
        <v>PALE BLUE BAG 430X430MM</v>
      </c>
      <c r="H2003" s="2" t="s">
        <v>1659</v>
      </c>
      <c r="I2003" s="1" t="str">
        <f>VLOOKUP(F2003,'RM Used'!B:D,3,0)</f>
        <v>RM-PACKING</v>
      </c>
      <c r="J2003" s="66">
        <v>1</v>
      </c>
      <c r="K2003" s="35" t="str">
        <f t="shared" si="884"/>
        <v/>
      </c>
      <c r="L2003" s="35">
        <f t="shared" si="885"/>
        <v>0</v>
      </c>
      <c r="M2003" s="77" t="str" cm="1">
        <f t="array" ref="M2003">_xlfn.IFS(BOM!I2003="RM-PACKING","100%",B2003="Reynolds",VLOOKUP(H2003,'Yield &amp; Time'!A:V,22,0),BOM!B2003="Dnata",VLOOKUP(BOM!H2003,'Yield &amp; Time'!A:M,13,0),B2003="NK",VLOOKUP(H2003,'Yield &amp; Time'!A:X,24,0))</f>
        <v>100%</v>
      </c>
      <c r="N2003" s="35">
        <f t="shared" si="886"/>
        <v>1</v>
      </c>
      <c r="O2003" s="1" t="str">
        <f>VLOOKUP(H2003,'RM Used'!A:E,5,0)</f>
        <v>Count</v>
      </c>
      <c r="P2003" s="11">
        <f>VLOOKUP(H2003,'RM Used'!A:F,6,0)</f>
        <v>0.09</v>
      </c>
      <c r="Q2003" s="11">
        <f t="shared" si="902"/>
        <v>0.09</v>
      </c>
      <c r="R2003" s="11">
        <f>IFERROR(IF(B2003="Reynolds",VLOOKUP(H2003,'Yield &amp; Time'!A:U,21,0),VLOOKUP(H2003,'Yield &amp; Time'!A:L,12,0)),0)</f>
        <v>0</v>
      </c>
      <c r="S2003" s="11">
        <f t="shared" si="888"/>
        <v>0</v>
      </c>
      <c r="T2003" s="11">
        <f t="shared" si="889"/>
        <v>0</v>
      </c>
      <c r="U2003" s="11">
        <f>IF(A2002=A2003,0,VLOOKUP(A2003,'Packing Time'!A:F,6,0))</f>
        <v>0</v>
      </c>
      <c r="V2003" s="11">
        <f t="shared" si="903"/>
        <v>0</v>
      </c>
      <c r="W2003" s="11">
        <f t="shared" si="904"/>
        <v>0</v>
      </c>
      <c r="X2003" s="11">
        <f t="shared" si="892"/>
        <v>0</v>
      </c>
      <c r="Y2003" s="11">
        <f t="shared" si="905"/>
        <v>0</v>
      </c>
      <c r="Z2003" s="37">
        <v>1</v>
      </c>
      <c r="AA2003" s="36">
        <f t="shared" si="894"/>
        <v>1</v>
      </c>
      <c r="AB2003" s="36">
        <f t="shared" si="895"/>
        <v>0.09</v>
      </c>
      <c r="AC2003" s="11">
        <f t="shared" si="896"/>
        <v>0</v>
      </c>
      <c r="AD2003" s="36">
        <f t="shared" si="906"/>
        <v>0</v>
      </c>
      <c r="AE2003" s="36"/>
      <c r="AF2003" s="36">
        <f>IFERROR(VLOOKUP(AE2003,'Chemical Cost'!A:D,4,0),0)</f>
        <v>0</v>
      </c>
      <c r="AG2003" s="114">
        <f t="shared" si="898"/>
        <v>0</v>
      </c>
      <c r="AH2003" s="36">
        <f t="shared" si="907"/>
        <v>0</v>
      </c>
      <c r="AI2003" s="36">
        <f t="shared" si="908"/>
        <v>0.09</v>
      </c>
      <c r="AJ2003" s="36">
        <f>IFERROR(VLOOKUP(A2003,'All Products'!A:F,6,0),0)</f>
        <v>0</v>
      </c>
      <c r="AK2003" s="36"/>
      <c r="AL2003" s="23"/>
      <c r="AM2003" s="23">
        <v>1</v>
      </c>
      <c r="AN2003" s="54" t="e">
        <v>#N/A</v>
      </c>
      <c r="AO2003" s="47"/>
      <c r="AP2003" s="4">
        <v>1.25</v>
      </c>
      <c r="AQ2003" s="111">
        <f t="shared" si="901"/>
        <v>0</v>
      </c>
      <c r="AR2003">
        <f>_xlfn.XLOOKUP(F2003,'RM Cost'!A:A,'RM Cost'!S:S)</f>
        <v>0</v>
      </c>
      <c r="AS2003" t="e">
        <f>_xlfn.XLOOKUP(A2003,[3]Sheet1!$B:$B,[3]Sheet1!$B:$B)</f>
        <v>#N/A</v>
      </c>
      <c r="AT2003" t="e">
        <f>_xlfn.XLOOKUP(H2003,'Yield &amp; Time'!A:A,'Yield &amp; Time'!F:F)</f>
        <v>#N/A</v>
      </c>
    </row>
    <row r="2004" spans="1:46" x14ac:dyDescent="0.25">
      <c r="A2004" s="1" t="s">
        <v>4899</v>
      </c>
      <c r="B2004" s="1" t="s">
        <v>552</v>
      </c>
      <c r="C2004" s="1" t="s">
        <v>4903</v>
      </c>
      <c r="D2004" s="2" t="s">
        <v>554</v>
      </c>
      <c r="E2004" s="2">
        <v>0.5</v>
      </c>
      <c r="F2004" s="1" t="str">
        <f>VLOOKUP(H2004,'RM Used'!A:B,2,0)</f>
        <v>P0016</v>
      </c>
      <c r="G2004" s="1" t="str">
        <f>IFERROR(VLOOKUP(F2004,'RM Cost'!A:B,2,0),"")</f>
        <v>REY 40 30 BOX</v>
      </c>
      <c r="H2004" s="2" t="s">
        <v>1332</v>
      </c>
      <c r="I2004" s="1" t="str">
        <f>VLOOKUP(F2004,'RM Used'!B:D,3,0)</f>
        <v>RM-PACKING</v>
      </c>
      <c r="J2004" s="66">
        <v>1</v>
      </c>
      <c r="K2004" s="35" t="str">
        <f t="shared" si="884"/>
        <v/>
      </c>
      <c r="L2004" s="35">
        <f t="shared" si="885"/>
        <v>0</v>
      </c>
      <c r="M2004" s="77" t="str" cm="1">
        <f t="array" ref="M2004">_xlfn.IFS(BOM!I2004="RM-PACKING","100%",B2004="Reynolds",VLOOKUP(H2004,'Yield &amp; Time'!A:V,22,0),BOM!B2004="Dnata",VLOOKUP(BOM!H2004,'Yield &amp; Time'!A:M,13,0),B2004="NK",VLOOKUP(H2004,'Yield &amp; Time'!A:X,24,0))</f>
        <v>100%</v>
      </c>
      <c r="N2004" s="35">
        <f t="shared" si="886"/>
        <v>1</v>
      </c>
      <c r="O2004" s="1" t="str">
        <f>VLOOKUP(H2004,'RM Used'!A:E,5,0)</f>
        <v>Count</v>
      </c>
      <c r="P2004" s="11">
        <f>VLOOKUP(H2004,'RM Used'!A:F,6,0)</f>
        <v>0.28000000000000003</v>
      </c>
      <c r="Q2004" s="11">
        <f t="shared" si="902"/>
        <v>0.28000000000000003</v>
      </c>
      <c r="R2004" s="11">
        <f>IFERROR(IF(B2004="Reynolds",VLOOKUP(H2004,'Yield &amp; Time'!A:U,21,0),VLOOKUP(H2004,'Yield &amp; Time'!A:L,12,0)),0)</f>
        <v>0</v>
      </c>
      <c r="S2004" s="11">
        <f t="shared" si="888"/>
        <v>0</v>
      </c>
      <c r="T2004" s="11">
        <f t="shared" si="889"/>
        <v>0</v>
      </c>
      <c r="U2004" s="11">
        <f>IF(A2003=A2004,0,VLOOKUP(A2004,'Packing Time'!A:F,6,0))</f>
        <v>0</v>
      </c>
      <c r="V2004" s="11">
        <f t="shared" si="903"/>
        <v>0</v>
      </c>
      <c r="W2004" s="11">
        <f t="shared" si="904"/>
        <v>0</v>
      </c>
      <c r="X2004" s="11">
        <f t="shared" si="892"/>
        <v>0</v>
      </c>
      <c r="Y2004" s="11">
        <f t="shared" si="905"/>
        <v>0</v>
      </c>
      <c r="Z2004" s="37">
        <v>1</v>
      </c>
      <c r="AA2004" s="36">
        <f t="shared" si="894"/>
        <v>1</v>
      </c>
      <c r="AB2004" s="36">
        <f t="shared" si="895"/>
        <v>0.28000000000000003</v>
      </c>
      <c r="AC2004" s="11">
        <f t="shared" si="896"/>
        <v>0</v>
      </c>
      <c r="AD2004" s="36">
        <f t="shared" si="906"/>
        <v>0</v>
      </c>
      <c r="AE2004" s="36"/>
      <c r="AF2004" s="36">
        <f>IFERROR(VLOOKUP(AE2004,'Chemical Cost'!A:D,4,0),0)</f>
        <v>0</v>
      </c>
      <c r="AG2004" s="114">
        <f t="shared" si="898"/>
        <v>0</v>
      </c>
      <c r="AH2004" s="36">
        <f t="shared" si="907"/>
        <v>0</v>
      </c>
      <c r="AI2004" s="36">
        <f t="shared" si="908"/>
        <v>0.28000000000000003</v>
      </c>
      <c r="AJ2004" s="36">
        <f>IFERROR(VLOOKUP(A2004,'All Products'!A:F,6,0),0)</f>
        <v>0</v>
      </c>
      <c r="AK2004" s="36"/>
      <c r="AL2004" s="23"/>
      <c r="AM2004" s="23">
        <v>1</v>
      </c>
      <c r="AN2004" s="54" t="e">
        <v>#N/A</v>
      </c>
      <c r="AO2004" s="47"/>
      <c r="AP2004" s="4">
        <v>1.25</v>
      </c>
      <c r="AQ2004" s="111">
        <f t="shared" si="901"/>
        <v>0</v>
      </c>
      <c r="AR2004">
        <f>_xlfn.XLOOKUP(F2004,'RM Cost'!A:A,'RM Cost'!S:S)</f>
        <v>0</v>
      </c>
      <c r="AS2004" t="e">
        <f>_xlfn.XLOOKUP(A2004,[3]Sheet1!$B:$B,[3]Sheet1!$B:$B)</f>
        <v>#N/A</v>
      </c>
      <c r="AT2004" t="e">
        <f>_xlfn.XLOOKUP(H2004,'Yield &amp; Time'!A:A,'Yield &amp; Time'!F:F)</f>
        <v>#N/A</v>
      </c>
    </row>
    <row r="2005" spans="1:46" x14ac:dyDescent="0.25">
      <c r="A2005" s="1" t="s">
        <v>4900</v>
      </c>
      <c r="B2005" s="1" t="s">
        <v>552</v>
      </c>
      <c r="C2005" s="1" t="s">
        <v>4904</v>
      </c>
      <c r="D2005" s="2" t="s">
        <v>554</v>
      </c>
      <c r="E2005" s="2">
        <v>2.5</v>
      </c>
      <c r="F2005" s="1" t="str">
        <f>VLOOKUP(H2005,'RM Used'!A:B,2,0)</f>
        <v>206ACS</v>
      </c>
      <c r="G2005" s="1" t="str">
        <f>IFERROR(VLOOKUP(F2005,'RM Cost'!A:B,2,0),"")</f>
        <v>RM - PREP ONION WHOLE 10KG</v>
      </c>
      <c r="H2005" s="2" t="s">
        <v>1650</v>
      </c>
      <c r="I2005" s="1" t="str">
        <f>VLOOKUP(F2005,'RM Used'!B:D,3,0)</f>
        <v>RM-FOOD</v>
      </c>
      <c r="J2005" s="74">
        <v>1</v>
      </c>
      <c r="K2005" s="35">
        <f t="shared" si="884"/>
        <v>2.5</v>
      </c>
      <c r="L2005" s="35">
        <f t="shared" si="885"/>
        <v>2.5</v>
      </c>
      <c r="M2005" s="77" cm="1">
        <f t="array" ref="M2005">_xlfn.IFS(BOM!I2005="RM-PACKING","100%",B2005="Reynolds",VLOOKUP(H2005,'Yield &amp; Time'!A:V,22,0),BOM!B2005="Dnata",VLOOKUP(BOM!H2005,'Yield &amp; Time'!A:M,13,0),B2005="NK",VLOOKUP(H2005,'Yield &amp; Time'!A:X,24,0))</f>
        <v>0.91823899371069173</v>
      </c>
      <c r="N2005" s="35">
        <f t="shared" si="886"/>
        <v>2.7226027397260277</v>
      </c>
      <c r="O2005" s="1" t="str">
        <f>VLOOKUP(H2005,'RM Used'!A:E,5,0)</f>
        <v>KG</v>
      </c>
      <c r="P2005" s="11">
        <f>VLOOKUP(H2005,'RM Used'!A:F,6,0)</f>
        <v>0.87</v>
      </c>
      <c r="Q2005" s="11">
        <f t="shared" si="902"/>
        <v>2.3686643835616441</v>
      </c>
      <c r="R2005" s="11">
        <f>IFERROR(IF(B2005="Reynolds",VLOOKUP(H2005,'Yield &amp; Time'!A:U,21,0),VLOOKUP(H2005,'Yield &amp; Time'!A:L,12,0)),0)</f>
        <v>0.2</v>
      </c>
      <c r="S2005" s="11">
        <f t="shared" si="888"/>
        <v>0.16924999999999998</v>
      </c>
      <c r="T2005" s="11">
        <f t="shared" si="889"/>
        <v>8.3333333333333332E-3</v>
      </c>
      <c r="U2005" s="11">
        <f>IF(A2004=A2005,0,VLOOKUP(A2005,'Packing Time'!A:F,6,0))</f>
        <v>0.875</v>
      </c>
      <c r="V2005" s="11">
        <f t="shared" si="903"/>
        <v>0.29618749999999999</v>
      </c>
      <c r="W2005" s="11">
        <f t="shared" si="904"/>
        <v>1.4583333333333334E-2</v>
      </c>
      <c r="X2005" s="11">
        <f t="shared" si="892"/>
        <v>0.74469999999999992</v>
      </c>
      <c r="Y2005" s="11">
        <f t="shared" si="905"/>
        <v>0.74469999999999992</v>
      </c>
      <c r="Z2005" s="37">
        <v>1</v>
      </c>
      <c r="AA2005" s="36">
        <f t="shared" si="894"/>
        <v>2.7226027397260277</v>
      </c>
      <c r="AB2005" s="36">
        <f t="shared" si="895"/>
        <v>2.3686643835616441</v>
      </c>
      <c r="AC2005" s="11">
        <f t="shared" si="896"/>
        <v>3.6666666666666667E-2</v>
      </c>
      <c r="AD2005" s="36">
        <f t="shared" si="906"/>
        <v>0.74470000000000003</v>
      </c>
      <c r="AE2005" s="36"/>
      <c r="AF2005" s="36">
        <f>IFERROR(VLOOKUP(AE2005,'Chemical Cost'!A:D,4,0),0)</f>
        <v>0</v>
      </c>
      <c r="AG2005" s="114">
        <f t="shared" si="898"/>
        <v>0</v>
      </c>
      <c r="AH2005" s="36">
        <f t="shared" si="907"/>
        <v>0</v>
      </c>
      <c r="AI2005" s="36">
        <f t="shared" si="908"/>
        <v>3.113364383561644</v>
      </c>
      <c r="AJ2005" s="36">
        <f>IFERROR(VLOOKUP(A2005,'All Products'!A:F,6,0),0)</f>
        <v>0</v>
      </c>
      <c r="AK2005" s="36">
        <f>AJ2005*Z2005*J2005</f>
        <v>0</v>
      </c>
      <c r="AL2005" s="23">
        <v>1</v>
      </c>
      <c r="AM2005" s="23"/>
      <c r="AN2005" s="54" t="e">
        <v>#N/A</v>
      </c>
      <c r="AO2005" s="47"/>
      <c r="AP2005" s="4">
        <v>1.6</v>
      </c>
      <c r="AQ2005" s="111">
        <f t="shared" si="901"/>
        <v>3.6666666666666667E-2</v>
      </c>
      <c r="AR2005">
        <f>_xlfn.XLOOKUP(F2005,'RM Cost'!A:A,'RM Cost'!S:S)</f>
        <v>0</v>
      </c>
      <c r="AS2005" t="e">
        <f>_xlfn.XLOOKUP(A2005,[3]Sheet1!$B:$B,[3]Sheet1!$B:$B)</f>
        <v>#N/A</v>
      </c>
    </row>
    <row r="2006" spans="1:46" x14ac:dyDescent="0.25">
      <c r="A2006" s="1" t="s">
        <v>4900</v>
      </c>
      <c r="B2006" s="1" t="s">
        <v>552</v>
      </c>
      <c r="C2006" s="1" t="s">
        <v>4904</v>
      </c>
      <c r="D2006" s="2" t="s">
        <v>554</v>
      </c>
      <c r="E2006" s="2">
        <v>2.5</v>
      </c>
      <c r="F2006" s="1" t="str">
        <f>VLOOKUP(H2006,'RM Used'!A:B,2,0)</f>
        <v>P0020</v>
      </c>
      <c r="G2006" s="1" t="str">
        <f>IFERROR(VLOOKUP(F2006,'RM Cost'!A:B,2,0),"")</f>
        <v>PALE BLUE BAG 430X430MM</v>
      </c>
      <c r="H2006" s="2" t="s">
        <v>1659</v>
      </c>
      <c r="I2006" s="1" t="str">
        <f>VLOOKUP(F2006,'RM Used'!B:D,3,0)</f>
        <v>RM-PACKING</v>
      </c>
      <c r="J2006" s="66">
        <v>1</v>
      </c>
      <c r="K2006" s="35" t="str">
        <f t="shared" si="884"/>
        <v/>
      </c>
      <c r="L2006" s="35">
        <f t="shared" si="885"/>
        <v>0</v>
      </c>
      <c r="M2006" s="77" t="str" cm="1">
        <f t="array" ref="M2006">_xlfn.IFS(BOM!I2006="RM-PACKING","100%",B2006="Reynolds",VLOOKUP(H2006,'Yield &amp; Time'!A:V,22,0),BOM!B2006="Dnata",VLOOKUP(BOM!H2006,'Yield &amp; Time'!A:M,13,0),B2006="NK",VLOOKUP(H2006,'Yield &amp; Time'!A:X,24,0))</f>
        <v>100%</v>
      </c>
      <c r="N2006" s="35">
        <f t="shared" si="886"/>
        <v>1</v>
      </c>
      <c r="O2006" s="1" t="str">
        <f>VLOOKUP(H2006,'RM Used'!A:E,5,0)</f>
        <v>Count</v>
      </c>
      <c r="P2006" s="11">
        <f>VLOOKUP(H2006,'RM Used'!A:F,6,0)</f>
        <v>0.09</v>
      </c>
      <c r="Q2006" s="11">
        <f t="shared" si="902"/>
        <v>0.09</v>
      </c>
      <c r="R2006" s="11">
        <f>IFERROR(IF(B2006="Reynolds",VLOOKUP(H2006,'Yield &amp; Time'!A:U,21,0),VLOOKUP(H2006,'Yield &amp; Time'!A:L,12,0)),0)</f>
        <v>0</v>
      </c>
      <c r="S2006" s="11">
        <f t="shared" si="888"/>
        <v>0</v>
      </c>
      <c r="T2006" s="11">
        <f t="shared" si="889"/>
        <v>0</v>
      </c>
      <c r="U2006" s="11">
        <f>IF(A2005=A2006,0,VLOOKUP(A2006,'Packing Time'!A:F,6,0))</f>
        <v>0</v>
      </c>
      <c r="V2006" s="11">
        <f t="shared" si="903"/>
        <v>0</v>
      </c>
      <c r="W2006" s="11">
        <f t="shared" si="904"/>
        <v>0</v>
      </c>
      <c r="X2006" s="11">
        <f t="shared" si="892"/>
        <v>0</v>
      </c>
      <c r="Y2006" s="11">
        <f t="shared" si="905"/>
        <v>0</v>
      </c>
      <c r="Z2006" s="37">
        <v>1</v>
      </c>
      <c r="AA2006" s="36">
        <f t="shared" si="894"/>
        <v>1</v>
      </c>
      <c r="AB2006" s="36">
        <f t="shared" si="895"/>
        <v>0.09</v>
      </c>
      <c r="AC2006" s="11">
        <f t="shared" si="896"/>
        <v>0</v>
      </c>
      <c r="AD2006" s="36">
        <f t="shared" si="906"/>
        <v>0</v>
      </c>
      <c r="AE2006" s="36"/>
      <c r="AF2006" s="36">
        <f>IFERROR(VLOOKUP(AE2006,'Chemical Cost'!A:D,4,0),0)</f>
        <v>0</v>
      </c>
      <c r="AG2006" s="114">
        <f t="shared" si="898"/>
        <v>0</v>
      </c>
      <c r="AH2006" s="36">
        <f t="shared" si="907"/>
        <v>0</v>
      </c>
      <c r="AI2006" s="36">
        <f t="shared" si="908"/>
        <v>0.09</v>
      </c>
      <c r="AJ2006" s="36">
        <f>IFERROR(VLOOKUP(A2006,'All Products'!A:F,6,0),0)</f>
        <v>0</v>
      </c>
      <c r="AK2006" s="36"/>
      <c r="AL2006" s="23">
        <v>1</v>
      </c>
      <c r="AM2006" s="23"/>
      <c r="AN2006" s="54" t="e">
        <v>#N/A</v>
      </c>
      <c r="AO2006" s="47"/>
      <c r="AP2006" s="4">
        <v>1.6</v>
      </c>
      <c r="AQ2006" s="111">
        <f t="shared" si="901"/>
        <v>0</v>
      </c>
      <c r="AR2006">
        <f>_xlfn.XLOOKUP(F2006,'RM Cost'!A:A,'RM Cost'!S:S)</f>
        <v>0</v>
      </c>
      <c r="AS2006" t="e">
        <f>_xlfn.XLOOKUP(A2006,[3]Sheet1!$B:$B,[3]Sheet1!$B:$B)</f>
        <v>#N/A</v>
      </c>
    </row>
    <row r="2007" spans="1:46" x14ac:dyDescent="0.25">
      <c r="A2007" s="1" t="s">
        <v>4900</v>
      </c>
      <c r="B2007" s="1" t="s">
        <v>552</v>
      </c>
      <c r="C2007" s="1" t="s">
        <v>4904</v>
      </c>
      <c r="D2007" s="2" t="s">
        <v>554</v>
      </c>
      <c r="E2007" s="2">
        <v>2.5</v>
      </c>
      <c r="F2007" s="1" t="str">
        <f>VLOOKUP(H2007,'RM Used'!A:B,2,0)</f>
        <v>P0016</v>
      </c>
      <c r="G2007" s="1" t="str">
        <f>IFERROR(VLOOKUP(F2007,'RM Cost'!A:B,2,0),"")</f>
        <v>REY 40 30 BOX</v>
      </c>
      <c r="H2007" s="1" t="s">
        <v>1332</v>
      </c>
      <c r="I2007" s="1" t="str">
        <f>VLOOKUP(F2007,'RM Used'!B:D,3,0)</f>
        <v>RM-PACKING</v>
      </c>
      <c r="J2007" s="66">
        <v>1</v>
      </c>
      <c r="K2007" s="35" t="str">
        <f>IF(I2007="RM-FOOD",J2007*E2007,"")</f>
        <v/>
      </c>
      <c r="L2007" s="35">
        <f t="shared" si="885"/>
        <v>0</v>
      </c>
      <c r="M2007" s="77" t="str" cm="1">
        <f t="array" ref="M2007">_xlfn.IFS(BOM!I2007="RM-PACKING","100%",B2007="Reynolds",VLOOKUP(H2007,'Yield &amp; Time'!A:V,22,0),BOM!B2007="Dnata",VLOOKUP(BOM!H2007,'Yield &amp; Time'!A:M,13,0),B2007="NK",VLOOKUP(H2007,'Yield &amp; Time'!A:X,24,0))</f>
        <v>100%</v>
      </c>
      <c r="N2007" s="35">
        <f>IFERROR(IF(I2007="RM-FOOD",(E2007*J2007)/M2007,1),0)</f>
        <v>1</v>
      </c>
      <c r="O2007" s="1" t="str">
        <f>VLOOKUP(H2007,'RM Used'!A:E,5,0)</f>
        <v>Count</v>
      </c>
      <c r="P2007" s="11">
        <f>VLOOKUP(H2007,'RM Used'!A:F,6,0)</f>
        <v>0.28000000000000003</v>
      </c>
      <c r="Q2007" s="11">
        <f t="shared" si="902"/>
        <v>0.28000000000000003</v>
      </c>
      <c r="R2007" s="11">
        <f>IFERROR(IF(B2007="Reynolds",VLOOKUP(H2007,'Yield &amp; Time'!A:U,21,0),VLOOKUP(H2007,'Yield &amp; Time'!A:L,12,0)),0)</f>
        <v>0</v>
      </c>
      <c r="S2007" s="11">
        <f t="shared" si="888"/>
        <v>0</v>
      </c>
      <c r="T2007" s="11">
        <f t="shared" si="889"/>
        <v>0</v>
      </c>
      <c r="U2007" s="11">
        <f>IF(A2006=A2007,0,VLOOKUP(A2007,'Packing Time'!A:F,6,0))</f>
        <v>0</v>
      </c>
      <c r="V2007" s="11">
        <f>U2007*AO$1</f>
        <v>0</v>
      </c>
      <c r="W2007" s="11">
        <f>(U2007*Z2007)/60</f>
        <v>0</v>
      </c>
      <c r="X2007" s="11">
        <f t="shared" si="892"/>
        <v>0</v>
      </c>
      <c r="Y2007" s="11">
        <f>X2007*Z2007</f>
        <v>0</v>
      </c>
      <c r="Z2007" s="37">
        <v>1</v>
      </c>
      <c r="AA2007" s="36">
        <f t="shared" si="894"/>
        <v>1</v>
      </c>
      <c r="AB2007" s="36">
        <f t="shared" si="895"/>
        <v>0.28000000000000003</v>
      </c>
      <c r="AC2007" s="11">
        <f t="shared" si="896"/>
        <v>0</v>
      </c>
      <c r="AD2007" s="36">
        <f>AC2007*60*AO$1</f>
        <v>0</v>
      </c>
      <c r="AE2007" s="36"/>
      <c r="AF2007" s="36">
        <f>IFERROR(VLOOKUP(AE2007,'Chemical Cost'!A:D,4,0),0)</f>
        <v>0</v>
      </c>
      <c r="AG2007" s="114">
        <f t="shared" si="898"/>
        <v>0</v>
      </c>
      <c r="AH2007" s="36">
        <f t="shared" si="907"/>
        <v>0</v>
      </c>
      <c r="AI2007" s="36">
        <f>IFERROR((Q2007*Z2007)+(Z2007*X2007)+AH2007,0)</f>
        <v>0.28000000000000003</v>
      </c>
      <c r="AJ2007" s="36">
        <f>IFERROR(VLOOKUP(A2007,'All Products'!A:F,6,0),0)</f>
        <v>0</v>
      </c>
      <c r="AK2007" s="36"/>
      <c r="AL2007" s="23">
        <v>1</v>
      </c>
      <c r="AM2007" s="23"/>
      <c r="AN2007" s="54" t="e">
        <v>#N/A</v>
      </c>
      <c r="AO2007" s="47"/>
      <c r="AP2007" s="4">
        <v>1.6</v>
      </c>
      <c r="AQ2007" s="111">
        <f t="shared" si="901"/>
        <v>0</v>
      </c>
      <c r="AR2007">
        <f>_xlfn.XLOOKUP(F2007,'RM Cost'!A:A,'RM Cost'!S:S)</f>
        <v>0</v>
      </c>
      <c r="AS2007" t="e">
        <f>_xlfn.XLOOKUP(A2007,[3]Sheet1!$B:$B,[3]Sheet1!$B:$B)</f>
        <v>#N/A</v>
      </c>
    </row>
    <row r="2008" spans="1:46" x14ac:dyDescent="0.25">
      <c r="A2008" s="1" t="s">
        <v>4901</v>
      </c>
      <c r="B2008" s="1" t="s">
        <v>552</v>
      </c>
      <c r="C2008" s="1" t="s">
        <v>559</v>
      </c>
      <c r="D2008" s="2" t="s">
        <v>554</v>
      </c>
      <c r="E2008" s="2">
        <v>2.5</v>
      </c>
      <c r="F2008" s="1" t="str">
        <f>VLOOKUP(H2008,'RM Used'!A:B,2,0)</f>
        <v>S3997CS</v>
      </c>
      <c r="G2008" s="1" t="str">
        <f>IFERROR(VLOOKUP(F2008,'RM Cost'!A:B,2,0),"")</f>
        <v>RM - DECORE WHITE CABBAGE 1/3 1200KG</v>
      </c>
      <c r="H2008" s="2" t="s">
        <v>1350</v>
      </c>
      <c r="I2008" s="1" t="str">
        <f>VLOOKUP(F2008,'RM Used'!B:D,3,0)</f>
        <v>RM-FOOD</v>
      </c>
      <c r="J2008" s="66">
        <v>0.7</v>
      </c>
      <c r="K2008" s="35">
        <f t="shared" ref="K2008:K2011" si="909">IF(I2008="RM-FOOD",J2008*E2008,"")</f>
        <v>1.75</v>
      </c>
      <c r="L2008" s="35">
        <f t="shared" si="885"/>
        <v>1.75</v>
      </c>
      <c r="M2008" s="77" cm="1">
        <f t="array" ref="M2008">_xlfn.IFS(BOM!I2008="RM-PACKING","100%",B2008="Reynolds",VLOOKUP(H2008,'Yield &amp; Time'!A:V,22,0),BOM!B2008="Dnata",VLOOKUP(BOM!H2008,'Yield &amp; Time'!A:M,13,0),B2008="NK",VLOOKUP(H2008,'Yield &amp; Time'!A:X,24,0))</f>
        <v>0.77222322232223217</v>
      </c>
      <c r="N2008" s="35">
        <f t="shared" ref="N2008:N2011" si="910">IFERROR(IF(I2008="RM-FOOD",(E2008*J2008)/M2008,1),0)</f>
        <v>2.2661841154393083</v>
      </c>
      <c r="O2008" s="1" t="str">
        <f>VLOOKUP(H2008,'RM Used'!A:E,5,0)</f>
        <v>KG</v>
      </c>
      <c r="P2008" s="11">
        <f>VLOOKUP(H2008,'RM Used'!A:F,6,0)</f>
        <v>0.34</v>
      </c>
      <c r="Q2008" s="11">
        <f t="shared" si="902"/>
        <v>0.77050259924936493</v>
      </c>
      <c r="R2008" s="11">
        <f>IFERROR(IF(B2008="Reynolds",VLOOKUP(H2008,'Yield &amp; Time'!A:U,21,0),VLOOKUP(H2008,'Yield &amp; Time'!A:L,12,0)),0)</f>
        <v>0.82773480662983423</v>
      </c>
      <c r="S2008" s="11">
        <f t="shared" si="888"/>
        <v>0.49032940607734798</v>
      </c>
      <c r="T2008" s="11">
        <f t="shared" si="889"/>
        <v>2.4142265193370163E-2</v>
      </c>
      <c r="U2008" s="11">
        <f>IF(A2007=A2008,0,VLOOKUP(A2008,'Packing Time'!A:F,6,0))</f>
        <v>0.875</v>
      </c>
      <c r="V2008" s="11">
        <f t="shared" ref="V2008:V2011" si="911">U2008*AO$1</f>
        <v>0.29618749999999999</v>
      </c>
      <c r="W2008" s="11">
        <f t="shared" ref="W2008:W2011" si="912">(U2008*Z2008)/60</f>
        <v>1.4583333333333334E-2</v>
      </c>
      <c r="X2008" s="11">
        <f t="shared" si="892"/>
        <v>0.86516859668508284</v>
      </c>
      <c r="Y2008" s="11">
        <f t="shared" ref="Y2008:Y2011" si="913">X2008*Z2008</f>
        <v>0.86516859668508284</v>
      </c>
      <c r="Z2008" s="37">
        <v>1</v>
      </c>
      <c r="AA2008" s="36">
        <f t="shared" si="894"/>
        <v>2.2661841154393083</v>
      </c>
      <c r="AB2008" s="36">
        <f t="shared" si="895"/>
        <v>0.77050259924936493</v>
      </c>
      <c r="AC2008" s="11">
        <f t="shared" si="896"/>
        <v>4.2598158379373856E-2</v>
      </c>
      <c r="AD2008" s="36">
        <f t="shared" ref="AD2008:AD2011" si="914">AC2008*60*AO$1</f>
        <v>0.86516859668508295</v>
      </c>
      <c r="AE2008" s="36" t="str">
        <f>VLOOKUP(H2008,'Yield &amp; Time'!A:R,18,0)</f>
        <v>CHLORINE</v>
      </c>
      <c r="AF2008" s="36">
        <f>IFERROR(VLOOKUP(AE2008,'Chemical Cost'!A:D,4,0),0)</f>
        <v>2.7756518066439469E-2</v>
      </c>
      <c r="AG2008" s="114">
        <f t="shared" si="898"/>
        <v>2.0967126780689769E-2</v>
      </c>
      <c r="AH2008" s="36">
        <f t="shared" si="907"/>
        <v>2.0967126780689769E-2</v>
      </c>
      <c r="AI2008" s="36">
        <f t="shared" ref="AI2008:AI2011" si="915">IFERROR((Q2008*Z2008)+(Z2008*X2008)+AH2008,0)</f>
        <v>1.6566383227151373</v>
      </c>
      <c r="AJ2008" s="36">
        <f>IFERROR(VLOOKUP(A2008,'All Products'!A:F,6,0),0)</f>
        <v>0</v>
      </c>
      <c r="AK2008" s="36">
        <f>AJ2008*Z2008*J2008</f>
        <v>0</v>
      </c>
      <c r="AL2008" s="23">
        <v>0.8</v>
      </c>
      <c r="AM2008" s="23">
        <v>0.2</v>
      </c>
      <c r="AN2008" s="54" t="e">
        <v>#N/A</v>
      </c>
      <c r="AO2008" s="47"/>
      <c r="AP2008" s="4">
        <v>1.1000000000000001</v>
      </c>
      <c r="AQ2008" s="111">
        <f t="shared" si="901"/>
        <v>4.2598158379373856E-2</v>
      </c>
      <c r="AR2008">
        <f>_xlfn.XLOOKUP(F2008,'RM Cost'!A:A,'RM Cost'!S:S)</f>
        <v>0.29914853989077506</v>
      </c>
      <c r="AS2008" t="e">
        <f>_xlfn.XLOOKUP(A2008,[3]Sheet1!$B:$B,[3]Sheet1!$B:$B)</f>
        <v>#N/A</v>
      </c>
      <c r="AT2008" t="str">
        <f>_xlfn.XLOOKUP(H2008,'Yield &amp; Time'!A:A,'Yield &amp; Time'!O:O)</f>
        <v>Yes</v>
      </c>
    </row>
    <row r="2009" spans="1:46" x14ac:dyDescent="0.25">
      <c r="A2009" s="1" t="s">
        <v>4901</v>
      </c>
      <c r="B2009" s="1" t="s">
        <v>552</v>
      </c>
      <c r="C2009" s="1" t="s">
        <v>559</v>
      </c>
      <c r="D2009" s="2" t="s">
        <v>554</v>
      </c>
      <c r="E2009" s="2">
        <v>2.5</v>
      </c>
      <c r="F2009" s="1" t="str">
        <f>VLOOKUP(H2009,'RM Used'!A:B,2,0)</f>
        <v>032ACS</v>
      </c>
      <c r="G2009" s="1" t="str">
        <f>IFERROR(VLOOKUP(F2009,'RM Cost'!A:B,2,0),"")</f>
        <v>RM - LRG PROCESSING CARROT X 1000KG</v>
      </c>
      <c r="H2009" s="2" t="s">
        <v>1351</v>
      </c>
      <c r="I2009" s="1" t="str">
        <f>VLOOKUP(F2009,'RM Used'!B:D,3,0)</f>
        <v>RM-FOOD</v>
      </c>
      <c r="J2009" s="66">
        <v>0.3</v>
      </c>
      <c r="K2009" s="35">
        <f t="shared" si="909"/>
        <v>0.75</v>
      </c>
      <c r="L2009" s="35">
        <f t="shared" si="885"/>
        <v>0.75</v>
      </c>
      <c r="M2009" s="77" cm="1">
        <f t="array" ref="M2009">_xlfn.IFS(BOM!I2009="RM-PACKING","100%",B2009="Reynolds",VLOOKUP(H2009,'Yield &amp; Time'!A:V,22,0),BOM!B2009="Dnata",VLOOKUP(BOM!H2009,'Yield &amp; Time'!A:M,13,0),B2009="NK",VLOOKUP(H2009,'Yield &amp; Time'!A:X,24,0))</f>
        <v>0.75330000000000008</v>
      </c>
      <c r="N2009" s="35">
        <f t="shared" si="910"/>
        <v>0.9956192751891676</v>
      </c>
      <c r="O2009" s="1" t="str">
        <f>VLOOKUP(H2009,'RM Used'!A:E,5,0)</f>
        <v>KG</v>
      </c>
      <c r="P2009" s="11">
        <f>VLOOKUP(H2009,'RM Used'!A:F,6,0)</f>
        <v>0.38</v>
      </c>
      <c r="Q2009" s="11">
        <f t="shared" si="902"/>
        <v>0.37833532457188368</v>
      </c>
      <c r="R2009" s="11">
        <f>IFERROR(IF(B2009="Reynolds",VLOOKUP(H2009,'Yield &amp; Time'!A:U,21,0),VLOOKUP(H2009,'Yield &amp; Time'!A:L,12,0)),0)</f>
        <v>0.90531914893617027</v>
      </c>
      <c r="S2009" s="11">
        <f t="shared" si="888"/>
        <v>0.22983789893617018</v>
      </c>
      <c r="T2009" s="11">
        <f t="shared" si="889"/>
        <v>1.1316489361702127E-2</v>
      </c>
      <c r="U2009" s="11">
        <f>IF(A2008=A2009,0,VLOOKUP(A2009,'Packing Time'!A:F,6,0))</f>
        <v>0</v>
      </c>
      <c r="V2009" s="11">
        <f t="shared" si="911"/>
        <v>0</v>
      </c>
      <c r="W2009" s="11">
        <f t="shared" si="912"/>
        <v>0</v>
      </c>
      <c r="X2009" s="11">
        <f t="shared" si="892"/>
        <v>0.25282168882978723</v>
      </c>
      <c r="Y2009" s="11">
        <f t="shared" si="913"/>
        <v>0.25282168882978723</v>
      </c>
      <c r="Z2009" s="37">
        <v>1</v>
      </c>
      <c r="AA2009" s="36">
        <f t="shared" si="894"/>
        <v>0.9956192751891676</v>
      </c>
      <c r="AB2009" s="36">
        <f t="shared" si="895"/>
        <v>0.37833532457188368</v>
      </c>
      <c r="AC2009" s="11">
        <f t="shared" si="896"/>
        <v>1.2448138297872341E-2</v>
      </c>
      <c r="AD2009" s="36">
        <f t="shared" si="914"/>
        <v>0.25282168882978723</v>
      </c>
      <c r="AE2009" s="36" t="str">
        <f>VLOOKUP(H2009,'Yield &amp; Time'!A:R,18,0)</f>
        <v>CHLORINE</v>
      </c>
      <c r="AF2009" s="36">
        <f>IFERROR(VLOOKUP(AE2009,'Chemical Cost'!A:D,4,0),0)</f>
        <v>2.7756518066439469E-2</v>
      </c>
      <c r="AG2009" s="114">
        <f t="shared" si="898"/>
        <v>9.2116414663611663E-3</v>
      </c>
      <c r="AH2009" s="36">
        <f t="shared" si="907"/>
        <v>9.2116414663611663E-3</v>
      </c>
      <c r="AI2009" s="36">
        <f t="shared" si="915"/>
        <v>0.64036865486803207</v>
      </c>
      <c r="AJ2009" s="36">
        <f>IFERROR(VLOOKUP(A2009,'All Products'!A:F,6,0),0)</f>
        <v>0</v>
      </c>
      <c r="AK2009" s="36">
        <f>AJ2009*Z2009*J2009</f>
        <v>0</v>
      </c>
      <c r="AL2009" s="23">
        <v>0.8</v>
      </c>
      <c r="AM2009" s="23">
        <v>0.2</v>
      </c>
      <c r="AN2009" s="54" t="e">
        <v>#N/A</v>
      </c>
      <c r="AO2009" s="47"/>
      <c r="AP2009" s="4">
        <v>1.1000000000000001</v>
      </c>
      <c r="AQ2009" s="111">
        <f t="shared" si="901"/>
        <v>1.2448138297872341E-2</v>
      </c>
      <c r="AR2009">
        <f>_xlfn.XLOOKUP(F2009,'RM Cost'!A:A,'RM Cost'!S:S)</f>
        <v>0</v>
      </c>
      <c r="AS2009" t="e">
        <f>_xlfn.XLOOKUP(A2009,[3]Sheet1!$B:$B,[3]Sheet1!$B:$B)</f>
        <v>#N/A</v>
      </c>
      <c r="AT2009" t="str">
        <f>_xlfn.XLOOKUP(H2009,'Yield &amp; Time'!A:A,'Yield &amp; Time'!O:O)</f>
        <v>Yes</v>
      </c>
    </row>
    <row r="2010" spans="1:46" x14ac:dyDescent="0.25">
      <c r="A2010" s="1" t="s">
        <v>4901</v>
      </c>
      <c r="B2010" s="1" t="s">
        <v>552</v>
      </c>
      <c r="C2010" s="1" t="s">
        <v>559</v>
      </c>
      <c r="D2010" s="2" t="s">
        <v>554</v>
      </c>
      <c r="E2010" s="2">
        <v>2.5</v>
      </c>
      <c r="F2010" s="1" t="str">
        <f>VLOOKUP(H2010,'RM Used'!A:B,2,0)</f>
        <v>P0001</v>
      </c>
      <c r="G2010" s="1" t="str">
        <f>IFERROR(VLOOKUP(F2010,'RM Cost'!A:B,2,0),"")</f>
        <v>SOL 30EL # PPLUS 630x1000 BLUE -1</v>
      </c>
      <c r="H2010" s="2" t="s">
        <v>4678</v>
      </c>
      <c r="I2010" s="1" t="str">
        <f>VLOOKUP(F2010,'RM Used'!B:D,3,0)</f>
        <v>RM-PACKING</v>
      </c>
      <c r="J2010" s="66">
        <v>1</v>
      </c>
      <c r="K2010" s="35" t="str">
        <f t="shared" si="909"/>
        <v/>
      </c>
      <c r="L2010" s="35">
        <f t="shared" si="885"/>
        <v>0</v>
      </c>
      <c r="M2010" s="77" t="str" cm="1">
        <f t="array" ref="M2010">_xlfn.IFS(BOM!I2010="RM-PACKING","100%",B2010="Reynolds",VLOOKUP(H2010,'Yield &amp; Time'!A:V,22,0),BOM!B2010="Dnata",VLOOKUP(BOM!H2010,'Yield &amp; Time'!A:M,13,0),B2010="NK",VLOOKUP(H2010,'Yield &amp; Time'!A:X,24,0))</f>
        <v>100%</v>
      </c>
      <c r="N2010" s="35">
        <f t="shared" si="910"/>
        <v>1</v>
      </c>
      <c r="O2010" s="1" t="str">
        <f>VLOOKUP(H2010,'RM Used'!A:E,5,0)</f>
        <v>Count</v>
      </c>
      <c r="P2010" s="11">
        <f>VLOOKUP(H2010,'RM Used'!A:F,6,0)</f>
        <v>0.08</v>
      </c>
      <c r="Q2010" s="11">
        <f t="shared" si="902"/>
        <v>0.08</v>
      </c>
      <c r="R2010" s="11">
        <f>IFERROR(IF(B2010="Reynolds",VLOOKUP(H2010,'Yield &amp; Time'!A:U,21,0),VLOOKUP(H2010,'Yield &amp; Time'!A:L,12,0)),0)</f>
        <v>0</v>
      </c>
      <c r="S2010" s="11">
        <f t="shared" si="888"/>
        <v>0</v>
      </c>
      <c r="T2010" s="11">
        <f t="shared" si="889"/>
        <v>0</v>
      </c>
      <c r="U2010" s="11">
        <f>IF(A2009=A2010,0,VLOOKUP(A2010,'Packing Time'!A:F,6,0))</f>
        <v>0</v>
      </c>
      <c r="V2010" s="11">
        <f t="shared" si="911"/>
        <v>0</v>
      </c>
      <c r="W2010" s="11">
        <f t="shared" si="912"/>
        <v>0</v>
      </c>
      <c r="X2010" s="11">
        <f t="shared" si="892"/>
        <v>0</v>
      </c>
      <c r="Y2010" s="11">
        <f t="shared" si="913"/>
        <v>0</v>
      </c>
      <c r="Z2010" s="37">
        <v>1</v>
      </c>
      <c r="AA2010" s="36">
        <f t="shared" si="894"/>
        <v>1</v>
      </c>
      <c r="AB2010" s="36">
        <f t="shared" si="895"/>
        <v>0.08</v>
      </c>
      <c r="AC2010" s="11">
        <f t="shared" si="896"/>
        <v>0</v>
      </c>
      <c r="AD2010" s="36">
        <f t="shared" si="914"/>
        <v>0</v>
      </c>
      <c r="AE2010" s="36"/>
      <c r="AF2010" s="36">
        <f>IFERROR(VLOOKUP(AE2010,'Chemical Cost'!A:D,4,0),0)</f>
        <v>0</v>
      </c>
      <c r="AG2010" s="114">
        <f t="shared" si="898"/>
        <v>0</v>
      </c>
      <c r="AH2010" s="36">
        <f t="shared" si="907"/>
        <v>0</v>
      </c>
      <c r="AI2010" s="36">
        <f t="shared" si="915"/>
        <v>0.08</v>
      </c>
      <c r="AJ2010" s="36">
        <f>IFERROR(VLOOKUP(A2010,'All Products'!A:F,6,0),0)</f>
        <v>0</v>
      </c>
      <c r="AK2010" s="36"/>
      <c r="AL2010" s="23">
        <v>0.8</v>
      </c>
      <c r="AM2010" s="23">
        <v>0.2</v>
      </c>
      <c r="AN2010" s="54" t="e">
        <v>#N/A</v>
      </c>
      <c r="AO2010" s="47"/>
      <c r="AP2010" s="4">
        <v>1.1000000000000001</v>
      </c>
      <c r="AQ2010" s="111">
        <f t="shared" si="901"/>
        <v>0</v>
      </c>
      <c r="AR2010">
        <f>_xlfn.XLOOKUP(F2010,'RM Cost'!A:A,'RM Cost'!S:S)</f>
        <v>0</v>
      </c>
      <c r="AS2010" t="e">
        <f>_xlfn.XLOOKUP(A2010,[3]Sheet1!$B:$B,[3]Sheet1!$B:$B)</f>
        <v>#N/A</v>
      </c>
      <c r="AT2010" t="e">
        <f>_xlfn.XLOOKUP(H2010,'Yield &amp; Time'!A:A,'Yield &amp; Time'!F:F)</f>
        <v>#N/A</v>
      </c>
    </row>
    <row r="2011" spans="1:46" x14ac:dyDescent="0.25">
      <c r="A2011" s="1" t="s">
        <v>4901</v>
      </c>
      <c r="B2011" s="1" t="s">
        <v>552</v>
      </c>
      <c r="C2011" s="1" t="s">
        <v>559</v>
      </c>
      <c r="D2011" s="2" t="s">
        <v>554</v>
      </c>
      <c r="E2011" s="2">
        <v>2.5</v>
      </c>
      <c r="F2011" s="1" t="str">
        <f>VLOOKUP(H2011,'RM Used'!A:B,2,0)</f>
        <v>P0016</v>
      </c>
      <c r="G2011" s="1" t="str">
        <f>IFERROR(VLOOKUP(F2011,'RM Cost'!A:B,2,0),"")</f>
        <v>REY 40 30 BOX</v>
      </c>
      <c r="H2011" s="2" t="s">
        <v>1332</v>
      </c>
      <c r="I2011" s="1" t="str">
        <f>VLOOKUP(F2011,'RM Used'!B:D,3,0)</f>
        <v>RM-PACKING</v>
      </c>
      <c r="J2011" s="66">
        <v>1</v>
      </c>
      <c r="K2011" s="35" t="str">
        <f t="shared" si="909"/>
        <v/>
      </c>
      <c r="L2011" s="35">
        <f t="shared" si="885"/>
        <v>0</v>
      </c>
      <c r="M2011" s="77" t="str" cm="1">
        <f t="array" ref="M2011">_xlfn.IFS(BOM!I2011="RM-PACKING","100%",B2011="Reynolds",VLOOKUP(H2011,'Yield &amp; Time'!A:V,22,0),BOM!B2011="Dnata",VLOOKUP(BOM!H2011,'Yield &amp; Time'!A:M,13,0),B2011="NK",VLOOKUP(H2011,'Yield &amp; Time'!A:X,24,0))</f>
        <v>100%</v>
      </c>
      <c r="N2011" s="35">
        <f t="shared" si="910"/>
        <v>1</v>
      </c>
      <c r="O2011" s="1" t="str">
        <f>VLOOKUP(H2011,'RM Used'!A:E,5,0)</f>
        <v>Count</v>
      </c>
      <c r="P2011" s="11">
        <f>VLOOKUP(H2011,'RM Used'!A:F,6,0)</f>
        <v>0.28000000000000003</v>
      </c>
      <c r="Q2011" s="11">
        <f t="shared" si="902"/>
        <v>0.28000000000000003</v>
      </c>
      <c r="R2011" s="11">
        <f>IFERROR(IF(B2011="Reynolds",VLOOKUP(H2011,'Yield &amp; Time'!A:U,21,0),VLOOKUP(H2011,'Yield &amp; Time'!A:L,12,0)),0)</f>
        <v>0</v>
      </c>
      <c r="S2011" s="11">
        <f t="shared" si="888"/>
        <v>0</v>
      </c>
      <c r="T2011" s="11">
        <f t="shared" si="889"/>
        <v>0</v>
      </c>
      <c r="U2011" s="11">
        <f>IF(A2010=A2011,0,VLOOKUP(A2011,'Packing Time'!A:F,6,0))</f>
        <v>0</v>
      </c>
      <c r="V2011" s="11">
        <f t="shared" si="911"/>
        <v>0</v>
      </c>
      <c r="W2011" s="11">
        <f t="shared" si="912"/>
        <v>0</v>
      </c>
      <c r="X2011" s="11">
        <f t="shared" si="892"/>
        <v>0</v>
      </c>
      <c r="Y2011" s="11">
        <f t="shared" si="913"/>
        <v>0</v>
      </c>
      <c r="Z2011" s="37">
        <v>1</v>
      </c>
      <c r="AA2011" s="36">
        <f t="shared" si="894"/>
        <v>1</v>
      </c>
      <c r="AB2011" s="36">
        <f t="shared" si="895"/>
        <v>0.28000000000000003</v>
      </c>
      <c r="AC2011" s="11">
        <f t="shared" si="896"/>
        <v>0</v>
      </c>
      <c r="AD2011" s="36">
        <f t="shared" si="914"/>
        <v>0</v>
      </c>
      <c r="AE2011" s="36"/>
      <c r="AF2011" s="36">
        <f>IFERROR(VLOOKUP(AE2011,'Chemical Cost'!A:D,4,0),0)</f>
        <v>0</v>
      </c>
      <c r="AG2011" s="114">
        <f t="shared" si="898"/>
        <v>0</v>
      </c>
      <c r="AH2011" s="36">
        <f t="shared" si="907"/>
        <v>0</v>
      </c>
      <c r="AI2011" s="36">
        <f t="shared" si="915"/>
        <v>0.28000000000000003</v>
      </c>
      <c r="AJ2011" s="36">
        <f>IFERROR(VLOOKUP(A2011,'All Products'!A:F,6,0),0)</f>
        <v>0</v>
      </c>
      <c r="AK2011" s="36"/>
      <c r="AL2011" s="23">
        <v>0.8</v>
      </c>
      <c r="AM2011" s="23">
        <v>0.2</v>
      </c>
      <c r="AN2011" s="54" t="e">
        <v>#N/A</v>
      </c>
      <c r="AO2011" s="47"/>
      <c r="AP2011" s="4">
        <v>1.1000000000000001</v>
      </c>
      <c r="AQ2011" s="111">
        <f t="shared" si="901"/>
        <v>0</v>
      </c>
      <c r="AR2011">
        <f>_xlfn.XLOOKUP(F2011,'RM Cost'!A:A,'RM Cost'!S:S)</f>
        <v>0</v>
      </c>
      <c r="AS2011" t="e">
        <f>_xlfn.XLOOKUP(A2011,[3]Sheet1!$B:$B,[3]Sheet1!$B:$B)</f>
        <v>#N/A</v>
      </c>
      <c r="AT2011" t="e">
        <f>_xlfn.XLOOKUP(H2011,'Yield &amp; Time'!A:A,'Yield &amp; Time'!F:F)</f>
        <v>#N/A</v>
      </c>
    </row>
    <row r="2012" spans="1:46" x14ac:dyDescent="0.25">
      <c r="A2012" s="1" t="s">
        <v>4906</v>
      </c>
      <c r="B2012" s="1" t="s">
        <v>552</v>
      </c>
      <c r="C2012" s="1" t="s">
        <v>4905</v>
      </c>
      <c r="D2012" s="2" t="s">
        <v>554</v>
      </c>
      <c r="E2012" s="2">
        <v>4</v>
      </c>
      <c r="F2012" s="1" t="str">
        <f>VLOOKUP(H2012,'RM Used'!A:B,2,0)</f>
        <v>S3997CS</v>
      </c>
      <c r="G2012" s="1" t="str">
        <f>IFERROR(VLOOKUP(F2012,'RM Cost'!A:B,2,0),"")</f>
        <v>RM - DECORE WHITE CABBAGE 1/3 1200KG</v>
      </c>
      <c r="H2012" s="2" t="s">
        <v>1350</v>
      </c>
      <c r="I2012" s="1" t="str">
        <f>VLOOKUP(F2012,'RM Used'!B:D,3,0)</f>
        <v>RM-FOOD</v>
      </c>
      <c r="J2012" s="66">
        <v>0.6</v>
      </c>
      <c r="K2012" s="35">
        <f t="shared" ref="K2012" si="916">IF(I2012="RM-FOOD",J2012*E2012,"")</f>
        <v>2.4</v>
      </c>
      <c r="L2012" s="35">
        <f t="shared" ref="L2012" si="917">IFERROR(K2012*Z2012,0)</f>
        <v>2.4</v>
      </c>
      <c r="M2012" s="77" cm="1">
        <f t="array" ref="M2012">_xlfn.IFS(BOM!I2012="RM-PACKING","100%",B2012="Reynolds",VLOOKUP(H2012,'Yield &amp; Time'!A:V,22,0),BOM!B2012="Dnata",VLOOKUP(BOM!H2012,'Yield &amp; Time'!A:M,13,0),B2012="NK",VLOOKUP(H2012,'Yield &amp; Time'!A:X,24,0))</f>
        <v>0.77222322232223217</v>
      </c>
      <c r="N2012" s="35">
        <f t="shared" ref="N2012" si="918">IFERROR(IF(I2012="RM-FOOD",(E2012*J2012)/M2012,1),0)</f>
        <v>3.1079096440310514</v>
      </c>
      <c r="O2012" s="1" t="str">
        <f>VLOOKUP(H2012,'RM Used'!A:E,5,0)</f>
        <v>KG</v>
      </c>
      <c r="P2012" s="11">
        <f>VLOOKUP(H2012,'RM Used'!A:F,6,0)</f>
        <v>0.34</v>
      </c>
      <c r="Q2012" s="11">
        <f t="shared" ref="Q2012" si="919">P2012*N2012</f>
        <v>1.0566892789705575</v>
      </c>
      <c r="R2012" s="11">
        <f>IFERROR(IF(B2012="Reynolds",VLOOKUP(H2012,'Yield &amp; Time'!A:U,21,0),VLOOKUP(H2012,'Yield &amp; Time'!A:L,12,0)),0)</f>
        <v>0.82773480662983423</v>
      </c>
      <c r="S2012" s="11">
        <f t="shared" ref="S2012" si="920">R2012*J2012*E2012*AO$1</f>
        <v>0.67245175690607728</v>
      </c>
      <c r="T2012" s="11">
        <f t="shared" ref="T2012" si="921">(R2012*Z2012*J2012*E2012)/60</f>
        <v>3.3109392265193369E-2</v>
      </c>
      <c r="U2012" s="11">
        <f>IF(A2011=A2012,0,VLOOKUP(A2012,'Packing Time'!A:F,6,0))</f>
        <v>2.2999999999999998</v>
      </c>
      <c r="V2012" s="11">
        <f t="shared" ref="V2012" si="922">U2012*AO$1</f>
        <v>0.77854999999999985</v>
      </c>
      <c r="W2012" s="11">
        <f t="shared" ref="W2012" si="923">(U2012*Z2012)/60</f>
        <v>3.833333333333333E-2</v>
      </c>
      <c r="X2012" s="11">
        <f t="shared" ref="X2012" si="924">((R2012*J2012*E2012)+U2012)*AO$1*AP2012</f>
        <v>1.5961019325966852</v>
      </c>
      <c r="Y2012" s="11">
        <f t="shared" ref="Y2012" si="925">X2012*Z2012</f>
        <v>1.5961019325966852</v>
      </c>
      <c r="Z2012" s="37">
        <v>1</v>
      </c>
      <c r="AA2012" s="36">
        <f t="shared" ref="AA2012" si="926">Z2012*N2012</f>
        <v>3.1079096440310514</v>
      </c>
      <c r="AB2012" s="36">
        <f t="shared" ref="AB2012" si="927">AA2012*P2012</f>
        <v>1.0566892789705575</v>
      </c>
      <c r="AC2012" s="11">
        <f t="shared" ref="AC2012" si="928">(((R2012*J2012*E2012)+U2012)/60)*Z2012*AP2012</f>
        <v>7.858699815837937E-2</v>
      </c>
      <c r="AD2012" s="36">
        <f t="shared" ref="AD2012" si="929">AC2012*60*AO$1</f>
        <v>1.596101932596685</v>
      </c>
      <c r="AE2012" s="36"/>
      <c r="AF2012" s="36">
        <f>IFERROR(VLOOKUP(AE2012,'Chemical Cost'!A:D,4,0),0)</f>
        <v>0</v>
      </c>
      <c r="AG2012" s="114">
        <f t="shared" ref="AG2012" si="930">AF2012*N2012/3</f>
        <v>0</v>
      </c>
      <c r="AH2012" s="36">
        <f t="shared" ref="AH2012" si="931">AF2012*AA2012/3</f>
        <v>0</v>
      </c>
      <c r="AI2012" s="36">
        <f t="shared" ref="AI2012" si="932">IFERROR((Q2012*Z2012)+(Z2012*X2012)+AH2012,0)</f>
        <v>2.6527912115672425</v>
      </c>
      <c r="AJ2012" s="36">
        <f>IFERROR(VLOOKUP(A2012,'All Products'!A:F,6,0),0)</f>
        <v>0</v>
      </c>
      <c r="AK2012" s="36"/>
      <c r="AL2012" s="23">
        <v>0.8</v>
      </c>
      <c r="AM2012" s="23">
        <v>0.2</v>
      </c>
      <c r="AN2012" s="54" t="e">
        <v>#N/A</v>
      </c>
      <c r="AO2012" s="47"/>
      <c r="AP2012" s="4">
        <v>1.1000000000000001</v>
      </c>
      <c r="AQ2012" s="111">
        <f t="shared" ref="AQ2012" si="933">(((R2012*J2012*E2012)+U2012)/60)*AP2012</f>
        <v>7.858699815837937E-2</v>
      </c>
      <c r="AR2012">
        <f>_xlfn.XLOOKUP(F2012,'RM Cost'!A:A,'RM Cost'!S:S)</f>
        <v>0.29914853989077506</v>
      </c>
      <c r="AS2012" t="e">
        <f>_xlfn.XLOOKUP(A2012,[3]Sheet1!$B:$B,[3]Sheet1!$B:$B)</f>
        <v>#N/A</v>
      </c>
      <c r="AT2012">
        <f>_xlfn.XLOOKUP(H2012,'Yield &amp; Time'!A:A,'Yield &amp; Time'!F:F)</f>
        <v>0</v>
      </c>
    </row>
    <row r="2013" spans="1:46" x14ac:dyDescent="0.25">
      <c r="A2013" s="1" t="s">
        <v>4906</v>
      </c>
      <c r="B2013" s="1" t="s">
        <v>552</v>
      </c>
      <c r="C2013" s="1" t="s">
        <v>4905</v>
      </c>
      <c r="D2013" s="2" t="s">
        <v>554</v>
      </c>
      <c r="E2013" s="2">
        <v>4</v>
      </c>
      <c r="F2013" s="1" t="str">
        <f>VLOOKUP(H2013,'RM Used'!A:B,2,0)</f>
        <v>032ACS</v>
      </c>
      <c r="G2013" s="1" t="str">
        <f>IFERROR(VLOOKUP(F2013,'RM Cost'!A:B,2,0),"")</f>
        <v>RM - LRG PROCESSING CARROT X 1000KG</v>
      </c>
      <c r="H2013" s="2" t="s">
        <v>1351</v>
      </c>
      <c r="I2013" s="1" t="str">
        <f>VLOOKUP(F2013,'RM Used'!B:D,3,0)</f>
        <v>RM-FOOD</v>
      </c>
      <c r="J2013" s="66">
        <v>0.3</v>
      </c>
      <c r="K2013" s="35">
        <f t="shared" ref="K2013:K2014" si="934">IF(I2013="RM-FOOD",J2013*E2013,"")</f>
        <v>1.2</v>
      </c>
      <c r="L2013" s="35">
        <f t="shared" ref="L2013:L2014" si="935">IFERROR(K2013*Z2013,0)</f>
        <v>1.2</v>
      </c>
      <c r="M2013" s="77" cm="1">
        <f t="array" ref="M2013">_xlfn.IFS(BOM!I2013="RM-PACKING","100%",B2013="Reynolds",VLOOKUP(H2013,'Yield &amp; Time'!A:V,22,0),BOM!B2013="Dnata",VLOOKUP(BOM!H2013,'Yield &amp; Time'!A:M,13,0),B2013="NK",VLOOKUP(H2013,'Yield &amp; Time'!A:X,24,0))</f>
        <v>0.75330000000000008</v>
      </c>
      <c r="N2013" s="35">
        <f t="shared" ref="N2013:N2014" si="936">IFERROR(IF(I2013="RM-FOOD",(E2013*J2013)/M2013,1),0)</f>
        <v>1.592990840302668</v>
      </c>
      <c r="O2013" s="1" t="str">
        <f>VLOOKUP(H2013,'RM Used'!A:E,5,0)</f>
        <v>KG</v>
      </c>
      <c r="P2013" s="11">
        <f>VLOOKUP(H2013,'RM Used'!A:F,6,0)</f>
        <v>0.38</v>
      </c>
      <c r="Q2013" s="11">
        <f t="shared" ref="Q2013:Q2014" si="937">P2013*N2013</f>
        <v>0.60533651931501387</v>
      </c>
      <c r="R2013" s="11">
        <f>IFERROR(IF(B2013="Reynolds",VLOOKUP(H2013,'Yield &amp; Time'!A:U,21,0),VLOOKUP(H2013,'Yield &amp; Time'!A:L,12,0)),0)</f>
        <v>0.90531914893617027</v>
      </c>
      <c r="S2013" s="11">
        <f t="shared" ref="S2013:S2014" si="938">R2013*J2013*E2013*AO$1</f>
        <v>0.36774063829787229</v>
      </c>
      <c r="T2013" s="11">
        <f t="shared" ref="T2013:T2014" si="939">(R2013*Z2013*J2013*E2013)/60</f>
        <v>1.8106382978723405E-2</v>
      </c>
      <c r="U2013" s="11">
        <f>IF(A2012=A2013,0,VLOOKUP(A2013,'Packing Time'!A:F,6,0))</f>
        <v>0</v>
      </c>
      <c r="V2013" s="11">
        <f t="shared" ref="V2013:V2014" si="940">U2013*AO$1</f>
        <v>0</v>
      </c>
      <c r="W2013" s="11">
        <f t="shared" ref="W2013:W2014" si="941">(U2013*Z2013)/60</f>
        <v>0</v>
      </c>
      <c r="X2013" s="11">
        <f t="shared" ref="X2013:X2014" si="942">((R2013*J2013*E2013)+U2013)*AO$1*AP2013</f>
        <v>0.40451470212765955</v>
      </c>
      <c r="Y2013" s="11">
        <f t="shared" ref="Y2013:Y2014" si="943">X2013*Z2013</f>
        <v>0.40451470212765955</v>
      </c>
      <c r="Z2013" s="37">
        <v>1</v>
      </c>
      <c r="AA2013" s="36">
        <f t="shared" ref="AA2013:AA2014" si="944">Z2013*N2013</f>
        <v>1.592990840302668</v>
      </c>
      <c r="AB2013" s="36">
        <f t="shared" ref="AB2013:AB2014" si="945">AA2013*P2013</f>
        <v>0.60533651931501387</v>
      </c>
      <c r="AC2013" s="11">
        <f t="shared" ref="AC2013:AC2014" si="946">(((R2013*J2013*E2013)+U2013)/60)*Z2013*AP2013</f>
        <v>1.9917021276595746E-2</v>
      </c>
      <c r="AD2013" s="36">
        <f t="shared" ref="AD2013:AD2014" si="947">AC2013*60*AO$1</f>
        <v>0.40451470212765961</v>
      </c>
      <c r="AE2013" s="36"/>
      <c r="AF2013" s="36">
        <f>IFERROR(VLOOKUP(AE2013,'Chemical Cost'!A:D,4,0),0)</f>
        <v>0</v>
      </c>
      <c r="AG2013" s="114">
        <f t="shared" ref="AG2013:AG2014" si="948">AF2013*N2013/3</f>
        <v>0</v>
      </c>
      <c r="AH2013" s="36">
        <f t="shared" ref="AH2013:AH2014" si="949">AF2013*AA2013/3</f>
        <v>0</v>
      </c>
      <c r="AI2013" s="36">
        <f t="shared" ref="AI2013:AI2014" si="950">IFERROR((Q2013*Z2013)+(Z2013*X2013)+AH2013,0)</f>
        <v>1.0098512214426734</v>
      </c>
      <c r="AJ2013" s="36">
        <f>IFERROR(VLOOKUP(A2013,'All Products'!A:F,6,0),0)</f>
        <v>0</v>
      </c>
      <c r="AK2013" s="36"/>
      <c r="AL2013" s="23">
        <v>0.8</v>
      </c>
      <c r="AM2013" s="23">
        <v>0.2</v>
      </c>
      <c r="AN2013" s="54" t="e">
        <v>#N/A</v>
      </c>
      <c r="AO2013" s="47"/>
      <c r="AP2013" s="4">
        <v>1.1000000000000001</v>
      </c>
      <c r="AQ2013" s="111">
        <f t="shared" ref="AQ2013:AQ2014" si="951">(((R2013*J2013*E2013)+U2013)/60)*AP2013</f>
        <v>1.9917021276595746E-2</v>
      </c>
    </row>
    <row r="2014" spans="1:46" x14ac:dyDescent="0.25">
      <c r="A2014" s="1" t="s">
        <v>4906</v>
      </c>
      <c r="B2014" s="1" t="s">
        <v>552</v>
      </c>
      <c r="C2014" s="1" t="s">
        <v>4905</v>
      </c>
      <c r="D2014" s="2" t="s">
        <v>554</v>
      </c>
      <c r="E2014" s="2">
        <v>4</v>
      </c>
      <c r="F2014" s="1" t="str">
        <f>VLOOKUP(H2014,'RM Used'!A:B,2,0)</f>
        <v>3055CS</v>
      </c>
      <c r="G2014" s="1" t="str">
        <f>IFERROR(VLOOKUP(F2014,'RM Cost'!A:B,2,0),"")</f>
        <v>SPRING GREENS</v>
      </c>
      <c r="H2014" s="2" t="s">
        <v>4907</v>
      </c>
      <c r="I2014" s="1" t="str">
        <f>VLOOKUP(F2014,'RM Used'!B:D,3,0)</f>
        <v>RM-FOOD</v>
      </c>
      <c r="J2014" s="66">
        <v>0.1</v>
      </c>
      <c r="K2014" s="35">
        <f t="shared" si="934"/>
        <v>0.4</v>
      </c>
      <c r="L2014" s="35">
        <f t="shared" si="935"/>
        <v>0.4</v>
      </c>
      <c r="M2014" s="77" cm="1">
        <f t="array" ref="M2014">_xlfn.IFS(BOM!I2014="RM-PACKING","100%",B2014="Reynolds",VLOOKUP(H2014,'Yield &amp; Time'!A:V,22,0),BOM!B2014="Dnata",VLOOKUP(BOM!H2014,'Yield &amp; Time'!A:M,13,0),B2014="NK",VLOOKUP(H2014,'Yield &amp; Time'!A:X,24,0))</f>
        <v>0.75</v>
      </c>
      <c r="N2014" s="35">
        <f t="shared" si="936"/>
        <v>0.53333333333333333</v>
      </c>
      <c r="O2014" s="1" t="str">
        <f>VLOOKUP(H2014,'RM Used'!A:E,5,0)</f>
        <v>KG</v>
      </c>
      <c r="P2014" s="11">
        <f>VLOOKUP(H2014,'RM Used'!A:F,6,0)</f>
        <v>1.3199999999999998</v>
      </c>
      <c r="Q2014" s="11">
        <f t="shared" si="937"/>
        <v>0.70399999999999996</v>
      </c>
      <c r="R2014" s="11">
        <f>IFERROR(IF(B2014="Reynolds",VLOOKUP(H2014,'Yield &amp; Time'!A:U,21,0),VLOOKUP(H2014,'Yield &amp; Time'!A:L,12,0)),0)</f>
        <v>0.45</v>
      </c>
      <c r="S2014" s="11">
        <f t="shared" si="938"/>
        <v>6.0929999999999998E-2</v>
      </c>
      <c r="T2014" s="11">
        <f t="shared" si="939"/>
        <v>3.0000000000000005E-3</v>
      </c>
      <c r="U2014" s="11">
        <f>IF(A2013=A2014,0,VLOOKUP(A2014,'Packing Time'!A:F,6,0))</f>
        <v>0</v>
      </c>
      <c r="V2014" s="11">
        <f t="shared" si="940"/>
        <v>0</v>
      </c>
      <c r="W2014" s="11">
        <f t="shared" si="941"/>
        <v>0</v>
      </c>
      <c r="X2014" s="11">
        <f t="shared" si="942"/>
        <v>6.7022999999999999E-2</v>
      </c>
      <c r="Y2014" s="11">
        <f t="shared" si="943"/>
        <v>6.7022999999999999E-2</v>
      </c>
      <c r="Z2014" s="37">
        <v>1</v>
      </c>
      <c r="AA2014" s="36">
        <f t="shared" si="944"/>
        <v>0.53333333333333333</v>
      </c>
      <c r="AB2014" s="36">
        <f t="shared" si="945"/>
        <v>0.70399999999999996</v>
      </c>
      <c r="AC2014" s="11">
        <f t="shared" si="946"/>
        <v>3.3000000000000008E-3</v>
      </c>
      <c r="AD2014" s="36">
        <f t="shared" si="947"/>
        <v>6.7023000000000013E-2</v>
      </c>
      <c r="AE2014" s="36"/>
      <c r="AF2014" s="36">
        <f>IFERROR(VLOOKUP(AE2014,'Chemical Cost'!A:D,4,0),0)</f>
        <v>0</v>
      </c>
      <c r="AG2014" s="114">
        <f t="shared" si="948"/>
        <v>0</v>
      </c>
      <c r="AH2014" s="36">
        <f t="shared" si="949"/>
        <v>0</v>
      </c>
      <c r="AI2014" s="36">
        <f t="shared" si="950"/>
        <v>0.77102300000000001</v>
      </c>
      <c r="AJ2014" s="36">
        <f>IFERROR(VLOOKUP(A2014,'All Products'!A:F,6,0),0)</f>
        <v>0</v>
      </c>
      <c r="AK2014" s="36"/>
      <c r="AL2014" s="23">
        <v>0.8</v>
      </c>
      <c r="AM2014" s="23">
        <v>0.2</v>
      </c>
      <c r="AN2014" s="54" t="e">
        <v>#N/A</v>
      </c>
      <c r="AO2014" s="47"/>
      <c r="AP2014" s="4">
        <v>1.1000000000000001</v>
      </c>
      <c r="AQ2014" s="111">
        <f t="shared" si="951"/>
        <v>3.3000000000000008E-3</v>
      </c>
    </row>
    <row r="2015" spans="1:46" x14ac:dyDescent="0.25">
      <c r="A2015" s="1" t="s">
        <v>4906</v>
      </c>
      <c r="B2015" s="1" t="s">
        <v>552</v>
      </c>
      <c r="C2015" s="1" t="s">
        <v>4905</v>
      </c>
      <c r="D2015" s="2" t="s">
        <v>554</v>
      </c>
      <c r="E2015" s="2">
        <v>4</v>
      </c>
      <c r="F2015" s="1" t="str">
        <f>VLOOKUP(H2015,'RM Used'!A:B,2,0)</f>
        <v>P0020</v>
      </c>
      <c r="G2015" s="1" t="str">
        <f>IFERROR(VLOOKUP(F2015,'RM Cost'!A:B,2,0),"")</f>
        <v>PALE BLUE BAG 430X430MM</v>
      </c>
      <c r="H2015" s="2" t="s">
        <v>1659</v>
      </c>
      <c r="I2015" s="1" t="str">
        <f>VLOOKUP(F2015,'RM Used'!B:D,3,0)</f>
        <v>RM-PACKING</v>
      </c>
      <c r="J2015" s="66">
        <v>0.1</v>
      </c>
      <c r="K2015" s="35" t="str">
        <f t="shared" ref="K2015:K2016" si="952">IF(I2015="RM-FOOD",J2015*E2015,"")</f>
        <v/>
      </c>
      <c r="L2015" s="35">
        <f t="shared" ref="L2015:L2016" si="953">IFERROR(K2015*Z2015,0)</f>
        <v>0</v>
      </c>
      <c r="M2015" s="77" t="str" cm="1">
        <f t="array" ref="M2015">_xlfn.IFS(BOM!I2015="RM-PACKING","100%",B2015="Reynolds",VLOOKUP(H2015,'Yield &amp; Time'!A:V,22,0),BOM!B2015="Dnata",VLOOKUP(BOM!H2015,'Yield &amp; Time'!A:M,13,0),B2015="NK",VLOOKUP(H2015,'Yield &amp; Time'!A:X,24,0))</f>
        <v>100%</v>
      </c>
      <c r="N2015" s="35">
        <f t="shared" ref="N2015:N2016" si="954">IFERROR(IF(I2015="RM-FOOD",(E2015*J2015)/M2015,1),0)</f>
        <v>1</v>
      </c>
      <c r="O2015" s="1" t="str">
        <f>VLOOKUP(H2015,'RM Used'!A:E,5,0)</f>
        <v>Count</v>
      </c>
      <c r="P2015" s="11">
        <f>VLOOKUP(H2015,'RM Used'!A:F,6,0)</f>
        <v>0.09</v>
      </c>
      <c r="Q2015" s="11">
        <f t="shared" ref="Q2015:Q2016" si="955">P2015*N2015</f>
        <v>0.09</v>
      </c>
      <c r="R2015" s="11">
        <f>IFERROR(IF(B2015="Reynolds",VLOOKUP(H2015,'Yield &amp; Time'!A:U,21,0),VLOOKUP(H2015,'Yield &amp; Time'!A:L,12,0)),0)</f>
        <v>0</v>
      </c>
      <c r="S2015" s="11">
        <f t="shared" ref="S2015:S2016" si="956">R2015*J2015*E2015*AO$1</f>
        <v>0</v>
      </c>
      <c r="T2015" s="11">
        <f t="shared" ref="T2015:T2016" si="957">(R2015*Z2015*J2015*E2015)/60</f>
        <v>0</v>
      </c>
      <c r="U2015" s="11">
        <f>IF(A2014=A2015,0,VLOOKUP(A2015,'Packing Time'!A:F,6,0))</f>
        <v>0</v>
      </c>
      <c r="V2015" s="11">
        <f t="shared" ref="V2015:V2016" si="958">U2015*AO$1</f>
        <v>0</v>
      </c>
      <c r="W2015" s="11">
        <f t="shared" ref="W2015:W2016" si="959">(U2015*Z2015)/60</f>
        <v>0</v>
      </c>
      <c r="X2015" s="11">
        <f t="shared" ref="X2015:X2016" si="960">((R2015*J2015*E2015)+U2015)*AO$1*AP2015</f>
        <v>0</v>
      </c>
      <c r="Y2015" s="11">
        <f t="shared" ref="Y2015:Y2016" si="961">X2015*Z2015</f>
        <v>0</v>
      </c>
      <c r="Z2015" s="37">
        <v>1</v>
      </c>
      <c r="AA2015" s="36">
        <f t="shared" ref="AA2015:AA2016" si="962">Z2015*N2015</f>
        <v>1</v>
      </c>
      <c r="AB2015" s="36">
        <f t="shared" ref="AB2015:AB2016" si="963">AA2015*P2015</f>
        <v>0.09</v>
      </c>
      <c r="AC2015" s="11">
        <f t="shared" ref="AC2015:AC2016" si="964">(((R2015*J2015*E2015)+U2015)/60)*Z2015*AP2015</f>
        <v>0</v>
      </c>
      <c r="AD2015" s="36">
        <f t="shared" ref="AD2015:AD2016" si="965">AC2015*60*AO$1</f>
        <v>0</v>
      </c>
      <c r="AE2015" s="36"/>
      <c r="AF2015" s="36">
        <f>IFERROR(VLOOKUP(AE2015,'Chemical Cost'!A:D,4,0),0)</f>
        <v>0</v>
      </c>
      <c r="AG2015" s="114">
        <f t="shared" ref="AG2015:AG2016" si="966">AF2015*N2015/3</f>
        <v>0</v>
      </c>
      <c r="AH2015" s="36">
        <f t="shared" ref="AH2015:AH2016" si="967">AF2015*AA2015/3</f>
        <v>0</v>
      </c>
      <c r="AI2015" s="36">
        <f t="shared" ref="AI2015:AI2016" si="968">IFERROR((Q2015*Z2015)+(Z2015*X2015)+AH2015,0)</f>
        <v>0.09</v>
      </c>
      <c r="AJ2015" s="36">
        <f>IFERROR(VLOOKUP(A2015,'All Products'!A:F,6,0),0)</f>
        <v>0</v>
      </c>
      <c r="AK2015" s="36"/>
      <c r="AL2015" s="23">
        <v>0.8</v>
      </c>
      <c r="AM2015" s="23">
        <v>0.2</v>
      </c>
      <c r="AN2015" s="54" t="e">
        <v>#N/A</v>
      </c>
      <c r="AO2015" s="47"/>
      <c r="AP2015" s="4">
        <v>1.1000000000000001</v>
      </c>
    </row>
    <row r="2016" spans="1:46" x14ac:dyDescent="0.25">
      <c r="A2016" s="1" t="s">
        <v>4906</v>
      </c>
      <c r="B2016" s="1" t="s">
        <v>552</v>
      </c>
      <c r="C2016" s="1" t="s">
        <v>4905</v>
      </c>
      <c r="D2016" s="2" t="s">
        <v>554</v>
      </c>
      <c r="E2016" s="2">
        <v>4</v>
      </c>
      <c r="F2016" s="1" t="str">
        <f>VLOOKUP(H2016,'RM Used'!A:B,2,0)</f>
        <v>P0016</v>
      </c>
      <c r="G2016" s="1" t="str">
        <f>IFERROR(VLOOKUP(F2016,'RM Cost'!A:B,2,0),"")</f>
        <v>REY 40 30 BOX</v>
      </c>
      <c r="H2016" s="2" t="s">
        <v>1332</v>
      </c>
      <c r="I2016" s="1" t="str">
        <f>VLOOKUP(F2016,'RM Used'!B:D,3,0)</f>
        <v>RM-PACKING</v>
      </c>
      <c r="J2016" s="66">
        <v>0.1</v>
      </c>
      <c r="K2016" s="35" t="str">
        <f t="shared" si="952"/>
        <v/>
      </c>
      <c r="L2016" s="35">
        <f t="shared" si="953"/>
        <v>0</v>
      </c>
      <c r="M2016" s="77" t="str" cm="1">
        <f t="array" ref="M2016">_xlfn.IFS(BOM!I2016="RM-PACKING","100%",B2016="Reynolds",VLOOKUP(H2016,'Yield &amp; Time'!A:V,22,0),BOM!B2016="Dnata",VLOOKUP(BOM!H2016,'Yield &amp; Time'!A:M,13,0),B2016="NK",VLOOKUP(H2016,'Yield &amp; Time'!A:X,24,0))</f>
        <v>100%</v>
      </c>
      <c r="N2016" s="35">
        <f t="shared" si="954"/>
        <v>1</v>
      </c>
      <c r="O2016" s="1" t="str">
        <f>VLOOKUP(H2016,'RM Used'!A:E,5,0)</f>
        <v>Count</v>
      </c>
      <c r="P2016" s="11">
        <f>VLOOKUP(H2016,'RM Used'!A:F,6,0)</f>
        <v>0.28000000000000003</v>
      </c>
      <c r="Q2016" s="11">
        <f t="shared" si="955"/>
        <v>0.28000000000000003</v>
      </c>
      <c r="R2016" s="11">
        <f>IFERROR(IF(B2016="Reynolds",VLOOKUP(H2016,'Yield &amp; Time'!A:U,21,0),VLOOKUP(H2016,'Yield &amp; Time'!A:L,12,0)),0)</f>
        <v>0</v>
      </c>
      <c r="S2016" s="11">
        <f t="shared" si="956"/>
        <v>0</v>
      </c>
      <c r="T2016" s="11">
        <f t="shared" si="957"/>
        <v>0</v>
      </c>
      <c r="U2016" s="11">
        <f>IF(A2015=A2016,0,VLOOKUP(A2016,'Packing Time'!A:F,6,0))</f>
        <v>0</v>
      </c>
      <c r="V2016" s="11">
        <f t="shared" si="958"/>
        <v>0</v>
      </c>
      <c r="W2016" s="11">
        <f t="shared" si="959"/>
        <v>0</v>
      </c>
      <c r="X2016" s="11">
        <f t="shared" si="960"/>
        <v>0</v>
      </c>
      <c r="Y2016" s="11">
        <f t="shared" si="961"/>
        <v>0</v>
      </c>
      <c r="Z2016" s="37">
        <v>1</v>
      </c>
      <c r="AA2016" s="36">
        <f t="shared" si="962"/>
        <v>1</v>
      </c>
      <c r="AB2016" s="36">
        <f t="shared" si="963"/>
        <v>0.28000000000000003</v>
      </c>
      <c r="AC2016" s="11">
        <f t="shared" si="964"/>
        <v>0</v>
      </c>
      <c r="AD2016" s="36">
        <f t="shared" si="965"/>
        <v>0</v>
      </c>
      <c r="AE2016" s="36"/>
      <c r="AF2016" s="36">
        <f>IFERROR(VLOOKUP(AE2016,'Chemical Cost'!A:D,4,0),0)</f>
        <v>0</v>
      </c>
      <c r="AG2016" s="114">
        <f t="shared" si="966"/>
        <v>0</v>
      </c>
      <c r="AH2016" s="36">
        <f t="shared" si="967"/>
        <v>0</v>
      </c>
      <c r="AI2016" s="36">
        <f t="shared" si="968"/>
        <v>0.28000000000000003</v>
      </c>
      <c r="AJ2016" s="36">
        <f>IFERROR(VLOOKUP(A2016,'All Products'!A:F,6,0),0)</f>
        <v>0</v>
      </c>
      <c r="AK2016" s="36"/>
      <c r="AL2016" s="23">
        <v>0.8</v>
      </c>
      <c r="AM2016" s="23">
        <v>0.2</v>
      </c>
      <c r="AN2016" s="54" t="e">
        <v>#N/A</v>
      </c>
      <c r="AO2016" s="47"/>
      <c r="AP2016" s="4">
        <v>1.1000000000000001</v>
      </c>
    </row>
  </sheetData>
  <conditionalFormatting sqref="A2012">
    <cfRule type="duplicateValues" dxfId="149" priority="2"/>
  </conditionalFormatting>
  <conditionalFormatting sqref="A2013:A2016">
    <cfRule type="duplicateValues" dxfId="148" priority="1"/>
  </conditionalFormatting>
  <conditionalFormatting sqref="H106">
    <cfRule type="duplicateValues" dxfId="147" priority="113"/>
    <cfRule type="duplicateValues" dxfId="146" priority="114"/>
  </conditionalFormatting>
  <conditionalFormatting sqref="H223">
    <cfRule type="duplicateValues" dxfId="145" priority="111"/>
    <cfRule type="duplicateValues" dxfId="144" priority="112"/>
  </conditionalFormatting>
  <conditionalFormatting sqref="H244">
    <cfRule type="duplicateValues" dxfId="143" priority="166"/>
    <cfRule type="duplicateValues" dxfId="142" priority="165"/>
  </conditionalFormatting>
  <conditionalFormatting sqref="H292">
    <cfRule type="duplicateValues" dxfId="141" priority="109"/>
    <cfRule type="duplicateValues" dxfId="140" priority="110"/>
  </conditionalFormatting>
  <conditionalFormatting sqref="H303">
    <cfRule type="duplicateValues" dxfId="139" priority="107"/>
    <cfRule type="duplicateValues" dxfId="138" priority="108"/>
  </conditionalFormatting>
  <conditionalFormatting sqref="H340">
    <cfRule type="duplicateValues" dxfId="137" priority="164"/>
    <cfRule type="duplicateValues" dxfId="136" priority="163"/>
  </conditionalFormatting>
  <conditionalFormatting sqref="H1053">
    <cfRule type="duplicateValues" dxfId="135" priority="162"/>
    <cfRule type="duplicateValues" dxfId="134" priority="161"/>
  </conditionalFormatting>
  <conditionalFormatting sqref="H1055">
    <cfRule type="duplicateValues" dxfId="133" priority="160"/>
    <cfRule type="duplicateValues" dxfId="132" priority="159"/>
  </conditionalFormatting>
  <conditionalFormatting sqref="H1056">
    <cfRule type="duplicateValues" dxfId="131" priority="158"/>
    <cfRule type="duplicateValues" dxfId="130" priority="157"/>
  </conditionalFormatting>
  <conditionalFormatting sqref="H1057">
    <cfRule type="duplicateValues" dxfId="129" priority="156"/>
    <cfRule type="duplicateValues" dxfId="128" priority="155"/>
  </conditionalFormatting>
  <conditionalFormatting sqref="H1059">
    <cfRule type="duplicateValues" dxfId="127" priority="154"/>
    <cfRule type="duplicateValues" dxfId="126" priority="153"/>
  </conditionalFormatting>
  <conditionalFormatting sqref="H1061">
    <cfRule type="duplicateValues" dxfId="125" priority="152"/>
    <cfRule type="duplicateValues" dxfId="124" priority="151"/>
  </conditionalFormatting>
  <conditionalFormatting sqref="H1062">
    <cfRule type="duplicateValues" dxfId="123" priority="150"/>
    <cfRule type="duplicateValues" dxfId="122" priority="149"/>
  </conditionalFormatting>
  <conditionalFormatting sqref="H1063">
    <cfRule type="duplicateValues" dxfId="121" priority="147"/>
    <cfRule type="duplicateValues" dxfId="120" priority="148"/>
  </conditionalFormatting>
  <conditionalFormatting sqref="H1153">
    <cfRule type="duplicateValues" dxfId="119" priority="105"/>
    <cfRule type="duplicateValues" dxfId="118" priority="106"/>
  </conditionalFormatting>
  <conditionalFormatting sqref="H1253">
    <cfRule type="duplicateValues" dxfId="117" priority="146"/>
    <cfRule type="duplicateValues" dxfId="116" priority="145"/>
  </conditionalFormatting>
  <conditionalFormatting sqref="H1255">
    <cfRule type="duplicateValues" dxfId="115" priority="144"/>
    <cfRule type="duplicateValues" dxfId="114" priority="143"/>
  </conditionalFormatting>
  <conditionalFormatting sqref="H1256">
    <cfRule type="duplicateValues" dxfId="113" priority="142"/>
    <cfRule type="duplicateValues" dxfId="112" priority="141"/>
  </conditionalFormatting>
  <conditionalFormatting sqref="H1257">
    <cfRule type="duplicateValues" dxfId="111" priority="140"/>
    <cfRule type="duplicateValues" dxfId="110" priority="139"/>
  </conditionalFormatting>
  <conditionalFormatting sqref="H1258">
    <cfRule type="duplicateValues" dxfId="109" priority="138"/>
    <cfRule type="duplicateValues" dxfId="108" priority="137"/>
  </conditionalFormatting>
  <conditionalFormatting sqref="H1260">
    <cfRule type="duplicateValues" dxfId="107" priority="135"/>
    <cfRule type="duplicateValues" dxfId="106" priority="136"/>
  </conditionalFormatting>
  <conditionalFormatting sqref="H1262">
    <cfRule type="duplicateValues" dxfId="105" priority="134"/>
    <cfRule type="duplicateValues" dxfId="104" priority="133"/>
  </conditionalFormatting>
  <conditionalFormatting sqref="H1263">
    <cfRule type="duplicateValues" dxfId="103" priority="131"/>
    <cfRule type="duplicateValues" dxfId="102" priority="132"/>
  </conditionalFormatting>
  <conditionalFormatting sqref="H1264">
    <cfRule type="duplicateValues" dxfId="101" priority="129"/>
    <cfRule type="duplicateValues" dxfId="100" priority="130"/>
  </conditionalFormatting>
  <conditionalFormatting sqref="H1265">
    <cfRule type="duplicateValues" dxfId="99" priority="128"/>
    <cfRule type="duplicateValues" dxfId="98" priority="127"/>
  </conditionalFormatting>
  <conditionalFormatting sqref="H1281">
    <cfRule type="duplicateValues" dxfId="97" priority="125"/>
    <cfRule type="duplicateValues" dxfId="96" priority="126"/>
  </conditionalFormatting>
  <conditionalFormatting sqref="H1282">
    <cfRule type="duplicateValues" dxfId="95" priority="124"/>
    <cfRule type="duplicateValues" dxfId="94" priority="123"/>
  </conditionalFormatting>
  <conditionalFormatting sqref="H1283">
    <cfRule type="duplicateValues" dxfId="93" priority="122"/>
    <cfRule type="duplicateValues" dxfId="92" priority="121"/>
  </conditionalFormatting>
  <conditionalFormatting sqref="H1287">
    <cfRule type="duplicateValues" dxfId="91" priority="120"/>
    <cfRule type="duplicateValues" dxfId="90" priority="119"/>
  </conditionalFormatting>
  <conditionalFormatting sqref="H1288">
    <cfRule type="duplicateValues" dxfId="89" priority="118"/>
    <cfRule type="duplicateValues" dxfId="88" priority="117"/>
  </conditionalFormatting>
  <conditionalFormatting sqref="H1289">
    <cfRule type="duplicateValues" dxfId="87" priority="116"/>
    <cfRule type="duplicateValues" dxfId="86" priority="115"/>
  </conditionalFormatting>
  <conditionalFormatting sqref="H1337">
    <cfRule type="duplicateValues" dxfId="85" priority="103"/>
    <cfRule type="duplicateValues" dxfId="84" priority="104"/>
  </conditionalFormatting>
  <conditionalFormatting sqref="H1399">
    <cfRule type="duplicateValues" dxfId="83" priority="100"/>
  </conditionalFormatting>
  <conditionalFormatting sqref="H1400">
    <cfRule type="duplicateValues" dxfId="82" priority="102"/>
  </conditionalFormatting>
  <conditionalFormatting sqref="H1401">
    <cfRule type="duplicateValues" dxfId="81" priority="167"/>
  </conditionalFormatting>
  <conditionalFormatting sqref="H1403">
    <cfRule type="duplicateValues" dxfId="80" priority="97"/>
  </conditionalFormatting>
  <conditionalFormatting sqref="H1404">
    <cfRule type="duplicateValues" dxfId="79" priority="98"/>
  </conditionalFormatting>
  <conditionalFormatting sqref="H1405">
    <cfRule type="duplicateValues" dxfId="78" priority="99"/>
  </conditionalFormatting>
  <conditionalFormatting sqref="H1461">
    <cfRule type="duplicateValues" dxfId="77" priority="96"/>
  </conditionalFormatting>
  <conditionalFormatting sqref="H1471">
    <cfRule type="duplicateValues" dxfId="76" priority="95"/>
  </conditionalFormatting>
  <conditionalFormatting sqref="H1491">
    <cfRule type="duplicateValues" dxfId="75" priority="94"/>
  </conditionalFormatting>
  <conditionalFormatting sqref="H1492">
    <cfRule type="duplicateValues" dxfId="74" priority="93"/>
  </conditionalFormatting>
  <conditionalFormatting sqref="H1493">
    <cfRule type="duplicateValues" dxfId="73" priority="92"/>
  </conditionalFormatting>
  <conditionalFormatting sqref="H1497">
    <cfRule type="duplicateValues" dxfId="72" priority="91"/>
  </conditionalFormatting>
  <conditionalFormatting sqref="H1499">
    <cfRule type="duplicateValues" dxfId="71" priority="90"/>
  </conditionalFormatting>
  <conditionalFormatting sqref="H1503">
    <cfRule type="duplicateValues" dxfId="70" priority="89"/>
  </conditionalFormatting>
  <conditionalFormatting sqref="H1511">
    <cfRule type="duplicateValues" dxfId="69" priority="88"/>
  </conditionalFormatting>
  <conditionalFormatting sqref="H1515">
    <cfRule type="duplicateValues" dxfId="68" priority="87"/>
  </conditionalFormatting>
  <conditionalFormatting sqref="H1519">
    <cfRule type="duplicateValues" dxfId="67" priority="86"/>
  </conditionalFormatting>
  <conditionalFormatting sqref="H1521">
    <cfRule type="duplicateValues" dxfId="66" priority="85"/>
  </conditionalFormatting>
  <conditionalFormatting sqref="H1529">
    <cfRule type="duplicateValues" dxfId="65" priority="84"/>
  </conditionalFormatting>
  <conditionalFormatting sqref="H1535">
    <cfRule type="duplicateValues" dxfId="64" priority="83"/>
  </conditionalFormatting>
  <conditionalFormatting sqref="H1680">
    <cfRule type="duplicateValues" dxfId="63" priority="82"/>
  </conditionalFormatting>
  <conditionalFormatting sqref="H1816:H1819">
    <cfRule type="duplicateValues" dxfId="62" priority="55"/>
  </conditionalFormatting>
  <conditionalFormatting sqref="H1822:H1825">
    <cfRule type="duplicateValues" dxfId="61" priority="54"/>
  </conditionalFormatting>
  <conditionalFormatting sqref="H1956">
    <cfRule type="duplicateValues" dxfId="60" priority="19"/>
    <cfRule type="duplicateValues" dxfId="59" priority="20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4E9A-F70E-4AEE-A12A-ADA95301008C}">
  <sheetPr codeName="Sheet4" filterMode="1">
    <tabColor rgb="FF00B0F0"/>
  </sheetPr>
  <dimension ref="A1:Y165"/>
  <sheetViews>
    <sheetView topLeftCell="A139" zoomScaleNormal="100" workbookViewId="0">
      <selection activeCell="D21" sqref="D21"/>
    </sheetView>
  </sheetViews>
  <sheetFormatPr defaultRowHeight="15" x14ac:dyDescent="0.25"/>
  <cols>
    <col min="1" max="1" width="12.5703125" bestFit="1" customWidth="1"/>
    <col min="2" max="2" width="37" bestFit="1" customWidth="1"/>
    <col min="3" max="3" width="10.28515625" bestFit="1" customWidth="1"/>
    <col min="4" max="4" width="16.5703125" customWidth="1"/>
    <col min="5" max="6" width="16.140625" customWidth="1"/>
    <col min="7" max="7" width="11.5703125" bestFit="1" customWidth="1"/>
    <col min="8" max="9" width="12.42578125" customWidth="1"/>
    <col min="10" max="10" width="12.42578125" bestFit="1" customWidth="1"/>
    <col min="11" max="11" width="11.85546875" customWidth="1"/>
    <col min="12" max="13" width="11.140625" customWidth="1"/>
    <col min="14" max="14" width="19.7109375" customWidth="1"/>
    <col min="15" max="15" width="49.7109375" hidden="1" customWidth="1"/>
    <col min="16" max="16" width="10.7109375" hidden="1" customWidth="1"/>
    <col min="17" max="17" width="9.7109375" hidden="1" customWidth="1"/>
    <col min="18" max="19" width="11.85546875" hidden="1" customWidth="1"/>
    <col min="20" max="20" width="0" hidden="1" customWidth="1"/>
    <col min="21" max="21" width="6.5703125" hidden="1" customWidth="1"/>
    <col min="22" max="23" width="0" hidden="1" customWidth="1"/>
  </cols>
  <sheetData>
    <row r="1" spans="1:24" x14ac:dyDescent="0.25">
      <c r="A1" s="7" t="s">
        <v>1111</v>
      </c>
      <c r="B1" s="7" t="s">
        <v>1112</v>
      </c>
      <c r="C1" s="8" t="s">
        <v>1113</v>
      </c>
      <c r="D1" s="9" t="s">
        <v>4688</v>
      </c>
      <c r="E1" s="9" t="s">
        <v>4748</v>
      </c>
      <c r="F1" s="9" t="s">
        <v>4832</v>
      </c>
      <c r="G1" s="89" t="s">
        <v>4341</v>
      </c>
      <c r="H1" s="89" t="s">
        <v>4329</v>
      </c>
      <c r="I1" s="89"/>
      <c r="J1" s="9" t="s">
        <v>4829</v>
      </c>
      <c r="K1" s="9" t="s">
        <v>4830</v>
      </c>
      <c r="L1" s="9" t="s">
        <v>4831</v>
      </c>
      <c r="M1" s="9"/>
      <c r="N1" s="9" t="s">
        <v>4837</v>
      </c>
      <c r="O1" s="9" t="s">
        <v>4331</v>
      </c>
      <c r="P1" s="1"/>
      <c r="Q1" s="1" t="s">
        <v>4300</v>
      </c>
      <c r="R1" s="1" t="s">
        <v>4328</v>
      </c>
      <c r="W1" t="s">
        <v>4731</v>
      </c>
    </row>
    <row r="2" spans="1:24" x14ac:dyDescent="0.25">
      <c r="A2" s="1" t="s">
        <v>1115</v>
      </c>
      <c r="B2" s="1" t="s">
        <v>1116</v>
      </c>
      <c r="C2" s="1" t="s">
        <v>554</v>
      </c>
      <c r="D2" s="10">
        <v>0.4</v>
      </c>
      <c r="E2" s="10">
        <f>IFERROR(K2/H2,"")</f>
        <v>0.38</v>
      </c>
      <c r="F2" s="10">
        <f>ROUNDUP(L2/H2,2)</f>
        <v>0.38</v>
      </c>
      <c r="G2" s="136">
        <f>(F2-E2)/E2</f>
        <v>0</v>
      </c>
      <c r="H2" s="4">
        <v>1000</v>
      </c>
      <c r="I2" s="4" t="s">
        <v>3977</v>
      </c>
      <c r="J2" s="4">
        <v>400</v>
      </c>
      <c r="K2" s="4">
        <v>380</v>
      </c>
      <c r="L2" s="4">
        <f>N2</f>
        <v>380</v>
      </c>
      <c r="M2" s="4"/>
      <c r="N2" s="4">
        <f>_xlfn.XLOOKUP(A2,'[1]M3 Price'!$A:$A,'[1]M3 Price'!$H:$H)</f>
        <v>380</v>
      </c>
      <c r="O2" s="34"/>
      <c r="P2" s="4"/>
      <c r="Q2" s="4"/>
      <c r="T2" s="34">
        <f t="shared" ref="T2:T33" si="0">(E2-D2)/D2</f>
        <v>-5.0000000000000044E-2</v>
      </c>
      <c r="W2" t="s">
        <v>1751</v>
      </c>
      <c r="X2" s="4">
        <f>N2-L2</f>
        <v>0</v>
      </c>
    </row>
    <row r="3" spans="1:24" x14ac:dyDescent="0.25">
      <c r="A3" s="1" t="s">
        <v>1117</v>
      </c>
      <c r="B3" s="1" t="s">
        <v>1118</v>
      </c>
      <c r="C3" s="1" t="s">
        <v>554</v>
      </c>
      <c r="D3" s="10">
        <v>0.62</v>
      </c>
      <c r="E3" s="10">
        <f t="shared" ref="E3:E63" si="1">IFERROR(K3/H3,"")</f>
        <v>0.44</v>
      </c>
      <c r="F3" s="10">
        <f t="shared" ref="F3:F66" si="2">ROUNDUP(L3/H3,2)</f>
        <v>0.52</v>
      </c>
      <c r="G3" s="136">
        <f t="shared" ref="G3:G66" si="3">(F3-E3)/E3</f>
        <v>0.18181818181818185</v>
      </c>
      <c r="H3" s="4">
        <v>12.5</v>
      </c>
      <c r="I3" s="4" t="s">
        <v>3960</v>
      </c>
      <c r="J3" s="4">
        <v>7.75</v>
      </c>
      <c r="K3" s="4">
        <v>5.5</v>
      </c>
      <c r="L3" s="4">
        <f t="shared" ref="L3:L11" si="4">N3</f>
        <v>6.5</v>
      </c>
      <c r="M3" s="4"/>
      <c r="N3" s="4">
        <f>_xlfn.XLOOKUP(A3,'[1]M3 Price'!$A:$A,'[1]M3 Price'!$H:$H)</f>
        <v>6.5</v>
      </c>
      <c r="O3" s="34"/>
      <c r="P3" s="4"/>
      <c r="Q3" s="4"/>
      <c r="T3" s="34">
        <f t="shared" si="0"/>
        <v>-0.29032258064516125</v>
      </c>
      <c r="W3" t="s">
        <v>4741</v>
      </c>
      <c r="X3" s="4">
        <f t="shared" ref="X3:X11" si="5">N3-L3</f>
        <v>0</v>
      </c>
    </row>
    <row r="4" spans="1:24" x14ac:dyDescent="0.25">
      <c r="A4" s="1" t="s">
        <v>1119</v>
      </c>
      <c r="B4" s="1" t="s">
        <v>1120</v>
      </c>
      <c r="C4" s="1" t="s">
        <v>554</v>
      </c>
      <c r="D4" s="10">
        <v>1.28</v>
      </c>
      <c r="E4" s="10">
        <f t="shared" si="1"/>
        <v>0.95000000000000007</v>
      </c>
      <c r="F4" s="10">
        <f t="shared" si="2"/>
        <v>1.23</v>
      </c>
      <c r="G4" s="136">
        <f t="shared" si="3"/>
        <v>0.29473684210526307</v>
      </c>
      <c r="H4" s="105">
        <v>12</v>
      </c>
      <c r="I4" s="4" t="s">
        <v>3971</v>
      </c>
      <c r="J4" s="4">
        <v>15.36</v>
      </c>
      <c r="K4" s="4">
        <v>11.4</v>
      </c>
      <c r="L4" s="4">
        <f t="shared" si="4"/>
        <v>14.7</v>
      </c>
      <c r="M4" s="4"/>
      <c r="N4" s="4">
        <f>_xlfn.XLOOKUP(A4,'[1]M3 Price'!$A:$A,'[1]M3 Price'!$H:$H)</f>
        <v>14.7</v>
      </c>
      <c r="O4" s="34"/>
      <c r="P4" s="11" t="str">
        <f>VLOOKUP(A4,'Material Cost'!A:C,3,0)</f>
        <v>1X15</v>
      </c>
      <c r="Q4" s="11">
        <f>VLOOKUP(A4,'Material Cost'!G:L,6,0)</f>
        <v>17.8</v>
      </c>
      <c r="R4" s="11">
        <f>VLOOKUP(A4,'Material Cost'!A:D,4,0)</f>
        <v>14.782608695652176</v>
      </c>
      <c r="T4" s="34">
        <f t="shared" si="0"/>
        <v>-0.25781249999999994</v>
      </c>
      <c r="W4" t="s">
        <v>4741</v>
      </c>
      <c r="X4" s="4">
        <f t="shared" si="5"/>
        <v>0</v>
      </c>
    </row>
    <row r="5" spans="1:24" x14ac:dyDescent="0.25">
      <c r="A5" s="1" t="s">
        <v>1121</v>
      </c>
      <c r="B5" s="1" t="s">
        <v>1122</v>
      </c>
      <c r="C5" s="1" t="s">
        <v>554</v>
      </c>
      <c r="D5" s="10">
        <v>0.86999999999999988</v>
      </c>
      <c r="E5" s="10">
        <f t="shared" si="1"/>
        <v>0.76</v>
      </c>
      <c r="F5" s="10">
        <f t="shared" si="2"/>
        <v>0.76</v>
      </c>
      <c r="G5" s="136">
        <f t="shared" si="3"/>
        <v>0</v>
      </c>
      <c r="H5" s="4">
        <v>10</v>
      </c>
      <c r="I5" s="4" t="s">
        <v>3951</v>
      </c>
      <c r="J5" s="4">
        <v>8.6999999999999993</v>
      </c>
      <c r="K5" s="4">
        <v>7.6</v>
      </c>
      <c r="L5" s="4">
        <f t="shared" si="4"/>
        <v>7.6</v>
      </c>
      <c r="M5" s="4"/>
      <c r="N5" s="4">
        <f>_xlfn.XLOOKUP(A5,'[1]M3 Price'!$A:$A,'[1]M3 Price'!$H:$H)</f>
        <v>7.6</v>
      </c>
      <c r="O5" s="34"/>
      <c r="P5" s="4"/>
      <c r="Q5" s="4"/>
      <c r="T5" s="34">
        <f t="shared" si="0"/>
        <v>-0.12643678160919528</v>
      </c>
      <c r="W5" t="s">
        <v>4741</v>
      </c>
      <c r="X5" s="4">
        <f t="shared" si="5"/>
        <v>0</v>
      </c>
    </row>
    <row r="6" spans="1:24" x14ac:dyDescent="0.25">
      <c r="A6" s="1" t="s">
        <v>1123</v>
      </c>
      <c r="B6" s="1" t="s">
        <v>4692</v>
      </c>
      <c r="C6" s="1" t="s">
        <v>554</v>
      </c>
      <c r="D6" s="10">
        <v>0.32</v>
      </c>
      <c r="E6" s="10">
        <f t="shared" si="1"/>
        <v>0.32</v>
      </c>
      <c r="F6" s="10">
        <f t="shared" si="2"/>
        <v>0.38</v>
      </c>
      <c r="G6" s="136">
        <f t="shared" si="3"/>
        <v>0.1875</v>
      </c>
      <c r="H6" s="4">
        <v>1200</v>
      </c>
      <c r="I6" s="4" t="s">
        <v>4087</v>
      </c>
      <c r="J6" s="4">
        <v>384</v>
      </c>
      <c r="K6" s="4">
        <v>384</v>
      </c>
      <c r="L6" s="4">
        <f t="shared" si="4"/>
        <v>456</v>
      </c>
      <c r="M6" s="4"/>
      <c r="N6" s="4">
        <f>_xlfn.XLOOKUP(A6,'[1]M3 Price'!$A:$A,'[1]M3 Price'!$H:$H)</f>
        <v>456</v>
      </c>
      <c r="O6" s="34"/>
      <c r="P6" s="4" t="str">
        <f>VLOOKUP(A6,'Material Cost'!A:C,3,0)</f>
        <v>1 X 1200KG</v>
      </c>
      <c r="Q6" s="4"/>
      <c r="R6">
        <f>VLOOKUP(A6,'Material Cost'!A:D,4,0)</f>
        <v>358.97824786893005</v>
      </c>
      <c r="S6">
        <f>R6/1200</f>
        <v>0.29914853989077506</v>
      </c>
      <c r="T6" s="34">
        <f t="shared" si="0"/>
        <v>0</v>
      </c>
      <c r="W6" t="s">
        <v>4736</v>
      </c>
      <c r="X6" s="4">
        <f t="shared" si="5"/>
        <v>0</v>
      </c>
    </row>
    <row r="7" spans="1:24" x14ac:dyDescent="0.25">
      <c r="A7" s="1" t="s">
        <v>1124</v>
      </c>
      <c r="B7" s="1" t="s">
        <v>4693</v>
      </c>
      <c r="C7" s="1" t="s">
        <v>554</v>
      </c>
      <c r="D7" s="10">
        <v>0.32</v>
      </c>
      <c r="E7" s="10">
        <f t="shared" si="1"/>
        <v>0.32</v>
      </c>
      <c r="F7" s="10">
        <f t="shared" si="2"/>
        <v>0.34</v>
      </c>
      <c r="G7" s="136">
        <f t="shared" si="3"/>
        <v>6.2500000000000056E-2</v>
      </c>
      <c r="H7" s="4">
        <v>1200</v>
      </c>
      <c r="I7" s="4" t="s">
        <v>4087</v>
      </c>
      <c r="J7" s="4">
        <v>384</v>
      </c>
      <c r="K7" s="4">
        <v>384</v>
      </c>
      <c r="L7" s="4">
        <f t="shared" si="4"/>
        <v>408</v>
      </c>
      <c r="M7" s="4"/>
      <c r="N7" s="4">
        <f>_xlfn.XLOOKUP(A7,'[1]M3 Price'!$A:$A,'[1]M3 Price'!$H:$H)</f>
        <v>408</v>
      </c>
      <c r="O7" s="34"/>
      <c r="P7" s="4" t="str">
        <f>VLOOKUP(A7,'Material Cost'!A:C,3,0)</f>
        <v>1 X 1200KG</v>
      </c>
      <c r="Q7" s="4"/>
      <c r="R7">
        <f>VLOOKUP(A7,'Material Cost'!A:D,4,0)</f>
        <v>358.97824786893005</v>
      </c>
      <c r="S7">
        <f>R7/1200</f>
        <v>0.29914853989077506</v>
      </c>
      <c r="T7" s="34">
        <f t="shared" si="0"/>
        <v>0</v>
      </c>
      <c r="W7" t="s">
        <v>4736</v>
      </c>
      <c r="X7" s="4">
        <f t="shared" si="5"/>
        <v>0</v>
      </c>
    </row>
    <row r="8" spans="1:24" x14ac:dyDescent="0.25">
      <c r="A8" s="1" t="s">
        <v>1125</v>
      </c>
      <c r="B8" s="1" t="s">
        <v>1126</v>
      </c>
      <c r="C8" s="1" t="s">
        <v>554</v>
      </c>
      <c r="D8" s="10">
        <v>0.76</v>
      </c>
      <c r="E8" s="10">
        <f t="shared" si="1"/>
        <v>0.76</v>
      </c>
      <c r="F8" s="10">
        <f t="shared" si="2"/>
        <v>0.76</v>
      </c>
      <c r="G8" s="136">
        <f t="shared" si="3"/>
        <v>0</v>
      </c>
      <c r="H8" s="4">
        <v>5</v>
      </c>
      <c r="I8" s="4" t="s">
        <v>3884</v>
      </c>
      <c r="J8" s="4">
        <v>3.8</v>
      </c>
      <c r="K8" s="4">
        <v>3.8</v>
      </c>
      <c r="L8" s="4">
        <f t="shared" si="4"/>
        <v>3.8</v>
      </c>
      <c r="M8" s="4"/>
      <c r="N8" s="4">
        <f>_xlfn.XLOOKUP(A8,'[1]M3 Price'!$A:$A,'[1]M3 Price'!$H:$H)</f>
        <v>3.8</v>
      </c>
      <c r="O8" s="34"/>
      <c r="P8" s="4"/>
      <c r="Q8" s="4"/>
      <c r="T8" s="34">
        <f t="shared" si="0"/>
        <v>0</v>
      </c>
      <c r="W8" t="s">
        <v>4736</v>
      </c>
      <c r="X8" s="4">
        <f t="shared" si="5"/>
        <v>0</v>
      </c>
    </row>
    <row r="9" spans="1:24" x14ac:dyDescent="0.25">
      <c r="A9" s="1" t="s">
        <v>1831</v>
      </c>
      <c r="B9" s="1" t="s">
        <v>1128</v>
      </c>
      <c r="C9" s="1" t="s">
        <v>554</v>
      </c>
      <c r="D9" s="10">
        <v>1.8199999999999998</v>
      </c>
      <c r="E9" s="10">
        <f t="shared" si="1"/>
        <v>1.83</v>
      </c>
      <c r="F9" s="10">
        <f t="shared" si="2"/>
        <v>1.72</v>
      </c>
      <c r="G9" s="136">
        <f t="shared" si="3"/>
        <v>-6.0109289617486392E-2</v>
      </c>
      <c r="H9" s="4">
        <v>5</v>
      </c>
      <c r="I9" s="4" t="s">
        <v>3945</v>
      </c>
      <c r="J9" s="4">
        <v>9.1</v>
      </c>
      <c r="K9" s="4">
        <v>9.15</v>
      </c>
      <c r="L9" s="4">
        <f t="shared" si="4"/>
        <v>8.6</v>
      </c>
      <c r="M9" s="4"/>
      <c r="N9" s="4">
        <f>_xlfn.XLOOKUP(A9,'[1]M3 Price'!$A:$A,'[1]M3 Price'!$H:$H)</f>
        <v>8.6</v>
      </c>
      <c r="O9" s="34"/>
      <c r="P9" s="4"/>
      <c r="Q9" s="4"/>
      <c r="T9" s="34">
        <f t="shared" si="0"/>
        <v>5.4945054945056216E-3</v>
      </c>
      <c r="W9" t="s">
        <v>4734</v>
      </c>
      <c r="X9" s="4">
        <f t="shared" si="5"/>
        <v>0</v>
      </c>
    </row>
    <row r="10" spans="1:24" x14ac:dyDescent="0.25">
      <c r="A10" s="1" t="s">
        <v>1129</v>
      </c>
      <c r="B10" s="1" t="s">
        <v>1130</v>
      </c>
      <c r="C10" s="1" t="s">
        <v>554</v>
      </c>
      <c r="D10" s="10">
        <v>1.0900000000000001</v>
      </c>
      <c r="E10" s="10">
        <f t="shared" si="1"/>
        <v>1.06</v>
      </c>
      <c r="F10" s="10">
        <f t="shared" si="2"/>
        <v>1.1000000000000001</v>
      </c>
      <c r="G10" s="136">
        <f t="shared" si="3"/>
        <v>3.7735849056603807E-2</v>
      </c>
      <c r="H10" s="4">
        <v>5</v>
      </c>
      <c r="I10" s="4" t="s">
        <v>3884</v>
      </c>
      <c r="J10" s="4">
        <v>5.45</v>
      </c>
      <c r="K10" s="4">
        <v>5.3</v>
      </c>
      <c r="L10" s="4">
        <f t="shared" si="4"/>
        <v>5.5</v>
      </c>
      <c r="M10" s="4"/>
      <c r="N10" s="4">
        <f>_xlfn.XLOOKUP(A10,'[1]M3 Price'!$A:$A,'[1]M3 Price'!$H:$H)</f>
        <v>5.5</v>
      </c>
      <c r="O10" s="34"/>
      <c r="P10" s="4" t="str">
        <f>VLOOKUP(A10,'Material Cost'!A:C,3,0)</f>
        <v>1 X 5KG</v>
      </c>
      <c r="Q10" s="4" t="e">
        <f>VLOOKUP(A10,'Material Cost'!G:L,6,0)</f>
        <v>#N/A</v>
      </c>
      <c r="R10">
        <f>VLOOKUP(A10,'Material Cost'!A:D,4,0)</f>
        <v>5.8223879430851833</v>
      </c>
      <c r="S10">
        <f>R10/5</f>
        <v>1.1644775886170367</v>
      </c>
      <c r="T10" s="34">
        <f t="shared" si="0"/>
        <v>-2.7522935779816536E-2</v>
      </c>
      <c r="W10" t="s">
        <v>4741</v>
      </c>
      <c r="X10" s="4">
        <f t="shared" si="5"/>
        <v>0</v>
      </c>
    </row>
    <row r="11" spans="1:24" x14ac:dyDescent="0.25">
      <c r="A11" s="1" t="s">
        <v>1131</v>
      </c>
      <c r="B11" s="1" t="s">
        <v>1132</v>
      </c>
      <c r="C11" s="1" t="s">
        <v>554</v>
      </c>
      <c r="D11" s="10">
        <v>0.96</v>
      </c>
      <c r="E11" s="10">
        <f t="shared" si="1"/>
        <v>1.47</v>
      </c>
      <c r="F11" s="10">
        <f t="shared" si="2"/>
        <v>1.02</v>
      </c>
      <c r="G11" s="136">
        <f t="shared" si="3"/>
        <v>-0.30612244897959179</v>
      </c>
      <c r="H11" s="4">
        <v>6</v>
      </c>
      <c r="I11" s="4" t="s">
        <v>3895</v>
      </c>
      <c r="J11" s="4">
        <v>5.76</v>
      </c>
      <c r="K11" s="4">
        <v>8.82</v>
      </c>
      <c r="L11" s="4">
        <f t="shared" si="4"/>
        <v>6.12</v>
      </c>
      <c r="M11" s="4"/>
      <c r="N11" s="4">
        <f>_xlfn.XLOOKUP(A11,'[1]M3 Price'!$A:$A,'[1]M3 Price'!$H:$H)</f>
        <v>6.12</v>
      </c>
      <c r="O11" s="34"/>
      <c r="P11" s="4"/>
      <c r="Q11" s="4"/>
      <c r="T11" s="34">
        <f t="shared" si="0"/>
        <v>0.53125</v>
      </c>
      <c r="W11" t="s">
        <v>4741</v>
      </c>
      <c r="X11" s="4">
        <f t="shared" si="5"/>
        <v>0</v>
      </c>
    </row>
    <row r="12" spans="1:24" x14ac:dyDescent="0.25">
      <c r="A12" s="1" t="s">
        <v>1133</v>
      </c>
      <c r="B12" s="1" t="s">
        <v>1134</v>
      </c>
      <c r="C12" s="1" t="s">
        <v>554</v>
      </c>
      <c r="D12" s="10">
        <v>3.86</v>
      </c>
      <c r="E12" s="140">
        <f>D12</f>
        <v>3.86</v>
      </c>
      <c r="F12" s="10" t="e">
        <f t="shared" si="2"/>
        <v>#N/A</v>
      </c>
      <c r="G12" s="136" t="e">
        <f t="shared" si="3"/>
        <v>#N/A</v>
      </c>
      <c r="H12" s="4">
        <v>1.5</v>
      </c>
      <c r="I12" s="4" t="s">
        <v>3991</v>
      </c>
      <c r="J12" s="4">
        <v>5.79</v>
      </c>
      <c r="K12" s="4">
        <v>0</v>
      </c>
      <c r="L12" s="4" t="e">
        <f>_xlfn.XLOOKUP(A12,'[2]Inbound Pricing'!$C:$C,'[2]Inbound Pricing'!$K:$K)</f>
        <v>#N/A</v>
      </c>
      <c r="M12" s="4"/>
      <c r="N12" s="4" t="e">
        <f>_xlfn.XLOOKUP(A12,'[1]M3 Price'!$A:$A,'[1]M3 Price'!$H:$H)</f>
        <v>#N/A</v>
      </c>
      <c r="O12" s="34"/>
      <c r="P12" s="4"/>
      <c r="Q12" s="4"/>
      <c r="T12" s="34">
        <f t="shared" si="0"/>
        <v>0</v>
      </c>
      <c r="W12" t="s">
        <v>4741</v>
      </c>
    </row>
    <row r="13" spans="1:24" x14ac:dyDescent="0.25">
      <c r="A13" s="1" t="s">
        <v>1135</v>
      </c>
      <c r="B13" s="1" t="s">
        <v>1136</v>
      </c>
      <c r="C13" s="1" t="s">
        <v>554</v>
      </c>
      <c r="D13" s="10">
        <v>4.09</v>
      </c>
      <c r="E13" s="10">
        <f t="shared" si="1"/>
        <v>3.63</v>
      </c>
      <c r="F13" s="10">
        <f t="shared" si="2"/>
        <v>4.13</v>
      </c>
      <c r="G13" s="136">
        <f t="shared" si="3"/>
        <v>0.13774104683195593</v>
      </c>
      <c r="H13" s="4">
        <v>2</v>
      </c>
      <c r="I13" s="4" t="s">
        <v>3930</v>
      </c>
      <c r="J13" s="4">
        <v>8.18</v>
      </c>
      <c r="K13" s="4">
        <v>7.26</v>
      </c>
      <c r="L13" s="4">
        <f t="shared" ref="L13:L30" si="6">N13</f>
        <v>8.26</v>
      </c>
      <c r="M13" s="4"/>
      <c r="N13" s="4">
        <f>_xlfn.XLOOKUP(A13,'[1]M3 Price'!$A:$A,'[1]M3 Price'!$H:$H)</f>
        <v>8.26</v>
      </c>
      <c r="O13" s="34"/>
      <c r="P13" s="4"/>
      <c r="Q13" s="4"/>
      <c r="T13" s="34">
        <f t="shared" si="0"/>
        <v>-0.11246943765281173</v>
      </c>
      <c r="W13" t="s">
        <v>4741</v>
      </c>
      <c r="X13" s="4">
        <f t="shared" ref="X13:X30" si="7">N13-L13</f>
        <v>0</v>
      </c>
    </row>
    <row r="14" spans="1:24" x14ac:dyDescent="0.25">
      <c r="A14" s="1" t="s">
        <v>1137</v>
      </c>
      <c r="B14" s="1" t="s">
        <v>1138</v>
      </c>
      <c r="C14" s="1" t="s">
        <v>554</v>
      </c>
      <c r="D14" s="10">
        <v>1.8</v>
      </c>
      <c r="E14" s="10">
        <f t="shared" si="1"/>
        <v>1.8</v>
      </c>
      <c r="F14" s="10">
        <f t="shared" si="2"/>
        <v>0.68</v>
      </c>
      <c r="G14" s="136">
        <f t="shared" si="3"/>
        <v>-0.62222222222222223</v>
      </c>
      <c r="H14" s="4">
        <v>5</v>
      </c>
      <c r="I14" s="4" t="s">
        <v>3963</v>
      </c>
      <c r="J14" s="4">
        <v>9</v>
      </c>
      <c r="K14" s="4">
        <v>9</v>
      </c>
      <c r="L14" s="4">
        <f t="shared" si="6"/>
        <v>3.4</v>
      </c>
      <c r="M14" s="4"/>
      <c r="N14" s="4">
        <f>_xlfn.XLOOKUP(A14,'[1]M3 Price'!$A:$A,'[1]M3 Price'!$H:$H)</f>
        <v>3.4</v>
      </c>
      <c r="O14" s="34"/>
      <c r="P14" s="4"/>
      <c r="Q14" s="4"/>
      <c r="T14" s="34">
        <f t="shared" si="0"/>
        <v>0</v>
      </c>
      <c r="W14" t="s">
        <v>4741</v>
      </c>
      <c r="X14" s="4">
        <f t="shared" si="7"/>
        <v>0</v>
      </c>
    </row>
    <row r="15" spans="1:24" x14ac:dyDescent="0.25">
      <c r="A15" s="1" t="s">
        <v>1141</v>
      </c>
      <c r="B15" s="1" t="s">
        <v>1142</v>
      </c>
      <c r="C15" s="1" t="s">
        <v>554</v>
      </c>
      <c r="D15" s="10">
        <v>1.26</v>
      </c>
      <c r="E15" s="10">
        <f t="shared" si="1"/>
        <v>1</v>
      </c>
      <c r="F15" s="10">
        <f t="shared" si="2"/>
        <v>1</v>
      </c>
      <c r="G15" s="136">
        <f t="shared" si="3"/>
        <v>0</v>
      </c>
      <c r="H15" s="4">
        <v>10</v>
      </c>
      <c r="I15" s="4" t="s">
        <v>3906</v>
      </c>
      <c r="J15" s="4">
        <v>12.6</v>
      </c>
      <c r="K15" s="4">
        <v>10</v>
      </c>
      <c r="L15" s="4">
        <f t="shared" si="6"/>
        <v>10</v>
      </c>
      <c r="M15" s="4"/>
      <c r="N15" s="4">
        <f>_xlfn.XLOOKUP(A15,'[1]M3 Price'!$A:$A,'[1]M3 Price'!$H:$H)</f>
        <v>10</v>
      </c>
      <c r="O15" s="34"/>
      <c r="P15" s="4"/>
      <c r="Q15" s="4"/>
      <c r="T15" s="34">
        <f t="shared" si="0"/>
        <v>-0.20634920634920637</v>
      </c>
      <c r="W15" t="s">
        <v>4733</v>
      </c>
      <c r="X15" s="4">
        <f t="shared" si="7"/>
        <v>0</v>
      </c>
    </row>
    <row r="16" spans="1:24" x14ac:dyDescent="0.25">
      <c r="A16" s="1" t="s">
        <v>1143</v>
      </c>
      <c r="B16" s="1" t="s">
        <v>1144</v>
      </c>
      <c r="C16" s="1" t="s">
        <v>554</v>
      </c>
      <c r="D16" s="10">
        <v>0.4</v>
      </c>
      <c r="E16" s="10">
        <f t="shared" si="1"/>
        <v>0.39</v>
      </c>
      <c r="F16" s="10">
        <f t="shared" si="2"/>
        <v>0.39</v>
      </c>
      <c r="G16" s="136">
        <f t="shared" si="3"/>
        <v>0</v>
      </c>
      <c r="H16" s="4">
        <v>20</v>
      </c>
      <c r="I16" s="4" t="s">
        <v>3917</v>
      </c>
      <c r="J16" s="4">
        <v>8</v>
      </c>
      <c r="K16" s="4">
        <v>7.8</v>
      </c>
      <c r="L16" s="4">
        <f t="shared" si="6"/>
        <v>7.8</v>
      </c>
      <c r="M16" s="4"/>
      <c r="N16" s="4">
        <f>_xlfn.XLOOKUP(A16,'[1]M3 Price'!$A:$A,'[1]M3 Price'!$H:$H)</f>
        <v>7.8</v>
      </c>
      <c r="O16" s="34"/>
      <c r="P16" s="4"/>
      <c r="Q16" s="4"/>
      <c r="T16" s="34">
        <f t="shared" si="0"/>
        <v>-2.5000000000000022E-2</v>
      </c>
      <c r="W16" t="s">
        <v>4733</v>
      </c>
      <c r="X16" s="4">
        <f t="shared" si="7"/>
        <v>0</v>
      </c>
    </row>
    <row r="17" spans="1:24" x14ac:dyDescent="0.25">
      <c r="A17" s="1" t="s">
        <v>1145</v>
      </c>
      <c r="B17" s="1" t="s">
        <v>1146</v>
      </c>
      <c r="C17" s="1" t="s">
        <v>554</v>
      </c>
      <c r="D17" s="10">
        <v>0.49</v>
      </c>
      <c r="E17" s="33">
        <f t="shared" si="1"/>
        <v>0.375</v>
      </c>
      <c r="F17" s="10">
        <f t="shared" si="2"/>
        <v>0.38</v>
      </c>
      <c r="G17" s="136">
        <f t="shared" si="3"/>
        <v>1.3333333333333345E-2</v>
      </c>
      <c r="H17" s="4">
        <v>1200</v>
      </c>
      <c r="I17" s="4" t="s">
        <v>4087</v>
      </c>
      <c r="J17" s="4">
        <v>588</v>
      </c>
      <c r="K17" s="4">
        <v>450</v>
      </c>
      <c r="L17" s="4">
        <f t="shared" si="6"/>
        <v>456</v>
      </c>
      <c r="M17" s="4"/>
      <c r="N17" s="4">
        <f>_xlfn.XLOOKUP(A17,'[1]M3 Price'!$A:$A,'[1]M3 Price'!$H:$H)</f>
        <v>456</v>
      </c>
      <c r="O17" s="34"/>
      <c r="P17" s="4"/>
      <c r="Q17" s="4"/>
      <c r="T17" s="34">
        <f t="shared" si="0"/>
        <v>-0.23469387755102039</v>
      </c>
      <c r="W17" t="s">
        <v>4736</v>
      </c>
      <c r="X17" s="4">
        <f t="shared" si="7"/>
        <v>0</v>
      </c>
    </row>
    <row r="18" spans="1:24" x14ac:dyDescent="0.25">
      <c r="A18" s="1" t="s">
        <v>1147</v>
      </c>
      <c r="B18" s="1" t="s">
        <v>1148</v>
      </c>
      <c r="C18" s="1" t="s">
        <v>554</v>
      </c>
      <c r="D18" s="10">
        <v>1.88</v>
      </c>
      <c r="E18" s="10">
        <f t="shared" si="1"/>
        <v>1.58</v>
      </c>
      <c r="F18" s="10">
        <f t="shared" si="2"/>
        <v>1.81</v>
      </c>
      <c r="G18" s="136">
        <f t="shared" si="3"/>
        <v>0.14556962025316453</v>
      </c>
      <c r="H18" s="4">
        <v>2</v>
      </c>
      <c r="I18" s="4" t="s">
        <v>3938</v>
      </c>
      <c r="J18" s="4">
        <v>3.76</v>
      </c>
      <c r="K18" s="4">
        <v>3.16</v>
      </c>
      <c r="L18" s="4">
        <f t="shared" si="6"/>
        <v>3.62</v>
      </c>
      <c r="M18" s="4"/>
      <c r="N18" s="4">
        <f>_xlfn.XLOOKUP(A18,'[1]M3 Price'!$A:$A,'[1]M3 Price'!$H:$H)</f>
        <v>3.62</v>
      </c>
      <c r="O18" s="34"/>
      <c r="P18" s="4"/>
      <c r="Q18" s="4"/>
      <c r="T18" s="34">
        <f t="shared" si="0"/>
        <v>-0.15957446808510631</v>
      </c>
      <c r="W18" t="s">
        <v>4741</v>
      </c>
      <c r="X18" s="4">
        <f t="shared" si="7"/>
        <v>0</v>
      </c>
    </row>
    <row r="19" spans="1:24" x14ac:dyDescent="0.25">
      <c r="A19" s="1" t="s">
        <v>1149</v>
      </c>
      <c r="B19" s="1" t="s">
        <v>1150</v>
      </c>
      <c r="C19" s="1" t="s">
        <v>554</v>
      </c>
      <c r="D19" s="10">
        <v>4.0999999999999996</v>
      </c>
      <c r="E19" s="10">
        <f t="shared" si="1"/>
        <v>2.4</v>
      </c>
      <c r="F19" s="10">
        <f t="shared" si="2"/>
        <v>3.08</v>
      </c>
      <c r="G19" s="136">
        <f t="shared" si="3"/>
        <v>0.28333333333333344</v>
      </c>
      <c r="H19" s="4">
        <v>2</v>
      </c>
      <c r="I19" s="4" t="s">
        <v>3889</v>
      </c>
      <c r="J19" s="4">
        <v>8.1999999999999993</v>
      </c>
      <c r="K19" s="4">
        <v>4.8</v>
      </c>
      <c r="L19" s="4">
        <f t="shared" si="6"/>
        <v>6.16</v>
      </c>
      <c r="M19" s="4"/>
      <c r="N19" s="4">
        <f>_xlfn.XLOOKUP(A19,'[1]M3 Price'!$A:$A,'[1]M3 Price'!$H:$H)</f>
        <v>6.16</v>
      </c>
      <c r="O19" s="34"/>
      <c r="P19" s="4"/>
      <c r="Q19" s="4"/>
      <c r="T19" s="34">
        <f t="shared" si="0"/>
        <v>-0.41463414634146339</v>
      </c>
      <c r="W19" t="s">
        <v>4741</v>
      </c>
      <c r="X19" s="4">
        <f t="shared" si="7"/>
        <v>0</v>
      </c>
    </row>
    <row r="20" spans="1:24" x14ac:dyDescent="0.25">
      <c r="A20" s="1" t="s">
        <v>1151</v>
      </c>
      <c r="B20" s="1" t="s">
        <v>1152</v>
      </c>
      <c r="C20" s="1" t="s">
        <v>554</v>
      </c>
      <c r="D20" s="10">
        <v>0.69661016949152543</v>
      </c>
      <c r="E20" s="10">
        <f t="shared" si="1"/>
        <v>0.68644067796610164</v>
      </c>
      <c r="F20" s="10">
        <f t="shared" si="2"/>
        <v>0.7</v>
      </c>
      <c r="G20" s="136">
        <f t="shared" si="3"/>
        <v>1.97530864197531E-2</v>
      </c>
      <c r="H20" s="4">
        <v>11.8</v>
      </c>
      <c r="I20" s="4" t="s">
        <v>3955</v>
      </c>
      <c r="J20" s="4">
        <v>8.2200000000000006</v>
      </c>
      <c r="K20" s="4">
        <v>8.1</v>
      </c>
      <c r="L20" s="4">
        <f t="shared" si="6"/>
        <v>8.2200000000000006</v>
      </c>
      <c r="M20" s="4"/>
      <c r="N20" s="4">
        <f>_xlfn.XLOOKUP(A20,'[1]M3 Price'!$A:$A,'[1]M3 Price'!$H:$H)</f>
        <v>8.2200000000000006</v>
      </c>
      <c r="O20" s="34"/>
      <c r="P20" s="11" t="str">
        <f>VLOOKUP(A20,'Material Cost'!A:C,3,0)</f>
        <v>6 X EACH</v>
      </c>
      <c r="Q20" s="11">
        <v>11.8</v>
      </c>
      <c r="R20" s="11">
        <f>VLOOKUP(A20,'Material Cost'!A:D,4,0)</f>
        <v>7.7300000000000013</v>
      </c>
      <c r="T20" s="34">
        <f t="shared" si="0"/>
        <v>-1.4598540145985489E-2</v>
      </c>
      <c r="W20" t="s">
        <v>4737</v>
      </c>
      <c r="X20" s="4">
        <f t="shared" si="7"/>
        <v>0</v>
      </c>
    </row>
    <row r="21" spans="1:24" x14ac:dyDescent="0.25">
      <c r="A21" s="1" t="s">
        <v>1153</v>
      </c>
      <c r="B21" s="1" t="s">
        <v>1154</v>
      </c>
      <c r="C21" s="1" t="s">
        <v>554</v>
      </c>
      <c r="D21" s="10">
        <v>0.87818181818181817</v>
      </c>
      <c r="E21" s="10">
        <f t="shared" si="1"/>
        <v>0.8672727272727272</v>
      </c>
      <c r="F21" s="10">
        <f t="shared" si="2"/>
        <v>0.81</v>
      </c>
      <c r="G21" s="136">
        <f t="shared" si="3"/>
        <v>-6.6037735849056464E-2</v>
      </c>
      <c r="H21" s="4">
        <v>11</v>
      </c>
      <c r="I21" s="4" t="s">
        <v>3880</v>
      </c>
      <c r="J21" s="4">
        <v>9.66</v>
      </c>
      <c r="K21" s="4">
        <v>9.5399999999999991</v>
      </c>
      <c r="L21" s="4">
        <f t="shared" si="6"/>
        <v>8.8800000000000008</v>
      </c>
      <c r="M21" s="4"/>
      <c r="N21" s="4">
        <f>_xlfn.XLOOKUP(A21,'[1]M3 Price'!$A:$A,'[1]M3 Price'!$H:$H)</f>
        <v>8.8800000000000008</v>
      </c>
      <c r="O21" s="34"/>
      <c r="P21" s="11" t="str">
        <f>VLOOKUP(A21,'Material Cost'!A:C,3,0)</f>
        <v>1 X 6EA</v>
      </c>
      <c r="Q21" s="11">
        <v>11</v>
      </c>
      <c r="R21" s="11">
        <f>VLOOKUP(A21,'Material Cost'!A:D,4,0)</f>
        <v>8.8602564102564099</v>
      </c>
      <c r="T21" s="34">
        <f t="shared" si="0"/>
        <v>-1.2422360248447286E-2</v>
      </c>
      <c r="W21" t="s">
        <v>4737</v>
      </c>
      <c r="X21" s="4">
        <f t="shared" si="7"/>
        <v>0</v>
      </c>
    </row>
    <row r="22" spans="1:24" x14ac:dyDescent="0.25">
      <c r="A22" s="1" t="s">
        <v>1155</v>
      </c>
      <c r="B22" s="1" t="s">
        <v>1156</v>
      </c>
      <c r="C22" s="1" t="s">
        <v>554</v>
      </c>
      <c r="D22" s="10">
        <v>0.82000000000000006</v>
      </c>
      <c r="E22" s="10">
        <f t="shared" si="1"/>
        <v>0.74</v>
      </c>
      <c r="F22" s="10">
        <f t="shared" si="2"/>
        <v>0.8</v>
      </c>
      <c r="G22" s="136">
        <f t="shared" si="3"/>
        <v>8.1081081081081155E-2</v>
      </c>
      <c r="H22" s="4">
        <v>15</v>
      </c>
      <c r="I22" s="4" t="s">
        <v>3900</v>
      </c>
      <c r="J22" s="4">
        <v>12.3</v>
      </c>
      <c r="K22" s="4">
        <v>11.1</v>
      </c>
      <c r="L22" s="4">
        <f t="shared" si="6"/>
        <v>12</v>
      </c>
      <c r="M22" s="4"/>
      <c r="N22" s="4">
        <f>_xlfn.XLOOKUP(A22,'[1]M3 Price'!$A:$A,'[1]M3 Price'!$H:$H)</f>
        <v>12</v>
      </c>
      <c r="O22" s="34"/>
      <c r="P22" s="4"/>
      <c r="Q22" s="4"/>
      <c r="T22" s="34">
        <f t="shared" si="0"/>
        <v>-9.756097560975617E-2</v>
      </c>
      <c r="W22" t="s">
        <v>4737</v>
      </c>
      <c r="X22" s="4">
        <f t="shared" si="7"/>
        <v>0</v>
      </c>
    </row>
    <row r="23" spans="1:24" x14ac:dyDescent="0.25">
      <c r="A23" s="1" t="s">
        <v>1157</v>
      </c>
      <c r="B23" s="1" t="s">
        <v>1158</v>
      </c>
      <c r="C23" s="1" t="s">
        <v>554</v>
      </c>
      <c r="D23" s="10">
        <v>0.97222222222222221</v>
      </c>
      <c r="E23" s="10">
        <f t="shared" si="1"/>
        <v>0.76388888888888884</v>
      </c>
      <c r="F23" s="10">
        <f t="shared" si="2"/>
        <v>1.1200000000000001</v>
      </c>
      <c r="G23" s="136">
        <f t="shared" si="3"/>
        <v>0.46618181818181842</v>
      </c>
      <c r="H23" s="4">
        <v>18</v>
      </c>
      <c r="I23" s="4" t="s">
        <v>3933</v>
      </c>
      <c r="J23" s="4">
        <v>17.5</v>
      </c>
      <c r="K23" s="4">
        <v>13.75</v>
      </c>
      <c r="L23" s="4">
        <f t="shared" si="6"/>
        <v>20</v>
      </c>
      <c r="M23" s="4"/>
      <c r="N23" s="4">
        <f>_xlfn.XLOOKUP(A23,'[1]M3 Price'!$A:$A,'[1]M3 Price'!$H:$H)</f>
        <v>20</v>
      </c>
      <c r="O23" s="34"/>
      <c r="P23" s="11" t="str">
        <f>VLOOKUP(A23,'Material Cost'!A:C,3,0)</f>
        <v>1 X 125/138</v>
      </c>
      <c r="Q23" s="11">
        <f>VLOOKUP(A23,'Material Cost'!G:L,6,0)</f>
        <v>18</v>
      </c>
      <c r="R23" s="11">
        <f>VLOOKUP(A23,'Material Cost'!A:D,4,0)</f>
        <v>14.223214285714288</v>
      </c>
      <c r="T23" s="34">
        <f t="shared" si="0"/>
        <v>-0.21428571428571433</v>
      </c>
      <c r="W23" t="s">
        <v>4737</v>
      </c>
      <c r="X23" s="4">
        <f t="shared" si="7"/>
        <v>0</v>
      </c>
    </row>
    <row r="24" spans="1:24" x14ac:dyDescent="0.25">
      <c r="A24" s="1" t="s">
        <v>1159</v>
      </c>
      <c r="B24" s="1" t="s">
        <v>1160</v>
      </c>
      <c r="C24" s="1" t="s">
        <v>554</v>
      </c>
      <c r="D24" s="10">
        <v>2.2399999999999998</v>
      </c>
      <c r="E24" s="10">
        <f t="shared" si="1"/>
        <v>2.2800000000000002</v>
      </c>
      <c r="F24" s="10">
        <f t="shared" si="2"/>
        <v>2.2599999999999998</v>
      </c>
      <c r="G24" s="136">
        <f t="shared" si="3"/>
        <v>-8.771929824561606E-3</v>
      </c>
      <c r="H24" s="4">
        <v>5</v>
      </c>
      <c r="I24" s="4" t="s">
        <v>3890</v>
      </c>
      <c r="J24" s="4">
        <v>11.2</v>
      </c>
      <c r="K24" s="4">
        <v>11.4</v>
      </c>
      <c r="L24" s="4">
        <f t="shared" si="6"/>
        <v>11.3</v>
      </c>
      <c r="M24" s="4"/>
      <c r="N24" s="4">
        <f>_xlfn.XLOOKUP(A24,'[1]M3 Price'!$A:$A,'[1]M3 Price'!$H:$H)</f>
        <v>11.3</v>
      </c>
      <c r="O24" s="34"/>
      <c r="P24" s="4" t="str">
        <f>VLOOKUP(A24,'Material Cost'!A:C,3,0)</f>
        <v>10 X 500G</v>
      </c>
      <c r="Q24" s="4" t="e">
        <f>VLOOKUP(A24,'Material Cost'!G:L,6,0)</f>
        <v>#N/A</v>
      </c>
      <c r="R24">
        <f>VLOOKUP(A24,'Material Cost'!A:D,4,0)</f>
        <v>11.108695652173912</v>
      </c>
      <c r="T24" s="34">
        <f t="shared" si="0"/>
        <v>1.7857142857143075E-2</v>
      </c>
      <c r="W24" t="s">
        <v>4737</v>
      </c>
      <c r="X24" s="4">
        <f t="shared" si="7"/>
        <v>0</v>
      </c>
    </row>
    <row r="25" spans="1:24" x14ac:dyDescent="0.25">
      <c r="A25" s="1" t="s">
        <v>1161</v>
      </c>
      <c r="B25" s="1" t="s">
        <v>1162</v>
      </c>
      <c r="C25" s="1" t="s">
        <v>554</v>
      </c>
      <c r="D25" s="10">
        <v>2.2399999999999998</v>
      </c>
      <c r="E25" s="10">
        <f t="shared" si="1"/>
        <v>2.2800000000000002</v>
      </c>
      <c r="F25" s="10">
        <f t="shared" si="2"/>
        <v>2.2400000000000002</v>
      </c>
      <c r="G25" s="136">
        <f t="shared" si="3"/>
        <v>-1.754385964912282E-2</v>
      </c>
      <c r="H25" s="4">
        <v>5</v>
      </c>
      <c r="I25" s="4" t="s">
        <v>3890</v>
      </c>
      <c r="J25" s="4">
        <v>11.2</v>
      </c>
      <c r="K25" s="4">
        <v>11.4</v>
      </c>
      <c r="L25" s="4">
        <f t="shared" si="6"/>
        <v>11.2</v>
      </c>
      <c r="M25" s="4"/>
      <c r="N25" s="4">
        <f>_xlfn.XLOOKUP(A25,'[1]M3 Price'!$A:$A,'[1]M3 Price'!$H:$H)</f>
        <v>11.2</v>
      </c>
      <c r="O25" s="34"/>
      <c r="P25" s="4" t="str">
        <f>VLOOKUP(A25,'Material Cost'!A:C,3,0)</f>
        <v>10 X 500G</v>
      </c>
      <c r="Q25" s="4" t="e">
        <f>VLOOKUP(A25,'Material Cost'!G:L,6,0)</f>
        <v>#N/A</v>
      </c>
      <c r="R25">
        <f>VLOOKUP(A25,'Material Cost'!A:D,4,0)</f>
        <v>11.108695652173912</v>
      </c>
      <c r="T25" s="34">
        <f t="shared" si="0"/>
        <v>1.7857142857143075E-2</v>
      </c>
      <c r="W25" t="s">
        <v>4737</v>
      </c>
      <c r="X25" s="4">
        <f t="shared" si="7"/>
        <v>0</v>
      </c>
    </row>
    <row r="26" spans="1:24" x14ac:dyDescent="0.25">
      <c r="A26" s="1" t="s">
        <v>1163</v>
      </c>
      <c r="B26" s="1" t="s">
        <v>1164</v>
      </c>
      <c r="C26" s="1" t="s">
        <v>554</v>
      </c>
      <c r="D26" s="10">
        <v>2.17</v>
      </c>
      <c r="E26" s="10">
        <f t="shared" si="1"/>
        <v>1.98</v>
      </c>
      <c r="F26" s="10">
        <f t="shared" si="2"/>
        <v>2.23</v>
      </c>
      <c r="G26" s="136">
        <f t="shared" si="3"/>
        <v>0.12626262626262627</v>
      </c>
      <c r="H26" s="4">
        <v>10</v>
      </c>
      <c r="I26" s="4" t="s">
        <v>3906</v>
      </c>
      <c r="J26" s="4">
        <v>21.7</v>
      </c>
      <c r="K26" s="4">
        <v>19.8</v>
      </c>
      <c r="L26" s="4">
        <f t="shared" si="6"/>
        <v>22.3</v>
      </c>
      <c r="M26" s="4"/>
      <c r="N26" s="4">
        <f>_xlfn.XLOOKUP(A26,'[1]M3 Price'!$A:$A,'[1]M3 Price'!$H:$H)</f>
        <v>22.3</v>
      </c>
      <c r="O26" s="34"/>
      <c r="P26" s="4"/>
      <c r="Q26" s="4"/>
      <c r="T26" s="34">
        <f t="shared" si="0"/>
        <v>-8.7557603686635926E-2</v>
      </c>
      <c r="W26" t="s">
        <v>4737</v>
      </c>
      <c r="X26" s="4">
        <f t="shared" si="7"/>
        <v>0</v>
      </c>
    </row>
    <row r="27" spans="1:24" x14ac:dyDescent="0.25">
      <c r="A27" s="1" t="s">
        <v>1167</v>
      </c>
      <c r="B27" s="1" t="s">
        <v>1168</v>
      </c>
      <c r="C27" s="1" t="s">
        <v>554</v>
      </c>
      <c r="D27" s="10">
        <v>1.2</v>
      </c>
      <c r="E27" s="10">
        <f t="shared" si="1"/>
        <v>1.57</v>
      </c>
      <c r="F27" s="10">
        <f t="shared" si="2"/>
        <v>1.32</v>
      </c>
      <c r="G27" s="136">
        <f t="shared" si="3"/>
        <v>-0.15923566878980891</v>
      </c>
      <c r="H27" s="4">
        <v>6</v>
      </c>
      <c r="I27" s="4" t="s">
        <v>4032</v>
      </c>
      <c r="J27" s="4">
        <v>7.2</v>
      </c>
      <c r="K27" s="4">
        <v>9.42</v>
      </c>
      <c r="L27" s="4">
        <f t="shared" si="6"/>
        <v>7.92</v>
      </c>
      <c r="M27" s="4"/>
      <c r="N27" s="4">
        <f>_xlfn.XLOOKUP(A27,'[1]M3 Price'!$A:$A,'[1]M3 Price'!$H:$H)</f>
        <v>7.92</v>
      </c>
      <c r="O27" s="34"/>
      <c r="P27" s="4"/>
      <c r="Q27" s="4"/>
      <c r="T27" s="34">
        <f t="shared" si="0"/>
        <v>0.30833333333333346</v>
      </c>
      <c r="W27" t="s">
        <v>4737</v>
      </c>
      <c r="X27" s="4">
        <f t="shared" si="7"/>
        <v>0</v>
      </c>
    </row>
    <row r="28" spans="1:24" x14ac:dyDescent="0.25">
      <c r="A28" s="1" t="s">
        <v>1169</v>
      </c>
      <c r="B28" s="1" t="s">
        <v>1170</v>
      </c>
      <c r="C28" s="1" t="s">
        <v>554</v>
      </c>
      <c r="D28" s="10">
        <v>1.3439024390243903</v>
      </c>
      <c r="E28" s="10">
        <f t="shared" si="1"/>
        <v>1.4341463414634148</v>
      </c>
      <c r="F28" s="10">
        <f t="shared" si="2"/>
        <v>2.0799999999999996</v>
      </c>
      <c r="G28" s="136">
        <f t="shared" si="3"/>
        <v>0.45034013605442136</v>
      </c>
      <c r="H28" s="4">
        <v>4.0999999999999996</v>
      </c>
      <c r="I28" s="4" t="s">
        <v>4243</v>
      </c>
      <c r="J28" s="4">
        <v>5.51</v>
      </c>
      <c r="K28" s="4">
        <v>5.88</v>
      </c>
      <c r="L28" s="4">
        <f t="shared" si="6"/>
        <v>8.5</v>
      </c>
      <c r="M28" s="4"/>
      <c r="N28" s="4">
        <f>_xlfn.XLOOKUP(A28,'[1]M3 Price'!$A:$A,'[1]M3 Price'!$H:$H)</f>
        <v>8.5</v>
      </c>
      <c r="O28" s="34"/>
      <c r="P28" s="11" t="str">
        <f>VLOOKUP(A28,'Material Cost'!A:C,3,0)</f>
        <v>1 X 5/6</v>
      </c>
      <c r="Q28" s="11">
        <v>4.0999999999999996</v>
      </c>
      <c r="R28" s="11">
        <f>VLOOKUP(A28,'Material Cost'!A:D,4,0)</f>
        <v>6</v>
      </c>
      <c r="T28" s="34">
        <f t="shared" si="0"/>
        <v>6.7150635208711493E-2</v>
      </c>
      <c r="W28" t="s">
        <v>4737</v>
      </c>
      <c r="X28" s="4">
        <f t="shared" si="7"/>
        <v>0</v>
      </c>
    </row>
    <row r="29" spans="1:24" x14ac:dyDescent="0.25">
      <c r="A29" s="1" t="s">
        <v>1171</v>
      </c>
      <c r="B29" s="1" t="s">
        <v>1172</v>
      </c>
      <c r="C29" s="1" t="s">
        <v>554</v>
      </c>
      <c r="D29" s="10">
        <v>4.24</v>
      </c>
      <c r="E29" s="10">
        <f t="shared" si="1"/>
        <v>4.5066666666666668</v>
      </c>
      <c r="F29" s="10">
        <f t="shared" si="2"/>
        <v>5.52</v>
      </c>
      <c r="G29" s="136">
        <f t="shared" si="3"/>
        <v>0.22485207100591703</v>
      </c>
      <c r="H29" s="4">
        <v>3</v>
      </c>
      <c r="I29" s="4" t="s">
        <v>4257</v>
      </c>
      <c r="J29" s="4">
        <v>12.72</v>
      </c>
      <c r="K29" s="4">
        <v>13.52</v>
      </c>
      <c r="L29" s="4">
        <f t="shared" si="6"/>
        <v>16.559999999999999</v>
      </c>
      <c r="M29" s="4"/>
      <c r="N29" s="4">
        <f>_xlfn.XLOOKUP(A29,'[1]M3 Price'!$A:$A,'[1]M3 Price'!$H:$H)</f>
        <v>16.559999999999999</v>
      </c>
      <c r="O29" s="34"/>
      <c r="P29" s="11" t="str">
        <f>VLOOKUP(A29,'Material Cost'!A:C,3,0)</f>
        <v>8 X EA</v>
      </c>
      <c r="Q29" s="11">
        <f>VLOOKUP(A29,'Material Cost'!G:L,6,0)</f>
        <v>3</v>
      </c>
      <c r="R29" s="11">
        <f>VLOOKUP(A29,'Material Cost'!A:D,4,0)</f>
        <v>13.043478260869566</v>
      </c>
      <c r="T29" s="34">
        <f t="shared" si="0"/>
        <v>6.2893081761006275E-2</v>
      </c>
      <c r="W29" t="s">
        <v>4737</v>
      </c>
      <c r="X29" s="4">
        <f t="shared" si="7"/>
        <v>0</v>
      </c>
    </row>
    <row r="30" spans="1:24" x14ac:dyDescent="0.25">
      <c r="A30" s="1" t="s">
        <v>1173</v>
      </c>
      <c r="B30" s="1" t="s">
        <v>1174</v>
      </c>
      <c r="C30" s="1" t="s">
        <v>554</v>
      </c>
      <c r="D30" s="10">
        <v>6.875</v>
      </c>
      <c r="E30" s="10">
        <f t="shared" si="1"/>
        <v>6.875</v>
      </c>
      <c r="F30" s="10">
        <f t="shared" si="2"/>
        <v>6.88</v>
      </c>
      <c r="G30" s="136">
        <f t="shared" si="3"/>
        <v>7.2727272727271172E-4</v>
      </c>
      <c r="H30" s="4">
        <v>0.96</v>
      </c>
      <c r="I30" s="4" t="s">
        <v>3997</v>
      </c>
      <c r="J30" s="4">
        <v>6.6</v>
      </c>
      <c r="K30" s="4">
        <v>6.6</v>
      </c>
      <c r="L30" s="4">
        <f t="shared" si="6"/>
        <v>6.6</v>
      </c>
      <c r="M30" s="4"/>
      <c r="N30" s="4">
        <f>_xlfn.XLOOKUP(A30,'[1]M3 Price'!$A:$A,'[1]M3 Price'!$H:$H)</f>
        <v>6.6</v>
      </c>
      <c r="O30" s="34"/>
      <c r="P30" s="4" t="str">
        <f>VLOOKUP(A30,'Material Cost'!A:C,3,0)</f>
        <v>12 X 80G</v>
      </c>
      <c r="Q30" s="4" t="e">
        <f>VLOOKUP(A30,'Material Cost'!G:L,6,0)</f>
        <v>#N/A</v>
      </c>
      <c r="R30">
        <f>VLOOKUP(A30,'Material Cost'!A:D,4,0)</f>
        <v>3.4267602060884443</v>
      </c>
      <c r="S30">
        <f>R30/0.96</f>
        <v>3.5695418813421296</v>
      </c>
      <c r="T30" s="34">
        <f t="shared" si="0"/>
        <v>0</v>
      </c>
      <c r="W30" t="s">
        <v>4741</v>
      </c>
      <c r="X30" s="4">
        <f t="shared" si="7"/>
        <v>0</v>
      </c>
    </row>
    <row r="31" spans="1:24" x14ac:dyDescent="0.25">
      <c r="A31" s="1" t="s">
        <v>1175</v>
      </c>
      <c r="B31" s="1" t="s">
        <v>1176</v>
      </c>
      <c r="C31" s="1" t="s">
        <v>554</v>
      </c>
      <c r="D31" s="10">
        <v>0.84615384615384615</v>
      </c>
      <c r="E31" s="10">
        <f t="shared" si="1"/>
        <v>0.88942307692307687</v>
      </c>
      <c r="F31" s="10">
        <f t="shared" si="2"/>
        <v>0</v>
      </c>
      <c r="G31" s="136">
        <f t="shared" si="3"/>
        <v>-1</v>
      </c>
      <c r="H31" s="4">
        <v>10.4</v>
      </c>
      <c r="I31" s="4" t="s">
        <v>3936</v>
      </c>
      <c r="J31" s="4">
        <v>8.8000000000000007</v>
      </c>
      <c r="K31" s="4">
        <v>9.25</v>
      </c>
      <c r="L31" s="4">
        <f>_xlfn.XLOOKUP(A31,'[2]Inbound Pricing'!$C:$C,'[2]Inbound Pricing'!$K:$K)</f>
        <v>0</v>
      </c>
      <c r="M31" s="4"/>
      <c r="N31" s="4" t="e">
        <f>_xlfn.XLOOKUP(A31,'[1]M3 Price'!$A:$A,'[1]M3 Price'!$H:$H)</f>
        <v>#N/A</v>
      </c>
      <c r="O31" s="34"/>
      <c r="P31" s="11" t="str">
        <f>VLOOKUP(A31,'Material Cost'!A:C,3,0)</f>
        <v>16 X EACH</v>
      </c>
      <c r="Q31" s="11">
        <f>VLOOKUP(A31,'Material Cost'!G:L,6,0)</f>
        <v>10.4</v>
      </c>
      <c r="R31" s="11">
        <f>VLOOKUP(A31,'Material Cost'!A:D,4,0)</f>
        <v>9.15</v>
      </c>
      <c r="T31" s="34">
        <f t="shared" si="0"/>
        <v>5.1136363636363584E-2</v>
      </c>
      <c r="W31" t="s">
        <v>4741</v>
      </c>
    </row>
    <row r="32" spans="1:24" x14ac:dyDescent="0.25">
      <c r="A32" s="1" t="s">
        <v>1830</v>
      </c>
      <c r="B32" s="1" t="s">
        <v>1178</v>
      </c>
      <c r="C32" s="1" t="s">
        <v>554</v>
      </c>
      <c r="D32" s="10">
        <v>1.78</v>
      </c>
      <c r="E32" s="10">
        <f t="shared" si="1"/>
        <v>1.72</v>
      </c>
      <c r="F32" s="10">
        <f t="shared" si="2"/>
        <v>1.76</v>
      </c>
      <c r="G32" s="136">
        <f t="shared" si="3"/>
        <v>2.3255813953488393E-2</v>
      </c>
      <c r="H32" s="4">
        <v>5</v>
      </c>
      <c r="I32" s="4" t="s">
        <v>4111</v>
      </c>
      <c r="J32" s="4">
        <v>8.9</v>
      </c>
      <c r="K32" s="4">
        <v>8.6</v>
      </c>
      <c r="L32" s="4">
        <f t="shared" ref="L32:L51" si="8">N32</f>
        <v>8.8000000000000007</v>
      </c>
      <c r="M32" s="4"/>
      <c r="N32" s="4">
        <f>_xlfn.XLOOKUP(A32,'[1]M3 Price'!$A:$A,'[1]M3 Price'!$H:$H)</f>
        <v>8.8000000000000007</v>
      </c>
      <c r="O32" s="34"/>
      <c r="P32" s="4"/>
      <c r="Q32" s="4"/>
      <c r="T32" s="34">
        <f t="shared" si="0"/>
        <v>-3.3707865168539353E-2</v>
      </c>
      <c r="W32" t="s">
        <v>4734</v>
      </c>
      <c r="X32" s="4">
        <f t="shared" ref="X32:X51" si="9">N32-L32</f>
        <v>0</v>
      </c>
    </row>
    <row r="33" spans="1:24" x14ac:dyDescent="0.25">
      <c r="A33" s="1" t="s">
        <v>3466</v>
      </c>
      <c r="B33" s="1" t="s">
        <v>1180</v>
      </c>
      <c r="C33" s="1" t="s">
        <v>554</v>
      </c>
      <c r="D33" s="10">
        <v>1.86</v>
      </c>
      <c r="E33" s="10">
        <f t="shared" si="1"/>
        <v>1.9</v>
      </c>
      <c r="F33" s="10">
        <f t="shared" si="2"/>
        <v>1.68</v>
      </c>
      <c r="G33" s="136">
        <f t="shared" si="3"/>
        <v>-0.11578947368421051</v>
      </c>
      <c r="H33" s="4">
        <v>5</v>
      </c>
      <c r="I33" s="4" t="s">
        <v>3945</v>
      </c>
      <c r="J33" s="4">
        <v>9.3000000000000007</v>
      </c>
      <c r="K33" s="4">
        <v>9.5</v>
      </c>
      <c r="L33" s="4">
        <f t="shared" si="8"/>
        <v>8.4</v>
      </c>
      <c r="M33" s="4"/>
      <c r="N33" s="4">
        <f>_xlfn.XLOOKUP(A33,'[1]M3 Price'!$A:$A,'[1]M3 Price'!$H:$H)</f>
        <v>8.4</v>
      </c>
      <c r="O33" s="34"/>
      <c r="P33" s="4"/>
      <c r="Q33" s="4"/>
      <c r="T33" s="34">
        <f t="shared" si="0"/>
        <v>2.1505376344085919E-2</v>
      </c>
      <c r="W33" t="s">
        <v>4734</v>
      </c>
      <c r="X33" s="4">
        <f t="shared" si="9"/>
        <v>0</v>
      </c>
    </row>
    <row r="34" spans="1:24" x14ac:dyDescent="0.25">
      <c r="A34" s="1" t="s">
        <v>1181</v>
      </c>
      <c r="B34" s="1" t="s">
        <v>1182</v>
      </c>
      <c r="C34" s="1" t="s">
        <v>554</v>
      </c>
      <c r="D34" s="10">
        <v>1.34</v>
      </c>
      <c r="E34" s="10">
        <f t="shared" si="1"/>
        <v>1.47</v>
      </c>
      <c r="F34" s="10">
        <f t="shared" si="2"/>
        <v>1.34</v>
      </c>
      <c r="G34" s="136">
        <f t="shared" si="3"/>
        <v>-8.8435374149659796E-2</v>
      </c>
      <c r="H34" s="4">
        <v>5</v>
      </c>
      <c r="I34" s="4" t="s">
        <v>3884</v>
      </c>
      <c r="J34" s="4">
        <v>6.7</v>
      </c>
      <c r="K34" s="4">
        <v>7.35</v>
      </c>
      <c r="L34" s="4">
        <f t="shared" si="8"/>
        <v>6.7</v>
      </c>
      <c r="M34" s="4"/>
      <c r="N34" s="4">
        <f>_xlfn.XLOOKUP(A34,'[1]M3 Price'!$A:$A,'[1]M3 Price'!$H:$H)</f>
        <v>6.7</v>
      </c>
      <c r="O34" s="34"/>
      <c r="P34" s="4"/>
      <c r="Q34" s="4"/>
      <c r="T34" s="34">
        <f t="shared" ref="T34:T65" si="10">(E34-D34)/D34</f>
        <v>9.7014925373134248E-2</v>
      </c>
      <c r="W34" t="s">
        <v>4741</v>
      </c>
      <c r="X34" s="4">
        <f t="shared" si="9"/>
        <v>0</v>
      </c>
    </row>
    <row r="35" spans="1:24" x14ac:dyDescent="0.25">
      <c r="A35" s="1" t="s">
        <v>1183</v>
      </c>
      <c r="B35" s="1" t="s">
        <v>1184</v>
      </c>
      <c r="C35" s="1" t="s">
        <v>554</v>
      </c>
      <c r="D35" s="10">
        <v>0.7</v>
      </c>
      <c r="E35" s="10">
        <f t="shared" si="1"/>
        <v>0.57000000000000006</v>
      </c>
      <c r="F35" s="10">
        <f t="shared" si="2"/>
        <v>0.54</v>
      </c>
      <c r="G35" s="136">
        <f t="shared" si="3"/>
        <v>-5.263157894736846E-2</v>
      </c>
      <c r="H35" s="4">
        <v>10</v>
      </c>
      <c r="I35" s="4" t="s">
        <v>3910</v>
      </c>
      <c r="J35" s="4">
        <v>7</v>
      </c>
      <c r="K35" s="4">
        <v>5.7</v>
      </c>
      <c r="L35" s="4">
        <f t="shared" si="8"/>
        <v>5.4</v>
      </c>
      <c r="M35" s="4"/>
      <c r="N35" s="4">
        <f>_xlfn.XLOOKUP(A35,'[1]M3 Price'!$A:$A,'[1]M3 Price'!$H:$H)</f>
        <v>5.4</v>
      </c>
      <c r="O35" s="34"/>
      <c r="P35" s="4"/>
      <c r="Q35" s="4"/>
      <c r="T35" s="34">
        <f t="shared" si="10"/>
        <v>-0.18571428571428558</v>
      </c>
      <c r="W35" t="s">
        <v>4733</v>
      </c>
      <c r="X35" s="4">
        <f t="shared" si="9"/>
        <v>0</v>
      </c>
    </row>
    <row r="36" spans="1:24" x14ac:dyDescent="0.25">
      <c r="A36" s="1" t="s">
        <v>1185</v>
      </c>
      <c r="B36" s="1" t="s">
        <v>1186</v>
      </c>
      <c r="C36" s="1" t="s">
        <v>554</v>
      </c>
      <c r="D36" s="10">
        <v>2.5499999999999998</v>
      </c>
      <c r="E36" s="10">
        <f t="shared" si="1"/>
        <v>2.5</v>
      </c>
      <c r="F36" s="10">
        <f t="shared" si="2"/>
        <v>1.64</v>
      </c>
      <c r="G36" s="136">
        <f t="shared" si="3"/>
        <v>-0.34400000000000003</v>
      </c>
      <c r="H36" s="4">
        <v>10</v>
      </c>
      <c r="I36" s="4" t="s">
        <v>3906</v>
      </c>
      <c r="J36" s="4">
        <v>25.5</v>
      </c>
      <c r="K36" s="4">
        <v>25</v>
      </c>
      <c r="L36" s="4">
        <f t="shared" si="8"/>
        <v>16.399999999999999</v>
      </c>
      <c r="M36" s="4"/>
      <c r="N36" s="4">
        <f>_xlfn.XLOOKUP(A36,'[1]M3 Price'!$A:$A,'[1]M3 Price'!$H:$H)</f>
        <v>16.399999999999999</v>
      </c>
      <c r="O36" s="34"/>
      <c r="P36" s="4"/>
      <c r="Q36" s="4"/>
      <c r="T36" s="34">
        <f t="shared" si="10"/>
        <v>-1.9607843137254832E-2</v>
      </c>
      <c r="W36" t="s">
        <v>4741</v>
      </c>
      <c r="X36" s="4">
        <f t="shared" si="9"/>
        <v>0</v>
      </c>
    </row>
    <row r="37" spans="1:24" x14ac:dyDescent="0.25">
      <c r="A37" s="1" t="s">
        <v>1187</v>
      </c>
      <c r="B37" s="1" t="s">
        <v>1188</v>
      </c>
      <c r="C37" s="1" t="s">
        <v>554</v>
      </c>
      <c r="D37" s="10">
        <v>0.93</v>
      </c>
      <c r="E37" s="10">
        <f t="shared" si="1"/>
        <v>0.86999999999999988</v>
      </c>
      <c r="F37" s="10">
        <f t="shared" si="2"/>
        <v>0.87</v>
      </c>
      <c r="G37" s="136">
        <f t="shared" si="3"/>
        <v>1.2761184191093755E-16</v>
      </c>
      <c r="H37" s="4">
        <v>10</v>
      </c>
      <c r="I37" s="4" t="s">
        <v>3906</v>
      </c>
      <c r="J37" s="4">
        <v>9.3000000000000007</v>
      </c>
      <c r="K37" s="4">
        <v>8.6999999999999993</v>
      </c>
      <c r="L37" s="4">
        <f t="shared" si="8"/>
        <v>8.6999999999999993</v>
      </c>
      <c r="M37" s="4"/>
      <c r="N37" s="4">
        <f>_xlfn.XLOOKUP(A37,'[1]M3 Price'!$A:$A,'[1]M3 Price'!$H:$H)</f>
        <v>8.6999999999999993</v>
      </c>
      <c r="O37" s="34"/>
      <c r="P37" s="4"/>
      <c r="Q37" s="4"/>
      <c r="T37" s="34">
        <f t="shared" si="10"/>
        <v>-6.4516129032258243E-2</v>
      </c>
      <c r="W37" t="s">
        <v>4733</v>
      </c>
      <c r="X37" s="4">
        <f t="shared" si="9"/>
        <v>0</v>
      </c>
    </row>
    <row r="38" spans="1:24" x14ac:dyDescent="0.25">
      <c r="A38" s="1" t="s">
        <v>1192</v>
      </c>
      <c r="B38" s="1" t="s">
        <v>1193</v>
      </c>
      <c r="C38" s="1" t="s">
        <v>554</v>
      </c>
      <c r="D38" s="10">
        <v>0.94594594594594594</v>
      </c>
      <c r="E38" s="10">
        <f t="shared" si="1"/>
        <v>0.94594594594594594</v>
      </c>
      <c r="F38" s="10">
        <f t="shared" si="2"/>
        <v>1</v>
      </c>
      <c r="G38" s="136">
        <f t="shared" si="3"/>
        <v>5.7142857142857148E-2</v>
      </c>
      <c r="H38" s="4">
        <v>14.8</v>
      </c>
      <c r="I38" s="4" t="s">
        <v>3984</v>
      </c>
      <c r="J38" s="4">
        <v>14</v>
      </c>
      <c r="K38" s="4">
        <v>14</v>
      </c>
      <c r="L38" s="4">
        <f t="shared" si="8"/>
        <v>14.8</v>
      </c>
      <c r="M38" s="4"/>
      <c r="N38" s="4">
        <f>_xlfn.XLOOKUP(A38,'[1]M3 Price'!$A:$A,'[1]M3 Price'!$H:$H)</f>
        <v>14.8</v>
      </c>
      <c r="O38" s="34"/>
      <c r="P38" s="4" t="str">
        <f>VLOOKUP(A38,'Material Cost'!A:C,3,0)</f>
        <v>40 X EACH</v>
      </c>
      <c r="Q38" s="4">
        <v>14.8</v>
      </c>
      <c r="R38" s="4">
        <f>VLOOKUP(A38,'Material Cost'!A:D,4,0)</f>
        <v>14</v>
      </c>
      <c r="T38" s="34">
        <f t="shared" si="10"/>
        <v>0</v>
      </c>
      <c r="W38" t="s">
        <v>4737</v>
      </c>
      <c r="X38" s="4">
        <f t="shared" si="9"/>
        <v>0</v>
      </c>
    </row>
    <row r="39" spans="1:24" x14ac:dyDescent="0.25">
      <c r="A39" s="1" t="s">
        <v>1194</v>
      </c>
      <c r="B39" s="1" t="s">
        <v>1195</v>
      </c>
      <c r="C39" s="1" t="s">
        <v>554</v>
      </c>
      <c r="D39" s="10">
        <v>0.97959183673469397</v>
      </c>
      <c r="E39" s="10">
        <f t="shared" si="1"/>
        <v>1.0612244897959184</v>
      </c>
      <c r="F39" s="10">
        <f t="shared" si="2"/>
        <v>0.98</v>
      </c>
      <c r="G39" s="136">
        <f t="shared" si="3"/>
        <v>-7.6538461538461611E-2</v>
      </c>
      <c r="H39" s="4">
        <v>14.7</v>
      </c>
      <c r="I39" s="4" t="s">
        <v>3903</v>
      </c>
      <c r="J39" s="4">
        <v>14.4</v>
      </c>
      <c r="K39" s="4">
        <v>15.6</v>
      </c>
      <c r="L39" s="4">
        <f t="shared" si="8"/>
        <v>14.4</v>
      </c>
      <c r="M39" s="4"/>
      <c r="N39" s="4">
        <f>_xlfn.XLOOKUP(A39,'[1]M3 Price'!$A:$A,'[1]M3 Price'!$H:$H)</f>
        <v>14.4</v>
      </c>
      <c r="O39" s="34"/>
      <c r="P39" s="4" t="str">
        <f>VLOOKUP(A39,'Material Cost'!A:C,3,0)</f>
        <v>120-138</v>
      </c>
      <c r="Q39" s="4">
        <v>14.7</v>
      </c>
      <c r="R39" s="4">
        <f>VLOOKUP(A39,'Material Cost'!A:D,4,0)</f>
        <v>11.5</v>
      </c>
      <c r="T39" s="34">
        <f t="shared" si="10"/>
        <v>8.3333333333333301E-2</v>
      </c>
      <c r="W39" t="s">
        <v>4737</v>
      </c>
      <c r="X39" s="4">
        <f t="shared" si="9"/>
        <v>0</v>
      </c>
    </row>
    <row r="40" spans="1:24" x14ac:dyDescent="0.25">
      <c r="A40" s="1" t="s">
        <v>1197</v>
      </c>
      <c r="B40" s="1" t="s">
        <v>1198</v>
      </c>
      <c r="C40" s="1" t="s">
        <v>554</v>
      </c>
      <c r="D40" s="10">
        <v>1.01</v>
      </c>
      <c r="E40" s="10">
        <f t="shared" si="1"/>
        <v>0.88</v>
      </c>
      <c r="F40" s="10">
        <f t="shared" si="2"/>
        <v>0.88</v>
      </c>
      <c r="G40" s="136">
        <f t="shared" si="3"/>
        <v>0</v>
      </c>
      <c r="H40" s="4">
        <v>6</v>
      </c>
      <c r="I40" s="4" t="s">
        <v>3895</v>
      </c>
      <c r="J40" s="4">
        <v>6.06</v>
      </c>
      <c r="K40" s="4">
        <v>5.28</v>
      </c>
      <c r="L40" s="4">
        <f t="shared" si="8"/>
        <v>5.28</v>
      </c>
      <c r="M40" s="4"/>
      <c r="N40" s="4">
        <f>_xlfn.XLOOKUP(A40,'[1]M3 Price'!$A:$A,'[1]M3 Price'!$H:$H)</f>
        <v>5.28</v>
      </c>
      <c r="O40" s="34"/>
      <c r="P40" s="4" t="str">
        <f>VLOOKUP(A40,'Material Cost'!A:C,3,0)</f>
        <v>6 X KILO</v>
      </c>
      <c r="Q40" s="4" t="e">
        <f>VLOOKUP(A40,'Material Cost'!G:L,6,0)</f>
        <v>#N/A</v>
      </c>
      <c r="R40">
        <f>VLOOKUP(A40,'Material Cost'!A:D,4,0)</f>
        <v>5.55</v>
      </c>
      <c r="T40" s="34">
        <f t="shared" si="10"/>
        <v>-0.12871287128712872</v>
      </c>
      <c r="W40" t="s">
        <v>4732</v>
      </c>
      <c r="X40" s="4">
        <f t="shared" si="9"/>
        <v>0</v>
      </c>
    </row>
    <row r="41" spans="1:24" x14ac:dyDescent="0.25">
      <c r="A41" s="1" t="s">
        <v>1199</v>
      </c>
      <c r="B41" s="1" t="s">
        <v>1200</v>
      </c>
      <c r="C41" s="1" t="s">
        <v>554</v>
      </c>
      <c r="D41" s="10">
        <v>0.34</v>
      </c>
      <c r="E41" s="10">
        <f t="shared" si="1"/>
        <v>0.28000000000000003</v>
      </c>
      <c r="F41" s="10">
        <f t="shared" si="2"/>
        <v>0.27</v>
      </c>
      <c r="G41" s="136">
        <f t="shared" si="3"/>
        <v>-3.571428571428574E-2</v>
      </c>
      <c r="H41" s="4">
        <v>25</v>
      </c>
      <c r="I41" s="4" t="s">
        <v>4252</v>
      </c>
      <c r="J41" s="4">
        <v>8.5</v>
      </c>
      <c r="K41" s="4">
        <v>7</v>
      </c>
      <c r="L41" s="4">
        <f t="shared" si="8"/>
        <v>6.75</v>
      </c>
      <c r="M41" s="4"/>
      <c r="N41" s="4">
        <f>_xlfn.XLOOKUP(A41,'[1]M3 Price'!$A:$A,'[1]M3 Price'!$H:$H)</f>
        <v>6.75</v>
      </c>
      <c r="O41" s="34"/>
      <c r="P41" s="4"/>
      <c r="Q41" s="4"/>
      <c r="T41" s="34">
        <f t="shared" si="10"/>
        <v>-0.1764705882352941</v>
      </c>
      <c r="W41" t="s">
        <v>4732</v>
      </c>
      <c r="X41" s="4">
        <f t="shared" si="9"/>
        <v>0</v>
      </c>
    </row>
    <row r="42" spans="1:24" x14ac:dyDescent="0.25">
      <c r="A42" s="1" t="s">
        <v>1201</v>
      </c>
      <c r="B42" s="1" t="s">
        <v>1202</v>
      </c>
      <c r="C42" s="1" t="s">
        <v>554</v>
      </c>
      <c r="D42" s="10">
        <v>0.56999999999999995</v>
      </c>
      <c r="E42" s="10">
        <f t="shared" si="1"/>
        <v>0.56000000000000005</v>
      </c>
      <c r="F42" s="10">
        <f t="shared" si="2"/>
        <v>0.56000000000000005</v>
      </c>
      <c r="G42" s="136">
        <f t="shared" si="3"/>
        <v>0</v>
      </c>
      <c r="H42" s="4">
        <v>25</v>
      </c>
      <c r="I42" s="4" t="s">
        <v>4046</v>
      </c>
      <c r="J42" s="4">
        <v>14.25</v>
      </c>
      <c r="K42" s="4">
        <v>14</v>
      </c>
      <c r="L42" s="4">
        <f t="shared" si="8"/>
        <v>14</v>
      </c>
      <c r="M42" s="4"/>
      <c r="N42" s="4">
        <f>_xlfn.XLOOKUP(A42,'[1]M3 Price'!$A:$A,'[1]M3 Price'!$H:$H)</f>
        <v>14</v>
      </c>
      <c r="O42" s="34"/>
      <c r="P42" s="4" t="e">
        <f>VLOOKUP(A42,'Material Cost'!A:C,3,0)</f>
        <v>#N/A</v>
      </c>
      <c r="Q42" s="4"/>
      <c r="R42" t="e">
        <f>VLOOKUP(A42,'Material Cost'!A:D,4,0)</f>
        <v>#N/A</v>
      </c>
      <c r="T42" s="34">
        <f t="shared" si="10"/>
        <v>-1.7543859649122629E-2</v>
      </c>
      <c r="W42" t="s">
        <v>4732</v>
      </c>
      <c r="X42" s="4">
        <f t="shared" si="9"/>
        <v>0</v>
      </c>
    </row>
    <row r="43" spans="1:24" x14ac:dyDescent="0.25">
      <c r="A43" s="1" t="s">
        <v>1203</v>
      </c>
      <c r="B43" s="1" t="s">
        <v>1204</v>
      </c>
      <c r="C43" s="1" t="s">
        <v>554</v>
      </c>
      <c r="D43" s="10">
        <v>2.0500000000000003</v>
      </c>
      <c r="E43" s="10">
        <f t="shared" si="1"/>
        <v>2.09</v>
      </c>
      <c r="F43" s="10">
        <f t="shared" si="2"/>
        <v>2.0499999999999998</v>
      </c>
      <c r="G43" s="136">
        <f t="shared" si="3"/>
        <v>-1.9138755980861261E-2</v>
      </c>
      <c r="H43" s="4">
        <v>12</v>
      </c>
      <c r="I43" s="4" t="s">
        <v>3918</v>
      </c>
      <c r="J43" s="4">
        <v>24.6</v>
      </c>
      <c r="K43" s="4">
        <v>25.08</v>
      </c>
      <c r="L43" s="4">
        <f t="shared" si="8"/>
        <v>24.6</v>
      </c>
      <c r="M43" s="4"/>
      <c r="N43" s="4">
        <f>_xlfn.XLOOKUP(A43,'[1]M3 Price'!$A:$A,'[1]M3 Price'!$H:$H)</f>
        <v>24.6</v>
      </c>
      <c r="O43" s="34"/>
      <c r="P43" s="4"/>
      <c r="Q43" s="4"/>
      <c r="T43" s="34">
        <f t="shared" si="10"/>
        <v>1.9512195121951018E-2</v>
      </c>
      <c r="W43" t="s">
        <v>4741</v>
      </c>
      <c r="X43" s="4">
        <f t="shared" si="9"/>
        <v>0</v>
      </c>
    </row>
    <row r="44" spans="1:24" x14ac:dyDescent="0.25">
      <c r="A44" s="1" t="s">
        <v>1205</v>
      </c>
      <c r="B44" s="1" t="s">
        <v>1206</v>
      </c>
      <c r="C44" s="1" t="s">
        <v>554</v>
      </c>
      <c r="D44" s="10">
        <v>1.05</v>
      </c>
      <c r="E44" s="10">
        <f t="shared" si="1"/>
        <v>1.32</v>
      </c>
      <c r="F44" s="10">
        <f t="shared" si="2"/>
        <v>1.32</v>
      </c>
      <c r="G44" s="136">
        <f t="shared" si="3"/>
        <v>0</v>
      </c>
      <c r="H44" s="4">
        <v>7</v>
      </c>
      <c r="I44" s="4" t="s">
        <v>4154</v>
      </c>
      <c r="J44" s="4">
        <v>7.35</v>
      </c>
      <c r="K44" s="4">
        <v>9.24</v>
      </c>
      <c r="L44" s="4">
        <f t="shared" si="8"/>
        <v>9.24</v>
      </c>
      <c r="M44" s="4"/>
      <c r="N44" s="4">
        <f>_xlfn.XLOOKUP(A44,'[1]M3 Price'!$A:$A,'[1]M3 Price'!$H:$H)</f>
        <v>9.24</v>
      </c>
      <c r="O44" s="34"/>
      <c r="P44" s="4"/>
      <c r="Q44" s="4"/>
      <c r="T44" s="34">
        <f t="shared" si="10"/>
        <v>0.25714285714285717</v>
      </c>
      <c r="W44" t="s">
        <v>4735</v>
      </c>
      <c r="X44" s="4">
        <f t="shared" si="9"/>
        <v>0</v>
      </c>
    </row>
    <row r="45" spans="1:24" x14ac:dyDescent="0.25">
      <c r="A45" s="1" t="s">
        <v>1207</v>
      </c>
      <c r="B45" s="1" t="s">
        <v>1208</v>
      </c>
      <c r="C45" s="1" t="s">
        <v>554</v>
      </c>
      <c r="D45" s="10">
        <v>1.75</v>
      </c>
      <c r="E45" s="10">
        <f t="shared" si="1"/>
        <v>1.59</v>
      </c>
      <c r="F45" s="10">
        <f t="shared" si="2"/>
        <v>1.74</v>
      </c>
      <c r="G45" s="136">
        <f t="shared" si="3"/>
        <v>9.4339622641509371E-2</v>
      </c>
      <c r="H45" s="4">
        <v>4</v>
      </c>
      <c r="I45" s="4" t="s">
        <v>3893</v>
      </c>
      <c r="J45" s="4">
        <v>7</v>
      </c>
      <c r="K45" s="4">
        <v>6.36</v>
      </c>
      <c r="L45" s="4">
        <f t="shared" si="8"/>
        <v>6.96</v>
      </c>
      <c r="M45" s="4"/>
      <c r="N45" s="4">
        <f>_xlfn.XLOOKUP(A45,'[1]M3 Price'!$A:$A,'[1]M3 Price'!$H:$H)</f>
        <v>6.96</v>
      </c>
      <c r="O45" s="34"/>
      <c r="P45" s="4"/>
      <c r="Q45" s="4"/>
      <c r="T45" s="34">
        <f t="shared" si="10"/>
        <v>-9.1428571428571387E-2</v>
      </c>
      <c r="W45" t="s">
        <v>4735</v>
      </c>
      <c r="X45" s="4">
        <f t="shared" si="9"/>
        <v>0</v>
      </c>
    </row>
    <row r="46" spans="1:24" x14ac:dyDescent="0.25">
      <c r="A46" s="1" t="s">
        <v>1209</v>
      </c>
      <c r="B46" s="1" t="s">
        <v>1210</v>
      </c>
      <c r="C46" s="1" t="s">
        <v>554</v>
      </c>
      <c r="D46" s="10">
        <v>0.61</v>
      </c>
      <c r="E46" s="10">
        <f t="shared" si="1"/>
        <v>1.04</v>
      </c>
      <c r="F46" s="10">
        <f t="shared" si="2"/>
        <v>0.6</v>
      </c>
      <c r="G46" s="136">
        <f t="shared" si="3"/>
        <v>-0.42307692307692313</v>
      </c>
      <c r="H46" s="4">
        <v>9</v>
      </c>
      <c r="I46" s="4" t="s">
        <v>4298</v>
      </c>
      <c r="J46" s="4">
        <v>5.49</v>
      </c>
      <c r="K46" s="4">
        <v>9.36</v>
      </c>
      <c r="L46" s="4">
        <f t="shared" si="8"/>
        <v>5.4</v>
      </c>
      <c r="M46" s="4"/>
      <c r="N46" s="4">
        <f>_xlfn.XLOOKUP(A46,'[1]M3 Price'!$A:$A,'[1]M3 Price'!$H:$H)</f>
        <v>5.4</v>
      </c>
      <c r="O46" s="34"/>
      <c r="P46" s="4"/>
      <c r="Q46" s="4"/>
      <c r="T46" s="34">
        <f t="shared" si="10"/>
        <v>0.70491803278688536</v>
      </c>
      <c r="W46" t="s">
        <v>4741</v>
      </c>
      <c r="X46" s="4">
        <f t="shared" si="9"/>
        <v>0</v>
      </c>
    </row>
    <row r="47" spans="1:24" x14ac:dyDescent="0.25">
      <c r="A47" s="1" t="s">
        <v>1213</v>
      </c>
      <c r="B47" s="1" t="s">
        <v>1214</v>
      </c>
      <c r="C47" s="1" t="s">
        <v>554</v>
      </c>
      <c r="D47" s="10">
        <v>1.027027027027027</v>
      </c>
      <c r="E47" s="10">
        <f t="shared" si="1"/>
        <v>1.027027027027027</v>
      </c>
      <c r="F47" s="10">
        <f t="shared" si="2"/>
        <v>1.22</v>
      </c>
      <c r="G47" s="136">
        <f t="shared" si="3"/>
        <v>0.18789473684210531</v>
      </c>
      <c r="H47" s="4">
        <v>14.8</v>
      </c>
      <c r="I47" s="4" t="s">
        <v>3984</v>
      </c>
      <c r="J47" s="4" t="e">
        <v>#N/A</v>
      </c>
      <c r="K47" s="4">
        <v>15.2</v>
      </c>
      <c r="L47" s="4">
        <f t="shared" si="8"/>
        <v>18</v>
      </c>
      <c r="M47" s="4"/>
      <c r="N47" s="4">
        <f>_xlfn.XLOOKUP(A47,'[1]M3 Price'!$A:$A,'[1]M3 Price'!$H:$H)</f>
        <v>18</v>
      </c>
      <c r="O47" s="34"/>
      <c r="P47" s="4" t="str">
        <f>VLOOKUP(A47,'Material Cost'!A:C,3,0)</f>
        <v>40 X EACH</v>
      </c>
      <c r="Q47" s="4">
        <f>VLOOKUP(A47,'Material Cost'!G:L,6,0)</f>
        <v>14.8</v>
      </c>
      <c r="R47" s="4">
        <f>VLOOKUP(A47,'Material Cost'!A:D,4,0)</f>
        <v>18</v>
      </c>
      <c r="T47" s="34">
        <f t="shared" si="10"/>
        <v>0</v>
      </c>
      <c r="W47" t="s">
        <v>4737</v>
      </c>
      <c r="X47" s="4">
        <f t="shared" si="9"/>
        <v>0</v>
      </c>
    </row>
    <row r="48" spans="1:24" x14ac:dyDescent="0.25">
      <c r="A48" s="1" t="s">
        <v>1215</v>
      </c>
      <c r="B48" s="1" t="s">
        <v>1216</v>
      </c>
      <c r="C48" s="1" t="s">
        <v>554</v>
      </c>
      <c r="D48" s="10">
        <v>0.94444444444444442</v>
      </c>
      <c r="E48" s="10">
        <f t="shared" si="1"/>
        <v>0.91666666666666663</v>
      </c>
      <c r="F48" s="10">
        <f t="shared" si="2"/>
        <v>0.85</v>
      </c>
      <c r="G48" s="136">
        <f t="shared" si="3"/>
        <v>-7.272727272727271E-2</v>
      </c>
      <c r="H48" s="4">
        <v>14.4</v>
      </c>
      <c r="I48" s="4" t="s">
        <v>3897</v>
      </c>
      <c r="J48" s="4">
        <v>13.6</v>
      </c>
      <c r="K48" s="4">
        <v>13.2</v>
      </c>
      <c r="L48" s="4">
        <f t="shared" si="8"/>
        <v>12.2</v>
      </c>
      <c r="M48" s="4"/>
      <c r="N48" s="4">
        <f>_xlfn.XLOOKUP(A48,'[1]M3 Price'!$A:$A,'[1]M3 Price'!$H:$H)</f>
        <v>12.2</v>
      </c>
      <c r="O48" s="34"/>
      <c r="P48" s="4" t="str">
        <f>VLOOKUP(A48,'Material Cost'!A:C,3,0)</f>
        <v>5 EACHES</v>
      </c>
      <c r="Q48" s="4">
        <v>14.4</v>
      </c>
      <c r="R48" s="4">
        <f>VLOOKUP(A48,'Material Cost'!A:D,4,0)</f>
        <v>13.250416666666668</v>
      </c>
      <c r="T48" s="34">
        <f t="shared" si="10"/>
        <v>-2.9411764705882366E-2</v>
      </c>
      <c r="W48" t="s">
        <v>4737</v>
      </c>
      <c r="X48" s="4">
        <f t="shared" si="9"/>
        <v>0</v>
      </c>
    </row>
    <row r="49" spans="1:24" x14ac:dyDescent="0.25">
      <c r="A49" s="1" t="s">
        <v>1217</v>
      </c>
      <c r="B49" s="1" t="s">
        <v>1218</v>
      </c>
      <c r="C49" s="1" t="s">
        <v>554</v>
      </c>
      <c r="D49" s="10">
        <v>0.54</v>
      </c>
      <c r="E49" s="10">
        <f t="shared" si="1"/>
        <v>0.45</v>
      </c>
      <c r="F49" s="10">
        <f t="shared" si="2"/>
        <v>0.45</v>
      </c>
      <c r="G49" s="136">
        <f t="shared" si="3"/>
        <v>0</v>
      </c>
      <c r="H49" s="4">
        <v>25</v>
      </c>
      <c r="I49" s="4" t="s">
        <v>3976</v>
      </c>
      <c r="J49" s="4">
        <v>13.5</v>
      </c>
      <c r="K49" s="4">
        <v>11.25</v>
      </c>
      <c r="L49" s="4">
        <f t="shared" si="8"/>
        <v>11.25</v>
      </c>
      <c r="M49" s="4"/>
      <c r="N49" s="4">
        <f>_xlfn.XLOOKUP(A49,'[1]M3 Price'!$A:$A,'[1]M3 Price'!$H:$H)</f>
        <v>11.25</v>
      </c>
      <c r="O49" s="34"/>
      <c r="P49" s="4"/>
      <c r="Q49" s="4"/>
      <c r="T49" s="34">
        <f t="shared" si="10"/>
        <v>-0.16666666666666671</v>
      </c>
      <c r="W49" t="s">
        <v>4732</v>
      </c>
      <c r="X49" s="4">
        <f t="shared" si="9"/>
        <v>0</v>
      </c>
    </row>
    <row r="50" spans="1:24" x14ac:dyDescent="0.25">
      <c r="A50" s="1" t="s">
        <v>1219</v>
      </c>
      <c r="B50" s="1" t="s">
        <v>1220</v>
      </c>
      <c r="C50" s="1" t="s">
        <v>554</v>
      </c>
      <c r="D50" s="10">
        <v>0.51</v>
      </c>
      <c r="E50" s="10">
        <f t="shared" si="1"/>
        <v>0.43</v>
      </c>
      <c r="F50" s="10">
        <f t="shared" si="2"/>
        <v>0.43</v>
      </c>
      <c r="G50" s="136">
        <f t="shared" si="3"/>
        <v>0</v>
      </c>
      <c r="H50" s="4">
        <v>25</v>
      </c>
      <c r="I50" s="4" t="s">
        <v>4297</v>
      </c>
      <c r="J50" s="4">
        <v>12.75</v>
      </c>
      <c r="K50" s="4">
        <v>10.75</v>
      </c>
      <c r="L50" s="4">
        <f t="shared" si="8"/>
        <v>10.75</v>
      </c>
      <c r="M50" s="4"/>
      <c r="N50" s="4">
        <f>_xlfn.XLOOKUP(A50,'[1]M3 Price'!$A:$A,'[1]M3 Price'!$H:$H)</f>
        <v>10.75</v>
      </c>
      <c r="O50" s="34"/>
      <c r="P50" s="4" t="str">
        <f>VLOOKUP(A50,'Material Cost'!A:C,3,0)</f>
        <v>1X 25KG</v>
      </c>
      <c r="Q50" s="4"/>
      <c r="R50">
        <f>VLOOKUP(A50,'Material Cost'!A:D,4,0)</f>
        <v>16.75</v>
      </c>
      <c r="T50" s="34">
        <f t="shared" si="10"/>
        <v>-0.15686274509803924</v>
      </c>
      <c r="W50" t="s">
        <v>4732</v>
      </c>
      <c r="X50" s="4">
        <f t="shared" si="9"/>
        <v>0</v>
      </c>
    </row>
    <row r="51" spans="1:24" x14ac:dyDescent="0.25">
      <c r="A51" s="1" t="s">
        <v>1221</v>
      </c>
      <c r="B51" s="1" t="s">
        <v>1222</v>
      </c>
      <c r="C51" s="1" t="s">
        <v>554</v>
      </c>
      <c r="D51" s="10">
        <v>2.9600000000000004</v>
      </c>
      <c r="E51" s="10">
        <f t="shared" si="1"/>
        <v>2.77</v>
      </c>
      <c r="F51" s="10">
        <f t="shared" si="2"/>
        <v>2.84</v>
      </c>
      <c r="G51" s="136">
        <f t="shared" si="3"/>
        <v>2.5270758122743625E-2</v>
      </c>
      <c r="H51" s="4">
        <v>3</v>
      </c>
      <c r="I51" s="4" t="s">
        <v>3875</v>
      </c>
      <c r="J51" s="4">
        <v>8.8800000000000008</v>
      </c>
      <c r="K51" s="4">
        <v>8.31</v>
      </c>
      <c r="L51" s="4">
        <f t="shared" si="8"/>
        <v>8.52</v>
      </c>
      <c r="M51" s="4"/>
      <c r="N51" s="4">
        <f>_xlfn.XLOOKUP(A51,'[1]M3 Price'!$A:$A,'[1]M3 Price'!$H:$H)</f>
        <v>8.52</v>
      </c>
      <c r="O51" s="34"/>
      <c r="P51" s="4"/>
      <c r="Q51" s="4"/>
      <c r="T51" s="34">
        <f t="shared" si="10"/>
        <v>-6.4189189189189311E-2</v>
      </c>
      <c r="W51" t="s">
        <v>4741</v>
      </c>
      <c r="X51" s="4">
        <f t="shared" si="9"/>
        <v>0</v>
      </c>
    </row>
    <row r="52" spans="1:24" x14ac:dyDescent="0.25">
      <c r="A52" s="1" t="s">
        <v>1225</v>
      </c>
      <c r="B52" s="1" t="s">
        <v>1754</v>
      </c>
      <c r="C52" s="1" t="s">
        <v>554</v>
      </c>
      <c r="D52" s="10">
        <v>1.1400000000000001</v>
      </c>
      <c r="E52" s="10">
        <f t="shared" si="1"/>
        <v>1.1499999999999999</v>
      </c>
      <c r="F52" s="10">
        <f t="shared" si="2"/>
        <v>0</v>
      </c>
      <c r="G52" s="136">
        <f t="shared" si="3"/>
        <v>-1</v>
      </c>
      <c r="H52" s="4">
        <v>10</v>
      </c>
      <c r="I52" s="4" t="s">
        <v>3983</v>
      </c>
      <c r="J52" s="4" t="e">
        <v>#N/A</v>
      </c>
      <c r="K52" s="4">
        <v>11.5</v>
      </c>
      <c r="L52" s="4">
        <f>_xlfn.XLOOKUP(A52,'[2]Inbound Pricing'!$C:$C,'[2]Inbound Pricing'!$K:$K)</f>
        <v>0</v>
      </c>
      <c r="M52" s="4"/>
      <c r="N52" s="4" t="e">
        <f>_xlfn.XLOOKUP(A52,'[1]M3 Price'!$A:$A,'[1]M3 Price'!$H:$H)</f>
        <v>#N/A</v>
      </c>
      <c r="O52" s="34"/>
      <c r="P52" s="4"/>
      <c r="Q52" s="4"/>
      <c r="T52" s="34">
        <f t="shared" si="10"/>
        <v>8.7719298245612157E-3</v>
      </c>
      <c r="W52" t="s">
        <v>4741</v>
      </c>
    </row>
    <row r="53" spans="1:24" x14ac:dyDescent="0.25">
      <c r="A53" s="1" t="s">
        <v>1226</v>
      </c>
      <c r="B53" s="1" t="s">
        <v>1227</v>
      </c>
      <c r="C53" s="1" t="s">
        <v>554</v>
      </c>
      <c r="D53" s="10">
        <v>1.3846153846153848</v>
      </c>
      <c r="E53" s="10">
        <f t="shared" si="1"/>
        <v>1.0666666666666667</v>
      </c>
      <c r="F53" s="10">
        <f t="shared" si="2"/>
        <v>1.1599999999999999</v>
      </c>
      <c r="G53" s="136">
        <f t="shared" si="3"/>
        <v>8.7499999999999939E-2</v>
      </c>
      <c r="H53" s="4">
        <v>7.8</v>
      </c>
      <c r="I53" s="4" t="s">
        <v>3947</v>
      </c>
      <c r="J53" s="4">
        <v>10.8</v>
      </c>
      <c r="K53" s="4">
        <v>8.32</v>
      </c>
      <c r="L53" s="4">
        <f t="shared" ref="L53:L59" si="11">N53</f>
        <v>9.0399999999999991</v>
      </c>
      <c r="M53" s="4"/>
      <c r="N53" s="4">
        <f>_xlfn.XLOOKUP(A53,'[1]M3 Price'!$A:$A,'[1]M3 Price'!$H:$H)</f>
        <v>9.0399999999999991</v>
      </c>
      <c r="O53" s="34"/>
      <c r="P53" s="4" t="str">
        <f>VLOOKUP(A53,'Material Cost'!A:C,3,0)</f>
        <v>8 X EACH</v>
      </c>
      <c r="Q53" s="4">
        <f>VLOOKUP(A53,'Material Cost'!G:L,6,0)</f>
        <v>7.8</v>
      </c>
      <c r="R53" s="4">
        <f>VLOOKUP(A53,'Material Cost'!A:D,4,0)</f>
        <v>10.653991784037562</v>
      </c>
      <c r="T53" s="34">
        <f t="shared" si="10"/>
        <v>-0.22962962962962974</v>
      </c>
      <c r="W53" t="s">
        <v>4741</v>
      </c>
      <c r="X53" s="4">
        <f t="shared" ref="X53:X59" si="12">N53-L53</f>
        <v>0</v>
      </c>
    </row>
    <row r="54" spans="1:24" x14ac:dyDescent="0.25">
      <c r="A54" s="1" t="s">
        <v>1228</v>
      </c>
      <c r="B54" s="1" t="s">
        <v>1229</v>
      </c>
      <c r="C54" s="1" t="s">
        <v>554</v>
      </c>
      <c r="D54" s="10">
        <v>0.59000000000000008</v>
      </c>
      <c r="E54" s="10">
        <f t="shared" si="1"/>
        <v>0.55000000000000004</v>
      </c>
      <c r="F54" s="10">
        <f t="shared" si="2"/>
        <v>0.55000000000000004</v>
      </c>
      <c r="G54" s="136">
        <f t="shared" si="3"/>
        <v>0</v>
      </c>
      <c r="H54" s="4">
        <v>10</v>
      </c>
      <c r="I54" s="4" t="s">
        <v>4234</v>
      </c>
      <c r="J54" s="4">
        <v>5.9</v>
      </c>
      <c r="K54" s="4">
        <v>5.5</v>
      </c>
      <c r="L54" s="4">
        <f t="shared" si="11"/>
        <v>5.5</v>
      </c>
      <c r="M54" s="4"/>
      <c r="N54" s="4">
        <f>_xlfn.XLOOKUP(A54,'[1]M3 Price'!$A:$A,'[1]M3 Price'!$H:$H)</f>
        <v>5.5</v>
      </c>
      <c r="O54" s="34"/>
      <c r="P54" s="4"/>
      <c r="Q54" s="4"/>
      <c r="T54" s="34">
        <f t="shared" si="10"/>
        <v>-6.7796610169491581E-2</v>
      </c>
      <c r="W54" t="s">
        <v>4741</v>
      </c>
      <c r="X54" s="4">
        <f t="shared" si="12"/>
        <v>0</v>
      </c>
    </row>
    <row r="55" spans="1:24" x14ac:dyDescent="0.25">
      <c r="A55" s="1" t="s">
        <v>1230</v>
      </c>
      <c r="B55" s="1" t="s">
        <v>1231</v>
      </c>
      <c r="C55" s="1" t="s">
        <v>554</v>
      </c>
      <c r="D55" s="10">
        <v>3.4499999999999997</v>
      </c>
      <c r="E55" s="10">
        <f t="shared" si="1"/>
        <v>2.97</v>
      </c>
      <c r="F55" s="10">
        <f t="shared" si="2"/>
        <v>3.14</v>
      </c>
      <c r="G55" s="136">
        <f t="shared" si="3"/>
        <v>5.7239057239057214E-2</v>
      </c>
      <c r="H55" s="4">
        <v>3</v>
      </c>
      <c r="I55" s="4" t="s">
        <v>3875</v>
      </c>
      <c r="J55" s="4">
        <v>10.35</v>
      </c>
      <c r="K55" s="4">
        <v>8.91</v>
      </c>
      <c r="L55" s="4">
        <f t="shared" si="11"/>
        <v>9.42</v>
      </c>
      <c r="M55" s="4"/>
      <c r="N55" s="4">
        <f>_xlfn.XLOOKUP(A55,'[1]M3 Price'!$A:$A,'[1]M3 Price'!$H:$H)</f>
        <v>9.42</v>
      </c>
      <c r="O55" s="34"/>
      <c r="P55" s="4"/>
      <c r="Q55" s="4"/>
      <c r="T55" s="34">
        <f t="shared" si="10"/>
        <v>-0.13913043478260859</v>
      </c>
      <c r="W55" t="s">
        <v>4741</v>
      </c>
      <c r="X55" s="4">
        <f t="shared" si="12"/>
        <v>0</v>
      </c>
    </row>
    <row r="56" spans="1:24" x14ac:dyDescent="0.25">
      <c r="A56" s="1" t="s">
        <v>1232</v>
      </c>
      <c r="B56" s="1" t="s">
        <v>1233</v>
      </c>
      <c r="C56" s="1" t="s">
        <v>554</v>
      </c>
      <c r="D56" s="10">
        <v>1.173913043478261</v>
      </c>
      <c r="E56" s="10">
        <f t="shared" si="1"/>
        <v>1.3826086956521741</v>
      </c>
      <c r="F56" s="10">
        <f t="shared" si="2"/>
        <v>1.18</v>
      </c>
      <c r="G56" s="136">
        <f t="shared" si="3"/>
        <v>-0.14654088050314484</v>
      </c>
      <c r="H56" s="4">
        <v>4.5999999999999996</v>
      </c>
      <c r="I56" s="4" t="s">
        <v>3923</v>
      </c>
      <c r="J56" s="4">
        <v>5.4</v>
      </c>
      <c r="K56" s="4">
        <v>6.36</v>
      </c>
      <c r="L56" s="4">
        <f t="shared" si="11"/>
        <v>5.4</v>
      </c>
      <c r="M56" s="4"/>
      <c r="N56" s="4">
        <f>_xlfn.XLOOKUP(A56,'[1]M3 Price'!$A:$A,'[1]M3 Price'!$H:$H)</f>
        <v>5.4</v>
      </c>
      <c r="O56" s="34"/>
      <c r="P56" s="4" t="str">
        <f>VLOOKUP(A56,'Material Cost'!A:C,3,0)</f>
        <v>12 X EACH</v>
      </c>
      <c r="Q56" s="4">
        <f>VLOOKUP(A56,'Material Cost'!G:L,6,0)</f>
        <v>4.5999999999999996</v>
      </c>
      <c r="R56" s="4">
        <f>VLOOKUP(A56,'Material Cost'!A:D,4,0)</f>
        <v>5.1304347826086962</v>
      </c>
      <c r="T56" s="34">
        <f t="shared" si="10"/>
        <v>0.17777777777777787</v>
      </c>
      <c r="W56" t="s">
        <v>4741</v>
      </c>
      <c r="X56" s="4">
        <f t="shared" si="12"/>
        <v>0</v>
      </c>
    </row>
    <row r="57" spans="1:24" x14ac:dyDescent="0.25">
      <c r="A57" s="1" t="s">
        <v>1234</v>
      </c>
      <c r="B57" s="1" t="s">
        <v>1235</v>
      </c>
      <c r="C57" s="1" t="s">
        <v>554</v>
      </c>
      <c r="D57" s="10">
        <v>1.33</v>
      </c>
      <c r="E57" s="10">
        <f t="shared" si="1"/>
        <v>1.31</v>
      </c>
      <c r="F57" s="10">
        <f t="shared" si="2"/>
        <v>1.41</v>
      </c>
      <c r="G57" s="136">
        <f t="shared" si="3"/>
        <v>7.6335877862595311E-2</v>
      </c>
      <c r="H57" s="4">
        <v>5</v>
      </c>
      <c r="I57" s="4" t="s">
        <v>3942</v>
      </c>
      <c r="J57" s="4">
        <v>6.65</v>
      </c>
      <c r="K57" s="4">
        <v>6.55</v>
      </c>
      <c r="L57" s="4">
        <f t="shared" si="11"/>
        <v>7.05</v>
      </c>
      <c r="M57" s="4"/>
      <c r="N57" s="4">
        <f>_xlfn.XLOOKUP(A57,'[1]M3 Price'!$A:$A,'[1]M3 Price'!$H:$H)</f>
        <v>7.05</v>
      </c>
      <c r="O57" s="34"/>
      <c r="P57" s="4"/>
      <c r="Q57" s="4"/>
      <c r="T57" s="34">
        <f t="shared" si="10"/>
        <v>-1.5037593984962419E-2</v>
      </c>
      <c r="W57" t="s">
        <v>4741</v>
      </c>
      <c r="X57" s="4">
        <f t="shared" si="12"/>
        <v>0</v>
      </c>
    </row>
    <row r="58" spans="1:24" x14ac:dyDescent="0.25">
      <c r="A58" s="1" t="s">
        <v>1236</v>
      </c>
      <c r="B58" s="1" t="s">
        <v>1237</v>
      </c>
      <c r="C58" s="1" t="s">
        <v>554</v>
      </c>
      <c r="D58" s="10">
        <v>3.56</v>
      </c>
      <c r="E58" s="10">
        <f t="shared" si="1"/>
        <v>3.1</v>
      </c>
      <c r="F58" s="10">
        <f t="shared" si="2"/>
        <v>2.76</v>
      </c>
      <c r="G58" s="136">
        <f t="shared" si="3"/>
        <v>-0.10967741935483881</v>
      </c>
      <c r="H58" s="4">
        <v>10</v>
      </c>
      <c r="I58" s="4" t="s">
        <v>3983</v>
      </c>
      <c r="J58" s="4">
        <v>35.6</v>
      </c>
      <c r="K58" s="4">
        <v>31</v>
      </c>
      <c r="L58" s="4">
        <f t="shared" si="11"/>
        <v>27.6</v>
      </c>
      <c r="M58" s="4"/>
      <c r="N58" s="4">
        <f>_xlfn.XLOOKUP(A58,'[1]M3 Price'!$A:$A,'[1]M3 Price'!$H:$H)</f>
        <v>27.6</v>
      </c>
      <c r="O58" s="34"/>
      <c r="P58" s="4"/>
      <c r="Q58" s="4"/>
      <c r="T58" s="34">
        <f t="shared" si="10"/>
        <v>-0.1292134831460674</v>
      </c>
      <c r="W58" t="s">
        <v>4741</v>
      </c>
      <c r="X58" s="4">
        <f t="shared" si="12"/>
        <v>0</v>
      </c>
    </row>
    <row r="59" spans="1:24" x14ac:dyDescent="0.25">
      <c r="A59" s="1" t="s">
        <v>1238</v>
      </c>
      <c r="B59" s="1" t="s">
        <v>1239</v>
      </c>
      <c r="C59" s="1" t="s">
        <v>554</v>
      </c>
      <c r="D59" s="10">
        <v>3.5316666666666667</v>
      </c>
      <c r="E59" s="10">
        <f t="shared" si="1"/>
        <v>3.8666666666666667</v>
      </c>
      <c r="F59" s="10">
        <f t="shared" si="2"/>
        <v>4.84</v>
      </c>
      <c r="G59" s="136">
        <f t="shared" si="3"/>
        <v>0.25172413793103443</v>
      </c>
      <c r="H59" s="4">
        <v>6</v>
      </c>
      <c r="I59" s="4" t="s">
        <v>4187</v>
      </c>
      <c r="J59" s="4">
        <v>21.19</v>
      </c>
      <c r="K59" s="4">
        <v>23.2</v>
      </c>
      <c r="L59" s="4">
        <f t="shared" si="11"/>
        <v>29</v>
      </c>
      <c r="M59" s="4"/>
      <c r="N59" s="4">
        <f>_xlfn.XLOOKUP(A59,'[1]M3 Price'!$A:$A,'[1]M3 Price'!$H:$H)</f>
        <v>29</v>
      </c>
      <c r="O59" s="34"/>
      <c r="P59" s="4" t="str">
        <f>VLOOKUP(A59,'Material Cost'!A:C,3,0)</f>
        <v>10 X STK</v>
      </c>
      <c r="Q59" s="4">
        <f>VLOOKUP(A59,'Material Cost'!G:L,6,0)</f>
        <v>6</v>
      </c>
      <c r="R59" s="4">
        <f>VLOOKUP(A59,'Material Cost'!A:D,4,0)</f>
        <v>22.173913043478262</v>
      </c>
      <c r="T59" s="34">
        <f t="shared" si="10"/>
        <v>9.4856064181217545E-2</v>
      </c>
      <c r="W59" t="s">
        <v>4741</v>
      </c>
      <c r="X59" s="4">
        <f t="shared" si="12"/>
        <v>0</v>
      </c>
    </row>
    <row r="60" spans="1:24" x14ac:dyDescent="0.25">
      <c r="A60" s="1" t="s">
        <v>1240</v>
      </c>
      <c r="B60" s="1" t="s">
        <v>1241</v>
      </c>
      <c r="C60" s="1" t="s">
        <v>554</v>
      </c>
      <c r="D60" s="10">
        <v>1.6</v>
      </c>
      <c r="E60" s="10">
        <f t="shared" si="1"/>
        <v>1.7</v>
      </c>
      <c r="F60" s="10" t="e">
        <f t="shared" si="2"/>
        <v>#N/A</v>
      </c>
      <c r="G60" s="136" t="e">
        <f t="shared" si="3"/>
        <v>#N/A</v>
      </c>
      <c r="H60" s="4">
        <v>10</v>
      </c>
      <c r="I60" s="4" t="s">
        <v>4757</v>
      </c>
      <c r="J60" s="4">
        <v>16</v>
      </c>
      <c r="K60" s="4">
        <v>17</v>
      </c>
      <c r="L60" s="4" t="e">
        <f>_xlfn.XLOOKUP(A60,'[2]Inbound Pricing'!$C:$C,'[2]Inbound Pricing'!$K:$K)</f>
        <v>#N/A</v>
      </c>
      <c r="M60" s="4"/>
      <c r="N60" s="4" t="e">
        <f>_xlfn.XLOOKUP(A60,'[1]M3 Price'!$A:$A,'[1]M3 Price'!$H:$H)</f>
        <v>#N/A</v>
      </c>
      <c r="O60" s="34"/>
      <c r="P60" s="4" t="e">
        <f>VLOOKUP(A60,'Material Cost'!A:C,3,0)</f>
        <v>#N/A</v>
      </c>
      <c r="Q60" s="4"/>
      <c r="R60" t="e">
        <f>VLOOKUP(A60,'Material Cost'!A:D,4,0)</f>
        <v>#N/A</v>
      </c>
      <c r="T60" s="34">
        <f t="shared" si="10"/>
        <v>6.2499999999999917E-2</v>
      </c>
      <c r="W60" t="s">
        <v>4741</v>
      </c>
    </row>
    <row r="61" spans="1:24" x14ac:dyDescent="0.25">
      <c r="A61" s="1" t="s">
        <v>1242</v>
      </c>
      <c r="B61" s="1" t="s">
        <v>1243</v>
      </c>
      <c r="C61" s="1" t="s">
        <v>554</v>
      </c>
      <c r="D61" s="10">
        <v>2.1052631578947367</v>
      </c>
      <c r="E61" s="10">
        <f t="shared" si="1"/>
        <v>2.4</v>
      </c>
      <c r="F61" s="10">
        <f t="shared" si="2"/>
        <v>2.0699999999999998</v>
      </c>
      <c r="G61" s="136">
        <f t="shared" si="3"/>
        <v>-0.13750000000000004</v>
      </c>
      <c r="H61" s="4">
        <v>3.8</v>
      </c>
      <c r="I61" s="4" t="s">
        <v>4758</v>
      </c>
      <c r="J61" s="4">
        <v>8</v>
      </c>
      <c r="K61" s="4">
        <v>9.1199999999999992</v>
      </c>
      <c r="L61" s="4">
        <f t="shared" ref="L61:L64" si="13">N61</f>
        <v>7.84</v>
      </c>
      <c r="M61" s="4"/>
      <c r="N61" s="4">
        <f>_xlfn.XLOOKUP(A61,'[1]M3 Price'!$A:$A,'[1]M3 Price'!$H:$H)</f>
        <v>7.84</v>
      </c>
      <c r="O61" s="34"/>
      <c r="P61" s="4" t="str">
        <f>VLOOKUP(A61,'Material Cost'!A:C,3,0)</f>
        <v>16 X PKT</v>
      </c>
      <c r="Q61" s="4">
        <f>VLOOKUP(A61,'Material Cost'!G:L,6,0)</f>
        <v>3.8</v>
      </c>
      <c r="R61" s="4">
        <f>VLOOKUP(A61,'Material Cost'!A:D,4,0)</f>
        <v>7.430450360020517</v>
      </c>
      <c r="T61" s="34">
        <f t="shared" si="10"/>
        <v>0.14000000000000001</v>
      </c>
      <c r="W61" t="s">
        <v>4741</v>
      </c>
      <c r="X61" s="4">
        <f>N61-L61</f>
        <v>0</v>
      </c>
    </row>
    <row r="62" spans="1:24" x14ac:dyDescent="0.25">
      <c r="A62" s="1" t="s">
        <v>1244</v>
      </c>
      <c r="B62" s="1" t="s">
        <v>1245</v>
      </c>
      <c r="C62" s="1" t="s">
        <v>554</v>
      </c>
      <c r="D62" s="10">
        <v>1.89</v>
      </c>
      <c r="E62" s="10">
        <f t="shared" si="1"/>
        <v>1.83</v>
      </c>
      <c r="F62" s="10">
        <f t="shared" si="2"/>
        <v>1.85</v>
      </c>
      <c r="G62" s="136">
        <f t="shared" si="3"/>
        <v>1.0928961748633888E-2</v>
      </c>
      <c r="H62" s="4">
        <v>3</v>
      </c>
      <c r="I62" s="4" t="s">
        <v>3958</v>
      </c>
      <c r="J62" s="4">
        <v>5.67</v>
      </c>
      <c r="K62" s="4">
        <v>5.49</v>
      </c>
      <c r="L62" s="4">
        <f t="shared" si="13"/>
        <v>5.55</v>
      </c>
      <c r="M62" s="4"/>
      <c r="N62" s="4">
        <f>_xlfn.XLOOKUP(A62,'[1]M3 Price'!$A:$A,'[1]M3 Price'!$H:$H)</f>
        <v>5.55</v>
      </c>
      <c r="O62" s="34"/>
      <c r="P62" s="4"/>
      <c r="Q62" s="4"/>
      <c r="T62" s="34">
        <f t="shared" si="10"/>
        <v>-3.1746031746031661E-2</v>
      </c>
      <c r="W62" t="s">
        <v>4739</v>
      </c>
      <c r="X62" s="4">
        <f>N62-L62</f>
        <v>0</v>
      </c>
    </row>
    <row r="63" spans="1:24" x14ac:dyDescent="0.25">
      <c r="A63" s="1" t="s">
        <v>1246</v>
      </c>
      <c r="B63" s="1" t="s">
        <v>1247</v>
      </c>
      <c r="C63" s="1" t="s">
        <v>554</v>
      </c>
      <c r="D63" s="10">
        <v>2.0299999999999998</v>
      </c>
      <c r="E63" s="10">
        <f t="shared" si="1"/>
        <v>1.97</v>
      </c>
      <c r="F63" s="10">
        <f t="shared" si="2"/>
        <v>2</v>
      </c>
      <c r="G63" s="136">
        <f t="shared" si="3"/>
        <v>1.5228426395939101E-2</v>
      </c>
      <c r="H63" s="4">
        <v>3</v>
      </c>
      <c r="I63" s="4" t="s">
        <v>3958</v>
      </c>
      <c r="J63" s="4">
        <v>6.09</v>
      </c>
      <c r="K63" s="4">
        <v>5.91</v>
      </c>
      <c r="L63" s="4">
        <f t="shared" si="13"/>
        <v>6</v>
      </c>
      <c r="M63" s="4"/>
      <c r="N63" s="4">
        <f>_xlfn.XLOOKUP(A63,'[1]M3 Price'!$A:$A,'[1]M3 Price'!$H:$H)</f>
        <v>6</v>
      </c>
      <c r="O63" s="34"/>
      <c r="P63" s="4"/>
      <c r="Q63" s="4"/>
      <c r="T63" s="34">
        <f t="shared" si="10"/>
        <v>-2.9556650246305338E-2</v>
      </c>
      <c r="W63" t="s">
        <v>4739</v>
      </c>
      <c r="X63" s="4">
        <f>N63-L63</f>
        <v>0</v>
      </c>
    </row>
    <row r="64" spans="1:24" x14ac:dyDescent="0.25">
      <c r="A64" s="1" t="s">
        <v>1248</v>
      </c>
      <c r="B64" s="1" t="s">
        <v>1249</v>
      </c>
      <c r="C64" s="1" t="s">
        <v>554</v>
      </c>
      <c r="D64" s="10">
        <v>5.94</v>
      </c>
      <c r="E64" s="10">
        <f t="shared" ref="E64:E69" si="14">IFERROR(K64/H64,"")</f>
        <v>6.1400000000000006</v>
      </c>
      <c r="F64" s="10">
        <f t="shared" si="2"/>
        <v>6.14</v>
      </c>
      <c r="G64" s="136">
        <f t="shared" si="3"/>
        <v>-1.4465446574920605E-16</v>
      </c>
      <c r="H64" s="4">
        <v>1.5</v>
      </c>
      <c r="I64" s="4" t="s">
        <v>4150</v>
      </c>
      <c r="J64" s="4">
        <v>8.91</v>
      </c>
      <c r="K64" s="4">
        <v>9.2100000000000009</v>
      </c>
      <c r="L64" s="4">
        <f t="shared" si="13"/>
        <v>9.2100000000000009</v>
      </c>
      <c r="M64" s="4"/>
      <c r="N64" s="4">
        <f>_xlfn.XLOOKUP(A64,'[1]M3 Price'!$A:$A,'[1]M3 Price'!$H:$H)</f>
        <v>9.2100000000000009</v>
      </c>
      <c r="O64" s="34"/>
      <c r="P64" s="4"/>
      <c r="Q64" s="4"/>
      <c r="T64" s="34">
        <f t="shared" si="10"/>
        <v>3.3670033670033697E-2</v>
      </c>
      <c r="W64" t="s">
        <v>4739</v>
      </c>
      <c r="X64" s="4">
        <f>N64-L64</f>
        <v>0</v>
      </c>
    </row>
    <row r="65" spans="1:24" x14ac:dyDescent="0.25">
      <c r="A65" s="1" t="s">
        <v>1250</v>
      </c>
      <c r="B65" s="1" t="s">
        <v>1251</v>
      </c>
      <c r="C65" s="1" t="s">
        <v>554</v>
      </c>
      <c r="D65" s="10">
        <v>0.67999999999999994</v>
      </c>
      <c r="E65" s="10">
        <f t="shared" si="14"/>
        <v>0.7</v>
      </c>
      <c r="F65" s="10">
        <f t="shared" si="2"/>
        <v>0</v>
      </c>
      <c r="G65" s="136">
        <f t="shared" si="3"/>
        <v>-1</v>
      </c>
      <c r="H65" s="4">
        <v>5</v>
      </c>
      <c r="I65" s="4" t="s">
        <v>3963</v>
      </c>
      <c r="J65" s="4">
        <v>3.4</v>
      </c>
      <c r="K65" s="4">
        <v>3.5</v>
      </c>
      <c r="L65" s="4">
        <f>_xlfn.XLOOKUP(A65,'[2]Inbound Pricing'!$C:$C,'[2]Inbound Pricing'!$K:$K)</f>
        <v>0</v>
      </c>
      <c r="M65" s="4"/>
      <c r="N65" s="4">
        <f>_xlfn.XLOOKUP(A65,'[1]M3 Price'!$A:$A,'[1]M3 Price'!$H:$H)</f>
        <v>0</v>
      </c>
      <c r="O65" s="34"/>
      <c r="P65" s="4"/>
      <c r="Q65" s="4"/>
      <c r="T65" s="34">
        <f t="shared" si="10"/>
        <v>2.941176470588238E-2</v>
      </c>
      <c r="W65" t="s">
        <v>4733</v>
      </c>
    </row>
    <row r="66" spans="1:24" x14ac:dyDescent="0.25">
      <c r="A66" s="1" t="s">
        <v>1252</v>
      </c>
      <c r="B66" s="1" t="s">
        <v>1253</v>
      </c>
      <c r="C66" s="1" t="s">
        <v>554</v>
      </c>
      <c r="D66" s="10">
        <v>2.86</v>
      </c>
      <c r="E66" s="10">
        <f t="shared" si="14"/>
        <v>3.0666666666666669</v>
      </c>
      <c r="F66" s="10">
        <f t="shared" si="2"/>
        <v>2.67</v>
      </c>
      <c r="G66" s="136">
        <f t="shared" si="3"/>
        <v>-0.12934782608695661</v>
      </c>
      <c r="H66" s="4">
        <v>15</v>
      </c>
      <c r="I66" s="4" t="s">
        <v>4001</v>
      </c>
      <c r="J66" s="4">
        <v>42.9</v>
      </c>
      <c r="K66" s="4">
        <v>46</v>
      </c>
      <c r="L66" s="4">
        <f t="shared" ref="L66:L80" si="15">N66</f>
        <v>40.049999999999997</v>
      </c>
      <c r="M66" s="4"/>
      <c r="N66" s="4">
        <f>_xlfn.XLOOKUP(A66,'[1]M3 Price'!$A:$A,'[1]M3 Price'!$H:$H)</f>
        <v>40.049999999999997</v>
      </c>
      <c r="O66" s="34"/>
      <c r="P66" s="4"/>
      <c r="Q66" s="4"/>
      <c r="T66" s="34">
        <f t="shared" ref="T66:T100" si="16">(E66-D66)/D66</f>
        <v>7.2261072261072382E-2</v>
      </c>
      <c r="W66" t="s">
        <v>4732</v>
      </c>
      <c r="X66" s="4">
        <f t="shared" ref="X66:X80" si="17">N66-L66</f>
        <v>0</v>
      </c>
    </row>
    <row r="67" spans="1:24" x14ac:dyDescent="0.25">
      <c r="A67" s="1" t="s">
        <v>1254</v>
      </c>
      <c r="B67" s="1" t="s">
        <v>1255</v>
      </c>
      <c r="C67" s="1" t="s">
        <v>554</v>
      </c>
      <c r="D67" s="10">
        <v>0.94000000000000006</v>
      </c>
      <c r="E67" s="10">
        <f t="shared" si="14"/>
        <v>0.94000000000000006</v>
      </c>
      <c r="F67" s="10">
        <f t="shared" ref="F67:F131" si="18">ROUNDUP(L67/H67,2)</f>
        <v>0.94</v>
      </c>
      <c r="G67" s="136">
        <f t="shared" ref="G67:G131" si="19">(F67-E67)/E67</f>
        <v>-1.1810883240693154E-16</v>
      </c>
      <c r="H67" s="4">
        <v>10</v>
      </c>
      <c r="I67" s="4" t="s">
        <v>3906</v>
      </c>
      <c r="J67" s="4">
        <v>9.4</v>
      </c>
      <c r="K67" s="4">
        <v>9.4</v>
      </c>
      <c r="L67" s="4">
        <f t="shared" si="15"/>
        <v>9.4</v>
      </c>
      <c r="M67" s="4"/>
      <c r="N67" s="4">
        <f>_xlfn.XLOOKUP(A67,'[1]M3 Price'!$A:$A,'[1]M3 Price'!$H:$H)</f>
        <v>9.4</v>
      </c>
      <c r="O67" s="34"/>
      <c r="P67" s="4"/>
      <c r="Q67" s="4"/>
      <c r="T67" s="34">
        <f t="shared" si="16"/>
        <v>0</v>
      </c>
      <c r="W67" t="s">
        <v>4732</v>
      </c>
      <c r="X67" s="4">
        <f t="shared" si="17"/>
        <v>0</v>
      </c>
    </row>
    <row r="68" spans="1:24" x14ac:dyDescent="0.25">
      <c r="A68" s="1" t="s">
        <v>1256</v>
      </c>
      <c r="B68" s="1" t="s">
        <v>1257</v>
      </c>
      <c r="C68" s="1" t="s">
        <v>554</v>
      </c>
      <c r="D68" s="10">
        <v>0.55000000000000004</v>
      </c>
      <c r="E68" s="10">
        <f t="shared" si="14"/>
        <v>0.47</v>
      </c>
      <c r="F68" s="10">
        <f t="shared" si="18"/>
        <v>0.47</v>
      </c>
      <c r="G68" s="136">
        <f t="shared" si="19"/>
        <v>0</v>
      </c>
      <c r="H68" s="4">
        <v>25</v>
      </c>
      <c r="I68" s="4" t="s">
        <v>4252</v>
      </c>
      <c r="J68" s="4">
        <v>13.75</v>
      </c>
      <c r="K68" s="4">
        <v>11.75</v>
      </c>
      <c r="L68" s="4">
        <f t="shared" si="15"/>
        <v>11.75</v>
      </c>
      <c r="M68" s="4"/>
      <c r="N68" s="4">
        <f>_xlfn.XLOOKUP(A68,'[1]M3 Price'!$A:$A,'[1]M3 Price'!$H:$H)</f>
        <v>11.75</v>
      </c>
      <c r="O68" s="34"/>
      <c r="P68" s="4"/>
      <c r="Q68" s="4"/>
      <c r="T68" s="34">
        <f t="shared" si="16"/>
        <v>-0.14545454545454556</v>
      </c>
      <c r="W68" t="s">
        <v>4732</v>
      </c>
      <c r="X68" s="4">
        <f t="shared" si="17"/>
        <v>0</v>
      </c>
    </row>
    <row r="69" spans="1:24" x14ac:dyDescent="0.25">
      <c r="A69" s="1" t="s">
        <v>1258</v>
      </c>
      <c r="B69" s="1" t="s">
        <v>1259</v>
      </c>
      <c r="C69" s="1" t="s">
        <v>554</v>
      </c>
      <c r="D69" s="10">
        <v>0.94000000000000006</v>
      </c>
      <c r="E69" s="10">
        <f t="shared" si="14"/>
        <v>0.6</v>
      </c>
      <c r="F69" s="10">
        <f t="shared" si="18"/>
        <v>0.6</v>
      </c>
      <c r="G69" s="136">
        <f t="shared" si="19"/>
        <v>0</v>
      </c>
      <c r="H69" s="4">
        <v>10</v>
      </c>
      <c r="I69" s="4" t="s">
        <v>3951</v>
      </c>
      <c r="J69" s="4">
        <v>9.4</v>
      </c>
      <c r="K69" s="4">
        <v>6</v>
      </c>
      <c r="L69" s="4">
        <f t="shared" si="15"/>
        <v>6</v>
      </c>
      <c r="M69" s="4"/>
      <c r="N69" s="4">
        <f>_xlfn.XLOOKUP(A69,'[1]M3 Price'!$A:$A,'[1]M3 Price'!$H:$H)</f>
        <v>6</v>
      </c>
      <c r="O69" s="34"/>
      <c r="P69" s="4"/>
      <c r="Q69" s="4"/>
      <c r="T69" s="34">
        <f t="shared" si="16"/>
        <v>-0.36170212765957455</v>
      </c>
      <c r="W69" t="s">
        <v>4732</v>
      </c>
      <c r="X69" s="4">
        <f t="shared" si="17"/>
        <v>0</v>
      </c>
    </row>
    <row r="70" spans="1:24" x14ac:dyDescent="0.25">
      <c r="A70" s="1" t="s">
        <v>1260</v>
      </c>
      <c r="B70" s="1" t="s">
        <v>1261</v>
      </c>
      <c r="C70" s="1" t="s">
        <v>554</v>
      </c>
      <c r="D70" s="10">
        <v>0.78</v>
      </c>
      <c r="E70" s="140">
        <f>D70</f>
        <v>0.78</v>
      </c>
      <c r="F70" s="10">
        <f t="shared" si="18"/>
        <v>0.78</v>
      </c>
      <c r="G70" s="136">
        <f t="shared" si="19"/>
        <v>0</v>
      </c>
      <c r="H70" s="4">
        <v>2.5</v>
      </c>
      <c r="I70" s="4" t="s">
        <v>3885</v>
      </c>
      <c r="J70" s="4">
        <v>1.95</v>
      </c>
      <c r="K70" s="4">
        <v>0</v>
      </c>
      <c r="L70" s="4">
        <f t="shared" si="15"/>
        <v>1.95</v>
      </c>
      <c r="M70" s="4"/>
      <c r="N70" s="4">
        <f>_xlfn.XLOOKUP(A70,'[1]M3 Price'!$A:$A,'[1]M3 Price'!$H:$H)</f>
        <v>1.95</v>
      </c>
      <c r="O70" s="34"/>
      <c r="P70" s="4"/>
      <c r="Q70" s="4"/>
      <c r="R70" t="s">
        <v>1889</v>
      </c>
      <c r="S70" t="s">
        <v>1890</v>
      </c>
      <c r="T70" s="34">
        <f t="shared" si="16"/>
        <v>0</v>
      </c>
      <c r="W70" t="s">
        <v>4741</v>
      </c>
      <c r="X70" s="4">
        <f t="shared" si="17"/>
        <v>0</v>
      </c>
    </row>
    <row r="71" spans="1:24" x14ac:dyDescent="0.25">
      <c r="A71" s="1" t="s">
        <v>1262</v>
      </c>
      <c r="B71" s="1" t="s">
        <v>1263</v>
      </c>
      <c r="C71" s="1" t="s">
        <v>554</v>
      </c>
      <c r="D71" s="10">
        <v>2.0769230769230771</v>
      </c>
      <c r="E71" s="10">
        <f t="shared" ref="E71:E80" si="20">IFERROR(K71/H71,"")</f>
        <v>2.2307692307692308</v>
      </c>
      <c r="F71" s="10">
        <f t="shared" si="18"/>
        <v>2.0799999999999996</v>
      </c>
      <c r="G71" s="136">
        <f t="shared" si="19"/>
        <v>-6.7586206896551926E-2</v>
      </c>
      <c r="H71" s="4">
        <v>2.6</v>
      </c>
      <c r="I71" s="4" t="s">
        <v>4254</v>
      </c>
      <c r="J71" s="4">
        <v>5.4</v>
      </c>
      <c r="K71" s="4">
        <v>5.8</v>
      </c>
      <c r="L71" s="4">
        <f t="shared" si="15"/>
        <v>5.4</v>
      </c>
      <c r="M71" s="4"/>
      <c r="N71" s="4">
        <f>_xlfn.XLOOKUP(A71,'[1]M3 Price'!$A:$A,'[1]M3 Price'!$H:$H)</f>
        <v>5.4</v>
      </c>
      <c r="O71" s="34"/>
      <c r="P71" s="4" t="str">
        <f>VLOOKUP(A71,'Material Cost'!A:C,3,0)</f>
        <v>20 X PKT</v>
      </c>
      <c r="Q71" s="4">
        <f>VLOOKUP(A71,'Material Cost'!G:L,6,0)</f>
        <v>2.6</v>
      </c>
      <c r="R71" s="4">
        <f>VLOOKUP(A71,'Material Cost'!A:D,4,0)</f>
        <v>5</v>
      </c>
      <c r="T71" s="34">
        <f t="shared" si="16"/>
        <v>7.4074074074074014E-2</v>
      </c>
      <c r="W71" t="s">
        <v>4741</v>
      </c>
      <c r="X71" s="4">
        <f t="shared" si="17"/>
        <v>0</v>
      </c>
    </row>
    <row r="72" spans="1:24" x14ac:dyDescent="0.25">
      <c r="A72" s="1" t="s">
        <v>1264</v>
      </c>
      <c r="B72" s="1" t="s">
        <v>1265</v>
      </c>
      <c r="C72" s="1" t="s">
        <v>554</v>
      </c>
      <c r="D72" s="10">
        <v>0.7</v>
      </c>
      <c r="E72" s="10">
        <f t="shared" si="20"/>
        <v>0.51</v>
      </c>
      <c r="F72" s="10">
        <f t="shared" si="18"/>
        <v>0.54</v>
      </c>
      <c r="G72" s="136">
        <f t="shared" si="19"/>
        <v>5.8823529411764754E-2</v>
      </c>
      <c r="H72" s="4">
        <v>10</v>
      </c>
      <c r="I72" s="4" t="s">
        <v>3983</v>
      </c>
      <c r="J72" s="4">
        <v>7</v>
      </c>
      <c r="K72" s="4">
        <v>5.0999999999999996</v>
      </c>
      <c r="L72" s="4">
        <f t="shared" si="15"/>
        <v>5.4</v>
      </c>
      <c r="M72" s="4"/>
      <c r="N72" s="4">
        <f>_xlfn.XLOOKUP(A72,'[1]M3 Price'!$A:$A,'[1]M3 Price'!$H:$H)</f>
        <v>5.4</v>
      </c>
      <c r="O72" s="34"/>
      <c r="P72" s="4"/>
      <c r="Q72" s="4"/>
      <c r="T72" s="34">
        <f t="shared" si="16"/>
        <v>-0.27142857142857135</v>
      </c>
      <c r="W72" t="s">
        <v>4733</v>
      </c>
      <c r="X72" s="4">
        <f t="shared" si="17"/>
        <v>0</v>
      </c>
    </row>
    <row r="73" spans="1:24" x14ac:dyDescent="0.25">
      <c r="A73" s="1" t="s">
        <v>1266</v>
      </c>
      <c r="B73" s="1" t="s">
        <v>1267</v>
      </c>
      <c r="C73" s="1" t="s">
        <v>554</v>
      </c>
      <c r="D73" s="10">
        <v>0.77</v>
      </c>
      <c r="E73" s="10">
        <f t="shared" si="20"/>
        <v>0.79</v>
      </c>
      <c r="F73" s="10">
        <f t="shared" si="18"/>
        <v>0.79</v>
      </c>
      <c r="G73" s="136">
        <f t="shared" si="19"/>
        <v>0</v>
      </c>
      <c r="H73" s="4">
        <v>5</v>
      </c>
      <c r="I73" s="4" t="s">
        <v>3914</v>
      </c>
      <c r="J73" s="4">
        <v>3.85</v>
      </c>
      <c r="K73" s="4">
        <v>3.95</v>
      </c>
      <c r="L73" s="4">
        <f t="shared" si="15"/>
        <v>3.95</v>
      </c>
      <c r="M73" s="4"/>
      <c r="N73" s="4">
        <f>_xlfn.XLOOKUP(A73,'[1]M3 Price'!$A:$A,'[1]M3 Price'!$H:$H)</f>
        <v>3.95</v>
      </c>
      <c r="O73" s="34"/>
      <c r="P73" s="4"/>
      <c r="Q73" s="4"/>
      <c r="T73" s="34">
        <f t="shared" si="16"/>
        <v>2.5974025974025997E-2</v>
      </c>
      <c r="W73" t="s">
        <v>4741</v>
      </c>
      <c r="X73" s="4">
        <f t="shared" si="17"/>
        <v>0</v>
      </c>
    </row>
    <row r="74" spans="1:24" x14ac:dyDescent="0.25">
      <c r="A74" s="1" t="s">
        <v>1268</v>
      </c>
      <c r="B74" s="1" t="s">
        <v>1269</v>
      </c>
      <c r="C74" s="1" t="s">
        <v>554</v>
      </c>
      <c r="D74" s="10">
        <v>0.77</v>
      </c>
      <c r="E74" s="10">
        <f t="shared" si="20"/>
        <v>0.79</v>
      </c>
      <c r="F74" s="10">
        <f t="shared" si="18"/>
        <v>0.92</v>
      </c>
      <c r="G74" s="136">
        <f t="shared" si="19"/>
        <v>0.16455696202531644</v>
      </c>
      <c r="H74" s="4">
        <v>20</v>
      </c>
      <c r="I74" s="4" t="s">
        <v>4174</v>
      </c>
      <c r="J74" s="4">
        <v>15.4</v>
      </c>
      <c r="K74" s="4">
        <v>15.8</v>
      </c>
      <c r="L74" s="4">
        <f t="shared" si="15"/>
        <v>18.399999999999999</v>
      </c>
      <c r="M74" s="4"/>
      <c r="N74" s="4">
        <f>_xlfn.XLOOKUP(A74,'[1]M3 Price'!$A:$A,'[1]M3 Price'!$H:$H)</f>
        <v>18.399999999999999</v>
      </c>
      <c r="O74" s="34"/>
      <c r="P74" s="4" t="str">
        <f>VLOOKUP(A74,'Material Cost'!A:C,3,0)</f>
        <v>1 X 20KG</v>
      </c>
      <c r="Q74" s="4" t="e">
        <f>VLOOKUP(A74,'Material Cost'!G:L,6,0)</f>
        <v>#N/A</v>
      </c>
      <c r="R74">
        <f>VLOOKUP(A74,'Material Cost'!A:D,4,0)</f>
        <v>15.90217391304348</v>
      </c>
      <c r="T74" s="34">
        <f t="shared" si="16"/>
        <v>2.5974025974025997E-2</v>
      </c>
      <c r="W74" t="s">
        <v>4741</v>
      </c>
      <c r="X74" s="4">
        <f t="shared" si="17"/>
        <v>0</v>
      </c>
    </row>
    <row r="75" spans="1:24" x14ac:dyDescent="0.25">
      <c r="A75" s="1" t="s">
        <v>1273</v>
      </c>
      <c r="B75" s="1" t="s">
        <v>1274</v>
      </c>
      <c r="C75" s="1" t="s">
        <v>554</v>
      </c>
      <c r="D75" s="10">
        <v>1.18</v>
      </c>
      <c r="E75" s="10">
        <f t="shared" si="20"/>
        <v>1.21</v>
      </c>
      <c r="F75" s="10">
        <f t="shared" si="18"/>
        <v>1.1200000000000001</v>
      </c>
      <c r="G75" s="136">
        <f t="shared" si="19"/>
        <v>-7.4380165289256089E-2</v>
      </c>
      <c r="H75" s="4">
        <v>6</v>
      </c>
      <c r="I75" s="4" t="s">
        <v>3895</v>
      </c>
      <c r="J75" s="4">
        <v>7.08</v>
      </c>
      <c r="K75" s="4">
        <v>7.26</v>
      </c>
      <c r="L75" s="4">
        <f t="shared" si="15"/>
        <v>6.72</v>
      </c>
      <c r="M75" s="4"/>
      <c r="N75" s="4">
        <f>_xlfn.XLOOKUP(A75,'[1]M3 Price'!$A:$A,'[1]M3 Price'!$H:$H)</f>
        <v>6.72</v>
      </c>
      <c r="O75" s="34"/>
      <c r="P75" s="4"/>
      <c r="Q75" s="4"/>
      <c r="T75" s="34">
        <f t="shared" si="16"/>
        <v>2.5423728813559344E-2</v>
      </c>
      <c r="W75" t="s">
        <v>4735</v>
      </c>
      <c r="X75" s="4">
        <f t="shared" si="17"/>
        <v>0</v>
      </c>
    </row>
    <row r="76" spans="1:24" x14ac:dyDescent="0.25">
      <c r="A76" s="1" t="s">
        <v>1275</v>
      </c>
      <c r="B76" s="1" t="s">
        <v>1276</v>
      </c>
      <c r="C76" s="1" t="s">
        <v>554</v>
      </c>
      <c r="D76" s="10">
        <v>0.93</v>
      </c>
      <c r="E76" s="10">
        <f t="shared" si="20"/>
        <v>1.3699999999999999</v>
      </c>
      <c r="F76" s="10">
        <f t="shared" si="18"/>
        <v>1.02</v>
      </c>
      <c r="G76" s="136">
        <f t="shared" si="19"/>
        <v>-0.25547445255474444</v>
      </c>
      <c r="H76" s="4">
        <v>5</v>
      </c>
      <c r="I76" s="4" t="s">
        <v>3914</v>
      </c>
      <c r="J76" s="4">
        <v>4.6500000000000004</v>
      </c>
      <c r="K76" s="4">
        <v>6.85</v>
      </c>
      <c r="L76" s="4">
        <f t="shared" si="15"/>
        <v>5.0999999999999996</v>
      </c>
      <c r="M76" s="4"/>
      <c r="N76" s="4">
        <f>_xlfn.XLOOKUP(A76,'[1]M3 Price'!$A:$A,'[1]M3 Price'!$H:$H)</f>
        <v>5.0999999999999996</v>
      </c>
      <c r="O76" s="34"/>
      <c r="P76" s="4"/>
      <c r="Q76" s="4"/>
      <c r="T76" s="34">
        <f t="shared" si="16"/>
        <v>0.47311827956989227</v>
      </c>
      <c r="W76" t="s">
        <v>4735</v>
      </c>
      <c r="X76" s="4">
        <f t="shared" si="17"/>
        <v>0</v>
      </c>
    </row>
    <row r="77" spans="1:24" x14ac:dyDescent="0.25">
      <c r="A77" s="1" t="s">
        <v>1277</v>
      </c>
      <c r="B77" s="1" t="s">
        <v>1278</v>
      </c>
      <c r="C77" s="1" t="s">
        <v>554</v>
      </c>
      <c r="D77" s="10">
        <v>4.29</v>
      </c>
      <c r="E77" s="10">
        <f t="shared" si="20"/>
        <v>3.67</v>
      </c>
      <c r="F77" s="10">
        <f t="shared" si="18"/>
        <v>3.37</v>
      </c>
      <c r="G77" s="136">
        <f t="shared" si="19"/>
        <v>-8.1743869209809222E-2</v>
      </c>
      <c r="H77" s="4">
        <v>2</v>
      </c>
      <c r="I77" s="4" t="s">
        <v>3930</v>
      </c>
      <c r="J77" s="4">
        <v>8.58</v>
      </c>
      <c r="K77" s="4">
        <v>7.34</v>
      </c>
      <c r="L77" s="4">
        <f t="shared" si="15"/>
        <v>6.74</v>
      </c>
      <c r="M77" s="4"/>
      <c r="N77" s="4">
        <f>_xlfn.XLOOKUP(A77,'[1]M3 Price'!$A:$A,'[1]M3 Price'!$H:$H)</f>
        <v>6.74</v>
      </c>
      <c r="O77" s="34"/>
      <c r="P77" s="4"/>
      <c r="Q77" s="4"/>
      <c r="T77" s="34">
        <f t="shared" si="16"/>
        <v>-0.14452214452214454</v>
      </c>
      <c r="W77" t="s">
        <v>4741</v>
      </c>
      <c r="X77" s="4">
        <f t="shared" si="17"/>
        <v>0</v>
      </c>
    </row>
    <row r="78" spans="1:24" x14ac:dyDescent="0.25">
      <c r="A78" s="1" t="s">
        <v>1279</v>
      </c>
      <c r="B78" s="1" t="s">
        <v>1280</v>
      </c>
      <c r="C78" s="1" t="s">
        <v>554</v>
      </c>
      <c r="D78" s="10">
        <v>10.5</v>
      </c>
      <c r="E78" s="10">
        <f t="shared" si="20"/>
        <v>10.841666666666667</v>
      </c>
      <c r="F78" s="10">
        <f t="shared" si="18"/>
        <v>10.5</v>
      </c>
      <c r="G78" s="136">
        <f t="shared" si="19"/>
        <v>-3.1514219830899318E-2</v>
      </c>
      <c r="H78" s="4">
        <v>1.2</v>
      </c>
      <c r="I78" s="4" t="s">
        <v>3968</v>
      </c>
      <c r="J78" s="4">
        <v>12.6</v>
      </c>
      <c r="K78" s="4">
        <v>13.01</v>
      </c>
      <c r="L78" s="4">
        <f t="shared" si="15"/>
        <v>12.6</v>
      </c>
      <c r="M78" s="4"/>
      <c r="N78" s="4">
        <f>_xlfn.XLOOKUP(A78,'[1]M3 Price'!$A:$A,'[1]M3 Price'!$H:$H)</f>
        <v>12.6</v>
      </c>
      <c r="O78" s="4"/>
      <c r="P78" s="4" t="str">
        <f>VLOOKUP(A78,'Material Cost'!A:C,3,0)</f>
        <v>6 X 150G</v>
      </c>
      <c r="Q78" s="4" t="e">
        <f>VLOOKUP(A78,'Material Cost'!G:L,6,0)</f>
        <v>#N/A</v>
      </c>
      <c r="R78">
        <f>VLOOKUP(A78,'Material Cost'!A:D,4,0)</f>
        <v>12.25</v>
      </c>
      <c r="T78" s="34">
        <f t="shared" si="16"/>
        <v>3.2539682539682549E-2</v>
      </c>
      <c r="W78" t="s">
        <v>4741</v>
      </c>
      <c r="X78" s="4">
        <f t="shared" si="17"/>
        <v>0</v>
      </c>
    </row>
    <row r="79" spans="1:24" x14ac:dyDescent="0.25">
      <c r="A79" s="1" t="s">
        <v>1281</v>
      </c>
      <c r="B79" s="1" t="s">
        <v>1282</v>
      </c>
      <c r="C79" s="1" t="s">
        <v>554</v>
      </c>
      <c r="D79" s="10">
        <v>6.4999999999999991</v>
      </c>
      <c r="E79" s="10">
        <f t="shared" si="20"/>
        <v>9</v>
      </c>
      <c r="F79" s="10">
        <f t="shared" si="18"/>
        <v>7.25</v>
      </c>
      <c r="G79" s="136">
        <f t="shared" si="19"/>
        <v>-0.19444444444444445</v>
      </c>
      <c r="H79" s="4">
        <v>1.2000000000000002</v>
      </c>
      <c r="I79" s="4" t="s">
        <v>3968</v>
      </c>
      <c r="J79" s="4">
        <v>7.8</v>
      </c>
      <c r="K79" s="4">
        <v>10.8</v>
      </c>
      <c r="L79" s="4">
        <f t="shared" si="15"/>
        <v>8.69</v>
      </c>
      <c r="M79" s="4"/>
      <c r="N79" s="4">
        <f>_xlfn.XLOOKUP(A79,'[1]M3 Price'!$A:$A,'[1]M3 Price'!$H:$H)</f>
        <v>8.69</v>
      </c>
      <c r="O79" s="34"/>
      <c r="P79" s="4"/>
      <c r="Q79" s="4"/>
      <c r="T79" s="34">
        <f t="shared" si="16"/>
        <v>0.3846153846153848</v>
      </c>
      <c r="W79" t="s">
        <v>4741</v>
      </c>
      <c r="X79" s="4">
        <f t="shared" si="17"/>
        <v>0</v>
      </c>
    </row>
    <row r="80" spans="1:24" x14ac:dyDescent="0.25">
      <c r="A80" s="1" t="s">
        <v>1283</v>
      </c>
      <c r="B80" s="1" t="s">
        <v>1284</v>
      </c>
      <c r="C80" s="1" t="s">
        <v>554</v>
      </c>
      <c r="D80" s="10">
        <v>9.841666666666665</v>
      </c>
      <c r="E80" s="10">
        <f t="shared" si="20"/>
        <v>10.249999999999998</v>
      </c>
      <c r="F80" s="10">
        <f t="shared" si="18"/>
        <v>9.35</v>
      </c>
      <c r="G80" s="136">
        <f t="shared" si="19"/>
        <v>-8.7804878048780358E-2</v>
      </c>
      <c r="H80" s="4">
        <v>1.2000000000000002</v>
      </c>
      <c r="I80" s="4" t="s">
        <v>3968</v>
      </c>
      <c r="J80" s="4">
        <v>11.81</v>
      </c>
      <c r="K80" s="4">
        <v>12.3</v>
      </c>
      <c r="L80" s="4">
        <f t="shared" si="15"/>
        <v>11.21</v>
      </c>
      <c r="M80" s="4"/>
      <c r="N80" s="4">
        <f>_xlfn.XLOOKUP(A80,'[1]M3 Price'!$A:$A,'[1]M3 Price'!$H:$H)</f>
        <v>11.21</v>
      </c>
      <c r="O80" s="34"/>
      <c r="P80" s="4"/>
      <c r="Q80" s="4"/>
      <c r="T80" s="34">
        <f t="shared" si="16"/>
        <v>4.1490262489415744E-2</v>
      </c>
      <c r="W80" t="s">
        <v>4741</v>
      </c>
      <c r="X80" s="4">
        <f t="shared" si="17"/>
        <v>0</v>
      </c>
    </row>
    <row r="81" spans="1:24" x14ac:dyDescent="0.25">
      <c r="A81" s="1" t="s">
        <v>1285</v>
      </c>
      <c r="B81" s="1" t="s">
        <v>1286</v>
      </c>
      <c r="C81" s="1" t="s">
        <v>554</v>
      </c>
      <c r="D81" s="10">
        <v>4.3099999999999996</v>
      </c>
      <c r="E81" s="140">
        <f>D81</f>
        <v>4.3099999999999996</v>
      </c>
      <c r="F81" s="10" t="e">
        <f t="shared" si="18"/>
        <v>#N/A</v>
      </c>
      <c r="G81" s="136" t="e">
        <f t="shared" si="19"/>
        <v>#N/A</v>
      </c>
      <c r="H81" s="4">
        <v>5</v>
      </c>
      <c r="I81" s="4" t="s">
        <v>3963</v>
      </c>
      <c r="J81" s="4" t="e">
        <v>#N/A</v>
      </c>
      <c r="K81" s="4">
        <v>0</v>
      </c>
      <c r="L81" s="4" t="e">
        <f>_xlfn.XLOOKUP(A81,'[2]Inbound Pricing'!$C:$C,'[2]Inbound Pricing'!$K:$K)</f>
        <v>#N/A</v>
      </c>
      <c r="M81" s="4"/>
      <c r="N81" s="4" t="e">
        <f>_xlfn.XLOOKUP(A81,'[1]M3 Price'!$A:$A,'[1]M3 Price'!$H:$H)</f>
        <v>#N/A</v>
      </c>
      <c r="O81" s="4"/>
      <c r="P81" s="4"/>
      <c r="Q81" s="4"/>
      <c r="T81" s="34">
        <f t="shared" si="16"/>
        <v>0</v>
      </c>
      <c r="W81" t="s">
        <v>4741</v>
      </c>
    </row>
    <row r="82" spans="1:24" x14ac:dyDescent="0.25">
      <c r="A82" s="1" t="s">
        <v>1289</v>
      </c>
      <c r="B82" s="1" t="s">
        <v>1290</v>
      </c>
      <c r="C82" s="1" t="s">
        <v>554</v>
      </c>
      <c r="D82" s="10">
        <v>1.53</v>
      </c>
      <c r="E82" s="10">
        <f t="shared" ref="E82:E87" si="21">IFERROR(K82/H82,"")</f>
        <v>1.5699999999999998</v>
      </c>
      <c r="F82" s="10">
        <f t="shared" si="18"/>
        <v>1.57</v>
      </c>
      <c r="G82" s="136">
        <f t="shared" si="19"/>
        <v>1.4142968466562505E-16</v>
      </c>
      <c r="H82" s="4">
        <v>5</v>
      </c>
      <c r="I82" s="4" t="s">
        <v>3963</v>
      </c>
      <c r="J82" s="4">
        <v>7.65</v>
      </c>
      <c r="K82" s="4">
        <v>7.85</v>
      </c>
      <c r="L82" s="4">
        <f t="shared" ref="L82:L85" si="22">N82</f>
        <v>7.85</v>
      </c>
      <c r="M82" s="4"/>
      <c r="N82" s="4">
        <f>_xlfn.XLOOKUP(A82,'[1]M3 Price'!$A:$A,'[1]M3 Price'!$H:$H)</f>
        <v>7.85</v>
      </c>
      <c r="O82" s="34"/>
      <c r="P82" s="4"/>
      <c r="Q82" s="4"/>
      <c r="T82" s="34">
        <f t="shared" si="16"/>
        <v>2.6143790849673082E-2</v>
      </c>
      <c r="W82" t="s">
        <v>4741</v>
      </c>
      <c r="X82" s="4">
        <f>N82-L82</f>
        <v>0</v>
      </c>
    </row>
    <row r="83" spans="1:24" x14ac:dyDescent="0.25">
      <c r="A83" s="1" t="s">
        <v>1291</v>
      </c>
      <c r="B83" s="1" t="s">
        <v>1292</v>
      </c>
      <c r="C83" s="1" t="s">
        <v>554</v>
      </c>
      <c r="D83" s="10">
        <v>9.4166666666666661</v>
      </c>
      <c r="E83" s="10">
        <f t="shared" si="21"/>
        <v>10.416666666666664</v>
      </c>
      <c r="F83" s="10">
        <f t="shared" si="18"/>
        <v>9.5</v>
      </c>
      <c r="G83" s="136">
        <f t="shared" si="19"/>
        <v>-8.7999999999999787E-2</v>
      </c>
      <c r="H83" s="4">
        <v>1.2000000000000002</v>
      </c>
      <c r="I83" s="4" t="s">
        <v>3968</v>
      </c>
      <c r="J83" s="4">
        <v>11.3</v>
      </c>
      <c r="K83" s="4">
        <v>12.5</v>
      </c>
      <c r="L83" s="4">
        <f t="shared" si="22"/>
        <v>11.4</v>
      </c>
      <c r="M83" s="4"/>
      <c r="N83" s="4">
        <f>_xlfn.XLOOKUP(A83,'[1]M3 Price'!$A:$A,'[1]M3 Price'!$H:$H)</f>
        <v>11.4</v>
      </c>
      <c r="O83" s="34"/>
      <c r="P83" s="4"/>
      <c r="Q83" s="4"/>
      <c r="T83" s="34">
        <f t="shared" si="16"/>
        <v>0.10619469026548654</v>
      </c>
      <c r="W83" t="s">
        <v>4741</v>
      </c>
      <c r="X83" s="4">
        <f>N83-L83</f>
        <v>0</v>
      </c>
    </row>
    <row r="84" spans="1:24" x14ac:dyDescent="0.25">
      <c r="A84" s="1" t="s">
        <v>1293</v>
      </c>
      <c r="B84" s="1" t="s">
        <v>1294</v>
      </c>
      <c r="C84" s="1" t="s">
        <v>554</v>
      </c>
      <c r="D84" s="10">
        <v>0.47000000000000003</v>
      </c>
      <c r="E84" s="10">
        <f t="shared" si="21"/>
        <v>0.36</v>
      </c>
      <c r="F84" s="10">
        <f t="shared" si="18"/>
        <v>0.47</v>
      </c>
      <c r="G84" s="136">
        <f t="shared" si="19"/>
        <v>0.30555555555555552</v>
      </c>
      <c r="H84" s="4">
        <v>10</v>
      </c>
      <c r="I84" s="4" t="s">
        <v>3983</v>
      </c>
      <c r="J84" s="4">
        <v>4.7</v>
      </c>
      <c r="K84" s="4">
        <v>3.6</v>
      </c>
      <c r="L84" s="4">
        <f t="shared" si="22"/>
        <v>4.7</v>
      </c>
      <c r="M84" s="4"/>
      <c r="N84" s="4">
        <f>_xlfn.XLOOKUP(A84,'[1]M3 Price'!$A:$A,'[1]M3 Price'!$H:$H)</f>
        <v>4.7</v>
      </c>
      <c r="O84" s="34"/>
      <c r="P84" s="4"/>
      <c r="Q84" s="4"/>
      <c r="T84" s="34">
        <f t="shared" si="16"/>
        <v>-0.23404255319148945</v>
      </c>
      <c r="W84" t="s">
        <v>4741</v>
      </c>
      <c r="X84" s="4">
        <f>N84-L84</f>
        <v>0</v>
      </c>
    </row>
    <row r="85" spans="1:24" x14ac:dyDescent="0.25">
      <c r="A85" s="1" t="s">
        <v>1295</v>
      </c>
      <c r="B85" s="1" t="s">
        <v>1296</v>
      </c>
      <c r="C85" s="1" t="s">
        <v>554</v>
      </c>
      <c r="D85" s="10">
        <v>1.5813953488372092</v>
      </c>
      <c r="E85" s="10">
        <f t="shared" si="21"/>
        <v>1.9767441860465118</v>
      </c>
      <c r="F85" s="10">
        <f t="shared" si="18"/>
        <v>2.2399999999999998</v>
      </c>
      <c r="G85" s="136">
        <f t="shared" si="19"/>
        <v>0.13317647058823506</v>
      </c>
      <c r="H85" s="4">
        <v>8.6</v>
      </c>
      <c r="I85" s="4" t="s">
        <v>4035</v>
      </c>
      <c r="J85" s="4">
        <v>13.6</v>
      </c>
      <c r="K85" s="4">
        <v>17</v>
      </c>
      <c r="L85" s="4">
        <f t="shared" si="22"/>
        <v>19.2</v>
      </c>
      <c r="M85" s="4"/>
      <c r="N85" s="4">
        <f>_xlfn.XLOOKUP(A85,'[1]M3 Price'!$A:$A,'[1]M3 Price'!$H:$H)</f>
        <v>19.2</v>
      </c>
      <c r="O85" s="34"/>
      <c r="P85" s="4" t="str">
        <f>VLOOKUP(A85,'Material Cost'!A:C,3,0)</f>
        <v>1X20</v>
      </c>
      <c r="Q85" s="4">
        <f>VLOOKUP(A85,'Material Cost'!G:L,6,0)</f>
        <v>8.6</v>
      </c>
      <c r="R85" s="4">
        <f>VLOOKUP(A85,'Material Cost'!A:D,4,0)</f>
        <v>13.913043478260871</v>
      </c>
      <c r="T85" s="34">
        <f t="shared" si="16"/>
        <v>0.25000000000000017</v>
      </c>
      <c r="W85" t="s">
        <v>4741</v>
      </c>
      <c r="X85" s="4">
        <f>N85-L85</f>
        <v>0</v>
      </c>
    </row>
    <row r="86" spans="1:24" x14ac:dyDescent="0.25">
      <c r="A86" s="1" t="s">
        <v>1297</v>
      </c>
      <c r="B86" s="1" t="s">
        <v>1298</v>
      </c>
      <c r="C86" s="1" t="s">
        <v>554</v>
      </c>
      <c r="D86" s="10">
        <v>1.17</v>
      </c>
      <c r="E86" s="10">
        <f t="shared" si="21"/>
        <v>1</v>
      </c>
      <c r="F86" s="10" t="e">
        <f t="shared" si="18"/>
        <v>#N/A</v>
      </c>
      <c r="G86" s="136" t="e">
        <f t="shared" si="19"/>
        <v>#N/A</v>
      </c>
      <c r="H86" s="4">
        <v>12</v>
      </c>
      <c r="I86" s="4" t="s">
        <v>4072</v>
      </c>
      <c r="J86" s="4">
        <v>14.04</v>
      </c>
      <c r="K86" s="4">
        <v>12</v>
      </c>
      <c r="L86" s="4" t="e">
        <f>_xlfn.XLOOKUP(A86,'[2]Inbound Pricing'!$C:$C,'[2]Inbound Pricing'!$K:$K)</f>
        <v>#N/A</v>
      </c>
      <c r="M86" s="4"/>
      <c r="N86" s="4" t="e">
        <f>_xlfn.XLOOKUP(A86,'[1]M3 Price'!$A:$A,'[1]M3 Price'!$H:$H)</f>
        <v>#N/A</v>
      </c>
      <c r="O86" s="34"/>
      <c r="P86" s="4"/>
      <c r="Q86" s="4"/>
      <c r="T86" s="34">
        <f t="shared" si="16"/>
        <v>-0.14529914529914525</v>
      </c>
      <c r="W86" t="s">
        <v>4737</v>
      </c>
    </row>
    <row r="87" spans="1:24" x14ac:dyDescent="0.25">
      <c r="A87" s="1" t="s">
        <v>1299</v>
      </c>
      <c r="B87" s="1" t="s">
        <v>1300</v>
      </c>
      <c r="C87" s="1" t="s">
        <v>554</v>
      </c>
      <c r="D87" s="10">
        <v>9.591666666666665</v>
      </c>
      <c r="E87" s="10">
        <f t="shared" si="21"/>
        <v>9.9999999999999982</v>
      </c>
      <c r="F87" s="10">
        <f t="shared" si="18"/>
        <v>9.35</v>
      </c>
      <c r="G87" s="136">
        <f t="shared" si="19"/>
        <v>-6.4999999999999863E-2</v>
      </c>
      <c r="H87" s="4">
        <v>1.2000000000000002</v>
      </c>
      <c r="I87" s="4" t="s">
        <v>3968</v>
      </c>
      <c r="J87" s="4">
        <v>11.51</v>
      </c>
      <c r="K87" s="4">
        <v>12</v>
      </c>
      <c r="L87" s="4">
        <f>N87</f>
        <v>11.21</v>
      </c>
      <c r="M87" s="4"/>
      <c r="N87" s="4">
        <f>_xlfn.XLOOKUP(A87,'[1]M3 Price'!$A:$A,'[1]M3 Price'!$H:$H)</f>
        <v>11.21</v>
      </c>
      <c r="O87" s="34"/>
      <c r="P87" s="4"/>
      <c r="Q87" s="4"/>
      <c r="T87" s="34">
        <f t="shared" si="16"/>
        <v>4.2571676802780185E-2</v>
      </c>
      <c r="W87" t="s">
        <v>4741</v>
      </c>
      <c r="X87" s="4">
        <f>N87-L87</f>
        <v>0</v>
      </c>
    </row>
    <row r="88" spans="1:24" x14ac:dyDescent="0.25">
      <c r="A88" s="1" t="s">
        <v>1301</v>
      </c>
      <c r="B88" s="1" t="s">
        <v>1302</v>
      </c>
      <c r="C88" s="1" t="s">
        <v>554</v>
      </c>
      <c r="D88" s="10">
        <v>1.05</v>
      </c>
      <c r="E88" s="33">
        <v>1.31</v>
      </c>
      <c r="F88" s="10" t="e">
        <f t="shared" si="18"/>
        <v>#N/A</v>
      </c>
      <c r="G88" s="136" t="e">
        <f t="shared" si="19"/>
        <v>#N/A</v>
      </c>
      <c r="H88" s="4">
        <v>6</v>
      </c>
      <c r="I88" s="4" t="e">
        <v>#N/A</v>
      </c>
      <c r="J88" s="4" t="e">
        <v>#N/A</v>
      </c>
      <c r="K88" s="4" t="e">
        <v>#N/A</v>
      </c>
      <c r="L88" s="4" t="e">
        <f>_xlfn.XLOOKUP(A88,'[2]Inbound Pricing'!$C:$C,'[2]Inbound Pricing'!$K:$K)</f>
        <v>#N/A</v>
      </c>
      <c r="M88" s="4"/>
      <c r="N88" s="4" t="e">
        <f>_xlfn.XLOOKUP(A88,'[1]M3 Price'!$A:$A,'[1]M3 Price'!$H:$H)</f>
        <v>#N/A</v>
      </c>
      <c r="O88" s="4" t="s">
        <v>4333</v>
      </c>
      <c r="P88" s="4" t="e">
        <f>VLOOKUP(A88,'Material Cost'!A:C,3,0)</f>
        <v>#N/A</v>
      </c>
      <c r="Q88" s="4"/>
      <c r="R88" t="e">
        <f>VLOOKUP(A88,'Material Cost'!A:D,4,0)</f>
        <v>#N/A</v>
      </c>
      <c r="T88" s="34">
        <f t="shared" si="16"/>
        <v>0.24761904761904763</v>
      </c>
      <c r="W88" t="s">
        <v>4735</v>
      </c>
    </row>
    <row r="89" spans="1:24" x14ac:dyDescent="0.25">
      <c r="A89" s="1" t="s">
        <v>1303</v>
      </c>
      <c r="B89" s="1" t="s">
        <v>1304</v>
      </c>
      <c r="C89" s="1" t="s">
        <v>554</v>
      </c>
      <c r="D89" s="10">
        <v>0.66666666666666663</v>
      </c>
      <c r="E89" s="10">
        <f t="shared" ref="E89:E94" si="23">IFERROR(K89/H89,"")</f>
        <v>0.6</v>
      </c>
      <c r="F89" s="10">
        <f t="shared" si="18"/>
        <v>0.57000000000000006</v>
      </c>
      <c r="G89" s="136">
        <f t="shared" si="19"/>
        <v>-4.9999999999999864E-2</v>
      </c>
      <c r="H89" s="4">
        <v>15</v>
      </c>
      <c r="I89" s="4" t="s">
        <v>4274</v>
      </c>
      <c r="J89" s="4">
        <v>10</v>
      </c>
      <c r="K89" s="4">
        <v>9</v>
      </c>
      <c r="L89" s="4">
        <f t="shared" ref="L89:L93" si="24">N89</f>
        <v>8.5</v>
      </c>
      <c r="M89" s="4"/>
      <c r="N89" s="4">
        <f>_xlfn.XLOOKUP(A89,'[1]M3 Price'!$A:$A,'[1]M3 Price'!$H:$H)</f>
        <v>8.5</v>
      </c>
      <c r="O89" s="34"/>
      <c r="P89" s="4" t="str">
        <f>VLOOKUP(A89,'Material Cost'!A:C,3,0)</f>
        <v>50 X EACH</v>
      </c>
      <c r="Q89" s="4">
        <f>VLOOKUP(A89,'Material Cost'!G:L,6,0)</f>
        <v>15</v>
      </c>
      <c r="R89" s="4">
        <f>VLOOKUP(A89,'Material Cost'!A:D,4,0)</f>
        <v>14.91</v>
      </c>
      <c r="T89" s="34">
        <f t="shared" si="16"/>
        <v>-9.9999999999999978E-2</v>
      </c>
      <c r="W89" t="s">
        <v>4732</v>
      </c>
      <c r="X89" s="4">
        <f>N89-L89</f>
        <v>0</v>
      </c>
    </row>
    <row r="90" spans="1:24" x14ac:dyDescent="0.25">
      <c r="A90" s="1" t="s">
        <v>1305</v>
      </c>
      <c r="B90" s="1" t="s">
        <v>1306</v>
      </c>
      <c r="C90" s="1" t="s">
        <v>554</v>
      </c>
      <c r="D90" s="10">
        <v>3.81</v>
      </c>
      <c r="E90" s="10">
        <f t="shared" si="23"/>
        <v>4.08</v>
      </c>
      <c r="F90" s="10">
        <f t="shared" si="18"/>
        <v>3.7</v>
      </c>
      <c r="G90" s="136">
        <f t="shared" si="19"/>
        <v>-9.3137254901960759E-2</v>
      </c>
      <c r="H90" s="4">
        <v>1</v>
      </c>
      <c r="I90" s="4" t="s">
        <v>3943</v>
      </c>
      <c r="J90" s="4">
        <v>3.81</v>
      </c>
      <c r="K90" s="4">
        <v>4.08</v>
      </c>
      <c r="L90" s="4">
        <f t="shared" si="24"/>
        <v>3.7</v>
      </c>
      <c r="M90" s="4"/>
      <c r="N90" s="4">
        <f>_xlfn.XLOOKUP(A90,'[1]M3 Price'!$A:$A,'[1]M3 Price'!$H:$H)</f>
        <v>3.7</v>
      </c>
      <c r="O90" s="34"/>
      <c r="P90" s="4"/>
      <c r="Q90" s="4"/>
      <c r="T90" s="34">
        <f t="shared" si="16"/>
        <v>7.0866141732283464E-2</v>
      </c>
      <c r="W90" t="s">
        <v>4741</v>
      </c>
      <c r="X90" s="4">
        <f>N90-L90</f>
        <v>0</v>
      </c>
    </row>
    <row r="91" spans="1:24" x14ac:dyDescent="0.25">
      <c r="A91" s="1" t="s">
        <v>1307</v>
      </c>
      <c r="B91" s="1" t="s">
        <v>1756</v>
      </c>
      <c r="C91" s="1" t="s">
        <v>554</v>
      </c>
      <c r="D91" s="10">
        <v>1.268041237113402</v>
      </c>
      <c r="E91" s="10">
        <f t="shared" si="23"/>
        <v>1.3319238900634247</v>
      </c>
      <c r="F91" s="10">
        <f t="shared" si="18"/>
        <v>1.27</v>
      </c>
      <c r="G91" s="136">
        <f t="shared" si="19"/>
        <v>-4.6492063492063307E-2</v>
      </c>
      <c r="H91" s="4">
        <v>9.4600000000000009</v>
      </c>
      <c r="I91" s="4" t="s">
        <v>3896</v>
      </c>
      <c r="J91" s="4">
        <v>12</v>
      </c>
      <c r="K91" s="4">
        <v>12.6</v>
      </c>
      <c r="L91" s="4">
        <f t="shared" si="24"/>
        <v>12</v>
      </c>
      <c r="M91" s="4"/>
      <c r="N91" s="4">
        <f>_xlfn.XLOOKUP(A91,'[1]M3 Price'!$A:$A,'[1]M3 Price'!$H:$H)</f>
        <v>12</v>
      </c>
      <c r="O91" s="4"/>
      <c r="P91" s="4" t="str">
        <f>VLOOKUP(A91,'Material Cost'!A:C,3,0)</f>
        <v>10 X BOX</v>
      </c>
      <c r="Q91" s="4">
        <f>VLOOKUP(A91,'Material Cost'!G:L,6,0)</f>
        <v>9.4634146341463428</v>
      </c>
      <c r="R91" s="4">
        <f>VLOOKUP(A91,'Material Cost'!A:D,4,0)</f>
        <v>11.642846179305073</v>
      </c>
      <c r="T91" s="34">
        <f t="shared" si="16"/>
        <v>5.0379002732944746E-2</v>
      </c>
      <c r="W91" t="s">
        <v>4741</v>
      </c>
      <c r="X91" s="4">
        <f>N91-L91</f>
        <v>0</v>
      </c>
    </row>
    <row r="92" spans="1:24" x14ac:dyDescent="0.25">
      <c r="A92" s="1" t="s">
        <v>1309</v>
      </c>
      <c r="B92" s="1" t="s">
        <v>1310</v>
      </c>
      <c r="C92" s="1" t="s">
        <v>554</v>
      </c>
      <c r="D92" s="10">
        <v>0.46</v>
      </c>
      <c r="E92" s="10">
        <f t="shared" si="23"/>
        <v>0.4</v>
      </c>
      <c r="F92" s="10">
        <f t="shared" si="18"/>
        <v>0.4</v>
      </c>
      <c r="G92" s="136">
        <f t="shared" si="19"/>
        <v>0</v>
      </c>
      <c r="H92" s="4">
        <v>25</v>
      </c>
      <c r="I92" s="4" t="s">
        <v>4252</v>
      </c>
      <c r="J92" s="4">
        <v>11.5</v>
      </c>
      <c r="K92" s="4">
        <v>10</v>
      </c>
      <c r="L92" s="4">
        <f t="shared" si="24"/>
        <v>10</v>
      </c>
      <c r="M92" s="4"/>
      <c r="N92" s="4">
        <f>_xlfn.XLOOKUP(A92,'[1]M3 Price'!$A:$A,'[1]M3 Price'!$H:$H)</f>
        <v>10</v>
      </c>
      <c r="O92" s="34"/>
      <c r="P92" s="4" t="str">
        <f>VLOOKUP(A92,'Material Cost'!A:C,3,0)</f>
        <v>25 X KILO</v>
      </c>
      <c r="Q92" s="4" t="e">
        <f>VLOOKUP(A92,'Material Cost'!G:L,6,0)</f>
        <v>#N/A</v>
      </c>
      <c r="R92">
        <f>VLOOKUP(A92,'Material Cost'!A:D,4,0)</f>
        <v>13.63</v>
      </c>
      <c r="T92" s="34">
        <f t="shared" si="16"/>
        <v>-0.13043478260869565</v>
      </c>
      <c r="W92" t="s">
        <v>4732</v>
      </c>
      <c r="X92" s="4">
        <f>N92-L92</f>
        <v>0</v>
      </c>
    </row>
    <row r="93" spans="1:24" x14ac:dyDescent="0.25">
      <c r="A93" s="1" t="s">
        <v>1311</v>
      </c>
      <c r="B93" s="1" t="s">
        <v>1312</v>
      </c>
      <c r="C93" s="1" t="s">
        <v>554</v>
      </c>
      <c r="D93" s="10">
        <v>1.33</v>
      </c>
      <c r="E93" s="10">
        <f t="shared" si="23"/>
        <v>1.8</v>
      </c>
      <c r="F93" s="10">
        <f t="shared" si="18"/>
        <v>1.33</v>
      </c>
      <c r="G93" s="136">
        <f t="shared" si="19"/>
        <v>-0.26111111111111107</v>
      </c>
      <c r="H93" s="4">
        <v>5</v>
      </c>
      <c r="I93" s="4" t="s">
        <v>3884</v>
      </c>
      <c r="J93" s="4">
        <v>6.65</v>
      </c>
      <c r="K93" s="4">
        <v>9</v>
      </c>
      <c r="L93" s="4">
        <f t="shared" si="24"/>
        <v>6.65</v>
      </c>
      <c r="M93" s="4"/>
      <c r="N93" s="4">
        <f>_xlfn.XLOOKUP(A93,'[1]M3 Price'!$A:$A,'[1]M3 Price'!$H:$H)</f>
        <v>6.65</v>
      </c>
      <c r="O93" s="34"/>
      <c r="P93" s="4"/>
      <c r="Q93" s="4"/>
      <c r="T93" s="34">
        <f t="shared" si="16"/>
        <v>0.35338345864661652</v>
      </c>
      <c r="W93" t="s">
        <v>4741</v>
      </c>
      <c r="X93" s="4">
        <f>N93-L93</f>
        <v>0</v>
      </c>
    </row>
    <row r="94" spans="1:24" x14ac:dyDescent="0.25">
      <c r="A94" s="1" t="s">
        <v>1313</v>
      </c>
      <c r="B94" s="1" t="s">
        <v>1314</v>
      </c>
      <c r="C94" s="1" t="s">
        <v>554</v>
      </c>
      <c r="D94" s="10">
        <v>5.87</v>
      </c>
      <c r="E94" s="10">
        <f t="shared" si="23"/>
        <v>5.87</v>
      </c>
      <c r="F94" s="10" t="e">
        <f t="shared" si="18"/>
        <v>#N/A</v>
      </c>
      <c r="G94" s="136" t="e">
        <f t="shared" si="19"/>
        <v>#N/A</v>
      </c>
      <c r="H94" s="4">
        <v>10</v>
      </c>
      <c r="I94" s="4" t="s">
        <v>3951</v>
      </c>
      <c r="J94" s="4">
        <v>58.7</v>
      </c>
      <c r="K94" s="4">
        <v>58.7</v>
      </c>
      <c r="L94" s="4" t="e">
        <f>_xlfn.XLOOKUP(A94,'[2]Inbound Pricing'!$C:$C,'[2]Inbound Pricing'!$K:$K)</f>
        <v>#N/A</v>
      </c>
      <c r="M94" s="4"/>
      <c r="N94" s="4" t="e">
        <f>_xlfn.XLOOKUP(A94,'[1]M3 Price'!$A:$A,'[1]M3 Price'!$H:$H)</f>
        <v>#N/A</v>
      </c>
      <c r="O94" s="4"/>
      <c r="P94" s="4"/>
      <c r="Q94" s="4"/>
      <c r="T94" s="34">
        <f t="shared" si="16"/>
        <v>0</v>
      </c>
      <c r="W94" t="s">
        <v>4741</v>
      </c>
    </row>
    <row r="95" spans="1:24" x14ac:dyDescent="0.25">
      <c r="A95" s="1" t="s">
        <v>4327</v>
      </c>
      <c r="B95" s="1" t="s">
        <v>1316</v>
      </c>
      <c r="C95" s="1" t="s">
        <v>554</v>
      </c>
      <c r="D95" s="10">
        <v>10.35</v>
      </c>
      <c r="E95" s="140">
        <f>D95</f>
        <v>10.35</v>
      </c>
      <c r="F95" s="10" t="e">
        <f t="shared" si="18"/>
        <v>#N/A</v>
      </c>
      <c r="G95" s="136" t="e">
        <f t="shared" si="19"/>
        <v>#N/A</v>
      </c>
      <c r="H95" s="4">
        <v>1.2</v>
      </c>
      <c r="I95" s="4" t="s">
        <v>3958</v>
      </c>
      <c r="J95" s="4" t="e">
        <v>#N/A</v>
      </c>
      <c r="K95" s="4">
        <v>0</v>
      </c>
      <c r="L95" s="4" t="e">
        <f>_xlfn.XLOOKUP(A95,'[2]Inbound Pricing'!$C:$C,'[2]Inbound Pricing'!$K:$K)</f>
        <v>#N/A</v>
      </c>
      <c r="M95" s="4"/>
      <c r="N95" s="4" t="e">
        <f>_xlfn.XLOOKUP(A95,'[1]M3 Price'!$A:$A,'[1]M3 Price'!$H:$H)</f>
        <v>#N/A</v>
      </c>
      <c r="O95" s="4" t="s">
        <v>4375</v>
      </c>
      <c r="P95" s="4" t="e">
        <f>VLOOKUP(A95,'Material Cost'!A:C,3,0)</f>
        <v>#N/A</v>
      </c>
      <c r="Q95" s="4"/>
      <c r="R95" t="e">
        <f>VLOOKUP(A95,'Material Cost'!A:D,4,0)</f>
        <v>#N/A</v>
      </c>
      <c r="T95" s="34">
        <f t="shared" si="16"/>
        <v>0</v>
      </c>
      <c r="W95" t="s">
        <v>4741</v>
      </c>
    </row>
    <row r="96" spans="1:24" x14ac:dyDescent="0.25">
      <c r="A96" s="1" t="s">
        <v>1317</v>
      </c>
      <c r="B96" s="2" t="s">
        <v>4678</v>
      </c>
      <c r="C96" s="1" t="s">
        <v>595</v>
      </c>
      <c r="D96" s="10">
        <v>0.08</v>
      </c>
      <c r="E96" s="10">
        <f>D96</f>
        <v>0.08</v>
      </c>
      <c r="F96" s="10">
        <f>E96</f>
        <v>0.08</v>
      </c>
      <c r="G96" s="136">
        <f t="shared" si="19"/>
        <v>0</v>
      </c>
      <c r="H96" s="4"/>
      <c r="I96" s="4" t="e">
        <v>#N/A</v>
      </c>
      <c r="J96" s="4" t="e">
        <v>#N/A</v>
      </c>
      <c r="K96" s="4" t="e">
        <v>#N/A</v>
      </c>
      <c r="L96" s="4" t="e">
        <f>_xlfn.XLOOKUP(A96,'[2]Inbound Pricing'!$C:$C,'[2]Inbound Pricing'!$K:$K)</f>
        <v>#N/A</v>
      </c>
      <c r="M96" s="4"/>
      <c r="N96" s="4" t="e">
        <f>_xlfn.XLOOKUP(A96,'[1]M3 Price'!$A:$A,'[1]M3 Price'!$H:$H)</f>
        <v>#N/A</v>
      </c>
      <c r="O96" s="4"/>
      <c r="P96" s="4" t="e">
        <f>VLOOKUP(A96,'Material Cost'!A:C,3,0)</f>
        <v>#N/A</v>
      </c>
      <c r="Q96" s="4"/>
      <c r="R96" t="e">
        <f>VLOOKUP(A96,'Material Cost'!A:D,4,0)</f>
        <v>#N/A</v>
      </c>
      <c r="T96" s="34">
        <f t="shared" si="16"/>
        <v>0</v>
      </c>
      <c r="W96" t="s">
        <v>4742</v>
      </c>
    </row>
    <row r="97" spans="1:23" x14ac:dyDescent="0.25">
      <c r="A97" s="1" t="s">
        <v>1318</v>
      </c>
      <c r="B97" s="2" t="s">
        <v>4679</v>
      </c>
      <c r="C97" s="1" t="s">
        <v>595</v>
      </c>
      <c r="D97" s="10">
        <v>0.32</v>
      </c>
      <c r="E97" s="10">
        <f t="shared" ref="E97:E117" si="25">D97</f>
        <v>0.32</v>
      </c>
      <c r="F97" s="10">
        <f t="shared" ref="F97:F117" si="26">E97</f>
        <v>0.32</v>
      </c>
      <c r="G97" s="136">
        <f t="shared" si="19"/>
        <v>0</v>
      </c>
      <c r="H97" s="4"/>
      <c r="I97" s="4" t="e">
        <v>#N/A</v>
      </c>
      <c r="J97" s="4" t="e">
        <v>#N/A</v>
      </c>
      <c r="K97" s="4" t="e">
        <v>#N/A</v>
      </c>
      <c r="L97" s="4" t="e">
        <f>_xlfn.XLOOKUP(A97,'[2]Inbound Pricing'!$C:$C,'[2]Inbound Pricing'!$K:$K)</f>
        <v>#N/A</v>
      </c>
      <c r="M97" s="4"/>
      <c r="N97" s="4" t="e">
        <f>_xlfn.XLOOKUP(A97,'[1]M3 Price'!$A:$A,'[1]M3 Price'!$H:$H)</f>
        <v>#N/A</v>
      </c>
      <c r="O97" s="4"/>
      <c r="P97" s="4" t="e">
        <f>VLOOKUP(A97,'Material Cost'!A:C,3,0)</f>
        <v>#N/A</v>
      </c>
      <c r="Q97" s="4"/>
      <c r="R97" t="e">
        <f>VLOOKUP(A97,'Material Cost'!A:D,4,0)</f>
        <v>#N/A</v>
      </c>
      <c r="T97" s="34">
        <f t="shared" si="16"/>
        <v>0</v>
      </c>
      <c r="W97" t="s">
        <v>4742</v>
      </c>
    </row>
    <row r="98" spans="1:23" x14ac:dyDescent="0.25">
      <c r="A98" s="1" t="s">
        <v>1319</v>
      </c>
      <c r="B98" s="2" t="s">
        <v>4680</v>
      </c>
      <c r="C98" s="1" t="s">
        <v>595</v>
      </c>
      <c r="D98" s="10">
        <v>0.48</v>
      </c>
      <c r="E98" s="10">
        <f t="shared" si="25"/>
        <v>0.48</v>
      </c>
      <c r="F98" s="10">
        <f t="shared" si="26"/>
        <v>0.48</v>
      </c>
      <c r="G98" s="136">
        <f t="shared" si="19"/>
        <v>0</v>
      </c>
      <c r="H98" s="4"/>
      <c r="I98" s="4" t="e">
        <v>#N/A</v>
      </c>
      <c r="J98" s="4" t="e">
        <v>#N/A</v>
      </c>
      <c r="K98" s="4" t="e">
        <v>#N/A</v>
      </c>
      <c r="L98" s="4" t="e">
        <f>_xlfn.XLOOKUP(A98,'[2]Inbound Pricing'!$C:$C,'[2]Inbound Pricing'!$K:$K)</f>
        <v>#N/A</v>
      </c>
      <c r="M98" s="4"/>
      <c r="N98" s="4" t="e">
        <f>_xlfn.XLOOKUP(A98,'[1]M3 Price'!$A:$A,'[1]M3 Price'!$H:$H)</f>
        <v>#N/A</v>
      </c>
      <c r="O98" s="4"/>
      <c r="P98" s="4" t="e">
        <f>VLOOKUP(A98,'Material Cost'!A:C,3,0)</f>
        <v>#N/A</v>
      </c>
      <c r="Q98" s="4"/>
      <c r="R98" t="e">
        <f>VLOOKUP(A98,'Material Cost'!A:D,4,0)</f>
        <v>#N/A</v>
      </c>
      <c r="T98" s="34">
        <f t="shared" si="16"/>
        <v>0</v>
      </c>
      <c r="W98" t="s">
        <v>4742</v>
      </c>
    </row>
    <row r="99" spans="1:23" x14ac:dyDescent="0.25">
      <c r="A99" s="1" t="s">
        <v>1320</v>
      </c>
      <c r="B99" s="2" t="s">
        <v>4681</v>
      </c>
      <c r="C99" s="1" t="s">
        <v>595</v>
      </c>
      <c r="D99" s="10">
        <v>0.64</v>
      </c>
      <c r="E99" s="10">
        <f t="shared" si="25"/>
        <v>0.64</v>
      </c>
      <c r="F99" s="10">
        <f t="shared" si="26"/>
        <v>0.64</v>
      </c>
      <c r="G99" s="136">
        <f t="shared" si="19"/>
        <v>0</v>
      </c>
      <c r="H99" s="4"/>
      <c r="I99" s="4" t="e">
        <v>#N/A</v>
      </c>
      <c r="J99" s="4" t="e">
        <v>#N/A</v>
      </c>
      <c r="K99" s="4" t="e">
        <v>#N/A</v>
      </c>
      <c r="L99" s="4" t="e">
        <f>_xlfn.XLOOKUP(A99,'[2]Inbound Pricing'!$C:$C,'[2]Inbound Pricing'!$K:$K)</f>
        <v>#N/A</v>
      </c>
      <c r="M99" s="4"/>
      <c r="N99" s="4" t="e">
        <f>_xlfn.XLOOKUP(A99,'[1]M3 Price'!$A:$A,'[1]M3 Price'!$H:$H)</f>
        <v>#N/A</v>
      </c>
      <c r="O99" s="4"/>
      <c r="P99" s="4" t="e">
        <f>VLOOKUP(A99,'Material Cost'!A:C,3,0)</f>
        <v>#N/A</v>
      </c>
      <c r="Q99" s="4"/>
      <c r="R99" t="e">
        <f>VLOOKUP(A99,'Material Cost'!A:D,4,0)</f>
        <v>#N/A</v>
      </c>
      <c r="T99" s="34">
        <f t="shared" si="16"/>
        <v>0</v>
      </c>
      <c r="W99" t="s">
        <v>4742</v>
      </c>
    </row>
    <row r="100" spans="1:23" hidden="1" x14ac:dyDescent="0.25">
      <c r="A100" s="1" t="s">
        <v>1321</v>
      </c>
      <c r="B100" s="2" t="s">
        <v>4666</v>
      </c>
      <c r="C100" s="1" t="s">
        <v>595</v>
      </c>
      <c r="D100" s="10">
        <v>0.47</v>
      </c>
      <c r="E100" s="10">
        <v>0.47</v>
      </c>
      <c r="F100" s="154">
        <v>0.57999999999999996</v>
      </c>
      <c r="G100" s="136">
        <f t="shared" si="19"/>
        <v>0.23404255319148934</v>
      </c>
      <c r="H100" s="4"/>
      <c r="I100" s="4" t="e">
        <v>#N/A</v>
      </c>
      <c r="J100" s="4" t="e">
        <v>#N/A</v>
      </c>
      <c r="K100" s="4" t="e">
        <v>#N/A</v>
      </c>
      <c r="L100" s="4" t="e">
        <f>_xlfn.XLOOKUP(A100,'[2]Inbound Pricing'!$C:$C,'[2]Inbound Pricing'!$K:$K)</f>
        <v>#N/A</v>
      </c>
      <c r="M100" s="4"/>
      <c r="N100" s="4" t="e">
        <f>_xlfn.XLOOKUP(A100,'[1]M3 Price'!$A:$A,'[1]M3 Price'!$H:$H)</f>
        <v>#N/A</v>
      </c>
      <c r="O100" s="4"/>
      <c r="P100" s="4" t="e">
        <f>VLOOKUP(A100,'Material Cost'!A:C,3,0)</f>
        <v>#N/A</v>
      </c>
      <c r="Q100" s="4"/>
      <c r="R100" t="e">
        <f>VLOOKUP(A100,'Material Cost'!A:D,4,0)</f>
        <v>#N/A</v>
      </c>
      <c r="T100" s="34">
        <f t="shared" si="16"/>
        <v>0</v>
      </c>
      <c r="W100" t="s">
        <v>4742</v>
      </c>
    </row>
    <row r="101" spans="1:23" hidden="1" x14ac:dyDescent="0.25">
      <c r="A101" s="1" t="s">
        <v>1769</v>
      </c>
      <c r="B101" s="2" t="s">
        <v>4667</v>
      </c>
      <c r="C101" s="1" t="s">
        <v>595</v>
      </c>
      <c r="D101" s="10">
        <v>0.03</v>
      </c>
      <c r="E101" s="10">
        <v>0.03</v>
      </c>
      <c r="F101" s="154">
        <v>0.05</v>
      </c>
      <c r="G101" s="136">
        <f t="shared" si="19"/>
        <v>0.66666666666666685</v>
      </c>
      <c r="H101" s="4"/>
      <c r="I101" s="4" t="e">
        <v>#N/A</v>
      </c>
      <c r="J101" s="4" t="e">
        <v>#N/A</v>
      </c>
      <c r="K101" s="4" t="e">
        <v>#N/A</v>
      </c>
      <c r="L101" s="4" t="e">
        <f>_xlfn.XLOOKUP(A101,'[2]Inbound Pricing'!$C:$C,'[2]Inbound Pricing'!$K:$K)</f>
        <v>#N/A</v>
      </c>
      <c r="M101" s="4"/>
      <c r="N101" s="4" t="e">
        <f>_xlfn.XLOOKUP(A101,'[1]M3 Price'!$A:$A,'[1]M3 Price'!$H:$H)</f>
        <v>#N/A</v>
      </c>
      <c r="O101" s="4"/>
      <c r="P101" s="4"/>
      <c r="Q101" s="4"/>
      <c r="T101" s="34"/>
      <c r="W101" t="s">
        <v>4742</v>
      </c>
    </row>
    <row r="102" spans="1:23" hidden="1" x14ac:dyDescent="0.25">
      <c r="A102" s="1" t="s">
        <v>1322</v>
      </c>
      <c r="B102" s="2" t="s">
        <v>4665</v>
      </c>
      <c r="C102" s="1" t="s">
        <v>595</v>
      </c>
      <c r="D102" s="10">
        <v>0.11</v>
      </c>
      <c r="E102" s="10">
        <f t="shared" si="25"/>
        <v>0.11</v>
      </c>
      <c r="F102" s="154">
        <v>0.14000000000000001</v>
      </c>
      <c r="G102" s="136">
        <f t="shared" si="19"/>
        <v>0.27272727272727282</v>
      </c>
      <c r="H102" s="4"/>
      <c r="I102" s="4" t="e">
        <v>#N/A</v>
      </c>
      <c r="J102" s="4" t="e">
        <v>#N/A</v>
      </c>
      <c r="K102" s="4" t="e">
        <v>#N/A</v>
      </c>
      <c r="L102" s="4" t="e">
        <f>_xlfn.XLOOKUP(A102,'[2]Inbound Pricing'!$C:$C,'[2]Inbound Pricing'!$K:$K)</f>
        <v>#N/A</v>
      </c>
      <c r="M102" s="4"/>
      <c r="N102" s="4" t="e">
        <f>_xlfn.XLOOKUP(A102,'[1]M3 Price'!$A:$A,'[1]M3 Price'!$H:$H)</f>
        <v>#N/A</v>
      </c>
      <c r="O102" s="4"/>
      <c r="P102" s="4" t="e">
        <f>VLOOKUP(A102,'Material Cost'!A:C,3,0)</f>
        <v>#N/A</v>
      </c>
      <c r="Q102" s="4"/>
      <c r="R102" t="e">
        <f>VLOOKUP(A102,'Material Cost'!A:D,4,0)</f>
        <v>#N/A</v>
      </c>
      <c r="T102" s="34">
        <f>(E102-D102)/D102</f>
        <v>0</v>
      </c>
      <c r="W102" t="s">
        <v>4742</v>
      </c>
    </row>
    <row r="103" spans="1:23" hidden="1" x14ac:dyDescent="0.25">
      <c r="A103" s="1" t="s">
        <v>1324</v>
      </c>
      <c r="B103" s="2" t="s">
        <v>4672</v>
      </c>
      <c r="C103" s="1" t="s">
        <v>595</v>
      </c>
      <c r="D103" s="10">
        <v>0.45</v>
      </c>
      <c r="E103" s="10">
        <v>0.45</v>
      </c>
      <c r="F103" s="154">
        <v>0.56000000000000005</v>
      </c>
      <c r="G103" s="136">
        <f t="shared" si="19"/>
        <v>0.24444444444444452</v>
      </c>
      <c r="H103" s="4"/>
      <c r="I103" s="4" t="e">
        <v>#N/A</v>
      </c>
      <c r="J103" s="4" t="e">
        <v>#N/A</v>
      </c>
      <c r="K103" s="4" t="e">
        <v>#N/A</v>
      </c>
      <c r="L103" s="4" t="e">
        <f>_xlfn.XLOOKUP(A103,'[2]Inbound Pricing'!$C:$C,'[2]Inbound Pricing'!$K:$K)</f>
        <v>#N/A</v>
      </c>
      <c r="M103" s="4"/>
      <c r="N103" s="4" t="e">
        <f>_xlfn.XLOOKUP(A103,'[1]M3 Price'!$A:$A,'[1]M3 Price'!$H:$H)</f>
        <v>#N/A</v>
      </c>
      <c r="O103" s="4"/>
      <c r="P103" s="4" t="e">
        <f>VLOOKUP(A103,'Material Cost'!A:C,3,0)</f>
        <v>#N/A</v>
      </c>
      <c r="Q103" s="4"/>
      <c r="R103" t="e">
        <f>VLOOKUP(A103,'Material Cost'!A:D,4,0)</f>
        <v>#N/A</v>
      </c>
      <c r="T103" s="34">
        <f>(E103-D103)/D103</f>
        <v>0</v>
      </c>
      <c r="W103" t="s">
        <v>4742</v>
      </c>
    </row>
    <row r="104" spans="1:23" hidden="1" x14ac:dyDescent="0.25">
      <c r="A104" s="1" t="s">
        <v>1773</v>
      </c>
      <c r="B104" s="2" t="s">
        <v>4673</v>
      </c>
      <c r="C104" s="1" t="s">
        <v>595</v>
      </c>
      <c r="D104" s="10">
        <v>0.13</v>
      </c>
      <c r="E104" s="10">
        <v>0.13</v>
      </c>
      <c r="F104" s="154">
        <v>0.16</v>
      </c>
      <c r="G104" s="136">
        <f t="shared" si="19"/>
        <v>0.23076923076923075</v>
      </c>
      <c r="H104" s="4"/>
      <c r="I104" s="4" t="e">
        <v>#N/A</v>
      </c>
      <c r="J104" s="4" t="e">
        <v>#N/A</v>
      </c>
      <c r="K104" s="4" t="e">
        <v>#N/A</v>
      </c>
      <c r="L104" s="4" t="e">
        <f>_xlfn.XLOOKUP(A104,'[2]Inbound Pricing'!$C:$C,'[2]Inbound Pricing'!$K:$K)</f>
        <v>#N/A</v>
      </c>
      <c r="M104" s="4"/>
      <c r="N104" s="4" t="e">
        <f>_xlfn.XLOOKUP(A104,'[1]M3 Price'!$A:$A,'[1]M3 Price'!$H:$H)</f>
        <v>#N/A</v>
      </c>
      <c r="O104" s="4"/>
      <c r="P104" s="4"/>
      <c r="Q104" s="4"/>
      <c r="T104" s="34"/>
      <c r="W104" t="s">
        <v>4742</v>
      </c>
    </row>
    <row r="105" spans="1:23" ht="15.75" hidden="1" x14ac:dyDescent="0.25">
      <c r="A105" s="1" t="s">
        <v>1325</v>
      </c>
      <c r="B105" s="13" t="s">
        <v>4670</v>
      </c>
      <c r="C105" s="1" t="s">
        <v>595</v>
      </c>
      <c r="D105" s="10">
        <v>0.31988</v>
      </c>
      <c r="E105" s="10">
        <f t="shared" si="25"/>
        <v>0.31988</v>
      </c>
      <c r="F105" s="154">
        <v>0.1</v>
      </c>
      <c r="G105" s="136">
        <f t="shared" si="19"/>
        <v>-0.68738276853820179</v>
      </c>
      <c r="H105" s="4"/>
      <c r="I105" s="4" t="e">
        <v>#N/A</v>
      </c>
      <c r="J105" s="4" t="e">
        <v>#N/A</v>
      </c>
      <c r="K105" s="4" t="e">
        <v>#N/A</v>
      </c>
      <c r="L105" s="4" t="e">
        <f>_xlfn.XLOOKUP(A105,'[2]Inbound Pricing'!$C:$C,'[2]Inbound Pricing'!$K:$K)</f>
        <v>#N/A</v>
      </c>
      <c r="M105" s="4"/>
      <c r="N105" s="4" t="e">
        <f>_xlfn.XLOOKUP(A105,'[1]M3 Price'!$A:$A,'[1]M3 Price'!$H:$H)</f>
        <v>#N/A</v>
      </c>
      <c r="O105" s="4"/>
      <c r="P105" s="4" t="e">
        <f>VLOOKUP(A105,'Material Cost'!A:C,3,0)</f>
        <v>#N/A</v>
      </c>
      <c r="Q105" s="4"/>
      <c r="R105" t="e">
        <f>VLOOKUP(A105,'Material Cost'!A:D,4,0)</f>
        <v>#N/A</v>
      </c>
      <c r="T105" s="34">
        <f>(E105-D105)/D105</f>
        <v>0</v>
      </c>
      <c r="W105" t="s">
        <v>4742</v>
      </c>
    </row>
    <row r="106" spans="1:23" ht="15.75" hidden="1" x14ac:dyDescent="0.25">
      <c r="A106" s="1" t="s">
        <v>1772</v>
      </c>
      <c r="B106" s="13" t="s">
        <v>4671</v>
      </c>
      <c r="C106" s="1" t="s">
        <v>595</v>
      </c>
      <c r="D106" s="10">
        <v>0.31988</v>
      </c>
      <c r="E106" s="10">
        <f t="shared" si="25"/>
        <v>0.31988</v>
      </c>
      <c r="F106" s="154">
        <v>0.15</v>
      </c>
      <c r="G106" s="136">
        <f t="shared" si="19"/>
        <v>-0.53107415280730275</v>
      </c>
      <c r="H106" s="4"/>
      <c r="I106" s="4" t="e">
        <v>#N/A</v>
      </c>
      <c r="J106" s="4" t="e">
        <v>#N/A</v>
      </c>
      <c r="K106" s="4" t="e">
        <v>#N/A</v>
      </c>
      <c r="L106" s="4" t="e">
        <f>_xlfn.XLOOKUP(A106,'[2]Inbound Pricing'!$C:$C,'[2]Inbound Pricing'!$K:$K)</f>
        <v>#N/A</v>
      </c>
      <c r="M106" s="4"/>
      <c r="N106" s="4" t="e">
        <f>_xlfn.XLOOKUP(A106,'[1]M3 Price'!$A:$A,'[1]M3 Price'!$H:$H)</f>
        <v>#N/A</v>
      </c>
      <c r="O106" s="4"/>
      <c r="P106" s="4"/>
      <c r="Q106" s="4"/>
      <c r="T106" s="34"/>
      <c r="W106" t="s">
        <v>4742</v>
      </c>
    </row>
    <row r="107" spans="1:23" hidden="1" x14ac:dyDescent="0.25">
      <c r="A107" s="1" t="s">
        <v>1327</v>
      </c>
      <c r="B107" s="2" t="s">
        <v>4668</v>
      </c>
      <c r="C107" s="1" t="s">
        <v>595</v>
      </c>
      <c r="D107" s="10">
        <v>0.48</v>
      </c>
      <c r="E107" s="10">
        <f>0.08*6</f>
        <v>0.48</v>
      </c>
      <c r="F107" s="154">
        <f>0.16*6</f>
        <v>0.96</v>
      </c>
      <c r="G107" s="136">
        <f t="shared" si="19"/>
        <v>1</v>
      </c>
      <c r="H107" s="4"/>
      <c r="I107" s="4" t="e">
        <v>#N/A</v>
      </c>
      <c r="J107" s="4" t="e">
        <v>#N/A</v>
      </c>
      <c r="K107" s="4" t="e">
        <v>#N/A</v>
      </c>
      <c r="L107" s="4" t="e">
        <f>_xlfn.XLOOKUP(A107,'[2]Inbound Pricing'!$C:$C,'[2]Inbound Pricing'!$K:$K)</f>
        <v>#N/A</v>
      </c>
      <c r="M107" s="4"/>
      <c r="N107" s="4" t="e">
        <f>_xlfn.XLOOKUP(A107,'[1]M3 Price'!$A:$A,'[1]M3 Price'!$H:$H)</f>
        <v>#N/A</v>
      </c>
      <c r="O107" s="4"/>
      <c r="P107" s="4" t="e">
        <f>VLOOKUP(A107,'Material Cost'!A:C,3,0)</f>
        <v>#N/A</v>
      </c>
      <c r="Q107" s="4"/>
      <c r="R107" t="e">
        <f>VLOOKUP(A107,'Material Cost'!A:D,4,0)</f>
        <v>#N/A</v>
      </c>
      <c r="T107" s="34">
        <f>(E107-D107)/D107</f>
        <v>0</v>
      </c>
      <c r="W107" t="s">
        <v>4742</v>
      </c>
    </row>
    <row r="108" spans="1:23" hidden="1" x14ac:dyDescent="0.25">
      <c r="A108" s="1" t="s">
        <v>1770</v>
      </c>
      <c r="B108" s="2" t="s">
        <v>4669</v>
      </c>
      <c r="C108" s="1" t="s">
        <v>595</v>
      </c>
      <c r="D108" s="10">
        <v>0.24</v>
      </c>
      <c r="E108" s="10">
        <f>0.04*6</f>
        <v>0.24</v>
      </c>
      <c r="F108" s="154">
        <f>0.08*6</f>
        <v>0.48</v>
      </c>
      <c r="G108" s="136">
        <f t="shared" si="19"/>
        <v>1</v>
      </c>
      <c r="H108" s="4"/>
      <c r="I108" s="4" t="e">
        <v>#N/A</v>
      </c>
      <c r="J108" s="4" t="e">
        <v>#N/A</v>
      </c>
      <c r="K108" s="4" t="e">
        <v>#N/A</v>
      </c>
      <c r="L108" s="4" t="e">
        <f>_xlfn.XLOOKUP(A108,'[2]Inbound Pricing'!$C:$C,'[2]Inbound Pricing'!$K:$K)</f>
        <v>#N/A</v>
      </c>
      <c r="M108" s="4"/>
      <c r="N108" s="4" t="e">
        <f>_xlfn.XLOOKUP(A108,'[1]M3 Price'!$A:$A,'[1]M3 Price'!$H:$H)</f>
        <v>#N/A</v>
      </c>
      <c r="O108" s="4"/>
      <c r="P108" s="4"/>
      <c r="Q108" s="4"/>
      <c r="T108" s="34"/>
      <c r="W108" t="s">
        <v>4742</v>
      </c>
    </row>
    <row r="109" spans="1:23" x14ac:dyDescent="0.25">
      <c r="A109" s="1" t="s">
        <v>1771</v>
      </c>
      <c r="B109" s="2" t="s">
        <v>4677</v>
      </c>
      <c r="C109" s="1" t="s">
        <v>595</v>
      </c>
      <c r="D109" s="10">
        <v>0.1</v>
      </c>
      <c r="E109" s="10">
        <v>0.1</v>
      </c>
      <c r="F109" s="10">
        <f t="shared" si="26"/>
        <v>0.1</v>
      </c>
      <c r="G109" s="136">
        <f t="shared" si="19"/>
        <v>0</v>
      </c>
      <c r="H109" s="4"/>
      <c r="I109" s="4" t="e">
        <v>#N/A</v>
      </c>
      <c r="J109" s="4" t="e">
        <v>#N/A</v>
      </c>
      <c r="K109" s="4" t="e">
        <v>#N/A</v>
      </c>
      <c r="L109" s="4" t="e">
        <f>_xlfn.XLOOKUP(A109,'[2]Inbound Pricing'!$C:$C,'[2]Inbound Pricing'!$K:$K)</f>
        <v>#N/A</v>
      </c>
      <c r="M109" s="4"/>
      <c r="N109" s="4" t="e">
        <f>_xlfn.XLOOKUP(A109,'[1]M3 Price'!$A:$A,'[1]M3 Price'!$H:$H)</f>
        <v>#N/A</v>
      </c>
      <c r="O109" s="4"/>
      <c r="P109" s="4"/>
      <c r="Q109" s="4"/>
      <c r="T109" s="34"/>
      <c r="W109" t="s">
        <v>4742</v>
      </c>
    </row>
    <row r="110" spans="1:23" hidden="1" x14ac:dyDescent="0.25">
      <c r="A110" s="1" t="s">
        <v>1328</v>
      </c>
      <c r="B110" s="2" t="s">
        <v>4676</v>
      </c>
      <c r="C110" s="1" t="s">
        <v>595</v>
      </c>
      <c r="D110" s="10">
        <v>0.43</v>
      </c>
      <c r="E110" s="10">
        <v>0.43</v>
      </c>
      <c r="F110" s="154">
        <v>0.54</v>
      </c>
      <c r="G110" s="136">
        <f t="shared" si="19"/>
        <v>0.25581395348837221</v>
      </c>
      <c r="H110" s="4"/>
      <c r="I110" s="4" t="e">
        <v>#N/A</v>
      </c>
      <c r="J110" s="4" t="e">
        <v>#N/A</v>
      </c>
      <c r="K110" s="4" t="e">
        <v>#N/A</v>
      </c>
      <c r="L110" s="4" t="e">
        <f>_xlfn.XLOOKUP(A110,'[2]Inbound Pricing'!$C:$C,'[2]Inbound Pricing'!$K:$K)</f>
        <v>#N/A</v>
      </c>
      <c r="M110" s="4"/>
      <c r="N110" s="4" t="e">
        <f>_xlfn.XLOOKUP(A110,'[1]M3 Price'!$A:$A,'[1]M3 Price'!$H:$H)</f>
        <v>#N/A</v>
      </c>
      <c r="O110" s="4"/>
      <c r="P110" s="4" t="e">
        <f>VLOOKUP(A110,'Material Cost'!A:C,3,0)</f>
        <v>#N/A</v>
      </c>
      <c r="Q110" s="4"/>
      <c r="R110" t="e">
        <f>VLOOKUP(A110,'Material Cost'!A:D,4,0)</f>
        <v>#N/A</v>
      </c>
      <c r="T110" s="34">
        <f>(E110-D110)/D110</f>
        <v>0</v>
      </c>
      <c r="W110" t="s">
        <v>4742</v>
      </c>
    </row>
    <row r="111" spans="1:23" x14ac:dyDescent="0.25">
      <c r="A111" s="1" t="s">
        <v>1329</v>
      </c>
      <c r="B111" s="2" t="s">
        <v>1330</v>
      </c>
      <c r="C111" s="1" t="s">
        <v>595</v>
      </c>
      <c r="D111" s="10">
        <v>0.22</v>
      </c>
      <c r="E111" s="10">
        <f t="shared" si="25"/>
        <v>0.22</v>
      </c>
      <c r="F111" s="10">
        <f t="shared" si="26"/>
        <v>0.22</v>
      </c>
      <c r="G111" s="136">
        <f t="shared" si="19"/>
        <v>0</v>
      </c>
      <c r="H111" s="4"/>
      <c r="I111" s="4" t="e">
        <v>#N/A</v>
      </c>
      <c r="J111" s="4" t="e">
        <v>#N/A</v>
      </c>
      <c r="K111" s="4" t="e">
        <v>#N/A</v>
      </c>
      <c r="L111" s="4" t="e">
        <f>_xlfn.XLOOKUP(A111,'[2]Inbound Pricing'!$C:$C,'[2]Inbound Pricing'!$K:$K)</f>
        <v>#N/A</v>
      </c>
      <c r="M111" s="4"/>
      <c r="N111" s="4" t="e">
        <f>_xlfn.XLOOKUP(A111,'[1]M3 Price'!$A:$A,'[1]M3 Price'!$H:$H)</f>
        <v>#N/A</v>
      </c>
      <c r="O111" s="4"/>
      <c r="P111" s="4" t="e">
        <f>VLOOKUP(A111,'Material Cost'!A:C,3,0)</f>
        <v>#N/A</v>
      </c>
      <c r="Q111" s="4"/>
      <c r="R111" t="e">
        <f>VLOOKUP(A111,'Material Cost'!A:D,4,0)</f>
        <v>#N/A</v>
      </c>
      <c r="T111" s="34">
        <f>(E111-D111)/D111</f>
        <v>0</v>
      </c>
      <c r="W111" t="s">
        <v>4742</v>
      </c>
    </row>
    <row r="112" spans="1:23" x14ac:dyDescent="0.25">
      <c r="A112" s="1" t="s">
        <v>1331</v>
      </c>
      <c r="B112" s="2" t="s">
        <v>4661</v>
      </c>
      <c r="C112" s="1" t="s">
        <v>595</v>
      </c>
      <c r="D112" s="10">
        <v>0.28000000000000003</v>
      </c>
      <c r="E112" s="10">
        <f t="shared" si="25"/>
        <v>0.28000000000000003</v>
      </c>
      <c r="F112" s="10">
        <f t="shared" si="26"/>
        <v>0.28000000000000003</v>
      </c>
      <c r="G112" s="136">
        <f t="shared" si="19"/>
        <v>0</v>
      </c>
      <c r="H112" s="4"/>
      <c r="I112" s="4" t="e">
        <v>#N/A</v>
      </c>
      <c r="J112" s="4" t="e">
        <v>#N/A</v>
      </c>
      <c r="K112" s="4" t="e">
        <v>#N/A</v>
      </c>
      <c r="L112" s="4" t="e">
        <f>_xlfn.XLOOKUP(A112,'[2]Inbound Pricing'!$C:$C,'[2]Inbound Pricing'!$K:$K)</f>
        <v>#N/A</v>
      </c>
      <c r="M112" s="4"/>
      <c r="N112" s="4" t="e">
        <f>_xlfn.XLOOKUP(A112,'[1]M3 Price'!$A:$A,'[1]M3 Price'!$H:$H)</f>
        <v>#N/A</v>
      </c>
      <c r="O112" s="4"/>
      <c r="P112" s="4" t="e">
        <f>VLOOKUP(A112,'Material Cost'!A:C,3,0)</f>
        <v>#N/A</v>
      </c>
      <c r="Q112" s="4"/>
      <c r="R112" t="e">
        <f>VLOOKUP(A112,'Material Cost'!A:D,4,0)</f>
        <v>#N/A</v>
      </c>
      <c r="T112" s="34">
        <f>(E112-D112)/D112</f>
        <v>0</v>
      </c>
      <c r="W112" t="s">
        <v>4742</v>
      </c>
    </row>
    <row r="113" spans="1:24" x14ac:dyDescent="0.25">
      <c r="A113" s="1" t="s">
        <v>4745</v>
      </c>
      <c r="B113" s="2" t="s">
        <v>4746</v>
      </c>
      <c r="C113" s="1" t="s">
        <v>595</v>
      </c>
      <c r="D113" s="10">
        <v>7.0000000000000007E-2</v>
      </c>
      <c r="E113" s="10">
        <f t="shared" si="25"/>
        <v>7.0000000000000007E-2</v>
      </c>
      <c r="F113" s="10">
        <f t="shared" si="26"/>
        <v>7.0000000000000007E-2</v>
      </c>
      <c r="G113" s="136">
        <f t="shared" si="19"/>
        <v>0</v>
      </c>
      <c r="H113" s="4"/>
      <c r="I113" s="4" t="e">
        <v>#N/A</v>
      </c>
      <c r="J113" s="4"/>
      <c r="K113" s="4" t="e">
        <v>#N/A</v>
      </c>
      <c r="L113" s="4" t="e">
        <f>_xlfn.XLOOKUP(A113,'[2]Inbound Pricing'!$C:$C,'[2]Inbound Pricing'!$K:$K)</f>
        <v>#N/A</v>
      </c>
      <c r="M113" s="4"/>
      <c r="N113" s="4" t="e">
        <f>_xlfn.XLOOKUP(A113,'[1]M3 Price'!$A:$A,'[1]M3 Price'!$H:$H)</f>
        <v>#N/A</v>
      </c>
      <c r="O113" s="4"/>
      <c r="P113" s="4"/>
      <c r="Q113" s="4"/>
      <c r="T113" s="34"/>
      <c r="W113" t="s">
        <v>4742</v>
      </c>
    </row>
    <row r="114" spans="1:24" x14ac:dyDescent="0.25">
      <c r="A114" s="1" t="s">
        <v>4814</v>
      </c>
      <c r="B114" s="2" t="s">
        <v>4815</v>
      </c>
      <c r="C114" s="1" t="s">
        <v>595</v>
      </c>
      <c r="D114" s="10">
        <f>0.28/8</f>
        <v>3.5000000000000003E-2</v>
      </c>
      <c r="E114" s="10">
        <f t="shared" si="25"/>
        <v>3.5000000000000003E-2</v>
      </c>
      <c r="F114" s="10">
        <f t="shared" si="26"/>
        <v>3.5000000000000003E-2</v>
      </c>
      <c r="G114" s="136">
        <f t="shared" si="19"/>
        <v>0</v>
      </c>
      <c r="H114" s="4"/>
      <c r="I114" s="4"/>
      <c r="J114" s="4"/>
      <c r="K114" s="4"/>
      <c r="L114" s="4" t="e">
        <f>_xlfn.XLOOKUP(A114,'[2]Inbound Pricing'!$C:$C,'[2]Inbound Pricing'!$K:$K)</f>
        <v>#N/A</v>
      </c>
      <c r="M114" s="4"/>
      <c r="N114" s="4" t="e">
        <f>_xlfn.XLOOKUP(A114,'[1]M3 Price'!$A:$A,'[1]M3 Price'!$H:$H)</f>
        <v>#N/A</v>
      </c>
      <c r="O114" s="4"/>
      <c r="P114" s="4"/>
      <c r="Q114" s="4"/>
      <c r="T114" s="34"/>
    </row>
    <row r="115" spans="1:24" x14ac:dyDescent="0.25">
      <c r="A115" s="1" t="s">
        <v>4848</v>
      </c>
      <c r="B115" s="117" t="s">
        <v>4847</v>
      </c>
      <c r="C115" s="1" t="s">
        <v>595</v>
      </c>
      <c r="D115" s="88">
        <f>0.28/2</f>
        <v>0.14000000000000001</v>
      </c>
      <c r="E115" s="10">
        <f t="shared" si="25"/>
        <v>0.14000000000000001</v>
      </c>
      <c r="F115" s="136">
        <f t="shared" ref="F115" si="27">(E115-D115)/D115</f>
        <v>0</v>
      </c>
      <c r="G115" s="136"/>
      <c r="H115" s="4"/>
      <c r="I115" s="4"/>
      <c r="J115" s="4"/>
      <c r="K115" s="4"/>
      <c r="L115" s="4"/>
      <c r="M115" s="4"/>
      <c r="N115" s="4"/>
      <c r="O115" s="4"/>
      <c r="P115" s="4"/>
      <c r="Q115" s="4"/>
      <c r="T115" s="34"/>
    </row>
    <row r="116" spans="1:24" x14ac:dyDescent="0.25">
      <c r="A116" s="1" t="s">
        <v>1333</v>
      </c>
      <c r="B116" s="1" t="s">
        <v>4662</v>
      </c>
      <c r="C116" s="1" t="s">
        <v>595</v>
      </c>
      <c r="D116" s="10">
        <v>0.05</v>
      </c>
      <c r="E116" s="10">
        <f t="shared" si="25"/>
        <v>0.05</v>
      </c>
      <c r="F116" s="10">
        <f t="shared" si="26"/>
        <v>0.05</v>
      </c>
      <c r="G116" s="136">
        <f t="shared" si="19"/>
        <v>0</v>
      </c>
      <c r="H116" s="4"/>
      <c r="I116" s="4" t="e">
        <v>#N/A</v>
      </c>
      <c r="J116" s="4" t="e">
        <v>#N/A</v>
      </c>
      <c r="K116" s="4" t="e">
        <v>#N/A</v>
      </c>
      <c r="L116" s="4" t="e">
        <f>_xlfn.XLOOKUP(A116,'[2]Inbound Pricing'!$C:$C,'[2]Inbound Pricing'!$K:$K)</f>
        <v>#N/A</v>
      </c>
      <c r="M116" s="4"/>
      <c r="N116" s="4" t="e">
        <f>_xlfn.XLOOKUP(A116,'[1]M3 Price'!$A:$A,'[1]M3 Price'!$H:$H)</f>
        <v>#N/A</v>
      </c>
      <c r="O116" s="4"/>
      <c r="P116" s="4" t="e">
        <f>VLOOKUP(A116,'Material Cost'!A:C,3,0)</f>
        <v>#N/A</v>
      </c>
      <c r="Q116" s="4"/>
      <c r="R116" t="e">
        <f>VLOOKUP(A116,'Material Cost'!A:D,4,0)</f>
        <v>#N/A</v>
      </c>
      <c r="T116" s="34">
        <f t="shared" ref="T116:T125" si="28">(E116-D116)/D116</f>
        <v>0</v>
      </c>
      <c r="W116" t="s">
        <v>4742</v>
      </c>
    </row>
    <row r="117" spans="1:24" x14ac:dyDescent="0.25">
      <c r="A117" s="1" t="s">
        <v>1335</v>
      </c>
      <c r="B117" s="2" t="s">
        <v>1336</v>
      </c>
      <c r="C117" s="1" t="s">
        <v>595</v>
      </c>
      <c r="D117" s="10">
        <v>0.27</v>
      </c>
      <c r="E117" s="10">
        <f t="shared" si="25"/>
        <v>0.27</v>
      </c>
      <c r="F117" s="10">
        <f t="shared" si="26"/>
        <v>0.27</v>
      </c>
      <c r="G117" s="136">
        <f t="shared" si="19"/>
        <v>0</v>
      </c>
      <c r="H117" s="4"/>
      <c r="I117" s="4" t="e">
        <v>#N/A</v>
      </c>
      <c r="J117" s="4" t="e">
        <v>#N/A</v>
      </c>
      <c r="K117" s="4" t="e">
        <v>#N/A</v>
      </c>
      <c r="L117" s="4" t="e">
        <f>_xlfn.XLOOKUP(A117,'[2]Inbound Pricing'!$C:$C,'[2]Inbound Pricing'!$K:$K)</f>
        <v>#N/A</v>
      </c>
      <c r="M117" s="4"/>
      <c r="N117" s="4" t="e">
        <f>_xlfn.XLOOKUP(A117,'[1]M3 Price'!$A:$A,'[1]M3 Price'!$H:$H)</f>
        <v>#N/A</v>
      </c>
      <c r="O117" s="4"/>
      <c r="P117" s="4" t="e">
        <f>VLOOKUP(A117,'Material Cost'!A:C,3,0)</f>
        <v>#N/A</v>
      </c>
      <c r="Q117" s="4"/>
      <c r="R117" t="e">
        <f>VLOOKUP(A117,'Material Cost'!A:D,4,0)</f>
        <v>#N/A</v>
      </c>
      <c r="T117" s="34">
        <f t="shared" si="28"/>
        <v>0</v>
      </c>
      <c r="W117" t="s">
        <v>4742</v>
      </c>
    </row>
    <row r="118" spans="1:24" ht="15.75" hidden="1" x14ac:dyDescent="0.25">
      <c r="A118" s="1" t="s">
        <v>1337</v>
      </c>
      <c r="B118" s="13" t="s">
        <v>4674</v>
      </c>
      <c r="C118" s="1" t="s">
        <v>595</v>
      </c>
      <c r="D118" s="10">
        <v>1.75</v>
      </c>
      <c r="E118" s="10">
        <v>1.75</v>
      </c>
      <c r="F118" s="154">
        <f>2.22+0.65</f>
        <v>2.87</v>
      </c>
      <c r="G118" s="136">
        <f t="shared" si="19"/>
        <v>0.64</v>
      </c>
      <c r="H118" s="4"/>
      <c r="I118" s="4" t="e">
        <v>#N/A</v>
      </c>
      <c r="J118" s="4" t="e">
        <v>#N/A</v>
      </c>
      <c r="K118" s="4" t="e">
        <v>#N/A</v>
      </c>
      <c r="L118" s="4" t="e">
        <f>_xlfn.XLOOKUP(A118,'[2]Inbound Pricing'!$C:$C,'[2]Inbound Pricing'!$K:$K)</f>
        <v>#N/A</v>
      </c>
      <c r="M118" s="4"/>
      <c r="N118" s="4" t="e">
        <f>_xlfn.XLOOKUP(A118,'[1]M3 Price'!$A:$A,'[1]M3 Price'!$H:$H)</f>
        <v>#N/A</v>
      </c>
      <c r="O118" s="4"/>
      <c r="P118" s="4" t="e">
        <f>VLOOKUP(A118,'Material Cost'!A:C,3,0)</f>
        <v>#N/A</v>
      </c>
      <c r="Q118" s="4"/>
      <c r="R118" t="e">
        <f>VLOOKUP(A118,'Material Cost'!A:D,4,0)</f>
        <v>#N/A</v>
      </c>
      <c r="T118" s="34">
        <f t="shared" si="28"/>
        <v>0</v>
      </c>
      <c r="W118" t="s">
        <v>4742</v>
      </c>
    </row>
    <row r="119" spans="1:24" x14ac:dyDescent="0.25">
      <c r="A119" s="1" t="s">
        <v>1338</v>
      </c>
      <c r="B119" s="1" t="s">
        <v>1339</v>
      </c>
      <c r="C119" s="1" t="s">
        <v>554</v>
      </c>
      <c r="D119" s="10">
        <v>0.7</v>
      </c>
      <c r="E119" s="10">
        <f>IFERROR(K119/H119,"")</f>
        <v>0.65</v>
      </c>
      <c r="F119" s="10">
        <f t="shared" si="18"/>
        <v>0.65</v>
      </c>
      <c r="G119" s="136">
        <f t="shared" si="19"/>
        <v>0</v>
      </c>
      <c r="H119" s="4">
        <v>600</v>
      </c>
      <c r="I119" s="4" t="s">
        <v>4759</v>
      </c>
      <c r="J119" s="4">
        <v>420</v>
      </c>
      <c r="K119" s="4">
        <v>390</v>
      </c>
      <c r="L119" s="4">
        <f>N119</f>
        <v>390</v>
      </c>
      <c r="M119" s="4"/>
      <c r="N119" s="4">
        <f>_xlfn.XLOOKUP(A119,'[1]M3 Price'!$A:$A,'[1]M3 Price'!$H:$H)</f>
        <v>390</v>
      </c>
      <c r="O119" s="34"/>
      <c r="P119" s="4" t="e">
        <f>VLOOKUP(A119,'Material Cost'!A:C,3,0)</f>
        <v>#N/A</v>
      </c>
      <c r="Q119" s="4"/>
      <c r="R119" t="e">
        <f>VLOOKUP(A119,'Material Cost'!A:D,4,0)</f>
        <v>#N/A</v>
      </c>
      <c r="T119" s="34">
        <f t="shared" si="28"/>
        <v>-7.1428571428571341E-2</v>
      </c>
      <c r="W119" t="s">
        <v>4738</v>
      </c>
      <c r="X119" s="4">
        <f>N119-L119</f>
        <v>0</v>
      </c>
    </row>
    <row r="120" spans="1:24" x14ac:dyDescent="0.25">
      <c r="A120" s="1" t="s">
        <v>1660</v>
      </c>
      <c r="B120" s="1" t="s">
        <v>4663</v>
      </c>
      <c r="C120" s="1" t="s">
        <v>595</v>
      </c>
      <c r="D120" s="10">
        <v>0.1</v>
      </c>
      <c r="E120" s="10">
        <f>D120</f>
        <v>0.1</v>
      </c>
      <c r="F120" s="10">
        <v>0.09</v>
      </c>
      <c r="G120" s="136">
        <f t="shared" si="19"/>
        <v>-0.10000000000000009</v>
      </c>
      <c r="H120" s="4"/>
      <c r="I120" s="4" t="e">
        <v>#N/A</v>
      </c>
      <c r="J120" s="4" t="e">
        <v>#N/A</v>
      </c>
      <c r="K120" s="4" t="e">
        <v>#N/A</v>
      </c>
      <c r="L120" s="4" t="e">
        <f>_xlfn.XLOOKUP(A120,'[2]Inbound Pricing'!$C:$C,'[2]Inbound Pricing'!$K:$K)</f>
        <v>#N/A</v>
      </c>
      <c r="M120" s="4"/>
      <c r="N120" s="4" t="e">
        <f>_xlfn.XLOOKUP(A120,'[1]M3 Price'!$A:$A,'[1]M3 Price'!$H:$H)</f>
        <v>#N/A</v>
      </c>
      <c r="O120" s="4"/>
      <c r="P120" s="4" t="e">
        <f>VLOOKUP(A120,'Material Cost'!A:C,3,0)</f>
        <v>#N/A</v>
      </c>
      <c r="Q120" s="4"/>
      <c r="R120" t="e">
        <f>VLOOKUP(A120,'Material Cost'!A:D,4,0)</f>
        <v>#N/A</v>
      </c>
      <c r="T120" s="34">
        <f t="shared" si="28"/>
        <v>0</v>
      </c>
      <c r="W120" t="s">
        <v>4742</v>
      </c>
    </row>
    <row r="121" spans="1:24" x14ac:dyDescent="0.25">
      <c r="A121" s="1" t="s">
        <v>1664</v>
      </c>
      <c r="B121" s="1" t="s">
        <v>1665</v>
      </c>
      <c r="C121" s="1" t="s">
        <v>554</v>
      </c>
      <c r="D121" s="10">
        <v>1.75</v>
      </c>
      <c r="E121" s="10">
        <f>IFERROR(K121/H121,"")</f>
        <v>1.6</v>
      </c>
      <c r="F121" s="10">
        <f t="shared" si="18"/>
        <v>1.81</v>
      </c>
      <c r="G121" s="136">
        <f t="shared" si="19"/>
        <v>0.13124999999999998</v>
      </c>
      <c r="H121" s="4">
        <v>10</v>
      </c>
      <c r="I121" s="4" t="s">
        <v>4077</v>
      </c>
      <c r="J121" s="4">
        <v>17.5</v>
      </c>
      <c r="K121" s="4">
        <v>16</v>
      </c>
      <c r="L121" s="4">
        <f t="shared" ref="L121:L124" si="29">N121</f>
        <v>18.100000000000001</v>
      </c>
      <c r="M121" s="4"/>
      <c r="N121" s="4">
        <f>_xlfn.XLOOKUP(A121,'[1]M3 Price'!$A:$A,'[1]M3 Price'!$H:$H)</f>
        <v>18.100000000000001</v>
      </c>
      <c r="O121" s="34"/>
      <c r="P121" s="4"/>
      <c r="Q121" s="4"/>
      <c r="T121" s="34">
        <f t="shared" si="28"/>
        <v>-8.571428571428566E-2</v>
      </c>
      <c r="W121" t="s">
        <v>4741</v>
      </c>
      <c r="X121" s="4">
        <f>N121-L121</f>
        <v>0</v>
      </c>
    </row>
    <row r="122" spans="1:24" x14ac:dyDescent="0.25">
      <c r="A122" s="1" t="s">
        <v>1715</v>
      </c>
      <c r="B122" s="1" t="s">
        <v>1748</v>
      </c>
      <c r="C122" s="1" t="s">
        <v>554</v>
      </c>
      <c r="D122" s="10">
        <v>1.1000000000000001</v>
      </c>
      <c r="E122" s="10">
        <f>IFERROR(K122/H122,"")</f>
        <v>1.1000000000000001</v>
      </c>
      <c r="F122" s="10">
        <f t="shared" si="18"/>
        <v>1.1000000000000001</v>
      </c>
      <c r="G122" s="136">
        <f t="shared" si="19"/>
        <v>0</v>
      </c>
      <c r="H122" s="4">
        <v>5</v>
      </c>
      <c r="I122" s="4" t="s">
        <v>3953</v>
      </c>
      <c r="J122" s="4">
        <v>5.5</v>
      </c>
      <c r="K122" s="4">
        <v>5.5</v>
      </c>
      <c r="L122" s="4">
        <f t="shared" si="29"/>
        <v>5.5</v>
      </c>
      <c r="M122" s="4"/>
      <c r="N122" s="4">
        <f>_xlfn.XLOOKUP(A122,'[1]M3 Price'!$A:$A,'[1]M3 Price'!$H:$H)</f>
        <v>5.5</v>
      </c>
      <c r="O122" s="34"/>
      <c r="P122" s="4"/>
      <c r="Q122" s="4"/>
      <c r="T122" s="34">
        <f t="shared" si="28"/>
        <v>0</v>
      </c>
      <c r="W122" t="s">
        <v>4741</v>
      </c>
      <c r="X122" s="4">
        <f>N122-L122</f>
        <v>0</v>
      </c>
    </row>
    <row r="123" spans="1:24" x14ac:dyDescent="0.25">
      <c r="A123" s="1" t="s">
        <v>1709</v>
      </c>
      <c r="B123" s="1" t="s">
        <v>1710</v>
      </c>
      <c r="C123" s="1" t="s">
        <v>554</v>
      </c>
      <c r="D123" s="10">
        <v>2.7600000000000002</v>
      </c>
      <c r="E123" s="10">
        <f>IFERROR(K123/H123,"")</f>
        <v>2.7</v>
      </c>
      <c r="F123" s="10">
        <f t="shared" si="18"/>
        <v>2.7</v>
      </c>
      <c r="G123" s="136">
        <f t="shared" si="19"/>
        <v>0</v>
      </c>
      <c r="H123" s="4">
        <v>2.5</v>
      </c>
      <c r="I123" s="4" t="s">
        <v>3874</v>
      </c>
      <c r="J123" s="4">
        <v>6.9</v>
      </c>
      <c r="K123" s="4">
        <v>6.75</v>
      </c>
      <c r="L123" s="4">
        <f t="shared" si="29"/>
        <v>6.75</v>
      </c>
      <c r="M123" s="4"/>
      <c r="N123" s="4">
        <f>_xlfn.XLOOKUP(A123,'[1]M3 Price'!$A:$A,'[1]M3 Price'!$H:$H)</f>
        <v>6.75</v>
      </c>
      <c r="O123" s="34"/>
      <c r="P123" s="4"/>
      <c r="Q123" s="4"/>
      <c r="T123" s="34">
        <f t="shared" si="28"/>
        <v>-2.1739130434782625E-2</v>
      </c>
      <c r="W123" t="s">
        <v>4741</v>
      </c>
      <c r="X123" s="4">
        <f>N123-L123</f>
        <v>0</v>
      </c>
    </row>
    <row r="124" spans="1:24" x14ac:dyDescent="0.25">
      <c r="A124" s="1" t="s">
        <v>1850</v>
      </c>
      <c r="B124" s="1" t="s">
        <v>1757</v>
      </c>
      <c r="C124" s="1" t="s">
        <v>554</v>
      </c>
      <c r="D124" s="10">
        <v>7.2800000000000004E-2</v>
      </c>
      <c r="E124" s="119">
        <v>7.2800000000000004E-2</v>
      </c>
      <c r="F124" s="10">
        <f>((L124/25)*10)/100</f>
        <v>6.3E-2</v>
      </c>
      <c r="G124" s="136">
        <f t="shared" si="19"/>
        <v>-0.13461538461538466</v>
      </c>
      <c r="H124" s="4">
        <v>25</v>
      </c>
      <c r="I124" s="4" t="s">
        <v>4046</v>
      </c>
      <c r="J124" s="4">
        <v>20.5</v>
      </c>
      <c r="K124" s="4">
        <v>18.5</v>
      </c>
      <c r="L124" s="4">
        <f t="shared" si="29"/>
        <v>15.75</v>
      </c>
      <c r="M124" s="4"/>
      <c r="N124" s="4">
        <f>_xlfn.XLOOKUP(A124,'[1]M3 Price'!$A:$A,'[1]M3 Price'!$H:$H)</f>
        <v>15.75</v>
      </c>
      <c r="O124" s="4"/>
      <c r="P124" s="4"/>
      <c r="Q124" s="4"/>
      <c r="T124" s="34">
        <f t="shared" si="28"/>
        <v>0</v>
      </c>
      <c r="W124" t="s">
        <v>4741</v>
      </c>
      <c r="X124" s="4">
        <f>N124-L124</f>
        <v>0</v>
      </c>
    </row>
    <row r="125" spans="1:24" x14ac:dyDescent="0.25">
      <c r="A125" s="1" t="s">
        <v>4325</v>
      </c>
      <c r="B125" s="1" t="s">
        <v>4326</v>
      </c>
      <c r="C125" s="1" t="s">
        <v>554</v>
      </c>
      <c r="D125" s="1">
        <v>3.6</v>
      </c>
      <c r="E125" s="33">
        <v>3.6</v>
      </c>
      <c r="F125" s="10">
        <v>3.6</v>
      </c>
      <c r="G125" s="136">
        <f t="shared" si="19"/>
        <v>0</v>
      </c>
      <c r="H125" s="4">
        <v>5</v>
      </c>
      <c r="I125" s="4" t="e">
        <v>#N/A</v>
      </c>
      <c r="J125" s="4" t="e">
        <v>#N/A</v>
      </c>
      <c r="K125" s="4" t="e">
        <v>#N/A</v>
      </c>
      <c r="L125" s="4" t="e">
        <f>_xlfn.XLOOKUP(A125,'[2]Inbound Pricing'!$C:$C,'[2]Inbound Pricing'!$K:$K)</f>
        <v>#N/A</v>
      </c>
      <c r="M125" s="4"/>
      <c r="N125" s="4" t="e">
        <f>_xlfn.XLOOKUP(A125,'[1]M3 Price'!$A:$A,'[1]M3 Price'!$H:$H)</f>
        <v>#N/A</v>
      </c>
      <c r="O125" s="4"/>
      <c r="P125">
        <v>18</v>
      </c>
      <c r="T125" s="34">
        <f t="shared" si="28"/>
        <v>0</v>
      </c>
      <c r="W125" t="s">
        <v>4741</v>
      </c>
    </row>
    <row r="126" spans="1:24" x14ac:dyDescent="0.25">
      <c r="A126" s="1" t="s">
        <v>2231</v>
      </c>
      <c r="B126" s="1" t="s">
        <v>4494</v>
      </c>
      <c r="C126" s="1" t="s">
        <v>554</v>
      </c>
      <c r="D126" s="1">
        <v>4.7</v>
      </c>
      <c r="E126" s="10">
        <f>IFERROR(K126/H126,"")</f>
        <v>4.5</v>
      </c>
      <c r="F126" s="10">
        <f t="shared" si="18"/>
        <v>4.2300000000000004</v>
      </c>
      <c r="G126" s="136">
        <f t="shared" si="19"/>
        <v>-5.9999999999999908E-2</v>
      </c>
      <c r="H126" s="4">
        <v>2</v>
      </c>
      <c r="I126" s="4" t="s">
        <v>3889</v>
      </c>
      <c r="J126" s="4">
        <v>9.4</v>
      </c>
      <c r="K126" s="4">
        <v>9</v>
      </c>
      <c r="L126" s="4">
        <f>N126</f>
        <v>8.4600000000000009</v>
      </c>
      <c r="M126" s="4"/>
      <c r="N126" s="4">
        <f>_xlfn.XLOOKUP(A126,'[1]M3 Price'!$A:$A,'[1]M3 Price'!$H:$H)</f>
        <v>8.4600000000000009</v>
      </c>
      <c r="W126" t="s">
        <v>4741</v>
      </c>
      <c r="X126" s="4">
        <f>N126-L126</f>
        <v>0</v>
      </c>
    </row>
    <row r="127" spans="1:24" hidden="1" x14ac:dyDescent="0.25">
      <c r="A127" s="1" t="s">
        <v>1768</v>
      </c>
      <c r="B127" s="1" t="s">
        <v>4664</v>
      </c>
      <c r="C127" s="1" t="s">
        <v>595</v>
      </c>
      <c r="D127" s="10">
        <v>0.46</v>
      </c>
      <c r="E127" s="1">
        <v>0.46</v>
      </c>
      <c r="F127" s="154">
        <v>0.4</v>
      </c>
      <c r="G127" s="136">
        <f t="shared" si="19"/>
        <v>-0.13043478260869565</v>
      </c>
      <c r="I127" s="4" t="e">
        <v>#N/A</v>
      </c>
      <c r="J127" s="4" t="e">
        <v>#N/A</v>
      </c>
      <c r="K127" s="4" t="e">
        <v>#N/A</v>
      </c>
      <c r="L127" s="4" t="e">
        <f>_xlfn.XLOOKUP(A127,'[2]Inbound Pricing'!$C:$C,'[2]Inbound Pricing'!$K:$K)</f>
        <v>#N/A</v>
      </c>
      <c r="M127" s="4"/>
      <c r="N127" s="4" t="e">
        <f>_xlfn.XLOOKUP(A127,'[1]M3 Price'!$A:$A,'[1]M3 Price'!$H:$H)</f>
        <v>#N/A</v>
      </c>
      <c r="W127" t="s">
        <v>4742</v>
      </c>
    </row>
    <row r="128" spans="1:24" x14ac:dyDescent="0.25">
      <c r="A128" s="1" t="s">
        <v>1792</v>
      </c>
      <c r="B128" s="1" t="s">
        <v>4517</v>
      </c>
      <c r="C128" s="1" t="s">
        <v>554</v>
      </c>
      <c r="D128" s="1">
        <v>2.62</v>
      </c>
      <c r="E128" s="33">
        <v>1</v>
      </c>
      <c r="F128" s="10" t="e">
        <f t="shared" si="18"/>
        <v>#DIV/0!</v>
      </c>
      <c r="G128" s="136" t="e">
        <f t="shared" si="19"/>
        <v>#DIV/0!</v>
      </c>
      <c r="I128" s="4" t="e">
        <v>#N/A</v>
      </c>
      <c r="J128" s="4" t="e">
        <v>#N/A</v>
      </c>
      <c r="K128" s="4" t="e">
        <v>#N/A</v>
      </c>
      <c r="L128" s="4">
        <f t="shared" ref="L128:L131" si="30">N128</f>
        <v>15.96</v>
      </c>
      <c r="M128" s="4"/>
      <c r="N128" s="4">
        <f>_xlfn.XLOOKUP(A128,'[1]M3 Price'!$A:$A,'[1]M3 Price'!$H:$H)</f>
        <v>15.96</v>
      </c>
      <c r="W128" t="s">
        <v>4740</v>
      </c>
      <c r="X128" s="4">
        <f>N128-L128</f>
        <v>0</v>
      </c>
    </row>
    <row r="129" spans="1:24" x14ac:dyDescent="0.25">
      <c r="A129" s="1" t="s">
        <v>4685</v>
      </c>
      <c r="B129" s="1" t="s">
        <v>4750</v>
      </c>
      <c r="C129" s="1" t="s">
        <v>554</v>
      </c>
      <c r="D129" s="1">
        <v>7.06</v>
      </c>
      <c r="E129" s="33">
        <f>IFERROR(K129/H129,"")</f>
        <v>7.0299999999999994</v>
      </c>
      <c r="F129" s="10">
        <f t="shared" si="18"/>
        <v>6.78</v>
      </c>
      <c r="G129" s="136">
        <f t="shared" si="19"/>
        <v>-3.5561877667140702E-2</v>
      </c>
      <c r="H129">
        <v>5</v>
      </c>
      <c r="I129" s="4" t="s">
        <v>3890</v>
      </c>
      <c r="J129" s="4" t="e">
        <v>#N/A</v>
      </c>
      <c r="K129" s="4">
        <v>35.15</v>
      </c>
      <c r="L129" s="4">
        <f t="shared" si="30"/>
        <v>33.9</v>
      </c>
      <c r="M129" s="4"/>
      <c r="N129" s="4">
        <f>_xlfn.XLOOKUP(A129,'[1]M3 Price'!$A:$A,'[1]M3 Price'!$H:$H)</f>
        <v>33.9</v>
      </c>
      <c r="W129" t="s">
        <v>4741</v>
      </c>
      <c r="X129" s="4">
        <f>N129-L129</f>
        <v>0</v>
      </c>
    </row>
    <row r="130" spans="1:24" x14ac:dyDescent="0.25">
      <c r="A130" s="1" t="s">
        <v>1778</v>
      </c>
      <c r="B130" s="1" t="s">
        <v>1753</v>
      </c>
      <c r="C130" s="1" t="s">
        <v>554</v>
      </c>
      <c r="D130" s="1">
        <v>1.5</v>
      </c>
      <c r="E130" s="10">
        <f>IFERROR(K130/H130,"")</f>
        <v>1.0720000000000001</v>
      </c>
      <c r="F130" s="10">
        <f t="shared" si="18"/>
        <v>1.08</v>
      </c>
      <c r="G130" s="136">
        <f t="shared" si="19"/>
        <v>7.462686567164185E-3</v>
      </c>
      <c r="H130">
        <v>2.5</v>
      </c>
      <c r="I130" s="4" t="s">
        <v>3911</v>
      </c>
      <c r="J130" s="4">
        <v>3.75</v>
      </c>
      <c r="K130" s="4">
        <v>2.68</v>
      </c>
      <c r="L130" s="4">
        <f t="shared" si="30"/>
        <v>2.7</v>
      </c>
      <c r="M130" s="4"/>
      <c r="N130" s="4">
        <f>_xlfn.XLOOKUP(A130,'[1]M3 Price'!$A:$A,'[1]M3 Price'!$H:$H)</f>
        <v>2.7</v>
      </c>
      <c r="W130" t="s">
        <v>4733</v>
      </c>
      <c r="X130" s="4">
        <f>N130-L130</f>
        <v>0</v>
      </c>
    </row>
    <row r="131" spans="1:24" x14ac:dyDescent="0.25">
      <c r="A131" s="1" t="s">
        <v>1106</v>
      </c>
      <c r="B131" s="1" t="s">
        <v>1752</v>
      </c>
      <c r="C131" s="1" t="s">
        <v>554</v>
      </c>
      <c r="D131" s="1">
        <v>1.1800000000000002</v>
      </c>
      <c r="E131" s="10">
        <f>IFERROR(K131/H131,"")</f>
        <v>0.96</v>
      </c>
      <c r="F131" s="10">
        <f t="shared" si="18"/>
        <v>0.96</v>
      </c>
      <c r="G131" s="136">
        <f t="shared" si="19"/>
        <v>0</v>
      </c>
      <c r="H131">
        <v>2.5</v>
      </c>
      <c r="I131" s="4" t="s">
        <v>3911</v>
      </c>
      <c r="J131" s="4">
        <v>2.95</v>
      </c>
      <c r="K131" s="4">
        <v>2.4</v>
      </c>
      <c r="L131" s="4">
        <f t="shared" si="30"/>
        <v>2.4</v>
      </c>
      <c r="M131" s="4"/>
      <c r="N131" s="4">
        <f>_xlfn.XLOOKUP(A131,'[1]M3 Price'!$A:$A,'[1]M3 Price'!$H:$H)</f>
        <v>2.4</v>
      </c>
      <c r="W131" t="s">
        <v>4733</v>
      </c>
      <c r="X131" s="4">
        <f>N131-L131</f>
        <v>0</v>
      </c>
    </row>
    <row r="132" spans="1:24" x14ac:dyDescent="0.25">
      <c r="A132" s="1" t="s">
        <v>1774</v>
      </c>
      <c r="B132" s="1" t="s">
        <v>4675</v>
      </c>
      <c r="C132" s="1" t="s">
        <v>595</v>
      </c>
      <c r="D132" s="1">
        <v>0.52</v>
      </c>
      <c r="E132" s="1">
        <v>0.52</v>
      </c>
      <c r="F132" s="10">
        <v>0.59</v>
      </c>
      <c r="G132" s="136">
        <f t="shared" ref="G132:G141" si="31">(F132-E132)/E132</f>
        <v>0.13461538461538453</v>
      </c>
      <c r="I132" s="4" t="e">
        <v>#N/A</v>
      </c>
      <c r="J132" s="4" t="e">
        <v>#N/A</v>
      </c>
      <c r="K132" s="4" t="e">
        <v>#N/A</v>
      </c>
      <c r="L132" s="4" t="e">
        <f>_xlfn.XLOOKUP(A132,'[2]Inbound Pricing'!$C:$C,'[2]Inbound Pricing'!$K:$K)</f>
        <v>#N/A</v>
      </c>
      <c r="M132" s="4"/>
      <c r="N132" s="4" t="e">
        <f>_xlfn.XLOOKUP(A132,'[1]M3 Price'!$A:$A,'[1]M3 Price'!$H:$H)</f>
        <v>#N/A</v>
      </c>
      <c r="W132" t="s">
        <v>4742</v>
      </c>
    </row>
    <row r="133" spans="1:24" x14ac:dyDescent="0.25">
      <c r="A133" s="1" t="s">
        <v>4682</v>
      </c>
      <c r="B133" s="1" t="s">
        <v>4683</v>
      </c>
      <c r="C133" s="1" t="s">
        <v>554</v>
      </c>
      <c r="D133" s="1">
        <v>0.64</v>
      </c>
      <c r="E133" s="10">
        <f>IFERROR(K133/H133,"")</f>
        <v>0.55000000000000004</v>
      </c>
      <c r="F133" s="10">
        <f t="shared" ref="F133:F150" si="32">ROUNDUP(L133/H133,2)</f>
        <v>0.55000000000000004</v>
      </c>
      <c r="G133" s="136">
        <f t="shared" si="31"/>
        <v>0</v>
      </c>
      <c r="H133">
        <v>25</v>
      </c>
      <c r="I133" s="4" t="s">
        <v>3976</v>
      </c>
      <c r="J133" s="4">
        <v>16</v>
      </c>
      <c r="K133" s="4">
        <v>13.75</v>
      </c>
      <c r="L133" s="4">
        <f t="shared" ref="L133:L137" si="33">N133</f>
        <v>13.75</v>
      </c>
      <c r="M133" s="4"/>
      <c r="N133" s="4">
        <f>_xlfn.XLOOKUP(A133,'[1]M3 Price'!$A:$A,'[1]M3 Price'!$H:$H)</f>
        <v>13.75</v>
      </c>
      <c r="W133" t="s">
        <v>4732</v>
      </c>
      <c r="X133" s="4">
        <f>N133-L133</f>
        <v>0</v>
      </c>
    </row>
    <row r="134" spans="1:24" x14ac:dyDescent="0.25">
      <c r="A134" s="1" t="s">
        <v>3750</v>
      </c>
      <c r="B134" s="1" t="s">
        <v>4684</v>
      </c>
      <c r="C134" s="1" t="s">
        <v>554</v>
      </c>
      <c r="D134" s="1">
        <v>0.89142857142857146</v>
      </c>
      <c r="E134" s="10">
        <f>IFERROR(K134/H134,"")</f>
        <v>1.34932702287541</v>
      </c>
      <c r="F134" s="10">
        <f t="shared" si="32"/>
        <v>0.91</v>
      </c>
      <c r="G134" s="136">
        <f t="shared" si="31"/>
        <v>-0.32558973134563479</v>
      </c>
      <c r="H134">
        <v>7</v>
      </c>
      <c r="I134" s="4" t="s">
        <v>3927</v>
      </c>
      <c r="J134" s="4">
        <v>6.24</v>
      </c>
      <c r="K134" s="4">
        <v>9.445289160127869</v>
      </c>
      <c r="L134" s="4">
        <f t="shared" si="33"/>
        <v>6.32</v>
      </c>
      <c r="M134" s="4"/>
      <c r="N134" s="4">
        <f>_xlfn.XLOOKUP(A134,'[1]M3 Price'!$A:$A,'[1]M3 Price'!$H:$H)</f>
        <v>6.32</v>
      </c>
      <c r="W134" t="s">
        <v>4741</v>
      </c>
      <c r="X134" s="4">
        <f>N134-L134</f>
        <v>0</v>
      </c>
    </row>
    <row r="135" spans="1:24" x14ac:dyDescent="0.25">
      <c r="A135" s="1" t="s">
        <v>4685</v>
      </c>
      <c r="B135" s="1" t="s">
        <v>4686</v>
      </c>
      <c r="C135" s="1" t="s">
        <v>554</v>
      </c>
      <c r="D135" s="1">
        <v>7</v>
      </c>
      <c r="E135" s="10">
        <f>IFERROR(K135/H135,"")</f>
        <v>7.0299999999999994</v>
      </c>
      <c r="F135" s="10">
        <f t="shared" si="32"/>
        <v>6.78</v>
      </c>
      <c r="G135" s="136">
        <f t="shared" si="31"/>
        <v>-3.5561877667140702E-2</v>
      </c>
      <c r="H135">
        <v>5</v>
      </c>
      <c r="I135" s="4" t="s">
        <v>3890</v>
      </c>
      <c r="J135" s="4">
        <v>35</v>
      </c>
      <c r="K135" s="4">
        <v>35.15</v>
      </c>
      <c r="L135" s="4">
        <f t="shared" si="33"/>
        <v>33.9</v>
      </c>
      <c r="M135" s="4"/>
      <c r="N135" s="4">
        <f>_xlfn.XLOOKUP(A135,'[1]M3 Price'!$A:$A,'[1]M3 Price'!$H:$H)</f>
        <v>33.9</v>
      </c>
      <c r="W135" t="s">
        <v>4741</v>
      </c>
      <c r="X135" s="4">
        <f>N135-L135</f>
        <v>0</v>
      </c>
    </row>
    <row r="136" spans="1:24" x14ac:dyDescent="0.25">
      <c r="A136" s="1" t="s">
        <v>1713</v>
      </c>
      <c r="B136" s="1" t="s">
        <v>4687</v>
      </c>
      <c r="C136" s="1" t="s">
        <v>554</v>
      </c>
      <c r="D136" s="1">
        <v>1.06</v>
      </c>
      <c r="E136" s="10">
        <f>IFERROR(K136/H136,"")</f>
        <v>1.02</v>
      </c>
      <c r="F136" s="10">
        <f t="shared" si="32"/>
        <v>1.05</v>
      </c>
      <c r="G136" s="136">
        <f t="shared" si="31"/>
        <v>2.9411764705882377E-2</v>
      </c>
      <c r="H136">
        <v>5</v>
      </c>
      <c r="I136" s="4" t="s">
        <v>3914</v>
      </c>
      <c r="J136" s="4">
        <v>5.3</v>
      </c>
      <c r="K136" s="4">
        <v>5.0999999999999996</v>
      </c>
      <c r="L136" s="4">
        <f t="shared" si="33"/>
        <v>5.25</v>
      </c>
      <c r="M136" s="4"/>
      <c r="N136" s="4">
        <f>_xlfn.XLOOKUP(A136,'[1]M3 Price'!$A:$A,'[1]M3 Price'!$H:$H)</f>
        <v>5.25</v>
      </c>
      <c r="W136" t="s">
        <v>1750</v>
      </c>
      <c r="X136" s="4">
        <f>N136-L136</f>
        <v>0</v>
      </c>
    </row>
    <row r="137" spans="1:24" x14ac:dyDescent="0.25">
      <c r="A137" s="1" t="s">
        <v>2051</v>
      </c>
      <c r="B137" s="1" t="s">
        <v>2052</v>
      </c>
      <c r="C137" s="1" t="s">
        <v>554</v>
      </c>
      <c r="D137" s="1">
        <v>2</v>
      </c>
      <c r="E137" s="10">
        <f>IFERROR(K137/H137,"")</f>
        <v>1.9281767955801106</v>
      </c>
      <c r="F137" s="10">
        <f t="shared" si="32"/>
        <v>1.97</v>
      </c>
      <c r="G137" s="136">
        <f t="shared" si="31"/>
        <v>2.1690544412607399E-2</v>
      </c>
      <c r="H137">
        <v>1.81</v>
      </c>
      <c r="I137" s="4" t="s">
        <v>3937</v>
      </c>
      <c r="K137" s="4">
        <v>3.49</v>
      </c>
      <c r="L137" s="4">
        <f t="shared" si="33"/>
        <v>3.55</v>
      </c>
      <c r="M137" s="4"/>
      <c r="N137" s="4">
        <f>_xlfn.XLOOKUP(A137,'[1]M3 Price'!$A:$A,'[1]M3 Price'!$H:$H)</f>
        <v>3.55</v>
      </c>
      <c r="W137" t="s">
        <v>4739</v>
      </c>
      <c r="X137" s="4">
        <f>N137-L137</f>
        <v>0</v>
      </c>
    </row>
    <row r="138" spans="1:24" x14ac:dyDescent="0.25">
      <c r="A138" s="1" t="s">
        <v>4703</v>
      </c>
      <c r="B138" s="1" t="s">
        <v>4704</v>
      </c>
      <c r="C138" s="1" t="s">
        <v>554</v>
      </c>
      <c r="D138" s="1">
        <v>5</v>
      </c>
      <c r="E138" s="140">
        <f>D138</f>
        <v>5</v>
      </c>
      <c r="F138" s="10" t="e">
        <f t="shared" si="32"/>
        <v>#N/A</v>
      </c>
      <c r="G138" s="136" t="e">
        <f t="shared" si="31"/>
        <v>#N/A</v>
      </c>
      <c r="H138">
        <v>10</v>
      </c>
      <c r="I138" s="4" t="s">
        <v>3983</v>
      </c>
      <c r="J138">
        <v>50</v>
      </c>
      <c r="K138" s="4">
        <v>0</v>
      </c>
      <c r="L138" s="4" t="e">
        <f>_xlfn.XLOOKUP(A138,'[2]Inbound Pricing'!$C:$C,'[2]Inbound Pricing'!$K:$K)</f>
        <v>#N/A</v>
      </c>
      <c r="M138" s="4"/>
      <c r="N138" s="4" t="e">
        <f>_xlfn.XLOOKUP(A138,'[1]M3 Price'!$A:$A,'[1]M3 Price'!$H:$H)</f>
        <v>#N/A</v>
      </c>
      <c r="W138" t="s">
        <v>4733</v>
      </c>
    </row>
    <row r="139" spans="1:24" x14ac:dyDescent="0.25">
      <c r="A139" s="1" t="s">
        <v>1826</v>
      </c>
      <c r="B139" s="1" t="s">
        <v>1755</v>
      </c>
      <c r="C139" s="1" t="s">
        <v>554</v>
      </c>
      <c r="D139" s="1">
        <v>0.84615384615384615</v>
      </c>
      <c r="E139" s="33">
        <v>0.88942307692307687</v>
      </c>
      <c r="F139" s="10">
        <f t="shared" si="32"/>
        <v>0.91</v>
      </c>
      <c r="G139" s="136">
        <f t="shared" si="31"/>
        <v>2.3135135135135231E-2</v>
      </c>
      <c r="H139">
        <f>H31/16*12</f>
        <v>7.8000000000000007</v>
      </c>
      <c r="I139" s="4" t="s">
        <v>3923</v>
      </c>
      <c r="J139">
        <f>0.55*12</f>
        <v>6.6000000000000005</v>
      </c>
      <c r="K139" s="4">
        <v>0</v>
      </c>
      <c r="L139" s="4">
        <f>N139</f>
        <v>7.08</v>
      </c>
      <c r="M139" s="4"/>
      <c r="N139" s="4">
        <f>_xlfn.XLOOKUP(A139,'[1]M3 Price'!$A:$A,'[1]M3 Price'!$H:$H)</f>
        <v>7.08</v>
      </c>
      <c r="W139" t="s">
        <v>4741</v>
      </c>
      <c r="X139" s="4">
        <f>N139-L139</f>
        <v>0</v>
      </c>
    </row>
    <row r="140" spans="1:24" x14ac:dyDescent="0.25">
      <c r="A140" s="1" t="s">
        <v>1853</v>
      </c>
      <c r="B140" s="1" t="s">
        <v>1758</v>
      </c>
      <c r="C140" s="1" t="s">
        <v>554</v>
      </c>
      <c r="D140" s="1">
        <v>0.86</v>
      </c>
      <c r="E140" s="140">
        <f>D140</f>
        <v>0.86</v>
      </c>
      <c r="F140" s="10" t="e">
        <f t="shared" si="32"/>
        <v>#N/A</v>
      </c>
      <c r="G140" s="136" t="e">
        <f t="shared" si="31"/>
        <v>#N/A</v>
      </c>
      <c r="H140">
        <v>600</v>
      </c>
      <c r="I140" s="4" t="s">
        <v>4759</v>
      </c>
      <c r="J140">
        <v>516</v>
      </c>
      <c r="K140" s="4">
        <v>0</v>
      </c>
      <c r="L140" s="4" t="e">
        <f>_xlfn.XLOOKUP(A140,'[2]Inbound Pricing'!$C:$C,'[2]Inbound Pricing'!$K:$K)</f>
        <v>#N/A</v>
      </c>
      <c r="M140" s="4"/>
      <c r="N140" s="4" t="e">
        <f>_xlfn.XLOOKUP(A140,'[1]M3 Price'!$A:$A,'[1]M3 Price'!$H:$H)</f>
        <v>#N/A</v>
      </c>
      <c r="W140" t="s">
        <v>4736</v>
      </c>
    </row>
    <row r="141" spans="1:24" x14ac:dyDescent="0.25">
      <c r="A141" s="1" t="s">
        <v>2468</v>
      </c>
      <c r="B141" s="1" t="s">
        <v>4715</v>
      </c>
      <c r="C141" s="1" t="s">
        <v>554</v>
      </c>
      <c r="D141" s="1">
        <v>3.73</v>
      </c>
      <c r="E141" s="10">
        <f>IFERROR(K141/H141,"")</f>
        <v>3.9</v>
      </c>
      <c r="F141" s="10">
        <f t="shared" si="32"/>
        <v>3.9</v>
      </c>
      <c r="G141" s="136">
        <f t="shared" si="31"/>
        <v>0</v>
      </c>
      <c r="H141">
        <v>2</v>
      </c>
      <c r="I141" s="4" t="s">
        <v>4028</v>
      </c>
      <c r="K141" s="4">
        <v>7.8</v>
      </c>
      <c r="L141" s="4">
        <f>N141</f>
        <v>7.8</v>
      </c>
      <c r="M141" s="4"/>
      <c r="N141" s="4">
        <f>_xlfn.XLOOKUP(A141,'[1]M3 Price'!$A:$A,'[1]M3 Price'!$H:$H)</f>
        <v>7.8</v>
      </c>
      <c r="W141" t="s">
        <v>4741</v>
      </c>
      <c r="X141" s="4">
        <f>N141-L141</f>
        <v>0</v>
      </c>
    </row>
    <row r="142" spans="1:24" x14ac:dyDescent="0.25">
      <c r="A142" s="1" t="s">
        <v>2347</v>
      </c>
      <c r="B142" s="1" t="s">
        <v>4777</v>
      </c>
      <c r="C142" s="1" t="s">
        <v>554</v>
      </c>
      <c r="D142" s="1"/>
      <c r="E142" s="10">
        <f>IFERROR(K142/H142,"")</f>
        <v>4.16</v>
      </c>
      <c r="F142" s="10">
        <f t="shared" si="32"/>
        <v>0</v>
      </c>
      <c r="H142">
        <v>0.25</v>
      </c>
      <c r="K142" s="4">
        <v>1.04</v>
      </c>
      <c r="L142" s="4">
        <f>_xlfn.XLOOKUP(A142,'[2]Inbound Pricing'!$C:$C,'[2]Inbound Pricing'!$K:$K)</f>
        <v>0</v>
      </c>
      <c r="M142" s="4"/>
      <c r="N142" s="4">
        <f>_xlfn.XLOOKUP(A142,'[1]M3 Price'!$A:$A,'[1]M3 Price'!$H:$H)</f>
        <v>0</v>
      </c>
    </row>
    <row r="143" spans="1:24" x14ac:dyDescent="0.25">
      <c r="A143" s="1" t="s">
        <v>2022</v>
      </c>
      <c r="B143" s="1" t="s">
        <v>2023</v>
      </c>
      <c r="C143" s="1" t="s">
        <v>981</v>
      </c>
      <c r="D143" s="1"/>
      <c r="E143" s="10">
        <f>IFERROR(K143/H143,"")</f>
        <v>1.94</v>
      </c>
      <c r="F143" s="10">
        <f t="shared" si="32"/>
        <v>0</v>
      </c>
      <c r="H143">
        <v>1</v>
      </c>
      <c r="K143" s="4">
        <v>1.94</v>
      </c>
      <c r="L143" s="4">
        <f>_xlfn.XLOOKUP(A143,'[2]Inbound Pricing'!$C:$C,'[2]Inbound Pricing'!$K:$K)</f>
        <v>0</v>
      </c>
      <c r="M143" s="4"/>
      <c r="N143" s="4">
        <f>_xlfn.XLOOKUP(A143,'[1]M3 Price'!$A:$A,'[1]M3 Price'!$H:$H)</f>
        <v>0</v>
      </c>
    </row>
    <row r="144" spans="1:24" x14ac:dyDescent="0.25">
      <c r="A144" s="1" t="s">
        <v>4776</v>
      </c>
      <c r="B144" s="1" t="s">
        <v>4778</v>
      </c>
      <c r="C144" s="1" t="s">
        <v>554</v>
      </c>
      <c r="D144" s="1"/>
      <c r="E144" s="10">
        <f>IFERROR(K144/H144,"")</f>
        <v>1.3098039215686275</v>
      </c>
      <c r="F144" s="10">
        <f t="shared" si="32"/>
        <v>1.31</v>
      </c>
      <c r="H144">
        <v>12.75</v>
      </c>
      <c r="K144" s="4">
        <v>16.7</v>
      </c>
      <c r="L144" s="4">
        <f>N144</f>
        <v>16.7</v>
      </c>
      <c r="M144" s="4"/>
      <c r="N144" s="4">
        <f>_xlfn.XLOOKUP(A144,'[1]M3 Price'!$A:$A,'[1]M3 Price'!$H:$H)</f>
        <v>16.7</v>
      </c>
      <c r="X144" s="4">
        <f>N144-L144</f>
        <v>0</v>
      </c>
    </row>
    <row r="145" spans="1:25" x14ac:dyDescent="0.25">
      <c r="A145" s="1" t="s">
        <v>3632</v>
      </c>
      <c r="B145" s="1" t="s">
        <v>4779</v>
      </c>
      <c r="C145" s="1" t="s">
        <v>554</v>
      </c>
      <c r="D145" s="1"/>
      <c r="E145" s="10">
        <f>IFERROR(K145/H145,"")</f>
        <v>0.91666666666666663</v>
      </c>
      <c r="F145" s="10">
        <f t="shared" si="32"/>
        <v>0</v>
      </c>
      <c r="H145">
        <v>12</v>
      </c>
      <c r="K145" s="4">
        <v>11</v>
      </c>
      <c r="L145" s="4">
        <f>_xlfn.XLOOKUP(A145,'[2]Inbound Pricing'!$C:$C,'[2]Inbound Pricing'!$K:$K)</f>
        <v>0</v>
      </c>
      <c r="M145" s="4"/>
      <c r="N145" s="4">
        <f>_xlfn.XLOOKUP(A145,'[1]M3 Price'!$A:$A,'[1]M3 Price'!$H:$H)</f>
        <v>0</v>
      </c>
    </row>
    <row r="146" spans="1:25" x14ac:dyDescent="0.25">
      <c r="A146" s="1" t="s">
        <v>2029</v>
      </c>
      <c r="B146" s="1" t="s">
        <v>4803</v>
      </c>
      <c r="C146" s="1" t="s">
        <v>554</v>
      </c>
      <c r="D146" s="1"/>
      <c r="E146" s="1">
        <v>1.2</v>
      </c>
      <c r="F146" s="10">
        <f t="shared" si="32"/>
        <v>1.67</v>
      </c>
      <c r="H146">
        <v>0.45</v>
      </c>
      <c r="L146" s="4">
        <f>7.5/10</f>
        <v>0.75</v>
      </c>
      <c r="M146" t="s">
        <v>4833</v>
      </c>
      <c r="N146" s="4">
        <f>_xlfn.XLOOKUP(A146,'[1]M3 Price'!$A:$A,'[1]M3 Price'!$H:$H)</f>
        <v>0</v>
      </c>
      <c r="X146" s="4">
        <f>N146-L146</f>
        <v>-0.75</v>
      </c>
    </row>
    <row r="147" spans="1:25" x14ac:dyDescent="0.25">
      <c r="A147" s="1" t="s">
        <v>1808</v>
      </c>
      <c r="B147" s="1" t="s">
        <v>2213</v>
      </c>
      <c r="C147" s="1" t="s">
        <v>554</v>
      </c>
      <c r="D147" s="1"/>
      <c r="E147" s="10">
        <f>IFERROR(K147/H147,"")</f>
        <v>1.7142857142857144</v>
      </c>
      <c r="F147" s="10">
        <f t="shared" si="32"/>
        <v>1.34</v>
      </c>
      <c r="H147">
        <v>5.88</v>
      </c>
      <c r="K147" s="4">
        <v>10.08</v>
      </c>
      <c r="L147" s="4">
        <f t="shared" ref="L147:L150" si="34">N147</f>
        <v>7.84</v>
      </c>
      <c r="M147" s="4"/>
      <c r="N147" s="4">
        <f>_xlfn.XLOOKUP(A147,'[1]M3 Price'!$A:$A,'[1]M3 Price'!$H:$H)</f>
        <v>7.84</v>
      </c>
      <c r="X147" s="4">
        <f>N147-L147</f>
        <v>0</v>
      </c>
    </row>
    <row r="148" spans="1:25" x14ac:dyDescent="0.25">
      <c r="A148" t="s">
        <v>1139</v>
      </c>
      <c r="B148" t="s">
        <v>4834</v>
      </c>
      <c r="C148" t="s">
        <v>554</v>
      </c>
      <c r="F148" s="10">
        <f t="shared" si="32"/>
        <v>2.3199999999999998</v>
      </c>
      <c r="H148">
        <v>8</v>
      </c>
      <c r="L148" s="4">
        <f t="shared" si="34"/>
        <v>18.5</v>
      </c>
      <c r="N148" s="4">
        <f>_xlfn.XLOOKUP(A148,'[1]M3 Price'!$A:$A,'[1]M3 Price'!$H:$H)</f>
        <v>18.5</v>
      </c>
      <c r="X148" s="4">
        <f>N148-L148</f>
        <v>0</v>
      </c>
    </row>
    <row r="149" spans="1:25" x14ac:dyDescent="0.25">
      <c r="A149" t="s">
        <v>4835</v>
      </c>
      <c r="B149" t="s">
        <v>4836</v>
      </c>
      <c r="C149" t="s">
        <v>554</v>
      </c>
      <c r="F149" s="10">
        <f t="shared" si="32"/>
        <v>1.45</v>
      </c>
      <c r="G149" s="46"/>
      <c r="H149">
        <v>5</v>
      </c>
      <c r="L149" s="4">
        <f t="shared" si="34"/>
        <v>7.25</v>
      </c>
      <c r="N149" s="4">
        <f>_xlfn.XLOOKUP(A149,'[1]M3 Price'!$A:$A,'[1]M3 Price'!$H:$H)</f>
        <v>7.25</v>
      </c>
      <c r="X149" s="4">
        <f>N149-L149</f>
        <v>0</v>
      </c>
    </row>
    <row r="150" spans="1:25" x14ac:dyDescent="0.25">
      <c r="A150" t="s">
        <v>1820</v>
      </c>
      <c r="B150" t="s">
        <v>3672</v>
      </c>
      <c r="C150" t="s">
        <v>554</v>
      </c>
      <c r="F150" s="10">
        <f t="shared" si="32"/>
        <v>0.79</v>
      </c>
      <c r="H150">
        <v>5</v>
      </c>
      <c r="L150" s="4">
        <f t="shared" si="34"/>
        <v>3.95</v>
      </c>
      <c r="N150" s="4">
        <f>_xlfn.XLOOKUP(A150,'[1]M3 Price'!$A:$A,'[1]M3 Price'!$H:$H)</f>
        <v>3.95</v>
      </c>
      <c r="X150" s="4">
        <f>N150-L150</f>
        <v>0</v>
      </c>
    </row>
    <row r="151" spans="1:25" x14ac:dyDescent="0.25">
      <c r="A151" s="142" t="s">
        <v>4846</v>
      </c>
      <c r="B151" s="142" t="s">
        <v>4849</v>
      </c>
      <c r="C151" s="142" t="s">
        <v>554</v>
      </c>
      <c r="D151" s="151"/>
      <c r="E151">
        <v>0.24</v>
      </c>
      <c r="F151" s="10">
        <v>0.24</v>
      </c>
      <c r="L151" s="4" t="e">
        <f>_xlfn.XLOOKUP(A151,'[2]Inbound Pricing'!$C:$C,'[2]Inbound Pricing'!$K:$K)</f>
        <v>#N/A</v>
      </c>
      <c r="N151" s="4" t="e">
        <f>_xlfn.XLOOKUP(A151,'[1]M3 Price'!$A:$A,'[1]M3 Price'!$H:$H)</f>
        <v>#N/A</v>
      </c>
    </row>
    <row r="152" spans="1:25" x14ac:dyDescent="0.25">
      <c r="A152" s="101" t="s">
        <v>4809</v>
      </c>
      <c r="B152" t="s">
        <v>4808</v>
      </c>
      <c r="C152" s="1" t="s">
        <v>595</v>
      </c>
      <c r="E152" s="4">
        <f>16.9/220</f>
        <v>7.6818181818181813E-2</v>
      </c>
      <c r="F152" s="10">
        <f>E152</f>
        <v>7.6818181818181813E-2</v>
      </c>
      <c r="L152" s="4" t="e">
        <f>_xlfn.XLOOKUP(A152,'[2]Inbound Pricing'!$C:$C,'[2]Inbound Pricing'!$K:$K)</f>
        <v>#N/A</v>
      </c>
      <c r="N152" s="4" t="e">
        <f>_xlfn.XLOOKUP(A152,'[1]M3 Price'!$A:$A,'[1]M3 Price'!$H:$H)</f>
        <v>#N/A</v>
      </c>
    </row>
    <row r="153" spans="1:25" x14ac:dyDescent="0.25">
      <c r="A153" t="s">
        <v>1805</v>
      </c>
      <c r="B153" t="s">
        <v>4908</v>
      </c>
      <c r="C153" t="s">
        <v>554</v>
      </c>
      <c r="F153" s="10">
        <f>6.6/5</f>
        <v>1.3199999999999998</v>
      </c>
      <c r="N153" s="34"/>
    </row>
    <row r="154" spans="1:25" x14ac:dyDescent="0.25">
      <c r="F154" s="10"/>
    </row>
    <row r="155" spans="1:25" x14ac:dyDescent="0.25">
      <c r="F155" s="10"/>
      <c r="Y155" s="155"/>
    </row>
    <row r="156" spans="1:25" x14ac:dyDescent="0.25">
      <c r="F156" s="10"/>
      <c r="Y156" s="4"/>
    </row>
    <row r="157" spans="1:25" x14ac:dyDescent="0.25">
      <c r="F157" s="10"/>
      <c r="Y157" s="34"/>
    </row>
    <row r="158" spans="1:25" x14ac:dyDescent="0.25">
      <c r="F158" s="10"/>
    </row>
    <row r="159" spans="1:25" x14ac:dyDescent="0.25">
      <c r="F159" s="10"/>
    </row>
    <row r="160" spans="1:25" x14ac:dyDescent="0.25">
      <c r="F160" s="10"/>
    </row>
    <row r="161" spans="6:12" x14ac:dyDescent="0.25">
      <c r="F161" s="10"/>
    </row>
    <row r="165" spans="6:12" x14ac:dyDescent="0.25">
      <c r="L165" t="s">
        <v>4909</v>
      </c>
    </row>
  </sheetData>
  <autoFilter ref="A1:X153" xr:uid="{00404E9A-F70E-4AEE-A12A-ADA95301008C}">
    <filterColumn colId="5">
      <colorFilter dxfId="174"/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736C-F24A-43AD-A2BF-E54A26090AA6}">
  <sheetPr codeName="Sheet3">
    <tabColor rgb="FF00B0F0"/>
  </sheetPr>
  <dimension ref="A1:X155"/>
  <sheetViews>
    <sheetView workbookViewId="0"/>
  </sheetViews>
  <sheetFormatPr defaultRowHeight="15" x14ac:dyDescent="0.25"/>
  <cols>
    <col min="1" max="1" width="12.5703125" bestFit="1" customWidth="1"/>
    <col min="2" max="2" width="37" bestFit="1" customWidth="1"/>
    <col min="3" max="3" width="4.5703125" customWidth="1"/>
    <col min="4" max="4" width="16.5703125" customWidth="1"/>
    <col min="5" max="5" width="16.140625" customWidth="1"/>
    <col min="6" max="6" width="11.5703125" bestFit="1" customWidth="1"/>
    <col min="7" max="8" width="12.42578125" customWidth="1"/>
    <col min="9" max="9" width="12.42578125" bestFit="1" customWidth="1"/>
    <col min="10" max="10" width="11.140625" bestFit="1" customWidth="1"/>
    <col min="11" max="11" width="19.7109375" customWidth="1"/>
    <col min="12" max="12" width="49.7109375" customWidth="1"/>
    <col min="13" max="13" width="10.7109375" customWidth="1"/>
    <col min="14" max="14" width="9.7109375" customWidth="1"/>
    <col min="15" max="16" width="11.85546875" customWidth="1"/>
    <col min="17" max="17" width="8.7109375" customWidth="1"/>
    <col min="18" max="18" width="6.5703125" customWidth="1"/>
  </cols>
  <sheetData>
    <row r="1" spans="1:20" x14ac:dyDescent="0.25">
      <c r="A1" s="7" t="s">
        <v>1111</v>
      </c>
      <c r="B1" s="7" t="s">
        <v>1112</v>
      </c>
      <c r="C1" s="8" t="s">
        <v>1113</v>
      </c>
      <c r="D1" s="9" t="s">
        <v>4688</v>
      </c>
      <c r="E1" s="9" t="s">
        <v>4748</v>
      </c>
      <c r="F1" s="89" t="s">
        <v>4341</v>
      </c>
      <c r="G1" s="89" t="s">
        <v>4329</v>
      </c>
      <c r="H1" s="89"/>
      <c r="I1" s="9" t="s">
        <v>4689</v>
      </c>
      <c r="J1" s="9" t="s">
        <v>4749</v>
      </c>
      <c r="K1" s="9"/>
      <c r="L1" s="9" t="s">
        <v>4331</v>
      </c>
      <c r="M1" s="1"/>
      <c r="N1" s="1" t="s">
        <v>4300</v>
      </c>
      <c r="O1" s="1" t="s">
        <v>4328</v>
      </c>
      <c r="T1" t="s">
        <v>4731</v>
      </c>
    </row>
    <row r="2" spans="1:20" x14ac:dyDescent="0.25">
      <c r="A2" s="81" t="s">
        <v>1115</v>
      </c>
      <c r="B2" s="81" t="s">
        <v>1116</v>
      </c>
      <c r="C2" s="81" t="s">
        <v>554</v>
      </c>
      <c r="D2" s="87">
        <v>0.4</v>
      </c>
      <c r="E2" s="10">
        <f>IFERROR(J2/G2,"")</f>
        <v>0.37372000000000011</v>
      </c>
      <c r="F2" s="136">
        <f>(E2-D2)/D2</f>
        <v>-6.5699999999999786E-2</v>
      </c>
      <c r="G2" s="4">
        <v>1000</v>
      </c>
      <c r="H2" s="4" t="s">
        <v>3977</v>
      </c>
      <c r="I2" s="4">
        <v>400</v>
      </c>
      <c r="J2" s="4">
        <v>373.72000000000008</v>
      </c>
      <c r="K2" s="4"/>
      <c r="L2" s="34"/>
      <c r="M2" s="4"/>
      <c r="N2" s="4"/>
      <c r="Q2" s="34">
        <f t="shared" ref="Q2:Q62" si="0">(E2-D2)/D2</f>
        <v>-6.5699999999999786E-2</v>
      </c>
      <c r="T2" t="s">
        <v>1751</v>
      </c>
    </row>
    <row r="3" spans="1:20" x14ac:dyDescent="0.25">
      <c r="A3" s="1" t="s">
        <v>1117</v>
      </c>
      <c r="B3" s="1" t="s">
        <v>1118</v>
      </c>
      <c r="C3" s="1" t="s">
        <v>554</v>
      </c>
      <c r="D3" s="88">
        <v>0.62</v>
      </c>
      <c r="E3" s="10">
        <f t="shared" ref="E3:E63" si="1">IFERROR(J3/G3,"")</f>
        <v>0.43040000000000006</v>
      </c>
      <c r="F3" s="136">
        <f t="shared" ref="F3:F63" si="2">(E3-D3)/D3</f>
        <v>-0.3058064516129031</v>
      </c>
      <c r="G3" s="4">
        <v>12.5</v>
      </c>
      <c r="H3" s="4" t="s">
        <v>3960</v>
      </c>
      <c r="I3" s="4">
        <v>7.75</v>
      </c>
      <c r="J3" s="4">
        <v>5.3800000000000008</v>
      </c>
      <c r="K3" s="4"/>
      <c r="L3" s="34"/>
      <c r="M3" s="4"/>
      <c r="N3" s="4"/>
      <c r="Q3" s="34">
        <f t="shared" si="0"/>
        <v>-0.3058064516129031</v>
      </c>
      <c r="T3" t="s">
        <v>4741</v>
      </c>
    </row>
    <row r="4" spans="1:20" x14ac:dyDescent="0.25">
      <c r="A4" s="1" t="s">
        <v>1119</v>
      </c>
      <c r="B4" s="1" t="s">
        <v>1120</v>
      </c>
      <c r="C4" s="1" t="s">
        <v>554</v>
      </c>
      <c r="D4" s="88">
        <v>1.28</v>
      </c>
      <c r="E4" s="10">
        <f t="shared" si="1"/>
        <v>0.9458333333333333</v>
      </c>
      <c r="F4" s="136">
        <f t="shared" si="2"/>
        <v>-0.26106770833333337</v>
      </c>
      <c r="G4" s="105">
        <v>12</v>
      </c>
      <c r="H4" s="4" t="s">
        <v>3971</v>
      </c>
      <c r="I4" s="4">
        <v>15.36</v>
      </c>
      <c r="J4" s="4">
        <v>11.35</v>
      </c>
      <c r="K4" s="4"/>
      <c r="L4" s="34"/>
      <c r="M4" s="11" t="str">
        <f>VLOOKUP(A4,'Material Cost'!A:C,3,0)</f>
        <v>1X15</v>
      </c>
      <c r="N4" s="11">
        <f>VLOOKUP(A4,'Material Cost'!G:L,6,0)</f>
        <v>17.8</v>
      </c>
      <c r="O4" s="11">
        <f>VLOOKUP(A4,'Material Cost'!A:D,4,0)</f>
        <v>14.782608695652176</v>
      </c>
      <c r="Q4" s="34">
        <f t="shared" si="0"/>
        <v>-0.26106770833333337</v>
      </c>
      <c r="T4" t="s">
        <v>4741</v>
      </c>
    </row>
    <row r="5" spans="1:20" x14ac:dyDescent="0.25">
      <c r="A5" s="81" t="s">
        <v>1121</v>
      </c>
      <c r="B5" s="81" t="s">
        <v>1122</v>
      </c>
      <c r="C5" s="81" t="s">
        <v>554</v>
      </c>
      <c r="D5" s="87">
        <v>0.86999999999999988</v>
      </c>
      <c r="E5" s="10">
        <f t="shared" si="1"/>
        <v>0.75900000000000001</v>
      </c>
      <c r="F5" s="136">
        <f t="shared" si="2"/>
        <v>-0.12758620689655159</v>
      </c>
      <c r="G5" s="4">
        <v>10</v>
      </c>
      <c r="H5" s="4" t="s">
        <v>3951</v>
      </c>
      <c r="I5" s="4">
        <v>8.6999999999999993</v>
      </c>
      <c r="J5" s="4">
        <v>7.59</v>
      </c>
      <c r="K5" s="4"/>
      <c r="L5" s="34"/>
      <c r="M5" s="4"/>
      <c r="N5" s="4"/>
      <c r="Q5" s="34">
        <f t="shared" si="0"/>
        <v>-0.12758620689655159</v>
      </c>
      <c r="T5" t="s">
        <v>4741</v>
      </c>
    </row>
    <row r="6" spans="1:20" x14ac:dyDescent="0.25">
      <c r="A6" s="1" t="s">
        <v>1123</v>
      </c>
      <c r="B6" s="1" t="s">
        <v>4692</v>
      </c>
      <c r="C6" s="1" t="s">
        <v>554</v>
      </c>
      <c r="D6" s="88">
        <v>0.32</v>
      </c>
      <c r="E6" s="10">
        <f t="shared" si="1"/>
        <v>0.3175</v>
      </c>
      <c r="F6" s="136">
        <f t="shared" si="2"/>
        <v>-7.8125000000000069E-3</v>
      </c>
      <c r="G6" s="4">
        <v>1200</v>
      </c>
      <c r="H6" s="4" t="s">
        <v>4087</v>
      </c>
      <c r="I6" s="4">
        <v>384</v>
      </c>
      <c r="J6" s="4">
        <v>381</v>
      </c>
      <c r="K6" s="4"/>
      <c r="L6" s="34"/>
      <c r="M6" s="4" t="str">
        <f>VLOOKUP(A6,'Material Cost'!A:C,3,0)</f>
        <v>1 X 1200KG</v>
      </c>
      <c r="N6" s="4"/>
      <c r="O6">
        <f>VLOOKUP(A6,'Material Cost'!A:D,4,0)</f>
        <v>358.97824786893005</v>
      </c>
      <c r="P6">
        <f>O6/1200</f>
        <v>0.29914853989077506</v>
      </c>
      <c r="Q6" s="34">
        <f t="shared" si="0"/>
        <v>-7.8125000000000069E-3</v>
      </c>
      <c r="T6" t="s">
        <v>4736</v>
      </c>
    </row>
    <row r="7" spans="1:20" x14ac:dyDescent="0.25">
      <c r="A7" s="1" t="s">
        <v>1124</v>
      </c>
      <c r="B7" s="1" t="s">
        <v>4693</v>
      </c>
      <c r="C7" s="1" t="s">
        <v>554</v>
      </c>
      <c r="D7" s="88">
        <v>0.32</v>
      </c>
      <c r="E7" s="10">
        <f t="shared" si="1"/>
        <v>0.3175</v>
      </c>
      <c r="F7" s="136">
        <f t="shared" si="2"/>
        <v>-7.8125000000000069E-3</v>
      </c>
      <c r="G7" s="4">
        <v>1200</v>
      </c>
      <c r="H7" s="4" t="s">
        <v>4087</v>
      </c>
      <c r="I7" s="4">
        <v>384</v>
      </c>
      <c r="J7" s="4">
        <v>381</v>
      </c>
      <c r="K7" s="4"/>
      <c r="L7" s="34"/>
      <c r="M7" s="4" t="str">
        <f>VLOOKUP(A7,'Material Cost'!A:C,3,0)</f>
        <v>1 X 1200KG</v>
      </c>
      <c r="N7" s="4"/>
      <c r="O7">
        <f>VLOOKUP(A7,'Material Cost'!A:D,4,0)</f>
        <v>358.97824786893005</v>
      </c>
      <c r="P7">
        <f>O7/1200</f>
        <v>0.29914853989077506</v>
      </c>
      <c r="Q7" s="34">
        <f t="shared" si="0"/>
        <v>-7.8125000000000069E-3</v>
      </c>
      <c r="T7" t="s">
        <v>4736</v>
      </c>
    </row>
    <row r="8" spans="1:20" x14ac:dyDescent="0.25">
      <c r="A8" s="1" t="s">
        <v>1125</v>
      </c>
      <c r="B8" s="1" t="s">
        <v>1126</v>
      </c>
      <c r="C8" s="1" t="s">
        <v>554</v>
      </c>
      <c r="D8" s="88">
        <v>0.76</v>
      </c>
      <c r="E8" s="10">
        <f t="shared" si="1"/>
        <v>0.76</v>
      </c>
      <c r="F8" s="136">
        <f t="shared" si="2"/>
        <v>0</v>
      </c>
      <c r="G8" s="4">
        <v>5</v>
      </c>
      <c r="H8" s="4" t="s">
        <v>3884</v>
      </c>
      <c r="I8" s="4">
        <v>3.8</v>
      </c>
      <c r="J8" s="4">
        <v>3.8</v>
      </c>
      <c r="K8" s="4"/>
      <c r="L8" s="34"/>
      <c r="M8" s="4"/>
      <c r="N8" s="4"/>
      <c r="Q8" s="34">
        <f t="shared" si="0"/>
        <v>0</v>
      </c>
      <c r="T8" t="s">
        <v>4736</v>
      </c>
    </row>
    <row r="9" spans="1:20" x14ac:dyDescent="0.25">
      <c r="A9" s="1" t="s">
        <v>1831</v>
      </c>
      <c r="B9" s="1" t="s">
        <v>1128</v>
      </c>
      <c r="C9" s="1" t="s">
        <v>554</v>
      </c>
      <c r="D9" s="88">
        <v>1.8199999999999998</v>
      </c>
      <c r="E9" s="10">
        <f t="shared" si="1"/>
        <v>1.8280724303226428</v>
      </c>
      <c r="F9" s="136">
        <f t="shared" si="2"/>
        <v>4.4354012761774354E-3</v>
      </c>
      <c r="G9" s="4">
        <v>5</v>
      </c>
      <c r="H9" s="4" t="s">
        <v>3945</v>
      </c>
      <c r="I9" s="4">
        <v>9.1</v>
      </c>
      <c r="J9" s="4">
        <v>9.1403621516132141</v>
      </c>
      <c r="K9" s="4"/>
      <c r="L9" s="34"/>
      <c r="M9" s="4"/>
      <c r="N9" s="4"/>
      <c r="Q9" s="34">
        <f t="shared" si="0"/>
        <v>4.4354012761774354E-3</v>
      </c>
      <c r="T9" t="s">
        <v>4734</v>
      </c>
    </row>
    <row r="10" spans="1:20" x14ac:dyDescent="0.25">
      <c r="A10" s="1" t="s">
        <v>1129</v>
      </c>
      <c r="B10" s="1" t="s">
        <v>1130</v>
      </c>
      <c r="C10" s="1" t="s">
        <v>554</v>
      </c>
      <c r="D10" s="88">
        <v>1.0900000000000001</v>
      </c>
      <c r="E10" s="10">
        <f t="shared" si="1"/>
        <v>1.0550000000000002</v>
      </c>
      <c r="F10" s="136">
        <f t="shared" si="2"/>
        <v>-3.2110091743119192E-2</v>
      </c>
      <c r="G10" s="4">
        <v>5</v>
      </c>
      <c r="H10" s="4" t="s">
        <v>3884</v>
      </c>
      <c r="I10" s="4">
        <v>5.45</v>
      </c>
      <c r="J10" s="4">
        <v>5.2750000000000004</v>
      </c>
      <c r="K10" s="4"/>
      <c r="L10" s="34"/>
      <c r="M10" s="4" t="str">
        <f>VLOOKUP(A10,'Material Cost'!A:C,3,0)</f>
        <v>1 X 5KG</v>
      </c>
      <c r="N10" s="4" t="e">
        <f>VLOOKUP(A10,'Material Cost'!G:L,6,0)</f>
        <v>#N/A</v>
      </c>
      <c r="O10">
        <f>VLOOKUP(A10,'Material Cost'!A:D,4,0)</f>
        <v>5.8223879430851833</v>
      </c>
      <c r="P10">
        <f>O10/5</f>
        <v>1.1644775886170367</v>
      </c>
      <c r="Q10" s="34">
        <f t="shared" si="0"/>
        <v>-3.2110091743119192E-2</v>
      </c>
      <c r="T10" t="s">
        <v>4741</v>
      </c>
    </row>
    <row r="11" spans="1:20" x14ac:dyDescent="0.25">
      <c r="A11" s="1" t="s">
        <v>1131</v>
      </c>
      <c r="B11" s="1" t="s">
        <v>1132</v>
      </c>
      <c r="C11" s="1" t="s">
        <v>554</v>
      </c>
      <c r="D11" s="88">
        <v>0.96</v>
      </c>
      <c r="E11" s="10">
        <f t="shared" si="1"/>
        <v>1.4681996512641673</v>
      </c>
      <c r="F11" s="136">
        <f t="shared" si="2"/>
        <v>0.52937463673350771</v>
      </c>
      <c r="G11" s="4">
        <v>6</v>
      </c>
      <c r="H11" s="4" t="s">
        <v>3895</v>
      </c>
      <c r="I11" s="4">
        <v>5.76</v>
      </c>
      <c r="J11" s="4">
        <v>8.8091979075850038</v>
      </c>
      <c r="K11" s="4"/>
      <c r="L11" s="34"/>
      <c r="M11" s="4"/>
      <c r="N11" s="4"/>
      <c r="Q11" s="34">
        <f t="shared" si="0"/>
        <v>0.52937463673350771</v>
      </c>
      <c r="T11" t="s">
        <v>4741</v>
      </c>
    </row>
    <row r="12" spans="1:20" x14ac:dyDescent="0.25">
      <c r="A12" s="1" t="s">
        <v>1133</v>
      </c>
      <c r="B12" s="138" t="s">
        <v>1134</v>
      </c>
      <c r="C12" s="1" t="s">
        <v>554</v>
      </c>
      <c r="D12" s="88">
        <v>3.86</v>
      </c>
      <c r="E12" s="140">
        <f>D12</f>
        <v>3.86</v>
      </c>
      <c r="F12" s="136">
        <f t="shared" si="2"/>
        <v>0</v>
      </c>
      <c r="G12" s="4">
        <v>1.5</v>
      </c>
      <c r="H12" s="4" t="s">
        <v>3991</v>
      </c>
      <c r="I12" s="4">
        <v>5.79</v>
      </c>
      <c r="J12" s="4">
        <v>0</v>
      </c>
      <c r="K12" s="4">
        <v>5</v>
      </c>
      <c r="L12" s="34"/>
      <c r="M12" s="4"/>
      <c r="N12" s="4"/>
      <c r="Q12" s="34">
        <f t="shared" si="0"/>
        <v>0</v>
      </c>
      <c r="T12" t="s">
        <v>4741</v>
      </c>
    </row>
    <row r="13" spans="1:20" x14ac:dyDescent="0.25">
      <c r="A13" s="1" t="s">
        <v>1135</v>
      </c>
      <c r="B13" s="1" t="s">
        <v>1136</v>
      </c>
      <c r="C13" s="1" t="s">
        <v>554</v>
      </c>
      <c r="D13" s="88">
        <v>4.09</v>
      </c>
      <c r="E13" s="10">
        <f t="shared" si="1"/>
        <v>3.625</v>
      </c>
      <c r="F13" s="136">
        <f t="shared" si="2"/>
        <v>-0.11369193154034227</v>
      </c>
      <c r="G13" s="4">
        <v>2</v>
      </c>
      <c r="H13" s="4" t="s">
        <v>3930</v>
      </c>
      <c r="I13" s="4">
        <v>8.18</v>
      </c>
      <c r="J13" s="4">
        <v>7.25</v>
      </c>
      <c r="K13" s="4"/>
      <c r="L13" s="34"/>
      <c r="M13" s="4"/>
      <c r="N13" s="4"/>
      <c r="Q13" s="34">
        <f t="shared" si="0"/>
        <v>-0.11369193154034227</v>
      </c>
      <c r="T13" t="s">
        <v>4741</v>
      </c>
    </row>
    <row r="14" spans="1:20" x14ac:dyDescent="0.25">
      <c r="A14" s="1" t="s">
        <v>1137</v>
      </c>
      <c r="B14" s="1" t="s">
        <v>1138</v>
      </c>
      <c r="C14" s="1" t="s">
        <v>554</v>
      </c>
      <c r="D14" s="88">
        <v>1.8</v>
      </c>
      <c r="E14" s="10">
        <f t="shared" si="1"/>
        <v>1.8</v>
      </c>
      <c r="F14" s="136">
        <f t="shared" si="2"/>
        <v>0</v>
      </c>
      <c r="G14" s="4">
        <v>5</v>
      </c>
      <c r="H14" s="4" t="s">
        <v>3963</v>
      </c>
      <c r="I14" s="4">
        <v>9</v>
      </c>
      <c r="J14" s="4">
        <v>9</v>
      </c>
      <c r="K14" s="4"/>
      <c r="L14" s="34"/>
      <c r="M14" s="4"/>
      <c r="N14" s="4"/>
      <c r="Q14" s="34">
        <f t="shared" si="0"/>
        <v>0</v>
      </c>
      <c r="T14" t="s">
        <v>4741</v>
      </c>
    </row>
    <row r="15" spans="1:20" x14ac:dyDescent="0.25">
      <c r="A15" s="1" t="s">
        <v>1141</v>
      </c>
      <c r="B15" s="1" t="s">
        <v>1142</v>
      </c>
      <c r="C15" s="1" t="s">
        <v>554</v>
      </c>
      <c r="D15" s="88">
        <v>1.26</v>
      </c>
      <c r="E15" s="10">
        <f t="shared" si="1"/>
        <v>1</v>
      </c>
      <c r="F15" s="136">
        <f t="shared" si="2"/>
        <v>-0.20634920634920637</v>
      </c>
      <c r="G15" s="4">
        <v>10</v>
      </c>
      <c r="H15" s="4" t="s">
        <v>3906</v>
      </c>
      <c r="I15" s="4">
        <v>12.6</v>
      </c>
      <c r="J15" s="4">
        <v>10</v>
      </c>
      <c r="K15" s="4"/>
      <c r="L15" s="34"/>
      <c r="M15" s="4"/>
      <c r="N15" s="4"/>
      <c r="Q15" s="34">
        <f t="shared" si="0"/>
        <v>-0.20634920634920637</v>
      </c>
      <c r="T15" t="s">
        <v>4733</v>
      </c>
    </row>
    <row r="16" spans="1:20" x14ac:dyDescent="0.25">
      <c r="A16" s="1" t="s">
        <v>1143</v>
      </c>
      <c r="B16" s="1" t="s">
        <v>1144</v>
      </c>
      <c r="C16" s="1" t="s">
        <v>554</v>
      </c>
      <c r="D16" s="88">
        <v>0.4</v>
      </c>
      <c r="E16" s="10">
        <f t="shared" si="1"/>
        <v>0.38400000000000001</v>
      </c>
      <c r="F16" s="136">
        <f t="shared" si="2"/>
        <v>-4.0000000000000036E-2</v>
      </c>
      <c r="G16" s="4">
        <v>20</v>
      </c>
      <c r="H16" s="4" t="s">
        <v>3917</v>
      </c>
      <c r="I16" s="4">
        <v>8</v>
      </c>
      <c r="J16" s="4">
        <v>7.6800000000000006</v>
      </c>
      <c r="K16" s="4"/>
      <c r="L16" s="34"/>
      <c r="M16" s="4"/>
      <c r="N16" s="4"/>
      <c r="Q16" s="34">
        <f t="shared" si="0"/>
        <v>-4.0000000000000036E-2</v>
      </c>
      <c r="T16" t="s">
        <v>4733</v>
      </c>
    </row>
    <row r="17" spans="1:20" x14ac:dyDescent="0.25">
      <c r="A17" s="1" t="s">
        <v>1145</v>
      </c>
      <c r="B17" s="1" t="s">
        <v>1146</v>
      </c>
      <c r="C17" s="1" t="s">
        <v>554</v>
      </c>
      <c r="D17" s="88">
        <v>0.49</v>
      </c>
      <c r="E17" s="33">
        <f t="shared" si="1"/>
        <v>0.375</v>
      </c>
      <c r="F17" s="136">
        <f t="shared" si="2"/>
        <v>-0.23469387755102039</v>
      </c>
      <c r="G17" s="4">
        <v>1200</v>
      </c>
      <c r="H17" s="4" t="s">
        <v>4087</v>
      </c>
      <c r="I17" s="4">
        <v>588</v>
      </c>
      <c r="J17" s="4">
        <v>450</v>
      </c>
      <c r="K17" s="4"/>
      <c r="L17" s="34"/>
      <c r="M17" s="4"/>
      <c r="N17" s="4"/>
      <c r="Q17" s="34">
        <f t="shared" si="0"/>
        <v>-0.23469387755102039</v>
      </c>
      <c r="T17" t="s">
        <v>4736</v>
      </c>
    </row>
    <row r="18" spans="1:20" x14ac:dyDescent="0.25">
      <c r="A18" s="1" t="s">
        <v>1147</v>
      </c>
      <c r="B18" s="1" t="s">
        <v>1148</v>
      </c>
      <c r="C18" s="1" t="s">
        <v>554</v>
      </c>
      <c r="D18" s="88">
        <v>1.88</v>
      </c>
      <c r="E18" s="10">
        <f t="shared" si="1"/>
        <v>1.5780296425457714</v>
      </c>
      <c r="F18" s="136">
        <f t="shared" si="2"/>
        <v>-0.16062253056075987</v>
      </c>
      <c r="G18" s="4">
        <v>2</v>
      </c>
      <c r="H18" s="4" t="s">
        <v>3938</v>
      </c>
      <c r="I18" s="4">
        <v>3.76</v>
      </c>
      <c r="J18" s="4">
        <v>3.1560592850915428</v>
      </c>
      <c r="K18" s="4"/>
      <c r="L18" s="34"/>
      <c r="M18" s="4"/>
      <c r="N18" s="4"/>
      <c r="Q18" s="34">
        <f t="shared" si="0"/>
        <v>-0.16062253056075987</v>
      </c>
      <c r="T18" t="s">
        <v>4741</v>
      </c>
    </row>
    <row r="19" spans="1:20" x14ac:dyDescent="0.25">
      <c r="A19" s="1" t="s">
        <v>1149</v>
      </c>
      <c r="B19" s="1" t="s">
        <v>1150</v>
      </c>
      <c r="C19" s="1" t="s">
        <v>554</v>
      </c>
      <c r="D19" s="88">
        <v>4.0999999999999996</v>
      </c>
      <c r="E19" s="10">
        <f t="shared" si="1"/>
        <v>2.4</v>
      </c>
      <c r="F19" s="136">
        <f t="shared" si="2"/>
        <v>-0.41463414634146339</v>
      </c>
      <c r="G19" s="4">
        <v>2</v>
      </c>
      <c r="H19" s="4" t="s">
        <v>3889</v>
      </c>
      <c r="I19" s="4">
        <v>8.1999999999999993</v>
      </c>
      <c r="J19" s="4">
        <v>4.8</v>
      </c>
      <c r="K19" s="4"/>
      <c r="L19" s="34"/>
      <c r="M19" s="4"/>
      <c r="N19" s="4"/>
      <c r="Q19" s="34">
        <f t="shared" si="0"/>
        <v>-0.41463414634146339</v>
      </c>
      <c r="T19" t="s">
        <v>4741</v>
      </c>
    </row>
    <row r="20" spans="1:20" x14ac:dyDescent="0.25">
      <c r="A20" s="1" t="s">
        <v>1151</v>
      </c>
      <c r="B20" s="1" t="s">
        <v>1152</v>
      </c>
      <c r="C20" s="1" t="s">
        <v>554</v>
      </c>
      <c r="D20" s="88">
        <v>0.69661016949152543</v>
      </c>
      <c r="E20" s="10">
        <f t="shared" si="1"/>
        <v>0.68295470824315929</v>
      </c>
      <c r="F20" s="136">
        <f t="shared" si="2"/>
        <v>-1.9602730259211734E-2</v>
      </c>
      <c r="G20" s="4">
        <v>11.8</v>
      </c>
      <c r="H20" s="4" t="s">
        <v>3955</v>
      </c>
      <c r="I20" s="4">
        <v>8.2200000000000006</v>
      </c>
      <c r="J20" s="4">
        <v>8.0588655572692804</v>
      </c>
      <c r="K20" s="4"/>
      <c r="L20" s="34"/>
      <c r="M20" s="11" t="str">
        <f>VLOOKUP(A20,'Material Cost'!A:C,3,0)</f>
        <v>6 X EACH</v>
      </c>
      <c r="N20" s="11">
        <v>11.8</v>
      </c>
      <c r="O20" s="11">
        <f>VLOOKUP(A20,'Material Cost'!A:D,4,0)</f>
        <v>7.7300000000000013</v>
      </c>
      <c r="Q20" s="34">
        <f t="shared" si="0"/>
        <v>-1.9602730259211734E-2</v>
      </c>
      <c r="T20" t="s">
        <v>4737</v>
      </c>
    </row>
    <row r="21" spans="1:20" x14ac:dyDescent="0.25">
      <c r="A21" s="1" t="s">
        <v>1153</v>
      </c>
      <c r="B21" s="1" t="s">
        <v>1154</v>
      </c>
      <c r="C21" s="1" t="s">
        <v>554</v>
      </c>
      <c r="D21" s="88">
        <v>0.87818181818181817</v>
      </c>
      <c r="E21" s="10">
        <f t="shared" si="1"/>
        <v>0.86390047845082918</v>
      </c>
      <c r="F21" s="136">
        <f t="shared" si="2"/>
        <v>-1.6262395138807346E-2</v>
      </c>
      <c r="G21" s="4">
        <v>11</v>
      </c>
      <c r="H21" s="4" t="s">
        <v>3880</v>
      </c>
      <c r="I21" s="4">
        <v>9.66</v>
      </c>
      <c r="J21" s="4">
        <v>9.5029052629591213</v>
      </c>
      <c r="K21" s="4"/>
      <c r="L21" s="34"/>
      <c r="M21" s="11" t="str">
        <f>VLOOKUP(A21,'Material Cost'!A:C,3,0)</f>
        <v>1 X 6EA</v>
      </c>
      <c r="N21" s="11">
        <v>11</v>
      </c>
      <c r="O21" s="11">
        <f>VLOOKUP(A21,'Material Cost'!A:D,4,0)</f>
        <v>8.8602564102564099</v>
      </c>
      <c r="Q21" s="34">
        <f t="shared" si="0"/>
        <v>-1.6262395138807346E-2</v>
      </c>
      <c r="T21" t="s">
        <v>4737</v>
      </c>
    </row>
    <row r="22" spans="1:20" x14ac:dyDescent="0.25">
      <c r="A22" s="81" t="s">
        <v>1155</v>
      </c>
      <c r="B22" s="81" t="s">
        <v>1156</v>
      </c>
      <c r="C22" s="81" t="s">
        <v>554</v>
      </c>
      <c r="D22" s="87">
        <v>0.82000000000000006</v>
      </c>
      <c r="E22" s="10">
        <f t="shared" si="1"/>
        <v>0.73333333333333328</v>
      </c>
      <c r="F22" s="136">
        <f t="shared" si="2"/>
        <v>-0.10569105691056924</v>
      </c>
      <c r="G22" s="4">
        <v>15</v>
      </c>
      <c r="H22" s="4" t="s">
        <v>3900</v>
      </c>
      <c r="I22" s="4">
        <v>12.3</v>
      </c>
      <c r="J22" s="4">
        <v>11</v>
      </c>
      <c r="K22" s="4"/>
      <c r="L22" s="34"/>
      <c r="M22" s="4"/>
      <c r="N22" s="4"/>
      <c r="Q22" s="34">
        <f t="shared" si="0"/>
        <v>-0.10569105691056924</v>
      </c>
      <c r="T22" t="s">
        <v>4737</v>
      </c>
    </row>
    <row r="23" spans="1:20" x14ac:dyDescent="0.25">
      <c r="A23" s="1" t="s">
        <v>1157</v>
      </c>
      <c r="B23" s="1" t="s">
        <v>1158</v>
      </c>
      <c r="C23" s="1" t="s">
        <v>554</v>
      </c>
      <c r="D23" s="88">
        <v>0.97222222222222221</v>
      </c>
      <c r="E23" s="10">
        <f t="shared" si="1"/>
        <v>0.75</v>
      </c>
      <c r="F23" s="136">
        <f t="shared" si="2"/>
        <v>-0.22857142857142856</v>
      </c>
      <c r="G23" s="4">
        <v>18</v>
      </c>
      <c r="H23" s="4" t="s">
        <v>3933</v>
      </c>
      <c r="I23" s="4">
        <v>17.5</v>
      </c>
      <c r="J23" s="4">
        <v>13.5</v>
      </c>
      <c r="K23" s="4"/>
      <c r="L23" s="34"/>
      <c r="M23" s="11" t="str">
        <f>VLOOKUP(A23,'Material Cost'!A:C,3,0)</f>
        <v>1 X 125/138</v>
      </c>
      <c r="N23" s="11">
        <f>VLOOKUP(A23,'Material Cost'!G:L,6,0)</f>
        <v>18</v>
      </c>
      <c r="O23" s="11">
        <f>VLOOKUP(A23,'Material Cost'!A:D,4,0)</f>
        <v>14.223214285714288</v>
      </c>
      <c r="Q23" s="34">
        <f t="shared" si="0"/>
        <v>-0.22857142857142856</v>
      </c>
      <c r="T23" t="s">
        <v>4737</v>
      </c>
    </row>
    <row r="24" spans="1:20" x14ac:dyDescent="0.25">
      <c r="A24" s="81" t="s">
        <v>1159</v>
      </c>
      <c r="B24" s="81" t="s">
        <v>1160</v>
      </c>
      <c r="C24" s="81" t="s">
        <v>554</v>
      </c>
      <c r="D24" s="87">
        <v>2.2399999999999998</v>
      </c>
      <c r="E24" s="10">
        <f t="shared" si="1"/>
        <v>2.2800000000000002</v>
      </c>
      <c r="F24" s="136">
        <f t="shared" si="2"/>
        <v>1.7857142857143075E-2</v>
      </c>
      <c r="G24" s="4">
        <v>5</v>
      </c>
      <c r="H24" s="4" t="s">
        <v>3890</v>
      </c>
      <c r="I24" s="4">
        <v>11.2</v>
      </c>
      <c r="J24" s="4">
        <v>11.4</v>
      </c>
      <c r="K24" s="4"/>
      <c r="L24" s="34"/>
      <c r="M24" s="4" t="str">
        <f>VLOOKUP(A24,'Material Cost'!A:C,3,0)</f>
        <v>10 X 500G</v>
      </c>
      <c r="N24" s="4" t="e">
        <f>VLOOKUP(A24,'Material Cost'!G:L,6,0)</f>
        <v>#N/A</v>
      </c>
      <c r="O24">
        <f>VLOOKUP(A24,'Material Cost'!A:D,4,0)</f>
        <v>11.108695652173912</v>
      </c>
      <c r="Q24" s="34">
        <f t="shared" si="0"/>
        <v>1.7857142857143075E-2</v>
      </c>
      <c r="T24" t="s">
        <v>4737</v>
      </c>
    </row>
    <row r="25" spans="1:20" x14ac:dyDescent="0.25">
      <c r="A25" s="1" t="s">
        <v>1161</v>
      </c>
      <c r="B25" s="1" t="s">
        <v>1162</v>
      </c>
      <c r="C25" s="1" t="s">
        <v>554</v>
      </c>
      <c r="D25" s="88">
        <v>2.2399999999999998</v>
      </c>
      <c r="E25" s="10">
        <f t="shared" si="1"/>
        <v>2.2800000000000002</v>
      </c>
      <c r="F25" s="136">
        <f t="shared" si="2"/>
        <v>1.7857142857143075E-2</v>
      </c>
      <c r="G25" s="4">
        <v>5</v>
      </c>
      <c r="H25" s="4" t="s">
        <v>3890</v>
      </c>
      <c r="I25" s="4">
        <v>11.2</v>
      </c>
      <c r="J25" s="4">
        <v>11.400000000000002</v>
      </c>
      <c r="K25" s="4"/>
      <c r="L25" s="34"/>
      <c r="M25" s="4" t="str">
        <f>VLOOKUP(A25,'Material Cost'!A:C,3,0)</f>
        <v>10 X 500G</v>
      </c>
      <c r="N25" s="4" t="e">
        <f>VLOOKUP(A25,'Material Cost'!G:L,6,0)</f>
        <v>#N/A</v>
      </c>
      <c r="O25">
        <f>VLOOKUP(A25,'Material Cost'!A:D,4,0)</f>
        <v>11.108695652173912</v>
      </c>
      <c r="Q25" s="34">
        <f t="shared" si="0"/>
        <v>1.7857142857143075E-2</v>
      </c>
      <c r="T25" t="s">
        <v>4737</v>
      </c>
    </row>
    <row r="26" spans="1:20" x14ac:dyDescent="0.25">
      <c r="A26" s="1" t="s">
        <v>1163</v>
      </c>
      <c r="B26" s="1" t="s">
        <v>1164</v>
      </c>
      <c r="C26" s="1" t="s">
        <v>554</v>
      </c>
      <c r="D26" s="88">
        <v>2.17</v>
      </c>
      <c r="E26" s="10">
        <f t="shared" si="1"/>
        <v>1.98</v>
      </c>
      <c r="F26" s="136">
        <f t="shared" si="2"/>
        <v>-8.7557603686635926E-2</v>
      </c>
      <c r="G26" s="4">
        <v>10</v>
      </c>
      <c r="H26" s="4" t="s">
        <v>3906</v>
      </c>
      <c r="I26" s="4">
        <v>21.7</v>
      </c>
      <c r="J26" s="4">
        <v>19.8</v>
      </c>
      <c r="K26" s="4"/>
      <c r="L26" s="34"/>
      <c r="M26" s="4"/>
      <c r="N26" s="4"/>
      <c r="Q26" s="34">
        <f t="shared" si="0"/>
        <v>-8.7557603686635926E-2</v>
      </c>
      <c r="T26" t="s">
        <v>4737</v>
      </c>
    </row>
    <row r="27" spans="1:20" x14ac:dyDescent="0.25">
      <c r="A27" s="1" t="s">
        <v>1167</v>
      </c>
      <c r="B27" s="1" t="s">
        <v>1168</v>
      </c>
      <c r="C27" s="1" t="s">
        <v>554</v>
      </c>
      <c r="D27" s="88">
        <v>1.2</v>
      </c>
      <c r="E27" s="10">
        <f t="shared" si="1"/>
        <v>1.5693112467306018</v>
      </c>
      <c r="F27" s="136">
        <f t="shared" si="2"/>
        <v>0.3077593722755016</v>
      </c>
      <c r="G27" s="4">
        <v>6</v>
      </c>
      <c r="H27" s="4" t="s">
        <v>4032</v>
      </c>
      <c r="I27" s="4">
        <v>7.2</v>
      </c>
      <c r="J27" s="4">
        <v>9.4158674803836107</v>
      </c>
      <c r="K27" s="4"/>
      <c r="L27" s="34"/>
      <c r="M27" s="4"/>
      <c r="N27" s="4"/>
      <c r="Q27" s="34">
        <f t="shared" si="0"/>
        <v>0.3077593722755016</v>
      </c>
      <c r="T27" t="s">
        <v>4737</v>
      </c>
    </row>
    <row r="28" spans="1:20" x14ac:dyDescent="0.25">
      <c r="A28" s="1" t="s">
        <v>1169</v>
      </c>
      <c r="B28" s="1" t="s">
        <v>1170</v>
      </c>
      <c r="C28" s="1" t="s">
        <v>554</v>
      </c>
      <c r="D28" s="88">
        <v>1.3439024390243903</v>
      </c>
      <c r="E28" s="10">
        <f t="shared" si="1"/>
        <v>1.4353456524975017</v>
      </c>
      <c r="F28" s="136">
        <f t="shared" si="2"/>
        <v>6.8043044508122777E-2</v>
      </c>
      <c r="G28" s="4">
        <v>4.0999999999999996</v>
      </c>
      <c r="H28" s="4" t="s">
        <v>4243</v>
      </c>
      <c r="I28" s="4">
        <v>5.51</v>
      </c>
      <c r="J28" s="4">
        <v>5.8849171752397567</v>
      </c>
      <c r="K28" s="4"/>
      <c r="L28" s="34"/>
      <c r="M28" s="11" t="str">
        <f>VLOOKUP(A28,'Material Cost'!A:C,3,0)</f>
        <v>1 X 5/6</v>
      </c>
      <c r="N28" s="11">
        <v>4.0999999999999996</v>
      </c>
      <c r="O28" s="11">
        <f>VLOOKUP(A28,'Material Cost'!A:D,4,0)</f>
        <v>6</v>
      </c>
      <c r="Q28" s="34">
        <f t="shared" si="0"/>
        <v>6.8043044508122777E-2</v>
      </c>
      <c r="T28" t="s">
        <v>4737</v>
      </c>
    </row>
    <row r="29" spans="1:20" x14ac:dyDescent="0.25">
      <c r="A29" s="1" t="s">
        <v>1171</v>
      </c>
      <c r="B29" s="1" t="s">
        <v>1172</v>
      </c>
      <c r="C29" s="1" t="s">
        <v>554</v>
      </c>
      <c r="D29" s="88">
        <v>4.24</v>
      </c>
      <c r="E29" s="10">
        <f t="shared" si="1"/>
        <v>4.5045045045045038</v>
      </c>
      <c r="F29" s="136">
        <f t="shared" si="2"/>
        <v>6.2383137854835749E-2</v>
      </c>
      <c r="G29" s="4">
        <v>3</v>
      </c>
      <c r="H29" s="4" t="s">
        <v>4257</v>
      </c>
      <c r="I29" s="4">
        <v>12.72</v>
      </c>
      <c r="J29" s="4">
        <v>13.513513513513512</v>
      </c>
      <c r="K29" s="4"/>
      <c r="L29" s="34"/>
      <c r="M29" s="11" t="str">
        <f>VLOOKUP(A29,'Material Cost'!A:C,3,0)</f>
        <v>8 X EA</v>
      </c>
      <c r="N29" s="11">
        <f>VLOOKUP(A29,'Material Cost'!G:L,6,0)</f>
        <v>3</v>
      </c>
      <c r="O29" s="11">
        <f>VLOOKUP(A29,'Material Cost'!A:D,4,0)</f>
        <v>13.043478260869566</v>
      </c>
      <c r="Q29" s="34">
        <f t="shared" si="0"/>
        <v>6.2383137854835749E-2</v>
      </c>
      <c r="T29" t="s">
        <v>4737</v>
      </c>
    </row>
    <row r="30" spans="1:20" x14ac:dyDescent="0.25">
      <c r="A30" s="81" t="s">
        <v>1173</v>
      </c>
      <c r="B30" s="81" t="s">
        <v>1174</v>
      </c>
      <c r="C30" s="81" t="s">
        <v>554</v>
      </c>
      <c r="D30" s="87">
        <v>6.875</v>
      </c>
      <c r="E30" s="10">
        <f t="shared" si="1"/>
        <v>6.7708333333333339</v>
      </c>
      <c r="F30" s="136">
        <f t="shared" si="2"/>
        <v>-1.5151515151515065E-2</v>
      </c>
      <c r="G30" s="4">
        <v>0.96</v>
      </c>
      <c r="H30" s="4" t="s">
        <v>3997</v>
      </c>
      <c r="I30" s="4">
        <v>6.6</v>
      </c>
      <c r="J30" s="4">
        <v>6.5</v>
      </c>
      <c r="K30" s="4"/>
      <c r="L30" s="34"/>
      <c r="M30" s="4" t="str">
        <f>VLOOKUP(A30,'Material Cost'!A:C,3,0)</f>
        <v>12 X 80G</v>
      </c>
      <c r="N30" s="4" t="e">
        <f>VLOOKUP(A30,'Material Cost'!G:L,6,0)</f>
        <v>#N/A</v>
      </c>
      <c r="O30">
        <f>VLOOKUP(A30,'Material Cost'!A:D,4,0)</f>
        <v>3.4267602060884443</v>
      </c>
      <c r="P30">
        <f>O30/0.96</f>
        <v>3.5695418813421296</v>
      </c>
      <c r="Q30" s="34">
        <f t="shared" si="0"/>
        <v>-1.5151515151515065E-2</v>
      </c>
      <c r="T30" t="s">
        <v>4741</v>
      </c>
    </row>
    <row r="31" spans="1:20" x14ac:dyDescent="0.25">
      <c r="A31" s="1" t="s">
        <v>1175</v>
      </c>
      <c r="B31" s="1" t="s">
        <v>1176</v>
      </c>
      <c r="C31" s="1" t="s">
        <v>554</v>
      </c>
      <c r="D31" s="88">
        <v>0.84615384615384615</v>
      </c>
      <c r="E31" s="10">
        <f t="shared" si="1"/>
        <v>0.88942307692307687</v>
      </c>
      <c r="F31" s="136">
        <f t="shared" si="2"/>
        <v>5.1136363636363584E-2</v>
      </c>
      <c r="G31" s="4">
        <v>10.4</v>
      </c>
      <c r="H31" s="4" t="s">
        <v>3936</v>
      </c>
      <c r="I31" s="4">
        <v>8.8000000000000007</v>
      </c>
      <c r="J31" s="4">
        <v>9.25</v>
      </c>
      <c r="K31" s="4"/>
      <c r="L31" s="34"/>
      <c r="M31" s="11" t="str">
        <f>VLOOKUP(A31,'Material Cost'!A:C,3,0)</f>
        <v>16 X EACH</v>
      </c>
      <c r="N31" s="11">
        <f>VLOOKUP(A31,'Material Cost'!G:L,6,0)</f>
        <v>10.4</v>
      </c>
      <c r="O31" s="11">
        <f>VLOOKUP(A31,'Material Cost'!A:D,4,0)</f>
        <v>9.15</v>
      </c>
      <c r="Q31" s="34">
        <f t="shared" si="0"/>
        <v>5.1136363636363584E-2</v>
      </c>
      <c r="T31" t="s">
        <v>4741</v>
      </c>
    </row>
    <row r="32" spans="1:20" x14ac:dyDescent="0.25">
      <c r="A32" s="81" t="s">
        <v>1830</v>
      </c>
      <c r="B32" s="81" t="s">
        <v>1178</v>
      </c>
      <c r="C32" s="81" t="s">
        <v>554</v>
      </c>
      <c r="D32" s="87">
        <v>1.78</v>
      </c>
      <c r="E32" s="10">
        <f t="shared" si="1"/>
        <v>1.7119759055242927</v>
      </c>
      <c r="F32" s="136">
        <f t="shared" si="2"/>
        <v>-3.821578341331873E-2</v>
      </c>
      <c r="G32" s="4">
        <v>5</v>
      </c>
      <c r="H32" s="4" t="s">
        <v>4111</v>
      </c>
      <c r="I32" s="4">
        <v>8.9</v>
      </c>
      <c r="J32" s="4">
        <v>8.5598795276214634</v>
      </c>
      <c r="K32" s="4"/>
      <c r="L32" s="34"/>
      <c r="M32" s="4"/>
      <c r="N32" s="4"/>
      <c r="Q32" s="34">
        <f t="shared" si="0"/>
        <v>-3.821578341331873E-2</v>
      </c>
      <c r="T32" t="s">
        <v>4734</v>
      </c>
    </row>
    <row r="33" spans="1:20" x14ac:dyDescent="0.25">
      <c r="A33" s="1" t="s">
        <v>3466</v>
      </c>
      <c r="B33" s="1" t="s">
        <v>1180</v>
      </c>
      <c r="C33" s="1" t="s">
        <v>554</v>
      </c>
      <c r="D33" s="88">
        <v>1.86</v>
      </c>
      <c r="E33" s="10">
        <f t="shared" si="1"/>
        <v>1.892643711692072</v>
      </c>
      <c r="F33" s="136">
        <f t="shared" si="2"/>
        <v>1.7550382630146192E-2</v>
      </c>
      <c r="G33" s="4">
        <v>5</v>
      </c>
      <c r="H33" s="4" t="s">
        <v>3945</v>
      </c>
      <c r="I33" s="4">
        <v>9.3000000000000007</v>
      </c>
      <c r="J33" s="4">
        <v>9.4632185584603601</v>
      </c>
      <c r="K33" s="4"/>
      <c r="L33" s="34"/>
      <c r="M33" s="4"/>
      <c r="N33" s="4"/>
      <c r="Q33" s="34">
        <f t="shared" si="0"/>
        <v>1.7550382630146192E-2</v>
      </c>
      <c r="T33" t="s">
        <v>4734</v>
      </c>
    </row>
    <row r="34" spans="1:20" x14ac:dyDescent="0.25">
      <c r="A34" s="1" t="s">
        <v>1181</v>
      </c>
      <c r="B34" s="1" t="s">
        <v>1182</v>
      </c>
      <c r="C34" s="1" t="s">
        <v>554</v>
      </c>
      <c r="D34" s="88">
        <v>1.34</v>
      </c>
      <c r="E34" s="10">
        <f t="shared" si="1"/>
        <v>1.4646904969485612</v>
      </c>
      <c r="F34" s="136">
        <f t="shared" si="2"/>
        <v>9.3052609663105343E-2</v>
      </c>
      <c r="G34" s="4">
        <v>5</v>
      </c>
      <c r="H34" s="4" t="s">
        <v>3884</v>
      </c>
      <c r="I34" s="4">
        <v>6.7</v>
      </c>
      <c r="J34" s="4">
        <v>7.3234524847428064</v>
      </c>
      <c r="K34" s="4"/>
      <c r="L34" s="34"/>
      <c r="M34" s="4"/>
      <c r="N34" s="4"/>
      <c r="Q34" s="34">
        <f t="shared" si="0"/>
        <v>9.3052609663105343E-2</v>
      </c>
      <c r="T34" t="s">
        <v>4741</v>
      </c>
    </row>
    <row r="35" spans="1:20" x14ac:dyDescent="0.25">
      <c r="A35" s="1" t="s">
        <v>1183</v>
      </c>
      <c r="B35" s="1" t="s">
        <v>1184</v>
      </c>
      <c r="C35" s="1" t="s">
        <v>554</v>
      </c>
      <c r="D35" s="88">
        <v>0.7</v>
      </c>
      <c r="E35" s="10">
        <f t="shared" si="1"/>
        <v>0.56399999999999995</v>
      </c>
      <c r="F35" s="136">
        <f t="shared" si="2"/>
        <v>-0.19428571428571431</v>
      </c>
      <c r="G35" s="4">
        <v>10</v>
      </c>
      <c r="H35" s="4" t="s">
        <v>3910</v>
      </c>
      <c r="I35" s="4">
        <v>7</v>
      </c>
      <c r="J35" s="4">
        <v>5.64</v>
      </c>
      <c r="K35" s="4"/>
      <c r="L35" s="34"/>
      <c r="M35" s="4"/>
      <c r="N35" s="4"/>
      <c r="Q35" s="34">
        <f t="shared" si="0"/>
        <v>-0.19428571428571431</v>
      </c>
      <c r="T35" t="s">
        <v>4733</v>
      </c>
    </row>
    <row r="36" spans="1:20" x14ac:dyDescent="0.25">
      <c r="A36" s="1" t="s">
        <v>1185</v>
      </c>
      <c r="B36" s="1" t="s">
        <v>1186</v>
      </c>
      <c r="C36" s="1" t="s">
        <v>554</v>
      </c>
      <c r="D36" s="88">
        <v>2.5499999999999998</v>
      </c>
      <c r="E36" s="10">
        <f t="shared" si="1"/>
        <v>2.5</v>
      </c>
      <c r="F36" s="136">
        <f t="shared" si="2"/>
        <v>-1.9607843137254832E-2</v>
      </c>
      <c r="G36" s="4">
        <v>10</v>
      </c>
      <c r="H36" s="4" t="s">
        <v>3906</v>
      </c>
      <c r="I36" s="4">
        <v>25.5</v>
      </c>
      <c r="J36" s="4">
        <v>25</v>
      </c>
      <c r="K36" s="4"/>
      <c r="L36" s="34"/>
      <c r="M36" s="4"/>
      <c r="N36" s="4"/>
      <c r="Q36" s="34">
        <f t="shared" si="0"/>
        <v>-1.9607843137254832E-2</v>
      </c>
      <c r="T36" t="s">
        <v>4741</v>
      </c>
    </row>
    <row r="37" spans="1:20" x14ac:dyDescent="0.25">
      <c r="A37" s="1" t="s">
        <v>1187</v>
      </c>
      <c r="B37" s="1" t="s">
        <v>1188</v>
      </c>
      <c r="C37" s="1" t="s">
        <v>554</v>
      </c>
      <c r="D37" s="88">
        <v>0.93</v>
      </c>
      <c r="E37" s="10">
        <f t="shared" si="1"/>
        <v>0.86312118570183094</v>
      </c>
      <c r="F37" s="136">
        <f t="shared" si="2"/>
        <v>-7.1912703546418391E-2</v>
      </c>
      <c r="G37" s="4">
        <v>10</v>
      </c>
      <c r="H37" s="4" t="s">
        <v>3906</v>
      </c>
      <c r="I37" s="4">
        <v>9.3000000000000007</v>
      </c>
      <c r="J37" s="4">
        <v>8.6312118570183092</v>
      </c>
      <c r="K37" s="4"/>
      <c r="L37" s="34"/>
      <c r="M37" s="4"/>
      <c r="N37" s="4"/>
      <c r="Q37" s="34">
        <f t="shared" si="0"/>
        <v>-7.1912703546418391E-2</v>
      </c>
      <c r="T37" t="s">
        <v>4733</v>
      </c>
    </row>
    <row r="38" spans="1:20" x14ac:dyDescent="0.25">
      <c r="A38" s="1" t="s">
        <v>1192</v>
      </c>
      <c r="B38" s="1" t="s">
        <v>1193</v>
      </c>
      <c r="C38" s="1" t="s">
        <v>554</v>
      </c>
      <c r="D38" s="88">
        <v>0.94594594594594594</v>
      </c>
      <c r="E38" s="10">
        <f t="shared" si="1"/>
        <v>0.94594594594594594</v>
      </c>
      <c r="F38" s="136">
        <f t="shared" si="2"/>
        <v>0</v>
      </c>
      <c r="G38" s="4">
        <v>14.8</v>
      </c>
      <c r="H38" s="4" t="s">
        <v>3984</v>
      </c>
      <c r="I38" s="4">
        <v>14</v>
      </c>
      <c r="J38" s="4">
        <v>14</v>
      </c>
      <c r="K38" s="4"/>
      <c r="L38" s="34"/>
      <c r="M38" s="4" t="str">
        <f>VLOOKUP(A38,'Material Cost'!A:C,3,0)</f>
        <v>40 X EACH</v>
      </c>
      <c r="N38" s="4">
        <v>14.8</v>
      </c>
      <c r="O38" s="4">
        <f>VLOOKUP(A38,'Material Cost'!A:D,4,0)</f>
        <v>14</v>
      </c>
      <c r="Q38" s="34">
        <f t="shared" si="0"/>
        <v>0</v>
      </c>
      <c r="T38" t="s">
        <v>4737</v>
      </c>
    </row>
    <row r="39" spans="1:20" x14ac:dyDescent="0.25">
      <c r="A39" s="1" t="s">
        <v>1194</v>
      </c>
      <c r="B39" s="1" t="s">
        <v>1195</v>
      </c>
      <c r="C39" s="1" t="s">
        <v>554</v>
      </c>
      <c r="D39" s="88">
        <v>0.97959183673469397</v>
      </c>
      <c r="E39" s="10">
        <f t="shared" si="1"/>
        <v>1.0252110431613377</v>
      </c>
      <c r="F39" s="136">
        <f t="shared" si="2"/>
        <v>4.6569606560532148E-2</v>
      </c>
      <c r="G39" s="4">
        <v>14.7</v>
      </c>
      <c r="H39" s="4" t="s">
        <v>3903</v>
      </c>
      <c r="I39" s="4">
        <v>14.4</v>
      </c>
      <c r="J39" s="4">
        <v>15.070602334471662</v>
      </c>
      <c r="K39" s="4"/>
      <c r="L39" s="34"/>
      <c r="M39" s="4" t="str">
        <f>VLOOKUP(A39,'Material Cost'!A:C,3,0)</f>
        <v>120-138</v>
      </c>
      <c r="N39" s="4">
        <v>14.7</v>
      </c>
      <c r="O39" s="4">
        <f>VLOOKUP(A39,'Material Cost'!A:D,4,0)</f>
        <v>11.5</v>
      </c>
      <c r="Q39" s="34">
        <f t="shared" si="0"/>
        <v>4.6569606560532148E-2</v>
      </c>
      <c r="T39" t="s">
        <v>4737</v>
      </c>
    </row>
    <row r="40" spans="1:20" x14ac:dyDescent="0.25">
      <c r="A40" s="1" t="s">
        <v>1197</v>
      </c>
      <c r="B40" s="1" t="s">
        <v>1198</v>
      </c>
      <c r="C40" s="1" t="s">
        <v>554</v>
      </c>
      <c r="D40" s="88">
        <v>1.01</v>
      </c>
      <c r="E40" s="10">
        <f t="shared" si="1"/>
        <v>0.875</v>
      </c>
      <c r="F40" s="136">
        <f t="shared" si="2"/>
        <v>-0.13366336633663367</v>
      </c>
      <c r="G40" s="4">
        <v>6</v>
      </c>
      <c r="H40" s="4" t="s">
        <v>3895</v>
      </c>
      <c r="I40" s="4">
        <v>6.06</v>
      </c>
      <c r="J40" s="4">
        <v>5.25</v>
      </c>
      <c r="K40" s="4"/>
      <c r="L40" s="34"/>
      <c r="M40" s="4" t="str">
        <f>VLOOKUP(A40,'Material Cost'!A:C,3,0)</f>
        <v>6 X KILO</v>
      </c>
      <c r="N40" s="4" t="e">
        <f>VLOOKUP(A40,'Material Cost'!G:L,6,0)</f>
        <v>#N/A</v>
      </c>
      <c r="O40">
        <f>VLOOKUP(A40,'Material Cost'!A:D,4,0)</f>
        <v>5.55</v>
      </c>
      <c r="Q40" s="34">
        <f t="shared" si="0"/>
        <v>-0.13366336633663367</v>
      </c>
      <c r="T40" t="s">
        <v>4732</v>
      </c>
    </row>
    <row r="41" spans="1:20" x14ac:dyDescent="0.25">
      <c r="A41" s="1" t="s">
        <v>1199</v>
      </c>
      <c r="B41" s="1" t="s">
        <v>1200</v>
      </c>
      <c r="C41" s="1" t="s">
        <v>554</v>
      </c>
      <c r="D41" s="88">
        <v>0.34</v>
      </c>
      <c r="E41" s="10">
        <f t="shared" si="1"/>
        <v>0.27179999999999999</v>
      </c>
      <c r="F41" s="136">
        <f t="shared" si="2"/>
        <v>-0.20058823529411773</v>
      </c>
      <c r="G41" s="4">
        <v>25</v>
      </c>
      <c r="H41" s="4" t="s">
        <v>4252</v>
      </c>
      <c r="I41" s="4">
        <v>8.5</v>
      </c>
      <c r="J41" s="4">
        <v>6.7949999999999999</v>
      </c>
      <c r="K41" s="4"/>
      <c r="L41" s="34"/>
      <c r="M41" s="4"/>
      <c r="N41" s="4"/>
      <c r="Q41" s="34">
        <f t="shared" si="0"/>
        <v>-0.20058823529411773</v>
      </c>
      <c r="T41" t="s">
        <v>4732</v>
      </c>
    </row>
    <row r="42" spans="1:20" x14ac:dyDescent="0.25">
      <c r="A42" s="1" t="s">
        <v>1201</v>
      </c>
      <c r="B42" s="1" t="s">
        <v>1202</v>
      </c>
      <c r="C42" s="1" t="s">
        <v>554</v>
      </c>
      <c r="D42" s="82">
        <v>0.56999999999999995</v>
      </c>
      <c r="E42" s="10">
        <f t="shared" si="1"/>
        <v>0.56000000000000005</v>
      </c>
      <c r="F42" s="136">
        <f t="shared" si="2"/>
        <v>-1.7543859649122629E-2</v>
      </c>
      <c r="G42" s="4">
        <v>25</v>
      </c>
      <c r="H42" s="4" t="s">
        <v>4046</v>
      </c>
      <c r="I42" s="4">
        <v>14.25</v>
      </c>
      <c r="J42" s="4">
        <v>14</v>
      </c>
      <c r="K42" s="4"/>
      <c r="L42" s="34"/>
      <c r="M42" s="4" t="e">
        <f>VLOOKUP(A42,'Material Cost'!A:C,3,0)</f>
        <v>#N/A</v>
      </c>
      <c r="N42" s="4"/>
      <c r="O42" t="e">
        <f>VLOOKUP(A42,'Material Cost'!A:D,4,0)</f>
        <v>#N/A</v>
      </c>
      <c r="Q42" s="34">
        <f t="shared" si="0"/>
        <v>-1.7543859649122629E-2</v>
      </c>
      <c r="T42" t="s">
        <v>4732</v>
      </c>
    </row>
    <row r="43" spans="1:20" x14ac:dyDescent="0.25">
      <c r="A43" s="1" t="s">
        <v>1203</v>
      </c>
      <c r="B43" s="1" t="s">
        <v>1204</v>
      </c>
      <c r="C43" s="1" t="s">
        <v>554</v>
      </c>
      <c r="D43" s="88">
        <v>2.0500000000000003</v>
      </c>
      <c r="E43" s="10">
        <f t="shared" si="1"/>
        <v>2.083333333333333</v>
      </c>
      <c r="F43" s="136">
        <f t="shared" si="2"/>
        <v>1.626016260162574E-2</v>
      </c>
      <c r="G43" s="4">
        <v>12</v>
      </c>
      <c r="H43" s="4" t="s">
        <v>3918</v>
      </c>
      <c r="I43" s="4">
        <v>24.6</v>
      </c>
      <c r="J43" s="4">
        <v>24.999999999999996</v>
      </c>
      <c r="K43" s="4"/>
      <c r="L43" s="34"/>
      <c r="M43" s="4"/>
      <c r="N43" s="4"/>
      <c r="Q43" s="34">
        <f t="shared" si="0"/>
        <v>1.626016260162574E-2</v>
      </c>
      <c r="T43" t="s">
        <v>4741</v>
      </c>
    </row>
    <row r="44" spans="1:20" x14ac:dyDescent="0.25">
      <c r="A44" s="1" t="s">
        <v>1205</v>
      </c>
      <c r="B44" s="1" t="s">
        <v>1206</v>
      </c>
      <c r="C44" s="1" t="s">
        <v>554</v>
      </c>
      <c r="D44" s="88">
        <v>1.05</v>
      </c>
      <c r="E44" s="10">
        <f t="shared" si="1"/>
        <v>1.3142857142857145</v>
      </c>
      <c r="F44" s="136">
        <f t="shared" si="2"/>
        <v>0.25170068027210901</v>
      </c>
      <c r="G44" s="4">
        <v>7</v>
      </c>
      <c r="H44" s="4" t="s">
        <v>4154</v>
      </c>
      <c r="I44" s="4">
        <v>7.35</v>
      </c>
      <c r="J44" s="4">
        <v>9.2000000000000011</v>
      </c>
      <c r="K44" s="4"/>
      <c r="L44" s="34"/>
      <c r="M44" s="4"/>
      <c r="N44" s="4"/>
      <c r="Q44" s="34">
        <f t="shared" si="0"/>
        <v>0.25170068027210901</v>
      </c>
      <c r="T44" t="s">
        <v>4735</v>
      </c>
    </row>
    <row r="45" spans="1:20" x14ac:dyDescent="0.25">
      <c r="A45" s="1" t="s">
        <v>1207</v>
      </c>
      <c r="B45" s="1" t="s">
        <v>1208</v>
      </c>
      <c r="C45" s="1" t="s">
        <v>554</v>
      </c>
      <c r="D45" s="88">
        <v>1.75</v>
      </c>
      <c r="E45" s="10">
        <f t="shared" si="1"/>
        <v>1.5874999999999997</v>
      </c>
      <c r="F45" s="136">
        <f t="shared" si="2"/>
        <v>-9.2857142857143041E-2</v>
      </c>
      <c r="G45" s="4">
        <v>4</v>
      </c>
      <c r="H45" s="4" t="s">
        <v>3893</v>
      </c>
      <c r="I45" s="4">
        <v>7</v>
      </c>
      <c r="J45" s="4">
        <v>6.3499999999999988</v>
      </c>
      <c r="K45" s="4"/>
      <c r="L45" s="34"/>
      <c r="M45" s="4"/>
      <c r="N45" s="4"/>
      <c r="Q45" s="34">
        <f t="shared" si="0"/>
        <v>-9.2857142857143041E-2</v>
      </c>
      <c r="T45" t="s">
        <v>4735</v>
      </c>
    </row>
    <row r="46" spans="1:20" x14ac:dyDescent="0.25">
      <c r="A46" s="1" t="s">
        <v>1209</v>
      </c>
      <c r="B46" s="1" t="s">
        <v>1210</v>
      </c>
      <c r="C46" s="1" t="s">
        <v>554</v>
      </c>
      <c r="D46" s="88">
        <v>0.61</v>
      </c>
      <c r="E46" s="10">
        <f t="shared" si="1"/>
        <v>1.0376247214956893</v>
      </c>
      <c r="F46" s="136">
        <f t="shared" si="2"/>
        <v>0.70102413359949067</v>
      </c>
      <c r="G46" s="4">
        <v>9</v>
      </c>
      <c r="H46" s="4" t="s">
        <v>4298</v>
      </c>
      <c r="I46" s="4">
        <v>5.49</v>
      </c>
      <c r="J46" s="4">
        <v>9.3386224934612034</v>
      </c>
      <c r="K46" s="4"/>
      <c r="L46" s="34"/>
      <c r="M46" s="4"/>
      <c r="N46" s="4"/>
      <c r="Q46" s="34">
        <f t="shared" si="0"/>
        <v>0.70102413359949067</v>
      </c>
      <c r="T46" t="s">
        <v>4741</v>
      </c>
    </row>
    <row r="47" spans="1:20" x14ac:dyDescent="0.25">
      <c r="A47" s="1" t="s">
        <v>1213</v>
      </c>
      <c r="B47" s="1" t="s">
        <v>1214</v>
      </c>
      <c r="C47" s="1" t="s">
        <v>554</v>
      </c>
      <c r="D47" s="88">
        <v>1.027027027027027</v>
      </c>
      <c r="E47" s="10">
        <f t="shared" si="1"/>
        <v>1.0135135135135134</v>
      </c>
      <c r="F47" s="136">
        <f t="shared" si="2"/>
        <v>-1.3157894736842188E-2</v>
      </c>
      <c r="G47" s="4">
        <v>14.8</v>
      </c>
      <c r="H47" s="4" t="s">
        <v>3984</v>
      </c>
      <c r="I47" s="4" t="e">
        <v>#N/A</v>
      </c>
      <c r="J47" s="4">
        <v>14.999999999999998</v>
      </c>
      <c r="K47" s="4"/>
      <c r="L47" s="34"/>
      <c r="M47" s="4" t="str">
        <f>VLOOKUP(A47,'Material Cost'!A:C,3,0)</f>
        <v>40 X EACH</v>
      </c>
      <c r="N47" s="4">
        <f>VLOOKUP(A47,'Material Cost'!G:L,6,0)</f>
        <v>14.8</v>
      </c>
      <c r="O47" s="4">
        <f>VLOOKUP(A47,'Material Cost'!A:D,4,0)</f>
        <v>18</v>
      </c>
      <c r="Q47" s="34">
        <f t="shared" si="0"/>
        <v>-1.3157894736842188E-2</v>
      </c>
      <c r="T47" t="s">
        <v>4737</v>
      </c>
    </row>
    <row r="48" spans="1:20" x14ac:dyDescent="0.25">
      <c r="A48" s="1" t="s">
        <v>1215</v>
      </c>
      <c r="B48" s="1" t="s">
        <v>1216</v>
      </c>
      <c r="C48" s="1" t="s">
        <v>554</v>
      </c>
      <c r="D48" s="88">
        <v>0.94444444444444442</v>
      </c>
      <c r="E48" s="10">
        <f t="shared" si="1"/>
        <v>0.9158584987511289</v>
      </c>
      <c r="F48" s="136">
        <f t="shared" si="2"/>
        <v>-3.0267471910569374E-2</v>
      </c>
      <c r="G48" s="4">
        <v>14.4</v>
      </c>
      <c r="H48" s="4" t="s">
        <v>3897</v>
      </c>
      <c r="I48" s="4">
        <v>13.6</v>
      </c>
      <c r="J48" s="4">
        <v>13.188362382016257</v>
      </c>
      <c r="K48" s="4"/>
      <c r="L48" s="34"/>
      <c r="M48" s="4" t="str">
        <f>VLOOKUP(A48,'Material Cost'!A:C,3,0)</f>
        <v>5 EACHES</v>
      </c>
      <c r="N48" s="4">
        <v>14.4</v>
      </c>
      <c r="O48" s="4">
        <f>VLOOKUP(A48,'Material Cost'!A:D,4,0)</f>
        <v>13.250416666666668</v>
      </c>
      <c r="Q48" s="34">
        <f t="shared" si="0"/>
        <v>-3.0267471910569374E-2</v>
      </c>
      <c r="T48" t="s">
        <v>4737</v>
      </c>
    </row>
    <row r="49" spans="1:20" x14ac:dyDescent="0.25">
      <c r="A49" s="1" t="s">
        <v>1217</v>
      </c>
      <c r="B49" s="1" t="s">
        <v>1218</v>
      </c>
      <c r="C49" s="1" t="s">
        <v>554</v>
      </c>
      <c r="D49" s="88">
        <v>0.54</v>
      </c>
      <c r="E49" s="10">
        <f t="shared" si="1"/>
        <v>0.441</v>
      </c>
      <c r="F49" s="136">
        <f t="shared" si="2"/>
        <v>-0.18333333333333338</v>
      </c>
      <c r="G49" s="4">
        <v>25</v>
      </c>
      <c r="H49" s="4" t="s">
        <v>3976</v>
      </c>
      <c r="I49" s="4">
        <v>13.5</v>
      </c>
      <c r="J49" s="4">
        <v>11.025</v>
      </c>
      <c r="K49" s="4"/>
      <c r="L49" s="34"/>
      <c r="M49" s="4"/>
      <c r="N49" s="4"/>
      <c r="Q49" s="34">
        <f t="shared" si="0"/>
        <v>-0.18333333333333338</v>
      </c>
      <c r="T49" t="s">
        <v>4732</v>
      </c>
    </row>
    <row r="50" spans="1:20" x14ac:dyDescent="0.25">
      <c r="A50" s="1" t="s">
        <v>1219</v>
      </c>
      <c r="B50" s="1" t="s">
        <v>1220</v>
      </c>
      <c r="C50" s="1" t="s">
        <v>554</v>
      </c>
      <c r="D50" s="88">
        <v>0.51</v>
      </c>
      <c r="E50" s="10">
        <f t="shared" si="1"/>
        <v>0.42920000000000003</v>
      </c>
      <c r="F50" s="136">
        <f t="shared" si="2"/>
        <v>-0.15843137254901957</v>
      </c>
      <c r="G50" s="4">
        <v>25</v>
      </c>
      <c r="H50" s="4" t="s">
        <v>4297</v>
      </c>
      <c r="I50" s="4">
        <v>12.75</v>
      </c>
      <c r="J50" s="4">
        <v>10.73</v>
      </c>
      <c r="K50" s="4"/>
      <c r="L50" s="34"/>
      <c r="M50" s="4" t="str">
        <f>VLOOKUP(A50,'Material Cost'!A:C,3,0)</f>
        <v>1X 25KG</v>
      </c>
      <c r="N50" s="4"/>
      <c r="O50">
        <f>VLOOKUP(A50,'Material Cost'!A:D,4,0)</f>
        <v>16.75</v>
      </c>
      <c r="Q50" s="34">
        <f t="shared" si="0"/>
        <v>-0.15843137254901957</v>
      </c>
      <c r="T50" t="s">
        <v>4732</v>
      </c>
    </row>
    <row r="51" spans="1:20" x14ac:dyDescent="0.25">
      <c r="A51" s="1" t="s">
        <v>1221</v>
      </c>
      <c r="B51" s="1" t="s">
        <v>1222</v>
      </c>
      <c r="C51" s="1" t="s">
        <v>554</v>
      </c>
      <c r="D51" s="88">
        <v>2.9600000000000004</v>
      </c>
      <c r="E51" s="10">
        <f t="shared" si="1"/>
        <v>2.7666666666666662</v>
      </c>
      <c r="F51" s="136">
        <f t="shared" si="2"/>
        <v>-6.531531531531562E-2</v>
      </c>
      <c r="G51" s="4">
        <v>3</v>
      </c>
      <c r="H51" s="4" t="s">
        <v>3875</v>
      </c>
      <c r="I51" s="4">
        <v>8.8800000000000008</v>
      </c>
      <c r="J51" s="4">
        <v>8.2999999999999989</v>
      </c>
      <c r="K51" s="4"/>
      <c r="L51" s="34"/>
      <c r="M51" s="4"/>
      <c r="N51" s="4"/>
      <c r="Q51" s="34">
        <f t="shared" si="0"/>
        <v>-6.531531531531562E-2</v>
      </c>
      <c r="T51" t="s">
        <v>4741</v>
      </c>
    </row>
    <row r="52" spans="1:20" x14ac:dyDescent="0.25">
      <c r="A52" s="1" t="s">
        <v>1225</v>
      </c>
      <c r="B52" s="1" t="s">
        <v>1754</v>
      </c>
      <c r="C52" s="1" t="s">
        <v>554</v>
      </c>
      <c r="D52" s="88">
        <v>1.1400000000000001</v>
      </c>
      <c r="E52" s="10">
        <f t="shared" si="1"/>
        <v>1.1499999999999999</v>
      </c>
      <c r="F52" s="136">
        <f t="shared" si="2"/>
        <v>8.7719298245612157E-3</v>
      </c>
      <c r="G52" s="4">
        <v>10</v>
      </c>
      <c r="H52" s="4" t="s">
        <v>3983</v>
      </c>
      <c r="I52" s="4" t="e">
        <v>#N/A</v>
      </c>
      <c r="J52" s="4">
        <v>11.5</v>
      </c>
      <c r="K52" s="4"/>
      <c r="L52" s="34"/>
      <c r="M52" s="4"/>
      <c r="N52" s="4"/>
      <c r="Q52" s="34">
        <f t="shared" si="0"/>
        <v>8.7719298245612157E-3</v>
      </c>
      <c r="T52" t="s">
        <v>4741</v>
      </c>
    </row>
    <row r="53" spans="1:20" x14ac:dyDescent="0.25">
      <c r="A53" s="1" t="s">
        <v>1226</v>
      </c>
      <c r="B53" s="1" t="s">
        <v>1227</v>
      </c>
      <c r="C53" s="1" t="s">
        <v>554</v>
      </c>
      <c r="D53" s="88">
        <v>1.3846153846153848</v>
      </c>
      <c r="E53" s="10">
        <f t="shared" si="1"/>
        <v>1.0618559005655781</v>
      </c>
      <c r="F53" s="136">
        <f t="shared" si="2"/>
        <v>-0.23310407181374926</v>
      </c>
      <c r="G53" s="4">
        <v>7.8</v>
      </c>
      <c r="H53" s="4" t="s">
        <v>3947</v>
      </c>
      <c r="I53" s="4">
        <v>10.8</v>
      </c>
      <c r="J53" s="4">
        <v>8.2824760244115083</v>
      </c>
      <c r="K53" s="4"/>
      <c r="L53" s="34"/>
      <c r="M53" s="4" t="str">
        <f>VLOOKUP(A53,'Material Cost'!A:C,3,0)</f>
        <v>8 X EACH</v>
      </c>
      <c r="N53" s="4">
        <f>VLOOKUP(A53,'Material Cost'!G:L,6,0)</f>
        <v>7.8</v>
      </c>
      <c r="O53" s="4">
        <f>VLOOKUP(A53,'Material Cost'!A:D,4,0)</f>
        <v>10.653991784037562</v>
      </c>
      <c r="Q53" s="34">
        <f t="shared" si="0"/>
        <v>-0.23310407181374926</v>
      </c>
      <c r="T53" t="s">
        <v>4741</v>
      </c>
    </row>
    <row r="54" spans="1:20" x14ac:dyDescent="0.25">
      <c r="A54" s="1" t="s">
        <v>1228</v>
      </c>
      <c r="B54" s="1" t="s">
        <v>1229</v>
      </c>
      <c r="C54" s="1" t="s">
        <v>554</v>
      </c>
      <c r="D54" s="88">
        <v>0.59000000000000008</v>
      </c>
      <c r="E54" s="10">
        <f t="shared" si="1"/>
        <v>0.54999999999999993</v>
      </c>
      <c r="F54" s="136">
        <f t="shared" si="2"/>
        <v>-6.7796610169491761E-2</v>
      </c>
      <c r="G54" s="4">
        <v>10</v>
      </c>
      <c r="H54" s="4" t="s">
        <v>4234</v>
      </c>
      <c r="I54" s="4">
        <v>5.9</v>
      </c>
      <c r="J54" s="4">
        <v>5.4999999999999991</v>
      </c>
      <c r="K54" s="4"/>
      <c r="L54" s="34"/>
      <c r="M54" s="4"/>
      <c r="N54" s="4"/>
      <c r="Q54" s="34">
        <f t="shared" si="0"/>
        <v>-6.7796610169491761E-2</v>
      </c>
      <c r="T54" t="s">
        <v>4741</v>
      </c>
    </row>
    <row r="55" spans="1:20" x14ac:dyDescent="0.25">
      <c r="A55" s="1" t="s">
        <v>1230</v>
      </c>
      <c r="B55" s="1" t="s">
        <v>1231</v>
      </c>
      <c r="C55" s="1" t="s">
        <v>554</v>
      </c>
      <c r="D55" s="88">
        <v>3.4499999999999997</v>
      </c>
      <c r="E55" s="10">
        <f t="shared" si="1"/>
        <v>2.9666666666666668</v>
      </c>
      <c r="F55" s="136">
        <f t="shared" si="2"/>
        <v>-0.14009661835748782</v>
      </c>
      <c r="G55" s="4">
        <v>3</v>
      </c>
      <c r="H55" s="4" t="s">
        <v>3875</v>
      </c>
      <c r="I55" s="4">
        <v>10.35</v>
      </c>
      <c r="J55" s="4">
        <v>8.9</v>
      </c>
      <c r="K55" s="4"/>
      <c r="L55" s="34"/>
      <c r="M55" s="4"/>
      <c r="N55" s="4"/>
      <c r="Q55" s="34">
        <f t="shared" si="0"/>
        <v>-0.14009661835748782</v>
      </c>
      <c r="T55" t="s">
        <v>4741</v>
      </c>
    </row>
    <row r="56" spans="1:20" x14ac:dyDescent="0.25">
      <c r="A56" s="1" t="s">
        <v>1232</v>
      </c>
      <c r="B56" s="1" t="s">
        <v>1233</v>
      </c>
      <c r="C56" s="1" t="s">
        <v>554</v>
      </c>
      <c r="D56" s="88">
        <v>1.173913043478261</v>
      </c>
      <c r="E56" s="10">
        <f t="shared" si="1"/>
        <v>1.3693095072249644</v>
      </c>
      <c r="F56" s="136">
        <f t="shared" si="2"/>
        <v>0.16644883948793249</v>
      </c>
      <c r="G56" s="4">
        <v>4.5999999999999996</v>
      </c>
      <c r="H56" s="4" t="s">
        <v>3923</v>
      </c>
      <c r="I56" s="4">
        <v>5.4</v>
      </c>
      <c r="J56" s="4">
        <v>6.298823733234836</v>
      </c>
      <c r="K56" s="4"/>
      <c r="L56" s="34"/>
      <c r="M56" s="4" t="str">
        <f>VLOOKUP(A56,'Material Cost'!A:C,3,0)</f>
        <v>12 X EACH</v>
      </c>
      <c r="N56" s="4">
        <f>VLOOKUP(A56,'Material Cost'!G:L,6,0)</f>
        <v>4.5999999999999996</v>
      </c>
      <c r="O56" s="4">
        <f>VLOOKUP(A56,'Material Cost'!A:D,4,0)</f>
        <v>5.1304347826086962</v>
      </c>
      <c r="Q56" s="34">
        <f t="shared" si="0"/>
        <v>0.16644883948793249</v>
      </c>
      <c r="T56" t="s">
        <v>4741</v>
      </c>
    </row>
    <row r="57" spans="1:20" x14ac:dyDescent="0.25">
      <c r="A57" s="1" t="s">
        <v>1234</v>
      </c>
      <c r="B57" s="1" t="s">
        <v>1235</v>
      </c>
      <c r="C57" s="1" t="s">
        <v>554</v>
      </c>
      <c r="D57" s="88">
        <v>1.33</v>
      </c>
      <c r="E57" s="10">
        <f t="shared" si="1"/>
        <v>1.3077593722755014</v>
      </c>
      <c r="F57" s="136">
        <f t="shared" si="2"/>
        <v>-1.6722276484585442E-2</v>
      </c>
      <c r="G57" s="4">
        <v>5</v>
      </c>
      <c r="H57" s="4" t="s">
        <v>3942</v>
      </c>
      <c r="I57" s="4">
        <v>6.65</v>
      </c>
      <c r="J57" s="4">
        <v>6.5387968613775067</v>
      </c>
      <c r="K57" s="4"/>
      <c r="L57" s="34"/>
      <c r="M57" s="4"/>
      <c r="N57" s="4"/>
      <c r="Q57" s="34">
        <f t="shared" si="0"/>
        <v>-1.6722276484585442E-2</v>
      </c>
      <c r="T57" t="s">
        <v>4741</v>
      </c>
    </row>
    <row r="58" spans="1:20" x14ac:dyDescent="0.25">
      <c r="A58" s="1" t="s">
        <v>1236</v>
      </c>
      <c r="B58" s="1" t="s">
        <v>1237</v>
      </c>
      <c r="C58" s="1" t="s">
        <v>554</v>
      </c>
      <c r="D58" s="88">
        <v>3.56</v>
      </c>
      <c r="E58" s="10">
        <f t="shared" si="1"/>
        <v>3.1000000000000005</v>
      </c>
      <c r="F58" s="136">
        <f t="shared" si="2"/>
        <v>-0.12921348314606729</v>
      </c>
      <c r="G58" s="4">
        <v>10</v>
      </c>
      <c r="H58" s="4" t="s">
        <v>3983</v>
      </c>
      <c r="I58" s="4">
        <v>35.6</v>
      </c>
      <c r="J58" s="4">
        <v>31.000000000000004</v>
      </c>
      <c r="K58" s="4"/>
      <c r="L58" s="34"/>
      <c r="M58" s="4"/>
      <c r="N58" s="4"/>
      <c r="Q58" s="34">
        <f t="shared" si="0"/>
        <v>-0.12921348314606729</v>
      </c>
      <c r="T58" t="s">
        <v>4741</v>
      </c>
    </row>
    <row r="59" spans="1:20" x14ac:dyDescent="0.25">
      <c r="A59" s="1" t="s">
        <v>1238</v>
      </c>
      <c r="B59" s="1" t="s">
        <v>1239</v>
      </c>
      <c r="C59" s="1" t="s">
        <v>554</v>
      </c>
      <c r="D59" s="88">
        <v>3.5316666666666667</v>
      </c>
      <c r="E59" s="10">
        <f t="shared" si="1"/>
        <v>3.8666666666666658</v>
      </c>
      <c r="F59" s="136">
        <f t="shared" si="2"/>
        <v>9.4856064181217295E-2</v>
      </c>
      <c r="G59" s="4">
        <v>6</v>
      </c>
      <c r="H59" s="4" t="s">
        <v>4187</v>
      </c>
      <c r="I59" s="4">
        <v>21.19</v>
      </c>
      <c r="J59" s="4">
        <v>23.199999999999996</v>
      </c>
      <c r="K59" s="4"/>
      <c r="L59" s="34"/>
      <c r="M59" s="4" t="str">
        <f>VLOOKUP(A59,'Material Cost'!A:C,3,0)</f>
        <v>10 X STK</v>
      </c>
      <c r="N59" s="4">
        <f>VLOOKUP(A59,'Material Cost'!G:L,6,0)</f>
        <v>6</v>
      </c>
      <c r="O59" s="4">
        <f>VLOOKUP(A59,'Material Cost'!A:D,4,0)</f>
        <v>22.173913043478262</v>
      </c>
      <c r="Q59" s="34">
        <f t="shared" si="0"/>
        <v>9.4856064181217295E-2</v>
      </c>
      <c r="T59" t="s">
        <v>4741</v>
      </c>
    </row>
    <row r="60" spans="1:20" x14ac:dyDescent="0.25">
      <c r="A60" s="1" t="s">
        <v>1240</v>
      </c>
      <c r="B60" s="12" t="s">
        <v>1241</v>
      </c>
      <c r="C60" s="1" t="s">
        <v>554</v>
      </c>
      <c r="D60" s="88">
        <v>1.6</v>
      </c>
      <c r="E60" s="10">
        <f t="shared" si="1"/>
        <v>1.7</v>
      </c>
      <c r="F60" s="136">
        <f t="shared" si="2"/>
        <v>6.2499999999999917E-2</v>
      </c>
      <c r="G60" s="4">
        <v>10</v>
      </c>
      <c r="H60" s="4" t="s">
        <v>4757</v>
      </c>
      <c r="I60" s="4">
        <v>16</v>
      </c>
      <c r="J60" s="4">
        <v>17</v>
      </c>
      <c r="K60" s="4"/>
      <c r="L60" s="34"/>
      <c r="M60" s="4" t="e">
        <f>VLOOKUP(A60,'Material Cost'!A:C,3,0)</f>
        <v>#N/A</v>
      </c>
      <c r="N60" s="4"/>
      <c r="O60" t="e">
        <f>VLOOKUP(A60,'Material Cost'!A:D,4,0)</f>
        <v>#N/A</v>
      </c>
      <c r="Q60" s="34">
        <f t="shared" si="0"/>
        <v>6.2499999999999917E-2</v>
      </c>
      <c r="T60" t="s">
        <v>4741</v>
      </c>
    </row>
    <row r="61" spans="1:20" x14ac:dyDescent="0.25">
      <c r="A61" s="1" t="s">
        <v>1242</v>
      </c>
      <c r="B61" s="1" t="s">
        <v>1243</v>
      </c>
      <c r="C61" s="1" t="s">
        <v>554</v>
      </c>
      <c r="D61" s="88">
        <v>2.1052631578947367</v>
      </c>
      <c r="E61" s="10">
        <f t="shared" si="1"/>
        <v>2.3998531638599552</v>
      </c>
      <c r="F61" s="136">
        <f t="shared" si="2"/>
        <v>0.13993025283347876</v>
      </c>
      <c r="G61" s="4">
        <v>3.8</v>
      </c>
      <c r="H61" s="4" t="s">
        <v>4758</v>
      </c>
      <c r="I61" s="4">
        <v>8</v>
      </c>
      <c r="J61" s="4">
        <v>9.1194420226678297</v>
      </c>
      <c r="K61" s="4"/>
      <c r="L61" s="34"/>
      <c r="M61" s="4" t="str">
        <f>VLOOKUP(A61,'Material Cost'!A:C,3,0)</f>
        <v>16 X PKT</v>
      </c>
      <c r="N61" s="4">
        <f>VLOOKUP(A61,'Material Cost'!G:L,6,0)</f>
        <v>3.8</v>
      </c>
      <c r="O61" s="4">
        <f>VLOOKUP(A61,'Material Cost'!A:D,4,0)</f>
        <v>7.430450360020517</v>
      </c>
      <c r="Q61" s="34">
        <f t="shared" si="0"/>
        <v>0.13993025283347876</v>
      </c>
      <c r="T61" t="s">
        <v>4741</v>
      </c>
    </row>
    <row r="62" spans="1:20" x14ac:dyDescent="0.25">
      <c r="A62" s="1" t="s">
        <v>1244</v>
      </c>
      <c r="B62" s="1" t="s">
        <v>1245</v>
      </c>
      <c r="C62" s="1" t="s">
        <v>554</v>
      </c>
      <c r="D62" s="88">
        <v>1.89</v>
      </c>
      <c r="E62" s="10">
        <f t="shared" si="1"/>
        <v>1.8289384719405009</v>
      </c>
      <c r="F62" s="136">
        <f t="shared" si="2"/>
        <v>-3.2307686803967756E-2</v>
      </c>
      <c r="G62" s="4">
        <v>3</v>
      </c>
      <c r="H62" s="4" t="s">
        <v>3958</v>
      </c>
      <c r="I62" s="4">
        <v>5.67</v>
      </c>
      <c r="J62" s="4">
        <v>5.4868154158215026</v>
      </c>
      <c r="K62" s="4"/>
      <c r="L62" s="34"/>
      <c r="M62" s="4"/>
      <c r="N62" s="4"/>
      <c r="Q62" s="34">
        <f t="shared" si="0"/>
        <v>-3.2307686803967756E-2</v>
      </c>
      <c r="T62" t="s">
        <v>4739</v>
      </c>
    </row>
    <row r="63" spans="1:20" x14ac:dyDescent="0.25">
      <c r="A63" s="1" t="s">
        <v>1246</v>
      </c>
      <c r="B63" s="1" t="s">
        <v>1247</v>
      </c>
      <c r="C63" s="1" t="s">
        <v>554</v>
      </c>
      <c r="D63" s="88">
        <v>2.0299999999999998</v>
      </c>
      <c r="E63" s="10">
        <f t="shared" si="1"/>
        <v>1.9709263015551046</v>
      </c>
      <c r="F63" s="136">
        <f t="shared" si="2"/>
        <v>-2.9100344061524723E-2</v>
      </c>
      <c r="G63" s="4">
        <v>3</v>
      </c>
      <c r="H63" s="4" t="s">
        <v>3958</v>
      </c>
      <c r="I63" s="4">
        <v>6.09</v>
      </c>
      <c r="J63" s="4">
        <v>5.9127789046653136</v>
      </c>
      <c r="K63" s="4"/>
      <c r="L63" s="34"/>
      <c r="M63" s="4"/>
      <c r="N63" s="4"/>
      <c r="Q63" s="34">
        <f t="shared" ref="Q63:Q100" si="3">(E63-D63)/D63</f>
        <v>-2.9100344061524723E-2</v>
      </c>
      <c r="T63" t="s">
        <v>4739</v>
      </c>
    </row>
    <row r="64" spans="1:20" x14ac:dyDescent="0.25">
      <c r="A64" s="1" t="s">
        <v>1248</v>
      </c>
      <c r="B64" s="1" t="s">
        <v>1249</v>
      </c>
      <c r="C64" s="1" t="s">
        <v>554</v>
      </c>
      <c r="D64" s="88">
        <v>5.94</v>
      </c>
      <c r="E64" s="10">
        <f t="shared" ref="E64:E69" si="4">IFERROR(J64/G64,"")</f>
        <v>6.1333333333333337</v>
      </c>
      <c r="F64" s="136">
        <f t="shared" ref="F64:F124" si="5">(E64-D64)/D64</f>
        <v>3.2547699214365886E-2</v>
      </c>
      <c r="G64" s="4">
        <v>1.5</v>
      </c>
      <c r="H64" s="4" t="s">
        <v>4150</v>
      </c>
      <c r="I64" s="4">
        <v>8.91</v>
      </c>
      <c r="J64" s="4">
        <v>9.2000000000000011</v>
      </c>
      <c r="K64" s="4"/>
      <c r="L64" s="34"/>
      <c r="M64" s="4"/>
      <c r="N64" s="4"/>
      <c r="Q64" s="34">
        <f t="shared" si="3"/>
        <v>3.2547699214365886E-2</v>
      </c>
      <c r="T64" t="s">
        <v>4739</v>
      </c>
    </row>
    <row r="65" spans="1:20" x14ac:dyDescent="0.25">
      <c r="A65" s="1" t="s">
        <v>1250</v>
      </c>
      <c r="B65" s="1" t="s">
        <v>1251</v>
      </c>
      <c r="C65" s="1" t="s">
        <v>554</v>
      </c>
      <c r="D65" s="88">
        <v>0.67999999999999994</v>
      </c>
      <c r="E65" s="10">
        <f t="shared" si="4"/>
        <v>0.69747166521360071</v>
      </c>
      <c r="F65" s="136">
        <f t="shared" si="5"/>
        <v>2.5693625314118788E-2</v>
      </c>
      <c r="G65" s="4">
        <v>5</v>
      </c>
      <c r="H65" s="4" t="s">
        <v>3963</v>
      </c>
      <c r="I65" s="4">
        <v>3.4</v>
      </c>
      <c r="J65" s="4">
        <v>3.4873583260680037</v>
      </c>
      <c r="K65" s="4"/>
      <c r="L65" s="34"/>
      <c r="M65" s="4"/>
      <c r="N65" s="4"/>
      <c r="Q65" s="34">
        <f t="shared" si="3"/>
        <v>2.5693625314118788E-2</v>
      </c>
      <c r="T65" t="s">
        <v>4733</v>
      </c>
    </row>
    <row r="66" spans="1:20" x14ac:dyDescent="0.25">
      <c r="A66" s="1" t="s">
        <v>1252</v>
      </c>
      <c r="B66" s="1" t="s">
        <v>1253</v>
      </c>
      <c r="C66" s="1" t="s">
        <v>554</v>
      </c>
      <c r="D66" s="88">
        <v>2.86</v>
      </c>
      <c r="E66" s="10">
        <f t="shared" si="4"/>
        <v>3.0666666666666669</v>
      </c>
      <c r="F66" s="136">
        <f t="shared" si="5"/>
        <v>7.2261072261072382E-2</v>
      </c>
      <c r="G66" s="4">
        <v>15</v>
      </c>
      <c r="H66" s="4" t="s">
        <v>4001</v>
      </c>
      <c r="I66" s="4">
        <v>42.9</v>
      </c>
      <c r="J66" s="4">
        <v>46</v>
      </c>
      <c r="K66" s="4"/>
      <c r="L66" s="34"/>
      <c r="M66" s="4"/>
      <c r="N66" s="4"/>
      <c r="Q66" s="34">
        <f t="shared" si="3"/>
        <v>7.2261072261072382E-2</v>
      </c>
      <c r="T66" t="s">
        <v>4732</v>
      </c>
    </row>
    <row r="67" spans="1:20" x14ac:dyDescent="0.25">
      <c r="A67" s="1" t="s">
        <v>1254</v>
      </c>
      <c r="B67" s="1" t="s">
        <v>1255</v>
      </c>
      <c r="C67" s="1" t="s">
        <v>554</v>
      </c>
      <c r="D67" s="88">
        <v>0.94000000000000006</v>
      </c>
      <c r="E67" s="10">
        <f t="shared" si="4"/>
        <v>0.93800000000000006</v>
      </c>
      <c r="F67" s="136">
        <f t="shared" si="5"/>
        <v>-2.1276595744680869E-3</v>
      </c>
      <c r="G67" s="4">
        <v>10</v>
      </c>
      <c r="H67" s="4" t="s">
        <v>3906</v>
      </c>
      <c r="I67" s="4">
        <v>9.4</v>
      </c>
      <c r="J67" s="4">
        <v>9.3800000000000008</v>
      </c>
      <c r="K67" s="4"/>
      <c r="L67" s="34"/>
      <c r="M67" s="4"/>
      <c r="N67" s="4"/>
      <c r="Q67" s="34">
        <f t="shared" si="3"/>
        <v>-2.1276595744680869E-3</v>
      </c>
      <c r="T67" t="s">
        <v>4732</v>
      </c>
    </row>
    <row r="68" spans="1:20" x14ac:dyDescent="0.25">
      <c r="A68" s="1" t="s">
        <v>1256</v>
      </c>
      <c r="B68" s="1" t="s">
        <v>1257</v>
      </c>
      <c r="C68" s="1" t="s">
        <v>554</v>
      </c>
      <c r="D68" s="88">
        <v>0.55000000000000004</v>
      </c>
      <c r="E68" s="10">
        <f t="shared" si="4"/>
        <v>0.46299999999999997</v>
      </c>
      <c r="F68" s="136">
        <f t="shared" si="5"/>
        <v>-0.15818181818181831</v>
      </c>
      <c r="G68" s="4">
        <v>25</v>
      </c>
      <c r="H68" s="4" t="s">
        <v>4252</v>
      </c>
      <c r="I68" s="4">
        <v>13.75</v>
      </c>
      <c r="J68" s="4">
        <v>11.574999999999999</v>
      </c>
      <c r="K68" s="4"/>
      <c r="L68" s="34"/>
      <c r="M68" s="4"/>
      <c r="N68" s="4"/>
      <c r="Q68" s="34">
        <f t="shared" si="3"/>
        <v>-0.15818181818181831</v>
      </c>
      <c r="T68" t="s">
        <v>4732</v>
      </c>
    </row>
    <row r="69" spans="1:20" x14ac:dyDescent="0.25">
      <c r="A69" s="1" t="s">
        <v>1258</v>
      </c>
      <c r="B69" s="1" t="s">
        <v>1259</v>
      </c>
      <c r="C69" s="1" t="s">
        <v>554</v>
      </c>
      <c r="D69" s="88">
        <v>0.94000000000000006</v>
      </c>
      <c r="E69" s="10">
        <f t="shared" si="4"/>
        <v>0.6</v>
      </c>
      <c r="F69" s="136">
        <f t="shared" si="5"/>
        <v>-0.36170212765957455</v>
      </c>
      <c r="G69" s="4">
        <v>10</v>
      </c>
      <c r="H69" s="4" t="s">
        <v>3951</v>
      </c>
      <c r="I69" s="4">
        <v>9.4</v>
      </c>
      <c r="J69" s="4">
        <v>6</v>
      </c>
      <c r="K69" s="4"/>
      <c r="L69" s="34"/>
      <c r="M69" s="4"/>
      <c r="N69" s="4"/>
      <c r="Q69" s="34">
        <f t="shared" si="3"/>
        <v>-0.36170212765957455</v>
      </c>
      <c r="T69" t="s">
        <v>4732</v>
      </c>
    </row>
    <row r="70" spans="1:20" x14ac:dyDescent="0.25">
      <c r="A70" s="1" t="s">
        <v>1260</v>
      </c>
      <c r="B70" s="138" t="s">
        <v>1261</v>
      </c>
      <c r="C70" s="1" t="s">
        <v>554</v>
      </c>
      <c r="D70" s="88">
        <v>0.78</v>
      </c>
      <c r="E70" s="140">
        <f>D70</f>
        <v>0.78</v>
      </c>
      <c r="F70" s="136">
        <f t="shared" si="5"/>
        <v>0</v>
      </c>
      <c r="G70" s="4">
        <v>2.5</v>
      </c>
      <c r="H70" s="4" t="s">
        <v>3885</v>
      </c>
      <c r="I70" s="4">
        <v>1.95</v>
      </c>
      <c r="J70" s="4">
        <v>0</v>
      </c>
      <c r="K70" s="4">
        <v>475</v>
      </c>
      <c r="L70" s="34"/>
      <c r="M70" s="4"/>
      <c r="N70" s="4"/>
      <c r="O70" t="s">
        <v>1889</v>
      </c>
      <c r="P70" t="s">
        <v>1890</v>
      </c>
      <c r="Q70" s="34">
        <f t="shared" si="3"/>
        <v>0</v>
      </c>
      <c r="T70" t="s">
        <v>4741</v>
      </c>
    </row>
    <row r="71" spans="1:20" x14ac:dyDescent="0.25">
      <c r="A71" s="1" t="s">
        <v>1262</v>
      </c>
      <c r="B71" s="1" t="s">
        <v>1263</v>
      </c>
      <c r="C71" s="1" t="s">
        <v>554</v>
      </c>
      <c r="D71" s="88">
        <v>2.0769230769230771</v>
      </c>
      <c r="E71" s="10">
        <f t="shared" ref="E71:E80" si="6">IFERROR(J71/G71,"")</f>
        <v>2.2298973911877136</v>
      </c>
      <c r="F71" s="136">
        <f t="shared" si="5"/>
        <v>7.3654299460750888E-2</v>
      </c>
      <c r="G71" s="4">
        <v>2.6</v>
      </c>
      <c r="H71" s="4" t="s">
        <v>4254</v>
      </c>
      <c r="I71" s="4">
        <v>5.4</v>
      </c>
      <c r="J71" s="4">
        <v>5.797733217088056</v>
      </c>
      <c r="K71" s="4"/>
      <c r="L71" s="34"/>
      <c r="M71" s="4" t="str">
        <f>VLOOKUP(A71,'Material Cost'!A:C,3,0)</f>
        <v>20 X PKT</v>
      </c>
      <c r="N71" s="4">
        <f>VLOOKUP(A71,'Material Cost'!G:L,6,0)</f>
        <v>2.6</v>
      </c>
      <c r="O71" s="4">
        <f>VLOOKUP(A71,'Material Cost'!A:D,4,0)</f>
        <v>5</v>
      </c>
      <c r="Q71" s="34">
        <f t="shared" si="3"/>
        <v>7.3654299460750888E-2</v>
      </c>
      <c r="T71" t="s">
        <v>4741</v>
      </c>
    </row>
    <row r="72" spans="1:20" x14ac:dyDescent="0.25">
      <c r="A72" s="1" t="s">
        <v>1264</v>
      </c>
      <c r="B72" s="1" t="s">
        <v>1265</v>
      </c>
      <c r="C72" s="1" t="s">
        <v>554</v>
      </c>
      <c r="D72" s="88">
        <v>0.7</v>
      </c>
      <c r="E72" s="10">
        <f t="shared" si="6"/>
        <v>0.505</v>
      </c>
      <c r="F72" s="136">
        <f t="shared" si="5"/>
        <v>-0.27857142857142853</v>
      </c>
      <c r="G72" s="4">
        <v>10</v>
      </c>
      <c r="H72" s="4" t="s">
        <v>3983</v>
      </c>
      <c r="I72" s="4">
        <v>7</v>
      </c>
      <c r="J72" s="4">
        <v>5.05</v>
      </c>
      <c r="K72" s="4"/>
      <c r="L72" s="34"/>
      <c r="M72" s="4"/>
      <c r="N72" s="4"/>
      <c r="Q72" s="34">
        <f t="shared" si="3"/>
        <v>-0.27857142857142853</v>
      </c>
      <c r="T72" t="s">
        <v>4733</v>
      </c>
    </row>
    <row r="73" spans="1:20" x14ac:dyDescent="0.25">
      <c r="A73" s="1" t="s">
        <v>1266</v>
      </c>
      <c r="B73" s="1" t="s">
        <v>1267</v>
      </c>
      <c r="C73" s="1" t="s">
        <v>554</v>
      </c>
      <c r="D73" s="88">
        <v>0.77</v>
      </c>
      <c r="E73" s="10">
        <f t="shared" si="6"/>
        <v>0.78465562336530081</v>
      </c>
      <c r="F73" s="136">
        <f t="shared" si="5"/>
        <v>1.903327709779324E-2</v>
      </c>
      <c r="G73" s="4">
        <v>5</v>
      </c>
      <c r="H73" s="4" t="s">
        <v>3914</v>
      </c>
      <c r="I73" s="4">
        <v>3.85</v>
      </c>
      <c r="J73" s="4">
        <v>3.9232781168265038</v>
      </c>
      <c r="K73" s="4"/>
      <c r="L73" s="34"/>
      <c r="M73" s="4"/>
      <c r="N73" s="4"/>
      <c r="Q73" s="34">
        <f t="shared" si="3"/>
        <v>1.903327709779324E-2</v>
      </c>
      <c r="T73" t="s">
        <v>4741</v>
      </c>
    </row>
    <row r="74" spans="1:20" x14ac:dyDescent="0.25">
      <c r="A74" s="1" t="s">
        <v>1268</v>
      </c>
      <c r="B74" s="1" t="s">
        <v>1269</v>
      </c>
      <c r="C74" s="1" t="s">
        <v>554</v>
      </c>
      <c r="D74" s="88">
        <v>0.77</v>
      </c>
      <c r="E74" s="10">
        <f t="shared" si="6"/>
        <v>0.78465562336530081</v>
      </c>
      <c r="F74" s="136">
        <f t="shared" si="5"/>
        <v>1.903327709779324E-2</v>
      </c>
      <c r="G74" s="4">
        <v>20</v>
      </c>
      <c r="H74" s="4" t="s">
        <v>4174</v>
      </c>
      <c r="I74" s="4">
        <v>15.4</v>
      </c>
      <c r="J74" s="4">
        <v>15.693112467306015</v>
      </c>
      <c r="K74" s="4"/>
      <c r="L74" s="34"/>
      <c r="M74" s="4" t="str">
        <f>VLOOKUP(A74,'Material Cost'!A:C,3,0)</f>
        <v>1 X 20KG</v>
      </c>
      <c r="N74" s="4" t="e">
        <f>VLOOKUP(A74,'Material Cost'!G:L,6,0)</f>
        <v>#N/A</v>
      </c>
      <c r="O74">
        <f>VLOOKUP(A74,'Material Cost'!A:D,4,0)</f>
        <v>15.90217391304348</v>
      </c>
      <c r="Q74" s="34">
        <f t="shared" si="3"/>
        <v>1.903327709779324E-2</v>
      </c>
      <c r="T74" t="s">
        <v>4741</v>
      </c>
    </row>
    <row r="75" spans="1:20" x14ac:dyDescent="0.25">
      <c r="A75" s="1" t="s">
        <v>1273</v>
      </c>
      <c r="B75" s="1" t="s">
        <v>1274</v>
      </c>
      <c r="C75" s="1" t="s">
        <v>554</v>
      </c>
      <c r="D75" s="88">
        <v>1.18</v>
      </c>
      <c r="E75" s="10">
        <f t="shared" si="6"/>
        <v>1.2051318982901771</v>
      </c>
      <c r="F75" s="136">
        <f t="shared" si="5"/>
        <v>2.1298218889980632E-2</v>
      </c>
      <c r="G75" s="4">
        <v>6</v>
      </c>
      <c r="H75" s="4" t="s">
        <v>3895</v>
      </c>
      <c r="I75" s="4">
        <v>7.08</v>
      </c>
      <c r="J75" s="4">
        <v>7.2307913897410625</v>
      </c>
      <c r="K75" s="4"/>
      <c r="L75" s="34"/>
      <c r="M75" s="4"/>
      <c r="N75" s="4"/>
      <c r="Q75" s="34">
        <f t="shared" si="3"/>
        <v>2.1298218889980632E-2</v>
      </c>
      <c r="T75" t="s">
        <v>4735</v>
      </c>
    </row>
    <row r="76" spans="1:20" x14ac:dyDescent="0.25">
      <c r="A76" s="1" t="s">
        <v>1275</v>
      </c>
      <c r="B76" s="1" t="s">
        <v>1276</v>
      </c>
      <c r="C76" s="1" t="s">
        <v>554</v>
      </c>
      <c r="D76" s="88">
        <v>0.93</v>
      </c>
      <c r="E76" s="10">
        <f t="shared" si="6"/>
        <v>1.3673923701952893</v>
      </c>
      <c r="F76" s="136">
        <f t="shared" si="5"/>
        <v>0.47031437655407438</v>
      </c>
      <c r="G76" s="4">
        <v>5</v>
      </c>
      <c r="H76" s="4" t="s">
        <v>3914</v>
      </c>
      <c r="I76" s="4">
        <v>4.6500000000000004</v>
      </c>
      <c r="J76" s="4">
        <v>6.8369618509764463</v>
      </c>
      <c r="K76" s="4"/>
      <c r="L76" s="34"/>
      <c r="M76" s="4"/>
      <c r="N76" s="4"/>
      <c r="Q76" s="34">
        <f t="shared" si="3"/>
        <v>0.47031437655407438</v>
      </c>
      <c r="T76" t="s">
        <v>4735</v>
      </c>
    </row>
    <row r="77" spans="1:20" x14ac:dyDescent="0.25">
      <c r="A77" s="1" t="s">
        <v>1277</v>
      </c>
      <c r="B77" s="1" t="s">
        <v>1278</v>
      </c>
      <c r="C77" s="1" t="s">
        <v>554</v>
      </c>
      <c r="D77" s="88">
        <v>4.29</v>
      </c>
      <c r="E77" s="10">
        <f t="shared" si="6"/>
        <v>3.6625000000000001</v>
      </c>
      <c r="F77" s="136">
        <f t="shared" si="5"/>
        <v>-0.14627039627039626</v>
      </c>
      <c r="G77" s="4">
        <v>2</v>
      </c>
      <c r="H77" s="4" t="s">
        <v>3930</v>
      </c>
      <c r="I77" s="4">
        <v>8.58</v>
      </c>
      <c r="J77" s="4">
        <v>7.3250000000000002</v>
      </c>
      <c r="K77" s="4"/>
      <c r="L77" s="34"/>
      <c r="M77" s="4"/>
      <c r="N77" s="4"/>
      <c r="Q77" s="34">
        <f t="shared" si="3"/>
        <v>-0.14627039627039626</v>
      </c>
      <c r="T77" t="s">
        <v>4741</v>
      </c>
    </row>
    <row r="78" spans="1:20" x14ac:dyDescent="0.25">
      <c r="A78" s="1" t="s">
        <v>1279</v>
      </c>
      <c r="B78" s="1" t="s">
        <v>1280</v>
      </c>
      <c r="C78" s="1" t="s">
        <v>554</v>
      </c>
      <c r="D78" s="88">
        <v>10.5</v>
      </c>
      <c r="E78" s="10">
        <f t="shared" si="6"/>
        <v>10.833333333333334</v>
      </c>
      <c r="F78" s="136">
        <f t="shared" si="5"/>
        <v>3.17460317460318E-2</v>
      </c>
      <c r="G78" s="4">
        <v>1.2</v>
      </c>
      <c r="H78" s="4" t="s">
        <v>3968</v>
      </c>
      <c r="I78" s="4">
        <v>12.6</v>
      </c>
      <c r="J78" s="4">
        <v>13</v>
      </c>
      <c r="K78" s="4"/>
      <c r="L78" s="4"/>
      <c r="M78" s="4" t="str">
        <f>VLOOKUP(A78,'Material Cost'!A:C,3,0)</f>
        <v>6 X 150G</v>
      </c>
      <c r="N78" s="4" t="e">
        <f>VLOOKUP(A78,'Material Cost'!G:L,6,0)</f>
        <v>#N/A</v>
      </c>
      <c r="O78">
        <f>VLOOKUP(A78,'Material Cost'!A:D,4,0)</f>
        <v>12.25</v>
      </c>
      <c r="Q78" s="34">
        <f t="shared" si="3"/>
        <v>3.17460317460318E-2</v>
      </c>
      <c r="T78" t="s">
        <v>4741</v>
      </c>
    </row>
    <row r="79" spans="1:20" x14ac:dyDescent="0.25">
      <c r="A79" s="1" t="s">
        <v>1281</v>
      </c>
      <c r="B79" s="1" t="s">
        <v>1282</v>
      </c>
      <c r="C79" s="1" t="s">
        <v>554</v>
      </c>
      <c r="D79" s="88">
        <v>6.4999999999999991</v>
      </c>
      <c r="E79" s="10">
        <f t="shared" si="6"/>
        <v>9</v>
      </c>
      <c r="F79" s="136">
        <f t="shared" si="5"/>
        <v>0.3846153846153848</v>
      </c>
      <c r="G79" s="4">
        <v>1.2000000000000002</v>
      </c>
      <c r="H79" s="4" t="s">
        <v>3968</v>
      </c>
      <c r="I79" s="4">
        <v>7.8</v>
      </c>
      <c r="J79" s="4">
        <v>10.8</v>
      </c>
      <c r="K79" s="4"/>
      <c r="L79" s="34"/>
      <c r="M79" s="4"/>
      <c r="N79" s="4"/>
      <c r="Q79" s="34">
        <f t="shared" si="3"/>
        <v>0.3846153846153848</v>
      </c>
      <c r="T79" t="s">
        <v>4741</v>
      </c>
    </row>
    <row r="80" spans="1:20" x14ac:dyDescent="0.25">
      <c r="A80" s="1" t="s">
        <v>1283</v>
      </c>
      <c r="B80" s="1" t="s">
        <v>1284</v>
      </c>
      <c r="C80" s="1" t="s">
        <v>554</v>
      </c>
      <c r="D80" s="88">
        <v>9.841666666666665</v>
      </c>
      <c r="E80" s="10">
        <f t="shared" si="6"/>
        <v>10.249999999999998</v>
      </c>
      <c r="F80" s="136">
        <f t="shared" si="5"/>
        <v>4.1490262489415744E-2</v>
      </c>
      <c r="G80" s="4">
        <v>1.2000000000000002</v>
      </c>
      <c r="H80" s="4" t="s">
        <v>3968</v>
      </c>
      <c r="I80" s="4">
        <v>11.81</v>
      </c>
      <c r="J80" s="4">
        <v>12.3</v>
      </c>
      <c r="K80" s="4"/>
      <c r="L80" s="34"/>
      <c r="M80" s="4"/>
      <c r="N80" s="4"/>
      <c r="Q80" s="34">
        <f t="shared" si="3"/>
        <v>4.1490262489415744E-2</v>
      </c>
      <c r="T80" t="s">
        <v>4741</v>
      </c>
    </row>
    <row r="81" spans="1:20" x14ac:dyDescent="0.25">
      <c r="A81" s="1" t="s">
        <v>1285</v>
      </c>
      <c r="B81" s="138" t="s">
        <v>1286</v>
      </c>
      <c r="C81" s="1" t="s">
        <v>554</v>
      </c>
      <c r="D81" s="88">
        <v>4.3099999999999996</v>
      </c>
      <c r="E81" s="140">
        <f>D81</f>
        <v>4.3099999999999996</v>
      </c>
      <c r="F81" s="136">
        <f t="shared" si="5"/>
        <v>0</v>
      </c>
      <c r="G81" s="4">
        <v>5</v>
      </c>
      <c r="H81" s="4" t="s">
        <v>3963</v>
      </c>
      <c r="I81" s="4" t="e">
        <v>#N/A</v>
      </c>
      <c r="J81" s="4">
        <v>0</v>
      </c>
      <c r="K81" s="4">
        <v>0</v>
      </c>
      <c r="L81" s="4"/>
      <c r="M81" s="4"/>
      <c r="N81" s="4"/>
      <c r="Q81" s="34">
        <f t="shared" si="3"/>
        <v>0</v>
      </c>
      <c r="T81" t="s">
        <v>4741</v>
      </c>
    </row>
    <row r="82" spans="1:20" x14ac:dyDescent="0.25">
      <c r="A82" s="1" t="s">
        <v>1289</v>
      </c>
      <c r="B82" s="1" t="s">
        <v>1290</v>
      </c>
      <c r="C82" s="1" t="s">
        <v>554</v>
      </c>
      <c r="D82" s="88">
        <v>1.53</v>
      </c>
      <c r="E82" s="10">
        <f t="shared" ref="E82:E87" si="7">IFERROR(J82/G82,"")</f>
        <v>1.5693112467306014</v>
      </c>
      <c r="F82" s="136">
        <f t="shared" si="5"/>
        <v>2.5693625314118548E-2</v>
      </c>
      <c r="G82" s="4">
        <v>5</v>
      </c>
      <c r="H82" s="4" t="s">
        <v>3963</v>
      </c>
      <c r="I82" s="4">
        <v>7.65</v>
      </c>
      <c r="J82" s="4">
        <v>7.8465562336530068</v>
      </c>
      <c r="K82" s="4"/>
      <c r="L82" s="34"/>
      <c r="M82" s="4"/>
      <c r="N82" s="4"/>
      <c r="Q82" s="34">
        <f t="shared" si="3"/>
        <v>2.5693625314118548E-2</v>
      </c>
      <c r="T82" t="s">
        <v>4741</v>
      </c>
    </row>
    <row r="83" spans="1:20" x14ac:dyDescent="0.25">
      <c r="A83" s="1" t="s">
        <v>1291</v>
      </c>
      <c r="B83" s="1" t="s">
        <v>1292</v>
      </c>
      <c r="C83" s="1" t="s">
        <v>554</v>
      </c>
      <c r="D83" s="88">
        <v>9.4166666666666661</v>
      </c>
      <c r="E83" s="10">
        <f t="shared" si="7"/>
        <v>10.416666666666664</v>
      </c>
      <c r="F83" s="136">
        <f t="shared" si="5"/>
        <v>0.10619469026548654</v>
      </c>
      <c r="G83" s="4">
        <v>1.2000000000000002</v>
      </c>
      <c r="H83" s="4" t="s">
        <v>3968</v>
      </c>
      <c r="I83" s="4">
        <v>11.3</v>
      </c>
      <c r="J83" s="4">
        <v>12.5</v>
      </c>
      <c r="K83" s="4"/>
      <c r="L83" s="34"/>
      <c r="M83" s="4"/>
      <c r="N83" s="4"/>
      <c r="Q83" s="34">
        <f t="shared" si="3"/>
        <v>0.10619469026548654</v>
      </c>
      <c r="T83" t="s">
        <v>4741</v>
      </c>
    </row>
    <row r="84" spans="1:20" x14ac:dyDescent="0.25">
      <c r="A84" s="1" t="s">
        <v>1293</v>
      </c>
      <c r="B84" s="1" t="s">
        <v>1294</v>
      </c>
      <c r="C84" s="1" t="s">
        <v>554</v>
      </c>
      <c r="D84" s="88">
        <v>0.47000000000000003</v>
      </c>
      <c r="E84" s="10">
        <f t="shared" si="7"/>
        <v>0.3585000000000001</v>
      </c>
      <c r="F84" s="136">
        <f t="shared" si="5"/>
        <v>-0.23723404255319133</v>
      </c>
      <c r="G84" s="4">
        <v>10</v>
      </c>
      <c r="H84" s="4" t="s">
        <v>3983</v>
      </c>
      <c r="I84" s="4">
        <v>4.7</v>
      </c>
      <c r="J84" s="4">
        <v>3.5850000000000009</v>
      </c>
      <c r="K84" s="4"/>
      <c r="L84" s="34"/>
      <c r="M84" s="4"/>
      <c r="N84" s="4"/>
      <c r="Q84" s="34">
        <f t="shared" si="3"/>
        <v>-0.23723404255319133</v>
      </c>
      <c r="T84" t="s">
        <v>4741</v>
      </c>
    </row>
    <row r="85" spans="1:20" x14ac:dyDescent="0.25">
      <c r="A85" s="1" t="s">
        <v>1295</v>
      </c>
      <c r="B85" s="1" t="s">
        <v>1296</v>
      </c>
      <c r="C85" s="1" t="s">
        <v>554</v>
      </c>
      <c r="D85" s="88">
        <v>1.5813953488372092</v>
      </c>
      <c r="E85" s="10">
        <f t="shared" si="7"/>
        <v>1.9768455627420369</v>
      </c>
      <c r="F85" s="136">
        <f t="shared" si="5"/>
        <v>0.25006410585158223</v>
      </c>
      <c r="G85" s="4">
        <v>8.6</v>
      </c>
      <c r="H85" s="4" t="s">
        <v>4035</v>
      </c>
      <c r="I85" s="4">
        <v>13.6</v>
      </c>
      <c r="J85" s="4">
        <v>17.000871839581517</v>
      </c>
      <c r="K85" s="4"/>
      <c r="L85" s="34"/>
      <c r="M85" s="4" t="str">
        <f>VLOOKUP(A85,'Material Cost'!A:C,3,0)</f>
        <v>1X20</v>
      </c>
      <c r="N85" s="4">
        <f>VLOOKUP(A85,'Material Cost'!G:L,6,0)</f>
        <v>8.6</v>
      </c>
      <c r="O85" s="4">
        <f>VLOOKUP(A85,'Material Cost'!A:D,4,0)</f>
        <v>13.913043478260871</v>
      </c>
      <c r="Q85" s="34">
        <f t="shared" si="3"/>
        <v>0.25006410585158223</v>
      </c>
      <c r="T85" t="s">
        <v>4741</v>
      </c>
    </row>
    <row r="86" spans="1:20" x14ac:dyDescent="0.25">
      <c r="A86" s="1" t="s">
        <v>1297</v>
      </c>
      <c r="B86" s="1" t="s">
        <v>1298</v>
      </c>
      <c r="C86" s="1" t="s">
        <v>554</v>
      </c>
      <c r="D86" s="88">
        <v>1.17</v>
      </c>
      <c r="E86" s="10">
        <f t="shared" si="7"/>
        <v>1</v>
      </c>
      <c r="F86" s="136">
        <f t="shared" si="5"/>
        <v>-0.14529914529914525</v>
      </c>
      <c r="G86" s="4">
        <v>12</v>
      </c>
      <c r="H86" s="4" t="s">
        <v>4072</v>
      </c>
      <c r="I86" s="4">
        <v>14.04</v>
      </c>
      <c r="J86" s="4">
        <v>12</v>
      </c>
      <c r="K86" s="4"/>
      <c r="L86" s="34"/>
      <c r="M86" s="4"/>
      <c r="N86" s="4"/>
      <c r="Q86" s="34">
        <f t="shared" si="3"/>
        <v>-0.14529914529914525</v>
      </c>
      <c r="T86" t="s">
        <v>4737</v>
      </c>
    </row>
    <row r="87" spans="1:20" x14ac:dyDescent="0.25">
      <c r="A87" s="1" t="s">
        <v>1299</v>
      </c>
      <c r="B87" s="1" t="s">
        <v>1300</v>
      </c>
      <c r="C87" s="1" t="s">
        <v>554</v>
      </c>
      <c r="D87" s="88">
        <v>9.591666666666665</v>
      </c>
      <c r="E87" s="10">
        <f t="shared" si="7"/>
        <v>9.9999999999999982</v>
      </c>
      <c r="F87" s="136">
        <f t="shared" si="5"/>
        <v>4.2571676802780185E-2</v>
      </c>
      <c r="G87" s="4">
        <v>1.2000000000000002</v>
      </c>
      <c r="H87" s="4" t="s">
        <v>3968</v>
      </c>
      <c r="I87" s="4">
        <v>11.51</v>
      </c>
      <c r="J87" s="4">
        <v>12</v>
      </c>
      <c r="K87" s="4"/>
      <c r="L87" s="34"/>
      <c r="M87" s="4"/>
      <c r="N87" s="4"/>
      <c r="Q87" s="34">
        <f t="shared" si="3"/>
        <v>4.2571676802780185E-2</v>
      </c>
      <c r="T87" t="s">
        <v>4741</v>
      </c>
    </row>
    <row r="88" spans="1:20" x14ac:dyDescent="0.25">
      <c r="A88" s="1" t="s">
        <v>1301</v>
      </c>
      <c r="B88" s="1" t="s">
        <v>1302</v>
      </c>
      <c r="C88" s="1" t="s">
        <v>554</v>
      </c>
      <c r="D88" s="88">
        <v>1.05</v>
      </c>
      <c r="E88" s="33">
        <v>1.31</v>
      </c>
      <c r="F88" s="136">
        <f t="shared" si="5"/>
        <v>0.24761904761904763</v>
      </c>
      <c r="G88" s="4">
        <v>6</v>
      </c>
      <c r="H88" s="4" t="e">
        <v>#N/A</v>
      </c>
      <c r="I88" s="4" t="e">
        <v>#N/A</v>
      </c>
      <c r="J88" s="4" t="e">
        <v>#N/A</v>
      </c>
      <c r="K88" s="4" t="e">
        <v>#N/A</v>
      </c>
      <c r="L88" s="4" t="s">
        <v>4333</v>
      </c>
      <c r="M88" s="4" t="e">
        <f>VLOOKUP(A88,'Material Cost'!A:C,3,0)</f>
        <v>#N/A</v>
      </c>
      <c r="N88" s="4"/>
      <c r="O88" t="e">
        <f>VLOOKUP(A88,'Material Cost'!A:D,4,0)</f>
        <v>#N/A</v>
      </c>
      <c r="Q88" s="34">
        <f t="shared" si="3"/>
        <v>0.24761904761904763</v>
      </c>
      <c r="T88" t="s">
        <v>4735</v>
      </c>
    </row>
    <row r="89" spans="1:20" x14ac:dyDescent="0.25">
      <c r="A89" s="1" t="s">
        <v>1303</v>
      </c>
      <c r="B89" s="1" t="s">
        <v>1304</v>
      </c>
      <c r="C89" s="1" t="s">
        <v>554</v>
      </c>
      <c r="D89" s="88">
        <v>0.66666666666666663</v>
      </c>
      <c r="E89" s="10">
        <f t="shared" ref="E89:E94" si="8">IFERROR(J89/G89,"")</f>
        <v>0.57166666666666666</v>
      </c>
      <c r="F89" s="136">
        <f t="shared" si="5"/>
        <v>-0.14249999999999996</v>
      </c>
      <c r="G89" s="4">
        <v>15</v>
      </c>
      <c r="H89" s="4" t="s">
        <v>4274</v>
      </c>
      <c r="I89" s="4">
        <v>10</v>
      </c>
      <c r="J89" s="4">
        <v>8.5749999999999993</v>
      </c>
      <c r="K89" s="4"/>
      <c r="L89" s="34"/>
      <c r="M89" s="4" t="str">
        <f>VLOOKUP(A89,'Material Cost'!A:C,3,0)</f>
        <v>50 X EACH</v>
      </c>
      <c r="N89" s="4">
        <f>VLOOKUP(A89,'Material Cost'!G:L,6,0)</f>
        <v>15</v>
      </c>
      <c r="O89" s="4">
        <f>VLOOKUP(A89,'Material Cost'!A:D,4,0)</f>
        <v>14.91</v>
      </c>
      <c r="Q89" s="34">
        <f t="shared" si="3"/>
        <v>-0.14249999999999996</v>
      </c>
      <c r="T89" t="s">
        <v>4732</v>
      </c>
    </row>
    <row r="90" spans="1:20" x14ac:dyDescent="0.25">
      <c r="A90" s="1" t="s">
        <v>1305</v>
      </c>
      <c r="B90" s="1" t="s">
        <v>1306</v>
      </c>
      <c r="C90" s="1" t="s">
        <v>554</v>
      </c>
      <c r="D90" s="88">
        <v>3.81</v>
      </c>
      <c r="E90" s="10">
        <f t="shared" si="8"/>
        <v>4.0802092414995643</v>
      </c>
      <c r="F90" s="136">
        <f t="shared" si="5"/>
        <v>7.0921060761040489E-2</v>
      </c>
      <c r="G90" s="4">
        <v>1</v>
      </c>
      <c r="H90" s="4" t="s">
        <v>3943</v>
      </c>
      <c r="I90" s="4">
        <v>3.81</v>
      </c>
      <c r="J90" s="4">
        <v>4.0802092414995643</v>
      </c>
      <c r="K90" s="4"/>
      <c r="L90" s="34"/>
      <c r="M90" s="4"/>
      <c r="N90" s="4"/>
      <c r="Q90" s="34">
        <f t="shared" si="3"/>
        <v>7.0921060761040489E-2</v>
      </c>
      <c r="T90" t="s">
        <v>4741</v>
      </c>
    </row>
    <row r="91" spans="1:20" x14ac:dyDescent="0.25">
      <c r="A91" s="1" t="s">
        <v>1307</v>
      </c>
      <c r="B91" s="1" t="s">
        <v>1756</v>
      </c>
      <c r="C91" s="1" t="s">
        <v>554</v>
      </c>
      <c r="D91" s="88">
        <v>1.268041237113402</v>
      </c>
      <c r="E91" s="10">
        <f t="shared" si="8"/>
        <v>1.3271131050575911</v>
      </c>
      <c r="F91" s="136">
        <f t="shared" si="5"/>
        <v>4.6585131630783247E-2</v>
      </c>
      <c r="G91" s="4">
        <v>9.4600000000000009</v>
      </c>
      <c r="H91" s="4" t="s">
        <v>3896</v>
      </c>
      <c r="I91" s="4">
        <v>12</v>
      </c>
      <c r="J91" s="4">
        <v>12.554489973844813</v>
      </c>
      <c r="K91" s="4"/>
      <c r="L91" s="4"/>
      <c r="M91" s="4" t="str">
        <f>VLOOKUP(A91,'Material Cost'!A:C,3,0)</f>
        <v>10 X BOX</v>
      </c>
      <c r="N91" s="4">
        <f>VLOOKUP(A91,'Material Cost'!G:L,6,0)</f>
        <v>9.4634146341463428</v>
      </c>
      <c r="O91" s="4">
        <f>VLOOKUP(A91,'Material Cost'!A:D,4,0)</f>
        <v>11.642846179305073</v>
      </c>
      <c r="Q91" s="34">
        <f t="shared" si="3"/>
        <v>4.6585131630783247E-2</v>
      </c>
      <c r="T91" t="s">
        <v>4741</v>
      </c>
    </row>
    <row r="92" spans="1:20" x14ac:dyDescent="0.25">
      <c r="A92" s="1" t="s">
        <v>1309</v>
      </c>
      <c r="B92" s="1" t="s">
        <v>1310</v>
      </c>
      <c r="C92" s="1" t="s">
        <v>554</v>
      </c>
      <c r="D92" s="88">
        <v>0.46</v>
      </c>
      <c r="E92" s="10">
        <f t="shared" si="8"/>
        <v>0.39520000000000005</v>
      </c>
      <c r="F92" s="136">
        <f t="shared" si="5"/>
        <v>-0.14086956521739122</v>
      </c>
      <c r="G92" s="4">
        <v>25</v>
      </c>
      <c r="H92" s="4" t="s">
        <v>4252</v>
      </c>
      <c r="I92" s="4">
        <v>11.5</v>
      </c>
      <c r="J92" s="4">
        <v>9.8800000000000008</v>
      </c>
      <c r="K92" s="4"/>
      <c r="L92" s="34"/>
      <c r="M92" s="4" t="str">
        <f>VLOOKUP(A92,'Material Cost'!A:C,3,0)</f>
        <v>25 X KILO</v>
      </c>
      <c r="N92" s="4" t="e">
        <f>VLOOKUP(A92,'Material Cost'!G:L,6,0)</f>
        <v>#N/A</v>
      </c>
      <c r="O92">
        <f>VLOOKUP(A92,'Material Cost'!A:D,4,0)</f>
        <v>13.63</v>
      </c>
      <c r="Q92" s="34">
        <f t="shared" si="3"/>
        <v>-0.14086956521739122</v>
      </c>
      <c r="T92" t="s">
        <v>4732</v>
      </c>
    </row>
    <row r="93" spans="1:20" x14ac:dyDescent="0.25">
      <c r="A93" s="1" t="s">
        <v>1311</v>
      </c>
      <c r="B93" s="1" t="s">
        <v>1312</v>
      </c>
      <c r="C93" s="1" t="s">
        <v>554</v>
      </c>
      <c r="D93" s="88">
        <v>1.33</v>
      </c>
      <c r="E93" s="10">
        <f t="shared" si="8"/>
        <v>1.8</v>
      </c>
      <c r="F93" s="136">
        <f t="shared" si="5"/>
        <v>0.35338345864661652</v>
      </c>
      <c r="G93" s="4">
        <v>5</v>
      </c>
      <c r="H93" s="4" t="s">
        <v>3884</v>
      </c>
      <c r="I93" s="4">
        <v>6.65</v>
      </c>
      <c r="J93" s="4">
        <v>9</v>
      </c>
      <c r="K93" s="4"/>
      <c r="L93" s="34"/>
      <c r="M93" s="4"/>
      <c r="N93" s="4"/>
      <c r="Q93" s="34">
        <f t="shared" si="3"/>
        <v>0.35338345864661652</v>
      </c>
      <c r="T93" t="s">
        <v>4741</v>
      </c>
    </row>
    <row r="94" spans="1:20" x14ac:dyDescent="0.25">
      <c r="A94" s="1" t="s">
        <v>1313</v>
      </c>
      <c r="B94" s="1" t="s">
        <v>1314</v>
      </c>
      <c r="C94" s="1" t="s">
        <v>554</v>
      </c>
      <c r="D94" s="88">
        <v>5.87</v>
      </c>
      <c r="E94" s="10">
        <f t="shared" si="8"/>
        <v>5.8630000000000004</v>
      </c>
      <c r="F94" s="136">
        <f t="shared" si="5"/>
        <v>-1.1925042589437263E-3</v>
      </c>
      <c r="G94" s="4">
        <v>10</v>
      </c>
      <c r="H94" s="4" t="s">
        <v>3951</v>
      </c>
      <c r="I94" s="4">
        <v>58.7</v>
      </c>
      <c r="J94" s="4">
        <v>58.63</v>
      </c>
      <c r="K94" s="4"/>
      <c r="L94" s="4"/>
      <c r="M94" s="4"/>
      <c r="N94" s="4"/>
      <c r="Q94" s="34">
        <f t="shared" si="3"/>
        <v>-1.1925042589437263E-3</v>
      </c>
      <c r="T94" t="s">
        <v>4741</v>
      </c>
    </row>
    <row r="95" spans="1:20" x14ac:dyDescent="0.25">
      <c r="A95" s="1" t="s">
        <v>4327</v>
      </c>
      <c r="B95" s="138" t="s">
        <v>1316</v>
      </c>
      <c r="C95" s="1" t="s">
        <v>554</v>
      </c>
      <c r="D95" s="88">
        <v>10.35</v>
      </c>
      <c r="E95" s="140">
        <f>D95</f>
        <v>10.35</v>
      </c>
      <c r="F95" s="136">
        <f t="shared" si="5"/>
        <v>0</v>
      </c>
      <c r="G95" s="4">
        <v>1.2</v>
      </c>
      <c r="H95" s="4" t="s">
        <v>3958</v>
      </c>
      <c r="I95" s="4" t="e">
        <v>#N/A</v>
      </c>
      <c r="J95" s="4">
        <v>0</v>
      </c>
      <c r="K95" s="4">
        <v>0</v>
      </c>
      <c r="L95" s="4" t="s">
        <v>4375</v>
      </c>
      <c r="M95" s="4" t="e">
        <f>VLOOKUP(A95,'Material Cost'!A:C,3,0)</f>
        <v>#N/A</v>
      </c>
      <c r="N95" s="4"/>
      <c r="O95" t="e">
        <f>VLOOKUP(A95,'Material Cost'!A:D,4,0)</f>
        <v>#N/A</v>
      </c>
      <c r="Q95" s="34">
        <f t="shared" si="3"/>
        <v>0</v>
      </c>
      <c r="T95" t="s">
        <v>4741</v>
      </c>
    </row>
    <row r="96" spans="1:20" x14ac:dyDescent="0.25">
      <c r="A96" s="1" t="s">
        <v>1317</v>
      </c>
      <c r="B96" s="117" t="s">
        <v>4678</v>
      </c>
      <c r="C96" s="1" t="s">
        <v>595</v>
      </c>
      <c r="D96" s="88">
        <v>0.08</v>
      </c>
      <c r="E96" s="10">
        <f>D96</f>
        <v>0.08</v>
      </c>
      <c r="F96" s="136">
        <f t="shared" si="5"/>
        <v>0</v>
      </c>
      <c r="G96" s="4"/>
      <c r="H96" s="4" t="e">
        <v>#N/A</v>
      </c>
      <c r="I96" s="4" t="e">
        <v>#N/A</v>
      </c>
      <c r="J96" s="4" t="e">
        <v>#N/A</v>
      </c>
      <c r="K96" s="4"/>
      <c r="L96" s="4"/>
      <c r="M96" s="4" t="e">
        <f>VLOOKUP(A96,'Material Cost'!A:C,3,0)</f>
        <v>#N/A</v>
      </c>
      <c r="N96" s="4"/>
      <c r="O96" t="e">
        <f>VLOOKUP(A96,'Material Cost'!A:D,4,0)</f>
        <v>#N/A</v>
      </c>
      <c r="Q96" s="34">
        <f t="shared" si="3"/>
        <v>0</v>
      </c>
      <c r="T96" t="s">
        <v>4742</v>
      </c>
    </row>
    <row r="97" spans="1:20" x14ac:dyDescent="0.25">
      <c r="A97" s="1" t="s">
        <v>1318</v>
      </c>
      <c r="B97" s="117" t="s">
        <v>4679</v>
      </c>
      <c r="C97" s="1" t="s">
        <v>595</v>
      </c>
      <c r="D97" s="88">
        <v>0.32</v>
      </c>
      <c r="E97" s="10">
        <f t="shared" ref="E97:E115" si="9">D97</f>
        <v>0.32</v>
      </c>
      <c r="F97" s="136">
        <f t="shared" si="5"/>
        <v>0</v>
      </c>
      <c r="G97" s="4"/>
      <c r="H97" s="4" t="e">
        <v>#N/A</v>
      </c>
      <c r="I97" s="4" t="e">
        <v>#N/A</v>
      </c>
      <c r="J97" s="4" t="e">
        <v>#N/A</v>
      </c>
      <c r="K97" s="4"/>
      <c r="L97" s="4"/>
      <c r="M97" s="4" t="e">
        <f>VLOOKUP(A97,'Material Cost'!A:C,3,0)</f>
        <v>#N/A</v>
      </c>
      <c r="N97" s="4"/>
      <c r="O97" t="e">
        <f>VLOOKUP(A97,'Material Cost'!A:D,4,0)</f>
        <v>#N/A</v>
      </c>
      <c r="Q97" s="34">
        <f t="shared" si="3"/>
        <v>0</v>
      </c>
      <c r="T97" t="s">
        <v>4742</v>
      </c>
    </row>
    <row r="98" spans="1:20" x14ac:dyDescent="0.25">
      <c r="A98" s="1" t="s">
        <v>1319</v>
      </c>
      <c r="B98" s="117" t="s">
        <v>4680</v>
      </c>
      <c r="C98" s="1" t="s">
        <v>595</v>
      </c>
      <c r="D98" s="88">
        <v>0.48</v>
      </c>
      <c r="E98" s="10">
        <f t="shared" si="9"/>
        <v>0.48</v>
      </c>
      <c r="F98" s="136">
        <f t="shared" si="5"/>
        <v>0</v>
      </c>
      <c r="G98" s="4"/>
      <c r="H98" s="4" t="e">
        <v>#N/A</v>
      </c>
      <c r="I98" s="4" t="e">
        <v>#N/A</v>
      </c>
      <c r="J98" s="4" t="e">
        <v>#N/A</v>
      </c>
      <c r="K98" s="4"/>
      <c r="L98" s="4"/>
      <c r="M98" s="4" t="e">
        <f>VLOOKUP(A98,'Material Cost'!A:C,3,0)</f>
        <v>#N/A</v>
      </c>
      <c r="N98" s="4"/>
      <c r="O98" t="e">
        <f>VLOOKUP(A98,'Material Cost'!A:D,4,0)</f>
        <v>#N/A</v>
      </c>
      <c r="Q98" s="34">
        <f t="shared" si="3"/>
        <v>0</v>
      </c>
      <c r="T98" t="s">
        <v>4742</v>
      </c>
    </row>
    <row r="99" spans="1:20" x14ac:dyDescent="0.25">
      <c r="A99" s="1" t="s">
        <v>1320</v>
      </c>
      <c r="B99" s="117" t="s">
        <v>4681</v>
      </c>
      <c r="C99" s="1" t="s">
        <v>595</v>
      </c>
      <c r="D99" s="88">
        <v>0.64</v>
      </c>
      <c r="E99" s="10">
        <f t="shared" si="9"/>
        <v>0.64</v>
      </c>
      <c r="F99" s="136">
        <f t="shared" si="5"/>
        <v>0</v>
      </c>
      <c r="G99" s="4"/>
      <c r="H99" s="4" t="e">
        <v>#N/A</v>
      </c>
      <c r="I99" s="4" t="e">
        <v>#N/A</v>
      </c>
      <c r="J99" s="4" t="e">
        <v>#N/A</v>
      </c>
      <c r="K99" s="4"/>
      <c r="L99" s="4"/>
      <c r="M99" s="4" t="e">
        <f>VLOOKUP(A99,'Material Cost'!A:C,3,0)</f>
        <v>#N/A</v>
      </c>
      <c r="N99" s="4"/>
      <c r="O99" t="e">
        <f>VLOOKUP(A99,'Material Cost'!A:D,4,0)</f>
        <v>#N/A</v>
      </c>
      <c r="Q99" s="34">
        <f t="shared" si="3"/>
        <v>0</v>
      </c>
      <c r="T99" t="s">
        <v>4742</v>
      </c>
    </row>
    <row r="100" spans="1:20" x14ac:dyDescent="0.25">
      <c r="A100" s="1" t="s">
        <v>1321</v>
      </c>
      <c r="B100" s="117" t="s">
        <v>4666</v>
      </c>
      <c r="C100" s="1" t="s">
        <v>595</v>
      </c>
      <c r="D100" s="88">
        <v>0.47</v>
      </c>
      <c r="E100" s="10">
        <v>0.47</v>
      </c>
      <c r="F100" s="136">
        <f t="shared" si="5"/>
        <v>0</v>
      </c>
      <c r="G100" s="4"/>
      <c r="H100" s="4" t="e">
        <v>#N/A</v>
      </c>
      <c r="I100" s="4" t="e">
        <v>#N/A</v>
      </c>
      <c r="J100" s="4" t="e">
        <v>#N/A</v>
      </c>
      <c r="K100" s="4"/>
      <c r="L100" s="4"/>
      <c r="M100" s="4" t="e">
        <f>VLOOKUP(A100,'Material Cost'!A:C,3,0)</f>
        <v>#N/A</v>
      </c>
      <c r="N100" s="4"/>
      <c r="O100" t="e">
        <f>VLOOKUP(A100,'Material Cost'!A:D,4,0)</f>
        <v>#N/A</v>
      </c>
      <c r="Q100" s="34">
        <f t="shared" si="3"/>
        <v>0</v>
      </c>
      <c r="T100" t="s">
        <v>4742</v>
      </c>
    </row>
    <row r="101" spans="1:20" x14ac:dyDescent="0.25">
      <c r="A101" s="1" t="s">
        <v>1769</v>
      </c>
      <c r="B101" s="117" t="s">
        <v>4667</v>
      </c>
      <c r="C101" s="1" t="s">
        <v>595</v>
      </c>
      <c r="D101" s="88">
        <v>0.03</v>
      </c>
      <c r="E101" s="10">
        <v>0.03</v>
      </c>
      <c r="F101" s="136">
        <f t="shared" si="5"/>
        <v>0</v>
      </c>
      <c r="G101" s="4"/>
      <c r="H101" s="4" t="e">
        <v>#N/A</v>
      </c>
      <c r="I101" s="4" t="e">
        <v>#N/A</v>
      </c>
      <c r="J101" s="4" t="e">
        <v>#N/A</v>
      </c>
      <c r="K101" s="4"/>
      <c r="L101" s="4"/>
      <c r="M101" s="4"/>
      <c r="N101" s="4"/>
      <c r="Q101" s="34"/>
      <c r="T101" t="s">
        <v>4742</v>
      </c>
    </row>
    <row r="102" spans="1:20" x14ac:dyDescent="0.25">
      <c r="A102" s="1" t="s">
        <v>1322</v>
      </c>
      <c r="B102" s="117" t="s">
        <v>4665</v>
      </c>
      <c r="C102" s="1" t="s">
        <v>595</v>
      </c>
      <c r="D102" s="88">
        <v>0.11</v>
      </c>
      <c r="E102" s="10">
        <f t="shared" si="9"/>
        <v>0.11</v>
      </c>
      <c r="F102" s="136">
        <f t="shared" si="5"/>
        <v>0</v>
      </c>
      <c r="G102" s="4"/>
      <c r="H102" s="4" t="e">
        <v>#N/A</v>
      </c>
      <c r="I102" s="4" t="e">
        <v>#N/A</v>
      </c>
      <c r="J102" s="4" t="e">
        <v>#N/A</v>
      </c>
      <c r="K102" s="4"/>
      <c r="L102" s="4"/>
      <c r="M102" s="4" t="e">
        <f>VLOOKUP(A102,'Material Cost'!A:C,3,0)</f>
        <v>#N/A</v>
      </c>
      <c r="N102" s="4"/>
      <c r="O102" t="e">
        <f>VLOOKUP(A102,'Material Cost'!A:D,4,0)</f>
        <v>#N/A</v>
      </c>
      <c r="Q102" s="34">
        <f>(E102-D102)/D102</f>
        <v>0</v>
      </c>
      <c r="T102" t="s">
        <v>4742</v>
      </c>
    </row>
    <row r="103" spans="1:20" x14ac:dyDescent="0.25">
      <c r="A103" s="1" t="s">
        <v>1324</v>
      </c>
      <c r="B103" s="117" t="s">
        <v>4672</v>
      </c>
      <c r="C103" s="1" t="s">
        <v>595</v>
      </c>
      <c r="D103" s="88">
        <v>0.45</v>
      </c>
      <c r="E103" s="10">
        <v>0.45</v>
      </c>
      <c r="F103" s="136">
        <f t="shared" si="5"/>
        <v>0</v>
      </c>
      <c r="G103" s="4"/>
      <c r="H103" s="4" t="e">
        <v>#N/A</v>
      </c>
      <c r="I103" s="4" t="e">
        <v>#N/A</v>
      </c>
      <c r="J103" s="4" t="e">
        <v>#N/A</v>
      </c>
      <c r="K103" s="4"/>
      <c r="L103" s="4"/>
      <c r="M103" s="4" t="e">
        <f>VLOOKUP(A103,'Material Cost'!A:C,3,0)</f>
        <v>#N/A</v>
      </c>
      <c r="N103" s="4"/>
      <c r="O103" t="e">
        <f>VLOOKUP(A103,'Material Cost'!A:D,4,0)</f>
        <v>#N/A</v>
      </c>
      <c r="Q103" s="34">
        <f>(E103-D103)/D103</f>
        <v>0</v>
      </c>
      <c r="T103" t="s">
        <v>4742</v>
      </c>
    </row>
    <row r="104" spans="1:20" x14ac:dyDescent="0.25">
      <c r="A104" s="1" t="s">
        <v>1773</v>
      </c>
      <c r="B104" s="117" t="s">
        <v>4673</v>
      </c>
      <c r="C104" s="1" t="s">
        <v>595</v>
      </c>
      <c r="D104" s="88">
        <v>0.13</v>
      </c>
      <c r="E104" s="10">
        <v>0.13</v>
      </c>
      <c r="F104" s="136">
        <f t="shared" si="5"/>
        <v>0</v>
      </c>
      <c r="G104" s="4"/>
      <c r="H104" s="4" t="e">
        <v>#N/A</v>
      </c>
      <c r="I104" s="4" t="e">
        <v>#N/A</v>
      </c>
      <c r="J104" s="4" t="e">
        <v>#N/A</v>
      </c>
      <c r="K104" s="4"/>
      <c r="L104" s="4"/>
      <c r="M104" s="4"/>
      <c r="N104" s="4"/>
      <c r="Q104" s="34"/>
      <c r="T104" t="s">
        <v>4742</v>
      </c>
    </row>
    <row r="105" spans="1:20" ht="15.75" x14ac:dyDescent="0.25">
      <c r="A105" s="1" t="s">
        <v>1325</v>
      </c>
      <c r="B105" s="118" t="s">
        <v>4670</v>
      </c>
      <c r="C105" s="1" t="s">
        <v>595</v>
      </c>
      <c r="D105" s="88">
        <v>0.31988</v>
      </c>
      <c r="E105" s="10">
        <f t="shared" si="9"/>
        <v>0.31988</v>
      </c>
      <c r="F105" s="136">
        <f t="shared" si="5"/>
        <v>0</v>
      </c>
      <c r="G105" s="4"/>
      <c r="H105" s="4" t="e">
        <v>#N/A</v>
      </c>
      <c r="I105" s="4" t="e">
        <v>#N/A</v>
      </c>
      <c r="J105" s="4" t="e">
        <v>#N/A</v>
      </c>
      <c r="K105" s="4"/>
      <c r="L105" s="4"/>
      <c r="M105" s="4" t="e">
        <f>VLOOKUP(A105,'Material Cost'!A:C,3,0)</f>
        <v>#N/A</v>
      </c>
      <c r="N105" s="4"/>
      <c r="O105" t="e">
        <f>VLOOKUP(A105,'Material Cost'!A:D,4,0)</f>
        <v>#N/A</v>
      </c>
      <c r="Q105" s="34">
        <f>(E105-D105)/D105</f>
        <v>0</v>
      </c>
      <c r="T105" t="s">
        <v>4742</v>
      </c>
    </row>
    <row r="106" spans="1:20" ht="15.75" x14ac:dyDescent="0.25">
      <c r="A106" s="1" t="s">
        <v>1772</v>
      </c>
      <c r="B106" s="118" t="s">
        <v>4671</v>
      </c>
      <c r="C106" s="1" t="s">
        <v>595</v>
      </c>
      <c r="D106" s="88">
        <v>0.31988</v>
      </c>
      <c r="E106" s="10">
        <f t="shared" si="9"/>
        <v>0.31988</v>
      </c>
      <c r="F106" s="136">
        <f t="shared" si="5"/>
        <v>0</v>
      </c>
      <c r="G106" s="4"/>
      <c r="H106" s="4" t="e">
        <v>#N/A</v>
      </c>
      <c r="I106" s="4" t="e">
        <v>#N/A</v>
      </c>
      <c r="J106" s="4" t="e">
        <v>#N/A</v>
      </c>
      <c r="K106" s="4"/>
      <c r="L106" s="4"/>
      <c r="M106" s="4"/>
      <c r="N106" s="4"/>
      <c r="Q106" s="34"/>
      <c r="T106" t="s">
        <v>4742</v>
      </c>
    </row>
    <row r="107" spans="1:20" x14ac:dyDescent="0.25">
      <c r="A107" s="1" t="s">
        <v>1327</v>
      </c>
      <c r="B107" s="117" t="s">
        <v>4668</v>
      </c>
      <c r="C107" s="1" t="s">
        <v>595</v>
      </c>
      <c r="D107" s="88">
        <v>0.48</v>
      </c>
      <c r="E107" s="10">
        <f>0.08*6</f>
        <v>0.48</v>
      </c>
      <c r="F107" s="136">
        <f t="shared" si="5"/>
        <v>0</v>
      </c>
      <c r="G107" s="4"/>
      <c r="H107" s="4" t="e">
        <v>#N/A</v>
      </c>
      <c r="I107" s="4" t="e">
        <v>#N/A</v>
      </c>
      <c r="J107" s="4" t="e">
        <v>#N/A</v>
      </c>
      <c r="K107" s="4"/>
      <c r="L107" s="4"/>
      <c r="M107" s="4" t="e">
        <f>VLOOKUP(A107,'Material Cost'!A:C,3,0)</f>
        <v>#N/A</v>
      </c>
      <c r="N107" s="4"/>
      <c r="O107" t="e">
        <f>VLOOKUP(A107,'Material Cost'!A:D,4,0)</f>
        <v>#N/A</v>
      </c>
      <c r="Q107" s="34">
        <f>(E107-D107)/D107</f>
        <v>0</v>
      </c>
      <c r="T107" t="s">
        <v>4742</v>
      </c>
    </row>
    <row r="108" spans="1:20" x14ac:dyDescent="0.25">
      <c r="A108" s="1" t="s">
        <v>1770</v>
      </c>
      <c r="B108" s="117" t="s">
        <v>4669</v>
      </c>
      <c r="C108" s="1" t="s">
        <v>595</v>
      </c>
      <c r="D108" s="88">
        <v>0.24</v>
      </c>
      <c r="E108" s="10">
        <f>0.04*6</f>
        <v>0.24</v>
      </c>
      <c r="F108" s="136">
        <f t="shared" si="5"/>
        <v>0</v>
      </c>
      <c r="G108" s="4"/>
      <c r="H108" s="4" t="e">
        <v>#N/A</v>
      </c>
      <c r="I108" s="4" t="e">
        <v>#N/A</v>
      </c>
      <c r="J108" s="4" t="e">
        <v>#N/A</v>
      </c>
      <c r="K108" s="4"/>
      <c r="L108" s="4"/>
      <c r="M108" s="4"/>
      <c r="N108" s="4"/>
      <c r="Q108" s="34"/>
      <c r="T108" t="s">
        <v>4742</v>
      </c>
    </row>
    <row r="109" spans="1:20" x14ac:dyDescent="0.25">
      <c r="A109" s="1" t="s">
        <v>1771</v>
      </c>
      <c r="B109" s="117" t="s">
        <v>4677</v>
      </c>
      <c r="C109" s="1" t="s">
        <v>595</v>
      </c>
      <c r="D109" s="88">
        <v>0.1</v>
      </c>
      <c r="E109" s="10">
        <v>0.1</v>
      </c>
      <c r="F109" s="136">
        <f t="shared" si="5"/>
        <v>0</v>
      </c>
      <c r="G109" s="4"/>
      <c r="H109" s="4" t="e">
        <v>#N/A</v>
      </c>
      <c r="I109" s="4" t="e">
        <v>#N/A</v>
      </c>
      <c r="J109" s="4" t="e">
        <v>#N/A</v>
      </c>
      <c r="K109" s="4"/>
      <c r="L109" s="4"/>
      <c r="M109" s="4"/>
      <c r="N109" s="4"/>
      <c r="Q109" s="34"/>
      <c r="T109" t="s">
        <v>4742</v>
      </c>
    </row>
    <row r="110" spans="1:20" x14ac:dyDescent="0.25">
      <c r="A110" s="1" t="s">
        <v>1328</v>
      </c>
      <c r="B110" s="117" t="s">
        <v>4676</v>
      </c>
      <c r="C110" s="1" t="s">
        <v>595</v>
      </c>
      <c r="D110" s="88">
        <v>0.43</v>
      </c>
      <c r="E110" s="10">
        <v>0.43</v>
      </c>
      <c r="F110" s="136">
        <f t="shared" si="5"/>
        <v>0</v>
      </c>
      <c r="G110" s="4"/>
      <c r="H110" s="4" t="e">
        <v>#N/A</v>
      </c>
      <c r="I110" s="4" t="e">
        <v>#N/A</v>
      </c>
      <c r="J110" s="4" t="e">
        <v>#N/A</v>
      </c>
      <c r="K110" s="4"/>
      <c r="L110" s="4"/>
      <c r="M110" s="4" t="e">
        <f>VLOOKUP(A110,'Material Cost'!A:C,3,0)</f>
        <v>#N/A</v>
      </c>
      <c r="N110" s="4"/>
      <c r="O110" t="e">
        <f>VLOOKUP(A110,'Material Cost'!A:D,4,0)</f>
        <v>#N/A</v>
      </c>
      <c r="Q110" s="34">
        <f t="shared" ref="Q110:Q123" si="10">(E110-D110)/D110</f>
        <v>0</v>
      </c>
      <c r="T110" t="s">
        <v>4742</v>
      </c>
    </row>
    <row r="111" spans="1:20" x14ac:dyDescent="0.25">
      <c r="A111" s="1" t="s">
        <v>1329</v>
      </c>
      <c r="B111" s="117" t="s">
        <v>1330</v>
      </c>
      <c r="C111" s="1" t="s">
        <v>595</v>
      </c>
      <c r="D111" s="88">
        <v>0.22</v>
      </c>
      <c r="E111" s="10">
        <f t="shared" si="9"/>
        <v>0.22</v>
      </c>
      <c r="F111" s="136">
        <f t="shared" si="5"/>
        <v>0</v>
      </c>
      <c r="G111" s="4"/>
      <c r="H111" s="4" t="e">
        <v>#N/A</v>
      </c>
      <c r="I111" s="4" t="e">
        <v>#N/A</v>
      </c>
      <c r="J111" s="4" t="e">
        <v>#N/A</v>
      </c>
      <c r="K111" s="4"/>
      <c r="L111" s="4"/>
      <c r="M111" s="4" t="e">
        <f>VLOOKUP(A111,'Material Cost'!A:C,3,0)</f>
        <v>#N/A</v>
      </c>
      <c r="N111" s="4"/>
      <c r="O111" t="e">
        <f>VLOOKUP(A111,'Material Cost'!A:D,4,0)</f>
        <v>#N/A</v>
      </c>
      <c r="Q111" s="34">
        <f t="shared" si="10"/>
        <v>0</v>
      </c>
      <c r="T111" t="s">
        <v>4742</v>
      </c>
    </row>
    <row r="112" spans="1:20" x14ac:dyDescent="0.25">
      <c r="A112" s="1" t="s">
        <v>1331</v>
      </c>
      <c r="B112" s="117" t="s">
        <v>4661</v>
      </c>
      <c r="C112" s="1" t="s">
        <v>595</v>
      </c>
      <c r="D112" s="88">
        <v>0.28000000000000003</v>
      </c>
      <c r="E112" s="10">
        <f t="shared" si="9"/>
        <v>0.28000000000000003</v>
      </c>
      <c r="F112" s="136">
        <f t="shared" si="5"/>
        <v>0</v>
      </c>
      <c r="G112" s="4"/>
      <c r="H112" s="4" t="e">
        <v>#N/A</v>
      </c>
      <c r="I112" s="4" t="e">
        <v>#N/A</v>
      </c>
      <c r="J112" s="4" t="e">
        <v>#N/A</v>
      </c>
      <c r="K112" s="4"/>
      <c r="L112" s="4"/>
      <c r="M112" s="4" t="e">
        <f>VLOOKUP(A112,'Material Cost'!A:C,3,0)</f>
        <v>#N/A</v>
      </c>
      <c r="N112" s="4"/>
      <c r="O112" t="e">
        <f>VLOOKUP(A112,'Material Cost'!A:D,4,0)</f>
        <v>#N/A</v>
      </c>
      <c r="Q112" s="34">
        <f t="shared" si="10"/>
        <v>0</v>
      </c>
      <c r="T112" t="s">
        <v>4742</v>
      </c>
    </row>
    <row r="113" spans="1:20" x14ac:dyDescent="0.25">
      <c r="A113" s="1" t="s">
        <v>4745</v>
      </c>
      <c r="B113" s="117" t="s">
        <v>4746</v>
      </c>
      <c r="C113" s="1" t="s">
        <v>595</v>
      </c>
      <c r="D113" s="88">
        <v>7.0000000000000007E-2</v>
      </c>
      <c r="E113" s="10">
        <f t="shared" si="9"/>
        <v>7.0000000000000007E-2</v>
      </c>
      <c r="F113" s="136">
        <f t="shared" si="5"/>
        <v>0</v>
      </c>
      <c r="G113" s="4"/>
      <c r="H113" s="4" t="e">
        <v>#N/A</v>
      </c>
      <c r="I113" s="4"/>
      <c r="J113" s="4" t="e">
        <v>#N/A</v>
      </c>
      <c r="K113" s="4"/>
      <c r="L113" s="4"/>
      <c r="M113" s="4"/>
      <c r="N113" s="4"/>
      <c r="Q113" s="34"/>
      <c r="T113" t="s">
        <v>4742</v>
      </c>
    </row>
    <row r="114" spans="1:20" x14ac:dyDescent="0.25">
      <c r="A114" s="1" t="s">
        <v>1333</v>
      </c>
      <c r="B114" s="116" t="s">
        <v>4662</v>
      </c>
      <c r="C114" s="1" t="s">
        <v>595</v>
      </c>
      <c r="D114" s="88">
        <v>0.05</v>
      </c>
      <c r="E114" s="10">
        <f t="shared" si="9"/>
        <v>0.05</v>
      </c>
      <c r="F114" s="136">
        <f t="shared" si="5"/>
        <v>0</v>
      </c>
      <c r="G114" s="4"/>
      <c r="H114" s="4" t="e">
        <v>#N/A</v>
      </c>
      <c r="I114" s="4" t="e">
        <v>#N/A</v>
      </c>
      <c r="J114" s="4" t="e">
        <v>#N/A</v>
      </c>
      <c r="K114" s="4"/>
      <c r="L114" s="4"/>
      <c r="M114" s="4" t="e">
        <f>VLOOKUP(A114,'Material Cost'!A:C,3,0)</f>
        <v>#N/A</v>
      </c>
      <c r="N114" s="4"/>
      <c r="O114" t="e">
        <f>VLOOKUP(A114,'Material Cost'!A:D,4,0)</f>
        <v>#N/A</v>
      </c>
      <c r="Q114" s="34">
        <f t="shared" si="10"/>
        <v>0</v>
      </c>
      <c r="T114" t="s">
        <v>4742</v>
      </c>
    </row>
    <row r="115" spans="1:20" x14ac:dyDescent="0.25">
      <c r="A115" s="1" t="s">
        <v>1335</v>
      </c>
      <c r="B115" s="117" t="s">
        <v>1336</v>
      </c>
      <c r="C115" s="1" t="s">
        <v>595</v>
      </c>
      <c r="D115" s="88">
        <v>0.27</v>
      </c>
      <c r="E115" s="10">
        <f t="shared" si="9"/>
        <v>0.27</v>
      </c>
      <c r="F115" s="136">
        <f t="shared" si="5"/>
        <v>0</v>
      </c>
      <c r="G115" s="4"/>
      <c r="H115" s="4" t="e">
        <v>#N/A</v>
      </c>
      <c r="I115" s="4" t="e">
        <v>#N/A</v>
      </c>
      <c r="J115" s="4" t="e">
        <v>#N/A</v>
      </c>
      <c r="K115" s="4"/>
      <c r="L115" s="4"/>
      <c r="M115" s="4" t="e">
        <f>VLOOKUP(A115,'Material Cost'!A:C,3,0)</f>
        <v>#N/A</v>
      </c>
      <c r="N115" s="4"/>
      <c r="O115" t="e">
        <f>VLOOKUP(A115,'Material Cost'!A:D,4,0)</f>
        <v>#N/A</v>
      </c>
      <c r="Q115" s="34">
        <f t="shared" si="10"/>
        <v>0</v>
      </c>
      <c r="T115" t="s">
        <v>4742</v>
      </c>
    </row>
    <row r="116" spans="1:20" ht="15.75" x14ac:dyDescent="0.25">
      <c r="A116" s="1" t="s">
        <v>1337</v>
      </c>
      <c r="B116" s="118" t="s">
        <v>4674</v>
      </c>
      <c r="C116" s="1" t="s">
        <v>595</v>
      </c>
      <c r="D116" s="88">
        <v>1.75</v>
      </c>
      <c r="E116" s="10">
        <v>1.75</v>
      </c>
      <c r="F116" s="136">
        <f t="shared" si="5"/>
        <v>0</v>
      </c>
      <c r="G116" s="4"/>
      <c r="H116" s="4" t="e">
        <v>#N/A</v>
      </c>
      <c r="I116" s="4" t="e">
        <v>#N/A</v>
      </c>
      <c r="J116" s="4" t="e">
        <v>#N/A</v>
      </c>
      <c r="K116" s="4"/>
      <c r="L116" s="4"/>
      <c r="M116" s="4" t="e">
        <f>VLOOKUP(A116,'Material Cost'!A:C,3,0)</f>
        <v>#N/A</v>
      </c>
      <c r="N116" s="4"/>
      <c r="O116" t="e">
        <f>VLOOKUP(A116,'Material Cost'!A:D,4,0)</f>
        <v>#N/A</v>
      </c>
      <c r="Q116" s="34">
        <f t="shared" si="10"/>
        <v>0</v>
      </c>
      <c r="T116" t="s">
        <v>4742</v>
      </c>
    </row>
    <row r="117" spans="1:20" x14ac:dyDescent="0.25">
      <c r="A117" s="1" t="s">
        <v>1338</v>
      </c>
      <c r="B117" s="1" t="s">
        <v>1339</v>
      </c>
      <c r="C117" s="1" t="s">
        <v>554</v>
      </c>
      <c r="D117" s="88">
        <v>0.7</v>
      </c>
      <c r="E117" s="10">
        <f>IFERROR(J117/G117,"")</f>
        <v>0.65</v>
      </c>
      <c r="F117" s="136">
        <f t="shared" si="5"/>
        <v>-7.1428571428571341E-2</v>
      </c>
      <c r="G117" s="4">
        <v>600</v>
      </c>
      <c r="H117" s="4" t="s">
        <v>4759</v>
      </c>
      <c r="I117" s="4">
        <v>420</v>
      </c>
      <c r="J117" s="4">
        <v>390</v>
      </c>
      <c r="K117" s="4"/>
      <c r="L117" s="34"/>
      <c r="M117" s="4" t="e">
        <f>VLOOKUP(A117,'Material Cost'!A:C,3,0)</f>
        <v>#N/A</v>
      </c>
      <c r="N117" s="4"/>
      <c r="O117" t="e">
        <f>VLOOKUP(A117,'Material Cost'!A:D,4,0)</f>
        <v>#N/A</v>
      </c>
      <c r="Q117" s="34">
        <f t="shared" si="10"/>
        <v>-7.1428571428571341E-2</v>
      </c>
      <c r="T117" t="s">
        <v>4738</v>
      </c>
    </row>
    <row r="118" spans="1:20" x14ac:dyDescent="0.25">
      <c r="A118" s="1" t="s">
        <v>1660</v>
      </c>
      <c r="B118" s="116" t="s">
        <v>4663</v>
      </c>
      <c r="C118" s="1" t="s">
        <v>595</v>
      </c>
      <c r="D118" s="88">
        <v>0.1</v>
      </c>
      <c r="E118" s="10">
        <f>D118</f>
        <v>0.1</v>
      </c>
      <c r="F118" s="136">
        <f t="shared" si="5"/>
        <v>0</v>
      </c>
      <c r="G118" s="4"/>
      <c r="H118" s="4" t="e">
        <v>#N/A</v>
      </c>
      <c r="I118" s="4" t="e">
        <v>#N/A</v>
      </c>
      <c r="J118" s="4" t="e">
        <v>#N/A</v>
      </c>
      <c r="K118" s="4"/>
      <c r="L118" s="4"/>
      <c r="M118" s="4" t="e">
        <f>VLOOKUP(A118,'Material Cost'!A:C,3,0)</f>
        <v>#N/A</v>
      </c>
      <c r="N118" s="4"/>
      <c r="O118" t="e">
        <f>VLOOKUP(A118,'Material Cost'!A:D,4,0)</f>
        <v>#N/A</v>
      </c>
      <c r="Q118" s="34">
        <f t="shared" si="10"/>
        <v>0</v>
      </c>
      <c r="T118" t="s">
        <v>4742</v>
      </c>
    </row>
    <row r="119" spans="1:20" x14ac:dyDescent="0.25">
      <c r="A119" s="1" t="s">
        <v>1664</v>
      </c>
      <c r="B119" s="1" t="s">
        <v>1665</v>
      </c>
      <c r="C119" s="1" t="s">
        <v>554</v>
      </c>
      <c r="D119" s="88">
        <v>1.75</v>
      </c>
      <c r="E119" s="10">
        <f>IFERROR(J119/G119,"")</f>
        <v>1.5979999999999999</v>
      </c>
      <c r="F119" s="136">
        <f t="shared" si="5"/>
        <v>-8.6857142857142938E-2</v>
      </c>
      <c r="G119" s="4">
        <v>10</v>
      </c>
      <c r="H119" s="4" t="s">
        <v>4077</v>
      </c>
      <c r="I119" s="4">
        <v>17.5</v>
      </c>
      <c r="J119" s="4">
        <v>15.979999999999999</v>
      </c>
      <c r="K119" s="4"/>
      <c r="L119" s="34"/>
      <c r="M119" s="4"/>
      <c r="N119" s="4"/>
      <c r="Q119" s="34">
        <f t="shared" si="10"/>
        <v>-8.6857142857142938E-2</v>
      </c>
      <c r="T119" t="s">
        <v>4741</v>
      </c>
    </row>
    <row r="120" spans="1:20" x14ac:dyDescent="0.25">
      <c r="A120" t="s">
        <v>1715</v>
      </c>
      <c r="B120" t="s">
        <v>1748</v>
      </c>
      <c r="C120" s="1" t="s">
        <v>554</v>
      </c>
      <c r="D120" s="88">
        <v>1.1000000000000001</v>
      </c>
      <c r="E120" s="10">
        <f>IFERROR(J120/G120,"")</f>
        <v>1.1000000000000001</v>
      </c>
      <c r="F120" s="136">
        <f t="shared" si="5"/>
        <v>0</v>
      </c>
      <c r="G120" s="4">
        <v>5</v>
      </c>
      <c r="H120" s="4" t="s">
        <v>3953</v>
      </c>
      <c r="I120" s="4">
        <v>5.5</v>
      </c>
      <c r="J120" s="4">
        <v>5.5</v>
      </c>
      <c r="K120" s="4"/>
      <c r="L120" s="34"/>
      <c r="M120" s="4"/>
      <c r="N120" s="4"/>
      <c r="Q120" s="34">
        <f t="shared" si="10"/>
        <v>0</v>
      </c>
      <c r="T120" t="s">
        <v>4741</v>
      </c>
    </row>
    <row r="121" spans="1:20" x14ac:dyDescent="0.25">
      <c r="A121" t="s">
        <v>1709</v>
      </c>
      <c r="B121" t="s">
        <v>1710</v>
      </c>
      <c r="C121" s="1" t="s">
        <v>554</v>
      </c>
      <c r="D121" s="88">
        <v>2.7600000000000002</v>
      </c>
      <c r="E121" s="10">
        <f>IFERROR(J121/G121,"")</f>
        <v>2.6960000000000002</v>
      </c>
      <c r="F121" s="136">
        <f t="shared" si="5"/>
        <v>-2.3188405797101467E-2</v>
      </c>
      <c r="G121" s="4">
        <v>2.5</v>
      </c>
      <c r="H121" s="4" t="s">
        <v>3874</v>
      </c>
      <c r="I121" s="4">
        <v>6.9</v>
      </c>
      <c r="J121" s="4">
        <v>6.74</v>
      </c>
      <c r="K121" s="4"/>
      <c r="L121" s="34"/>
      <c r="M121" s="4"/>
      <c r="N121" s="4"/>
      <c r="Q121" s="34">
        <f t="shared" si="10"/>
        <v>-2.3188405797101467E-2</v>
      </c>
      <c r="T121" t="s">
        <v>4741</v>
      </c>
    </row>
    <row r="122" spans="1:20" x14ac:dyDescent="0.25">
      <c r="A122" t="s">
        <v>1850</v>
      </c>
      <c r="B122" t="s">
        <v>1757</v>
      </c>
      <c r="C122" s="1" t="s">
        <v>554</v>
      </c>
      <c r="D122" s="88">
        <v>7.2800000000000004E-2</v>
      </c>
      <c r="E122" s="137">
        <v>7.2800000000000004E-2</v>
      </c>
      <c r="F122" s="136">
        <f t="shared" si="5"/>
        <v>0</v>
      </c>
      <c r="G122" s="4">
        <v>25</v>
      </c>
      <c r="H122" s="4" t="s">
        <v>4046</v>
      </c>
      <c r="I122" s="4">
        <v>20.5</v>
      </c>
      <c r="J122" s="4">
        <v>18.48</v>
      </c>
      <c r="K122" s="4"/>
      <c r="L122" s="4"/>
      <c r="M122" s="4"/>
      <c r="N122" s="4"/>
      <c r="Q122" s="34">
        <f t="shared" si="10"/>
        <v>0</v>
      </c>
      <c r="T122" t="s">
        <v>4741</v>
      </c>
    </row>
    <row r="123" spans="1:20" x14ac:dyDescent="0.25">
      <c r="A123" s="1" t="s">
        <v>4325</v>
      </c>
      <c r="B123" s="1" t="s">
        <v>4326</v>
      </c>
      <c r="C123" s="1" t="s">
        <v>554</v>
      </c>
      <c r="D123" s="78">
        <v>3.6</v>
      </c>
      <c r="E123" s="33">
        <v>3.6</v>
      </c>
      <c r="F123" s="136">
        <f t="shared" si="5"/>
        <v>0</v>
      </c>
      <c r="G123" s="4">
        <v>5</v>
      </c>
      <c r="H123" s="4" t="e">
        <v>#N/A</v>
      </c>
      <c r="I123" s="4" t="e">
        <v>#N/A</v>
      </c>
      <c r="J123" s="4" t="e">
        <v>#N/A</v>
      </c>
      <c r="K123" s="4"/>
      <c r="L123" s="4"/>
      <c r="M123">
        <v>18</v>
      </c>
      <c r="Q123" s="34">
        <f t="shared" si="10"/>
        <v>0</v>
      </c>
      <c r="T123" t="s">
        <v>4741</v>
      </c>
    </row>
    <row r="124" spans="1:20" x14ac:dyDescent="0.25">
      <c r="A124" t="s">
        <v>2231</v>
      </c>
      <c r="B124" t="s">
        <v>4494</v>
      </c>
      <c r="C124" s="65" t="s">
        <v>554</v>
      </c>
      <c r="D124">
        <v>4.7</v>
      </c>
      <c r="E124" s="10">
        <f>IFERROR(J124/G124,"")</f>
        <v>4.5</v>
      </c>
      <c r="F124" s="136">
        <f t="shared" si="5"/>
        <v>-4.2553191489361736E-2</v>
      </c>
      <c r="G124" s="4">
        <v>2</v>
      </c>
      <c r="H124" s="4" t="s">
        <v>3889</v>
      </c>
      <c r="I124" s="4">
        <v>9.4</v>
      </c>
      <c r="J124" s="4">
        <v>9</v>
      </c>
      <c r="K124" s="4"/>
      <c r="T124" t="s">
        <v>4741</v>
      </c>
    </row>
    <row r="125" spans="1:20" x14ac:dyDescent="0.25">
      <c r="A125" s="101" t="s">
        <v>1768</v>
      </c>
      <c r="B125" s="115" t="s">
        <v>4664</v>
      </c>
      <c r="C125" s="1" t="s">
        <v>595</v>
      </c>
      <c r="D125" s="102">
        <v>0.46</v>
      </c>
      <c r="E125">
        <v>0.46</v>
      </c>
      <c r="F125" s="136">
        <f t="shared" ref="F125:F139" si="11">(E125-D125)/D125</f>
        <v>0</v>
      </c>
      <c r="H125" s="4" t="e">
        <v>#N/A</v>
      </c>
      <c r="I125" s="4" t="e">
        <v>#N/A</v>
      </c>
      <c r="J125" s="4" t="e">
        <v>#N/A</v>
      </c>
      <c r="K125" s="4"/>
      <c r="T125" t="s">
        <v>4742</v>
      </c>
    </row>
    <row r="126" spans="1:20" x14ac:dyDescent="0.25">
      <c r="A126" t="s">
        <v>4516</v>
      </c>
      <c r="B126" t="s">
        <v>4517</v>
      </c>
      <c r="C126" s="65" t="s">
        <v>554</v>
      </c>
      <c r="D126">
        <v>2.62</v>
      </c>
      <c r="E126" s="33">
        <v>1</v>
      </c>
      <c r="F126" s="136">
        <f t="shared" si="11"/>
        <v>-0.61832061068702293</v>
      </c>
      <c r="H126" s="4" t="e">
        <v>#N/A</v>
      </c>
      <c r="I126" s="4" t="e">
        <v>#N/A</v>
      </c>
      <c r="J126" s="4" t="e">
        <v>#N/A</v>
      </c>
      <c r="K126" s="4" t="e">
        <v>#N/A</v>
      </c>
      <c r="T126" t="s">
        <v>4740</v>
      </c>
    </row>
    <row r="127" spans="1:20" x14ac:dyDescent="0.25">
      <c r="A127" s="1" t="s">
        <v>4685</v>
      </c>
      <c r="B127" s="1" t="s">
        <v>4750</v>
      </c>
      <c r="C127" s="65" t="s">
        <v>554</v>
      </c>
      <c r="D127">
        <v>7.06</v>
      </c>
      <c r="E127" s="33">
        <f>IFERROR(J127/G127,"")</f>
        <v>7.0239999999999991</v>
      </c>
      <c r="F127" s="136">
        <f t="shared" si="11"/>
        <v>-5.0991501416431271E-3</v>
      </c>
      <c r="G127">
        <v>5</v>
      </c>
      <c r="H127" s="4" t="s">
        <v>3890</v>
      </c>
      <c r="I127" s="4" t="e">
        <v>#N/A</v>
      </c>
      <c r="J127" s="4">
        <v>35.119999999999997</v>
      </c>
      <c r="K127" s="4">
        <v>965.14285714285711</v>
      </c>
      <c r="T127" t="s">
        <v>4741</v>
      </c>
    </row>
    <row r="128" spans="1:20" x14ac:dyDescent="0.25">
      <c r="A128" t="s">
        <v>1778</v>
      </c>
      <c r="B128" t="s">
        <v>1753</v>
      </c>
      <c r="C128" t="s">
        <v>554</v>
      </c>
      <c r="D128">
        <v>1.5</v>
      </c>
      <c r="E128" s="10">
        <f>IFERROR(J128/G128,"")</f>
        <v>1.0679773321708805</v>
      </c>
      <c r="F128" s="136">
        <f t="shared" si="11"/>
        <v>-0.28801511188607964</v>
      </c>
      <c r="G128">
        <v>2.5</v>
      </c>
      <c r="H128" s="4" t="s">
        <v>3911</v>
      </c>
      <c r="I128" s="4">
        <v>3.75</v>
      </c>
      <c r="J128" s="4">
        <v>2.6699433304272016</v>
      </c>
      <c r="K128" s="4"/>
      <c r="T128" t="s">
        <v>4733</v>
      </c>
    </row>
    <row r="129" spans="1:20" x14ac:dyDescent="0.25">
      <c r="A129" t="s">
        <v>1106</v>
      </c>
      <c r="B129" t="s">
        <v>1752</v>
      </c>
      <c r="C129" t="s">
        <v>554</v>
      </c>
      <c r="D129">
        <v>1.1800000000000002</v>
      </c>
      <c r="E129" s="10">
        <f>IFERROR(J129/G129,"")</f>
        <v>0.95823016564952057</v>
      </c>
      <c r="F129" s="136">
        <f t="shared" si="11"/>
        <v>-0.18794053758515217</v>
      </c>
      <c r="G129">
        <v>2.5</v>
      </c>
      <c r="H129" s="4" t="s">
        <v>3911</v>
      </c>
      <c r="I129" s="4">
        <v>2.95</v>
      </c>
      <c r="J129" s="4">
        <v>2.3955754141238015</v>
      </c>
      <c r="K129" s="4"/>
      <c r="T129" t="s">
        <v>4733</v>
      </c>
    </row>
    <row r="130" spans="1:20" x14ac:dyDescent="0.25">
      <c r="A130" s="101" t="s">
        <v>1774</v>
      </c>
      <c r="B130" s="115" t="s">
        <v>4675</v>
      </c>
      <c r="D130">
        <v>0.52</v>
      </c>
      <c r="E130">
        <v>0.52</v>
      </c>
      <c r="F130" s="136">
        <f t="shared" si="11"/>
        <v>0</v>
      </c>
      <c r="H130" s="4" t="e">
        <v>#N/A</v>
      </c>
      <c r="I130" s="4" t="e">
        <v>#N/A</v>
      </c>
      <c r="J130" s="4" t="e">
        <v>#N/A</v>
      </c>
      <c r="K130" s="4"/>
      <c r="T130" t="s">
        <v>4742</v>
      </c>
    </row>
    <row r="131" spans="1:20" x14ac:dyDescent="0.25">
      <c r="A131" t="s">
        <v>4682</v>
      </c>
      <c r="B131" t="s">
        <v>4683</v>
      </c>
      <c r="C131" t="s">
        <v>554</v>
      </c>
      <c r="D131">
        <v>0.64</v>
      </c>
      <c r="E131" s="10">
        <f>IFERROR(J131/G131,"")</f>
        <v>0.55000000000000004</v>
      </c>
      <c r="F131" s="136">
        <f t="shared" si="11"/>
        <v>-0.14062499999999994</v>
      </c>
      <c r="G131">
        <v>25</v>
      </c>
      <c r="H131" s="4" t="s">
        <v>3976</v>
      </c>
      <c r="I131" s="4">
        <v>16</v>
      </c>
      <c r="J131" s="4">
        <v>13.75</v>
      </c>
      <c r="K131" s="4"/>
      <c r="T131" t="s">
        <v>4732</v>
      </c>
    </row>
    <row r="132" spans="1:20" x14ac:dyDescent="0.25">
      <c r="A132" t="s">
        <v>3750</v>
      </c>
      <c r="B132" t="s">
        <v>4684</v>
      </c>
      <c r="C132" t="s">
        <v>554</v>
      </c>
      <c r="D132">
        <v>0.89142857142857146</v>
      </c>
      <c r="E132" s="10">
        <f>IFERROR(J132/G132,"")</f>
        <v>1.34932702287541</v>
      </c>
      <c r="F132" s="136">
        <f t="shared" si="11"/>
        <v>0.51366813463587646</v>
      </c>
      <c r="G132">
        <v>7</v>
      </c>
      <c r="H132" s="4" t="s">
        <v>3927</v>
      </c>
      <c r="I132" s="4">
        <v>6.24</v>
      </c>
      <c r="J132" s="4">
        <v>9.445289160127869</v>
      </c>
      <c r="K132" s="4"/>
      <c r="T132" t="s">
        <v>4741</v>
      </c>
    </row>
    <row r="133" spans="1:20" x14ac:dyDescent="0.25">
      <c r="A133" t="s">
        <v>4685</v>
      </c>
      <c r="B133" t="s">
        <v>4686</v>
      </c>
      <c r="C133" t="s">
        <v>554</v>
      </c>
      <c r="D133">
        <v>7</v>
      </c>
      <c r="E133" s="10">
        <f>IFERROR(J133/G133,"")</f>
        <v>7.0239999999999991</v>
      </c>
      <c r="F133" s="136">
        <f t="shared" si="11"/>
        <v>3.4285714285713048E-3</v>
      </c>
      <c r="G133">
        <v>5</v>
      </c>
      <c r="H133" s="4" t="s">
        <v>3890</v>
      </c>
      <c r="I133" s="4">
        <v>35</v>
      </c>
      <c r="J133" s="4">
        <v>35.119999999999997</v>
      </c>
      <c r="K133" s="4"/>
      <c r="T133" t="s">
        <v>4741</v>
      </c>
    </row>
    <row r="134" spans="1:20" x14ac:dyDescent="0.25">
      <c r="A134" t="s">
        <v>1713</v>
      </c>
      <c r="B134" t="s">
        <v>4687</v>
      </c>
      <c r="C134" t="s">
        <v>554</v>
      </c>
      <c r="D134">
        <v>1.06</v>
      </c>
      <c r="E134" s="10">
        <f>IFERROR(J134/G134,"")</f>
        <v>1.02</v>
      </c>
      <c r="F134" s="136">
        <f t="shared" si="11"/>
        <v>-3.7735849056603807E-2</v>
      </c>
      <c r="G134">
        <v>5</v>
      </c>
      <c r="H134" s="4" t="s">
        <v>3914</v>
      </c>
      <c r="I134" s="4">
        <v>5.3</v>
      </c>
      <c r="J134" s="4">
        <v>5.0999999999999996</v>
      </c>
      <c r="K134" s="4"/>
      <c r="T134" t="s">
        <v>1750</v>
      </c>
    </row>
    <row r="135" spans="1:20" x14ac:dyDescent="0.25">
      <c r="A135" t="s">
        <v>2051</v>
      </c>
      <c r="B135" t="s">
        <v>2052</v>
      </c>
      <c r="C135" t="s">
        <v>554</v>
      </c>
      <c r="D135">
        <v>2</v>
      </c>
      <c r="E135" s="10">
        <f>IFERROR(J135/G135,"")</f>
        <v>1.9286586800847216</v>
      </c>
      <c r="F135" s="136">
        <f t="shared" si="11"/>
        <v>-3.5670659957639184E-2</v>
      </c>
      <c r="G135">
        <v>1.81</v>
      </c>
      <c r="H135" s="4" t="s">
        <v>3937</v>
      </c>
      <c r="J135" s="4">
        <v>3.4908722109533463</v>
      </c>
      <c r="K135" s="4"/>
      <c r="T135" t="s">
        <v>4739</v>
      </c>
    </row>
    <row r="136" spans="1:20" x14ac:dyDescent="0.25">
      <c r="A136" t="s">
        <v>4703</v>
      </c>
      <c r="B136" s="139" t="s">
        <v>4704</v>
      </c>
      <c r="C136" t="s">
        <v>554</v>
      </c>
      <c r="D136">
        <v>5</v>
      </c>
      <c r="E136" s="140">
        <f>D136</f>
        <v>5</v>
      </c>
      <c r="F136" s="136">
        <f t="shared" si="11"/>
        <v>0</v>
      </c>
      <c r="G136">
        <v>10</v>
      </c>
      <c r="H136" s="4" t="s">
        <v>3983</v>
      </c>
      <c r="I136">
        <v>50</v>
      </c>
      <c r="J136" s="4">
        <v>0</v>
      </c>
      <c r="K136" s="4">
        <v>42</v>
      </c>
      <c r="T136" t="s">
        <v>4733</v>
      </c>
    </row>
    <row r="137" spans="1:20" x14ac:dyDescent="0.25">
      <c r="A137" t="s">
        <v>1826</v>
      </c>
      <c r="B137" t="s">
        <v>1755</v>
      </c>
      <c r="C137" t="s">
        <v>554</v>
      </c>
      <c r="D137">
        <v>0.84615384615384615</v>
      </c>
      <c r="E137" s="33">
        <v>0.88942307692307687</v>
      </c>
      <c r="F137" s="136">
        <f t="shared" si="11"/>
        <v>5.1136363636363584E-2</v>
      </c>
      <c r="G137">
        <f>G31/16*12</f>
        <v>7.8000000000000007</v>
      </c>
      <c r="H137" s="4" t="s">
        <v>3923</v>
      </c>
      <c r="I137">
        <f>0.55*12</f>
        <v>6.6000000000000005</v>
      </c>
      <c r="J137" s="4">
        <v>0</v>
      </c>
      <c r="K137" s="4">
        <v>372.5</v>
      </c>
      <c r="T137" t="s">
        <v>4741</v>
      </c>
    </row>
    <row r="138" spans="1:20" x14ac:dyDescent="0.25">
      <c r="A138" t="s">
        <v>1853</v>
      </c>
      <c r="B138" s="139" t="s">
        <v>1758</v>
      </c>
      <c r="C138" s="1" t="s">
        <v>554</v>
      </c>
      <c r="D138">
        <v>0.86</v>
      </c>
      <c r="E138" s="140">
        <f>D138</f>
        <v>0.86</v>
      </c>
      <c r="F138" s="136">
        <f t="shared" si="11"/>
        <v>0</v>
      </c>
      <c r="G138">
        <v>600</v>
      </c>
      <c r="H138" s="4" t="s">
        <v>4759</v>
      </c>
      <c r="I138">
        <v>516</v>
      </c>
      <c r="J138" s="4">
        <v>0</v>
      </c>
      <c r="K138" s="4">
        <v>8</v>
      </c>
      <c r="T138" t="s">
        <v>4736</v>
      </c>
    </row>
    <row r="139" spans="1:20" x14ac:dyDescent="0.25">
      <c r="A139" t="s">
        <v>2468</v>
      </c>
      <c r="B139" t="s">
        <v>4715</v>
      </c>
      <c r="C139" t="s">
        <v>554</v>
      </c>
      <c r="D139">
        <v>3.73</v>
      </c>
      <c r="E139" s="10">
        <f>IFERROR(J139/G139,"")</f>
        <v>3.9000000000000004</v>
      </c>
      <c r="F139" s="136">
        <f t="shared" si="11"/>
        <v>4.5576407506702513E-2</v>
      </c>
      <c r="G139">
        <v>2</v>
      </c>
      <c r="H139" s="4" t="s">
        <v>4028</v>
      </c>
      <c r="J139" s="4">
        <v>7.8000000000000007</v>
      </c>
      <c r="K139" s="4"/>
      <c r="T139" t="s">
        <v>4741</v>
      </c>
    </row>
    <row r="144" spans="1:20" x14ac:dyDescent="0.25">
      <c r="C144" s="5"/>
    </row>
    <row r="145" spans="5:24" x14ac:dyDescent="0.25">
      <c r="G145">
        <f>G39/138</f>
        <v>0.10652173913043478</v>
      </c>
    </row>
    <row r="146" spans="5:24" x14ac:dyDescent="0.25">
      <c r="G146">
        <f>G145*40</f>
        <v>4.2608695652173907</v>
      </c>
    </row>
    <row r="147" spans="5:24" x14ac:dyDescent="0.25">
      <c r="E147" s="46"/>
      <c r="F147" s="46"/>
    </row>
    <row r="155" spans="5:24" x14ac:dyDescent="0.25">
      <c r="X155" s="4"/>
    </row>
  </sheetData>
  <autoFilter ref="A1:F155" xr:uid="{CA5E736C-F24A-43AD-A2BF-E54A26090AA6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9FE2-DF60-462F-84A5-1B5EEE0E8711}">
  <sheetPr codeName="Sheet5">
    <tabColor rgb="FF00B0F0"/>
  </sheetPr>
  <dimension ref="A1:P1209"/>
  <sheetViews>
    <sheetView workbookViewId="0">
      <selection activeCell="D256" sqref="D256"/>
    </sheetView>
  </sheetViews>
  <sheetFormatPr defaultRowHeight="15" x14ac:dyDescent="0.25"/>
  <cols>
    <col min="2" max="2" width="34.28515625" bestFit="1" customWidth="1"/>
    <col min="7" max="7" width="12.5703125" bestFit="1" customWidth="1"/>
    <col min="8" max="8" width="34.140625" bestFit="1" customWidth="1"/>
  </cols>
  <sheetData>
    <row r="1" spans="1:15" ht="15.75" thickBot="1" x14ac:dyDescent="0.3">
      <c r="A1" s="67" t="s">
        <v>0</v>
      </c>
      <c r="B1" s="67" t="s">
        <v>1903</v>
      </c>
      <c r="C1" s="67" t="s">
        <v>3872</v>
      </c>
      <c r="D1" s="68" t="s">
        <v>4299</v>
      </c>
      <c r="G1" s="7" t="s">
        <v>1111</v>
      </c>
      <c r="H1" s="7" t="s">
        <v>1112</v>
      </c>
      <c r="I1" s="8" t="s">
        <v>1113</v>
      </c>
      <c r="J1" s="9" t="s">
        <v>1114</v>
      </c>
      <c r="K1" s="1" t="s">
        <v>1678</v>
      </c>
      <c r="L1" s="1" t="s">
        <v>4300</v>
      </c>
      <c r="M1" s="9" t="s">
        <v>1114</v>
      </c>
      <c r="N1" s="1"/>
    </row>
    <row r="2" spans="1:15" x14ac:dyDescent="0.25">
      <c r="A2" t="s">
        <v>1904</v>
      </c>
      <c r="B2" t="s">
        <v>1905</v>
      </c>
      <c r="C2" t="s">
        <v>3873</v>
      </c>
      <c r="D2" s="69">
        <v>8.7582908482057054</v>
      </c>
      <c r="G2" s="1" t="s">
        <v>1119</v>
      </c>
      <c r="H2" s="1" t="s">
        <v>1120</v>
      </c>
      <c r="I2" s="1" t="s">
        <v>554</v>
      </c>
      <c r="J2" s="10">
        <v>0.83033707865168538</v>
      </c>
      <c r="K2" s="1">
        <v>14.78</v>
      </c>
      <c r="L2" s="1">
        <v>17.8</v>
      </c>
      <c r="M2" s="11">
        <v>0.83033707865168538</v>
      </c>
      <c r="N2" s="1">
        <v>1.19</v>
      </c>
    </row>
    <row r="3" spans="1:15" x14ac:dyDescent="0.25">
      <c r="A3" t="s">
        <v>1801</v>
      </c>
      <c r="B3" t="s">
        <v>1906</v>
      </c>
      <c r="C3" t="s">
        <v>3874</v>
      </c>
      <c r="D3" s="69">
        <v>22.52</v>
      </c>
      <c r="G3" s="1" t="s">
        <v>1139</v>
      </c>
      <c r="H3" s="1" t="s">
        <v>1140</v>
      </c>
      <c r="I3" s="1" t="s">
        <v>554</v>
      </c>
      <c r="J3" s="11">
        <v>2.2495833333333333</v>
      </c>
      <c r="K3" s="1" t="e">
        <v>#N/A</v>
      </c>
      <c r="L3" s="1"/>
      <c r="M3" s="1"/>
      <c r="N3" s="1">
        <v>1.22</v>
      </c>
    </row>
    <row r="4" spans="1:15" x14ac:dyDescent="0.25">
      <c r="A4" t="s">
        <v>1814</v>
      </c>
      <c r="B4" t="s">
        <v>1907</v>
      </c>
      <c r="C4" t="s">
        <v>3875</v>
      </c>
      <c r="D4" s="69">
        <v>5.5330882352941169</v>
      </c>
      <c r="G4" s="1" t="s">
        <v>1157</v>
      </c>
      <c r="H4" s="1" t="s">
        <v>1158</v>
      </c>
      <c r="I4" s="1" t="s">
        <v>554</v>
      </c>
      <c r="J4" s="10">
        <v>0.79</v>
      </c>
      <c r="K4" s="1">
        <v>14.22</v>
      </c>
      <c r="L4" s="1">
        <v>18</v>
      </c>
      <c r="M4" s="1">
        <v>0.79</v>
      </c>
      <c r="N4" s="1">
        <v>0.1</v>
      </c>
    </row>
    <row r="5" spans="1:15" x14ac:dyDescent="0.25">
      <c r="A5" t="s">
        <v>1908</v>
      </c>
      <c r="B5" t="s">
        <v>1909</v>
      </c>
      <c r="C5" t="s">
        <v>3876</v>
      </c>
      <c r="D5" s="69">
        <v>2.2519999999999998</v>
      </c>
      <c r="G5" s="1" t="s">
        <v>1171</v>
      </c>
      <c r="H5" s="1" t="s">
        <v>1172</v>
      </c>
      <c r="I5" s="1" t="s">
        <v>554</v>
      </c>
      <c r="J5" s="10">
        <v>4.3466666666666667</v>
      </c>
      <c r="K5" s="1">
        <v>13.04</v>
      </c>
      <c r="L5" s="1">
        <v>3</v>
      </c>
      <c r="M5" s="11">
        <v>4.3466666666666667</v>
      </c>
      <c r="N5" s="1">
        <v>1.58</v>
      </c>
    </row>
    <row r="6" spans="1:15" x14ac:dyDescent="0.25">
      <c r="A6" t="s">
        <v>1834</v>
      </c>
      <c r="B6" t="s">
        <v>1910</v>
      </c>
      <c r="C6" t="s">
        <v>3877</v>
      </c>
      <c r="D6" s="69">
        <v>0.4</v>
      </c>
      <c r="G6" s="1" t="s">
        <v>1175</v>
      </c>
      <c r="H6" s="1" t="s">
        <v>1176</v>
      </c>
      <c r="I6" s="1" t="s">
        <v>554</v>
      </c>
      <c r="J6" s="10">
        <v>0.87980769230769229</v>
      </c>
      <c r="K6" s="1">
        <v>9.15</v>
      </c>
      <c r="L6" s="1">
        <v>10.4</v>
      </c>
      <c r="M6" s="11">
        <v>0.87980769230769229</v>
      </c>
      <c r="N6" s="1">
        <v>0.57999999999999996</v>
      </c>
    </row>
    <row r="7" spans="1:15" x14ac:dyDescent="0.25">
      <c r="A7" t="s">
        <v>1911</v>
      </c>
      <c r="B7" t="s">
        <v>1912</v>
      </c>
      <c r="C7" t="s">
        <v>3878</v>
      </c>
      <c r="D7" s="69">
        <v>5.34</v>
      </c>
      <c r="G7" s="12" t="s">
        <v>1201</v>
      </c>
      <c r="H7" s="12" t="s">
        <v>1202</v>
      </c>
      <c r="I7" s="1" t="s">
        <v>554</v>
      </c>
      <c r="J7" s="11">
        <v>0.64</v>
      </c>
      <c r="K7" s="1" t="e">
        <v>#N/A</v>
      </c>
      <c r="L7" s="1"/>
      <c r="M7" s="1"/>
      <c r="N7" s="1">
        <v>0.64</v>
      </c>
    </row>
    <row r="8" spans="1:15" x14ac:dyDescent="0.25">
      <c r="A8" t="s">
        <v>1913</v>
      </c>
      <c r="B8" t="s">
        <v>1914</v>
      </c>
      <c r="C8" t="s">
        <v>3879</v>
      </c>
      <c r="D8" s="69">
        <v>0.78719654901962832</v>
      </c>
      <c r="G8" s="1" t="s">
        <v>1211</v>
      </c>
      <c r="H8" s="1" t="s">
        <v>1212</v>
      </c>
      <c r="I8" s="1" t="s">
        <v>554</v>
      </c>
      <c r="J8" s="10">
        <v>2.1153846153846154</v>
      </c>
      <c r="K8" s="1">
        <v>5.5</v>
      </c>
      <c r="L8" s="1">
        <v>2.6</v>
      </c>
      <c r="M8" s="11">
        <v>2.1153846153846154</v>
      </c>
      <c r="N8" s="1">
        <v>6.95</v>
      </c>
    </row>
    <row r="9" spans="1:15" x14ac:dyDescent="0.25">
      <c r="A9" t="s">
        <v>1839</v>
      </c>
      <c r="B9" t="s">
        <v>1915</v>
      </c>
      <c r="C9" t="s">
        <v>3880</v>
      </c>
      <c r="D9" s="69">
        <v>2.5652173913043481</v>
      </c>
      <c r="G9" s="1" t="s">
        <v>1213</v>
      </c>
      <c r="H9" s="1" t="s">
        <v>1214</v>
      </c>
      <c r="I9" s="1" t="s">
        <v>554</v>
      </c>
      <c r="J9" s="10">
        <v>1.2162162162162162</v>
      </c>
      <c r="K9" s="1">
        <v>18</v>
      </c>
      <c r="L9" s="1">
        <v>14.8</v>
      </c>
      <c r="M9" s="11">
        <v>1.2162162162162162</v>
      </c>
      <c r="N9" s="1">
        <v>0.45</v>
      </c>
    </row>
    <row r="10" spans="1:15" x14ac:dyDescent="0.25">
      <c r="A10" t="s">
        <v>1916</v>
      </c>
      <c r="B10" t="s">
        <v>1917</v>
      </c>
      <c r="C10" t="s">
        <v>3881</v>
      </c>
      <c r="D10" s="69">
        <v>1.1000000000000001</v>
      </c>
      <c r="G10" s="12" t="s">
        <v>1225</v>
      </c>
      <c r="H10" s="1" t="e">
        <v>#N/A</v>
      </c>
      <c r="I10" t="s">
        <v>554</v>
      </c>
      <c r="J10" s="4" t="e">
        <v>#N/A</v>
      </c>
      <c r="K10" s="1" t="e">
        <v>#N/A</v>
      </c>
      <c r="L10" s="1"/>
      <c r="M10" s="1"/>
      <c r="N10" s="1" t="e">
        <v>#N/A</v>
      </c>
    </row>
    <row r="11" spans="1:15" x14ac:dyDescent="0.25">
      <c r="A11" t="s">
        <v>1918</v>
      </c>
      <c r="B11" t="s">
        <v>1919</v>
      </c>
      <c r="C11" t="s">
        <v>3882</v>
      </c>
      <c r="D11" s="69">
        <v>9.6</v>
      </c>
      <c r="G11" s="1" t="s">
        <v>1226</v>
      </c>
      <c r="H11" s="1" t="s">
        <v>1227</v>
      </c>
      <c r="I11" t="s">
        <v>554</v>
      </c>
      <c r="J11" s="10">
        <v>1.3653846153846154</v>
      </c>
      <c r="K11" s="1">
        <v>10.65</v>
      </c>
      <c r="L11" s="1">
        <v>7.8</v>
      </c>
      <c r="M11" s="11">
        <v>1.3653846153846154</v>
      </c>
      <c r="N11" s="1" t="e">
        <v>#N/A</v>
      </c>
      <c r="O11">
        <f>L11/8</f>
        <v>0.97499999999999998</v>
      </c>
    </row>
    <row r="12" spans="1:15" x14ac:dyDescent="0.25">
      <c r="A12" t="s">
        <v>1793</v>
      </c>
      <c r="B12" t="s">
        <v>1920</v>
      </c>
      <c r="C12" t="s">
        <v>3883</v>
      </c>
      <c r="D12" s="69">
        <v>4.95</v>
      </c>
      <c r="G12" s="1" t="s">
        <v>1232</v>
      </c>
      <c r="H12" s="1" t="s">
        <v>1233</v>
      </c>
      <c r="I12" s="1" t="s">
        <v>554</v>
      </c>
      <c r="J12" s="10">
        <v>1.1152173913043479</v>
      </c>
      <c r="K12" s="1">
        <v>5.13</v>
      </c>
      <c r="L12" s="1">
        <v>4.5999999999999996</v>
      </c>
      <c r="M12" s="11">
        <v>1.1152173913043479</v>
      </c>
      <c r="N12" s="1">
        <v>0.55000000000000004</v>
      </c>
    </row>
    <row r="13" spans="1:15" x14ac:dyDescent="0.25">
      <c r="A13" t="s">
        <v>1921</v>
      </c>
      <c r="B13" t="s">
        <v>1922</v>
      </c>
      <c r="C13" t="s">
        <v>3879</v>
      </c>
      <c r="D13" s="69">
        <v>0.81411883126889151</v>
      </c>
      <c r="G13" s="1" t="s">
        <v>1238</v>
      </c>
      <c r="H13" s="1" t="s">
        <v>1239</v>
      </c>
      <c r="I13" s="1" t="s">
        <v>554</v>
      </c>
      <c r="J13" s="10">
        <v>3.6950000000000003</v>
      </c>
      <c r="K13" s="1">
        <v>22.17</v>
      </c>
      <c r="L13" s="1">
        <v>6</v>
      </c>
      <c r="M13" s="11">
        <v>3.6950000000000003</v>
      </c>
      <c r="N13" s="1">
        <v>2.06</v>
      </c>
    </row>
    <row r="14" spans="1:15" x14ac:dyDescent="0.25">
      <c r="A14" t="s">
        <v>1862</v>
      </c>
      <c r="B14" t="s">
        <v>1923</v>
      </c>
      <c r="C14" t="s">
        <v>3884</v>
      </c>
      <c r="D14" s="69">
        <v>6.4</v>
      </c>
      <c r="G14" s="12" t="s">
        <v>1240</v>
      </c>
      <c r="H14" s="12" t="s">
        <v>1241</v>
      </c>
      <c r="I14" s="1" t="s">
        <v>554</v>
      </c>
      <c r="J14" s="10">
        <v>2</v>
      </c>
      <c r="K14" s="1" t="e">
        <v>#N/A</v>
      </c>
      <c r="L14" s="1"/>
      <c r="M14" s="1">
        <v>2</v>
      </c>
      <c r="N14" s="1">
        <v>1.8</v>
      </c>
    </row>
    <row r="15" spans="1:15" x14ac:dyDescent="0.25">
      <c r="A15" t="s">
        <v>1924</v>
      </c>
      <c r="B15" t="s">
        <v>1925</v>
      </c>
      <c r="C15" t="s">
        <v>3885</v>
      </c>
      <c r="D15" s="69">
        <v>0.72981366459627339</v>
      </c>
      <c r="G15" s="1" t="s">
        <v>1242</v>
      </c>
      <c r="H15" s="1" t="s">
        <v>1243</v>
      </c>
      <c r="I15" s="1" t="s">
        <v>554</v>
      </c>
      <c r="J15" s="10">
        <v>1.9552631578947368</v>
      </c>
      <c r="K15" s="1">
        <v>7.43</v>
      </c>
      <c r="L15" s="1">
        <v>3.8</v>
      </c>
      <c r="M15" s="11">
        <v>1.9552631578947368</v>
      </c>
      <c r="N15" s="1" t="e">
        <v>#N/A</v>
      </c>
    </row>
    <row r="16" spans="1:15" x14ac:dyDescent="0.25">
      <c r="A16" t="s">
        <v>1828</v>
      </c>
      <c r="B16" t="s">
        <v>1926</v>
      </c>
      <c r="C16" t="s">
        <v>3886</v>
      </c>
      <c r="D16" s="69">
        <v>7.0855320926753533</v>
      </c>
      <c r="G16" s="1" t="s">
        <v>1260</v>
      </c>
      <c r="H16" s="1" t="s">
        <v>1261</v>
      </c>
      <c r="I16" s="1" t="s">
        <v>554</v>
      </c>
      <c r="J16" s="10">
        <v>0.89200000000000002</v>
      </c>
      <c r="K16" s="1">
        <v>2.23</v>
      </c>
      <c r="L16" s="1">
        <v>2.5</v>
      </c>
      <c r="M16" s="11">
        <v>0.89200000000000002</v>
      </c>
      <c r="N16" s="1">
        <v>0.78</v>
      </c>
    </row>
    <row r="17" spans="1:16" x14ac:dyDescent="0.25">
      <c r="A17" t="s">
        <v>1927</v>
      </c>
      <c r="B17" t="s">
        <v>1928</v>
      </c>
      <c r="C17" t="s">
        <v>3887</v>
      </c>
      <c r="D17" s="69">
        <v>3.89</v>
      </c>
      <c r="G17" s="1" t="s">
        <v>1262</v>
      </c>
      <c r="H17" s="1" t="s">
        <v>1263</v>
      </c>
      <c r="I17" s="1" t="s">
        <v>554</v>
      </c>
      <c r="J17" s="10">
        <v>1.9230769230769229</v>
      </c>
      <c r="K17" s="1">
        <v>5</v>
      </c>
      <c r="L17" s="1">
        <v>2.6</v>
      </c>
      <c r="M17" s="11">
        <v>1.9230769230769229</v>
      </c>
      <c r="N17" s="1">
        <v>0.32</v>
      </c>
    </row>
    <row r="18" spans="1:16" x14ac:dyDescent="0.25">
      <c r="A18" t="s">
        <v>1929</v>
      </c>
      <c r="B18" t="s">
        <v>1930</v>
      </c>
      <c r="C18" t="s">
        <v>3878</v>
      </c>
      <c r="D18" s="69">
        <v>1.4999999999999998</v>
      </c>
      <c r="G18" s="12" t="s">
        <v>1272</v>
      </c>
      <c r="H18" s="1" t="e">
        <v>#N/A</v>
      </c>
      <c r="I18" t="s">
        <v>554</v>
      </c>
      <c r="J18" s="4" t="e">
        <v>#N/A</v>
      </c>
      <c r="K18" s="1" t="e">
        <v>#N/A</v>
      </c>
      <c r="L18" s="1"/>
      <c r="M18" s="1"/>
      <c r="N18" s="1" t="e">
        <v>#N/A</v>
      </c>
    </row>
    <row r="19" spans="1:16" x14ac:dyDescent="0.25">
      <c r="A19" t="s">
        <v>1153</v>
      </c>
      <c r="B19" t="s">
        <v>1931</v>
      </c>
      <c r="C19" t="s">
        <v>3880</v>
      </c>
      <c r="D19" s="69">
        <v>8.8602564102564099</v>
      </c>
      <c r="G19" s="12" t="s">
        <v>1287</v>
      </c>
      <c r="H19" s="12" t="s">
        <v>1288</v>
      </c>
      <c r="I19" s="1" t="s">
        <v>554</v>
      </c>
      <c r="J19" s="11" t="e">
        <v>#N/A</v>
      </c>
      <c r="K19" s="1" t="e">
        <v>#N/A</v>
      </c>
      <c r="L19" s="1"/>
      <c r="M19" s="1"/>
      <c r="N19" s="1" t="e">
        <v>#N/A</v>
      </c>
    </row>
    <row r="20" spans="1:16" x14ac:dyDescent="0.25">
      <c r="A20" t="s">
        <v>1711</v>
      </c>
      <c r="B20" t="s">
        <v>1932</v>
      </c>
      <c r="C20" t="s">
        <v>3875</v>
      </c>
      <c r="D20" s="69">
        <v>5.6507352941176485</v>
      </c>
      <c r="G20" s="1" t="s">
        <v>1295</v>
      </c>
      <c r="H20" s="1" t="s">
        <v>1296</v>
      </c>
      <c r="I20" s="1" t="s">
        <v>554</v>
      </c>
      <c r="J20" s="10">
        <v>1.6174418604651164</v>
      </c>
      <c r="K20" s="1">
        <v>13.91</v>
      </c>
      <c r="L20" s="1">
        <v>8.6</v>
      </c>
      <c r="M20" s="11">
        <f>K20/L20</f>
        <v>1.6174418604651164</v>
      </c>
      <c r="N20" s="1">
        <v>0.77</v>
      </c>
      <c r="P20" s="4"/>
    </row>
    <row r="21" spans="1:16" x14ac:dyDescent="0.25">
      <c r="A21" t="s">
        <v>1933</v>
      </c>
      <c r="B21" t="s">
        <v>1934</v>
      </c>
      <c r="C21" t="s">
        <v>3888</v>
      </c>
      <c r="D21" s="69">
        <v>2.194</v>
      </c>
      <c r="G21" s="1" t="s">
        <v>1303</v>
      </c>
      <c r="H21" s="1" t="s">
        <v>1304</v>
      </c>
      <c r="I21" s="1" t="s">
        <v>554</v>
      </c>
      <c r="J21" s="10">
        <v>0.99399999999999999</v>
      </c>
      <c r="K21" s="1">
        <v>14.91</v>
      </c>
      <c r="L21" s="1">
        <v>15</v>
      </c>
      <c r="M21" s="11">
        <f>K21/L21</f>
        <v>0.99399999999999999</v>
      </c>
      <c r="N21" s="1" t="e">
        <v>#N/A</v>
      </c>
    </row>
    <row r="22" spans="1:16" x14ac:dyDescent="0.25">
      <c r="A22" t="s">
        <v>1935</v>
      </c>
      <c r="B22" t="s">
        <v>1936</v>
      </c>
      <c r="C22" t="s">
        <v>3889</v>
      </c>
      <c r="D22" s="69">
        <v>1.8550000000000002</v>
      </c>
      <c r="G22" s="12" t="s">
        <v>1307</v>
      </c>
      <c r="H22" s="1" t="s">
        <v>1308</v>
      </c>
      <c r="I22" t="s">
        <v>554</v>
      </c>
      <c r="J22" s="4" t="e">
        <v>#N/A</v>
      </c>
      <c r="K22" s="1">
        <v>11.64</v>
      </c>
      <c r="L22" s="1">
        <v>9.4634146341463428</v>
      </c>
      <c r="M22" s="11">
        <f>K22/L22</f>
        <v>1.23</v>
      </c>
      <c r="N22" s="1" t="e">
        <v>#N/A</v>
      </c>
    </row>
    <row r="23" spans="1:16" x14ac:dyDescent="0.25">
      <c r="A23" t="s">
        <v>1937</v>
      </c>
      <c r="B23" t="s">
        <v>1938</v>
      </c>
      <c r="C23" t="s">
        <v>3890</v>
      </c>
      <c r="D23" s="69">
        <v>11</v>
      </c>
      <c r="G23" s="12" t="s">
        <v>1315</v>
      </c>
      <c r="H23" s="12" t="s">
        <v>1316</v>
      </c>
      <c r="I23" s="1" t="s">
        <v>554</v>
      </c>
      <c r="J23" s="11" t="e">
        <v>#N/A</v>
      </c>
      <c r="K23" s="1" t="e">
        <v>#N/A</v>
      </c>
      <c r="L23" s="1"/>
      <c r="M23" s="1"/>
      <c r="N23" s="1">
        <v>9</v>
      </c>
    </row>
    <row r="24" spans="1:16" x14ac:dyDescent="0.25">
      <c r="A24" t="s">
        <v>1939</v>
      </c>
      <c r="B24" t="s">
        <v>1940</v>
      </c>
      <c r="C24" t="s">
        <v>3891</v>
      </c>
      <c r="D24" s="69">
        <v>1.2</v>
      </c>
      <c r="G24" t="s">
        <v>1338</v>
      </c>
      <c r="H24" t="s">
        <v>1339</v>
      </c>
      <c r="I24" t="s">
        <v>554</v>
      </c>
      <c r="J24">
        <v>0.64</v>
      </c>
      <c r="K24" s="1" t="e">
        <v>#N/A</v>
      </c>
      <c r="L24" s="1"/>
      <c r="M24" s="1"/>
      <c r="N24" s="1" t="e">
        <v>#N/A</v>
      </c>
    </row>
    <row r="25" spans="1:16" x14ac:dyDescent="0.25">
      <c r="A25" t="s">
        <v>1941</v>
      </c>
      <c r="B25" t="s">
        <v>1942</v>
      </c>
      <c r="C25" t="s">
        <v>3892</v>
      </c>
      <c r="D25" s="69">
        <v>3.15</v>
      </c>
    </row>
    <row r="26" spans="1:16" x14ac:dyDescent="0.25">
      <c r="A26" t="s">
        <v>1207</v>
      </c>
      <c r="B26" t="s">
        <v>1943</v>
      </c>
      <c r="C26" t="s">
        <v>3893</v>
      </c>
      <c r="D26" s="69">
        <v>7.25</v>
      </c>
    </row>
    <row r="27" spans="1:16" x14ac:dyDescent="0.25">
      <c r="A27" t="s">
        <v>1717</v>
      </c>
      <c r="B27" t="s">
        <v>1944</v>
      </c>
      <c r="C27" t="s">
        <v>3894</v>
      </c>
      <c r="D27" s="69">
        <v>4.3</v>
      </c>
    </row>
    <row r="28" spans="1:16" x14ac:dyDescent="0.25">
      <c r="A28" t="s">
        <v>1273</v>
      </c>
      <c r="B28" t="s">
        <v>1945</v>
      </c>
      <c r="C28" t="s">
        <v>3895</v>
      </c>
      <c r="D28" s="69">
        <v>7.4782608695652177</v>
      </c>
    </row>
    <row r="29" spans="1:16" x14ac:dyDescent="0.25">
      <c r="A29" t="s">
        <v>1946</v>
      </c>
      <c r="B29" t="s">
        <v>1947</v>
      </c>
      <c r="C29" t="s">
        <v>3896</v>
      </c>
      <c r="D29" s="69">
        <v>4.5999999999999996</v>
      </c>
    </row>
    <row r="30" spans="1:16" x14ac:dyDescent="0.25">
      <c r="A30" t="s">
        <v>1215</v>
      </c>
      <c r="B30" t="s">
        <v>1948</v>
      </c>
      <c r="C30" t="s">
        <v>3897</v>
      </c>
      <c r="D30" s="69">
        <v>13.250416666666668</v>
      </c>
    </row>
    <row r="31" spans="1:16" x14ac:dyDescent="0.25">
      <c r="A31" t="s">
        <v>1949</v>
      </c>
      <c r="B31" t="s">
        <v>1950</v>
      </c>
      <c r="C31" t="s">
        <v>3898</v>
      </c>
      <c r="D31" s="69">
        <v>8</v>
      </c>
    </row>
    <row r="32" spans="1:16" x14ac:dyDescent="0.25">
      <c r="A32" t="s">
        <v>1951</v>
      </c>
      <c r="B32" t="s">
        <v>1952</v>
      </c>
      <c r="C32" t="s">
        <v>3899</v>
      </c>
      <c r="D32" s="69">
        <v>2.35</v>
      </c>
    </row>
    <row r="33" spans="1:4" x14ac:dyDescent="0.25">
      <c r="A33" t="s">
        <v>1953</v>
      </c>
      <c r="B33" t="s">
        <v>1954</v>
      </c>
      <c r="C33" t="s">
        <v>3900</v>
      </c>
      <c r="D33" s="69">
        <v>11.9</v>
      </c>
    </row>
    <row r="34" spans="1:4" x14ac:dyDescent="0.25">
      <c r="A34" t="s">
        <v>1796</v>
      </c>
      <c r="B34" t="s">
        <v>1955</v>
      </c>
      <c r="C34" t="s">
        <v>3901</v>
      </c>
      <c r="D34" s="69">
        <v>10.217391304347828</v>
      </c>
    </row>
    <row r="35" spans="1:4" x14ac:dyDescent="0.25">
      <c r="A35" t="s">
        <v>1956</v>
      </c>
      <c r="B35" t="s">
        <v>1957</v>
      </c>
      <c r="C35" t="s">
        <v>3902</v>
      </c>
      <c r="D35" s="69">
        <v>9</v>
      </c>
    </row>
    <row r="36" spans="1:4" x14ac:dyDescent="0.25">
      <c r="A36" t="s">
        <v>1194</v>
      </c>
      <c r="B36" t="s">
        <v>1958</v>
      </c>
      <c r="C36" t="s">
        <v>3903</v>
      </c>
      <c r="D36" s="69">
        <v>11.5</v>
      </c>
    </row>
    <row r="37" spans="1:4" x14ac:dyDescent="0.25">
      <c r="A37" t="s">
        <v>1959</v>
      </c>
      <c r="B37" t="s">
        <v>1960</v>
      </c>
      <c r="C37" t="s">
        <v>3904</v>
      </c>
      <c r="D37" s="69">
        <v>14.9</v>
      </c>
    </row>
    <row r="38" spans="1:4" x14ac:dyDescent="0.25">
      <c r="A38" t="s">
        <v>1961</v>
      </c>
      <c r="B38" t="s">
        <v>1962</v>
      </c>
      <c r="C38" t="s">
        <v>3905</v>
      </c>
      <c r="D38" s="69">
        <v>4.304347826086957</v>
      </c>
    </row>
    <row r="39" spans="1:4" x14ac:dyDescent="0.25">
      <c r="A39" t="s">
        <v>1141</v>
      </c>
      <c r="B39" t="s">
        <v>1963</v>
      </c>
      <c r="C39" t="s">
        <v>3906</v>
      </c>
      <c r="D39" s="69">
        <v>13.79</v>
      </c>
    </row>
    <row r="40" spans="1:4" x14ac:dyDescent="0.25">
      <c r="A40" t="s">
        <v>1716</v>
      </c>
      <c r="B40" t="s">
        <v>1964</v>
      </c>
      <c r="C40" t="s">
        <v>3875</v>
      </c>
      <c r="D40" s="69">
        <v>5.9840686274509807</v>
      </c>
    </row>
    <row r="41" spans="1:4" x14ac:dyDescent="0.25">
      <c r="A41" t="s">
        <v>1965</v>
      </c>
      <c r="B41" t="s">
        <v>1966</v>
      </c>
      <c r="C41" t="s">
        <v>3907</v>
      </c>
      <c r="D41" s="69">
        <v>0.89166666666666661</v>
      </c>
    </row>
    <row r="42" spans="1:4" x14ac:dyDescent="0.25">
      <c r="A42" t="s">
        <v>1967</v>
      </c>
      <c r="B42" t="s">
        <v>1968</v>
      </c>
      <c r="C42" t="s">
        <v>3908</v>
      </c>
      <c r="D42" s="69">
        <v>0.70855320926753529</v>
      </c>
    </row>
    <row r="43" spans="1:4" x14ac:dyDescent="0.25">
      <c r="A43" t="s">
        <v>1969</v>
      </c>
      <c r="B43" t="s">
        <v>1970</v>
      </c>
      <c r="C43" t="s">
        <v>3909</v>
      </c>
      <c r="D43" s="69">
        <v>12.086956521739131</v>
      </c>
    </row>
    <row r="44" spans="1:4" x14ac:dyDescent="0.25">
      <c r="A44" t="s">
        <v>1971</v>
      </c>
      <c r="B44" t="s">
        <v>1972</v>
      </c>
      <c r="C44" t="s">
        <v>3891</v>
      </c>
      <c r="D44" s="69">
        <v>1.2983333333333333</v>
      </c>
    </row>
    <row r="45" spans="1:4" x14ac:dyDescent="0.25">
      <c r="A45" t="s">
        <v>1817</v>
      </c>
      <c r="B45" t="s">
        <v>1973</v>
      </c>
      <c r="C45" t="s">
        <v>3910</v>
      </c>
      <c r="D45" s="69">
        <v>7.92</v>
      </c>
    </row>
    <row r="46" spans="1:4" x14ac:dyDescent="0.25">
      <c r="A46" t="s">
        <v>1974</v>
      </c>
      <c r="B46" t="s">
        <v>1975</v>
      </c>
      <c r="C46" t="s">
        <v>3885</v>
      </c>
      <c r="D46" s="69">
        <v>2.1300694444444441</v>
      </c>
    </row>
    <row r="47" spans="1:4" x14ac:dyDescent="0.25">
      <c r="A47" t="s">
        <v>1976</v>
      </c>
      <c r="B47" t="s">
        <v>1977</v>
      </c>
      <c r="C47" t="s">
        <v>3896</v>
      </c>
      <c r="D47" s="69">
        <v>8.1393567945441099</v>
      </c>
    </row>
    <row r="48" spans="1:4" x14ac:dyDescent="0.25">
      <c r="A48" t="s">
        <v>1125</v>
      </c>
      <c r="B48" t="s">
        <v>1978</v>
      </c>
      <c r="C48" t="s">
        <v>3884</v>
      </c>
      <c r="D48" s="69">
        <v>4.2705432179183935</v>
      </c>
    </row>
    <row r="49" spans="1:4" x14ac:dyDescent="0.25">
      <c r="A49" t="s">
        <v>1979</v>
      </c>
      <c r="B49" t="s">
        <v>1980</v>
      </c>
      <c r="C49" t="s">
        <v>3878</v>
      </c>
      <c r="D49" s="69">
        <v>4.3099999999999996</v>
      </c>
    </row>
    <row r="50" spans="1:4" x14ac:dyDescent="0.25">
      <c r="A50" t="s">
        <v>1106</v>
      </c>
      <c r="B50" t="s">
        <v>1107</v>
      </c>
      <c r="C50" t="s">
        <v>3911</v>
      </c>
      <c r="D50" s="69">
        <v>3.06</v>
      </c>
    </row>
    <row r="51" spans="1:4" x14ac:dyDescent="0.25">
      <c r="A51" t="s">
        <v>1981</v>
      </c>
      <c r="B51" t="s">
        <v>1982</v>
      </c>
      <c r="C51" t="s">
        <v>3879</v>
      </c>
      <c r="D51" s="69">
        <v>0.53043478260869581</v>
      </c>
    </row>
    <row r="52" spans="1:4" x14ac:dyDescent="0.25">
      <c r="A52" t="s">
        <v>1983</v>
      </c>
      <c r="B52" t="s">
        <v>1984</v>
      </c>
      <c r="C52" t="s">
        <v>3912</v>
      </c>
      <c r="D52" s="69">
        <v>13.5</v>
      </c>
    </row>
    <row r="53" spans="1:4" x14ac:dyDescent="0.25">
      <c r="A53" t="s">
        <v>1985</v>
      </c>
      <c r="B53" t="s">
        <v>1986</v>
      </c>
      <c r="C53" t="s">
        <v>3913</v>
      </c>
      <c r="D53" s="69">
        <v>12.666666666666666</v>
      </c>
    </row>
    <row r="54" spans="1:4" x14ac:dyDescent="0.25">
      <c r="A54" t="s">
        <v>1987</v>
      </c>
      <c r="B54" t="s">
        <v>1988</v>
      </c>
      <c r="C54" t="s">
        <v>3876</v>
      </c>
      <c r="D54" s="69">
        <v>0.9</v>
      </c>
    </row>
    <row r="55" spans="1:4" x14ac:dyDescent="0.25">
      <c r="A55" t="s">
        <v>1989</v>
      </c>
      <c r="B55" t="s">
        <v>1990</v>
      </c>
      <c r="C55" t="s">
        <v>3885</v>
      </c>
      <c r="D55" s="69">
        <v>0.45833333333333331</v>
      </c>
    </row>
    <row r="56" spans="1:4" x14ac:dyDescent="0.25">
      <c r="A56" t="s">
        <v>1991</v>
      </c>
      <c r="B56" t="s">
        <v>1992</v>
      </c>
      <c r="C56" t="s">
        <v>3914</v>
      </c>
      <c r="D56" s="69">
        <v>6.5217391304347831</v>
      </c>
    </row>
    <row r="57" spans="1:4" x14ac:dyDescent="0.25">
      <c r="A57" t="s">
        <v>1714</v>
      </c>
      <c r="B57" t="s">
        <v>1993</v>
      </c>
      <c r="C57" t="s">
        <v>3915</v>
      </c>
      <c r="D57" s="69">
        <v>7.012000429350925</v>
      </c>
    </row>
    <row r="58" spans="1:4" x14ac:dyDescent="0.25">
      <c r="A58" t="s">
        <v>1994</v>
      </c>
      <c r="B58" t="s">
        <v>1995</v>
      </c>
      <c r="C58" t="s">
        <v>3914</v>
      </c>
      <c r="D58" s="69">
        <v>3.1025</v>
      </c>
    </row>
    <row r="59" spans="1:4" x14ac:dyDescent="0.25">
      <c r="A59" t="s">
        <v>1996</v>
      </c>
      <c r="B59" t="s">
        <v>1997</v>
      </c>
      <c r="C59" t="s">
        <v>3888</v>
      </c>
      <c r="D59" s="69">
        <v>1.4078571428571429</v>
      </c>
    </row>
    <row r="60" spans="1:4" x14ac:dyDescent="0.25">
      <c r="A60" t="s">
        <v>1998</v>
      </c>
      <c r="B60" t="s">
        <v>1999</v>
      </c>
      <c r="C60" t="s">
        <v>3879</v>
      </c>
      <c r="D60" s="69">
        <v>0.4</v>
      </c>
    </row>
    <row r="61" spans="1:4" x14ac:dyDescent="0.25">
      <c r="A61" t="s">
        <v>1190</v>
      </c>
      <c r="B61" t="s">
        <v>1191</v>
      </c>
      <c r="C61" t="s">
        <v>3916</v>
      </c>
      <c r="D61" s="69">
        <v>340</v>
      </c>
    </row>
    <row r="62" spans="1:4" x14ac:dyDescent="0.25">
      <c r="A62" t="s">
        <v>2000</v>
      </c>
      <c r="B62" t="s">
        <v>2001</v>
      </c>
      <c r="C62" t="s">
        <v>3876</v>
      </c>
      <c r="D62" s="69">
        <v>0.97250000000000003</v>
      </c>
    </row>
    <row r="63" spans="1:4" x14ac:dyDescent="0.25">
      <c r="A63" t="s">
        <v>1709</v>
      </c>
      <c r="B63" t="s">
        <v>1749</v>
      </c>
      <c r="C63" t="s">
        <v>3874</v>
      </c>
      <c r="D63" s="69">
        <v>6.5849468713105077</v>
      </c>
    </row>
    <row r="64" spans="1:4" x14ac:dyDescent="0.25">
      <c r="A64" t="s">
        <v>2002</v>
      </c>
      <c r="B64" t="s">
        <v>2003</v>
      </c>
      <c r="C64" t="s">
        <v>3879</v>
      </c>
      <c r="D64" s="69">
        <v>0.5906249820972278</v>
      </c>
    </row>
    <row r="65" spans="1:4" x14ac:dyDescent="0.25">
      <c r="A65" t="s">
        <v>2004</v>
      </c>
      <c r="B65" t="s">
        <v>2005</v>
      </c>
      <c r="C65" t="s">
        <v>3879</v>
      </c>
      <c r="D65" s="69">
        <v>0.97299365046890385</v>
      </c>
    </row>
    <row r="66" spans="1:4" x14ac:dyDescent="0.25">
      <c r="A66" t="s">
        <v>1143</v>
      </c>
      <c r="B66" t="s">
        <v>2006</v>
      </c>
      <c r="C66" t="s">
        <v>3917</v>
      </c>
      <c r="D66" s="69">
        <v>13.612500000000001</v>
      </c>
    </row>
    <row r="67" spans="1:4" x14ac:dyDescent="0.25">
      <c r="A67" t="s">
        <v>1203</v>
      </c>
      <c r="B67" t="s">
        <v>2007</v>
      </c>
      <c r="C67" t="s">
        <v>3918</v>
      </c>
      <c r="D67" s="69">
        <v>23</v>
      </c>
    </row>
    <row r="68" spans="1:4" x14ac:dyDescent="0.25">
      <c r="A68" t="s">
        <v>2008</v>
      </c>
      <c r="B68" t="s">
        <v>2009</v>
      </c>
      <c r="C68" t="s">
        <v>3879</v>
      </c>
      <c r="D68" s="69">
        <v>0.68583333333333341</v>
      </c>
    </row>
    <row r="69" spans="1:4" x14ac:dyDescent="0.25">
      <c r="A69" t="s">
        <v>2010</v>
      </c>
      <c r="B69" t="s">
        <v>2011</v>
      </c>
      <c r="C69" t="s">
        <v>3879</v>
      </c>
      <c r="D69" s="69">
        <v>0.59613222847403935</v>
      </c>
    </row>
    <row r="70" spans="1:4" x14ac:dyDescent="0.25">
      <c r="A70" t="s">
        <v>2012</v>
      </c>
      <c r="B70" t="s">
        <v>2013</v>
      </c>
      <c r="C70" t="s">
        <v>3919</v>
      </c>
      <c r="D70" s="69">
        <v>15.58</v>
      </c>
    </row>
    <row r="71" spans="1:4" x14ac:dyDescent="0.25">
      <c r="A71" t="s">
        <v>2014</v>
      </c>
      <c r="B71" t="s">
        <v>2015</v>
      </c>
      <c r="C71" t="s">
        <v>3879</v>
      </c>
      <c r="D71" s="69">
        <v>0.41000000000000003</v>
      </c>
    </row>
    <row r="72" spans="1:4" x14ac:dyDescent="0.25">
      <c r="A72" t="s">
        <v>2016</v>
      </c>
      <c r="B72" t="s">
        <v>2017</v>
      </c>
      <c r="C72" t="s">
        <v>3878</v>
      </c>
      <c r="D72" s="69">
        <v>6.9</v>
      </c>
    </row>
    <row r="73" spans="1:4" x14ac:dyDescent="0.25">
      <c r="A73" t="s">
        <v>2018</v>
      </c>
      <c r="B73" t="s">
        <v>2019</v>
      </c>
      <c r="C73" t="s">
        <v>3920</v>
      </c>
      <c r="D73" s="69">
        <v>8.1</v>
      </c>
    </row>
    <row r="74" spans="1:4" x14ac:dyDescent="0.25">
      <c r="A74" t="s">
        <v>2020</v>
      </c>
      <c r="B74" t="s">
        <v>2021</v>
      </c>
      <c r="C74" t="s">
        <v>3921</v>
      </c>
      <c r="D74" s="69">
        <v>13.38</v>
      </c>
    </row>
    <row r="75" spans="1:4" x14ac:dyDescent="0.25">
      <c r="A75" t="s">
        <v>2022</v>
      </c>
      <c r="B75" t="s">
        <v>2023</v>
      </c>
      <c r="C75" t="s">
        <v>3922</v>
      </c>
      <c r="D75" s="69">
        <v>1.7083333333333333</v>
      </c>
    </row>
    <row r="76" spans="1:4" x14ac:dyDescent="0.25">
      <c r="A76" t="s">
        <v>2024</v>
      </c>
      <c r="B76" t="s">
        <v>2025</v>
      </c>
      <c r="C76" t="s">
        <v>3876</v>
      </c>
      <c r="D76" s="69">
        <v>0.65849468713105075</v>
      </c>
    </row>
    <row r="77" spans="1:4" x14ac:dyDescent="0.25">
      <c r="A77" t="s">
        <v>1232</v>
      </c>
      <c r="B77" t="s">
        <v>2026</v>
      </c>
      <c r="C77" t="s">
        <v>3923</v>
      </c>
      <c r="D77" s="69">
        <v>5.1304347826086962</v>
      </c>
    </row>
    <row r="78" spans="1:4" x14ac:dyDescent="0.25">
      <c r="A78" t="s">
        <v>2027</v>
      </c>
      <c r="B78" t="s">
        <v>2028</v>
      </c>
      <c r="C78" t="s">
        <v>3924</v>
      </c>
      <c r="D78" s="69">
        <v>6.7</v>
      </c>
    </row>
    <row r="79" spans="1:4" x14ac:dyDescent="0.25">
      <c r="A79" t="s">
        <v>2029</v>
      </c>
      <c r="B79" t="s">
        <v>2030</v>
      </c>
      <c r="C79" t="s">
        <v>3925</v>
      </c>
      <c r="D79" s="69">
        <v>0.6</v>
      </c>
    </row>
    <row r="80" spans="1:4" x14ac:dyDescent="0.25">
      <c r="A80" t="s">
        <v>2031</v>
      </c>
      <c r="B80" t="s">
        <v>2032</v>
      </c>
      <c r="C80" t="s">
        <v>3926</v>
      </c>
      <c r="D80" s="69">
        <v>16.34</v>
      </c>
    </row>
    <row r="81" spans="1:4" x14ac:dyDescent="0.25">
      <c r="A81" t="s">
        <v>2033</v>
      </c>
      <c r="B81" t="s">
        <v>2034</v>
      </c>
      <c r="C81" t="s">
        <v>3927</v>
      </c>
      <c r="D81" s="69">
        <v>1.35</v>
      </c>
    </row>
    <row r="82" spans="1:4" x14ac:dyDescent="0.25">
      <c r="A82" t="s">
        <v>2035</v>
      </c>
      <c r="B82" t="s">
        <v>2036</v>
      </c>
      <c r="C82" t="s">
        <v>3928</v>
      </c>
      <c r="D82" s="69">
        <v>3.0750000000000002</v>
      </c>
    </row>
    <row r="83" spans="1:4" x14ac:dyDescent="0.25">
      <c r="A83" t="s">
        <v>2037</v>
      </c>
      <c r="B83" t="s">
        <v>2038</v>
      </c>
      <c r="C83" t="s">
        <v>3929</v>
      </c>
      <c r="D83" s="69">
        <v>1.8083333333333331</v>
      </c>
    </row>
    <row r="84" spans="1:4" x14ac:dyDescent="0.25">
      <c r="A84" t="s">
        <v>1135</v>
      </c>
      <c r="B84" t="s">
        <v>2039</v>
      </c>
      <c r="C84" t="s">
        <v>3930</v>
      </c>
      <c r="D84" s="69">
        <v>8.0293615404620358</v>
      </c>
    </row>
    <row r="85" spans="1:4" x14ac:dyDescent="0.25">
      <c r="A85" t="s">
        <v>1838</v>
      </c>
      <c r="B85" t="s">
        <v>2040</v>
      </c>
      <c r="C85" t="s">
        <v>3931</v>
      </c>
      <c r="D85" s="69">
        <v>2.4750000000000001</v>
      </c>
    </row>
    <row r="86" spans="1:4" x14ac:dyDescent="0.25">
      <c r="A86" t="s">
        <v>2041</v>
      </c>
      <c r="B86" t="s">
        <v>2042</v>
      </c>
      <c r="C86" t="s">
        <v>3922</v>
      </c>
      <c r="D86" s="69">
        <v>2.23</v>
      </c>
    </row>
    <row r="87" spans="1:4" x14ac:dyDescent="0.25">
      <c r="A87" t="s">
        <v>2043</v>
      </c>
      <c r="B87" t="s">
        <v>2044</v>
      </c>
      <c r="C87" t="s">
        <v>3932</v>
      </c>
      <c r="D87" s="69">
        <v>9.8000000000000007</v>
      </c>
    </row>
    <row r="88" spans="1:4" x14ac:dyDescent="0.25">
      <c r="A88" t="s">
        <v>1157</v>
      </c>
      <c r="B88" t="s">
        <v>2045</v>
      </c>
      <c r="C88" t="s">
        <v>3933</v>
      </c>
      <c r="D88" s="69">
        <v>14.223214285714288</v>
      </c>
    </row>
    <row r="89" spans="1:4" x14ac:dyDescent="0.25">
      <c r="A89" t="s">
        <v>2046</v>
      </c>
      <c r="B89" t="s">
        <v>2047</v>
      </c>
      <c r="C89" t="s">
        <v>3934</v>
      </c>
      <c r="D89" s="69">
        <v>2.2275</v>
      </c>
    </row>
    <row r="90" spans="1:4" x14ac:dyDescent="0.25">
      <c r="A90" t="s">
        <v>2048</v>
      </c>
      <c r="B90" t="s">
        <v>2049</v>
      </c>
      <c r="C90" t="s">
        <v>3935</v>
      </c>
      <c r="D90" s="69">
        <v>3.3694444444444445</v>
      </c>
    </row>
    <row r="91" spans="1:4" x14ac:dyDescent="0.25">
      <c r="A91" t="s">
        <v>1175</v>
      </c>
      <c r="B91" t="s">
        <v>2050</v>
      </c>
      <c r="C91" t="s">
        <v>3936</v>
      </c>
      <c r="D91" s="69">
        <v>9.15</v>
      </c>
    </row>
    <row r="92" spans="1:4" x14ac:dyDescent="0.25">
      <c r="A92" t="s">
        <v>2051</v>
      </c>
      <c r="B92" t="s">
        <v>2052</v>
      </c>
      <c r="C92" t="s">
        <v>3937</v>
      </c>
      <c r="D92" s="69">
        <v>3.5194444444444448</v>
      </c>
    </row>
    <row r="93" spans="1:4" x14ac:dyDescent="0.25">
      <c r="A93" t="s">
        <v>2053</v>
      </c>
      <c r="B93" t="s">
        <v>2054</v>
      </c>
      <c r="C93" t="s">
        <v>3938</v>
      </c>
      <c r="D93" s="69">
        <v>4.509444444444445</v>
      </c>
    </row>
    <row r="94" spans="1:4" x14ac:dyDescent="0.25">
      <c r="A94" t="s">
        <v>2055</v>
      </c>
      <c r="B94" t="s">
        <v>2056</v>
      </c>
      <c r="C94" t="s">
        <v>3939</v>
      </c>
      <c r="D94" s="69">
        <v>3.2</v>
      </c>
    </row>
    <row r="95" spans="1:4" x14ac:dyDescent="0.25">
      <c r="A95" t="s">
        <v>2057</v>
      </c>
      <c r="B95" t="s">
        <v>2058</v>
      </c>
      <c r="C95" t="s">
        <v>3876</v>
      </c>
      <c r="D95" s="69">
        <v>1.1260869565217391</v>
      </c>
    </row>
    <row r="96" spans="1:4" x14ac:dyDescent="0.25">
      <c r="A96" t="s">
        <v>2059</v>
      </c>
      <c r="B96" t="s">
        <v>2060</v>
      </c>
      <c r="C96" t="s">
        <v>3931</v>
      </c>
      <c r="D96" s="69">
        <v>3.8899999999999997</v>
      </c>
    </row>
    <row r="97" spans="1:4" x14ac:dyDescent="0.25">
      <c r="A97" t="s">
        <v>2061</v>
      </c>
      <c r="B97" t="s">
        <v>2062</v>
      </c>
      <c r="C97" t="s">
        <v>3940</v>
      </c>
      <c r="D97" s="69">
        <v>8.2002564102564097</v>
      </c>
    </row>
    <row r="98" spans="1:4" x14ac:dyDescent="0.25">
      <c r="A98" t="s">
        <v>2063</v>
      </c>
      <c r="B98" t="s">
        <v>2064</v>
      </c>
      <c r="C98" t="s">
        <v>3923</v>
      </c>
      <c r="D98" s="69">
        <v>5.7408309615156998</v>
      </c>
    </row>
    <row r="99" spans="1:4" x14ac:dyDescent="0.25">
      <c r="A99" t="s">
        <v>2065</v>
      </c>
      <c r="B99" t="s">
        <v>2066</v>
      </c>
      <c r="C99" t="s">
        <v>3879</v>
      </c>
      <c r="D99" s="69">
        <v>0.55000000000000004</v>
      </c>
    </row>
    <row r="100" spans="1:4" x14ac:dyDescent="0.25">
      <c r="A100" t="s">
        <v>2067</v>
      </c>
      <c r="B100" t="s">
        <v>2068</v>
      </c>
      <c r="C100" t="s">
        <v>3941</v>
      </c>
      <c r="D100" s="69">
        <v>1.0125</v>
      </c>
    </row>
    <row r="101" spans="1:4" x14ac:dyDescent="0.25">
      <c r="A101" t="s">
        <v>1234</v>
      </c>
      <c r="B101" t="s">
        <v>2069</v>
      </c>
      <c r="C101" t="s">
        <v>3942</v>
      </c>
      <c r="D101" s="69">
        <v>5.9998490338164254</v>
      </c>
    </row>
    <row r="102" spans="1:4" x14ac:dyDescent="0.25">
      <c r="A102" t="s">
        <v>2070</v>
      </c>
      <c r="B102" t="s">
        <v>2071</v>
      </c>
      <c r="C102" t="s">
        <v>3943</v>
      </c>
      <c r="D102" s="69">
        <v>6.9014264961639906</v>
      </c>
    </row>
    <row r="103" spans="1:4" x14ac:dyDescent="0.25">
      <c r="A103" t="s">
        <v>2072</v>
      </c>
      <c r="B103" t="s">
        <v>2073</v>
      </c>
      <c r="C103" t="s">
        <v>3888</v>
      </c>
      <c r="D103" s="69">
        <v>1.9166666666666667</v>
      </c>
    </row>
    <row r="104" spans="1:4" x14ac:dyDescent="0.25">
      <c r="A104" t="s">
        <v>2074</v>
      </c>
      <c r="B104" t="s">
        <v>2075</v>
      </c>
      <c r="C104" t="s">
        <v>3944</v>
      </c>
      <c r="D104" s="69">
        <v>6.3</v>
      </c>
    </row>
    <row r="105" spans="1:4" x14ac:dyDescent="0.25">
      <c r="A105" t="s">
        <v>2076</v>
      </c>
      <c r="B105" t="s">
        <v>2077</v>
      </c>
      <c r="C105" t="s">
        <v>3879</v>
      </c>
      <c r="D105" s="69">
        <v>0.61043478260869566</v>
      </c>
    </row>
    <row r="106" spans="1:4" x14ac:dyDescent="0.25">
      <c r="A106" t="s">
        <v>1831</v>
      </c>
      <c r="B106" t="s">
        <v>1128</v>
      </c>
      <c r="C106" t="s">
        <v>3945</v>
      </c>
      <c r="D106" s="69">
        <v>9.3541550134987439</v>
      </c>
    </row>
    <row r="107" spans="1:4" x14ac:dyDescent="0.25">
      <c r="A107" t="s">
        <v>1149</v>
      </c>
      <c r="B107" t="s">
        <v>2078</v>
      </c>
      <c r="C107" t="s">
        <v>3944</v>
      </c>
      <c r="D107" s="69">
        <v>7</v>
      </c>
    </row>
    <row r="108" spans="1:4" x14ac:dyDescent="0.25">
      <c r="A108" t="s">
        <v>2079</v>
      </c>
      <c r="B108" t="s">
        <v>2080</v>
      </c>
      <c r="C108" t="s">
        <v>3946</v>
      </c>
      <c r="D108" s="69">
        <v>3.6446827348317079</v>
      </c>
    </row>
    <row r="109" spans="1:4" x14ac:dyDescent="0.25">
      <c r="A109" t="s">
        <v>2081</v>
      </c>
      <c r="B109" t="s">
        <v>2082</v>
      </c>
      <c r="C109" t="s">
        <v>3888</v>
      </c>
      <c r="D109" s="69">
        <v>2.8816666666666668</v>
      </c>
    </row>
    <row r="110" spans="1:4" x14ac:dyDescent="0.25">
      <c r="A110" t="s">
        <v>1804</v>
      </c>
      <c r="B110" t="s">
        <v>2083</v>
      </c>
      <c r="C110" t="s">
        <v>3947</v>
      </c>
      <c r="D110" s="69">
        <v>6.3788932783694046</v>
      </c>
    </row>
    <row r="111" spans="1:4" x14ac:dyDescent="0.25">
      <c r="A111" t="s">
        <v>2084</v>
      </c>
      <c r="B111" t="s">
        <v>2085</v>
      </c>
      <c r="C111" t="s">
        <v>3920</v>
      </c>
      <c r="D111" s="69">
        <v>8.1</v>
      </c>
    </row>
    <row r="112" spans="1:4" x14ac:dyDescent="0.25">
      <c r="A112" t="s">
        <v>2086</v>
      </c>
      <c r="B112" t="s">
        <v>2087</v>
      </c>
      <c r="C112" t="s">
        <v>3948</v>
      </c>
      <c r="D112" s="69">
        <v>5.5</v>
      </c>
    </row>
    <row r="113" spans="1:4" x14ac:dyDescent="0.25">
      <c r="A113" t="s">
        <v>2088</v>
      </c>
      <c r="B113" t="s">
        <v>2089</v>
      </c>
      <c r="C113" t="s">
        <v>3949</v>
      </c>
      <c r="D113" s="69">
        <v>7.0977191679049065</v>
      </c>
    </row>
    <row r="114" spans="1:4" x14ac:dyDescent="0.25">
      <c r="A114" t="s">
        <v>2090</v>
      </c>
      <c r="B114" t="s">
        <v>2091</v>
      </c>
      <c r="C114" t="s">
        <v>3893</v>
      </c>
      <c r="D114" s="69">
        <v>7.35</v>
      </c>
    </row>
    <row r="115" spans="1:4" x14ac:dyDescent="0.25">
      <c r="A115" t="s">
        <v>2092</v>
      </c>
      <c r="B115" t="s">
        <v>2093</v>
      </c>
      <c r="C115" t="s">
        <v>3888</v>
      </c>
      <c r="D115" s="69">
        <v>1.42</v>
      </c>
    </row>
    <row r="116" spans="1:4" x14ac:dyDescent="0.25">
      <c r="A116" t="s">
        <v>2094</v>
      </c>
      <c r="B116" t="s">
        <v>2095</v>
      </c>
      <c r="C116" t="s">
        <v>3921</v>
      </c>
      <c r="D116" s="69">
        <v>10.25</v>
      </c>
    </row>
    <row r="117" spans="1:4" x14ac:dyDescent="0.25">
      <c r="A117" t="s">
        <v>2096</v>
      </c>
      <c r="B117" t="s">
        <v>2097</v>
      </c>
      <c r="C117" t="s">
        <v>3930</v>
      </c>
      <c r="D117" s="69">
        <v>6.4620004293509252</v>
      </c>
    </row>
    <row r="118" spans="1:4" x14ac:dyDescent="0.25">
      <c r="A118" t="s">
        <v>2098</v>
      </c>
      <c r="B118" t="s">
        <v>2099</v>
      </c>
      <c r="C118" t="s">
        <v>3908</v>
      </c>
      <c r="D118" s="69">
        <v>1.0250320512820512</v>
      </c>
    </row>
    <row r="119" spans="1:4" x14ac:dyDescent="0.25">
      <c r="A119" t="s">
        <v>1778</v>
      </c>
      <c r="B119" t="s">
        <v>1763</v>
      </c>
      <c r="C119" t="s">
        <v>3911</v>
      </c>
      <c r="D119" s="69">
        <v>4.09</v>
      </c>
    </row>
    <row r="120" spans="1:4" x14ac:dyDescent="0.25">
      <c r="A120" t="s">
        <v>2100</v>
      </c>
      <c r="B120" t="s">
        <v>2101</v>
      </c>
      <c r="C120" t="s">
        <v>3950</v>
      </c>
      <c r="D120" s="69">
        <v>7.03125</v>
      </c>
    </row>
    <row r="121" spans="1:4" x14ac:dyDescent="0.25">
      <c r="A121" t="s">
        <v>1127</v>
      </c>
      <c r="B121" t="s">
        <v>1128</v>
      </c>
      <c r="C121" t="s">
        <v>3945</v>
      </c>
      <c r="D121" s="69">
        <v>9.3541550134987439</v>
      </c>
    </row>
    <row r="122" spans="1:4" x14ac:dyDescent="0.25">
      <c r="A122" t="s">
        <v>2102</v>
      </c>
      <c r="B122" t="s">
        <v>2103</v>
      </c>
      <c r="C122" t="s">
        <v>3881</v>
      </c>
      <c r="D122" s="69">
        <v>0.71580193565658679</v>
      </c>
    </row>
    <row r="123" spans="1:4" x14ac:dyDescent="0.25">
      <c r="A123" t="s">
        <v>1313</v>
      </c>
      <c r="B123" t="s">
        <v>1314</v>
      </c>
      <c r="C123" t="s">
        <v>3951</v>
      </c>
      <c r="D123" s="69">
        <v>58.626666666666665</v>
      </c>
    </row>
    <row r="124" spans="1:4" x14ac:dyDescent="0.25">
      <c r="A124" t="s">
        <v>1712</v>
      </c>
      <c r="B124" t="s">
        <v>2104</v>
      </c>
      <c r="C124" t="s">
        <v>3906</v>
      </c>
      <c r="D124" s="69">
        <v>4.6524651972157773</v>
      </c>
    </row>
    <row r="125" spans="1:4" x14ac:dyDescent="0.25">
      <c r="A125" t="s">
        <v>1305</v>
      </c>
      <c r="B125" t="s">
        <v>1306</v>
      </c>
      <c r="C125" t="s">
        <v>3943</v>
      </c>
      <c r="D125" s="69">
        <v>3.65</v>
      </c>
    </row>
    <row r="126" spans="1:4" x14ac:dyDescent="0.25">
      <c r="A126" t="s">
        <v>1121</v>
      </c>
      <c r="B126" t="s">
        <v>2105</v>
      </c>
      <c r="C126" t="s">
        <v>3951</v>
      </c>
      <c r="D126" s="69">
        <v>9.2200000000000006</v>
      </c>
    </row>
    <row r="127" spans="1:4" x14ac:dyDescent="0.25">
      <c r="A127" t="s">
        <v>2106</v>
      </c>
      <c r="B127" t="s">
        <v>2107</v>
      </c>
      <c r="C127" t="s">
        <v>3952</v>
      </c>
      <c r="D127" s="69">
        <v>8.35</v>
      </c>
    </row>
    <row r="128" spans="1:4" x14ac:dyDescent="0.25">
      <c r="A128" t="s">
        <v>2108</v>
      </c>
      <c r="B128" t="s">
        <v>2109</v>
      </c>
      <c r="C128" t="s">
        <v>3888</v>
      </c>
      <c r="D128" s="69">
        <v>2.056</v>
      </c>
    </row>
    <row r="129" spans="1:4" x14ac:dyDescent="0.25">
      <c r="A129" t="s">
        <v>2110</v>
      </c>
      <c r="B129" t="s">
        <v>2111</v>
      </c>
      <c r="C129" t="s">
        <v>3885</v>
      </c>
      <c r="D129" s="69">
        <v>0.79736165979617557</v>
      </c>
    </row>
    <row r="130" spans="1:4" x14ac:dyDescent="0.25">
      <c r="A130" t="s">
        <v>2112</v>
      </c>
      <c r="B130" t="s">
        <v>2113</v>
      </c>
      <c r="C130" t="s">
        <v>3953</v>
      </c>
      <c r="D130" s="69">
        <v>4.4147966749938901</v>
      </c>
    </row>
    <row r="131" spans="1:4" x14ac:dyDescent="0.25">
      <c r="A131" t="s">
        <v>2114</v>
      </c>
      <c r="B131" t="s">
        <v>2115</v>
      </c>
      <c r="C131" t="s">
        <v>3954</v>
      </c>
      <c r="D131" s="69">
        <v>18.600000000000001</v>
      </c>
    </row>
    <row r="132" spans="1:4" x14ac:dyDescent="0.25">
      <c r="A132" t="s">
        <v>2116</v>
      </c>
      <c r="B132" t="s">
        <v>2117</v>
      </c>
      <c r="C132" t="s">
        <v>3885</v>
      </c>
      <c r="D132" s="69">
        <v>0.53415996565821899</v>
      </c>
    </row>
    <row r="133" spans="1:4" x14ac:dyDescent="0.25">
      <c r="A133" t="s">
        <v>2118</v>
      </c>
      <c r="B133" t="s">
        <v>2119</v>
      </c>
      <c r="C133" t="s">
        <v>3885</v>
      </c>
      <c r="D133" s="69">
        <v>0.56775176269359839</v>
      </c>
    </row>
    <row r="134" spans="1:4" x14ac:dyDescent="0.25">
      <c r="A134" t="s">
        <v>2120</v>
      </c>
      <c r="B134" t="s">
        <v>2121</v>
      </c>
      <c r="C134" t="s">
        <v>3925</v>
      </c>
      <c r="D134" s="69">
        <v>2.2999999999999998</v>
      </c>
    </row>
    <row r="135" spans="1:4" x14ac:dyDescent="0.25">
      <c r="A135" t="s">
        <v>2122</v>
      </c>
      <c r="B135" t="s">
        <v>2123</v>
      </c>
      <c r="C135" t="s">
        <v>3885</v>
      </c>
      <c r="D135" s="69">
        <v>0.57187500000000002</v>
      </c>
    </row>
    <row r="136" spans="1:4" x14ac:dyDescent="0.25">
      <c r="A136" t="s">
        <v>1809</v>
      </c>
      <c r="B136" t="s">
        <v>2124</v>
      </c>
      <c r="C136" t="s">
        <v>3902</v>
      </c>
      <c r="D136" s="69">
        <v>1.02</v>
      </c>
    </row>
    <row r="137" spans="1:4" x14ac:dyDescent="0.25">
      <c r="A137" t="s">
        <v>2125</v>
      </c>
      <c r="B137" t="s">
        <v>2126</v>
      </c>
      <c r="C137" t="s">
        <v>3881</v>
      </c>
      <c r="D137" s="69">
        <v>1.2173913043478264</v>
      </c>
    </row>
    <row r="138" spans="1:4" x14ac:dyDescent="0.25">
      <c r="A138" t="s">
        <v>2127</v>
      </c>
      <c r="B138" t="s">
        <v>2128</v>
      </c>
      <c r="C138" t="s">
        <v>3955</v>
      </c>
      <c r="D138" s="69">
        <v>4.957693091300543</v>
      </c>
    </row>
    <row r="139" spans="1:4" x14ac:dyDescent="0.25">
      <c r="A139" t="s">
        <v>1840</v>
      </c>
      <c r="B139" t="s">
        <v>2129</v>
      </c>
      <c r="C139" t="s">
        <v>3956</v>
      </c>
      <c r="D139" s="69">
        <v>3.6</v>
      </c>
    </row>
    <row r="140" spans="1:4" x14ac:dyDescent="0.25">
      <c r="A140" t="s">
        <v>1787</v>
      </c>
      <c r="B140" t="s">
        <v>2130</v>
      </c>
      <c r="C140" t="s">
        <v>3957</v>
      </c>
      <c r="D140" s="69">
        <v>3.2825000000000002</v>
      </c>
    </row>
    <row r="141" spans="1:4" x14ac:dyDescent="0.25">
      <c r="A141" t="s">
        <v>2131</v>
      </c>
      <c r="B141" t="s">
        <v>2132</v>
      </c>
      <c r="C141" t="s">
        <v>3885</v>
      </c>
      <c r="D141" s="69">
        <v>0.46524651972157771</v>
      </c>
    </row>
    <row r="142" spans="1:4" x14ac:dyDescent="0.25">
      <c r="A142" t="s">
        <v>2133</v>
      </c>
      <c r="B142" t="s">
        <v>2134</v>
      </c>
      <c r="C142" t="s">
        <v>3958</v>
      </c>
      <c r="D142" s="69">
        <v>13.5</v>
      </c>
    </row>
    <row r="143" spans="1:4" x14ac:dyDescent="0.25">
      <c r="A143" t="s">
        <v>2135</v>
      </c>
      <c r="B143" t="s">
        <v>2136</v>
      </c>
      <c r="C143" t="s">
        <v>3943</v>
      </c>
      <c r="D143" s="69">
        <v>8.0005882352941171</v>
      </c>
    </row>
    <row r="144" spans="1:4" x14ac:dyDescent="0.25">
      <c r="A144" t="s">
        <v>2137</v>
      </c>
      <c r="B144" t="s">
        <v>2138</v>
      </c>
      <c r="C144" t="s">
        <v>3959</v>
      </c>
      <c r="D144" s="69">
        <v>1.0125</v>
      </c>
    </row>
    <row r="145" spans="1:4" x14ac:dyDescent="0.25">
      <c r="A145" t="s">
        <v>1155</v>
      </c>
      <c r="B145" t="s">
        <v>2139</v>
      </c>
      <c r="C145" t="s">
        <v>3900</v>
      </c>
      <c r="D145" s="69">
        <v>12.5</v>
      </c>
    </row>
    <row r="146" spans="1:4" x14ac:dyDescent="0.25">
      <c r="A146" t="s">
        <v>2140</v>
      </c>
      <c r="B146" t="s">
        <v>2141</v>
      </c>
      <c r="C146" t="s">
        <v>3902</v>
      </c>
      <c r="D146" s="69">
        <v>0.98999999999999988</v>
      </c>
    </row>
    <row r="147" spans="1:4" x14ac:dyDescent="0.25">
      <c r="A147" t="s">
        <v>1117</v>
      </c>
      <c r="B147" t="s">
        <v>2142</v>
      </c>
      <c r="C147" t="s">
        <v>3960</v>
      </c>
      <c r="D147" s="69">
        <v>7.75</v>
      </c>
    </row>
    <row r="148" spans="1:4" x14ac:dyDescent="0.25">
      <c r="A148" t="s">
        <v>2143</v>
      </c>
      <c r="B148" t="s">
        <v>2144</v>
      </c>
      <c r="C148" t="s">
        <v>3961</v>
      </c>
      <c r="D148" s="69">
        <v>32.4</v>
      </c>
    </row>
    <row r="149" spans="1:4" x14ac:dyDescent="0.25">
      <c r="A149" t="s">
        <v>2145</v>
      </c>
      <c r="B149" t="s">
        <v>2146</v>
      </c>
      <c r="C149" t="s">
        <v>3962</v>
      </c>
      <c r="D149" s="69">
        <v>5.58</v>
      </c>
    </row>
    <row r="150" spans="1:4" x14ac:dyDescent="0.25">
      <c r="A150" t="s">
        <v>2147</v>
      </c>
      <c r="B150" t="s">
        <v>2148</v>
      </c>
      <c r="C150" t="s">
        <v>3963</v>
      </c>
      <c r="D150" s="69">
        <v>14.408333333333333</v>
      </c>
    </row>
    <row r="151" spans="1:4" x14ac:dyDescent="0.25">
      <c r="A151" t="s">
        <v>2149</v>
      </c>
      <c r="B151" t="s">
        <v>2150</v>
      </c>
      <c r="C151" t="s">
        <v>3962</v>
      </c>
      <c r="D151" s="69">
        <v>8.25</v>
      </c>
    </row>
    <row r="152" spans="1:4" x14ac:dyDescent="0.25">
      <c r="A152" t="s">
        <v>1277</v>
      </c>
      <c r="B152" t="s">
        <v>2151</v>
      </c>
      <c r="C152" t="s">
        <v>3930</v>
      </c>
      <c r="D152" s="69">
        <v>7.7293615404620359</v>
      </c>
    </row>
    <row r="153" spans="1:4" x14ac:dyDescent="0.25">
      <c r="A153" t="s">
        <v>1129</v>
      </c>
      <c r="B153" t="s">
        <v>2152</v>
      </c>
      <c r="C153" t="s">
        <v>3884</v>
      </c>
      <c r="D153" s="69">
        <v>5.8223879430851833</v>
      </c>
    </row>
    <row r="154" spans="1:4" x14ac:dyDescent="0.25">
      <c r="A154" t="s">
        <v>2153</v>
      </c>
      <c r="B154" t="s">
        <v>2154</v>
      </c>
      <c r="C154" t="s">
        <v>3892</v>
      </c>
      <c r="D154" s="69">
        <v>3</v>
      </c>
    </row>
    <row r="155" spans="1:4" x14ac:dyDescent="0.25">
      <c r="A155" t="s">
        <v>1785</v>
      </c>
      <c r="B155" t="s">
        <v>2155</v>
      </c>
      <c r="C155" t="s">
        <v>3955</v>
      </c>
      <c r="D155" s="69">
        <v>7.5633333333333335</v>
      </c>
    </row>
    <row r="156" spans="1:4" x14ac:dyDescent="0.25">
      <c r="A156" t="s">
        <v>2156</v>
      </c>
      <c r="B156" t="s">
        <v>2157</v>
      </c>
      <c r="C156" t="s">
        <v>3879</v>
      </c>
      <c r="D156" s="69">
        <v>0.7</v>
      </c>
    </row>
    <row r="157" spans="1:4" x14ac:dyDescent="0.25">
      <c r="A157" t="s">
        <v>2158</v>
      </c>
      <c r="B157" t="s">
        <v>2159</v>
      </c>
      <c r="C157" t="s">
        <v>3964</v>
      </c>
      <c r="D157" s="69">
        <v>24.423564938066747</v>
      </c>
    </row>
    <row r="158" spans="1:4" x14ac:dyDescent="0.25">
      <c r="A158" t="s">
        <v>2160</v>
      </c>
      <c r="B158" t="s">
        <v>2161</v>
      </c>
      <c r="C158" t="s">
        <v>3965</v>
      </c>
      <c r="D158" s="69">
        <v>8.23</v>
      </c>
    </row>
    <row r="159" spans="1:4" x14ac:dyDescent="0.25">
      <c r="A159" t="s">
        <v>1197</v>
      </c>
      <c r="B159" t="s">
        <v>2162</v>
      </c>
      <c r="C159" t="s">
        <v>3895</v>
      </c>
      <c r="D159" s="69">
        <v>5.55</v>
      </c>
    </row>
    <row r="160" spans="1:4" x14ac:dyDescent="0.25">
      <c r="A160" t="s">
        <v>2163</v>
      </c>
      <c r="B160" t="s">
        <v>2164</v>
      </c>
      <c r="C160" t="s">
        <v>3923</v>
      </c>
      <c r="D160" s="69">
        <v>6.8130211523231807</v>
      </c>
    </row>
    <row r="161" spans="1:4" x14ac:dyDescent="0.25">
      <c r="A161" t="s">
        <v>1865</v>
      </c>
      <c r="B161" t="s">
        <v>1765</v>
      </c>
      <c r="C161" t="s">
        <v>3966</v>
      </c>
      <c r="D161" s="69">
        <v>8.91</v>
      </c>
    </row>
    <row r="162" spans="1:4" x14ac:dyDescent="0.25">
      <c r="A162" t="s">
        <v>2165</v>
      </c>
      <c r="B162" t="s">
        <v>2166</v>
      </c>
      <c r="C162" t="s">
        <v>3967</v>
      </c>
      <c r="D162" s="69">
        <v>3.2</v>
      </c>
    </row>
    <row r="163" spans="1:4" x14ac:dyDescent="0.25">
      <c r="A163" t="s">
        <v>2167</v>
      </c>
      <c r="B163" t="s">
        <v>2168</v>
      </c>
      <c r="C163" t="s">
        <v>3884</v>
      </c>
      <c r="D163" s="69">
        <v>6.4</v>
      </c>
    </row>
    <row r="164" spans="1:4" x14ac:dyDescent="0.25">
      <c r="A164" t="s">
        <v>1289</v>
      </c>
      <c r="B164" t="s">
        <v>2169</v>
      </c>
      <c r="C164" t="s">
        <v>3963</v>
      </c>
      <c r="D164" s="69">
        <v>7.8260869565217392</v>
      </c>
    </row>
    <row r="165" spans="1:4" x14ac:dyDescent="0.25">
      <c r="A165" t="s">
        <v>1291</v>
      </c>
      <c r="B165" t="s">
        <v>2170</v>
      </c>
      <c r="C165" t="s">
        <v>3968</v>
      </c>
      <c r="D165" s="69">
        <v>11.5</v>
      </c>
    </row>
    <row r="166" spans="1:4" x14ac:dyDescent="0.25">
      <c r="A166" t="s">
        <v>1307</v>
      </c>
      <c r="B166" t="s">
        <v>1308</v>
      </c>
      <c r="C166" t="s">
        <v>3896</v>
      </c>
      <c r="D166" s="69">
        <v>11.642846179305073</v>
      </c>
    </row>
    <row r="167" spans="1:4" x14ac:dyDescent="0.25">
      <c r="A167" t="s">
        <v>2171</v>
      </c>
      <c r="B167" t="s">
        <v>2172</v>
      </c>
      <c r="C167" t="s">
        <v>3969</v>
      </c>
      <c r="D167" s="69">
        <v>0.39999999999999997</v>
      </c>
    </row>
    <row r="168" spans="1:4" x14ac:dyDescent="0.25">
      <c r="A168" t="s">
        <v>2173</v>
      </c>
      <c r="B168" t="s">
        <v>2174</v>
      </c>
      <c r="C168" t="s">
        <v>3885</v>
      </c>
      <c r="D168" s="69">
        <v>1.1642846179305073</v>
      </c>
    </row>
    <row r="169" spans="1:4" x14ac:dyDescent="0.25">
      <c r="A169" t="s">
        <v>1812</v>
      </c>
      <c r="B169" t="s">
        <v>2175</v>
      </c>
      <c r="C169" t="s">
        <v>3902</v>
      </c>
      <c r="D169" s="69">
        <v>2.956521739130435</v>
      </c>
    </row>
    <row r="170" spans="1:4" x14ac:dyDescent="0.25">
      <c r="A170" t="s">
        <v>2176</v>
      </c>
      <c r="B170" t="s">
        <v>2177</v>
      </c>
      <c r="C170" t="s">
        <v>3970</v>
      </c>
      <c r="D170" s="69">
        <v>0.71071428571428563</v>
      </c>
    </row>
    <row r="171" spans="1:4" x14ac:dyDescent="0.25">
      <c r="A171" t="s">
        <v>1119</v>
      </c>
      <c r="B171" t="s">
        <v>2178</v>
      </c>
      <c r="C171" t="s">
        <v>3971</v>
      </c>
      <c r="D171" s="69">
        <v>14.782608695652176</v>
      </c>
    </row>
    <row r="172" spans="1:4" x14ac:dyDescent="0.25">
      <c r="A172" t="s">
        <v>2179</v>
      </c>
      <c r="B172" t="s">
        <v>2180</v>
      </c>
      <c r="C172" t="s">
        <v>3972</v>
      </c>
      <c r="D172" s="69">
        <v>0.42249999999999999</v>
      </c>
    </row>
    <row r="173" spans="1:4" x14ac:dyDescent="0.25">
      <c r="A173" t="s">
        <v>2181</v>
      </c>
      <c r="B173" t="s">
        <v>2182</v>
      </c>
      <c r="C173" t="s">
        <v>3881</v>
      </c>
      <c r="D173" s="69">
        <v>1.9449999999999998</v>
      </c>
    </row>
    <row r="174" spans="1:4" x14ac:dyDescent="0.25">
      <c r="A174" t="s">
        <v>2183</v>
      </c>
      <c r="B174" t="s">
        <v>2184</v>
      </c>
      <c r="C174" t="s">
        <v>3973</v>
      </c>
      <c r="D174" s="69">
        <v>4.95</v>
      </c>
    </row>
    <row r="175" spans="1:4" x14ac:dyDescent="0.25">
      <c r="A175" t="s">
        <v>2185</v>
      </c>
      <c r="B175" t="s">
        <v>2186</v>
      </c>
      <c r="C175" t="s">
        <v>3962</v>
      </c>
      <c r="D175" s="69">
        <v>8.25</v>
      </c>
    </row>
    <row r="176" spans="1:4" x14ac:dyDescent="0.25">
      <c r="A176" t="s">
        <v>2187</v>
      </c>
      <c r="B176" t="s">
        <v>2188</v>
      </c>
      <c r="C176" t="s">
        <v>3964</v>
      </c>
      <c r="D176" s="69">
        <v>17.883966854221182</v>
      </c>
    </row>
    <row r="177" spans="1:4" x14ac:dyDescent="0.25">
      <c r="A177" t="s">
        <v>2189</v>
      </c>
      <c r="B177" t="s">
        <v>2190</v>
      </c>
      <c r="C177" t="s">
        <v>3888</v>
      </c>
      <c r="D177" s="69">
        <v>1.2</v>
      </c>
    </row>
    <row r="178" spans="1:4" x14ac:dyDescent="0.25">
      <c r="A178" t="s">
        <v>2191</v>
      </c>
      <c r="B178" t="s">
        <v>2192</v>
      </c>
      <c r="C178" t="s">
        <v>3974</v>
      </c>
      <c r="D178" s="69">
        <v>11.0625</v>
      </c>
    </row>
    <row r="179" spans="1:4" x14ac:dyDescent="0.25">
      <c r="A179" t="s">
        <v>2193</v>
      </c>
      <c r="B179" t="s">
        <v>2194</v>
      </c>
      <c r="C179" t="s">
        <v>3879</v>
      </c>
      <c r="D179" s="69">
        <v>1</v>
      </c>
    </row>
    <row r="180" spans="1:4" x14ac:dyDescent="0.25">
      <c r="A180" t="s">
        <v>2195</v>
      </c>
      <c r="B180" t="s">
        <v>2196</v>
      </c>
      <c r="C180" t="s">
        <v>3881</v>
      </c>
      <c r="D180" s="69">
        <v>1.1282169117647058</v>
      </c>
    </row>
    <row r="181" spans="1:4" x14ac:dyDescent="0.25">
      <c r="A181" t="s">
        <v>2197</v>
      </c>
      <c r="B181" t="s">
        <v>2198</v>
      </c>
      <c r="C181" t="s">
        <v>3948</v>
      </c>
      <c r="D181" s="69">
        <v>7.5</v>
      </c>
    </row>
    <row r="182" spans="1:4" x14ac:dyDescent="0.25">
      <c r="A182" t="s">
        <v>2199</v>
      </c>
      <c r="B182" t="s">
        <v>2200</v>
      </c>
      <c r="C182" t="s">
        <v>3975</v>
      </c>
      <c r="D182" s="69">
        <v>7.8260869565217401</v>
      </c>
    </row>
    <row r="183" spans="1:4" x14ac:dyDescent="0.25">
      <c r="A183" t="s">
        <v>1161</v>
      </c>
      <c r="B183" t="s">
        <v>2201</v>
      </c>
      <c r="C183" t="s">
        <v>3890</v>
      </c>
      <c r="D183" s="69">
        <v>11.108695652173912</v>
      </c>
    </row>
    <row r="184" spans="1:4" x14ac:dyDescent="0.25">
      <c r="A184" t="s">
        <v>2202</v>
      </c>
      <c r="B184" t="s">
        <v>2203</v>
      </c>
      <c r="C184" t="s">
        <v>3976</v>
      </c>
      <c r="D184" s="69">
        <v>17</v>
      </c>
    </row>
    <row r="185" spans="1:4" x14ac:dyDescent="0.25">
      <c r="A185" t="s">
        <v>2204</v>
      </c>
      <c r="B185" t="s">
        <v>2205</v>
      </c>
      <c r="C185" t="s">
        <v>3964</v>
      </c>
      <c r="D185" s="69">
        <v>23.615896470588851</v>
      </c>
    </row>
    <row r="186" spans="1:4" x14ac:dyDescent="0.25">
      <c r="A186" t="s">
        <v>2206</v>
      </c>
      <c r="B186" t="s">
        <v>2207</v>
      </c>
      <c r="C186" t="s">
        <v>3885</v>
      </c>
      <c r="D186" s="69">
        <v>0.53591206098020738</v>
      </c>
    </row>
    <row r="187" spans="1:4" x14ac:dyDescent="0.25">
      <c r="A187" t="s">
        <v>1115</v>
      </c>
      <c r="B187" t="s">
        <v>2208</v>
      </c>
      <c r="C187" t="s">
        <v>3977</v>
      </c>
      <c r="D187" s="69">
        <v>330</v>
      </c>
    </row>
    <row r="188" spans="1:4" x14ac:dyDescent="0.25">
      <c r="A188" t="s">
        <v>2209</v>
      </c>
      <c r="B188" t="s">
        <v>2210</v>
      </c>
      <c r="C188" t="s">
        <v>3923</v>
      </c>
      <c r="D188" s="69">
        <v>6.4099195878986279</v>
      </c>
    </row>
    <row r="189" spans="1:4" x14ac:dyDescent="0.25">
      <c r="A189" t="s">
        <v>2211</v>
      </c>
      <c r="B189" t="s">
        <v>2212</v>
      </c>
      <c r="C189" t="s">
        <v>3911</v>
      </c>
      <c r="D189" s="69">
        <v>1.9687500000000002</v>
      </c>
    </row>
    <row r="190" spans="1:4" x14ac:dyDescent="0.25">
      <c r="A190" t="s">
        <v>1808</v>
      </c>
      <c r="B190" t="s">
        <v>2213</v>
      </c>
      <c r="C190" t="s">
        <v>3978</v>
      </c>
      <c r="D190" s="69">
        <v>9.9499999999999993</v>
      </c>
    </row>
    <row r="191" spans="1:4" x14ac:dyDescent="0.25">
      <c r="A191" t="s">
        <v>2214</v>
      </c>
      <c r="B191" t="s">
        <v>2215</v>
      </c>
      <c r="C191" t="s">
        <v>3979</v>
      </c>
      <c r="D191" s="69">
        <v>0.78260869565217406</v>
      </c>
    </row>
    <row r="192" spans="1:4" x14ac:dyDescent="0.25">
      <c r="A192" t="s">
        <v>2216</v>
      </c>
      <c r="B192" t="s">
        <v>2217</v>
      </c>
      <c r="C192" t="s">
        <v>3876</v>
      </c>
      <c r="D192" s="69">
        <v>1.0249999999999999</v>
      </c>
    </row>
    <row r="193" spans="1:4" x14ac:dyDescent="0.25">
      <c r="A193" t="s">
        <v>2218</v>
      </c>
      <c r="B193" t="s">
        <v>2219</v>
      </c>
      <c r="C193" t="s">
        <v>3980</v>
      </c>
      <c r="D193" s="69">
        <v>1.0072463768115942</v>
      </c>
    </row>
    <row r="194" spans="1:4" x14ac:dyDescent="0.25">
      <c r="A194" t="s">
        <v>2220</v>
      </c>
      <c r="B194" t="s">
        <v>2221</v>
      </c>
      <c r="C194" t="s">
        <v>3981</v>
      </c>
      <c r="D194" s="69">
        <v>26.4</v>
      </c>
    </row>
    <row r="195" spans="1:4" x14ac:dyDescent="0.25">
      <c r="A195" t="s">
        <v>1258</v>
      </c>
      <c r="B195" t="s">
        <v>2222</v>
      </c>
      <c r="C195" t="s">
        <v>3951</v>
      </c>
      <c r="D195" s="69">
        <v>9.5</v>
      </c>
    </row>
    <row r="196" spans="1:4" x14ac:dyDescent="0.25">
      <c r="A196" t="s">
        <v>2223</v>
      </c>
      <c r="B196" t="s">
        <v>2224</v>
      </c>
      <c r="C196" t="s">
        <v>3982</v>
      </c>
      <c r="D196" s="69">
        <v>12.3</v>
      </c>
    </row>
    <row r="197" spans="1:4" x14ac:dyDescent="0.25">
      <c r="A197" t="s">
        <v>2225</v>
      </c>
      <c r="B197" t="s">
        <v>2226</v>
      </c>
      <c r="C197" t="s">
        <v>3964</v>
      </c>
      <c r="D197" s="69">
        <v>15.913043478260873</v>
      </c>
    </row>
    <row r="198" spans="1:4" x14ac:dyDescent="0.25">
      <c r="A198" t="s">
        <v>2227</v>
      </c>
      <c r="B198" t="s">
        <v>2228</v>
      </c>
      <c r="C198" t="s">
        <v>3876</v>
      </c>
      <c r="D198" s="69">
        <v>1.0391304347826087</v>
      </c>
    </row>
    <row r="199" spans="1:4" x14ac:dyDescent="0.25">
      <c r="A199" t="s">
        <v>1293</v>
      </c>
      <c r="B199" t="s">
        <v>1446</v>
      </c>
      <c r="C199" t="s">
        <v>3983</v>
      </c>
      <c r="D199" s="69">
        <v>4.9000000000000004</v>
      </c>
    </row>
    <row r="200" spans="1:4" x14ac:dyDescent="0.25">
      <c r="A200" t="s">
        <v>2229</v>
      </c>
      <c r="B200" t="s">
        <v>2230</v>
      </c>
      <c r="C200" t="s">
        <v>3884</v>
      </c>
      <c r="D200" s="69">
        <v>9.9</v>
      </c>
    </row>
    <row r="201" spans="1:4" x14ac:dyDescent="0.25">
      <c r="A201" t="s">
        <v>2231</v>
      </c>
      <c r="B201" t="s">
        <v>2232</v>
      </c>
      <c r="C201" t="s">
        <v>3889</v>
      </c>
      <c r="D201" s="69">
        <v>9</v>
      </c>
    </row>
    <row r="202" spans="1:4" x14ac:dyDescent="0.25">
      <c r="A202" t="s">
        <v>2233</v>
      </c>
      <c r="B202" t="s">
        <v>2234</v>
      </c>
      <c r="C202" t="s">
        <v>3885</v>
      </c>
      <c r="D202" s="69">
        <v>0.47840258012630832</v>
      </c>
    </row>
    <row r="203" spans="1:4" x14ac:dyDescent="0.25">
      <c r="A203" t="s">
        <v>2235</v>
      </c>
      <c r="B203" t="s">
        <v>2236</v>
      </c>
      <c r="C203" t="s">
        <v>3968</v>
      </c>
      <c r="D203" s="69">
        <v>11</v>
      </c>
    </row>
    <row r="204" spans="1:4" x14ac:dyDescent="0.25">
      <c r="A204" t="s">
        <v>2237</v>
      </c>
      <c r="B204" t="s">
        <v>2238</v>
      </c>
      <c r="C204" t="s">
        <v>3879</v>
      </c>
      <c r="D204" s="69">
        <v>0.61458333333333337</v>
      </c>
    </row>
    <row r="205" spans="1:4" x14ac:dyDescent="0.25">
      <c r="A205" t="s">
        <v>2239</v>
      </c>
      <c r="B205" t="s">
        <v>2240</v>
      </c>
      <c r="C205" t="s">
        <v>3954</v>
      </c>
      <c r="D205" s="69">
        <v>17.5</v>
      </c>
    </row>
    <row r="206" spans="1:4" x14ac:dyDescent="0.25">
      <c r="A206" t="s">
        <v>1260</v>
      </c>
      <c r="B206" t="s">
        <v>2241</v>
      </c>
      <c r="C206" t="s">
        <v>3885</v>
      </c>
      <c r="D206" s="69">
        <v>2.2288829787234041</v>
      </c>
    </row>
    <row r="207" spans="1:4" x14ac:dyDescent="0.25">
      <c r="A207" t="s">
        <v>2242</v>
      </c>
      <c r="B207" t="s">
        <v>2243</v>
      </c>
      <c r="C207" t="s">
        <v>3908</v>
      </c>
      <c r="D207" s="69">
        <v>2.7826086956521743</v>
      </c>
    </row>
    <row r="208" spans="1:4" x14ac:dyDescent="0.25">
      <c r="A208" t="s">
        <v>1789</v>
      </c>
      <c r="B208" t="s">
        <v>2244</v>
      </c>
      <c r="C208" t="s">
        <v>3955</v>
      </c>
      <c r="D208" s="69">
        <v>12.780416666666666</v>
      </c>
    </row>
    <row r="209" spans="1:4" x14ac:dyDescent="0.25">
      <c r="A209" t="s">
        <v>2245</v>
      </c>
      <c r="B209" t="s">
        <v>2246</v>
      </c>
      <c r="C209" t="s">
        <v>3876</v>
      </c>
      <c r="D209" s="69">
        <v>1.296</v>
      </c>
    </row>
    <row r="210" spans="1:4" x14ac:dyDescent="0.25">
      <c r="A210" t="s">
        <v>2247</v>
      </c>
      <c r="B210" t="s">
        <v>2248</v>
      </c>
      <c r="C210" t="s">
        <v>3892</v>
      </c>
      <c r="D210" s="69">
        <v>4.6521739130434785</v>
      </c>
    </row>
    <row r="211" spans="1:4" x14ac:dyDescent="0.25">
      <c r="A211" t="s">
        <v>2249</v>
      </c>
      <c r="B211" t="s">
        <v>2250</v>
      </c>
      <c r="C211" t="s">
        <v>3908</v>
      </c>
      <c r="D211" s="69">
        <v>0.2</v>
      </c>
    </row>
    <row r="212" spans="1:4" x14ac:dyDescent="0.25">
      <c r="A212" t="s">
        <v>2251</v>
      </c>
      <c r="B212" t="s">
        <v>2252</v>
      </c>
      <c r="C212" t="s">
        <v>3888</v>
      </c>
      <c r="D212" s="69">
        <v>2.1879999999999997</v>
      </c>
    </row>
    <row r="213" spans="1:4" x14ac:dyDescent="0.25">
      <c r="A213" t="s">
        <v>1816</v>
      </c>
      <c r="B213" t="s">
        <v>2253</v>
      </c>
      <c r="C213" t="s">
        <v>3984</v>
      </c>
      <c r="D213" s="69">
        <v>15.110000000000001</v>
      </c>
    </row>
    <row r="214" spans="1:4" x14ac:dyDescent="0.25">
      <c r="A214" t="s">
        <v>2254</v>
      </c>
      <c r="B214" t="s">
        <v>2255</v>
      </c>
      <c r="C214" t="s">
        <v>3985</v>
      </c>
      <c r="D214" s="69">
        <v>1.7250000000000003</v>
      </c>
    </row>
    <row r="215" spans="1:4" x14ac:dyDescent="0.25">
      <c r="A215" t="s">
        <v>2256</v>
      </c>
      <c r="B215" t="s">
        <v>2257</v>
      </c>
      <c r="C215" t="s">
        <v>3963</v>
      </c>
      <c r="D215" s="69">
        <v>6</v>
      </c>
    </row>
    <row r="216" spans="1:4" x14ac:dyDescent="0.25">
      <c r="A216" t="s">
        <v>2258</v>
      </c>
      <c r="B216" t="s">
        <v>2259</v>
      </c>
      <c r="C216" t="s">
        <v>3877</v>
      </c>
      <c r="D216" s="69">
        <v>0.40000000000000008</v>
      </c>
    </row>
    <row r="217" spans="1:4" x14ac:dyDescent="0.25">
      <c r="A217" t="s">
        <v>2260</v>
      </c>
      <c r="B217" t="s">
        <v>2261</v>
      </c>
      <c r="C217" t="s">
        <v>3881</v>
      </c>
      <c r="D217" s="69">
        <v>1.1108695652173912</v>
      </c>
    </row>
    <row r="218" spans="1:4" x14ac:dyDescent="0.25">
      <c r="A218" t="s">
        <v>2262</v>
      </c>
      <c r="B218" t="s">
        <v>2263</v>
      </c>
      <c r="C218" t="s">
        <v>3878</v>
      </c>
      <c r="D218" s="69">
        <v>6.3</v>
      </c>
    </row>
    <row r="219" spans="1:4" x14ac:dyDescent="0.25">
      <c r="A219" t="s">
        <v>2264</v>
      </c>
      <c r="B219" t="s">
        <v>2265</v>
      </c>
      <c r="C219" t="s">
        <v>3986</v>
      </c>
      <c r="D219" s="69">
        <v>8.5896232278790414</v>
      </c>
    </row>
    <row r="220" spans="1:4" x14ac:dyDescent="0.25">
      <c r="A220" t="s">
        <v>2266</v>
      </c>
      <c r="B220" t="s">
        <v>2267</v>
      </c>
      <c r="C220" t="s">
        <v>3987</v>
      </c>
      <c r="D220" s="69">
        <v>2.1767543859649123</v>
      </c>
    </row>
    <row r="221" spans="1:4" x14ac:dyDescent="0.25">
      <c r="A221" t="s">
        <v>2268</v>
      </c>
      <c r="B221" t="s">
        <v>2269</v>
      </c>
      <c r="C221" t="s">
        <v>3958</v>
      </c>
      <c r="D221" s="69">
        <v>3.3999999999999995</v>
      </c>
    </row>
    <row r="222" spans="1:4" x14ac:dyDescent="0.25">
      <c r="A222" t="s">
        <v>2270</v>
      </c>
      <c r="B222" t="s">
        <v>2271</v>
      </c>
      <c r="C222" t="s">
        <v>3892</v>
      </c>
      <c r="D222" s="69">
        <v>4.0999999999999996</v>
      </c>
    </row>
    <row r="223" spans="1:4" x14ac:dyDescent="0.25">
      <c r="A223" t="s">
        <v>2272</v>
      </c>
      <c r="B223" t="s">
        <v>2273</v>
      </c>
      <c r="C223" t="s">
        <v>3881</v>
      </c>
      <c r="D223" s="69">
        <v>1.2375</v>
      </c>
    </row>
    <row r="224" spans="1:4" x14ac:dyDescent="0.25">
      <c r="A224" t="s">
        <v>2274</v>
      </c>
      <c r="B224" t="s">
        <v>2275</v>
      </c>
      <c r="C224" t="s">
        <v>3988</v>
      </c>
      <c r="D224" s="69">
        <v>13.4</v>
      </c>
    </row>
    <row r="225" spans="1:4" x14ac:dyDescent="0.25">
      <c r="A225" t="s">
        <v>2276</v>
      </c>
      <c r="B225" t="s">
        <v>2277</v>
      </c>
      <c r="C225" t="s">
        <v>3980</v>
      </c>
      <c r="D225" s="69">
        <v>1.1200000000000001</v>
      </c>
    </row>
    <row r="226" spans="1:4" x14ac:dyDescent="0.25">
      <c r="A226" t="s">
        <v>2278</v>
      </c>
      <c r="B226" t="s">
        <v>2279</v>
      </c>
      <c r="C226" t="s">
        <v>3964</v>
      </c>
      <c r="D226" s="69">
        <v>12</v>
      </c>
    </row>
    <row r="227" spans="1:4" x14ac:dyDescent="0.25">
      <c r="A227" t="s">
        <v>2280</v>
      </c>
      <c r="B227" t="s">
        <v>2281</v>
      </c>
      <c r="C227" t="s">
        <v>3888</v>
      </c>
      <c r="D227" s="69">
        <v>1.1000000000000001</v>
      </c>
    </row>
    <row r="228" spans="1:4" x14ac:dyDescent="0.25">
      <c r="A228" t="s">
        <v>2282</v>
      </c>
      <c r="B228" t="s">
        <v>2283</v>
      </c>
      <c r="C228" t="s">
        <v>3989</v>
      </c>
      <c r="D228" s="69">
        <v>1.1250000000000002</v>
      </c>
    </row>
    <row r="229" spans="1:4" x14ac:dyDescent="0.25">
      <c r="A229" t="s">
        <v>2284</v>
      </c>
      <c r="B229" t="s">
        <v>2285</v>
      </c>
      <c r="C229" t="s">
        <v>3881</v>
      </c>
      <c r="D229" s="69">
        <v>1.006526239638408</v>
      </c>
    </row>
    <row r="230" spans="1:4" x14ac:dyDescent="0.25">
      <c r="A230" t="s">
        <v>2286</v>
      </c>
      <c r="B230" t="s">
        <v>2287</v>
      </c>
      <c r="C230" t="s">
        <v>3885</v>
      </c>
      <c r="D230" s="69">
        <v>1.3317489730046952</v>
      </c>
    </row>
    <row r="231" spans="1:4" x14ac:dyDescent="0.25">
      <c r="A231" t="s">
        <v>1226</v>
      </c>
      <c r="B231" t="s">
        <v>1227</v>
      </c>
      <c r="C231" t="s">
        <v>3947</v>
      </c>
      <c r="D231" s="69">
        <v>10.653991784037562</v>
      </c>
    </row>
    <row r="232" spans="1:4" x14ac:dyDescent="0.25">
      <c r="A232" t="s">
        <v>2288</v>
      </c>
      <c r="B232" t="s">
        <v>2289</v>
      </c>
      <c r="C232" t="s">
        <v>3990</v>
      </c>
      <c r="D232" s="69">
        <v>9</v>
      </c>
    </row>
    <row r="233" spans="1:4" x14ac:dyDescent="0.25">
      <c r="A233" t="s">
        <v>2290</v>
      </c>
      <c r="B233" t="s">
        <v>2291</v>
      </c>
      <c r="C233" t="s">
        <v>3885</v>
      </c>
      <c r="D233" s="69">
        <v>0.39599003623188406</v>
      </c>
    </row>
    <row r="234" spans="1:4" x14ac:dyDescent="0.25">
      <c r="A234" t="s">
        <v>2292</v>
      </c>
      <c r="B234" t="s">
        <v>2293</v>
      </c>
      <c r="C234" t="s">
        <v>3879</v>
      </c>
      <c r="D234" s="69">
        <v>1</v>
      </c>
    </row>
    <row r="235" spans="1:4" x14ac:dyDescent="0.25">
      <c r="A235" t="s">
        <v>2294</v>
      </c>
      <c r="B235" t="s">
        <v>2295</v>
      </c>
      <c r="C235" t="s">
        <v>3888</v>
      </c>
      <c r="D235" s="69">
        <v>2.2079999999999997</v>
      </c>
    </row>
    <row r="236" spans="1:4" x14ac:dyDescent="0.25">
      <c r="A236" t="s">
        <v>2296</v>
      </c>
      <c r="B236" t="s">
        <v>2297</v>
      </c>
      <c r="C236" t="s">
        <v>3923</v>
      </c>
      <c r="D236" s="69">
        <v>5.5</v>
      </c>
    </row>
    <row r="237" spans="1:4" x14ac:dyDescent="0.25">
      <c r="A237" t="s">
        <v>2298</v>
      </c>
      <c r="B237" t="s">
        <v>2299</v>
      </c>
      <c r="C237" t="s">
        <v>3885</v>
      </c>
      <c r="D237" s="69">
        <v>1.2605555555555557</v>
      </c>
    </row>
    <row r="238" spans="1:4" x14ac:dyDescent="0.25">
      <c r="A238" t="s">
        <v>2300</v>
      </c>
      <c r="B238" t="s">
        <v>2301</v>
      </c>
      <c r="C238" t="s">
        <v>3879</v>
      </c>
      <c r="D238" s="69">
        <v>0.43</v>
      </c>
    </row>
    <row r="239" spans="1:4" x14ac:dyDescent="0.25">
      <c r="A239" t="s">
        <v>2302</v>
      </c>
      <c r="B239" t="s">
        <v>2303</v>
      </c>
      <c r="C239" t="s">
        <v>3885</v>
      </c>
      <c r="D239" s="69">
        <v>0.38750000000000001</v>
      </c>
    </row>
    <row r="240" spans="1:4" x14ac:dyDescent="0.25">
      <c r="A240" t="s">
        <v>2304</v>
      </c>
      <c r="B240" t="s">
        <v>2305</v>
      </c>
      <c r="C240" t="s">
        <v>3941</v>
      </c>
      <c r="D240" s="69">
        <v>1.1625000000000001</v>
      </c>
    </row>
    <row r="241" spans="1:4" x14ac:dyDescent="0.25">
      <c r="A241" t="s">
        <v>1221</v>
      </c>
      <c r="B241" t="s">
        <v>2306</v>
      </c>
      <c r="C241" t="s">
        <v>3875</v>
      </c>
      <c r="D241" s="69">
        <v>8.913043478260871</v>
      </c>
    </row>
    <row r="242" spans="1:4" x14ac:dyDescent="0.25">
      <c r="A242" t="s">
        <v>1133</v>
      </c>
      <c r="B242" t="s">
        <v>2307</v>
      </c>
      <c r="C242" t="s">
        <v>3991</v>
      </c>
      <c r="D242" s="69">
        <v>5.4220211553465267</v>
      </c>
    </row>
    <row r="243" spans="1:4" x14ac:dyDescent="0.25">
      <c r="A243" t="s">
        <v>2308</v>
      </c>
      <c r="B243" t="s">
        <v>2309</v>
      </c>
      <c r="C243" t="s">
        <v>3884</v>
      </c>
      <c r="D243" s="69">
        <v>6.4</v>
      </c>
    </row>
    <row r="244" spans="1:4" x14ac:dyDescent="0.25">
      <c r="A244" t="s">
        <v>2310</v>
      </c>
      <c r="B244" t="s">
        <v>2311</v>
      </c>
      <c r="C244" t="s">
        <v>3992</v>
      </c>
      <c r="D244" s="69">
        <v>1.1625000000000001</v>
      </c>
    </row>
    <row r="245" spans="1:4" x14ac:dyDescent="0.25">
      <c r="A245" t="s">
        <v>2312</v>
      </c>
      <c r="B245" t="s">
        <v>2313</v>
      </c>
      <c r="C245" t="s">
        <v>3993</v>
      </c>
      <c r="D245" s="69">
        <v>2.3199999999999998</v>
      </c>
    </row>
    <row r="246" spans="1:4" x14ac:dyDescent="0.25">
      <c r="A246" t="s">
        <v>2314</v>
      </c>
      <c r="B246" t="s">
        <v>2315</v>
      </c>
      <c r="C246" t="s">
        <v>3994</v>
      </c>
      <c r="D246" s="69">
        <v>9.1999999999999993</v>
      </c>
    </row>
    <row r="247" spans="1:4" x14ac:dyDescent="0.25">
      <c r="A247" t="s">
        <v>2316</v>
      </c>
      <c r="B247" t="s">
        <v>2317</v>
      </c>
      <c r="C247" t="s">
        <v>3995</v>
      </c>
      <c r="D247" s="69">
        <v>5.8626666666666667</v>
      </c>
    </row>
    <row r="248" spans="1:4" x14ac:dyDescent="0.25">
      <c r="A248" t="s">
        <v>2318</v>
      </c>
      <c r="B248" t="s">
        <v>2319</v>
      </c>
      <c r="C248" t="s">
        <v>3888</v>
      </c>
      <c r="D248" s="69">
        <v>7</v>
      </c>
    </row>
    <row r="249" spans="1:4" x14ac:dyDescent="0.25">
      <c r="A249" t="s">
        <v>1832</v>
      </c>
      <c r="B249" t="s">
        <v>2320</v>
      </c>
      <c r="C249" t="s">
        <v>3996</v>
      </c>
      <c r="D249" s="69">
        <v>6.0000000000000009</v>
      </c>
    </row>
    <row r="250" spans="1:4" x14ac:dyDescent="0.25">
      <c r="A250" t="s">
        <v>1715</v>
      </c>
      <c r="B250" t="s">
        <v>1748</v>
      </c>
      <c r="C250" t="s">
        <v>3953</v>
      </c>
      <c r="D250" s="69">
        <v>5.5</v>
      </c>
    </row>
    <row r="251" spans="1:4" x14ac:dyDescent="0.25">
      <c r="A251" t="s">
        <v>2321</v>
      </c>
      <c r="B251" t="s">
        <v>2322</v>
      </c>
      <c r="C251" t="s">
        <v>3944</v>
      </c>
      <c r="D251" s="69">
        <v>3.85</v>
      </c>
    </row>
    <row r="252" spans="1:4" x14ac:dyDescent="0.25">
      <c r="A252" t="s">
        <v>2323</v>
      </c>
      <c r="B252" t="s">
        <v>2324</v>
      </c>
      <c r="C252" t="s">
        <v>3983</v>
      </c>
      <c r="D252" s="69">
        <v>12.391766987693954</v>
      </c>
    </row>
    <row r="253" spans="1:4" x14ac:dyDescent="0.25">
      <c r="A253" t="s">
        <v>2325</v>
      </c>
      <c r="B253" t="s">
        <v>2326</v>
      </c>
      <c r="C253" t="s">
        <v>3876</v>
      </c>
      <c r="D253" s="69">
        <v>0.61111111111111116</v>
      </c>
    </row>
    <row r="254" spans="1:4" x14ac:dyDescent="0.25">
      <c r="A254" t="s">
        <v>2327</v>
      </c>
      <c r="B254" t="s">
        <v>2328</v>
      </c>
      <c r="C254" t="s">
        <v>3881</v>
      </c>
      <c r="D254" s="69">
        <v>1.7530001073377313</v>
      </c>
    </row>
    <row r="255" spans="1:4" x14ac:dyDescent="0.25">
      <c r="A255" t="s">
        <v>2329</v>
      </c>
      <c r="B255" t="s">
        <v>2330</v>
      </c>
      <c r="C255" t="s">
        <v>3876</v>
      </c>
      <c r="D255" s="69">
        <v>1.1630434782608696</v>
      </c>
    </row>
    <row r="256" spans="1:4" x14ac:dyDescent="0.25">
      <c r="A256" t="s">
        <v>1173</v>
      </c>
      <c r="B256" t="s">
        <v>2331</v>
      </c>
      <c r="C256" t="s">
        <v>3997</v>
      </c>
      <c r="D256" s="69">
        <v>3.4267602060884443</v>
      </c>
    </row>
    <row r="257" spans="1:4" x14ac:dyDescent="0.25">
      <c r="A257" t="s">
        <v>1803</v>
      </c>
      <c r="B257" t="s">
        <v>2332</v>
      </c>
      <c r="C257" t="s">
        <v>3953</v>
      </c>
      <c r="D257" s="69">
        <v>5.5</v>
      </c>
    </row>
    <row r="258" spans="1:4" x14ac:dyDescent="0.25">
      <c r="A258" t="s">
        <v>2333</v>
      </c>
      <c r="B258" t="s">
        <v>2334</v>
      </c>
      <c r="C258" t="s">
        <v>3980</v>
      </c>
      <c r="D258" s="69">
        <v>0.46440314750128231</v>
      </c>
    </row>
    <row r="259" spans="1:4" x14ac:dyDescent="0.25">
      <c r="A259" t="s">
        <v>2335</v>
      </c>
      <c r="B259" t="s">
        <v>2336</v>
      </c>
      <c r="C259" t="s">
        <v>3938</v>
      </c>
      <c r="D259" s="69">
        <v>8.7650000000000006</v>
      </c>
    </row>
    <row r="260" spans="1:4" x14ac:dyDescent="0.25">
      <c r="A260" t="s">
        <v>2337</v>
      </c>
      <c r="B260" t="s">
        <v>2338</v>
      </c>
      <c r="C260" t="s">
        <v>3876</v>
      </c>
      <c r="D260" s="69">
        <v>0.78749999999999998</v>
      </c>
    </row>
    <row r="261" spans="1:4" x14ac:dyDescent="0.25">
      <c r="A261" t="s">
        <v>2339</v>
      </c>
      <c r="B261" t="s">
        <v>2340</v>
      </c>
      <c r="C261" t="s">
        <v>3964</v>
      </c>
      <c r="D261" s="69">
        <v>17.718749462916833</v>
      </c>
    </row>
    <row r="262" spans="1:4" x14ac:dyDescent="0.25">
      <c r="A262" t="s">
        <v>2341</v>
      </c>
      <c r="B262" t="s">
        <v>2342</v>
      </c>
      <c r="C262" t="s">
        <v>3998</v>
      </c>
      <c r="D262" s="69">
        <v>0.67049999999999998</v>
      </c>
    </row>
    <row r="263" spans="1:4" x14ac:dyDescent="0.25">
      <c r="A263" t="s">
        <v>2343</v>
      </c>
      <c r="B263" t="s">
        <v>2344</v>
      </c>
      <c r="C263" t="s">
        <v>3999</v>
      </c>
      <c r="D263" s="69">
        <v>1.2124999999999999</v>
      </c>
    </row>
    <row r="264" spans="1:4" x14ac:dyDescent="0.25">
      <c r="A264" t="s">
        <v>2345</v>
      </c>
      <c r="B264" t="s">
        <v>2346</v>
      </c>
      <c r="C264" t="s">
        <v>4000</v>
      </c>
      <c r="D264" s="69">
        <v>1.04375</v>
      </c>
    </row>
    <row r="265" spans="1:4" x14ac:dyDescent="0.25">
      <c r="A265" t="s">
        <v>2347</v>
      </c>
      <c r="B265" t="s">
        <v>2348</v>
      </c>
      <c r="C265" t="s">
        <v>3876</v>
      </c>
      <c r="D265" s="69">
        <v>1.4</v>
      </c>
    </row>
    <row r="266" spans="1:4" x14ac:dyDescent="0.25">
      <c r="A266" t="s">
        <v>1252</v>
      </c>
      <c r="B266" t="s">
        <v>2349</v>
      </c>
      <c r="C266" t="s">
        <v>4001</v>
      </c>
      <c r="D266" s="69">
        <v>52</v>
      </c>
    </row>
    <row r="267" spans="1:4" x14ac:dyDescent="0.25">
      <c r="A267" t="s">
        <v>2350</v>
      </c>
      <c r="B267" t="s">
        <v>2351</v>
      </c>
      <c r="C267" t="s">
        <v>4002</v>
      </c>
      <c r="D267" s="69">
        <v>1.1499999999999999</v>
      </c>
    </row>
    <row r="268" spans="1:4" x14ac:dyDescent="0.25">
      <c r="A268" t="s">
        <v>1833</v>
      </c>
      <c r="B268" t="s">
        <v>2352</v>
      </c>
      <c r="C268" t="s">
        <v>4003</v>
      </c>
      <c r="D268" s="69">
        <v>8.913043478260871</v>
      </c>
    </row>
    <row r="269" spans="1:4" x14ac:dyDescent="0.25">
      <c r="A269" t="s">
        <v>2353</v>
      </c>
      <c r="B269" t="s">
        <v>2354</v>
      </c>
      <c r="C269" t="s">
        <v>4004</v>
      </c>
      <c r="D269" s="69">
        <v>1.8333333333333333</v>
      </c>
    </row>
    <row r="270" spans="1:4" x14ac:dyDescent="0.25">
      <c r="A270" t="s">
        <v>2355</v>
      </c>
      <c r="B270" t="s">
        <v>2356</v>
      </c>
      <c r="C270" t="s">
        <v>4005</v>
      </c>
      <c r="D270" s="69">
        <v>0.55000000000000004</v>
      </c>
    </row>
    <row r="271" spans="1:4" x14ac:dyDescent="0.25">
      <c r="A271" t="s">
        <v>2357</v>
      </c>
      <c r="B271" t="s">
        <v>2358</v>
      </c>
      <c r="C271" t="s">
        <v>4006</v>
      </c>
      <c r="D271" s="69">
        <v>11.325000000000001</v>
      </c>
    </row>
    <row r="272" spans="1:4" x14ac:dyDescent="0.25">
      <c r="A272" t="s">
        <v>2359</v>
      </c>
      <c r="B272" t="s">
        <v>2360</v>
      </c>
      <c r="C272" t="s">
        <v>3877</v>
      </c>
      <c r="D272" s="69">
        <v>0.74275362318840588</v>
      </c>
    </row>
    <row r="273" spans="1:4" x14ac:dyDescent="0.25">
      <c r="A273" t="s">
        <v>2361</v>
      </c>
      <c r="B273" t="s">
        <v>2362</v>
      </c>
      <c r="C273" t="s">
        <v>4007</v>
      </c>
      <c r="D273" s="69">
        <v>0.68</v>
      </c>
    </row>
    <row r="274" spans="1:4" x14ac:dyDescent="0.25">
      <c r="A274" t="s">
        <v>2363</v>
      </c>
      <c r="B274" t="s">
        <v>2364</v>
      </c>
      <c r="C274" t="s">
        <v>3904</v>
      </c>
      <c r="D274" s="69">
        <v>14.223214285714288</v>
      </c>
    </row>
    <row r="275" spans="1:4" x14ac:dyDescent="0.25">
      <c r="A275" t="s">
        <v>2365</v>
      </c>
      <c r="B275" t="s">
        <v>2366</v>
      </c>
      <c r="C275" t="s">
        <v>4008</v>
      </c>
      <c r="D275" s="69">
        <v>0.48</v>
      </c>
    </row>
    <row r="276" spans="1:4" x14ac:dyDescent="0.25">
      <c r="A276" t="s">
        <v>2367</v>
      </c>
      <c r="B276" t="s">
        <v>2368</v>
      </c>
      <c r="C276" t="s">
        <v>3891</v>
      </c>
      <c r="D276" s="69">
        <v>0.57999999999999996</v>
      </c>
    </row>
    <row r="277" spans="1:4" x14ac:dyDescent="0.25">
      <c r="A277" t="s">
        <v>2369</v>
      </c>
      <c r="B277" t="s">
        <v>2370</v>
      </c>
      <c r="C277" t="s">
        <v>4009</v>
      </c>
      <c r="D277" s="69">
        <v>21.86</v>
      </c>
    </row>
    <row r="278" spans="1:4" x14ac:dyDescent="0.25">
      <c r="A278" t="s">
        <v>2371</v>
      </c>
      <c r="B278" t="s">
        <v>2372</v>
      </c>
      <c r="C278" t="s">
        <v>4010</v>
      </c>
      <c r="D278" s="69">
        <v>6.6000000000000005</v>
      </c>
    </row>
    <row r="279" spans="1:4" x14ac:dyDescent="0.25">
      <c r="A279" t="s">
        <v>2373</v>
      </c>
      <c r="B279" t="s">
        <v>2374</v>
      </c>
      <c r="C279" t="s">
        <v>3885</v>
      </c>
      <c r="D279" s="69">
        <v>4.416666666666667</v>
      </c>
    </row>
    <row r="280" spans="1:4" x14ac:dyDescent="0.25">
      <c r="A280" t="s">
        <v>2375</v>
      </c>
      <c r="B280" t="s">
        <v>2376</v>
      </c>
      <c r="C280" t="s">
        <v>4011</v>
      </c>
      <c r="D280" s="69">
        <v>2.2599999999999998</v>
      </c>
    </row>
    <row r="281" spans="1:4" x14ac:dyDescent="0.25">
      <c r="A281" t="s">
        <v>2377</v>
      </c>
      <c r="B281" t="s">
        <v>2378</v>
      </c>
      <c r="C281" t="s">
        <v>3913</v>
      </c>
      <c r="D281" s="69">
        <v>8.3866666666666667</v>
      </c>
    </row>
    <row r="282" spans="1:4" x14ac:dyDescent="0.25">
      <c r="A282" t="s">
        <v>2379</v>
      </c>
      <c r="B282" t="s">
        <v>2380</v>
      </c>
      <c r="C282" t="s">
        <v>4012</v>
      </c>
      <c r="D282" s="69">
        <v>1.8</v>
      </c>
    </row>
    <row r="283" spans="1:4" x14ac:dyDescent="0.25">
      <c r="A283" t="s">
        <v>2381</v>
      </c>
      <c r="B283" t="s">
        <v>2382</v>
      </c>
      <c r="C283" t="s">
        <v>4013</v>
      </c>
      <c r="D283" s="69">
        <v>36</v>
      </c>
    </row>
    <row r="284" spans="1:4" x14ac:dyDescent="0.25">
      <c r="A284" t="s">
        <v>2383</v>
      </c>
      <c r="B284" t="s">
        <v>2384</v>
      </c>
      <c r="C284" t="s">
        <v>3923</v>
      </c>
      <c r="D284" s="69">
        <v>6.4309447317624882</v>
      </c>
    </row>
    <row r="285" spans="1:4" x14ac:dyDescent="0.25">
      <c r="A285" t="s">
        <v>2385</v>
      </c>
      <c r="B285" t="s">
        <v>2386</v>
      </c>
      <c r="C285" t="s">
        <v>3881</v>
      </c>
      <c r="D285" s="69">
        <v>1.8974792740043978</v>
      </c>
    </row>
    <row r="286" spans="1:4" x14ac:dyDescent="0.25">
      <c r="A286" t="s">
        <v>1824</v>
      </c>
      <c r="B286" t="s">
        <v>2387</v>
      </c>
      <c r="C286" t="s">
        <v>4014</v>
      </c>
      <c r="D286" s="69">
        <v>5.05</v>
      </c>
    </row>
    <row r="287" spans="1:4" x14ac:dyDescent="0.25">
      <c r="A287" t="s">
        <v>2388</v>
      </c>
      <c r="B287" t="s">
        <v>2389</v>
      </c>
      <c r="C287" t="s">
        <v>3888</v>
      </c>
      <c r="D287" s="69">
        <v>1.1833333333333331</v>
      </c>
    </row>
    <row r="288" spans="1:4" x14ac:dyDescent="0.25">
      <c r="A288" t="s">
        <v>2390</v>
      </c>
      <c r="B288" t="s">
        <v>2391</v>
      </c>
      <c r="C288" t="s">
        <v>3943</v>
      </c>
      <c r="D288" s="69">
        <v>1.1000000000000001</v>
      </c>
    </row>
    <row r="289" spans="1:4" x14ac:dyDescent="0.25">
      <c r="A289" t="s">
        <v>2392</v>
      </c>
      <c r="B289" t="s">
        <v>2393</v>
      </c>
      <c r="C289" t="s">
        <v>3964</v>
      </c>
      <c r="D289" s="69">
        <v>12.3</v>
      </c>
    </row>
    <row r="290" spans="1:4" x14ac:dyDescent="0.25">
      <c r="A290" t="s">
        <v>1285</v>
      </c>
      <c r="B290" t="s">
        <v>2394</v>
      </c>
      <c r="C290" t="s">
        <v>3963</v>
      </c>
      <c r="D290" s="69">
        <v>16.521739130434785</v>
      </c>
    </row>
    <row r="291" spans="1:4" x14ac:dyDescent="0.25">
      <c r="A291" t="s">
        <v>2395</v>
      </c>
      <c r="B291" t="s">
        <v>2396</v>
      </c>
      <c r="C291" t="s">
        <v>4015</v>
      </c>
      <c r="D291" s="69">
        <v>6.4954710144927539</v>
      </c>
    </row>
    <row r="292" spans="1:4" x14ac:dyDescent="0.25">
      <c r="A292" t="s">
        <v>2397</v>
      </c>
      <c r="B292" t="s">
        <v>2398</v>
      </c>
      <c r="C292" t="s">
        <v>3874</v>
      </c>
      <c r="D292" s="69">
        <v>5.2</v>
      </c>
    </row>
    <row r="293" spans="1:4" x14ac:dyDescent="0.25">
      <c r="A293" t="s">
        <v>1841</v>
      </c>
      <c r="B293" t="s">
        <v>2399</v>
      </c>
      <c r="C293" t="s">
        <v>3964</v>
      </c>
      <c r="D293" s="69">
        <v>16.5</v>
      </c>
    </row>
    <row r="294" spans="1:4" x14ac:dyDescent="0.25">
      <c r="A294" t="s">
        <v>2400</v>
      </c>
      <c r="B294" t="s">
        <v>2401</v>
      </c>
      <c r="C294" t="s">
        <v>3888</v>
      </c>
      <c r="D294" s="69">
        <v>1.2391766987693953</v>
      </c>
    </row>
    <row r="295" spans="1:4" x14ac:dyDescent="0.25">
      <c r="A295" t="s">
        <v>2402</v>
      </c>
      <c r="B295" t="s">
        <v>2403</v>
      </c>
      <c r="C295" t="s">
        <v>4016</v>
      </c>
      <c r="D295" s="69">
        <v>14.9</v>
      </c>
    </row>
    <row r="296" spans="1:4" x14ac:dyDescent="0.25">
      <c r="A296" t="s">
        <v>2404</v>
      </c>
      <c r="B296" t="s">
        <v>2405</v>
      </c>
      <c r="C296" t="s">
        <v>4004</v>
      </c>
      <c r="D296" s="69">
        <v>1.9166666666666667</v>
      </c>
    </row>
    <row r="297" spans="1:4" x14ac:dyDescent="0.25">
      <c r="A297" t="s">
        <v>2406</v>
      </c>
      <c r="B297" t="s">
        <v>2407</v>
      </c>
      <c r="C297" t="s">
        <v>3988</v>
      </c>
      <c r="D297" s="69">
        <v>15.799999999999999</v>
      </c>
    </row>
    <row r="298" spans="1:4" x14ac:dyDescent="0.25">
      <c r="A298" t="s">
        <v>2408</v>
      </c>
      <c r="B298" t="s">
        <v>2409</v>
      </c>
      <c r="C298" t="s">
        <v>3888</v>
      </c>
      <c r="D298" s="69">
        <v>3.5</v>
      </c>
    </row>
    <row r="299" spans="1:4" x14ac:dyDescent="0.25">
      <c r="A299" t="s">
        <v>2410</v>
      </c>
      <c r="B299" t="s">
        <v>2411</v>
      </c>
      <c r="C299" t="s">
        <v>4017</v>
      </c>
      <c r="D299" s="69">
        <v>9.0000000000000018</v>
      </c>
    </row>
    <row r="300" spans="1:4" x14ac:dyDescent="0.25">
      <c r="A300" t="s">
        <v>2412</v>
      </c>
      <c r="B300" t="s">
        <v>2413</v>
      </c>
      <c r="C300" t="s">
        <v>3888</v>
      </c>
      <c r="D300" s="69">
        <v>1.8</v>
      </c>
    </row>
    <row r="301" spans="1:4" x14ac:dyDescent="0.25">
      <c r="A301" t="s">
        <v>2414</v>
      </c>
      <c r="B301" t="s">
        <v>2415</v>
      </c>
      <c r="C301" t="s">
        <v>3964</v>
      </c>
      <c r="D301" s="69">
        <v>12.9</v>
      </c>
    </row>
    <row r="302" spans="1:4" x14ac:dyDescent="0.25">
      <c r="A302" t="s">
        <v>2416</v>
      </c>
      <c r="B302" t="s">
        <v>2417</v>
      </c>
      <c r="C302" t="s">
        <v>3879</v>
      </c>
      <c r="D302" s="69">
        <v>1</v>
      </c>
    </row>
    <row r="303" spans="1:4" x14ac:dyDescent="0.25">
      <c r="A303" t="s">
        <v>1844</v>
      </c>
      <c r="B303" t="s">
        <v>2418</v>
      </c>
      <c r="C303" t="s">
        <v>4018</v>
      </c>
      <c r="D303" s="69">
        <v>6.9000000000000012</v>
      </c>
    </row>
    <row r="304" spans="1:4" x14ac:dyDescent="0.25">
      <c r="A304" t="s">
        <v>2419</v>
      </c>
      <c r="B304" t="s">
        <v>2420</v>
      </c>
      <c r="C304" t="s">
        <v>4019</v>
      </c>
      <c r="D304" s="69">
        <v>7.58</v>
      </c>
    </row>
    <row r="305" spans="1:4" x14ac:dyDescent="0.25">
      <c r="A305" t="s">
        <v>2421</v>
      </c>
      <c r="B305" t="s">
        <v>2422</v>
      </c>
      <c r="C305" t="s">
        <v>4020</v>
      </c>
      <c r="D305" s="69">
        <v>9.0257352941176467</v>
      </c>
    </row>
    <row r="306" spans="1:4" x14ac:dyDescent="0.25">
      <c r="A306" t="s">
        <v>1713</v>
      </c>
      <c r="B306" t="s">
        <v>2423</v>
      </c>
      <c r="C306" t="s">
        <v>3914</v>
      </c>
      <c r="D306" s="69">
        <v>5.2173913043478262</v>
      </c>
    </row>
    <row r="307" spans="1:4" x14ac:dyDescent="0.25">
      <c r="A307" t="s">
        <v>2424</v>
      </c>
      <c r="B307" t="s">
        <v>2425</v>
      </c>
      <c r="C307" t="s">
        <v>4021</v>
      </c>
      <c r="D307" s="69">
        <v>9.6999999999999993</v>
      </c>
    </row>
    <row r="308" spans="1:4" x14ac:dyDescent="0.25">
      <c r="A308" t="s">
        <v>2426</v>
      </c>
      <c r="B308" t="s">
        <v>2427</v>
      </c>
      <c r="C308" t="s">
        <v>3908</v>
      </c>
      <c r="D308" s="69">
        <v>0.69565217391304357</v>
      </c>
    </row>
    <row r="309" spans="1:4" x14ac:dyDescent="0.25">
      <c r="A309" t="s">
        <v>2428</v>
      </c>
      <c r="B309" t="s">
        <v>2429</v>
      </c>
      <c r="C309" t="s">
        <v>3905</v>
      </c>
      <c r="D309" s="69">
        <v>0.79333333333333333</v>
      </c>
    </row>
    <row r="310" spans="1:4" x14ac:dyDescent="0.25">
      <c r="A310" t="s">
        <v>1813</v>
      </c>
      <c r="B310" t="s">
        <v>2430</v>
      </c>
      <c r="C310" t="s">
        <v>3991</v>
      </c>
      <c r="D310" s="69">
        <v>5.4220211553465267</v>
      </c>
    </row>
    <row r="311" spans="1:4" x14ac:dyDescent="0.25">
      <c r="A311" t="s">
        <v>2431</v>
      </c>
      <c r="B311" t="s">
        <v>2432</v>
      </c>
      <c r="C311" t="s">
        <v>3891</v>
      </c>
      <c r="D311" s="69">
        <v>1.5833333333333333</v>
      </c>
    </row>
    <row r="312" spans="1:4" x14ac:dyDescent="0.25">
      <c r="A312" t="s">
        <v>2433</v>
      </c>
      <c r="B312" t="s">
        <v>2434</v>
      </c>
      <c r="C312" t="s">
        <v>3879</v>
      </c>
      <c r="D312" s="69">
        <v>1.2</v>
      </c>
    </row>
    <row r="313" spans="1:4" x14ac:dyDescent="0.25">
      <c r="A313" t="s">
        <v>2435</v>
      </c>
      <c r="B313" t="s">
        <v>2436</v>
      </c>
      <c r="C313" t="s">
        <v>3876</v>
      </c>
      <c r="D313" s="69">
        <v>0.83333333333333337</v>
      </c>
    </row>
    <row r="314" spans="1:4" x14ac:dyDescent="0.25">
      <c r="A314" t="s">
        <v>2437</v>
      </c>
      <c r="B314" t="s">
        <v>2438</v>
      </c>
      <c r="C314" t="s">
        <v>3964</v>
      </c>
      <c r="D314" s="69">
        <v>29.189809514067115</v>
      </c>
    </row>
    <row r="315" spans="1:4" x14ac:dyDescent="0.25">
      <c r="A315" t="s">
        <v>2439</v>
      </c>
      <c r="B315" t="s">
        <v>2440</v>
      </c>
      <c r="C315" t="s">
        <v>4022</v>
      </c>
      <c r="D315" s="69">
        <v>0.63006300630063006</v>
      </c>
    </row>
    <row r="316" spans="1:4" x14ac:dyDescent="0.25">
      <c r="A316" t="s">
        <v>2441</v>
      </c>
      <c r="B316" t="s">
        <v>2442</v>
      </c>
      <c r="C316" t="s">
        <v>4023</v>
      </c>
      <c r="D316" s="69">
        <v>9.6999999999999993</v>
      </c>
    </row>
    <row r="317" spans="1:4" x14ac:dyDescent="0.25">
      <c r="A317" t="s">
        <v>2443</v>
      </c>
      <c r="B317" t="s">
        <v>2444</v>
      </c>
      <c r="C317" t="s">
        <v>4024</v>
      </c>
      <c r="D317" s="69">
        <v>9.3000000000000007</v>
      </c>
    </row>
    <row r="318" spans="1:4" x14ac:dyDescent="0.25">
      <c r="A318" t="s">
        <v>1821</v>
      </c>
      <c r="B318" t="s">
        <v>2445</v>
      </c>
      <c r="C318" t="s">
        <v>4025</v>
      </c>
      <c r="D318" s="69">
        <v>9</v>
      </c>
    </row>
    <row r="319" spans="1:4" x14ac:dyDescent="0.25">
      <c r="A319" t="s">
        <v>2446</v>
      </c>
      <c r="B319" t="s">
        <v>2447</v>
      </c>
      <c r="C319" t="s">
        <v>3876</v>
      </c>
      <c r="D319" s="69">
        <v>0.52</v>
      </c>
    </row>
    <row r="320" spans="1:4" x14ac:dyDescent="0.25">
      <c r="A320" t="s">
        <v>2448</v>
      </c>
      <c r="B320" t="s">
        <v>2449</v>
      </c>
      <c r="C320" t="s">
        <v>4012</v>
      </c>
      <c r="D320" s="69">
        <v>1.4031475644026388</v>
      </c>
    </row>
    <row r="321" spans="1:4" x14ac:dyDescent="0.25">
      <c r="A321" t="s">
        <v>2450</v>
      </c>
      <c r="B321" t="s">
        <v>2451</v>
      </c>
      <c r="C321" t="s">
        <v>3905</v>
      </c>
      <c r="D321" s="69">
        <v>0.62</v>
      </c>
    </row>
    <row r="322" spans="1:4" x14ac:dyDescent="0.25">
      <c r="A322" t="s">
        <v>2452</v>
      </c>
      <c r="B322" t="s">
        <v>2453</v>
      </c>
      <c r="C322" t="s">
        <v>3964</v>
      </c>
      <c r="D322" s="69">
        <v>18.31304347826087</v>
      </c>
    </row>
    <row r="323" spans="1:4" x14ac:dyDescent="0.25">
      <c r="A323" t="s">
        <v>2454</v>
      </c>
      <c r="B323" t="s">
        <v>2455</v>
      </c>
      <c r="C323" t="s">
        <v>3890</v>
      </c>
      <c r="D323" s="69">
        <v>12.173913043478263</v>
      </c>
    </row>
    <row r="324" spans="1:4" x14ac:dyDescent="0.25">
      <c r="A324" t="s">
        <v>226</v>
      </c>
      <c r="B324" t="s">
        <v>585</v>
      </c>
      <c r="C324" t="s">
        <v>3884</v>
      </c>
      <c r="D324" s="69">
        <v>7.47</v>
      </c>
    </row>
    <row r="325" spans="1:4" x14ac:dyDescent="0.25">
      <c r="A325" t="s">
        <v>2456</v>
      </c>
      <c r="B325" t="s">
        <v>2457</v>
      </c>
      <c r="C325" t="s">
        <v>3885</v>
      </c>
      <c r="D325" s="69">
        <v>0.39050774986638165</v>
      </c>
    </row>
    <row r="326" spans="1:4" x14ac:dyDescent="0.25">
      <c r="A326" t="s">
        <v>2458</v>
      </c>
      <c r="B326" t="s">
        <v>2459</v>
      </c>
      <c r="C326" t="s">
        <v>3906</v>
      </c>
      <c r="D326" s="69">
        <v>9.1199999999999992</v>
      </c>
    </row>
    <row r="327" spans="1:4" x14ac:dyDescent="0.25">
      <c r="A327" t="s">
        <v>2460</v>
      </c>
      <c r="B327" t="s">
        <v>2461</v>
      </c>
      <c r="C327" t="s">
        <v>3881</v>
      </c>
      <c r="D327" s="69">
        <v>0.77851138519924101</v>
      </c>
    </row>
    <row r="328" spans="1:4" x14ac:dyDescent="0.25">
      <c r="A328" t="s">
        <v>2462</v>
      </c>
      <c r="B328" t="s">
        <v>2463</v>
      </c>
      <c r="C328" t="s">
        <v>4026</v>
      </c>
      <c r="D328" s="69">
        <v>9.0399999999999991</v>
      </c>
    </row>
    <row r="329" spans="1:4" x14ac:dyDescent="0.25">
      <c r="A329" t="s">
        <v>2464</v>
      </c>
      <c r="B329" t="s">
        <v>2465</v>
      </c>
      <c r="C329" t="s">
        <v>3876</v>
      </c>
      <c r="D329" s="69">
        <v>1.4</v>
      </c>
    </row>
    <row r="330" spans="1:4" x14ac:dyDescent="0.25">
      <c r="A330" t="s">
        <v>2466</v>
      </c>
      <c r="B330" t="s">
        <v>2467</v>
      </c>
      <c r="C330" t="s">
        <v>4027</v>
      </c>
      <c r="D330" s="69">
        <v>0.28556335050737036</v>
      </c>
    </row>
    <row r="331" spans="1:4" x14ac:dyDescent="0.25">
      <c r="A331" t="s">
        <v>2468</v>
      </c>
      <c r="B331" t="s">
        <v>2469</v>
      </c>
      <c r="C331" t="s">
        <v>4028</v>
      </c>
      <c r="D331" s="69">
        <v>7</v>
      </c>
    </row>
    <row r="332" spans="1:4" x14ac:dyDescent="0.25">
      <c r="A332" t="s">
        <v>1299</v>
      </c>
      <c r="B332" t="s">
        <v>2470</v>
      </c>
      <c r="C332" t="s">
        <v>3968</v>
      </c>
      <c r="D332" s="69">
        <v>9.4351083091326657</v>
      </c>
    </row>
    <row r="333" spans="1:4" x14ac:dyDescent="0.25">
      <c r="A333" t="s">
        <v>2471</v>
      </c>
      <c r="B333" t="s">
        <v>2472</v>
      </c>
      <c r="C333" t="s">
        <v>4029</v>
      </c>
      <c r="D333" s="69">
        <v>0.98333333333333339</v>
      </c>
    </row>
    <row r="334" spans="1:4" x14ac:dyDescent="0.25">
      <c r="A334" t="s">
        <v>2473</v>
      </c>
      <c r="B334" t="s">
        <v>2474</v>
      </c>
      <c r="C334" t="s">
        <v>3968</v>
      </c>
      <c r="D334" s="69">
        <v>12.75</v>
      </c>
    </row>
    <row r="335" spans="1:4" x14ac:dyDescent="0.25">
      <c r="A335" t="s">
        <v>2475</v>
      </c>
      <c r="B335" t="s">
        <v>2476</v>
      </c>
      <c r="C335" t="s">
        <v>3888</v>
      </c>
      <c r="D335" s="69">
        <v>3.4666666666666668</v>
      </c>
    </row>
    <row r="336" spans="1:4" x14ac:dyDescent="0.25">
      <c r="A336" t="s">
        <v>2477</v>
      </c>
      <c r="B336" t="s">
        <v>2478</v>
      </c>
      <c r="C336" t="s">
        <v>3955</v>
      </c>
      <c r="D336" s="69">
        <v>0.495</v>
      </c>
    </row>
    <row r="337" spans="1:4" x14ac:dyDescent="0.25">
      <c r="A337" t="s">
        <v>2479</v>
      </c>
      <c r="B337" t="s">
        <v>2480</v>
      </c>
      <c r="C337" t="s">
        <v>4030</v>
      </c>
      <c r="D337" s="69">
        <v>7.3913043478260878</v>
      </c>
    </row>
    <row r="338" spans="1:4" x14ac:dyDescent="0.25">
      <c r="A338" t="s">
        <v>2481</v>
      </c>
      <c r="B338" t="s">
        <v>2482</v>
      </c>
      <c r="C338" t="s">
        <v>4031</v>
      </c>
      <c r="D338" s="69">
        <v>1.6238677536231885</v>
      </c>
    </row>
    <row r="339" spans="1:4" x14ac:dyDescent="0.25">
      <c r="A339" t="s">
        <v>2483</v>
      </c>
      <c r="B339" t="s">
        <v>2484</v>
      </c>
      <c r="C339" t="s">
        <v>3951</v>
      </c>
      <c r="D339" s="69">
        <v>12.37</v>
      </c>
    </row>
    <row r="340" spans="1:4" x14ac:dyDescent="0.25">
      <c r="A340" t="s">
        <v>2485</v>
      </c>
      <c r="B340" t="s">
        <v>2486</v>
      </c>
      <c r="C340" t="s">
        <v>3888</v>
      </c>
      <c r="D340" s="69">
        <v>3</v>
      </c>
    </row>
    <row r="341" spans="1:4" x14ac:dyDescent="0.25">
      <c r="A341" t="s">
        <v>2487</v>
      </c>
      <c r="B341" t="s">
        <v>2488</v>
      </c>
      <c r="C341" t="s">
        <v>3885</v>
      </c>
      <c r="D341" s="69">
        <v>0.82628218188342384</v>
      </c>
    </row>
    <row r="342" spans="1:4" x14ac:dyDescent="0.25">
      <c r="A342" t="s">
        <v>2489</v>
      </c>
      <c r="B342" t="s">
        <v>2490</v>
      </c>
      <c r="C342" t="s">
        <v>3959</v>
      </c>
      <c r="D342" s="69">
        <v>1.2</v>
      </c>
    </row>
    <row r="343" spans="1:4" x14ac:dyDescent="0.25">
      <c r="A343" t="s">
        <v>2491</v>
      </c>
      <c r="B343" t="s">
        <v>2492</v>
      </c>
      <c r="C343" t="s">
        <v>4032</v>
      </c>
      <c r="D343" s="69">
        <v>1.1499999999999999</v>
      </c>
    </row>
    <row r="344" spans="1:4" x14ac:dyDescent="0.25">
      <c r="A344" t="s">
        <v>2493</v>
      </c>
      <c r="B344" t="s">
        <v>2494</v>
      </c>
      <c r="C344" t="s">
        <v>3955</v>
      </c>
      <c r="D344" s="69">
        <v>0.57499999999999996</v>
      </c>
    </row>
    <row r="345" spans="1:4" x14ac:dyDescent="0.25">
      <c r="A345" t="s">
        <v>2495</v>
      </c>
      <c r="B345" t="s">
        <v>2496</v>
      </c>
      <c r="C345" t="s">
        <v>4016</v>
      </c>
      <c r="D345" s="69">
        <v>14.9</v>
      </c>
    </row>
    <row r="346" spans="1:4" x14ac:dyDescent="0.25">
      <c r="A346" t="s">
        <v>2497</v>
      </c>
      <c r="B346" t="s">
        <v>2498</v>
      </c>
      <c r="C346" t="s">
        <v>3885</v>
      </c>
      <c r="D346" s="69">
        <v>1.2883333333333336</v>
      </c>
    </row>
    <row r="347" spans="1:4" x14ac:dyDescent="0.25">
      <c r="A347" t="s">
        <v>2499</v>
      </c>
      <c r="B347" t="s">
        <v>2500</v>
      </c>
      <c r="C347" t="s">
        <v>3885</v>
      </c>
      <c r="D347" s="69">
        <v>0.68799999999999994</v>
      </c>
    </row>
    <row r="348" spans="1:4" x14ac:dyDescent="0.25">
      <c r="A348" t="s">
        <v>2501</v>
      </c>
      <c r="B348" t="s">
        <v>2502</v>
      </c>
      <c r="C348" t="s">
        <v>3881</v>
      </c>
      <c r="D348" s="69">
        <v>3.1999547101449277</v>
      </c>
    </row>
    <row r="349" spans="1:4" x14ac:dyDescent="0.25">
      <c r="A349" t="s">
        <v>2503</v>
      </c>
      <c r="B349" t="s">
        <v>2504</v>
      </c>
      <c r="C349" t="s">
        <v>3889</v>
      </c>
      <c r="D349" s="69">
        <v>6</v>
      </c>
    </row>
    <row r="350" spans="1:4" x14ac:dyDescent="0.25">
      <c r="A350" t="s">
        <v>2505</v>
      </c>
      <c r="B350" t="s">
        <v>2506</v>
      </c>
      <c r="C350" t="s">
        <v>3891</v>
      </c>
      <c r="D350" s="69">
        <v>0.2</v>
      </c>
    </row>
    <row r="351" spans="1:4" x14ac:dyDescent="0.25">
      <c r="A351" t="s">
        <v>512</v>
      </c>
      <c r="B351" t="s">
        <v>513</v>
      </c>
      <c r="C351" t="s">
        <v>3884</v>
      </c>
      <c r="D351" s="69">
        <v>6.2701791044776112</v>
      </c>
    </row>
    <row r="352" spans="1:4" x14ac:dyDescent="0.25">
      <c r="A352" t="s">
        <v>2507</v>
      </c>
      <c r="B352" t="s">
        <v>2508</v>
      </c>
      <c r="C352" t="s">
        <v>4033</v>
      </c>
      <c r="D352" s="69">
        <v>26.5</v>
      </c>
    </row>
    <row r="353" spans="1:4" x14ac:dyDescent="0.25">
      <c r="A353" t="s">
        <v>2509</v>
      </c>
      <c r="B353" t="s">
        <v>2510</v>
      </c>
      <c r="C353" t="s">
        <v>4034</v>
      </c>
      <c r="D353" s="69">
        <v>2</v>
      </c>
    </row>
    <row r="354" spans="1:4" x14ac:dyDescent="0.25">
      <c r="A354" t="s">
        <v>2511</v>
      </c>
      <c r="B354" t="s">
        <v>2512</v>
      </c>
      <c r="C354" t="s">
        <v>3881</v>
      </c>
      <c r="D354" s="69">
        <v>1.7164855072463769</v>
      </c>
    </row>
    <row r="355" spans="1:4" x14ac:dyDescent="0.25">
      <c r="A355" t="s">
        <v>1836</v>
      </c>
      <c r="B355" t="s">
        <v>2513</v>
      </c>
      <c r="C355" t="s">
        <v>3968</v>
      </c>
      <c r="D355" s="69">
        <v>11.2</v>
      </c>
    </row>
    <row r="356" spans="1:4" x14ac:dyDescent="0.25">
      <c r="A356" t="s">
        <v>2514</v>
      </c>
      <c r="B356" t="s">
        <v>2515</v>
      </c>
      <c r="C356" t="s">
        <v>3888</v>
      </c>
      <c r="D356" s="69">
        <v>1.9845644983461961</v>
      </c>
    </row>
    <row r="357" spans="1:4" x14ac:dyDescent="0.25">
      <c r="A357" t="s">
        <v>2516</v>
      </c>
      <c r="B357" t="s">
        <v>2517</v>
      </c>
      <c r="C357" t="s">
        <v>4004</v>
      </c>
      <c r="D357" s="69">
        <v>1.3932934926958831</v>
      </c>
    </row>
    <row r="358" spans="1:4" x14ac:dyDescent="0.25">
      <c r="A358" t="s">
        <v>2518</v>
      </c>
      <c r="B358" t="s">
        <v>2519</v>
      </c>
      <c r="C358" t="s">
        <v>3888</v>
      </c>
      <c r="D358" s="69">
        <v>7</v>
      </c>
    </row>
    <row r="359" spans="1:4" x14ac:dyDescent="0.25">
      <c r="A359" t="s">
        <v>2520</v>
      </c>
      <c r="B359" t="s">
        <v>2521</v>
      </c>
      <c r="C359" t="s">
        <v>3888</v>
      </c>
      <c r="D359" s="69">
        <v>1.5652173913043479</v>
      </c>
    </row>
    <row r="360" spans="1:4" x14ac:dyDescent="0.25">
      <c r="A360" t="s">
        <v>2522</v>
      </c>
      <c r="B360" t="s">
        <v>2523</v>
      </c>
      <c r="C360" t="s">
        <v>3955</v>
      </c>
      <c r="D360" s="69">
        <v>0.98475000000000001</v>
      </c>
    </row>
    <row r="361" spans="1:4" x14ac:dyDescent="0.25">
      <c r="A361" t="s">
        <v>1295</v>
      </c>
      <c r="B361" t="s">
        <v>2524</v>
      </c>
      <c r="C361" t="s">
        <v>4035</v>
      </c>
      <c r="D361" s="69">
        <v>13.913043478260871</v>
      </c>
    </row>
    <row r="362" spans="1:4" x14ac:dyDescent="0.25">
      <c r="A362" t="s">
        <v>1867</v>
      </c>
      <c r="B362" t="s">
        <v>2525</v>
      </c>
      <c r="C362" t="s">
        <v>3962</v>
      </c>
      <c r="D362" s="69">
        <v>10.81</v>
      </c>
    </row>
    <row r="363" spans="1:4" x14ac:dyDescent="0.25">
      <c r="A363" t="s">
        <v>2526</v>
      </c>
      <c r="B363" t="s">
        <v>2527</v>
      </c>
      <c r="C363" t="s">
        <v>3889</v>
      </c>
      <c r="D363" s="69">
        <v>1.58</v>
      </c>
    </row>
    <row r="364" spans="1:4" x14ac:dyDescent="0.25">
      <c r="A364" t="s">
        <v>2528</v>
      </c>
      <c r="B364" t="s">
        <v>2529</v>
      </c>
      <c r="C364" t="s">
        <v>4036</v>
      </c>
      <c r="D364" s="69">
        <v>2.1833333333333331</v>
      </c>
    </row>
    <row r="365" spans="1:4" x14ac:dyDescent="0.25">
      <c r="A365" t="s">
        <v>2530</v>
      </c>
      <c r="B365" t="s">
        <v>2531</v>
      </c>
      <c r="C365" t="s">
        <v>4037</v>
      </c>
      <c r="D365" s="69">
        <v>0.92499999999999993</v>
      </c>
    </row>
    <row r="366" spans="1:4" x14ac:dyDescent="0.25">
      <c r="A366" t="s">
        <v>2532</v>
      </c>
      <c r="B366" t="s">
        <v>2533</v>
      </c>
      <c r="C366" t="s">
        <v>4004</v>
      </c>
      <c r="D366" s="69">
        <v>1.8666666666666665</v>
      </c>
    </row>
    <row r="367" spans="1:4" x14ac:dyDescent="0.25">
      <c r="A367" t="s">
        <v>2534</v>
      </c>
      <c r="B367" t="s">
        <v>2535</v>
      </c>
      <c r="C367" t="s">
        <v>4004</v>
      </c>
      <c r="D367" s="69">
        <v>1.5725180515221109</v>
      </c>
    </row>
    <row r="368" spans="1:4" x14ac:dyDescent="0.25">
      <c r="A368" t="s">
        <v>2536</v>
      </c>
      <c r="B368" t="s">
        <v>2537</v>
      </c>
      <c r="C368" t="s">
        <v>4038</v>
      </c>
      <c r="D368" s="69">
        <v>15.558412698412697</v>
      </c>
    </row>
    <row r="369" spans="1:4" x14ac:dyDescent="0.25">
      <c r="A369" t="s">
        <v>2538</v>
      </c>
      <c r="B369" t="s">
        <v>2539</v>
      </c>
      <c r="C369" t="s">
        <v>4039</v>
      </c>
      <c r="D369" s="69">
        <v>36</v>
      </c>
    </row>
    <row r="370" spans="1:4" x14ac:dyDescent="0.25">
      <c r="A370" t="s">
        <v>2540</v>
      </c>
      <c r="B370" t="s">
        <v>2541</v>
      </c>
      <c r="C370" t="s">
        <v>4040</v>
      </c>
      <c r="D370" s="69">
        <v>1.2030555555555555</v>
      </c>
    </row>
    <row r="371" spans="1:4" x14ac:dyDescent="0.25">
      <c r="A371" t="s">
        <v>2542</v>
      </c>
      <c r="B371" t="s">
        <v>2543</v>
      </c>
      <c r="C371" t="s">
        <v>3885</v>
      </c>
      <c r="D371" s="69">
        <v>0.45</v>
      </c>
    </row>
    <row r="372" spans="1:4" x14ac:dyDescent="0.25">
      <c r="A372" t="s">
        <v>2544</v>
      </c>
      <c r="B372" t="s">
        <v>2545</v>
      </c>
      <c r="C372" t="s">
        <v>3929</v>
      </c>
      <c r="D372" s="69">
        <v>1.9583333333333333</v>
      </c>
    </row>
    <row r="373" spans="1:4" x14ac:dyDescent="0.25">
      <c r="A373" t="s">
        <v>2546</v>
      </c>
      <c r="B373" t="s">
        <v>2547</v>
      </c>
      <c r="C373" t="s">
        <v>3959</v>
      </c>
      <c r="D373" s="69">
        <v>1.1625000000000001</v>
      </c>
    </row>
    <row r="374" spans="1:4" x14ac:dyDescent="0.25">
      <c r="A374" t="s">
        <v>2548</v>
      </c>
      <c r="B374" t="s">
        <v>2549</v>
      </c>
      <c r="C374" t="s">
        <v>3888</v>
      </c>
      <c r="D374" s="69">
        <v>1.4750000000000001</v>
      </c>
    </row>
    <row r="375" spans="1:4" x14ac:dyDescent="0.25">
      <c r="A375" t="s">
        <v>2550</v>
      </c>
      <c r="B375" t="s">
        <v>2551</v>
      </c>
      <c r="C375" t="s">
        <v>3888</v>
      </c>
      <c r="D375" s="69">
        <v>1.9845644983461961</v>
      </c>
    </row>
    <row r="376" spans="1:4" x14ac:dyDescent="0.25">
      <c r="A376" t="s">
        <v>2552</v>
      </c>
      <c r="B376" t="s">
        <v>2553</v>
      </c>
      <c r="C376" t="s">
        <v>3888</v>
      </c>
      <c r="D376" s="69">
        <v>1.0434782608695652</v>
      </c>
    </row>
    <row r="377" spans="1:4" x14ac:dyDescent="0.25">
      <c r="A377" t="s">
        <v>2554</v>
      </c>
      <c r="B377" t="s">
        <v>2555</v>
      </c>
      <c r="C377" t="s">
        <v>3881</v>
      </c>
      <c r="D377" s="69">
        <v>8.1</v>
      </c>
    </row>
    <row r="378" spans="1:4" x14ac:dyDescent="0.25">
      <c r="A378" t="s">
        <v>2556</v>
      </c>
      <c r="B378" t="s">
        <v>2557</v>
      </c>
      <c r="C378" t="s">
        <v>3959</v>
      </c>
      <c r="D378" s="69">
        <v>1.0125</v>
      </c>
    </row>
    <row r="379" spans="1:4" x14ac:dyDescent="0.25">
      <c r="A379" t="s">
        <v>2558</v>
      </c>
      <c r="B379" t="s">
        <v>2559</v>
      </c>
      <c r="C379" t="s">
        <v>4041</v>
      </c>
      <c r="D379" s="69">
        <v>10.49</v>
      </c>
    </row>
    <row r="380" spans="1:4" x14ac:dyDescent="0.25">
      <c r="A380" t="s">
        <v>2560</v>
      </c>
      <c r="B380" t="s">
        <v>2561</v>
      </c>
      <c r="C380" t="s">
        <v>3888</v>
      </c>
      <c r="D380" s="69">
        <v>0.8820652173913045</v>
      </c>
    </row>
    <row r="381" spans="1:4" x14ac:dyDescent="0.25">
      <c r="A381" t="s">
        <v>2562</v>
      </c>
      <c r="B381" t="s">
        <v>2563</v>
      </c>
      <c r="C381" t="s">
        <v>4042</v>
      </c>
      <c r="D381" s="69">
        <v>8.3597609561752986</v>
      </c>
    </row>
    <row r="382" spans="1:4" x14ac:dyDescent="0.25">
      <c r="A382" t="s">
        <v>2564</v>
      </c>
      <c r="B382" t="s">
        <v>2565</v>
      </c>
      <c r="C382" t="s">
        <v>4043</v>
      </c>
      <c r="D382" s="69">
        <v>14.608695652173916</v>
      </c>
    </row>
    <row r="383" spans="1:4" x14ac:dyDescent="0.25">
      <c r="A383" t="s">
        <v>2566</v>
      </c>
      <c r="B383" t="s">
        <v>2567</v>
      </c>
      <c r="C383" t="s">
        <v>3876</v>
      </c>
      <c r="D383" s="69">
        <v>0.79000000000000015</v>
      </c>
    </row>
    <row r="384" spans="1:4" x14ac:dyDescent="0.25">
      <c r="A384" t="s">
        <v>2568</v>
      </c>
      <c r="B384" t="s">
        <v>2569</v>
      </c>
      <c r="C384" t="s">
        <v>4044</v>
      </c>
      <c r="D384" s="69">
        <v>26.123214285714283</v>
      </c>
    </row>
    <row r="385" spans="1:4" x14ac:dyDescent="0.25">
      <c r="A385" t="s">
        <v>2570</v>
      </c>
      <c r="B385" t="s">
        <v>2486</v>
      </c>
      <c r="C385" t="s">
        <v>3888</v>
      </c>
      <c r="D385" s="69">
        <v>3</v>
      </c>
    </row>
    <row r="386" spans="1:4" x14ac:dyDescent="0.25">
      <c r="A386" t="s">
        <v>2571</v>
      </c>
      <c r="B386" t="s">
        <v>2572</v>
      </c>
      <c r="C386" t="s">
        <v>4045</v>
      </c>
      <c r="D386" s="69">
        <v>12.85</v>
      </c>
    </row>
    <row r="387" spans="1:4" x14ac:dyDescent="0.25">
      <c r="A387" t="s">
        <v>1850</v>
      </c>
      <c r="B387" t="s">
        <v>1757</v>
      </c>
      <c r="C387" t="s">
        <v>4046</v>
      </c>
      <c r="D387" s="69">
        <v>26</v>
      </c>
    </row>
    <row r="388" spans="1:4" x14ac:dyDescent="0.25">
      <c r="A388" t="s">
        <v>2573</v>
      </c>
      <c r="B388" t="s">
        <v>2574</v>
      </c>
      <c r="C388" t="s">
        <v>4047</v>
      </c>
      <c r="D388" s="69">
        <v>24.79</v>
      </c>
    </row>
    <row r="389" spans="1:4" x14ac:dyDescent="0.25">
      <c r="A389" t="s">
        <v>2575</v>
      </c>
      <c r="B389" t="s">
        <v>2576</v>
      </c>
      <c r="C389" t="s">
        <v>3891</v>
      </c>
      <c r="D389" s="69">
        <v>0.22500000000000001</v>
      </c>
    </row>
    <row r="390" spans="1:4" x14ac:dyDescent="0.25">
      <c r="A390" t="s">
        <v>2577</v>
      </c>
      <c r="B390" t="s">
        <v>2578</v>
      </c>
      <c r="C390" t="s">
        <v>4048</v>
      </c>
      <c r="D390" s="69">
        <v>25.3</v>
      </c>
    </row>
    <row r="391" spans="1:4" x14ac:dyDescent="0.25">
      <c r="A391" t="s">
        <v>2579</v>
      </c>
      <c r="B391" t="s">
        <v>2580</v>
      </c>
      <c r="C391" t="s">
        <v>4049</v>
      </c>
      <c r="D391" s="69">
        <v>8.15</v>
      </c>
    </row>
    <row r="392" spans="1:4" x14ac:dyDescent="0.25">
      <c r="A392" t="s">
        <v>2581</v>
      </c>
      <c r="B392" t="s">
        <v>2582</v>
      </c>
      <c r="C392" t="s">
        <v>4050</v>
      </c>
      <c r="D392" s="69">
        <v>8.7853124999999999</v>
      </c>
    </row>
    <row r="393" spans="1:4" x14ac:dyDescent="0.25">
      <c r="A393" t="s">
        <v>2583</v>
      </c>
      <c r="B393" t="s">
        <v>2584</v>
      </c>
      <c r="C393" t="s">
        <v>4031</v>
      </c>
      <c r="D393" s="69">
        <v>1.22</v>
      </c>
    </row>
    <row r="394" spans="1:4" x14ac:dyDescent="0.25">
      <c r="A394" t="s">
        <v>2585</v>
      </c>
      <c r="B394" t="s">
        <v>2586</v>
      </c>
      <c r="C394" t="s">
        <v>3905</v>
      </c>
      <c r="D394" s="69">
        <v>1.0062500000000001</v>
      </c>
    </row>
    <row r="395" spans="1:4" x14ac:dyDescent="0.25">
      <c r="A395" t="s">
        <v>2587</v>
      </c>
      <c r="B395" t="s">
        <v>2588</v>
      </c>
      <c r="C395" t="s">
        <v>3929</v>
      </c>
      <c r="D395" s="69">
        <v>2.0375000000000001</v>
      </c>
    </row>
    <row r="396" spans="1:4" x14ac:dyDescent="0.25">
      <c r="A396" t="s">
        <v>2589</v>
      </c>
      <c r="B396" t="s">
        <v>2590</v>
      </c>
      <c r="C396" t="s">
        <v>4051</v>
      </c>
      <c r="D396" s="69">
        <v>26.81</v>
      </c>
    </row>
    <row r="397" spans="1:4" x14ac:dyDescent="0.25">
      <c r="A397" t="s">
        <v>1165</v>
      </c>
      <c r="B397" t="s">
        <v>1166</v>
      </c>
      <c r="C397" t="s">
        <v>3924</v>
      </c>
      <c r="D397" s="69">
        <v>3.7</v>
      </c>
    </row>
    <row r="398" spans="1:4" x14ac:dyDescent="0.25">
      <c r="A398" t="s">
        <v>2591</v>
      </c>
      <c r="B398" t="s">
        <v>2592</v>
      </c>
      <c r="C398" t="s">
        <v>4052</v>
      </c>
      <c r="D398" s="69">
        <v>24.44</v>
      </c>
    </row>
    <row r="399" spans="1:4" x14ac:dyDescent="0.25">
      <c r="A399" t="s">
        <v>2593</v>
      </c>
      <c r="B399" t="s">
        <v>2594</v>
      </c>
      <c r="C399" t="s">
        <v>4053</v>
      </c>
      <c r="D399" s="69">
        <v>32.630000000000003</v>
      </c>
    </row>
    <row r="400" spans="1:4" x14ac:dyDescent="0.25">
      <c r="A400" t="s">
        <v>2595</v>
      </c>
      <c r="B400" t="s">
        <v>2596</v>
      </c>
      <c r="C400" t="s">
        <v>4054</v>
      </c>
      <c r="D400" s="69">
        <v>32.799999999999997</v>
      </c>
    </row>
    <row r="401" spans="1:4" x14ac:dyDescent="0.25">
      <c r="A401" t="s">
        <v>2597</v>
      </c>
      <c r="B401" t="s">
        <v>2598</v>
      </c>
      <c r="C401" t="s">
        <v>3902</v>
      </c>
      <c r="D401" s="69">
        <v>16.170000000000002</v>
      </c>
    </row>
    <row r="402" spans="1:4" x14ac:dyDescent="0.25">
      <c r="A402" t="s">
        <v>2599</v>
      </c>
      <c r="B402" t="s">
        <v>2600</v>
      </c>
      <c r="C402" t="s">
        <v>3889</v>
      </c>
      <c r="D402" s="69">
        <v>2.5233333333333334</v>
      </c>
    </row>
    <row r="403" spans="1:4" x14ac:dyDescent="0.25">
      <c r="A403" t="s">
        <v>2601</v>
      </c>
      <c r="B403" t="s">
        <v>2602</v>
      </c>
      <c r="C403" t="s">
        <v>4055</v>
      </c>
      <c r="D403" s="69">
        <v>12.75</v>
      </c>
    </row>
    <row r="404" spans="1:4" x14ac:dyDescent="0.25">
      <c r="A404" t="s">
        <v>2603</v>
      </c>
      <c r="B404" t="s">
        <v>2604</v>
      </c>
      <c r="C404" t="s">
        <v>3906</v>
      </c>
      <c r="D404" s="69">
        <v>61.5</v>
      </c>
    </row>
    <row r="405" spans="1:4" x14ac:dyDescent="0.25">
      <c r="A405" t="s">
        <v>2605</v>
      </c>
      <c r="B405" t="s">
        <v>2606</v>
      </c>
      <c r="C405" t="s">
        <v>3981</v>
      </c>
      <c r="D405" s="69">
        <v>14.989999999999998</v>
      </c>
    </row>
    <row r="406" spans="1:4" x14ac:dyDescent="0.25">
      <c r="A406" t="s">
        <v>2607</v>
      </c>
      <c r="B406" t="s">
        <v>2608</v>
      </c>
      <c r="C406" t="s">
        <v>3881</v>
      </c>
      <c r="D406" s="69">
        <v>0.5</v>
      </c>
    </row>
    <row r="407" spans="1:4" x14ac:dyDescent="0.25">
      <c r="A407" t="s">
        <v>452</v>
      </c>
      <c r="B407" t="s">
        <v>601</v>
      </c>
      <c r="C407" t="s">
        <v>3911</v>
      </c>
      <c r="D407" s="69">
        <v>7.02</v>
      </c>
    </row>
    <row r="408" spans="1:4" x14ac:dyDescent="0.25">
      <c r="A408" t="s">
        <v>2609</v>
      </c>
      <c r="B408" t="s">
        <v>2610</v>
      </c>
      <c r="C408" t="s">
        <v>4056</v>
      </c>
      <c r="D408" s="69">
        <v>25.22</v>
      </c>
    </row>
    <row r="409" spans="1:4" x14ac:dyDescent="0.25">
      <c r="A409" t="s">
        <v>2611</v>
      </c>
      <c r="B409" t="s">
        <v>2612</v>
      </c>
      <c r="C409" t="s">
        <v>4057</v>
      </c>
      <c r="D409" s="69">
        <v>22.91</v>
      </c>
    </row>
    <row r="410" spans="1:4" x14ac:dyDescent="0.25">
      <c r="A410" t="s">
        <v>2613</v>
      </c>
      <c r="B410" t="s">
        <v>2614</v>
      </c>
      <c r="C410" t="s">
        <v>4058</v>
      </c>
      <c r="D410" s="69">
        <v>18.95</v>
      </c>
    </row>
    <row r="411" spans="1:4" x14ac:dyDescent="0.25">
      <c r="A411" t="s">
        <v>2615</v>
      </c>
      <c r="B411" t="s">
        <v>2616</v>
      </c>
      <c r="C411" t="s">
        <v>4059</v>
      </c>
      <c r="D411" s="69">
        <v>17.39</v>
      </c>
    </row>
    <row r="412" spans="1:4" x14ac:dyDescent="0.25">
      <c r="A412" t="s">
        <v>2617</v>
      </c>
      <c r="B412" t="s">
        <v>2618</v>
      </c>
      <c r="C412" t="s">
        <v>4060</v>
      </c>
      <c r="D412" s="69">
        <v>13.88</v>
      </c>
    </row>
    <row r="413" spans="1:4" x14ac:dyDescent="0.25">
      <c r="A413" t="s">
        <v>2619</v>
      </c>
      <c r="B413" t="s">
        <v>2620</v>
      </c>
      <c r="C413" t="s">
        <v>3891</v>
      </c>
      <c r="D413" s="69">
        <v>0.3125</v>
      </c>
    </row>
    <row r="414" spans="1:4" x14ac:dyDescent="0.25">
      <c r="A414" t="s">
        <v>2621</v>
      </c>
      <c r="B414" t="s">
        <v>2622</v>
      </c>
      <c r="C414" t="s">
        <v>4061</v>
      </c>
      <c r="D414" s="69">
        <v>25.9284126984127</v>
      </c>
    </row>
    <row r="415" spans="1:4" x14ac:dyDescent="0.25">
      <c r="A415" t="s">
        <v>542</v>
      </c>
      <c r="B415" t="s">
        <v>603</v>
      </c>
      <c r="C415" t="s">
        <v>3995</v>
      </c>
      <c r="D415" s="69">
        <v>6</v>
      </c>
    </row>
    <row r="416" spans="1:4" x14ac:dyDescent="0.25">
      <c r="A416" t="s">
        <v>276</v>
      </c>
      <c r="B416" t="s">
        <v>560</v>
      </c>
      <c r="C416" t="s">
        <v>4062</v>
      </c>
      <c r="D416" s="69">
        <v>19.867390276131385</v>
      </c>
    </row>
    <row r="417" spans="1:4" x14ac:dyDescent="0.25">
      <c r="A417" t="s">
        <v>42</v>
      </c>
      <c r="B417" t="s">
        <v>561</v>
      </c>
      <c r="C417" t="s">
        <v>4063</v>
      </c>
      <c r="D417" s="69">
        <v>9.5072209486166006</v>
      </c>
    </row>
    <row r="418" spans="1:4" x14ac:dyDescent="0.25">
      <c r="A418" t="s">
        <v>2623</v>
      </c>
      <c r="B418" t="s">
        <v>2624</v>
      </c>
      <c r="C418" t="s">
        <v>4064</v>
      </c>
      <c r="D418" s="69">
        <v>30.600000000000005</v>
      </c>
    </row>
    <row r="419" spans="1:4" x14ac:dyDescent="0.25">
      <c r="A419" t="s">
        <v>224</v>
      </c>
      <c r="B419" t="s">
        <v>572</v>
      </c>
      <c r="C419" t="s">
        <v>3902</v>
      </c>
      <c r="D419" s="69">
        <v>7.8983693977591036</v>
      </c>
    </row>
    <row r="420" spans="1:4" x14ac:dyDescent="0.25">
      <c r="A420" t="s">
        <v>90</v>
      </c>
      <c r="B420" t="s">
        <v>568</v>
      </c>
      <c r="C420" t="s">
        <v>3911</v>
      </c>
      <c r="D420" s="69">
        <v>6.0563433510602316</v>
      </c>
    </row>
    <row r="421" spans="1:4" x14ac:dyDescent="0.25">
      <c r="A421" t="s">
        <v>29</v>
      </c>
      <c r="B421" t="s">
        <v>621</v>
      </c>
      <c r="C421" t="s">
        <v>3892</v>
      </c>
      <c r="D421" s="69">
        <v>9.2112285714285722</v>
      </c>
    </row>
    <row r="422" spans="1:4" x14ac:dyDescent="0.25">
      <c r="A422" t="s">
        <v>100</v>
      </c>
      <c r="B422" t="s">
        <v>573</v>
      </c>
      <c r="C422" t="s">
        <v>3911</v>
      </c>
      <c r="D422" s="69">
        <v>7.0887299407114623</v>
      </c>
    </row>
    <row r="423" spans="1:4" x14ac:dyDescent="0.25">
      <c r="A423" t="s">
        <v>296</v>
      </c>
      <c r="B423" t="s">
        <v>615</v>
      </c>
      <c r="C423" t="s">
        <v>3888</v>
      </c>
      <c r="D423" s="69">
        <v>3.9537999999999998</v>
      </c>
    </row>
    <row r="424" spans="1:4" x14ac:dyDescent="0.25">
      <c r="A424" t="s">
        <v>74</v>
      </c>
      <c r="B424" t="s">
        <v>608</v>
      </c>
      <c r="C424" t="s">
        <v>3892</v>
      </c>
      <c r="D424" s="69">
        <v>2.6418519762845851</v>
      </c>
    </row>
    <row r="425" spans="1:4" x14ac:dyDescent="0.25">
      <c r="A425" t="s">
        <v>442</v>
      </c>
      <c r="B425" t="s">
        <v>607</v>
      </c>
      <c r="C425" t="s">
        <v>3911</v>
      </c>
      <c r="D425" s="69">
        <v>9.9583785714285717</v>
      </c>
    </row>
    <row r="426" spans="1:4" x14ac:dyDescent="0.25">
      <c r="A426" t="s">
        <v>617</v>
      </c>
      <c r="B426" t="s">
        <v>618</v>
      </c>
      <c r="C426" t="s">
        <v>3902</v>
      </c>
      <c r="D426" s="69">
        <v>8.5125577288054242</v>
      </c>
    </row>
    <row r="427" spans="1:4" x14ac:dyDescent="0.25">
      <c r="A427" t="s">
        <v>402</v>
      </c>
      <c r="B427" t="s">
        <v>622</v>
      </c>
      <c r="C427" t="s">
        <v>4028</v>
      </c>
      <c r="D427" s="69">
        <v>3.6134779950054154</v>
      </c>
    </row>
    <row r="428" spans="1:4" x14ac:dyDescent="0.25">
      <c r="A428" t="s">
        <v>2625</v>
      </c>
      <c r="B428" t="s">
        <v>2626</v>
      </c>
      <c r="C428" t="s">
        <v>3889</v>
      </c>
      <c r="D428" s="69">
        <v>5.1077117647058827</v>
      </c>
    </row>
    <row r="429" spans="1:4" x14ac:dyDescent="0.25">
      <c r="A429" t="s">
        <v>495</v>
      </c>
      <c r="B429" t="s">
        <v>593</v>
      </c>
      <c r="C429" t="s">
        <v>3888</v>
      </c>
      <c r="D429" s="69">
        <v>5.9460582058572147</v>
      </c>
    </row>
    <row r="430" spans="1:4" x14ac:dyDescent="0.25">
      <c r="A430" t="s">
        <v>40</v>
      </c>
      <c r="B430" t="s">
        <v>41</v>
      </c>
      <c r="C430" t="s">
        <v>3902</v>
      </c>
      <c r="D430" s="69">
        <v>6.35</v>
      </c>
    </row>
    <row r="431" spans="1:4" x14ac:dyDescent="0.25">
      <c r="A431" t="s">
        <v>2627</v>
      </c>
      <c r="B431" t="s">
        <v>2628</v>
      </c>
      <c r="C431" t="s">
        <v>4065</v>
      </c>
      <c r="D431" s="69">
        <v>7.35</v>
      </c>
    </row>
    <row r="432" spans="1:4" x14ac:dyDescent="0.25">
      <c r="A432" t="s">
        <v>2629</v>
      </c>
      <c r="B432" t="s">
        <v>2630</v>
      </c>
      <c r="C432" t="s">
        <v>3884</v>
      </c>
      <c r="D432" s="69">
        <v>9.2173913043478244</v>
      </c>
    </row>
    <row r="433" spans="1:4" x14ac:dyDescent="0.25">
      <c r="A433" t="s">
        <v>2631</v>
      </c>
      <c r="B433" t="s">
        <v>2632</v>
      </c>
      <c r="C433" t="s">
        <v>4066</v>
      </c>
      <c r="D433" s="69">
        <v>5.9795454545454545</v>
      </c>
    </row>
    <row r="434" spans="1:4" x14ac:dyDescent="0.25">
      <c r="A434" t="s">
        <v>2633</v>
      </c>
      <c r="B434" t="s">
        <v>2634</v>
      </c>
      <c r="C434" t="s">
        <v>4035</v>
      </c>
      <c r="D434" s="69">
        <v>5.0625</v>
      </c>
    </row>
    <row r="435" spans="1:4" x14ac:dyDescent="0.25">
      <c r="A435" t="s">
        <v>2635</v>
      </c>
      <c r="B435" t="s">
        <v>2636</v>
      </c>
      <c r="C435" t="s">
        <v>3888</v>
      </c>
      <c r="D435" s="69">
        <v>0.82677434584755394</v>
      </c>
    </row>
    <row r="436" spans="1:4" x14ac:dyDescent="0.25">
      <c r="A436" t="s">
        <v>2637</v>
      </c>
      <c r="B436" t="s">
        <v>2638</v>
      </c>
      <c r="C436" t="s">
        <v>4067</v>
      </c>
      <c r="D436" s="69">
        <v>5.1304347826086962</v>
      </c>
    </row>
    <row r="437" spans="1:4" x14ac:dyDescent="0.25">
      <c r="A437" t="s">
        <v>2639</v>
      </c>
      <c r="B437" t="s">
        <v>2640</v>
      </c>
      <c r="C437" t="s">
        <v>4014</v>
      </c>
      <c r="D437" s="69">
        <v>6.5217391304347831</v>
      </c>
    </row>
    <row r="438" spans="1:4" x14ac:dyDescent="0.25">
      <c r="A438" t="s">
        <v>2641</v>
      </c>
      <c r="B438" t="s">
        <v>2642</v>
      </c>
      <c r="C438" t="s">
        <v>4068</v>
      </c>
      <c r="D438" s="69">
        <v>9.3304347826086946</v>
      </c>
    </row>
    <row r="439" spans="1:4" x14ac:dyDescent="0.25">
      <c r="A439" t="s">
        <v>270</v>
      </c>
      <c r="B439" t="s">
        <v>271</v>
      </c>
      <c r="C439" t="s">
        <v>3968</v>
      </c>
      <c r="D439" s="69">
        <v>11.555689129939211</v>
      </c>
    </row>
    <row r="440" spans="1:4" x14ac:dyDescent="0.25">
      <c r="A440" t="s">
        <v>112</v>
      </c>
      <c r="B440" t="s">
        <v>113</v>
      </c>
      <c r="C440" t="s">
        <v>3889</v>
      </c>
      <c r="D440" s="69">
        <v>14.222966666666668</v>
      </c>
    </row>
    <row r="441" spans="1:4" x14ac:dyDescent="0.25">
      <c r="A441" t="s">
        <v>97</v>
      </c>
      <c r="B441" t="s">
        <v>98</v>
      </c>
      <c r="C441" t="s">
        <v>3889</v>
      </c>
      <c r="D441" s="69">
        <v>10.813066666666668</v>
      </c>
    </row>
    <row r="442" spans="1:4" x14ac:dyDescent="0.25">
      <c r="A442" t="s">
        <v>99</v>
      </c>
      <c r="B442" t="s">
        <v>2643</v>
      </c>
      <c r="C442" t="s">
        <v>3911</v>
      </c>
      <c r="D442" s="69">
        <v>6.2202664772727276</v>
      </c>
    </row>
    <row r="443" spans="1:4" x14ac:dyDescent="0.25">
      <c r="A443" t="s">
        <v>403</v>
      </c>
      <c r="B443" t="s">
        <v>404</v>
      </c>
      <c r="C443" t="s">
        <v>4069</v>
      </c>
      <c r="D443" s="69">
        <v>2.4146046225137514</v>
      </c>
    </row>
    <row r="444" spans="1:4" x14ac:dyDescent="0.25">
      <c r="A444" t="s">
        <v>2644</v>
      </c>
      <c r="B444" t="s">
        <v>2645</v>
      </c>
      <c r="C444" t="s">
        <v>4070</v>
      </c>
      <c r="D444" s="69">
        <v>1.2646060089323494</v>
      </c>
    </row>
    <row r="445" spans="1:4" x14ac:dyDescent="0.25">
      <c r="A445" t="s">
        <v>277</v>
      </c>
      <c r="B445" t="s">
        <v>565</v>
      </c>
      <c r="C445" t="s">
        <v>3902</v>
      </c>
      <c r="D445" s="69">
        <v>7.2026726204465348</v>
      </c>
    </row>
    <row r="446" spans="1:4" x14ac:dyDescent="0.25">
      <c r="A446" t="s">
        <v>369</v>
      </c>
      <c r="B446" t="s">
        <v>370</v>
      </c>
      <c r="C446" t="s">
        <v>3889</v>
      </c>
      <c r="D446" s="69">
        <v>14.502601193867861</v>
      </c>
    </row>
    <row r="447" spans="1:4" x14ac:dyDescent="0.25">
      <c r="A447" t="s">
        <v>2646</v>
      </c>
      <c r="B447" t="s">
        <v>2647</v>
      </c>
      <c r="C447" t="s">
        <v>3988</v>
      </c>
      <c r="D447" s="69">
        <v>8.1</v>
      </c>
    </row>
    <row r="448" spans="1:4" x14ac:dyDescent="0.25">
      <c r="A448" t="s">
        <v>228</v>
      </c>
      <c r="B448" t="s">
        <v>574</v>
      </c>
      <c r="C448" t="s">
        <v>3902</v>
      </c>
      <c r="D448" s="69">
        <v>7.2936147058823524</v>
      </c>
    </row>
    <row r="449" spans="1:4" x14ac:dyDescent="0.25">
      <c r="A449" t="s">
        <v>367</v>
      </c>
      <c r="B449" t="s">
        <v>368</v>
      </c>
      <c r="C449" t="s">
        <v>3889</v>
      </c>
      <c r="D449" s="69">
        <v>9.7859095238095239</v>
      </c>
    </row>
    <row r="450" spans="1:4" x14ac:dyDescent="0.25">
      <c r="A450" t="s">
        <v>129</v>
      </c>
      <c r="B450" t="s">
        <v>564</v>
      </c>
      <c r="C450" t="s">
        <v>3911</v>
      </c>
      <c r="D450" s="69">
        <v>3.6928225893234936</v>
      </c>
    </row>
    <row r="451" spans="1:4" x14ac:dyDescent="0.25">
      <c r="A451" t="s">
        <v>2648</v>
      </c>
      <c r="B451" t="s">
        <v>557</v>
      </c>
      <c r="C451" t="s">
        <v>3888</v>
      </c>
      <c r="D451" s="69">
        <v>1.8182402073635195</v>
      </c>
    </row>
    <row r="452" spans="1:4" x14ac:dyDescent="0.25">
      <c r="A452" t="s">
        <v>88</v>
      </c>
      <c r="B452" t="s">
        <v>578</v>
      </c>
      <c r="C452" t="s">
        <v>3911</v>
      </c>
      <c r="D452" s="69">
        <v>11.403133138526201</v>
      </c>
    </row>
    <row r="453" spans="1:4" x14ac:dyDescent="0.25">
      <c r="A453" t="s">
        <v>173</v>
      </c>
      <c r="B453" t="s">
        <v>174</v>
      </c>
      <c r="C453" t="s">
        <v>4071</v>
      </c>
      <c r="D453" s="69">
        <v>18.289392244180945</v>
      </c>
    </row>
    <row r="454" spans="1:4" x14ac:dyDescent="0.25">
      <c r="A454" t="s">
        <v>103</v>
      </c>
      <c r="B454" t="s">
        <v>2649</v>
      </c>
      <c r="C454" t="s">
        <v>3888</v>
      </c>
      <c r="D454" s="69">
        <v>3.7126058823529413</v>
      </c>
    </row>
    <row r="455" spans="1:4" x14ac:dyDescent="0.25">
      <c r="A455" t="s">
        <v>496</v>
      </c>
      <c r="B455" t="s">
        <v>604</v>
      </c>
      <c r="C455" t="s">
        <v>3902</v>
      </c>
      <c r="D455" s="69">
        <v>9.9583785714285717</v>
      </c>
    </row>
    <row r="456" spans="1:4" x14ac:dyDescent="0.25">
      <c r="A456" t="s">
        <v>376</v>
      </c>
      <c r="B456" t="s">
        <v>614</v>
      </c>
      <c r="C456" t="s">
        <v>3888</v>
      </c>
      <c r="D456" s="69">
        <v>4.9853318407960199</v>
      </c>
    </row>
    <row r="457" spans="1:4" x14ac:dyDescent="0.25">
      <c r="A457" t="s">
        <v>128</v>
      </c>
      <c r="B457" t="s">
        <v>584</v>
      </c>
      <c r="C457" t="s">
        <v>3911</v>
      </c>
      <c r="D457" s="69">
        <v>3.3632225893234935</v>
      </c>
    </row>
    <row r="458" spans="1:4" x14ac:dyDescent="0.25">
      <c r="A458" t="s">
        <v>234</v>
      </c>
      <c r="B458" t="s">
        <v>597</v>
      </c>
      <c r="C458" t="s">
        <v>3902</v>
      </c>
      <c r="D458" s="69">
        <v>6.7888658703842806</v>
      </c>
    </row>
    <row r="459" spans="1:4" x14ac:dyDescent="0.25">
      <c r="A459" t="s">
        <v>89</v>
      </c>
      <c r="B459" t="s">
        <v>598</v>
      </c>
      <c r="C459" t="s">
        <v>3902</v>
      </c>
      <c r="D459" s="69">
        <v>7.8648623074882593</v>
      </c>
    </row>
    <row r="460" spans="1:4" x14ac:dyDescent="0.25">
      <c r="A460" t="s">
        <v>446</v>
      </c>
      <c r="B460" t="s">
        <v>590</v>
      </c>
      <c r="C460" t="s">
        <v>3902</v>
      </c>
      <c r="D460" s="69">
        <v>6.644714705882353</v>
      </c>
    </row>
    <row r="461" spans="1:4" x14ac:dyDescent="0.25">
      <c r="A461" t="s">
        <v>371</v>
      </c>
      <c r="B461" t="s">
        <v>636</v>
      </c>
      <c r="C461" t="s">
        <v>3888</v>
      </c>
      <c r="D461" s="69">
        <v>7.8744000000000005</v>
      </c>
    </row>
    <row r="462" spans="1:4" x14ac:dyDescent="0.25">
      <c r="A462" t="s">
        <v>2650</v>
      </c>
      <c r="B462" t="s">
        <v>579</v>
      </c>
      <c r="C462" t="s">
        <v>3881</v>
      </c>
      <c r="D462" s="69">
        <v>1.3589298507462686</v>
      </c>
    </row>
    <row r="463" spans="1:4" x14ac:dyDescent="0.25">
      <c r="A463" t="s">
        <v>87</v>
      </c>
      <c r="B463" t="s">
        <v>609</v>
      </c>
      <c r="C463" t="s">
        <v>3911</v>
      </c>
      <c r="D463" s="69">
        <v>4.7549285714285716</v>
      </c>
    </row>
    <row r="464" spans="1:4" x14ac:dyDescent="0.25">
      <c r="A464" t="s">
        <v>2651</v>
      </c>
      <c r="B464" t="s">
        <v>2652</v>
      </c>
      <c r="C464" t="s">
        <v>3888</v>
      </c>
      <c r="D464" s="69">
        <v>1.4429301108743311</v>
      </c>
    </row>
    <row r="465" spans="1:4" x14ac:dyDescent="0.25">
      <c r="A465" t="s">
        <v>2653</v>
      </c>
      <c r="B465" t="s">
        <v>556</v>
      </c>
      <c r="C465" t="s">
        <v>4004</v>
      </c>
      <c r="D465" s="69">
        <v>0.84872521008403379</v>
      </c>
    </row>
    <row r="466" spans="1:4" x14ac:dyDescent="0.25">
      <c r="A466" t="s">
        <v>2654</v>
      </c>
      <c r="B466" t="s">
        <v>2655</v>
      </c>
      <c r="C466" t="s">
        <v>4072</v>
      </c>
      <c r="D466" s="69">
        <v>14.192307692307692</v>
      </c>
    </row>
    <row r="467" spans="1:4" x14ac:dyDescent="0.25">
      <c r="A467" t="s">
        <v>385</v>
      </c>
      <c r="B467" t="s">
        <v>2656</v>
      </c>
      <c r="C467" t="s">
        <v>3958</v>
      </c>
      <c r="D467" s="69">
        <v>9.8583615384615388</v>
      </c>
    </row>
    <row r="468" spans="1:4" x14ac:dyDescent="0.25">
      <c r="A468" t="s">
        <v>2657</v>
      </c>
      <c r="B468" t="s">
        <v>2658</v>
      </c>
      <c r="C468" t="s">
        <v>4065</v>
      </c>
      <c r="D468" s="69">
        <v>25.8</v>
      </c>
    </row>
    <row r="469" spans="1:4" x14ac:dyDescent="0.25">
      <c r="A469" t="s">
        <v>963</v>
      </c>
      <c r="B469" t="s">
        <v>964</v>
      </c>
      <c r="C469" t="s">
        <v>3963</v>
      </c>
      <c r="D469" s="69">
        <v>172.98759396226782</v>
      </c>
    </row>
    <row r="470" spans="1:4" x14ac:dyDescent="0.25">
      <c r="A470" t="s">
        <v>1776</v>
      </c>
      <c r="B470" t="s">
        <v>2659</v>
      </c>
      <c r="C470" t="s">
        <v>3968</v>
      </c>
      <c r="D470" s="69">
        <v>11</v>
      </c>
    </row>
    <row r="471" spans="1:4" x14ac:dyDescent="0.25">
      <c r="A471" t="s">
        <v>1279</v>
      </c>
      <c r="B471" t="s">
        <v>2660</v>
      </c>
      <c r="C471" t="s">
        <v>4073</v>
      </c>
      <c r="D471" s="69">
        <v>12.25</v>
      </c>
    </row>
    <row r="472" spans="1:4" x14ac:dyDescent="0.25">
      <c r="A472" t="s">
        <v>2661</v>
      </c>
      <c r="B472" t="s">
        <v>2662</v>
      </c>
      <c r="C472" t="s">
        <v>4074</v>
      </c>
      <c r="D472" s="69">
        <v>24</v>
      </c>
    </row>
    <row r="473" spans="1:4" x14ac:dyDescent="0.25">
      <c r="A473" t="s">
        <v>2663</v>
      </c>
      <c r="B473" t="s">
        <v>2664</v>
      </c>
      <c r="C473" t="s">
        <v>3877</v>
      </c>
      <c r="D473" s="69">
        <v>2.4</v>
      </c>
    </row>
    <row r="474" spans="1:4" x14ac:dyDescent="0.25">
      <c r="A474" t="s">
        <v>2665</v>
      </c>
      <c r="B474" t="s">
        <v>2666</v>
      </c>
      <c r="C474" t="s">
        <v>3877</v>
      </c>
      <c r="D474" s="69">
        <v>2.4</v>
      </c>
    </row>
    <row r="475" spans="1:4" x14ac:dyDescent="0.25">
      <c r="A475" t="s">
        <v>2667</v>
      </c>
      <c r="B475" t="s">
        <v>2668</v>
      </c>
      <c r="C475" t="s">
        <v>4075</v>
      </c>
      <c r="D475" s="69">
        <v>2.4</v>
      </c>
    </row>
    <row r="476" spans="1:4" x14ac:dyDescent="0.25">
      <c r="A476" t="s">
        <v>2669</v>
      </c>
      <c r="B476" t="s">
        <v>2670</v>
      </c>
      <c r="C476" t="s">
        <v>4076</v>
      </c>
      <c r="D476" s="69">
        <v>2.0416666666666665</v>
      </c>
    </row>
    <row r="477" spans="1:4" x14ac:dyDescent="0.25">
      <c r="A477" t="s">
        <v>2671</v>
      </c>
      <c r="B477" t="s">
        <v>2672</v>
      </c>
      <c r="C477" t="s">
        <v>4004</v>
      </c>
      <c r="D477" s="69">
        <v>1.8333333333333333</v>
      </c>
    </row>
    <row r="478" spans="1:4" x14ac:dyDescent="0.25">
      <c r="A478" t="s">
        <v>1837</v>
      </c>
      <c r="B478" t="s">
        <v>2673</v>
      </c>
      <c r="C478" t="s">
        <v>4003</v>
      </c>
      <c r="D478" s="69">
        <v>24</v>
      </c>
    </row>
    <row r="479" spans="1:4" x14ac:dyDescent="0.25">
      <c r="A479" t="s">
        <v>1777</v>
      </c>
      <c r="B479" t="s">
        <v>2674</v>
      </c>
      <c r="C479" t="s">
        <v>3888</v>
      </c>
      <c r="D479" s="69">
        <v>10</v>
      </c>
    </row>
    <row r="480" spans="1:4" x14ac:dyDescent="0.25">
      <c r="A480" t="s">
        <v>2675</v>
      </c>
      <c r="B480" t="s">
        <v>2676</v>
      </c>
      <c r="C480" t="s">
        <v>3904</v>
      </c>
      <c r="D480" s="69">
        <v>17</v>
      </c>
    </row>
    <row r="481" spans="1:4" x14ac:dyDescent="0.25">
      <c r="A481" t="s">
        <v>1664</v>
      </c>
      <c r="B481" t="s">
        <v>2677</v>
      </c>
      <c r="C481" t="s">
        <v>4077</v>
      </c>
      <c r="D481" s="69">
        <v>18.278571428571428</v>
      </c>
    </row>
    <row r="482" spans="1:4" x14ac:dyDescent="0.25">
      <c r="A482" t="s">
        <v>2678</v>
      </c>
      <c r="B482" t="s">
        <v>2679</v>
      </c>
      <c r="C482" t="s">
        <v>4078</v>
      </c>
      <c r="D482" s="69">
        <v>18</v>
      </c>
    </row>
    <row r="483" spans="1:4" x14ac:dyDescent="0.25">
      <c r="A483" t="s">
        <v>2680</v>
      </c>
      <c r="B483" t="s">
        <v>2681</v>
      </c>
      <c r="C483" t="s">
        <v>4079</v>
      </c>
      <c r="D483" s="69">
        <v>16</v>
      </c>
    </row>
    <row r="484" spans="1:4" x14ac:dyDescent="0.25">
      <c r="A484" t="s">
        <v>2682</v>
      </c>
      <c r="B484" t="s">
        <v>2683</v>
      </c>
      <c r="C484" t="s">
        <v>4080</v>
      </c>
      <c r="D484" s="69">
        <v>16</v>
      </c>
    </row>
    <row r="485" spans="1:4" x14ac:dyDescent="0.25">
      <c r="A485" t="s">
        <v>2684</v>
      </c>
      <c r="B485" t="s">
        <v>2685</v>
      </c>
      <c r="C485" t="s">
        <v>3888</v>
      </c>
      <c r="D485" s="69">
        <v>1.8278571428571428</v>
      </c>
    </row>
    <row r="486" spans="1:4" x14ac:dyDescent="0.25">
      <c r="A486" t="s">
        <v>2686</v>
      </c>
      <c r="B486" t="s">
        <v>2687</v>
      </c>
      <c r="C486" t="s">
        <v>4081</v>
      </c>
      <c r="D486" s="69">
        <v>25.678571428571427</v>
      </c>
    </row>
    <row r="487" spans="1:4" x14ac:dyDescent="0.25">
      <c r="A487" t="s">
        <v>2688</v>
      </c>
      <c r="B487" t="s">
        <v>2689</v>
      </c>
      <c r="C487" t="s">
        <v>3983</v>
      </c>
      <c r="D487" s="69">
        <v>15.178571428571429</v>
      </c>
    </row>
    <row r="488" spans="1:4" x14ac:dyDescent="0.25">
      <c r="A488" t="s">
        <v>2690</v>
      </c>
      <c r="B488" t="s">
        <v>2691</v>
      </c>
      <c r="C488" t="s">
        <v>3888</v>
      </c>
      <c r="D488" s="69">
        <v>1.2878571428571428</v>
      </c>
    </row>
    <row r="489" spans="1:4" x14ac:dyDescent="0.25">
      <c r="A489" t="s">
        <v>2692</v>
      </c>
      <c r="B489" t="s">
        <v>2693</v>
      </c>
      <c r="C489" t="s">
        <v>3983</v>
      </c>
      <c r="D489" s="69">
        <v>12.878571428571428</v>
      </c>
    </row>
    <row r="490" spans="1:4" x14ac:dyDescent="0.25">
      <c r="A490" t="s">
        <v>2694</v>
      </c>
      <c r="B490" t="s">
        <v>2695</v>
      </c>
      <c r="C490" t="s">
        <v>4077</v>
      </c>
      <c r="D490" s="69">
        <v>28.356249999999999</v>
      </c>
    </row>
    <row r="491" spans="1:4" x14ac:dyDescent="0.25">
      <c r="A491" t="s">
        <v>2696</v>
      </c>
      <c r="B491" t="s">
        <v>2697</v>
      </c>
      <c r="C491" t="s">
        <v>3885</v>
      </c>
      <c r="D491" s="69">
        <v>0.81499999999999995</v>
      </c>
    </row>
    <row r="492" spans="1:4" x14ac:dyDescent="0.25">
      <c r="A492" t="s">
        <v>2698</v>
      </c>
      <c r="B492" t="s">
        <v>2699</v>
      </c>
      <c r="C492" t="s">
        <v>4082</v>
      </c>
      <c r="D492" s="69">
        <v>20.68</v>
      </c>
    </row>
    <row r="493" spans="1:4" x14ac:dyDescent="0.25">
      <c r="A493" t="s">
        <v>2700</v>
      </c>
      <c r="B493" t="s">
        <v>2701</v>
      </c>
      <c r="C493" t="s">
        <v>4083</v>
      </c>
      <c r="D493" s="69">
        <v>72</v>
      </c>
    </row>
    <row r="494" spans="1:4" x14ac:dyDescent="0.25">
      <c r="A494" t="s">
        <v>2702</v>
      </c>
      <c r="B494" t="s">
        <v>2703</v>
      </c>
      <c r="C494" t="s">
        <v>4084</v>
      </c>
      <c r="D494" s="69">
        <v>52.999999999999993</v>
      </c>
    </row>
    <row r="495" spans="1:4" x14ac:dyDescent="0.25">
      <c r="A495" t="s">
        <v>2704</v>
      </c>
      <c r="B495" t="s">
        <v>2705</v>
      </c>
      <c r="C495" t="s">
        <v>4085</v>
      </c>
      <c r="D495" s="69">
        <v>29</v>
      </c>
    </row>
    <row r="496" spans="1:4" x14ac:dyDescent="0.25">
      <c r="A496" t="s">
        <v>2706</v>
      </c>
      <c r="B496" t="s">
        <v>2707</v>
      </c>
      <c r="C496" t="s">
        <v>3889</v>
      </c>
      <c r="D496" s="69">
        <v>3.2500000000000004</v>
      </c>
    </row>
    <row r="497" spans="1:4" x14ac:dyDescent="0.25">
      <c r="A497" t="s">
        <v>2708</v>
      </c>
      <c r="B497" t="s">
        <v>2709</v>
      </c>
      <c r="C497" t="s">
        <v>4086</v>
      </c>
      <c r="D497" s="69">
        <v>8.3000000000000007</v>
      </c>
    </row>
    <row r="498" spans="1:4" x14ac:dyDescent="0.25">
      <c r="A498" t="s">
        <v>2710</v>
      </c>
      <c r="B498" t="s">
        <v>2711</v>
      </c>
      <c r="C498" t="s">
        <v>4014</v>
      </c>
      <c r="D498" s="69">
        <v>21.95</v>
      </c>
    </row>
    <row r="499" spans="1:4" x14ac:dyDescent="0.25">
      <c r="A499" t="s">
        <v>1311</v>
      </c>
      <c r="B499" t="s">
        <v>1312</v>
      </c>
      <c r="C499" t="s">
        <v>3884</v>
      </c>
      <c r="D499" s="69">
        <v>6.0889082087047095</v>
      </c>
    </row>
    <row r="500" spans="1:4" x14ac:dyDescent="0.25">
      <c r="A500" t="s">
        <v>1145</v>
      </c>
      <c r="B500" t="s">
        <v>2712</v>
      </c>
      <c r="C500" t="s">
        <v>4087</v>
      </c>
      <c r="D500" s="69">
        <v>660</v>
      </c>
    </row>
    <row r="501" spans="1:4" x14ac:dyDescent="0.25">
      <c r="A501" t="s">
        <v>2713</v>
      </c>
      <c r="B501" t="s">
        <v>2714</v>
      </c>
      <c r="C501" t="s">
        <v>3884</v>
      </c>
      <c r="D501" s="69">
        <v>15.965489130434783</v>
      </c>
    </row>
    <row r="502" spans="1:4" x14ac:dyDescent="0.25">
      <c r="A502" t="s">
        <v>1805</v>
      </c>
      <c r="B502" t="s">
        <v>2715</v>
      </c>
      <c r="C502" t="s">
        <v>3890</v>
      </c>
      <c r="D502" s="69">
        <v>7.7851138519924099</v>
      </c>
    </row>
    <row r="503" spans="1:4" x14ac:dyDescent="0.25">
      <c r="A503" t="s">
        <v>2716</v>
      </c>
      <c r="B503" t="s">
        <v>2717</v>
      </c>
      <c r="C503" t="s">
        <v>3938</v>
      </c>
      <c r="D503" s="69">
        <v>3.4694477611350183</v>
      </c>
    </row>
    <row r="504" spans="1:4" x14ac:dyDescent="0.25">
      <c r="A504" t="s">
        <v>632</v>
      </c>
      <c r="B504" t="s">
        <v>633</v>
      </c>
      <c r="C504" t="s">
        <v>3884</v>
      </c>
      <c r="D504" s="69">
        <v>19.150031740768561</v>
      </c>
    </row>
    <row r="505" spans="1:4" x14ac:dyDescent="0.25">
      <c r="A505" t="s">
        <v>38</v>
      </c>
      <c r="B505" t="s">
        <v>39</v>
      </c>
      <c r="C505" t="s">
        <v>3902</v>
      </c>
      <c r="D505" s="69">
        <v>13.400250000000002</v>
      </c>
    </row>
    <row r="506" spans="1:4" x14ac:dyDescent="0.25">
      <c r="A506" t="s">
        <v>619</v>
      </c>
      <c r="B506" t="s">
        <v>620</v>
      </c>
      <c r="C506" t="s">
        <v>3892</v>
      </c>
      <c r="D506" s="69">
        <v>1.7908529411764706</v>
      </c>
    </row>
    <row r="507" spans="1:4" x14ac:dyDescent="0.25">
      <c r="A507" t="s">
        <v>2718</v>
      </c>
      <c r="B507" t="s">
        <v>2719</v>
      </c>
      <c r="C507" t="s">
        <v>3884</v>
      </c>
      <c r="D507" s="69">
        <v>10</v>
      </c>
    </row>
    <row r="508" spans="1:4" x14ac:dyDescent="0.25">
      <c r="A508" t="s">
        <v>1843</v>
      </c>
      <c r="B508" t="s">
        <v>2720</v>
      </c>
      <c r="C508" t="s">
        <v>3884</v>
      </c>
      <c r="D508" s="69">
        <v>10</v>
      </c>
    </row>
    <row r="509" spans="1:4" x14ac:dyDescent="0.25">
      <c r="A509" t="s">
        <v>2721</v>
      </c>
      <c r="B509" t="s">
        <v>2722</v>
      </c>
      <c r="C509" t="s">
        <v>4088</v>
      </c>
      <c r="D509" s="69">
        <v>16.75</v>
      </c>
    </row>
    <row r="510" spans="1:4" x14ac:dyDescent="0.25">
      <c r="A510" t="s">
        <v>2723</v>
      </c>
      <c r="B510" t="s">
        <v>2724</v>
      </c>
      <c r="C510" t="s">
        <v>4089</v>
      </c>
      <c r="D510" s="69">
        <v>26.2</v>
      </c>
    </row>
    <row r="511" spans="1:4" x14ac:dyDescent="0.25">
      <c r="A511" t="s">
        <v>2725</v>
      </c>
      <c r="B511" t="s">
        <v>2726</v>
      </c>
      <c r="C511" t="s">
        <v>3879</v>
      </c>
      <c r="D511" s="69">
        <v>3.21</v>
      </c>
    </row>
    <row r="512" spans="1:4" x14ac:dyDescent="0.25">
      <c r="A512" t="s">
        <v>2727</v>
      </c>
      <c r="B512" t="s">
        <v>2728</v>
      </c>
      <c r="C512" t="s">
        <v>4090</v>
      </c>
      <c r="D512" s="69">
        <v>9.6</v>
      </c>
    </row>
    <row r="513" spans="1:4" x14ac:dyDescent="0.25">
      <c r="A513" t="s">
        <v>2729</v>
      </c>
      <c r="B513" t="s">
        <v>2730</v>
      </c>
      <c r="C513" t="s">
        <v>4091</v>
      </c>
      <c r="D513" s="69">
        <v>42</v>
      </c>
    </row>
    <row r="514" spans="1:4" x14ac:dyDescent="0.25">
      <c r="A514" t="s">
        <v>2731</v>
      </c>
      <c r="B514" t="s">
        <v>2732</v>
      </c>
      <c r="C514" t="s">
        <v>4091</v>
      </c>
      <c r="D514" s="69">
        <v>42</v>
      </c>
    </row>
    <row r="515" spans="1:4" x14ac:dyDescent="0.25">
      <c r="A515" t="s">
        <v>1856</v>
      </c>
      <c r="B515" t="s">
        <v>2733</v>
      </c>
      <c r="C515" t="s">
        <v>3889</v>
      </c>
      <c r="D515" s="69">
        <v>6.5</v>
      </c>
    </row>
    <row r="516" spans="1:4" x14ac:dyDescent="0.25">
      <c r="A516" t="s">
        <v>1857</v>
      </c>
      <c r="B516" t="s">
        <v>1760</v>
      </c>
      <c r="C516" t="s">
        <v>3889</v>
      </c>
      <c r="D516" s="69">
        <v>6.5</v>
      </c>
    </row>
    <row r="517" spans="1:4" x14ac:dyDescent="0.25">
      <c r="A517" t="s">
        <v>2734</v>
      </c>
      <c r="B517" t="s">
        <v>2735</v>
      </c>
      <c r="C517" t="s">
        <v>4092</v>
      </c>
      <c r="D517" s="69">
        <v>18.5</v>
      </c>
    </row>
    <row r="518" spans="1:4" x14ac:dyDescent="0.25">
      <c r="A518" t="s">
        <v>2736</v>
      </c>
      <c r="B518" t="s">
        <v>2737</v>
      </c>
      <c r="C518" t="s">
        <v>4093</v>
      </c>
      <c r="D518" s="69">
        <v>11.5</v>
      </c>
    </row>
    <row r="519" spans="1:4" x14ac:dyDescent="0.25">
      <c r="A519" t="s">
        <v>2738</v>
      </c>
      <c r="B519" t="s">
        <v>2739</v>
      </c>
      <c r="C519" t="s">
        <v>3906</v>
      </c>
      <c r="D519" s="69">
        <v>14</v>
      </c>
    </row>
    <row r="520" spans="1:4" x14ac:dyDescent="0.25">
      <c r="A520" t="s">
        <v>2740</v>
      </c>
      <c r="B520" t="s">
        <v>2741</v>
      </c>
      <c r="C520" t="s">
        <v>3888</v>
      </c>
      <c r="D520" s="69">
        <v>8.0893567945441092</v>
      </c>
    </row>
    <row r="521" spans="1:4" x14ac:dyDescent="0.25">
      <c r="A521" t="s">
        <v>2742</v>
      </c>
      <c r="B521" t="s">
        <v>2743</v>
      </c>
      <c r="C521" t="s">
        <v>3888</v>
      </c>
      <c r="D521" s="69">
        <v>2.9999999999999996</v>
      </c>
    </row>
    <row r="522" spans="1:4" x14ac:dyDescent="0.25">
      <c r="A522" t="s">
        <v>2744</v>
      </c>
      <c r="B522" t="s">
        <v>2745</v>
      </c>
      <c r="C522" t="s">
        <v>4094</v>
      </c>
      <c r="D522" s="69">
        <v>24.25</v>
      </c>
    </row>
    <row r="523" spans="1:4" x14ac:dyDescent="0.25">
      <c r="A523" t="s">
        <v>2746</v>
      </c>
      <c r="B523" t="s">
        <v>2747</v>
      </c>
      <c r="C523" t="s">
        <v>3881</v>
      </c>
      <c r="D523" s="69">
        <v>2.4500000000000002</v>
      </c>
    </row>
    <row r="524" spans="1:4" x14ac:dyDescent="0.25">
      <c r="A524" t="s">
        <v>2748</v>
      </c>
      <c r="B524" t="s">
        <v>2749</v>
      </c>
      <c r="C524" t="s">
        <v>3889</v>
      </c>
      <c r="D524" s="69">
        <v>27.6</v>
      </c>
    </row>
    <row r="525" spans="1:4" x14ac:dyDescent="0.25">
      <c r="A525" t="s">
        <v>2750</v>
      </c>
      <c r="B525" t="s">
        <v>2751</v>
      </c>
      <c r="C525" t="s">
        <v>3995</v>
      </c>
      <c r="D525" s="69">
        <v>6.8499999999999988</v>
      </c>
    </row>
    <row r="526" spans="1:4" x14ac:dyDescent="0.25">
      <c r="A526" t="s">
        <v>2752</v>
      </c>
      <c r="B526" t="s">
        <v>2567</v>
      </c>
      <c r="C526" t="s">
        <v>4095</v>
      </c>
      <c r="D526" s="69">
        <v>0.79000000000000015</v>
      </c>
    </row>
    <row r="527" spans="1:4" x14ac:dyDescent="0.25">
      <c r="A527" t="s">
        <v>2753</v>
      </c>
      <c r="B527" t="s">
        <v>2754</v>
      </c>
      <c r="C527" t="s">
        <v>4096</v>
      </c>
      <c r="D527" s="69">
        <v>3.6</v>
      </c>
    </row>
    <row r="528" spans="1:4" x14ac:dyDescent="0.25">
      <c r="A528" t="s">
        <v>2755</v>
      </c>
      <c r="B528" t="s">
        <v>2756</v>
      </c>
      <c r="C528" t="s">
        <v>4097</v>
      </c>
      <c r="D528" s="69">
        <v>25</v>
      </c>
    </row>
    <row r="529" spans="1:4" x14ac:dyDescent="0.25">
      <c r="A529" t="s">
        <v>2757</v>
      </c>
      <c r="B529" t="s">
        <v>2758</v>
      </c>
      <c r="C529" t="s">
        <v>4017</v>
      </c>
      <c r="D529" s="69">
        <v>15.6</v>
      </c>
    </row>
    <row r="530" spans="1:4" x14ac:dyDescent="0.25">
      <c r="A530" t="s">
        <v>2759</v>
      </c>
      <c r="B530" t="s">
        <v>2760</v>
      </c>
      <c r="C530" t="s">
        <v>3920</v>
      </c>
      <c r="D530" s="69">
        <v>9.6</v>
      </c>
    </row>
    <row r="531" spans="1:4" x14ac:dyDescent="0.25">
      <c r="A531" t="s">
        <v>2761</v>
      </c>
      <c r="B531" t="s">
        <v>2762</v>
      </c>
      <c r="C531" t="s">
        <v>4024</v>
      </c>
      <c r="D531" s="69">
        <v>9</v>
      </c>
    </row>
    <row r="532" spans="1:4" x14ac:dyDescent="0.25">
      <c r="A532" t="s">
        <v>2763</v>
      </c>
      <c r="B532" t="s">
        <v>2764</v>
      </c>
      <c r="C532" t="s">
        <v>4098</v>
      </c>
      <c r="D532" s="69">
        <v>14.436666666666666</v>
      </c>
    </row>
    <row r="533" spans="1:4" x14ac:dyDescent="0.25">
      <c r="A533" t="s">
        <v>2765</v>
      </c>
      <c r="B533" t="s">
        <v>2766</v>
      </c>
      <c r="C533" t="s">
        <v>4099</v>
      </c>
      <c r="D533" s="69">
        <v>9.2541666666666664</v>
      </c>
    </row>
    <row r="534" spans="1:4" x14ac:dyDescent="0.25">
      <c r="A534" t="s">
        <v>2767</v>
      </c>
      <c r="B534" t="s">
        <v>2768</v>
      </c>
      <c r="C534" t="s">
        <v>4099</v>
      </c>
      <c r="D534" s="69">
        <v>11.454166666666666</v>
      </c>
    </row>
    <row r="535" spans="1:4" x14ac:dyDescent="0.25">
      <c r="A535" t="s">
        <v>2769</v>
      </c>
      <c r="B535" t="s">
        <v>2770</v>
      </c>
      <c r="C535" t="s">
        <v>4100</v>
      </c>
      <c r="D535" s="69">
        <v>9.2541666666666664</v>
      </c>
    </row>
    <row r="536" spans="1:4" x14ac:dyDescent="0.25">
      <c r="A536" t="s">
        <v>2771</v>
      </c>
      <c r="B536" t="s">
        <v>2772</v>
      </c>
      <c r="C536" t="s">
        <v>4101</v>
      </c>
      <c r="D536" s="69">
        <v>8.3802083333333339</v>
      </c>
    </row>
    <row r="537" spans="1:4" x14ac:dyDescent="0.25">
      <c r="A537" t="s">
        <v>2773</v>
      </c>
      <c r="B537" t="s">
        <v>2774</v>
      </c>
      <c r="C537" t="s">
        <v>3988</v>
      </c>
      <c r="D537" s="69">
        <v>6.4136363636363622</v>
      </c>
    </row>
    <row r="538" spans="1:4" x14ac:dyDescent="0.25">
      <c r="A538" t="s">
        <v>2775</v>
      </c>
      <c r="B538" t="s">
        <v>2776</v>
      </c>
      <c r="C538" t="s">
        <v>3928</v>
      </c>
      <c r="D538" s="69">
        <v>2.5</v>
      </c>
    </row>
    <row r="539" spans="1:4" x14ac:dyDescent="0.25">
      <c r="A539" t="s">
        <v>2777</v>
      </c>
      <c r="B539" t="s">
        <v>2778</v>
      </c>
      <c r="C539" t="s">
        <v>4102</v>
      </c>
      <c r="D539" s="69">
        <v>34.5</v>
      </c>
    </row>
    <row r="540" spans="1:4" x14ac:dyDescent="0.25">
      <c r="A540" t="s">
        <v>2779</v>
      </c>
      <c r="B540" t="s">
        <v>2780</v>
      </c>
      <c r="C540" t="s">
        <v>4103</v>
      </c>
      <c r="D540" s="69">
        <v>11.25</v>
      </c>
    </row>
    <row r="541" spans="1:4" x14ac:dyDescent="0.25">
      <c r="A541" t="s">
        <v>2781</v>
      </c>
      <c r="B541" t="s">
        <v>2782</v>
      </c>
      <c r="C541" t="s">
        <v>4104</v>
      </c>
      <c r="D541" s="69">
        <v>22.5</v>
      </c>
    </row>
    <row r="542" spans="1:4" x14ac:dyDescent="0.25">
      <c r="A542" t="s">
        <v>2783</v>
      </c>
      <c r="B542" t="s">
        <v>2784</v>
      </c>
      <c r="C542" t="s">
        <v>4105</v>
      </c>
      <c r="D542" s="69">
        <v>36.799999999999997</v>
      </c>
    </row>
    <row r="543" spans="1:4" x14ac:dyDescent="0.25">
      <c r="A543" t="s">
        <v>2785</v>
      </c>
      <c r="B543" t="s">
        <v>2786</v>
      </c>
      <c r="C543" t="s">
        <v>4067</v>
      </c>
      <c r="D543" s="69">
        <v>1.95</v>
      </c>
    </row>
    <row r="544" spans="1:4" x14ac:dyDescent="0.25">
      <c r="A544" t="s">
        <v>2787</v>
      </c>
      <c r="B544" t="s">
        <v>2788</v>
      </c>
      <c r="C544" t="s">
        <v>4106</v>
      </c>
      <c r="D544" s="69">
        <v>1.95</v>
      </c>
    </row>
    <row r="545" spans="1:4" x14ac:dyDescent="0.25">
      <c r="A545" t="s">
        <v>1794</v>
      </c>
      <c r="B545" t="s">
        <v>2789</v>
      </c>
      <c r="C545" t="s">
        <v>4107</v>
      </c>
      <c r="D545" s="69">
        <v>7.7300000000000013</v>
      </c>
    </row>
    <row r="546" spans="1:4" x14ac:dyDescent="0.25">
      <c r="A546" t="s">
        <v>2790</v>
      </c>
      <c r="B546" t="s">
        <v>2791</v>
      </c>
      <c r="C546" t="s">
        <v>4108</v>
      </c>
      <c r="D546" s="69">
        <v>24</v>
      </c>
    </row>
    <row r="547" spans="1:4" x14ac:dyDescent="0.25">
      <c r="A547" t="s">
        <v>1100</v>
      </c>
      <c r="B547" t="s">
        <v>1101</v>
      </c>
      <c r="C547" t="s">
        <v>4109</v>
      </c>
      <c r="D547" s="69">
        <v>4</v>
      </c>
    </row>
    <row r="548" spans="1:4" x14ac:dyDescent="0.25">
      <c r="A548" t="s">
        <v>2792</v>
      </c>
      <c r="B548" t="s">
        <v>2793</v>
      </c>
      <c r="C548" t="s">
        <v>3888</v>
      </c>
      <c r="D548" s="69">
        <v>10</v>
      </c>
    </row>
    <row r="549" spans="1:4" x14ac:dyDescent="0.25">
      <c r="A549" t="s">
        <v>2794</v>
      </c>
      <c r="B549" t="s">
        <v>2795</v>
      </c>
      <c r="C549" t="s">
        <v>3915</v>
      </c>
      <c r="D549" s="69">
        <v>30.140000000000004</v>
      </c>
    </row>
    <row r="550" spans="1:4" x14ac:dyDescent="0.25">
      <c r="A550" t="s">
        <v>2796</v>
      </c>
      <c r="B550" t="s">
        <v>2797</v>
      </c>
      <c r="C550" t="s">
        <v>3888</v>
      </c>
      <c r="D550" s="69">
        <v>13.9</v>
      </c>
    </row>
    <row r="551" spans="1:4" x14ac:dyDescent="0.25">
      <c r="A551" t="s">
        <v>2798</v>
      </c>
      <c r="B551" t="s">
        <v>2799</v>
      </c>
      <c r="C551" t="s">
        <v>4028</v>
      </c>
      <c r="D551" s="69">
        <v>11.75</v>
      </c>
    </row>
    <row r="552" spans="1:4" x14ac:dyDescent="0.25">
      <c r="A552" t="s">
        <v>2800</v>
      </c>
      <c r="B552" t="s">
        <v>2801</v>
      </c>
      <c r="C552" t="s">
        <v>4028</v>
      </c>
      <c r="D552" s="69">
        <v>11.75</v>
      </c>
    </row>
    <row r="553" spans="1:4" x14ac:dyDescent="0.25">
      <c r="A553" t="s">
        <v>2802</v>
      </c>
      <c r="B553" t="s">
        <v>2803</v>
      </c>
      <c r="C553" t="s">
        <v>4110</v>
      </c>
      <c r="D553" s="69">
        <v>18.88</v>
      </c>
    </row>
    <row r="554" spans="1:4" x14ac:dyDescent="0.25">
      <c r="A554" t="s">
        <v>2804</v>
      </c>
      <c r="B554" t="s">
        <v>2805</v>
      </c>
      <c r="C554" t="s">
        <v>4111</v>
      </c>
      <c r="D554" s="69">
        <v>29.38</v>
      </c>
    </row>
    <row r="555" spans="1:4" x14ac:dyDescent="0.25">
      <c r="A555" t="s">
        <v>2806</v>
      </c>
      <c r="B555" t="s">
        <v>2807</v>
      </c>
      <c r="C555" t="s">
        <v>4112</v>
      </c>
      <c r="D555" s="69">
        <v>36.653333333333336</v>
      </c>
    </row>
    <row r="556" spans="1:4" x14ac:dyDescent="0.25">
      <c r="A556" t="s">
        <v>2808</v>
      </c>
      <c r="B556" t="s">
        <v>2809</v>
      </c>
      <c r="C556" t="s">
        <v>4077</v>
      </c>
      <c r="D556" s="69">
        <v>17.396249999999998</v>
      </c>
    </row>
    <row r="557" spans="1:4" x14ac:dyDescent="0.25">
      <c r="A557" t="s">
        <v>2810</v>
      </c>
      <c r="B557" t="s">
        <v>2811</v>
      </c>
      <c r="C557" t="s">
        <v>3914</v>
      </c>
      <c r="D557" s="69">
        <v>22</v>
      </c>
    </row>
    <row r="558" spans="1:4" x14ac:dyDescent="0.25">
      <c r="A558" t="s">
        <v>2812</v>
      </c>
      <c r="B558" t="s">
        <v>2813</v>
      </c>
      <c r="C558" t="s">
        <v>4113</v>
      </c>
      <c r="D558" s="69">
        <v>4.7826086956521747</v>
      </c>
    </row>
    <row r="559" spans="1:4" x14ac:dyDescent="0.25">
      <c r="A559" t="s">
        <v>2814</v>
      </c>
      <c r="B559" t="s">
        <v>2815</v>
      </c>
      <c r="C559" t="s">
        <v>4070</v>
      </c>
      <c r="D559" s="69">
        <v>7.5</v>
      </c>
    </row>
    <row r="560" spans="1:4" x14ac:dyDescent="0.25">
      <c r="A560" t="s">
        <v>2816</v>
      </c>
      <c r="B560" t="s">
        <v>2817</v>
      </c>
      <c r="C560" t="s">
        <v>3943</v>
      </c>
      <c r="D560" s="69">
        <v>10.5</v>
      </c>
    </row>
    <row r="561" spans="1:4" x14ac:dyDescent="0.25">
      <c r="A561" t="s">
        <v>2818</v>
      </c>
      <c r="B561" t="s">
        <v>2819</v>
      </c>
      <c r="C561" t="s">
        <v>3888</v>
      </c>
      <c r="D561" s="69">
        <v>10.5</v>
      </c>
    </row>
    <row r="562" spans="1:4" x14ac:dyDescent="0.25">
      <c r="A562" t="s">
        <v>1783</v>
      </c>
      <c r="B562" t="s">
        <v>2820</v>
      </c>
      <c r="C562" t="s">
        <v>4114</v>
      </c>
      <c r="D562" s="69">
        <v>10.083333333333334</v>
      </c>
    </row>
    <row r="563" spans="1:4" x14ac:dyDescent="0.25">
      <c r="A563" t="s">
        <v>2821</v>
      </c>
      <c r="B563" t="s">
        <v>2822</v>
      </c>
      <c r="C563" t="s">
        <v>3888</v>
      </c>
      <c r="D563" s="69">
        <v>10.937612918755759</v>
      </c>
    </row>
    <row r="564" spans="1:4" x14ac:dyDescent="0.25">
      <c r="A564" t="s">
        <v>2823</v>
      </c>
      <c r="B564" t="s">
        <v>2824</v>
      </c>
      <c r="C564" t="s">
        <v>3888</v>
      </c>
      <c r="D564" s="69">
        <v>3.75</v>
      </c>
    </row>
    <row r="565" spans="1:4" x14ac:dyDescent="0.25">
      <c r="A565" t="s">
        <v>2825</v>
      </c>
      <c r="B565" t="s">
        <v>2826</v>
      </c>
      <c r="C565" t="s">
        <v>3888</v>
      </c>
      <c r="D565" s="69">
        <v>3.6</v>
      </c>
    </row>
    <row r="566" spans="1:4" x14ac:dyDescent="0.25">
      <c r="A566" t="s">
        <v>2827</v>
      </c>
      <c r="B566" t="s">
        <v>2828</v>
      </c>
      <c r="C566" t="s">
        <v>3888</v>
      </c>
      <c r="D566" s="69">
        <v>6.0869565217391299</v>
      </c>
    </row>
    <row r="567" spans="1:4" x14ac:dyDescent="0.25">
      <c r="A567" t="s">
        <v>2829</v>
      </c>
      <c r="B567" t="s">
        <v>2830</v>
      </c>
      <c r="C567" t="s">
        <v>3888</v>
      </c>
      <c r="D567" s="69">
        <v>8.5</v>
      </c>
    </row>
    <row r="568" spans="1:4" x14ac:dyDescent="0.25">
      <c r="A568" t="s">
        <v>2831</v>
      </c>
      <c r="B568" t="s">
        <v>2832</v>
      </c>
      <c r="C568" t="s">
        <v>4115</v>
      </c>
      <c r="D568" s="69">
        <v>4</v>
      </c>
    </row>
    <row r="569" spans="1:4" x14ac:dyDescent="0.25">
      <c r="A569" t="s">
        <v>2833</v>
      </c>
      <c r="B569" t="s">
        <v>2834</v>
      </c>
      <c r="C569" t="s">
        <v>4116</v>
      </c>
      <c r="D569" s="69">
        <v>18</v>
      </c>
    </row>
    <row r="570" spans="1:4" x14ac:dyDescent="0.25">
      <c r="A570" t="s">
        <v>2835</v>
      </c>
      <c r="B570" t="s">
        <v>2836</v>
      </c>
      <c r="C570" t="s">
        <v>4117</v>
      </c>
      <c r="D570" s="69">
        <v>26.344444444444445</v>
      </c>
    </row>
    <row r="571" spans="1:4" x14ac:dyDescent="0.25">
      <c r="A571" t="s">
        <v>2837</v>
      </c>
      <c r="B571" t="s">
        <v>2838</v>
      </c>
      <c r="C571" t="s">
        <v>4032</v>
      </c>
      <c r="D571" s="69">
        <v>18</v>
      </c>
    </row>
    <row r="572" spans="1:4" x14ac:dyDescent="0.25">
      <c r="A572" t="s">
        <v>2839</v>
      </c>
      <c r="B572" t="s">
        <v>2840</v>
      </c>
      <c r="C572" t="s">
        <v>3972</v>
      </c>
      <c r="D572" s="69">
        <v>1.7250000000000001</v>
      </c>
    </row>
    <row r="573" spans="1:4" x14ac:dyDescent="0.25">
      <c r="A573" t="s">
        <v>2841</v>
      </c>
      <c r="B573" t="s">
        <v>2842</v>
      </c>
      <c r="C573" t="s">
        <v>3879</v>
      </c>
      <c r="D573" s="69">
        <v>1.2</v>
      </c>
    </row>
    <row r="574" spans="1:4" x14ac:dyDescent="0.25">
      <c r="A574" t="s">
        <v>2843</v>
      </c>
      <c r="B574" t="s">
        <v>2844</v>
      </c>
      <c r="C574" t="s">
        <v>3959</v>
      </c>
      <c r="D574" s="69">
        <v>1.7</v>
      </c>
    </row>
    <row r="575" spans="1:4" x14ac:dyDescent="0.25">
      <c r="A575" t="s">
        <v>2845</v>
      </c>
      <c r="B575" t="s">
        <v>2846</v>
      </c>
      <c r="C575" t="s">
        <v>3992</v>
      </c>
      <c r="D575" s="69">
        <v>1</v>
      </c>
    </row>
    <row r="576" spans="1:4" x14ac:dyDescent="0.25">
      <c r="A576" t="s">
        <v>2847</v>
      </c>
      <c r="B576" t="s">
        <v>2848</v>
      </c>
      <c r="C576" t="s">
        <v>4118</v>
      </c>
      <c r="D576" s="69">
        <v>8</v>
      </c>
    </row>
    <row r="577" spans="1:4" x14ac:dyDescent="0.25">
      <c r="A577" t="s">
        <v>2849</v>
      </c>
      <c r="B577" t="s">
        <v>2850</v>
      </c>
      <c r="C577" t="s">
        <v>4119</v>
      </c>
      <c r="D577" s="69">
        <v>2.5</v>
      </c>
    </row>
    <row r="578" spans="1:4" x14ac:dyDescent="0.25">
      <c r="A578" t="s">
        <v>2851</v>
      </c>
      <c r="B578" t="s">
        <v>2852</v>
      </c>
      <c r="C578" t="s">
        <v>4120</v>
      </c>
      <c r="D578" s="69">
        <v>1.6</v>
      </c>
    </row>
    <row r="579" spans="1:4" x14ac:dyDescent="0.25">
      <c r="A579" t="s">
        <v>2853</v>
      </c>
      <c r="B579" t="s">
        <v>2854</v>
      </c>
      <c r="C579" t="s">
        <v>4121</v>
      </c>
      <c r="D579" s="69">
        <v>11.6</v>
      </c>
    </row>
    <row r="580" spans="1:4" x14ac:dyDescent="0.25">
      <c r="A580" t="s">
        <v>2855</v>
      </c>
      <c r="B580" t="s">
        <v>2856</v>
      </c>
      <c r="C580" t="s">
        <v>4122</v>
      </c>
      <c r="D580" s="69">
        <v>48.1</v>
      </c>
    </row>
    <row r="581" spans="1:4" x14ac:dyDescent="0.25">
      <c r="A581" t="s">
        <v>2857</v>
      </c>
      <c r="B581" t="s">
        <v>2858</v>
      </c>
      <c r="C581" t="s">
        <v>4048</v>
      </c>
      <c r="D581" s="69">
        <v>11.97</v>
      </c>
    </row>
    <row r="582" spans="1:4" x14ac:dyDescent="0.25">
      <c r="A582" t="s">
        <v>2859</v>
      </c>
      <c r="B582" t="s">
        <v>2860</v>
      </c>
      <c r="C582" t="s">
        <v>4123</v>
      </c>
      <c r="D582" s="69">
        <v>29.7</v>
      </c>
    </row>
    <row r="583" spans="1:4" x14ac:dyDescent="0.25">
      <c r="A583" t="s">
        <v>2861</v>
      </c>
      <c r="B583" t="s">
        <v>2862</v>
      </c>
      <c r="C583" t="s">
        <v>4124</v>
      </c>
      <c r="D583" s="69">
        <v>28.44</v>
      </c>
    </row>
    <row r="584" spans="1:4" x14ac:dyDescent="0.25">
      <c r="A584" t="s">
        <v>2863</v>
      </c>
      <c r="B584" t="s">
        <v>2864</v>
      </c>
      <c r="C584" t="s">
        <v>4123</v>
      </c>
      <c r="D584" s="69">
        <v>29.7</v>
      </c>
    </row>
    <row r="585" spans="1:4" x14ac:dyDescent="0.25">
      <c r="A585" t="s">
        <v>2865</v>
      </c>
      <c r="B585" t="s">
        <v>2866</v>
      </c>
      <c r="C585" t="s">
        <v>3988</v>
      </c>
      <c r="D585" s="69">
        <v>49.5</v>
      </c>
    </row>
    <row r="586" spans="1:4" x14ac:dyDescent="0.25">
      <c r="A586" t="s">
        <v>2867</v>
      </c>
      <c r="B586" t="s">
        <v>2868</v>
      </c>
      <c r="C586" t="s">
        <v>3874</v>
      </c>
      <c r="D586" s="69">
        <v>14</v>
      </c>
    </row>
    <row r="587" spans="1:4" x14ac:dyDescent="0.25">
      <c r="A587" t="s">
        <v>2869</v>
      </c>
      <c r="B587" t="s">
        <v>2870</v>
      </c>
      <c r="C587" t="s">
        <v>3888</v>
      </c>
      <c r="D587" s="69">
        <v>5.14</v>
      </c>
    </row>
    <row r="588" spans="1:4" x14ac:dyDescent="0.25">
      <c r="A588" t="s">
        <v>2871</v>
      </c>
      <c r="B588" t="s">
        <v>2872</v>
      </c>
      <c r="C588" t="s">
        <v>4125</v>
      </c>
      <c r="D588" s="69">
        <v>10.9</v>
      </c>
    </row>
    <row r="589" spans="1:4" x14ac:dyDescent="0.25">
      <c r="A589" t="s">
        <v>2873</v>
      </c>
      <c r="B589" t="s">
        <v>2874</v>
      </c>
      <c r="C589" t="s">
        <v>4028</v>
      </c>
      <c r="D589" s="69">
        <v>23.54</v>
      </c>
    </row>
    <row r="590" spans="1:4" x14ac:dyDescent="0.25">
      <c r="A590" t="s">
        <v>2875</v>
      </c>
      <c r="B590" t="s">
        <v>2876</v>
      </c>
      <c r="C590" t="s">
        <v>4028</v>
      </c>
      <c r="D590" s="69">
        <v>23.54</v>
      </c>
    </row>
    <row r="591" spans="1:4" x14ac:dyDescent="0.25">
      <c r="A591" t="s">
        <v>2877</v>
      </c>
      <c r="B591" t="s">
        <v>2878</v>
      </c>
      <c r="C591" t="s">
        <v>4126</v>
      </c>
      <c r="D591" s="69">
        <v>1</v>
      </c>
    </row>
    <row r="592" spans="1:4" x14ac:dyDescent="0.25">
      <c r="A592" t="s">
        <v>2879</v>
      </c>
      <c r="B592" t="s">
        <v>2880</v>
      </c>
      <c r="C592" t="s">
        <v>4127</v>
      </c>
      <c r="D592" s="69">
        <v>3.6433333333333331</v>
      </c>
    </row>
    <row r="593" spans="1:4" x14ac:dyDescent="0.25">
      <c r="A593" t="s">
        <v>2881</v>
      </c>
      <c r="B593" t="s">
        <v>2882</v>
      </c>
      <c r="C593" t="s">
        <v>4128</v>
      </c>
      <c r="D593" s="69">
        <v>19.41</v>
      </c>
    </row>
    <row r="594" spans="1:4" x14ac:dyDescent="0.25">
      <c r="A594" t="s">
        <v>2883</v>
      </c>
      <c r="B594" t="s">
        <v>2884</v>
      </c>
      <c r="C594" t="s">
        <v>4129</v>
      </c>
      <c r="D594" s="69">
        <v>11.51</v>
      </c>
    </row>
    <row r="595" spans="1:4" x14ac:dyDescent="0.25">
      <c r="A595" t="s">
        <v>2885</v>
      </c>
      <c r="B595" t="s">
        <v>2886</v>
      </c>
      <c r="C595" t="s">
        <v>4130</v>
      </c>
      <c r="D595" s="69">
        <v>19.2</v>
      </c>
    </row>
    <row r="596" spans="1:4" x14ac:dyDescent="0.25">
      <c r="A596" t="s">
        <v>2887</v>
      </c>
      <c r="B596" t="s">
        <v>2888</v>
      </c>
      <c r="C596" t="s">
        <v>4131</v>
      </c>
      <c r="D596" s="69">
        <v>44.949999999999996</v>
      </c>
    </row>
    <row r="597" spans="1:4" x14ac:dyDescent="0.25">
      <c r="A597" t="s">
        <v>2889</v>
      </c>
      <c r="B597" t="s">
        <v>2890</v>
      </c>
      <c r="C597" t="s">
        <v>4132</v>
      </c>
      <c r="D597" s="69">
        <v>1.73125</v>
      </c>
    </row>
    <row r="598" spans="1:4" x14ac:dyDescent="0.25">
      <c r="A598" t="s">
        <v>2891</v>
      </c>
      <c r="B598" t="s">
        <v>2892</v>
      </c>
      <c r="C598" t="s">
        <v>3931</v>
      </c>
      <c r="D598" s="69">
        <v>3.89</v>
      </c>
    </row>
    <row r="599" spans="1:4" x14ac:dyDescent="0.25">
      <c r="A599" t="s">
        <v>2893</v>
      </c>
      <c r="B599" t="s">
        <v>2894</v>
      </c>
      <c r="C599" t="s">
        <v>3892</v>
      </c>
      <c r="D599" s="69">
        <v>3.9</v>
      </c>
    </row>
    <row r="600" spans="1:4" x14ac:dyDescent="0.25">
      <c r="A600" t="s">
        <v>2895</v>
      </c>
      <c r="B600" t="s">
        <v>2896</v>
      </c>
      <c r="C600" t="s">
        <v>3879</v>
      </c>
      <c r="D600" s="69">
        <v>6.5</v>
      </c>
    </row>
    <row r="601" spans="1:4" x14ac:dyDescent="0.25">
      <c r="A601" t="s">
        <v>2897</v>
      </c>
      <c r="B601" t="s">
        <v>2898</v>
      </c>
      <c r="C601" t="s">
        <v>4049</v>
      </c>
      <c r="D601" s="69">
        <v>12.5</v>
      </c>
    </row>
    <row r="602" spans="1:4" x14ac:dyDescent="0.25">
      <c r="A602" t="s">
        <v>2899</v>
      </c>
      <c r="B602" t="s">
        <v>2900</v>
      </c>
      <c r="C602" t="s">
        <v>4133</v>
      </c>
      <c r="D602" s="69">
        <v>16.8</v>
      </c>
    </row>
    <row r="603" spans="1:4" x14ac:dyDescent="0.25">
      <c r="A603" t="s">
        <v>2901</v>
      </c>
      <c r="B603" t="s">
        <v>2902</v>
      </c>
      <c r="C603" t="s">
        <v>4134</v>
      </c>
      <c r="D603" s="69">
        <v>2</v>
      </c>
    </row>
    <row r="604" spans="1:4" x14ac:dyDescent="0.25">
      <c r="A604" t="s">
        <v>2903</v>
      </c>
      <c r="B604" t="s">
        <v>2904</v>
      </c>
      <c r="C604" t="s">
        <v>3992</v>
      </c>
      <c r="D604" s="69">
        <v>2.1</v>
      </c>
    </row>
    <row r="605" spans="1:4" x14ac:dyDescent="0.25">
      <c r="A605" t="s">
        <v>2905</v>
      </c>
      <c r="B605" t="s">
        <v>2906</v>
      </c>
      <c r="C605" t="s">
        <v>3929</v>
      </c>
      <c r="D605" s="69">
        <v>3.125</v>
      </c>
    </row>
    <row r="606" spans="1:4" x14ac:dyDescent="0.25">
      <c r="A606" t="s">
        <v>2907</v>
      </c>
      <c r="B606" t="s">
        <v>2908</v>
      </c>
      <c r="C606" t="s">
        <v>3943</v>
      </c>
      <c r="D606" s="69">
        <v>2</v>
      </c>
    </row>
    <row r="607" spans="1:4" x14ac:dyDescent="0.25">
      <c r="A607" t="s">
        <v>2909</v>
      </c>
      <c r="B607" t="s">
        <v>2910</v>
      </c>
      <c r="C607" t="s">
        <v>3947</v>
      </c>
      <c r="D607" s="69">
        <v>21.227272727272727</v>
      </c>
    </row>
    <row r="608" spans="1:4" x14ac:dyDescent="0.25">
      <c r="A608" t="s">
        <v>2911</v>
      </c>
      <c r="B608" t="s">
        <v>2912</v>
      </c>
      <c r="C608" t="s">
        <v>3885</v>
      </c>
      <c r="D608" s="69">
        <v>2.6534090909090908</v>
      </c>
    </row>
    <row r="609" spans="1:4" x14ac:dyDescent="0.25">
      <c r="A609" t="s">
        <v>2913</v>
      </c>
      <c r="B609" t="s">
        <v>2914</v>
      </c>
      <c r="C609" t="s">
        <v>4067</v>
      </c>
      <c r="D609" s="69">
        <v>8.5026385112104244</v>
      </c>
    </row>
    <row r="610" spans="1:4" x14ac:dyDescent="0.25">
      <c r="A610" t="s">
        <v>2915</v>
      </c>
      <c r="B610" t="s">
        <v>2916</v>
      </c>
      <c r="C610" t="s">
        <v>3913</v>
      </c>
      <c r="D610" s="69">
        <v>5.9666666666666668</v>
      </c>
    </row>
    <row r="611" spans="1:4" x14ac:dyDescent="0.25">
      <c r="A611" t="s">
        <v>2917</v>
      </c>
      <c r="B611" t="s">
        <v>2918</v>
      </c>
      <c r="C611" t="s">
        <v>4135</v>
      </c>
      <c r="D611" s="69">
        <v>24.9</v>
      </c>
    </row>
    <row r="612" spans="1:4" x14ac:dyDescent="0.25">
      <c r="A612" t="s">
        <v>2919</v>
      </c>
      <c r="B612" t="s">
        <v>2920</v>
      </c>
      <c r="C612" t="s">
        <v>4136</v>
      </c>
      <c r="D612" s="69">
        <v>3.8499999999999996</v>
      </c>
    </row>
    <row r="613" spans="1:4" x14ac:dyDescent="0.25">
      <c r="A613" t="s">
        <v>2921</v>
      </c>
      <c r="B613" t="s">
        <v>2922</v>
      </c>
      <c r="C613" t="s">
        <v>4136</v>
      </c>
      <c r="D613" s="69">
        <v>4.4800000000000004</v>
      </c>
    </row>
    <row r="614" spans="1:4" x14ac:dyDescent="0.25">
      <c r="A614" t="s">
        <v>2923</v>
      </c>
      <c r="B614" t="s">
        <v>2924</v>
      </c>
      <c r="C614" t="s">
        <v>4137</v>
      </c>
      <c r="D614" s="69">
        <v>9.3000000000000007</v>
      </c>
    </row>
    <row r="615" spans="1:4" x14ac:dyDescent="0.25">
      <c r="A615" t="s">
        <v>2925</v>
      </c>
      <c r="B615" t="s">
        <v>2926</v>
      </c>
      <c r="C615" t="s">
        <v>3924</v>
      </c>
      <c r="D615" s="69">
        <v>4.0999999999999996</v>
      </c>
    </row>
    <row r="616" spans="1:4" x14ac:dyDescent="0.25">
      <c r="A616" t="s">
        <v>2927</v>
      </c>
      <c r="B616" t="s">
        <v>2928</v>
      </c>
      <c r="C616" t="s">
        <v>4138</v>
      </c>
      <c r="D616" s="69">
        <v>36</v>
      </c>
    </row>
    <row r="617" spans="1:4" x14ac:dyDescent="0.25">
      <c r="A617" t="s">
        <v>2929</v>
      </c>
      <c r="B617" t="s">
        <v>2930</v>
      </c>
      <c r="C617" t="s">
        <v>3885</v>
      </c>
      <c r="D617" s="69">
        <v>6.4</v>
      </c>
    </row>
    <row r="618" spans="1:4" x14ac:dyDescent="0.25">
      <c r="A618" t="s">
        <v>2931</v>
      </c>
      <c r="B618" t="s">
        <v>2932</v>
      </c>
      <c r="C618" t="s">
        <v>4137</v>
      </c>
      <c r="D618" s="69">
        <v>7.4399999999999995</v>
      </c>
    </row>
    <row r="619" spans="1:4" x14ac:dyDescent="0.25">
      <c r="A619" t="s">
        <v>2933</v>
      </c>
      <c r="B619" t="s">
        <v>2934</v>
      </c>
      <c r="C619" t="s">
        <v>3888</v>
      </c>
      <c r="D619" s="69">
        <v>2.4500000000000002</v>
      </c>
    </row>
    <row r="620" spans="1:4" x14ac:dyDescent="0.25">
      <c r="A620" t="s">
        <v>2935</v>
      </c>
      <c r="B620" t="s">
        <v>2936</v>
      </c>
      <c r="C620" t="s">
        <v>3885</v>
      </c>
      <c r="D620" s="69">
        <v>4.1100000000000003</v>
      </c>
    </row>
    <row r="621" spans="1:4" x14ac:dyDescent="0.25">
      <c r="A621" t="s">
        <v>2937</v>
      </c>
      <c r="B621" t="s">
        <v>2938</v>
      </c>
      <c r="C621" t="s">
        <v>4137</v>
      </c>
      <c r="D621" s="69">
        <v>8.2200000000000006</v>
      </c>
    </row>
    <row r="622" spans="1:4" x14ac:dyDescent="0.25">
      <c r="A622" t="s">
        <v>2939</v>
      </c>
      <c r="B622" t="s">
        <v>2940</v>
      </c>
      <c r="C622" t="s">
        <v>4139</v>
      </c>
      <c r="D622" s="69">
        <v>1.1100000000000001</v>
      </c>
    </row>
    <row r="623" spans="1:4" x14ac:dyDescent="0.25">
      <c r="A623" t="s">
        <v>1244</v>
      </c>
      <c r="B623" t="s">
        <v>2941</v>
      </c>
      <c r="C623" t="s">
        <v>3958</v>
      </c>
      <c r="D623" s="69">
        <v>5.6507352941176476</v>
      </c>
    </row>
    <row r="624" spans="1:4" x14ac:dyDescent="0.25">
      <c r="A624" t="s">
        <v>1246</v>
      </c>
      <c r="B624" t="s">
        <v>2942</v>
      </c>
      <c r="C624" t="s">
        <v>3958</v>
      </c>
      <c r="D624" s="69">
        <v>6.3174019607843137</v>
      </c>
    </row>
    <row r="625" spans="1:4" x14ac:dyDescent="0.25">
      <c r="A625" t="s">
        <v>2943</v>
      </c>
      <c r="B625" t="s">
        <v>2944</v>
      </c>
      <c r="C625" t="s">
        <v>3888</v>
      </c>
      <c r="D625" s="69">
        <v>25</v>
      </c>
    </row>
    <row r="626" spans="1:4" x14ac:dyDescent="0.25">
      <c r="A626" t="s">
        <v>960</v>
      </c>
      <c r="B626" t="s">
        <v>961</v>
      </c>
      <c r="C626" t="s">
        <v>3889</v>
      </c>
      <c r="D626" s="69">
        <v>9.9491520697167779</v>
      </c>
    </row>
    <row r="627" spans="1:4" x14ac:dyDescent="0.25">
      <c r="A627" t="s">
        <v>2945</v>
      </c>
      <c r="B627" t="s">
        <v>2946</v>
      </c>
      <c r="C627" t="s">
        <v>4140</v>
      </c>
      <c r="D627" s="69">
        <v>18.5</v>
      </c>
    </row>
    <row r="628" spans="1:4" x14ac:dyDescent="0.25">
      <c r="A628" t="s">
        <v>2947</v>
      </c>
      <c r="B628" t="s">
        <v>2948</v>
      </c>
      <c r="C628" t="s">
        <v>4141</v>
      </c>
      <c r="D628" s="69">
        <v>21.125</v>
      </c>
    </row>
    <row r="629" spans="1:4" x14ac:dyDescent="0.25">
      <c r="A629" t="s">
        <v>640</v>
      </c>
      <c r="B629" t="s">
        <v>641</v>
      </c>
      <c r="C629" t="s">
        <v>3884</v>
      </c>
      <c r="D629" s="69">
        <v>19.150031740768561</v>
      </c>
    </row>
    <row r="630" spans="1:4" x14ac:dyDescent="0.25">
      <c r="A630" t="s">
        <v>1211</v>
      </c>
      <c r="B630" t="s">
        <v>2949</v>
      </c>
      <c r="C630" t="s">
        <v>4142</v>
      </c>
      <c r="D630" s="69">
        <v>5.5</v>
      </c>
    </row>
    <row r="631" spans="1:4" x14ac:dyDescent="0.25">
      <c r="A631" t="s">
        <v>1250</v>
      </c>
      <c r="B631" t="s">
        <v>2950</v>
      </c>
      <c r="C631" t="s">
        <v>3963</v>
      </c>
      <c r="D631" s="69">
        <v>4.4103260869565224</v>
      </c>
    </row>
    <row r="632" spans="1:4" x14ac:dyDescent="0.25">
      <c r="A632" t="s">
        <v>634</v>
      </c>
      <c r="B632" t="s">
        <v>635</v>
      </c>
      <c r="C632" t="s">
        <v>3902</v>
      </c>
      <c r="D632" s="69">
        <v>6.0036543478260871</v>
      </c>
    </row>
    <row r="633" spans="1:4" x14ac:dyDescent="0.25">
      <c r="A633" t="s">
        <v>1270</v>
      </c>
      <c r="B633" t="s">
        <v>1271</v>
      </c>
      <c r="C633" t="s">
        <v>3888</v>
      </c>
      <c r="D633" s="69">
        <v>16</v>
      </c>
    </row>
    <row r="634" spans="1:4" x14ac:dyDescent="0.25">
      <c r="A634" t="s">
        <v>2951</v>
      </c>
      <c r="B634" t="s">
        <v>2952</v>
      </c>
      <c r="C634" t="s">
        <v>3888</v>
      </c>
      <c r="D634" s="69">
        <v>12.6</v>
      </c>
    </row>
    <row r="635" spans="1:4" x14ac:dyDescent="0.25">
      <c r="A635" t="s">
        <v>2953</v>
      </c>
      <c r="B635" t="s">
        <v>2954</v>
      </c>
      <c r="C635" t="s">
        <v>4143</v>
      </c>
      <c r="D635" s="69">
        <v>15.72</v>
      </c>
    </row>
    <row r="636" spans="1:4" x14ac:dyDescent="0.25">
      <c r="A636" t="s">
        <v>1829</v>
      </c>
      <c r="B636" t="s">
        <v>2955</v>
      </c>
      <c r="C636" t="s">
        <v>3983</v>
      </c>
      <c r="D636" s="69">
        <v>20.56</v>
      </c>
    </row>
    <row r="637" spans="1:4" x14ac:dyDescent="0.25">
      <c r="A637" t="s">
        <v>2956</v>
      </c>
      <c r="B637" t="s">
        <v>2957</v>
      </c>
      <c r="C637" t="s">
        <v>4144</v>
      </c>
      <c r="D637" s="69">
        <v>14.420169196453749</v>
      </c>
    </row>
    <row r="638" spans="1:4" x14ac:dyDescent="0.25">
      <c r="A638" t="s">
        <v>365</v>
      </c>
      <c r="B638" t="s">
        <v>2958</v>
      </c>
      <c r="C638" t="s">
        <v>3884</v>
      </c>
      <c r="D638" s="69">
        <v>5.85</v>
      </c>
    </row>
    <row r="639" spans="1:4" x14ac:dyDescent="0.25">
      <c r="A639" t="s">
        <v>2959</v>
      </c>
      <c r="B639" t="s">
        <v>2960</v>
      </c>
      <c r="C639" t="s">
        <v>4014</v>
      </c>
      <c r="D639" s="69">
        <v>16.5</v>
      </c>
    </row>
    <row r="640" spans="1:4" x14ac:dyDescent="0.25">
      <c r="A640" t="s">
        <v>623</v>
      </c>
      <c r="B640" t="s">
        <v>624</v>
      </c>
      <c r="C640" t="s">
        <v>3958</v>
      </c>
      <c r="D640" s="69">
        <v>15.125176470588237</v>
      </c>
    </row>
    <row r="641" spans="1:4" x14ac:dyDescent="0.25">
      <c r="A641" t="s">
        <v>1254</v>
      </c>
      <c r="B641" t="s">
        <v>2961</v>
      </c>
      <c r="C641" t="s">
        <v>3906</v>
      </c>
      <c r="D641" s="69">
        <v>6.9</v>
      </c>
    </row>
    <row r="642" spans="1:4" x14ac:dyDescent="0.25">
      <c r="A642" t="s">
        <v>25</v>
      </c>
      <c r="B642" t="s">
        <v>26</v>
      </c>
      <c r="C642" t="s">
        <v>4125</v>
      </c>
      <c r="D642" s="69">
        <v>8.6553717092934228</v>
      </c>
    </row>
    <row r="643" spans="1:4" x14ac:dyDescent="0.25">
      <c r="A643" t="s">
        <v>2962</v>
      </c>
      <c r="B643" t="s">
        <v>2963</v>
      </c>
      <c r="C643" t="s">
        <v>4145</v>
      </c>
      <c r="D643" s="69">
        <v>38.659999999999997</v>
      </c>
    </row>
    <row r="644" spans="1:4" x14ac:dyDescent="0.25">
      <c r="A644" t="s">
        <v>2964</v>
      </c>
      <c r="B644" t="s">
        <v>2965</v>
      </c>
      <c r="C644" t="s">
        <v>4146</v>
      </c>
      <c r="D644" s="69">
        <v>14.88</v>
      </c>
    </row>
    <row r="645" spans="1:4" x14ac:dyDescent="0.25">
      <c r="A645" t="s">
        <v>566</v>
      </c>
      <c r="B645" t="s">
        <v>567</v>
      </c>
      <c r="C645" t="s">
        <v>4147</v>
      </c>
      <c r="D645" s="69">
        <v>4.97663426764609</v>
      </c>
    </row>
    <row r="646" spans="1:4" x14ac:dyDescent="0.25">
      <c r="A646" t="s">
        <v>2966</v>
      </c>
      <c r="B646" t="s">
        <v>2967</v>
      </c>
      <c r="C646" t="s">
        <v>3889</v>
      </c>
      <c r="D646" s="69">
        <v>3.88</v>
      </c>
    </row>
    <row r="647" spans="1:4" x14ac:dyDescent="0.25">
      <c r="A647" t="s">
        <v>2968</v>
      </c>
      <c r="B647" t="s">
        <v>2969</v>
      </c>
      <c r="C647" t="s">
        <v>3888</v>
      </c>
      <c r="D647" s="69">
        <v>6.9599637681159434</v>
      </c>
    </row>
    <row r="648" spans="1:4" x14ac:dyDescent="0.25">
      <c r="A648" t="s">
        <v>2970</v>
      </c>
      <c r="B648" t="s">
        <v>2971</v>
      </c>
      <c r="C648" t="s">
        <v>3888</v>
      </c>
      <c r="D648" s="69">
        <v>5.0295289855072474</v>
      </c>
    </row>
    <row r="649" spans="1:4" x14ac:dyDescent="0.25">
      <c r="A649" t="s">
        <v>2972</v>
      </c>
      <c r="B649" t="s">
        <v>2973</v>
      </c>
      <c r="C649" t="s">
        <v>3888</v>
      </c>
      <c r="D649" s="69">
        <v>7.307789855072464</v>
      </c>
    </row>
    <row r="650" spans="1:4" x14ac:dyDescent="0.25">
      <c r="A650" t="s">
        <v>2974</v>
      </c>
      <c r="B650" t="s">
        <v>2975</v>
      </c>
      <c r="C650" t="s">
        <v>3888</v>
      </c>
      <c r="D650" s="69">
        <v>6.307789855072464</v>
      </c>
    </row>
    <row r="651" spans="1:4" x14ac:dyDescent="0.25">
      <c r="A651" t="s">
        <v>2976</v>
      </c>
      <c r="B651" t="s">
        <v>2977</v>
      </c>
      <c r="C651" t="s">
        <v>3888</v>
      </c>
      <c r="D651" s="69">
        <v>4.5686594202898556</v>
      </c>
    </row>
    <row r="652" spans="1:4" x14ac:dyDescent="0.25">
      <c r="A652" t="s">
        <v>2978</v>
      </c>
      <c r="B652" t="s">
        <v>2979</v>
      </c>
      <c r="C652" t="s">
        <v>3888</v>
      </c>
      <c r="D652" s="69">
        <v>6.3512681159420294</v>
      </c>
    </row>
    <row r="653" spans="1:4" x14ac:dyDescent="0.25">
      <c r="A653" t="s">
        <v>2980</v>
      </c>
      <c r="B653" t="s">
        <v>2981</v>
      </c>
      <c r="C653" t="s">
        <v>3888</v>
      </c>
      <c r="D653" s="69">
        <v>6.1773550724637687</v>
      </c>
    </row>
    <row r="654" spans="1:4" x14ac:dyDescent="0.25">
      <c r="A654" t="s">
        <v>2982</v>
      </c>
      <c r="B654" t="s">
        <v>2983</v>
      </c>
      <c r="C654" t="s">
        <v>4148</v>
      </c>
      <c r="D654" s="69">
        <v>0.49800000000000005</v>
      </c>
    </row>
    <row r="655" spans="1:4" x14ac:dyDescent="0.25">
      <c r="A655" t="s">
        <v>1</v>
      </c>
      <c r="B655" t="s">
        <v>2984</v>
      </c>
      <c r="C655" t="s">
        <v>3889</v>
      </c>
      <c r="D655" s="69">
        <v>4.9208927536231855</v>
      </c>
    </row>
    <row r="656" spans="1:4" x14ac:dyDescent="0.25">
      <c r="A656" t="s">
        <v>1810</v>
      </c>
      <c r="B656" t="s">
        <v>2985</v>
      </c>
      <c r="C656" t="s">
        <v>4149</v>
      </c>
      <c r="D656" s="69">
        <v>13.41</v>
      </c>
    </row>
    <row r="657" spans="1:4" x14ac:dyDescent="0.25">
      <c r="A657" t="s">
        <v>627</v>
      </c>
      <c r="B657" t="s">
        <v>628</v>
      </c>
      <c r="C657" t="s">
        <v>3887</v>
      </c>
      <c r="D657" s="69">
        <v>1.9350597014925373</v>
      </c>
    </row>
    <row r="658" spans="1:4" x14ac:dyDescent="0.25">
      <c r="A658" t="s">
        <v>630</v>
      </c>
      <c r="B658" t="s">
        <v>631</v>
      </c>
      <c r="C658" t="s">
        <v>3902</v>
      </c>
      <c r="D658" s="69">
        <v>4.7549285714285716</v>
      </c>
    </row>
    <row r="659" spans="1:4" x14ac:dyDescent="0.25">
      <c r="A659" t="s">
        <v>576</v>
      </c>
      <c r="B659" t="s">
        <v>577</v>
      </c>
      <c r="C659" t="s">
        <v>3889</v>
      </c>
      <c r="D659" s="69">
        <v>6.0440287179906278</v>
      </c>
    </row>
    <row r="660" spans="1:4" x14ac:dyDescent="0.25">
      <c r="A660" t="s">
        <v>2986</v>
      </c>
      <c r="B660" t="s">
        <v>2987</v>
      </c>
      <c r="C660" t="s">
        <v>3881</v>
      </c>
      <c r="D660" s="69">
        <v>3.4103663452418025</v>
      </c>
    </row>
    <row r="661" spans="1:4" x14ac:dyDescent="0.25">
      <c r="A661" t="s">
        <v>642</v>
      </c>
      <c r="B661" t="s">
        <v>643</v>
      </c>
      <c r="C661" t="s">
        <v>3889</v>
      </c>
      <c r="D661" s="69">
        <v>6.1145416666666677</v>
      </c>
    </row>
    <row r="662" spans="1:4" x14ac:dyDescent="0.25">
      <c r="A662" t="s">
        <v>562</v>
      </c>
      <c r="B662" t="s">
        <v>563</v>
      </c>
      <c r="C662" t="s">
        <v>4125</v>
      </c>
      <c r="D662" s="69">
        <v>20.462198071450814</v>
      </c>
    </row>
    <row r="663" spans="1:4" x14ac:dyDescent="0.25">
      <c r="A663" t="s">
        <v>2988</v>
      </c>
      <c r="B663" t="s">
        <v>2989</v>
      </c>
      <c r="C663" t="s">
        <v>4150</v>
      </c>
      <c r="D663" s="69">
        <v>15</v>
      </c>
    </row>
    <row r="664" spans="1:4" x14ac:dyDescent="0.25">
      <c r="A664" t="s">
        <v>2990</v>
      </c>
      <c r="B664" t="s">
        <v>2991</v>
      </c>
      <c r="C664" t="s">
        <v>4151</v>
      </c>
      <c r="D664" s="69">
        <v>40</v>
      </c>
    </row>
    <row r="665" spans="1:4" x14ac:dyDescent="0.25">
      <c r="A665" t="s">
        <v>2992</v>
      </c>
      <c r="B665" t="s">
        <v>2993</v>
      </c>
      <c r="C665" t="s">
        <v>4132</v>
      </c>
      <c r="D665" s="69">
        <v>1.85</v>
      </c>
    </row>
    <row r="666" spans="1:4" x14ac:dyDescent="0.25">
      <c r="A666" t="s">
        <v>2994</v>
      </c>
      <c r="B666" t="s">
        <v>2995</v>
      </c>
      <c r="C666" t="s">
        <v>3989</v>
      </c>
      <c r="D666" s="69">
        <v>1.2</v>
      </c>
    </row>
    <row r="667" spans="1:4" x14ac:dyDescent="0.25">
      <c r="A667" t="s">
        <v>2996</v>
      </c>
      <c r="B667" t="s">
        <v>2997</v>
      </c>
      <c r="C667" t="s">
        <v>4118</v>
      </c>
      <c r="D667" s="69">
        <v>12.8</v>
      </c>
    </row>
    <row r="668" spans="1:4" x14ac:dyDescent="0.25">
      <c r="A668" t="s">
        <v>1826</v>
      </c>
      <c r="B668" t="s">
        <v>2998</v>
      </c>
      <c r="C668" t="s">
        <v>4067</v>
      </c>
      <c r="D668" s="69">
        <v>6.8625000000000007</v>
      </c>
    </row>
    <row r="669" spans="1:4" x14ac:dyDescent="0.25">
      <c r="A669" t="s">
        <v>2999</v>
      </c>
      <c r="B669" t="s">
        <v>3000</v>
      </c>
      <c r="C669" t="s">
        <v>4152</v>
      </c>
      <c r="D669" s="69">
        <v>4.8</v>
      </c>
    </row>
    <row r="670" spans="1:4" x14ac:dyDescent="0.25">
      <c r="A670" t="s">
        <v>3001</v>
      </c>
      <c r="B670" t="s">
        <v>3002</v>
      </c>
      <c r="C670" t="s">
        <v>4153</v>
      </c>
      <c r="D670" s="69">
        <v>12.363636363636363</v>
      </c>
    </row>
    <row r="671" spans="1:4" x14ac:dyDescent="0.25">
      <c r="A671" t="s">
        <v>3003</v>
      </c>
      <c r="B671" t="s">
        <v>3004</v>
      </c>
      <c r="C671" t="s">
        <v>3889</v>
      </c>
      <c r="D671" s="69">
        <v>5.18</v>
      </c>
    </row>
    <row r="672" spans="1:4" x14ac:dyDescent="0.25">
      <c r="A672" t="s">
        <v>3005</v>
      </c>
      <c r="B672" t="s">
        <v>3006</v>
      </c>
      <c r="C672" t="s">
        <v>3889</v>
      </c>
      <c r="D672" s="69">
        <v>5.75</v>
      </c>
    </row>
    <row r="673" spans="1:4" x14ac:dyDescent="0.25">
      <c r="A673" t="s">
        <v>3007</v>
      </c>
      <c r="B673" t="s">
        <v>3008</v>
      </c>
      <c r="C673" t="s">
        <v>3991</v>
      </c>
      <c r="D673" s="69">
        <v>14.65</v>
      </c>
    </row>
    <row r="674" spans="1:4" x14ac:dyDescent="0.25">
      <c r="A674" t="s">
        <v>353</v>
      </c>
      <c r="B674" t="s">
        <v>354</v>
      </c>
      <c r="C674" t="s">
        <v>3902</v>
      </c>
      <c r="D674" s="69">
        <v>11.3296875</v>
      </c>
    </row>
    <row r="675" spans="1:4" x14ac:dyDescent="0.25">
      <c r="A675" t="s">
        <v>1189</v>
      </c>
      <c r="B675" t="s">
        <v>3009</v>
      </c>
      <c r="C675" t="s">
        <v>3888</v>
      </c>
      <c r="D675" s="69">
        <v>1.0817028985507247</v>
      </c>
    </row>
    <row r="676" spans="1:4" x14ac:dyDescent="0.25">
      <c r="A676" t="s">
        <v>3010</v>
      </c>
      <c r="B676" t="s">
        <v>3011</v>
      </c>
      <c r="C676" t="s">
        <v>4004</v>
      </c>
      <c r="D676" s="69">
        <v>2.125</v>
      </c>
    </row>
    <row r="677" spans="1:4" x14ac:dyDescent="0.25">
      <c r="A677" t="s">
        <v>3012</v>
      </c>
      <c r="B677" t="s">
        <v>3013</v>
      </c>
      <c r="C677" t="s">
        <v>3968</v>
      </c>
      <c r="D677" s="69">
        <v>12.75</v>
      </c>
    </row>
    <row r="678" spans="1:4" x14ac:dyDescent="0.25">
      <c r="A678" t="s">
        <v>3014</v>
      </c>
      <c r="B678" t="s">
        <v>3015</v>
      </c>
      <c r="C678" t="s">
        <v>3983</v>
      </c>
      <c r="D678" s="69">
        <v>18.083333333333332</v>
      </c>
    </row>
    <row r="679" spans="1:4" x14ac:dyDescent="0.25">
      <c r="A679" t="s">
        <v>1205</v>
      </c>
      <c r="B679" t="s">
        <v>3016</v>
      </c>
      <c r="C679" t="s">
        <v>4154</v>
      </c>
      <c r="D679" s="69">
        <v>8.6</v>
      </c>
    </row>
    <row r="680" spans="1:4" x14ac:dyDescent="0.25">
      <c r="A680" t="s">
        <v>432</v>
      </c>
      <c r="B680" t="s">
        <v>3017</v>
      </c>
      <c r="C680" t="s">
        <v>3889</v>
      </c>
      <c r="D680" s="69">
        <v>9.9706636815920398</v>
      </c>
    </row>
    <row r="681" spans="1:4" x14ac:dyDescent="0.25">
      <c r="A681" t="s">
        <v>3018</v>
      </c>
      <c r="B681" t="s">
        <v>3019</v>
      </c>
      <c r="C681" t="s">
        <v>3958</v>
      </c>
      <c r="D681" s="69">
        <v>36</v>
      </c>
    </row>
    <row r="682" spans="1:4" x14ac:dyDescent="0.25">
      <c r="A682" t="s">
        <v>3020</v>
      </c>
      <c r="B682" t="s">
        <v>3021</v>
      </c>
      <c r="C682" t="s">
        <v>4028</v>
      </c>
      <c r="D682" s="69">
        <v>39.020000000000003</v>
      </c>
    </row>
    <row r="683" spans="1:4" x14ac:dyDescent="0.25">
      <c r="A683" t="s">
        <v>279</v>
      </c>
      <c r="B683" t="s">
        <v>280</v>
      </c>
      <c r="C683" t="s">
        <v>4155</v>
      </c>
      <c r="D683" s="69">
        <v>4.9876732132569792</v>
      </c>
    </row>
    <row r="684" spans="1:4" x14ac:dyDescent="0.25">
      <c r="A684" t="s">
        <v>1082</v>
      </c>
      <c r="B684" t="s">
        <v>1083</v>
      </c>
      <c r="C684" t="s">
        <v>3884</v>
      </c>
      <c r="D684" s="69">
        <v>15.443734079929733</v>
      </c>
    </row>
    <row r="685" spans="1:4" x14ac:dyDescent="0.25">
      <c r="A685" t="s">
        <v>3022</v>
      </c>
      <c r="B685" t="s">
        <v>3023</v>
      </c>
      <c r="C685" t="s">
        <v>3879</v>
      </c>
      <c r="D685" s="69">
        <v>40.125</v>
      </c>
    </row>
    <row r="686" spans="1:4" x14ac:dyDescent="0.25">
      <c r="A686" t="s">
        <v>1802</v>
      </c>
      <c r="B686" t="s">
        <v>3024</v>
      </c>
      <c r="C686" t="s">
        <v>4156</v>
      </c>
      <c r="D686" s="69">
        <v>18</v>
      </c>
    </row>
    <row r="687" spans="1:4" x14ac:dyDescent="0.25">
      <c r="A687" t="s">
        <v>3025</v>
      </c>
      <c r="B687" t="s">
        <v>3026</v>
      </c>
      <c r="C687" t="s">
        <v>3884</v>
      </c>
      <c r="D687" s="69">
        <v>5.9343263757115743</v>
      </c>
    </row>
    <row r="688" spans="1:4" x14ac:dyDescent="0.25">
      <c r="A688" t="s">
        <v>413</v>
      </c>
      <c r="B688" t="s">
        <v>414</v>
      </c>
      <c r="C688" t="s">
        <v>3888</v>
      </c>
      <c r="D688" s="69">
        <v>8.9329256038647351</v>
      </c>
    </row>
    <row r="689" spans="1:4" x14ac:dyDescent="0.25">
      <c r="A689" t="s">
        <v>3027</v>
      </c>
      <c r="B689" t="s">
        <v>3028</v>
      </c>
      <c r="C689" t="s">
        <v>3992</v>
      </c>
      <c r="D689" s="69">
        <v>1.6</v>
      </c>
    </row>
    <row r="690" spans="1:4" x14ac:dyDescent="0.25">
      <c r="A690" t="s">
        <v>3029</v>
      </c>
      <c r="B690" t="s">
        <v>3030</v>
      </c>
      <c r="C690" t="s">
        <v>3888</v>
      </c>
      <c r="D690" s="69">
        <v>3.304347826086957</v>
      </c>
    </row>
    <row r="691" spans="1:4" x14ac:dyDescent="0.25">
      <c r="A691" t="s">
        <v>3031</v>
      </c>
      <c r="B691" t="s">
        <v>3032</v>
      </c>
      <c r="C691" t="s">
        <v>4157</v>
      </c>
      <c r="D691" s="69">
        <v>13.8</v>
      </c>
    </row>
    <row r="692" spans="1:4" x14ac:dyDescent="0.25">
      <c r="A692" t="s">
        <v>3033</v>
      </c>
      <c r="B692" t="s">
        <v>3034</v>
      </c>
      <c r="C692" t="s">
        <v>3995</v>
      </c>
      <c r="D692" s="69">
        <v>1.515625</v>
      </c>
    </row>
    <row r="693" spans="1:4" x14ac:dyDescent="0.25">
      <c r="A693" t="s">
        <v>3035</v>
      </c>
      <c r="B693" t="s">
        <v>3036</v>
      </c>
      <c r="C693" t="s">
        <v>3983</v>
      </c>
      <c r="D693" s="69">
        <v>15.15625</v>
      </c>
    </row>
    <row r="694" spans="1:4" x14ac:dyDescent="0.25">
      <c r="A694" t="s">
        <v>1852</v>
      </c>
      <c r="B694" t="s">
        <v>3037</v>
      </c>
      <c r="C694" t="s">
        <v>4158</v>
      </c>
      <c r="D694" s="69">
        <v>2.6388095238095239</v>
      </c>
    </row>
    <row r="695" spans="1:4" x14ac:dyDescent="0.25">
      <c r="A695" t="s">
        <v>3038</v>
      </c>
      <c r="B695" t="s">
        <v>3039</v>
      </c>
      <c r="C695" t="s">
        <v>4159</v>
      </c>
      <c r="D695" s="69">
        <v>22.948809523809526</v>
      </c>
    </row>
    <row r="696" spans="1:4" x14ac:dyDescent="0.25">
      <c r="A696" t="s">
        <v>3040</v>
      </c>
      <c r="B696" t="s">
        <v>3041</v>
      </c>
      <c r="C696" t="s">
        <v>4101</v>
      </c>
      <c r="D696" s="69">
        <v>8.65625</v>
      </c>
    </row>
    <row r="697" spans="1:4" x14ac:dyDescent="0.25">
      <c r="A697" t="s">
        <v>3042</v>
      </c>
      <c r="B697" t="s">
        <v>3043</v>
      </c>
      <c r="C697" t="s">
        <v>3884</v>
      </c>
      <c r="D697" s="69">
        <v>4.4000000000000004</v>
      </c>
    </row>
    <row r="698" spans="1:4" x14ac:dyDescent="0.25">
      <c r="A698" t="s">
        <v>3044</v>
      </c>
      <c r="B698" t="s">
        <v>3045</v>
      </c>
      <c r="C698" t="s">
        <v>4160</v>
      </c>
      <c r="D698" s="69">
        <v>2.4</v>
      </c>
    </row>
    <row r="699" spans="1:4" x14ac:dyDescent="0.25">
      <c r="A699" t="s">
        <v>3046</v>
      </c>
      <c r="B699" t="s">
        <v>3047</v>
      </c>
      <c r="C699" t="s">
        <v>4161</v>
      </c>
      <c r="D699" s="69">
        <v>2.72</v>
      </c>
    </row>
    <row r="700" spans="1:4" x14ac:dyDescent="0.25">
      <c r="A700" t="s">
        <v>3048</v>
      </c>
      <c r="B700" t="s">
        <v>3049</v>
      </c>
      <c r="C700" t="s">
        <v>4162</v>
      </c>
      <c r="D700" s="69">
        <v>2.2400000000000002</v>
      </c>
    </row>
    <row r="701" spans="1:4" x14ac:dyDescent="0.25">
      <c r="A701" t="s">
        <v>3050</v>
      </c>
      <c r="B701" t="s">
        <v>3051</v>
      </c>
      <c r="C701" t="s">
        <v>4163</v>
      </c>
      <c r="D701" s="69">
        <v>4.25</v>
      </c>
    </row>
    <row r="702" spans="1:4" x14ac:dyDescent="0.25">
      <c r="A702" t="s">
        <v>3052</v>
      </c>
      <c r="B702" t="s">
        <v>3053</v>
      </c>
      <c r="C702" t="s">
        <v>4164</v>
      </c>
      <c r="D702" s="69">
        <v>0.70833333333333337</v>
      </c>
    </row>
    <row r="703" spans="1:4" x14ac:dyDescent="0.25">
      <c r="A703" t="s">
        <v>233</v>
      </c>
      <c r="B703" t="s">
        <v>629</v>
      </c>
      <c r="C703" t="s">
        <v>3902</v>
      </c>
      <c r="D703" s="69">
        <v>3.6928225893234936</v>
      </c>
    </row>
    <row r="704" spans="1:4" x14ac:dyDescent="0.25">
      <c r="A704" t="s">
        <v>291</v>
      </c>
      <c r="B704" t="s">
        <v>557</v>
      </c>
      <c r="C704" t="s">
        <v>3888</v>
      </c>
      <c r="D704" s="69">
        <v>1.8182402073635195</v>
      </c>
    </row>
    <row r="705" spans="1:4" x14ac:dyDescent="0.25">
      <c r="A705" t="s">
        <v>393</v>
      </c>
      <c r="B705" t="s">
        <v>394</v>
      </c>
      <c r="C705" t="s">
        <v>4165</v>
      </c>
      <c r="D705" s="69">
        <v>7.8744000000000005</v>
      </c>
    </row>
    <row r="706" spans="1:4" x14ac:dyDescent="0.25">
      <c r="A706" t="s">
        <v>110</v>
      </c>
      <c r="B706" t="s">
        <v>111</v>
      </c>
      <c r="C706" t="s">
        <v>3889</v>
      </c>
      <c r="D706" s="69">
        <v>15.844100000000001</v>
      </c>
    </row>
    <row r="707" spans="1:4" x14ac:dyDescent="0.25">
      <c r="A707" t="s">
        <v>453</v>
      </c>
      <c r="B707" t="s">
        <v>611</v>
      </c>
      <c r="C707" t="s">
        <v>3911</v>
      </c>
      <c r="D707" s="69">
        <v>6.6382284569003378</v>
      </c>
    </row>
    <row r="708" spans="1:4" x14ac:dyDescent="0.25">
      <c r="A708" t="s">
        <v>543</v>
      </c>
      <c r="B708" t="s">
        <v>544</v>
      </c>
      <c r="C708" t="s">
        <v>3991</v>
      </c>
      <c r="D708" s="69">
        <v>3.2064294117647059</v>
      </c>
    </row>
    <row r="709" spans="1:4" x14ac:dyDescent="0.25">
      <c r="A709" t="s">
        <v>231</v>
      </c>
      <c r="B709" t="s">
        <v>610</v>
      </c>
      <c r="C709" t="s">
        <v>3902</v>
      </c>
      <c r="D709" s="69">
        <v>3.1087505184087982</v>
      </c>
    </row>
    <row r="710" spans="1:4" x14ac:dyDescent="0.25">
      <c r="A710" t="s">
        <v>86</v>
      </c>
      <c r="B710" t="s">
        <v>581</v>
      </c>
      <c r="C710" t="s">
        <v>3911</v>
      </c>
      <c r="D710" s="69">
        <v>5.9211679324894515</v>
      </c>
    </row>
    <row r="711" spans="1:4" x14ac:dyDescent="0.25">
      <c r="A711" t="s">
        <v>223</v>
      </c>
      <c r="B711" t="s">
        <v>613</v>
      </c>
      <c r="C711" t="s">
        <v>3902</v>
      </c>
      <c r="D711" s="69">
        <v>5.3829408450704221</v>
      </c>
    </row>
    <row r="712" spans="1:4" x14ac:dyDescent="0.25">
      <c r="A712" t="s">
        <v>101</v>
      </c>
      <c r="B712" t="s">
        <v>596</v>
      </c>
      <c r="C712" t="s">
        <v>3911</v>
      </c>
      <c r="D712" s="69">
        <v>9.4169757033248072</v>
      </c>
    </row>
    <row r="713" spans="1:4" x14ac:dyDescent="0.25">
      <c r="A713" t="s">
        <v>535</v>
      </c>
      <c r="B713" t="s">
        <v>602</v>
      </c>
      <c r="C713" t="s">
        <v>3902</v>
      </c>
      <c r="D713" s="69">
        <v>11.403133138526201</v>
      </c>
    </row>
    <row r="714" spans="1:4" x14ac:dyDescent="0.25">
      <c r="A714" t="s">
        <v>232</v>
      </c>
      <c r="B714" t="s">
        <v>591</v>
      </c>
      <c r="C714" t="s">
        <v>3888</v>
      </c>
      <c r="D714" s="69">
        <v>1.1831529411764705</v>
      </c>
    </row>
    <row r="715" spans="1:4" x14ac:dyDescent="0.25">
      <c r="A715" t="s">
        <v>95</v>
      </c>
      <c r="B715" t="s">
        <v>96</v>
      </c>
      <c r="C715" t="s">
        <v>4147</v>
      </c>
      <c r="D715" s="69">
        <v>10.144439999999999</v>
      </c>
    </row>
    <row r="716" spans="1:4" x14ac:dyDescent="0.25">
      <c r="A716" t="s">
        <v>123</v>
      </c>
      <c r="B716" t="s">
        <v>571</v>
      </c>
      <c r="C716" t="s">
        <v>4079</v>
      </c>
      <c r="D716" s="69">
        <v>4.3824117647058829</v>
      </c>
    </row>
    <row r="717" spans="1:4" x14ac:dyDescent="0.25">
      <c r="A717" t="s">
        <v>227</v>
      </c>
      <c r="B717" t="s">
        <v>606</v>
      </c>
      <c r="C717" t="s">
        <v>3902</v>
      </c>
      <c r="D717" s="69">
        <v>6.0478823529411772</v>
      </c>
    </row>
    <row r="718" spans="1:4" x14ac:dyDescent="0.25">
      <c r="A718" t="s">
        <v>229</v>
      </c>
      <c r="B718" t="s">
        <v>592</v>
      </c>
      <c r="C718" t="s">
        <v>3902</v>
      </c>
      <c r="D718" s="69">
        <v>3.9260823529411764</v>
      </c>
    </row>
    <row r="719" spans="1:4" x14ac:dyDescent="0.25">
      <c r="A719" t="s">
        <v>440</v>
      </c>
      <c r="B719" t="s">
        <v>637</v>
      </c>
      <c r="C719" t="s">
        <v>3884</v>
      </c>
      <c r="D719" s="69">
        <v>16.230743977591036</v>
      </c>
    </row>
    <row r="720" spans="1:4" x14ac:dyDescent="0.25">
      <c r="A720" t="s">
        <v>104</v>
      </c>
      <c r="B720" t="s">
        <v>105</v>
      </c>
      <c r="C720" t="s">
        <v>3889</v>
      </c>
      <c r="D720" s="69">
        <v>14.874621340388007</v>
      </c>
    </row>
    <row r="721" spans="1:4" x14ac:dyDescent="0.25">
      <c r="A721" t="s">
        <v>75</v>
      </c>
      <c r="B721" t="s">
        <v>570</v>
      </c>
      <c r="C721" t="s">
        <v>4028</v>
      </c>
      <c r="D721" s="69">
        <v>2.0522196336376242</v>
      </c>
    </row>
    <row r="722" spans="1:4" x14ac:dyDescent="0.25">
      <c r="A722" t="s">
        <v>225</v>
      </c>
      <c r="B722" t="s">
        <v>587</v>
      </c>
      <c r="C722" t="s">
        <v>3902</v>
      </c>
      <c r="D722" s="69">
        <v>3.9260823529411764</v>
      </c>
    </row>
    <row r="723" spans="1:4" x14ac:dyDescent="0.25">
      <c r="A723" t="s">
        <v>94</v>
      </c>
      <c r="B723" t="s">
        <v>594</v>
      </c>
      <c r="C723" t="s">
        <v>3957</v>
      </c>
      <c r="D723" s="69">
        <v>22.7773</v>
      </c>
    </row>
    <row r="724" spans="1:4" x14ac:dyDescent="0.25">
      <c r="A724" t="s">
        <v>454</v>
      </c>
      <c r="B724" t="s">
        <v>455</v>
      </c>
      <c r="C724" t="s">
        <v>3911</v>
      </c>
      <c r="D724" s="69">
        <v>3.4831823529411765</v>
      </c>
    </row>
    <row r="725" spans="1:4" x14ac:dyDescent="0.25">
      <c r="A725" t="s">
        <v>114</v>
      </c>
      <c r="B725" t="s">
        <v>115</v>
      </c>
      <c r="C725" t="s">
        <v>3889</v>
      </c>
      <c r="D725" s="69">
        <v>10.869401709455406</v>
      </c>
    </row>
    <row r="726" spans="1:4" x14ac:dyDescent="0.25">
      <c r="A726" t="s">
        <v>118</v>
      </c>
      <c r="B726" t="s">
        <v>559</v>
      </c>
      <c r="C726" t="s">
        <v>3911</v>
      </c>
      <c r="D726" s="69">
        <v>3.1087505184087982</v>
      </c>
    </row>
    <row r="727" spans="1:4" x14ac:dyDescent="0.25">
      <c r="A727" t="s">
        <v>27</v>
      </c>
      <c r="B727" t="s">
        <v>28</v>
      </c>
      <c r="C727" t="s">
        <v>3991</v>
      </c>
      <c r="D727" s="69">
        <v>6.5273886718856691</v>
      </c>
    </row>
    <row r="728" spans="1:4" x14ac:dyDescent="0.25">
      <c r="A728" t="s">
        <v>68</v>
      </c>
      <c r="B728" t="s">
        <v>69</v>
      </c>
      <c r="C728" t="s">
        <v>4079</v>
      </c>
      <c r="D728" s="69">
        <v>8.3735079051383394</v>
      </c>
    </row>
    <row r="729" spans="1:4" x14ac:dyDescent="0.25">
      <c r="A729" t="s">
        <v>253</v>
      </c>
      <c r="B729" t="s">
        <v>254</v>
      </c>
      <c r="C729" t="s">
        <v>3944</v>
      </c>
      <c r="D729" s="69">
        <v>5.9448242424242421</v>
      </c>
    </row>
    <row r="730" spans="1:4" x14ac:dyDescent="0.25">
      <c r="A730" t="s">
        <v>126</v>
      </c>
      <c r="B730" t="s">
        <v>127</v>
      </c>
      <c r="C730" t="s">
        <v>3995</v>
      </c>
      <c r="D730" s="69">
        <v>2.0174529411764706</v>
      </c>
    </row>
    <row r="731" spans="1:4" x14ac:dyDescent="0.25">
      <c r="A731" t="s">
        <v>120</v>
      </c>
      <c r="B731" t="s">
        <v>121</v>
      </c>
      <c r="C731" t="s">
        <v>3911</v>
      </c>
      <c r="D731" s="69">
        <v>3.7761408450704228</v>
      </c>
    </row>
    <row r="732" spans="1:4" x14ac:dyDescent="0.25">
      <c r="A732" t="s">
        <v>3054</v>
      </c>
      <c r="B732" t="s">
        <v>3055</v>
      </c>
      <c r="C732" t="s">
        <v>3888</v>
      </c>
      <c r="D732" s="69">
        <v>1.0956029411764707</v>
      </c>
    </row>
    <row r="733" spans="1:4" x14ac:dyDescent="0.25">
      <c r="A733" t="s">
        <v>116</v>
      </c>
      <c r="B733" t="s">
        <v>117</v>
      </c>
      <c r="C733" t="s">
        <v>3889</v>
      </c>
      <c r="D733" s="69">
        <v>9.4537262513030225</v>
      </c>
    </row>
    <row r="734" spans="1:4" x14ac:dyDescent="0.25">
      <c r="A734" t="s">
        <v>124</v>
      </c>
      <c r="B734" t="s">
        <v>125</v>
      </c>
      <c r="C734" t="s">
        <v>3911</v>
      </c>
      <c r="D734" s="69">
        <v>3.4831823529411765</v>
      </c>
    </row>
    <row r="735" spans="1:4" x14ac:dyDescent="0.25">
      <c r="A735" t="s">
        <v>122</v>
      </c>
      <c r="B735" t="s">
        <v>553</v>
      </c>
      <c r="C735" t="s">
        <v>3995</v>
      </c>
      <c r="D735" s="69">
        <v>1.6054529411764706</v>
      </c>
    </row>
    <row r="736" spans="1:4" x14ac:dyDescent="0.25">
      <c r="A736" t="s">
        <v>3056</v>
      </c>
      <c r="B736" t="s">
        <v>3057</v>
      </c>
      <c r="C736" t="s">
        <v>4166</v>
      </c>
      <c r="D736" s="69">
        <v>2.3099999999999996</v>
      </c>
    </row>
    <row r="737" spans="1:4" x14ac:dyDescent="0.25">
      <c r="A737" t="s">
        <v>625</v>
      </c>
      <c r="B737" t="s">
        <v>626</v>
      </c>
      <c r="C737" t="s">
        <v>3888</v>
      </c>
      <c r="D737" s="69">
        <v>3.7126058823529413</v>
      </c>
    </row>
    <row r="738" spans="1:4" x14ac:dyDescent="0.25">
      <c r="A738" t="s">
        <v>3058</v>
      </c>
      <c r="B738" t="s">
        <v>3059</v>
      </c>
      <c r="C738" t="s">
        <v>4167</v>
      </c>
      <c r="D738" s="69">
        <v>10.8</v>
      </c>
    </row>
    <row r="739" spans="1:4" x14ac:dyDescent="0.25">
      <c r="A739" t="s">
        <v>289</v>
      </c>
      <c r="B739" t="s">
        <v>290</v>
      </c>
      <c r="C739" t="s">
        <v>4020</v>
      </c>
      <c r="D739" s="69">
        <v>10.116848071458795</v>
      </c>
    </row>
    <row r="740" spans="1:4" x14ac:dyDescent="0.25">
      <c r="A740" t="s">
        <v>3060</v>
      </c>
      <c r="B740" t="s">
        <v>3061</v>
      </c>
      <c r="C740" t="s">
        <v>4168</v>
      </c>
      <c r="D740" s="69">
        <v>58.6</v>
      </c>
    </row>
    <row r="741" spans="1:4" x14ac:dyDescent="0.25">
      <c r="A741" t="s">
        <v>599</v>
      </c>
      <c r="B741" t="s">
        <v>600</v>
      </c>
      <c r="C741" t="s">
        <v>3911</v>
      </c>
      <c r="D741" s="69">
        <v>10.152866666666666</v>
      </c>
    </row>
    <row r="742" spans="1:4" x14ac:dyDescent="0.25">
      <c r="A742" t="s">
        <v>230</v>
      </c>
      <c r="B742" t="s">
        <v>588</v>
      </c>
      <c r="C742" t="s">
        <v>3888</v>
      </c>
      <c r="D742" s="69">
        <v>1.9005090481786135</v>
      </c>
    </row>
    <row r="743" spans="1:4" x14ac:dyDescent="0.25">
      <c r="A743" t="s">
        <v>3062</v>
      </c>
      <c r="B743" t="s">
        <v>3063</v>
      </c>
      <c r="C743" t="s">
        <v>4169</v>
      </c>
      <c r="D743" s="69">
        <v>4.1500000000000004</v>
      </c>
    </row>
    <row r="744" spans="1:4" x14ac:dyDescent="0.25">
      <c r="A744" t="s">
        <v>85</v>
      </c>
      <c r="B744" t="s">
        <v>586</v>
      </c>
      <c r="C744" t="s">
        <v>3911</v>
      </c>
      <c r="D744" s="69">
        <v>6.2382174603174603</v>
      </c>
    </row>
    <row r="745" spans="1:4" x14ac:dyDescent="0.25">
      <c r="A745" t="s">
        <v>395</v>
      </c>
      <c r="B745" t="s">
        <v>580</v>
      </c>
      <c r="C745" t="s">
        <v>3943</v>
      </c>
      <c r="D745" s="69">
        <v>2.8790090481786139</v>
      </c>
    </row>
    <row r="746" spans="1:4" x14ac:dyDescent="0.25">
      <c r="A746" t="s">
        <v>3064</v>
      </c>
      <c r="B746" t="s">
        <v>3065</v>
      </c>
      <c r="C746" t="s">
        <v>4170</v>
      </c>
      <c r="D746" s="69">
        <v>24.370000000000005</v>
      </c>
    </row>
    <row r="747" spans="1:4" x14ac:dyDescent="0.25">
      <c r="A747" t="s">
        <v>130</v>
      </c>
      <c r="B747" t="s">
        <v>575</v>
      </c>
      <c r="C747" t="s">
        <v>3911</v>
      </c>
      <c r="D747" s="69">
        <v>6.7888658703842806</v>
      </c>
    </row>
    <row r="748" spans="1:4" x14ac:dyDescent="0.25">
      <c r="A748" t="s">
        <v>91</v>
      </c>
      <c r="B748" t="s">
        <v>582</v>
      </c>
      <c r="C748" t="s">
        <v>4141</v>
      </c>
      <c r="D748" s="69">
        <v>4.7646230915221697</v>
      </c>
    </row>
    <row r="749" spans="1:4" x14ac:dyDescent="0.25">
      <c r="A749" t="s">
        <v>119</v>
      </c>
      <c r="B749" t="s">
        <v>616</v>
      </c>
      <c r="C749" t="s">
        <v>3911</v>
      </c>
      <c r="D749" s="69">
        <v>13.894276489701397</v>
      </c>
    </row>
    <row r="750" spans="1:4" x14ac:dyDescent="0.25">
      <c r="A750" t="s">
        <v>441</v>
      </c>
      <c r="B750" t="s">
        <v>649</v>
      </c>
      <c r="C750" t="s">
        <v>3957</v>
      </c>
      <c r="D750" s="69">
        <v>29.1736</v>
      </c>
    </row>
    <row r="751" spans="1:4" x14ac:dyDescent="0.25">
      <c r="A751" t="s">
        <v>102</v>
      </c>
      <c r="B751" t="s">
        <v>3066</v>
      </c>
      <c r="C751" t="s">
        <v>3911</v>
      </c>
      <c r="D751" s="69">
        <v>6.644714705882353</v>
      </c>
    </row>
    <row r="752" spans="1:4" x14ac:dyDescent="0.25">
      <c r="A752" t="s">
        <v>3067</v>
      </c>
      <c r="B752" t="s">
        <v>3068</v>
      </c>
      <c r="C752" t="s">
        <v>4065</v>
      </c>
      <c r="D752" s="69">
        <v>11.6</v>
      </c>
    </row>
    <row r="753" spans="1:4" x14ac:dyDescent="0.25">
      <c r="A753" t="s">
        <v>3069</v>
      </c>
      <c r="B753" t="s">
        <v>3070</v>
      </c>
      <c r="C753" t="s">
        <v>4171</v>
      </c>
      <c r="D753" s="69">
        <v>17.79</v>
      </c>
    </row>
    <row r="754" spans="1:4" x14ac:dyDescent="0.25">
      <c r="A754" t="s">
        <v>3071</v>
      </c>
      <c r="B754" t="s">
        <v>3072</v>
      </c>
      <c r="C754" t="s">
        <v>4172</v>
      </c>
      <c r="D754" s="69">
        <v>57</v>
      </c>
    </row>
    <row r="755" spans="1:4" x14ac:dyDescent="0.25">
      <c r="A755" t="s">
        <v>3073</v>
      </c>
      <c r="B755" t="s">
        <v>3074</v>
      </c>
      <c r="C755" t="s">
        <v>4028</v>
      </c>
      <c r="D755" s="69">
        <v>23.54</v>
      </c>
    </row>
    <row r="756" spans="1:4" x14ac:dyDescent="0.25">
      <c r="A756" t="s">
        <v>3075</v>
      </c>
      <c r="B756" t="s">
        <v>3076</v>
      </c>
      <c r="C756" t="s">
        <v>4173</v>
      </c>
      <c r="D756" s="69">
        <v>62.4</v>
      </c>
    </row>
    <row r="757" spans="1:4" x14ac:dyDescent="0.25">
      <c r="A757" t="s">
        <v>3077</v>
      </c>
      <c r="B757" t="s">
        <v>3078</v>
      </c>
      <c r="C757" t="s">
        <v>3958</v>
      </c>
      <c r="D757" s="69">
        <v>17.66</v>
      </c>
    </row>
    <row r="758" spans="1:4" x14ac:dyDescent="0.25">
      <c r="A758" t="s">
        <v>3079</v>
      </c>
      <c r="B758" t="s">
        <v>3080</v>
      </c>
      <c r="C758" t="s">
        <v>4174</v>
      </c>
      <c r="D758" s="69">
        <v>36</v>
      </c>
    </row>
    <row r="759" spans="1:4" x14ac:dyDescent="0.25">
      <c r="A759" t="s">
        <v>3081</v>
      </c>
      <c r="B759" t="s">
        <v>3082</v>
      </c>
      <c r="C759" t="s">
        <v>4175</v>
      </c>
      <c r="D759" s="69">
        <v>13.109999999999998</v>
      </c>
    </row>
    <row r="760" spans="1:4" x14ac:dyDescent="0.25">
      <c r="A760" t="s">
        <v>3083</v>
      </c>
      <c r="B760" t="s">
        <v>3084</v>
      </c>
      <c r="C760" t="s">
        <v>3958</v>
      </c>
      <c r="D760" s="69">
        <v>4.99</v>
      </c>
    </row>
    <row r="761" spans="1:4" x14ac:dyDescent="0.25">
      <c r="A761" t="s">
        <v>3085</v>
      </c>
      <c r="B761" t="s">
        <v>3086</v>
      </c>
      <c r="C761" t="s">
        <v>4009</v>
      </c>
      <c r="D761" s="69">
        <v>47.7</v>
      </c>
    </row>
    <row r="762" spans="1:4" x14ac:dyDescent="0.25">
      <c r="A762" t="s">
        <v>3087</v>
      </c>
      <c r="B762" t="s">
        <v>3088</v>
      </c>
      <c r="C762" t="s">
        <v>4176</v>
      </c>
      <c r="D762" s="69">
        <v>23</v>
      </c>
    </row>
    <row r="763" spans="1:4" x14ac:dyDescent="0.25">
      <c r="A763" t="s">
        <v>3089</v>
      </c>
      <c r="B763" t="s">
        <v>3090</v>
      </c>
      <c r="C763" t="s">
        <v>4177</v>
      </c>
      <c r="D763" s="69">
        <v>20.149999999999999</v>
      </c>
    </row>
    <row r="764" spans="1:4" x14ac:dyDescent="0.25">
      <c r="A764" t="s">
        <v>3091</v>
      </c>
      <c r="B764" t="s">
        <v>3092</v>
      </c>
      <c r="C764" t="s">
        <v>4178</v>
      </c>
      <c r="D764" s="69">
        <v>66.12</v>
      </c>
    </row>
    <row r="765" spans="1:4" x14ac:dyDescent="0.25">
      <c r="A765" t="s">
        <v>3093</v>
      </c>
      <c r="B765" t="s">
        <v>3094</v>
      </c>
      <c r="C765" t="s">
        <v>4179</v>
      </c>
      <c r="D765" s="69">
        <v>28.29</v>
      </c>
    </row>
    <row r="766" spans="1:4" x14ac:dyDescent="0.25">
      <c r="A766" t="s">
        <v>3095</v>
      </c>
      <c r="B766" t="s">
        <v>3096</v>
      </c>
      <c r="C766" t="s">
        <v>4180</v>
      </c>
      <c r="D766" s="69">
        <v>17.149999999999999</v>
      </c>
    </row>
    <row r="767" spans="1:4" x14ac:dyDescent="0.25">
      <c r="A767" t="s">
        <v>3097</v>
      </c>
      <c r="B767" t="s">
        <v>3098</v>
      </c>
      <c r="C767" t="s">
        <v>4181</v>
      </c>
      <c r="D767" s="69">
        <v>10.74</v>
      </c>
    </row>
    <row r="768" spans="1:4" x14ac:dyDescent="0.25">
      <c r="A768" t="s">
        <v>3099</v>
      </c>
      <c r="B768" t="s">
        <v>3100</v>
      </c>
      <c r="C768" t="s">
        <v>3920</v>
      </c>
      <c r="D768" s="69">
        <v>8.1</v>
      </c>
    </row>
    <row r="769" spans="1:4" x14ac:dyDescent="0.25">
      <c r="A769" t="s">
        <v>3101</v>
      </c>
      <c r="B769" t="s">
        <v>3102</v>
      </c>
      <c r="C769" t="s">
        <v>4182</v>
      </c>
      <c r="D769" s="69">
        <v>43.2</v>
      </c>
    </row>
    <row r="770" spans="1:4" x14ac:dyDescent="0.25">
      <c r="A770" t="s">
        <v>3103</v>
      </c>
      <c r="B770" t="s">
        <v>3104</v>
      </c>
      <c r="C770" t="s">
        <v>4028</v>
      </c>
      <c r="D770" s="69">
        <v>8</v>
      </c>
    </row>
    <row r="771" spans="1:4" x14ac:dyDescent="0.25">
      <c r="A771" t="s">
        <v>3105</v>
      </c>
      <c r="B771" t="s">
        <v>3106</v>
      </c>
      <c r="C771" t="s">
        <v>4183</v>
      </c>
      <c r="D771" s="69">
        <v>3.5070000000000006</v>
      </c>
    </row>
    <row r="772" spans="1:4" x14ac:dyDescent="0.25">
      <c r="A772" t="s">
        <v>3107</v>
      </c>
      <c r="B772" t="s">
        <v>3108</v>
      </c>
      <c r="C772" t="s">
        <v>3959</v>
      </c>
      <c r="D772" s="69">
        <v>1.20625</v>
      </c>
    </row>
    <row r="773" spans="1:4" x14ac:dyDescent="0.25">
      <c r="A773" t="s">
        <v>3109</v>
      </c>
      <c r="B773" t="s">
        <v>3110</v>
      </c>
      <c r="C773" t="s">
        <v>4184</v>
      </c>
      <c r="D773" s="69">
        <v>23.79</v>
      </c>
    </row>
    <row r="774" spans="1:4" x14ac:dyDescent="0.25">
      <c r="A774" t="s">
        <v>3111</v>
      </c>
      <c r="B774" t="s">
        <v>3112</v>
      </c>
      <c r="C774" t="s">
        <v>4185</v>
      </c>
      <c r="D774" s="69">
        <v>5.9379999999999997</v>
      </c>
    </row>
    <row r="775" spans="1:4" x14ac:dyDescent="0.25">
      <c r="A775" t="s">
        <v>1866</v>
      </c>
      <c r="B775" t="s">
        <v>1766</v>
      </c>
      <c r="C775" t="s">
        <v>4079</v>
      </c>
      <c r="D775" s="69">
        <v>14</v>
      </c>
    </row>
    <row r="776" spans="1:4" x14ac:dyDescent="0.25">
      <c r="A776" t="s">
        <v>3113</v>
      </c>
      <c r="B776" t="s">
        <v>3114</v>
      </c>
      <c r="C776" t="s">
        <v>4174</v>
      </c>
      <c r="D776" s="69">
        <v>30</v>
      </c>
    </row>
    <row r="777" spans="1:4" x14ac:dyDescent="0.25">
      <c r="A777" t="s">
        <v>3115</v>
      </c>
      <c r="B777" t="s">
        <v>3116</v>
      </c>
      <c r="C777" t="s">
        <v>3941</v>
      </c>
      <c r="D777" s="69">
        <v>1.125</v>
      </c>
    </row>
    <row r="778" spans="1:4" x14ac:dyDescent="0.25">
      <c r="A778" t="s">
        <v>3117</v>
      </c>
      <c r="B778" t="s">
        <v>3118</v>
      </c>
      <c r="C778" t="s">
        <v>4186</v>
      </c>
      <c r="D778" s="69">
        <v>30.100000000000005</v>
      </c>
    </row>
    <row r="779" spans="1:4" x14ac:dyDescent="0.25">
      <c r="A779" t="s">
        <v>1238</v>
      </c>
      <c r="B779" t="s">
        <v>3119</v>
      </c>
      <c r="C779" t="s">
        <v>4187</v>
      </c>
      <c r="D779" s="69">
        <v>22.173913043478262</v>
      </c>
    </row>
    <row r="780" spans="1:4" x14ac:dyDescent="0.25">
      <c r="A780" t="s">
        <v>3120</v>
      </c>
      <c r="B780" t="s">
        <v>3121</v>
      </c>
      <c r="C780" t="s">
        <v>3976</v>
      </c>
      <c r="D780" s="69">
        <v>55</v>
      </c>
    </row>
    <row r="781" spans="1:4" x14ac:dyDescent="0.25">
      <c r="A781" t="s">
        <v>3122</v>
      </c>
      <c r="B781" t="s">
        <v>3123</v>
      </c>
      <c r="C781" t="s">
        <v>4188</v>
      </c>
      <c r="D781" s="69">
        <v>12.14</v>
      </c>
    </row>
    <row r="782" spans="1:4" x14ac:dyDescent="0.25">
      <c r="A782" t="s">
        <v>3124</v>
      </c>
      <c r="B782" t="s">
        <v>3125</v>
      </c>
      <c r="C782" t="s">
        <v>3958</v>
      </c>
      <c r="D782" s="69">
        <v>5.0449999999999999</v>
      </c>
    </row>
    <row r="783" spans="1:4" x14ac:dyDescent="0.25">
      <c r="A783" t="s">
        <v>3126</v>
      </c>
      <c r="B783" t="s">
        <v>3127</v>
      </c>
      <c r="C783" t="s">
        <v>4066</v>
      </c>
      <c r="D783" s="69">
        <v>18.27</v>
      </c>
    </row>
    <row r="784" spans="1:4" x14ac:dyDescent="0.25">
      <c r="A784" t="s">
        <v>3128</v>
      </c>
      <c r="B784" t="s">
        <v>3129</v>
      </c>
      <c r="C784" t="s">
        <v>4189</v>
      </c>
      <c r="D784" s="69">
        <v>19.9984126984127</v>
      </c>
    </row>
    <row r="785" spans="1:4" x14ac:dyDescent="0.25">
      <c r="A785" t="s">
        <v>3130</v>
      </c>
      <c r="B785" t="s">
        <v>3131</v>
      </c>
      <c r="C785" t="s">
        <v>4190</v>
      </c>
      <c r="D785" s="69">
        <v>2.2173913043478262</v>
      </c>
    </row>
    <row r="786" spans="1:4" x14ac:dyDescent="0.25">
      <c r="A786" t="s">
        <v>1213</v>
      </c>
      <c r="B786" t="s">
        <v>3132</v>
      </c>
      <c r="C786" t="s">
        <v>3984</v>
      </c>
      <c r="D786" s="69">
        <v>18</v>
      </c>
    </row>
    <row r="787" spans="1:4" x14ac:dyDescent="0.25">
      <c r="A787" t="s">
        <v>3133</v>
      </c>
      <c r="B787" t="s">
        <v>3134</v>
      </c>
      <c r="C787" t="s">
        <v>4191</v>
      </c>
      <c r="D787" s="69">
        <v>36</v>
      </c>
    </row>
    <row r="788" spans="1:4" x14ac:dyDescent="0.25">
      <c r="A788" t="s">
        <v>3135</v>
      </c>
      <c r="B788" t="s">
        <v>3136</v>
      </c>
      <c r="C788" t="s">
        <v>3954</v>
      </c>
      <c r="D788" s="69">
        <v>15.14</v>
      </c>
    </row>
    <row r="789" spans="1:4" x14ac:dyDescent="0.25">
      <c r="A789" t="s">
        <v>3137</v>
      </c>
      <c r="B789" t="s">
        <v>3138</v>
      </c>
      <c r="C789" t="s">
        <v>4004</v>
      </c>
      <c r="D789" s="69">
        <v>1.8333333333333333</v>
      </c>
    </row>
    <row r="790" spans="1:4" x14ac:dyDescent="0.25">
      <c r="A790" t="s">
        <v>3139</v>
      </c>
      <c r="B790" t="s">
        <v>3140</v>
      </c>
      <c r="C790" t="s">
        <v>4192</v>
      </c>
      <c r="D790" s="69">
        <v>18.599999999999998</v>
      </c>
    </row>
    <row r="791" spans="1:4" x14ac:dyDescent="0.25">
      <c r="A791" t="s">
        <v>3141</v>
      </c>
      <c r="B791" t="s">
        <v>3142</v>
      </c>
      <c r="C791" t="s">
        <v>3902</v>
      </c>
      <c r="D791" s="69">
        <v>14.2</v>
      </c>
    </row>
    <row r="792" spans="1:4" x14ac:dyDescent="0.25">
      <c r="A792" t="s">
        <v>3143</v>
      </c>
      <c r="B792" t="s">
        <v>3144</v>
      </c>
      <c r="C792" t="s">
        <v>3888</v>
      </c>
      <c r="D792" s="69">
        <v>6.1</v>
      </c>
    </row>
    <row r="793" spans="1:4" x14ac:dyDescent="0.25">
      <c r="A793" t="s">
        <v>515</v>
      </c>
      <c r="B793" t="s">
        <v>3145</v>
      </c>
      <c r="C793" t="s">
        <v>4193</v>
      </c>
      <c r="D793" s="69">
        <v>4</v>
      </c>
    </row>
    <row r="794" spans="1:4" x14ac:dyDescent="0.25">
      <c r="A794" t="s">
        <v>3146</v>
      </c>
      <c r="B794" t="s">
        <v>3147</v>
      </c>
      <c r="C794" t="s">
        <v>3888</v>
      </c>
      <c r="D794" s="69">
        <v>4.3666666666666663</v>
      </c>
    </row>
    <row r="795" spans="1:4" x14ac:dyDescent="0.25">
      <c r="A795" t="s">
        <v>3148</v>
      </c>
      <c r="B795" t="s">
        <v>3149</v>
      </c>
      <c r="C795" t="s">
        <v>3888</v>
      </c>
      <c r="D795" s="69">
        <v>4.2</v>
      </c>
    </row>
    <row r="796" spans="1:4" x14ac:dyDescent="0.25">
      <c r="A796" t="s">
        <v>3150</v>
      </c>
      <c r="B796" t="s">
        <v>3151</v>
      </c>
      <c r="C796" t="s">
        <v>4182</v>
      </c>
      <c r="D796" s="69">
        <v>39.92</v>
      </c>
    </row>
    <row r="797" spans="1:4" x14ac:dyDescent="0.25">
      <c r="A797" t="s">
        <v>3152</v>
      </c>
      <c r="B797" t="s">
        <v>3153</v>
      </c>
      <c r="C797" t="s">
        <v>4185</v>
      </c>
      <c r="D797" s="69">
        <v>4.2930000000000001</v>
      </c>
    </row>
    <row r="798" spans="1:4" x14ac:dyDescent="0.25">
      <c r="A798" t="s">
        <v>3154</v>
      </c>
      <c r="B798" t="s">
        <v>3155</v>
      </c>
      <c r="C798" t="s">
        <v>4194</v>
      </c>
      <c r="D798" s="69">
        <v>17.899999999999999</v>
      </c>
    </row>
    <row r="799" spans="1:4" x14ac:dyDescent="0.25">
      <c r="A799" t="s">
        <v>3156</v>
      </c>
      <c r="B799" t="s">
        <v>3157</v>
      </c>
      <c r="C799" t="s">
        <v>4195</v>
      </c>
      <c r="D799" s="69">
        <v>23.479999999999997</v>
      </c>
    </row>
    <row r="800" spans="1:4" x14ac:dyDescent="0.25">
      <c r="A800" t="s">
        <v>3158</v>
      </c>
      <c r="B800" t="s">
        <v>3159</v>
      </c>
      <c r="C800" t="s">
        <v>4196</v>
      </c>
      <c r="D800" s="69">
        <v>17.5</v>
      </c>
    </row>
    <row r="801" spans="1:4" x14ac:dyDescent="0.25">
      <c r="A801" t="s">
        <v>3160</v>
      </c>
      <c r="B801" t="s">
        <v>3161</v>
      </c>
      <c r="C801" t="s">
        <v>4197</v>
      </c>
      <c r="D801" s="69">
        <v>42.5</v>
      </c>
    </row>
    <row r="802" spans="1:4" x14ac:dyDescent="0.25">
      <c r="A802" t="s">
        <v>3162</v>
      </c>
      <c r="B802" t="s">
        <v>3163</v>
      </c>
      <c r="C802" t="s">
        <v>3991</v>
      </c>
      <c r="D802" s="69">
        <v>14.65</v>
      </c>
    </row>
    <row r="803" spans="1:4" x14ac:dyDescent="0.25">
      <c r="A803" t="s">
        <v>3164</v>
      </c>
      <c r="B803" t="s">
        <v>3165</v>
      </c>
      <c r="C803" t="s">
        <v>3998</v>
      </c>
      <c r="D803" s="69">
        <v>3.5416666666666665</v>
      </c>
    </row>
    <row r="804" spans="1:4" x14ac:dyDescent="0.25">
      <c r="A804" t="s">
        <v>3166</v>
      </c>
      <c r="B804" t="s">
        <v>3167</v>
      </c>
      <c r="C804" t="s">
        <v>3995</v>
      </c>
      <c r="D804" s="69">
        <v>2.0166666666666671</v>
      </c>
    </row>
    <row r="805" spans="1:4" x14ac:dyDescent="0.25">
      <c r="A805" t="s">
        <v>1786</v>
      </c>
      <c r="B805" t="s">
        <v>3168</v>
      </c>
      <c r="C805" t="s">
        <v>3933</v>
      </c>
      <c r="D805" s="69">
        <v>17.223214285714285</v>
      </c>
    </row>
    <row r="806" spans="1:4" x14ac:dyDescent="0.25">
      <c r="A806" t="s">
        <v>3169</v>
      </c>
      <c r="B806" t="s">
        <v>3170</v>
      </c>
      <c r="C806" t="s">
        <v>3888</v>
      </c>
      <c r="D806" s="69">
        <v>6.3250000000000002</v>
      </c>
    </row>
    <row r="807" spans="1:4" x14ac:dyDescent="0.25">
      <c r="A807" t="s">
        <v>3171</v>
      </c>
      <c r="B807" t="s">
        <v>3172</v>
      </c>
      <c r="C807" t="s">
        <v>4198</v>
      </c>
      <c r="D807" s="69">
        <v>49</v>
      </c>
    </row>
    <row r="808" spans="1:4" x14ac:dyDescent="0.25">
      <c r="A808" t="s">
        <v>3173</v>
      </c>
      <c r="B808" t="s">
        <v>3174</v>
      </c>
      <c r="C808" t="s">
        <v>3879</v>
      </c>
      <c r="D808" s="69">
        <v>3.45</v>
      </c>
    </row>
    <row r="809" spans="1:4" x14ac:dyDescent="0.25">
      <c r="A809" t="s">
        <v>3175</v>
      </c>
      <c r="B809" t="s">
        <v>3176</v>
      </c>
      <c r="C809" t="s">
        <v>3885</v>
      </c>
      <c r="D809" s="69">
        <v>2.2608695652173916</v>
      </c>
    </row>
    <row r="810" spans="1:4" x14ac:dyDescent="0.25">
      <c r="A810" t="s">
        <v>3177</v>
      </c>
      <c r="B810" t="s">
        <v>3178</v>
      </c>
      <c r="C810" t="s">
        <v>4199</v>
      </c>
      <c r="D810" s="69">
        <v>11.22</v>
      </c>
    </row>
    <row r="811" spans="1:4" x14ac:dyDescent="0.25">
      <c r="A811" t="s">
        <v>3179</v>
      </c>
      <c r="B811" t="s">
        <v>3180</v>
      </c>
      <c r="C811" t="s">
        <v>4200</v>
      </c>
      <c r="D811" s="69">
        <v>19.79</v>
      </c>
    </row>
    <row r="812" spans="1:4" x14ac:dyDescent="0.25">
      <c r="A812" t="s">
        <v>3181</v>
      </c>
      <c r="B812" t="s">
        <v>3182</v>
      </c>
      <c r="C812" t="s">
        <v>4004</v>
      </c>
      <c r="D812" s="69">
        <v>1.35</v>
      </c>
    </row>
    <row r="813" spans="1:4" x14ac:dyDescent="0.25">
      <c r="A813" t="s">
        <v>3183</v>
      </c>
      <c r="B813" t="s">
        <v>3182</v>
      </c>
      <c r="C813" t="s">
        <v>3980</v>
      </c>
      <c r="D813" s="69">
        <v>1.35</v>
      </c>
    </row>
    <row r="814" spans="1:4" x14ac:dyDescent="0.25">
      <c r="A814" t="s">
        <v>3184</v>
      </c>
      <c r="B814" t="s">
        <v>3185</v>
      </c>
      <c r="C814" t="s">
        <v>4201</v>
      </c>
      <c r="D814" s="69">
        <v>0.98763133162832406</v>
      </c>
    </row>
    <row r="815" spans="1:4" x14ac:dyDescent="0.25">
      <c r="A815" t="s">
        <v>3186</v>
      </c>
      <c r="B815" t="s">
        <v>3187</v>
      </c>
      <c r="C815" t="s">
        <v>4005</v>
      </c>
      <c r="D815" s="69">
        <v>1.6737500000000001</v>
      </c>
    </row>
    <row r="816" spans="1:4" x14ac:dyDescent="0.25">
      <c r="A816" t="s">
        <v>3188</v>
      </c>
      <c r="B816" t="s">
        <v>3189</v>
      </c>
      <c r="C816" t="s">
        <v>4202</v>
      </c>
      <c r="D816" s="69">
        <v>2.9105218855218857</v>
      </c>
    </row>
    <row r="817" spans="1:4" x14ac:dyDescent="0.25">
      <c r="A817" t="s">
        <v>3190</v>
      </c>
      <c r="B817" t="s">
        <v>3191</v>
      </c>
      <c r="C817" t="s">
        <v>3920</v>
      </c>
      <c r="D817" s="69">
        <v>9</v>
      </c>
    </row>
    <row r="818" spans="1:4" x14ac:dyDescent="0.25">
      <c r="A818" t="s">
        <v>3192</v>
      </c>
      <c r="B818" t="s">
        <v>3193</v>
      </c>
      <c r="C818" t="s">
        <v>4203</v>
      </c>
      <c r="D818" s="69">
        <v>0.83000000000000007</v>
      </c>
    </row>
    <row r="819" spans="1:4" x14ac:dyDescent="0.25">
      <c r="A819" t="s">
        <v>3194</v>
      </c>
      <c r="B819" t="s">
        <v>3195</v>
      </c>
      <c r="C819" t="s">
        <v>4204</v>
      </c>
      <c r="D819" s="69">
        <v>13.8</v>
      </c>
    </row>
    <row r="820" spans="1:4" x14ac:dyDescent="0.25">
      <c r="A820" t="s">
        <v>3196</v>
      </c>
      <c r="B820" t="s">
        <v>3197</v>
      </c>
      <c r="C820" t="s">
        <v>4205</v>
      </c>
      <c r="D820" s="69">
        <v>7.8994708994708995</v>
      </c>
    </row>
    <row r="821" spans="1:4" x14ac:dyDescent="0.25">
      <c r="A821" t="s">
        <v>3198</v>
      </c>
      <c r="B821" t="s">
        <v>3199</v>
      </c>
      <c r="C821" t="s">
        <v>4206</v>
      </c>
      <c r="D821" s="69">
        <v>14.9</v>
      </c>
    </row>
    <row r="822" spans="1:4" x14ac:dyDescent="0.25">
      <c r="A822" t="s">
        <v>3200</v>
      </c>
      <c r="B822" t="s">
        <v>3201</v>
      </c>
      <c r="C822" t="s">
        <v>3888</v>
      </c>
      <c r="D822" s="69">
        <v>0.80539128205128208</v>
      </c>
    </row>
    <row r="823" spans="1:4" x14ac:dyDescent="0.25">
      <c r="A823" t="s">
        <v>3202</v>
      </c>
      <c r="B823" t="s">
        <v>3203</v>
      </c>
      <c r="C823" t="s">
        <v>3959</v>
      </c>
      <c r="D823" s="69">
        <v>1.0625</v>
      </c>
    </row>
    <row r="824" spans="1:4" x14ac:dyDescent="0.25">
      <c r="A824" t="s">
        <v>3204</v>
      </c>
      <c r="B824" t="s">
        <v>3205</v>
      </c>
      <c r="C824" t="s">
        <v>4064</v>
      </c>
      <c r="D824" s="69">
        <v>9.4913043478260875</v>
      </c>
    </row>
    <row r="825" spans="1:4" x14ac:dyDescent="0.25">
      <c r="A825" t="s">
        <v>3206</v>
      </c>
      <c r="B825" t="s">
        <v>3207</v>
      </c>
      <c r="C825" t="s">
        <v>4207</v>
      </c>
      <c r="D825" s="69">
        <v>15.02</v>
      </c>
    </row>
    <row r="826" spans="1:4" x14ac:dyDescent="0.25">
      <c r="A826" t="s">
        <v>3208</v>
      </c>
      <c r="B826" t="s">
        <v>3209</v>
      </c>
      <c r="C826" t="s">
        <v>4126</v>
      </c>
      <c r="D826" s="69">
        <v>1.7250000000000001</v>
      </c>
    </row>
    <row r="827" spans="1:4" x14ac:dyDescent="0.25">
      <c r="A827" t="s">
        <v>3210</v>
      </c>
      <c r="B827" t="s">
        <v>3211</v>
      </c>
      <c r="C827" t="s">
        <v>3888</v>
      </c>
      <c r="D827" s="69">
        <v>22.48</v>
      </c>
    </row>
    <row r="828" spans="1:4" x14ac:dyDescent="0.25">
      <c r="A828" t="s">
        <v>3212</v>
      </c>
      <c r="B828" t="s">
        <v>3213</v>
      </c>
      <c r="C828" t="s">
        <v>4208</v>
      </c>
      <c r="D828" s="69">
        <v>1.0625</v>
      </c>
    </row>
    <row r="829" spans="1:4" x14ac:dyDescent="0.25">
      <c r="A829" t="s">
        <v>3214</v>
      </c>
      <c r="B829" t="s">
        <v>3215</v>
      </c>
      <c r="C829" t="s">
        <v>4209</v>
      </c>
      <c r="D829" s="69">
        <v>12.8</v>
      </c>
    </row>
    <row r="830" spans="1:4" x14ac:dyDescent="0.25">
      <c r="A830" t="s">
        <v>1864</v>
      </c>
      <c r="B830" t="s">
        <v>1764</v>
      </c>
      <c r="C830" t="s">
        <v>3954</v>
      </c>
      <c r="D830" s="69">
        <v>18</v>
      </c>
    </row>
    <row r="831" spans="1:4" x14ac:dyDescent="0.25">
      <c r="A831" t="s">
        <v>3216</v>
      </c>
      <c r="B831" t="s">
        <v>3217</v>
      </c>
      <c r="C831" t="s">
        <v>4064</v>
      </c>
      <c r="D831" s="69">
        <v>24.621739130434786</v>
      </c>
    </row>
    <row r="832" spans="1:4" x14ac:dyDescent="0.25">
      <c r="A832" t="s">
        <v>3218</v>
      </c>
      <c r="B832" t="s">
        <v>3219</v>
      </c>
      <c r="C832" t="s">
        <v>4183</v>
      </c>
      <c r="D832" s="69">
        <v>2.5720000000000001</v>
      </c>
    </row>
    <row r="833" spans="1:4" x14ac:dyDescent="0.25">
      <c r="A833" t="s">
        <v>3220</v>
      </c>
      <c r="B833" t="s">
        <v>3221</v>
      </c>
      <c r="C833" t="s">
        <v>3879</v>
      </c>
      <c r="D833" s="69">
        <v>11.4</v>
      </c>
    </row>
    <row r="834" spans="1:4" x14ac:dyDescent="0.25">
      <c r="A834" t="s">
        <v>3222</v>
      </c>
      <c r="B834" t="s">
        <v>3223</v>
      </c>
      <c r="C834" t="s">
        <v>4070</v>
      </c>
      <c r="D834" s="69">
        <v>6.2250000000000005</v>
      </c>
    </row>
    <row r="835" spans="1:4" x14ac:dyDescent="0.25">
      <c r="A835" t="s">
        <v>3224</v>
      </c>
      <c r="B835" t="s">
        <v>3225</v>
      </c>
      <c r="C835" t="s">
        <v>3999</v>
      </c>
      <c r="D835" s="69">
        <v>1.35</v>
      </c>
    </row>
    <row r="836" spans="1:4" x14ac:dyDescent="0.25">
      <c r="A836" t="s">
        <v>3226</v>
      </c>
      <c r="B836" t="s">
        <v>3227</v>
      </c>
      <c r="C836" t="s">
        <v>4099</v>
      </c>
      <c r="D836" s="69">
        <v>6.8962500000000011</v>
      </c>
    </row>
    <row r="837" spans="1:4" x14ac:dyDescent="0.25">
      <c r="A837" t="s">
        <v>3228</v>
      </c>
      <c r="B837" t="s">
        <v>3229</v>
      </c>
      <c r="C837" t="s">
        <v>4198</v>
      </c>
      <c r="D837" s="69">
        <v>25.51</v>
      </c>
    </row>
    <row r="838" spans="1:4" x14ac:dyDescent="0.25">
      <c r="A838" t="s">
        <v>3230</v>
      </c>
      <c r="B838" t="s">
        <v>3231</v>
      </c>
      <c r="C838" t="s">
        <v>4118</v>
      </c>
      <c r="D838" s="69">
        <v>9</v>
      </c>
    </row>
    <row r="839" spans="1:4" x14ac:dyDescent="0.25">
      <c r="A839" t="s">
        <v>3232</v>
      </c>
      <c r="B839" t="s">
        <v>3233</v>
      </c>
      <c r="C839" t="s">
        <v>4210</v>
      </c>
      <c r="D839" s="69">
        <v>6.168571428571429</v>
      </c>
    </row>
    <row r="840" spans="1:4" x14ac:dyDescent="0.25">
      <c r="A840" t="s">
        <v>3234</v>
      </c>
      <c r="B840" t="s">
        <v>3235</v>
      </c>
      <c r="C840" t="s">
        <v>3881</v>
      </c>
      <c r="D840" s="69">
        <v>32.298913043478265</v>
      </c>
    </row>
    <row r="841" spans="1:4" x14ac:dyDescent="0.25">
      <c r="A841" t="s">
        <v>3236</v>
      </c>
      <c r="B841" t="s">
        <v>3237</v>
      </c>
      <c r="C841" t="s">
        <v>3992</v>
      </c>
      <c r="D841" s="69">
        <v>1.6</v>
      </c>
    </row>
    <row r="842" spans="1:4" x14ac:dyDescent="0.25">
      <c r="A842" t="s">
        <v>3238</v>
      </c>
      <c r="B842" t="s">
        <v>3239</v>
      </c>
      <c r="C842" t="s">
        <v>4211</v>
      </c>
      <c r="D842" s="69">
        <v>3.2</v>
      </c>
    </row>
    <row r="843" spans="1:4" x14ac:dyDescent="0.25">
      <c r="A843" t="s">
        <v>3240</v>
      </c>
      <c r="B843" t="s">
        <v>3241</v>
      </c>
      <c r="C843" t="s">
        <v>3969</v>
      </c>
      <c r="D843" s="69">
        <v>0.88000000000000012</v>
      </c>
    </row>
    <row r="844" spans="1:4" x14ac:dyDescent="0.25">
      <c r="A844" t="s">
        <v>3242</v>
      </c>
      <c r="B844" t="s">
        <v>3243</v>
      </c>
      <c r="C844" t="s">
        <v>3888</v>
      </c>
      <c r="D844" s="69">
        <v>1.8</v>
      </c>
    </row>
    <row r="845" spans="1:4" x14ac:dyDescent="0.25">
      <c r="A845" t="s">
        <v>3244</v>
      </c>
      <c r="B845" t="s">
        <v>3245</v>
      </c>
      <c r="C845" t="s">
        <v>3959</v>
      </c>
      <c r="D845" s="69">
        <v>0.5625</v>
      </c>
    </row>
    <row r="846" spans="1:4" x14ac:dyDescent="0.25">
      <c r="A846" t="s">
        <v>3246</v>
      </c>
      <c r="B846" t="s">
        <v>3247</v>
      </c>
      <c r="C846" t="s">
        <v>3929</v>
      </c>
      <c r="D846" s="69">
        <v>1.0667892156862746</v>
      </c>
    </row>
    <row r="847" spans="1:4" x14ac:dyDescent="0.25">
      <c r="A847" t="s">
        <v>3248</v>
      </c>
      <c r="B847" t="s">
        <v>3249</v>
      </c>
      <c r="C847" t="s">
        <v>4097</v>
      </c>
      <c r="D847" s="69">
        <v>13.5</v>
      </c>
    </row>
    <row r="848" spans="1:4" x14ac:dyDescent="0.25">
      <c r="A848" t="s">
        <v>3250</v>
      </c>
      <c r="B848" t="s">
        <v>3251</v>
      </c>
      <c r="C848" t="s">
        <v>3992</v>
      </c>
      <c r="D848" s="69">
        <v>1.20625</v>
      </c>
    </row>
    <row r="849" spans="1:4" x14ac:dyDescent="0.25">
      <c r="A849" t="s">
        <v>3252</v>
      </c>
      <c r="B849" t="s">
        <v>3253</v>
      </c>
      <c r="C849" t="s">
        <v>3876</v>
      </c>
      <c r="D849" s="69">
        <v>0.72033685922442114</v>
      </c>
    </row>
    <row r="850" spans="1:4" x14ac:dyDescent="0.25">
      <c r="A850" t="s">
        <v>3254</v>
      </c>
      <c r="B850" t="s">
        <v>3255</v>
      </c>
      <c r="C850" t="s">
        <v>3995</v>
      </c>
      <c r="D850" s="69">
        <v>4.0817028985507244</v>
      </c>
    </row>
    <row r="851" spans="1:4" x14ac:dyDescent="0.25">
      <c r="A851" t="s">
        <v>3256</v>
      </c>
      <c r="B851" t="s">
        <v>3257</v>
      </c>
      <c r="C851" t="s">
        <v>4212</v>
      </c>
      <c r="D851" s="69">
        <v>7.44</v>
      </c>
    </row>
    <row r="852" spans="1:4" x14ac:dyDescent="0.25">
      <c r="A852" t="s">
        <v>3258</v>
      </c>
      <c r="B852" t="s">
        <v>3259</v>
      </c>
      <c r="C852" t="s">
        <v>4213</v>
      </c>
      <c r="D852" s="69">
        <v>6.168571428571429</v>
      </c>
    </row>
    <row r="853" spans="1:4" x14ac:dyDescent="0.25">
      <c r="A853" t="s">
        <v>3260</v>
      </c>
      <c r="B853" t="s">
        <v>3261</v>
      </c>
      <c r="C853" t="s">
        <v>4214</v>
      </c>
      <c r="D853" s="69">
        <v>19.98</v>
      </c>
    </row>
    <row r="854" spans="1:4" x14ac:dyDescent="0.25">
      <c r="A854" t="s">
        <v>3262</v>
      </c>
      <c r="B854" t="s">
        <v>3263</v>
      </c>
      <c r="C854" t="s">
        <v>4215</v>
      </c>
      <c r="D854" s="69">
        <v>17.25</v>
      </c>
    </row>
    <row r="855" spans="1:4" x14ac:dyDescent="0.25">
      <c r="A855" t="s">
        <v>3264</v>
      </c>
      <c r="B855" t="s">
        <v>3265</v>
      </c>
      <c r="C855" t="s">
        <v>4118</v>
      </c>
      <c r="D855" s="69">
        <v>9.65</v>
      </c>
    </row>
    <row r="856" spans="1:4" x14ac:dyDescent="0.25">
      <c r="A856" t="s">
        <v>3266</v>
      </c>
      <c r="B856" t="s">
        <v>3267</v>
      </c>
      <c r="C856" t="s">
        <v>3876</v>
      </c>
      <c r="D856" s="69">
        <v>1.9166666666666667</v>
      </c>
    </row>
    <row r="857" spans="1:4" x14ac:dyDescent="0.25">
      <c r="A857" t="s">
        <v>1819</v>
      </c>
      <c r="B857" t="s">
        <v>3268</v>
      </c>
      <c r="C857" t="s">
        <v>4080</v>
      </c>
      <c r="D857" s="69">
        <v>13.999999999999998</v>
      </c>
    </row>
    <row r="858" spans="1:4" x14ac:dyDescent="0.25">
      <c r="A858" t="s">
        <v>3269</v>
      </c>
      <c r="B858" t="s">
        <v>3270</v>
      </c>
      <c r="C858" t="s">
        <v>3888</v>
      </c>
      <c r="D858" s="69">
        <v>5.16</v>
      </c>
    </row>
    <row r="859" spans="1:4" x14ac:dyDescent="0.25">
      <c r="A859" t="s">
        <v>3271</v>
      </c>
      <c r="B859" t="s">
        <v>3272</v>
      </c>
      <c r="C859" t="s">
        <v>3889</v>
      </c>
      <c r="D859" s="69">
        <v>49.73</v>
      </c>
    </row>
    <row r="860" spans="1:4" x14ac:dyDescent="0.25">
      <c r="A860" t="s">
        <v>3273</v>
      </c>
      <c r="B860" t="s">
        <v>3274</v>
      </c>
      <c r="C860" t="s">
        <v>3885</v>
      </c>
      <c r="D860" s="69">
        <v>0.33596837944664038</v>
      </c>
    </row>
    <row r="861" spans="1:4" x14ac:dyDescent="0.25">
      <c r="A861" t="s">
        <v>3275</v>
      </c>
      <c r="B861" t="s">
        <v>3276</v>
      </c>
      <c r="C861" t="s">
        <v>3879</v>
      </c>
      <c r="D861" s="69">
        <v>1.3</v>
      </c>
    </row>
    <row r="862" spans="1:4" x14ac:dyDescent="0.25">
      <c r="A862" t="s">
        <v>3277</v>
      </c>
      <c r="B862" t="s">
        <v>3278</v>
      </c>
      <c r="C862" t="s">
        <v>4216</v>
      </c>
      <c r="D862" s="69">
        <v>23.5</v>
      </c>
    </row>
    <row r="863" spans="1:4" x14ac:dyDescent="0.25">
      <c r="A863" t="s">
        <v>3279</v>
      </c>
      <c r="B863" t="s">
        <v>3280</v>
      </c>
      <c r="C863" t="s">
        <v>4217</v>
      </c>
      <c r="D863" s="69">
        <v>28.21</v>
      </c>
    </row>
    <row r="864" spans="1:4" x14ac:dyDescent="0.25">
      <c r="A864" t="s">
        <v>3281</v>
      </c>
      <c r="B864" t="s">
        <v>3282</v>
      </c>
      <c r="C864" t="s">
        <v>3955</v>
      </c>
      <c r="D864" s="69">
        <v>4.8899999999999997</v>
      </c>
    </row>
    <row r="865" spans="1:4" x14ac:dyDescent="0.25">
      <c r="A865" t="s">
        <v>3283</v>
      </c>
      <c r="B865" t="s">
        <v>3284</v>
      </c>
      <c r="C865" t="s">
        <v>4218</v>
      </c>
      <c r="D865" s="69">
        <v>35.141249999999999</v>
      </c>
    </row>
    <row r="866" spans="1:4" x14ac:dyDescent="0.25">
      <c r="A866" t="s">
        <v>3285</v>
      </c>
      <c r="B866" t="s">
        <v>3286</v>
      </c>
      <c r="C866" t="s">
        <v>3888</v>
      </c>
      <c r="D866" s="69">
        <v>9.5</v>
      </c>
    </row>
    <row r="867" spans="1:4" x14ac:dyDescent="0.25">
      <c r="A867" t="s">
        <v>3287</v>
      </c>
      <c r="B867" t="s">
        <v>3288</v>
      </c>
      <c r="C867" t="s">
        <v>3929</v>
      </c>
      <c r="D867" s="69">
        <v>0.62</v>
      </c>
    </row>
    <row r="868" spans="1:4" x14ac:dyDescent="0.25">
      <c r="A868" t="s">
        <v>3289</v>
      </c>
      <c r="B868" t="s">
        <v>3290</v>
      </c>
      <c r="C868" t="s">
        <v>3992</v>
      </c>
      <c r="D868" s="69">
        <v>1.6</v>
      </c>
    </row>
    <row r="869" spans="1:4" x14ac:dyDescent="0.25">
      <c r="A869" t="s">
        <v>3291</v>
      </c>
      <c r="B869" t="s">
        <v>3292</v>
      </c>
      <c r="C869" t="s">
        <v>3888</v>
      </c>
      <c r="D869" s="69">
        <v>8.99</v>
      </c>
    </row>
    <row r="870" spans="1:4" x14ac:dyDescent="0.25">
      <c r="A870" t="s">
        <v>3293</v>
      </c>
      <c r="B870" t="s">
        <v>3294</v>
      </c>
      <c r="C870" t="s">
        <v>4096</v>
      </c>
      <c r="D870" s="69">
        <v>5</v>
      </c>
    </row>
    <row r="871" spans="1:4" x14ac:dyDescent="0.25">
      <c r="A871" t="s">
        <v>3295</v>
      </c>
      <c r="B871" t="s">
        <v>3296</v>
      </c>
      <c r="C871" t="s">
        <v>3888</v>
      </c>
      <c r="D871" s="69">
        <v>5.57</v>
      </c>
    </row>
    <row r="872" spans="1:4" x14ac:dyDescent="0.25">
      <c r="A872" t="s">
        <v>3297</v>
      </c>
      <c r="B872" t="s">
        <v>3298</v>
      </c>
      <c r="C872" t="s">
        <v>3913</v>
      </c>
      <c r="D872" s="69">
        <v>17.149999999999999</v>
      </c>
    </row>
    <row r="873" spans="1:4" x14ac:dyDescent="0.25">
      <c r="A873" t="s">
        <v>3299</v>
      </c>
      <c r="B873" t="s">
        <v>3300</v>
      </c>
      <c r="C873" t="s">
        <v>3881</v>
      </c>
      <c r="D873" s="69">
        <v>0.42554347826086963</v>
      </c>
    </row>
    <row r="874" spans="1:4" x14ac:dyDescent="0.25">
      <c r="A874" t="s">
        <v>3301</v>
      </c>
      <c r="B874" t="s">
        <v>3302</v>
      </c>
      <c r="C874" t="s">
        <v>3959</v>
      </c>
      <c r="D874" s="69">
        <v>1.125</v>
      </c>
    </row>
    <row r="875" spans="1:4" x14ac:dyDescent="0.25">
      <c r="A875" t="s">
        <v>3303</v>
      </c>
      <c r="B875" t="s">
        <v>3304</v>
      </c>
      <c r="C875" t="s">
        <v>4219</v>
      </c>
      <c r="D875" s="69">
        <v>4.03</v>
      </c>
    </row>
    <row r="876" spans="1:4" x14ac:dyDescent="0.25">
      <c r="A876" t="s">
        <v>3305</v>
      </c>
      <c r="B876" t="s">
        <v>3306</v>
      </c>
      <c r="C876" t="s">
        <v>4220</v>
      </c>
      <c r="D876" s="69">
        <v>1.6304347826086958</v>
      </c>
    </row>
    <row r="877" spans="1:4" x14ac:dyDescent="0.25">
      <c r="A877" t="s">
        <v>3307</v>
      </c>
      <c r="B877" t="s">
        <v>3308</v>
      </c>
      <c r="C877" t="s">
        <v>4221</v>
      </c>
      <c r="D877" s="69">
        <v>12.94</v>
      </c>
    </row>
    <row r="878" spans="1:4" x14ac:dyDescent="0.25">
      <c r="A878" t="s">
        <v>3309</v>
      </c>
      <c r="B878" t="s">
        <v>3310</v>
      </c>
      <c r="C878" t="s">
        <v>3995</v>
      </c>
      <c r="D878" s="69">
        <v>1.5818840579710145</v>
      </c>
    </row>
    <row r="879" spans="1:4" x14ac:dyDescent="0.25">
      <c r="A879" t="s">
        <v>3311</v>
      </c>
      <c r="B879" t="s">
        <v>3312</v>
      </c>
      <c r="C879" t="s">
        <v>3888</v>
      </c>
      <c r="D879" s="69">
        <v>6.125</v>
      </c>
    </row>
    <row r="880" spans="1:4" x14ac:dyDescent="0.25">
      <c r="A880" t="s">
        <v>3313</v>
      </c>
      <c r="B880" t="s">
        <v>3314</v>
      </c>
      <c r="C880" t="s">
        <v>4115</v>
      </c>
      <c r="D880" s="69">
        <v>7.5</v>
      </c>
    </row>
    <row r="881" spans="1:4" x14ac:dyDescent="0.25">
      <c r="A881" t="s">
        <v>3315</v>
      </c>
      <c r="B881" t="s">
        <v>3316</v>
      </c>
      <c r="C881" t="s">
        <v>3943</v>
      </c>
      <c r="D881" s="69">
        <v>4.87</v>
      </c>
    </row>
    <row r="882" spans="1:4" x14ac:dyDescent="0.25">
      <c r="A882" t="s">
        <v>3317</v>
      </c>
      <c r="B882" t="s">
        <v>3318</v>
      </c>
      <c r="C882" t="s">
        <v>4222</v>
      </c>
      <c r="D882" s="69">
        <v>7.3272000000000004</v>
      </c>
    </row>
    <row r="883" spans="1:4" x14ac:dyDescent="0.25">
      <c r="A883" t="s">
        <v>3319</v>
      </c>
      <c r="B883" t="s">
        <v>3320</v>
      </c>
      <c r="C883" t="s">
        <v>4223</v>
      </c>
      <c r="D883" s="69">
        <v>17.07</v>
      </c>
    </row>
    <row r="884" spans="1:4" x14ac:dyDescent="0.25">
      <c r="A884" t="s">
        <v>3321</v>
      </c>
      <c r="B884" t="s">
        <v>3322</v>
      </c>
      <c r="C884" t="s">
        <v>3913</v>
      </c>
      <c r="D884" s="69">
        <v>7.8866666666666667</v>
      </c>
    </row>
    <row r="885" spans="1:4" x14ac:dyDescent="0.25">
      <c r="A885" t="s">
        <v>3323</v>
      </c>
      <c r="B885" t="s">
        <v>3324</v>
      </c>
      <c r="C885" t="s">
        <v>4077</v>
      </c>
      <c r="D885" s="69">
        <v>13.75625</v>
      </c>
    </row>
    <row r="886" spans="1:4" x14ac:dyDescent="0.25">
      <c r="A886" t="s">
        <v>3325</v>
      </c>
      <c r="B886" t="s">
        <v>3326</v>
      </c>
      <c r="C886" t="s">
        <v>4217</v>
      </c>
      <c r="D886" s="69">
        <v>41.87</v>
      </c>
    </row>
    <row r="887" spans="1:4" x14ac:dyDescent="0.25">
      <c r="A887" t="s">
        <v>3327</v>
      </c>
      <c r="B887" t="s">
        <v>3328</v>
      </c>
      <c r="C887" t="s">
        <v>3992</v>
      </c>
      <c r="D887" s="69">
        <v>1.125</v>
      </c>
    </row>
    <row r="888" spans="1:4" x14ac:dyDescent="0.25">
      <c r="A888" t="s">
        <v>3329</v>
      </c>
      <c r="B888" t="s">
        <v>3330</v>
      </c>
      <c r="C888" t="s">
        <v>4096</v>
      </c>
      <c r="D888" s="69">
        <v>4</v>
      </c>
    </row>
    <row r="889" spans="1:4" x14ac:dyDescent="0.25">
      <c r="A889" t="s">
        <v>3331</v>
      </c>
      <c r="B889" t="s">
        <v>3332</v>
      </c>
      <c r="C889" t="s">
        <v>3983</v>
      </c>
      <c r="D889" s="69">
        <v>23</v>
      </c>
    </row>
    <row r="890" spans="1:4" x14ac:dyDescent="0.25">
      <c r="A890" t="s">
        <v>3333</v>
      </c>
      <c r="B890" t="s">
        <v>3334</v>
      </c>
      <c r="C890" t="s">
        <v>3927</v>
      </c>
      <c r="D890" s="69">
        <v>12.6</v>
      </c>
    </row>
    <row r="891" spans="1:4" x14ac:dyDescent="0.25">
      <c r="A891" t="s">
        <v>3335</v>
      </c>
      <c r="B891" t="s">
        <v>3336</v>
      </c>
      <c r="C891" t="s">
        <v>4224</v>
      </c>
      <c r="D891" s="69">
        <v>12.4</v>
      </c>
    </row>
    <row r="892" spans="1:4" x14ac:dyDescent="0.25">
      <c r="A892" t="s">
        <v>3337</v>
      </c>
      <c r="B892" t="s">
        <v>3338</v>
      </c>
      <c r="C892" t="s">
        <v>3888</v>
      </c>
      <c r="D892" s="69">
        <v>9.5599999999999987</v>
      </c>
    </row>
    <row r="893" spans="1:4" x14ac:dyDescent="0.25">
      <c r="A893" t="s">
        <v>3339</v>
      </c>
      <c r="B893" t="s">
        <v>3340</v>
      </c>
      <c r="C893" t="s">
        <v>4225</v>
      </c>
      <c r="D893" s="69">
        <v>19</v>
      </c>
    </row>
    <row r="894" spans="1:4" x14ac:dyDescent="0.25">
      <c r="A894" t="s">
        <v>1179</v>
      </c>
      <c r="B894" t="s">
        <v>3341</v>
      </c>
      <c r="C894" t="s">
        <v>3945</v>
      </c>
      <c r="D894" s="69">
        <v>9.2826434470261816</v>
      </c>
    </row>
    <row r="895" spans="1:4" x14ac:dyDescent="0.25">
      <c r="A895" t="s">
        <v>3342</v>
      </c>
      <c r="B895" t="s">
        <v>3343</v>
      </c>
      <c r="C895" t="s">
        <v>3879</v>
      </c>
      <c r="D895" s="69">
        <v>0.62598730093780763</v>
      </c>
    </row>
    <row r="896" spans="1:4" x14ac:dyDescent="0.25">
      <c r="A896" t="s">
        <v>3344</v>
      </c>
      <c r="B896" t="s">
        <v>3314</v>
      </c>
      <c r="C896" t="s">
        <v>3972</v>
      </c>
      <c r="D896" s="69">
        <v>7.5</v>
      </c>
    </row>
    <row r="897" spans="1:4" x14ac:dyDescent="0.25">
      <c r="A897" t="s">
        <v>1775</v>
      </c>
      <c r="B897" t="s">
        <v>3345</v>
      </c>
      <c r="C897" t="s">
        <v>3906</v>
      </c>
      <c r="D897" s="69">
        <v>3.9050774986638164</v>
      </c>
    </row>
    <row r="898" spans="1:4" x14ac:dyDescent="0.25">
      <c r="A898" t="s">
        <v>3346</v>
      </c>
      <c r="B898" t="s">
        <v>3347</v>
      </c>
      <c r="C898" t="s">
        <v>4203</v>
      </c>
      <c r="D898" s="69">
        <v>0.81499999999999984</v>
      </c>
    </row>
    <row r="899" spans="1:4" x14ac:dyDescent="0.25">
      <c r="A899" t="s">
        <v>1137</v>
      </c>
      <c r="B899" t="s">
        <v>3348</v>
      </c>
      <c r="C899" t="s">
        <v>3963</v>
      </c>
      <c r="D899" s="69">
        <v>9</v>
      </c>
    </row>
    <row r="900" spans="1:4" x14ac:dyDescent="0.25">
      <c r="A900" t="s">
        <v>3349</v>
      </c>
      <c r="B900" t="s">
        <v>3350</v>
      </c>
      <c r="C900" t="s">
        <v>4153</v>
      </c>
      <c r="D900" s="69">
        <v>9.3000000000000007</v>
      </c>
    </row>
    <row r="901" spans="1:4" x14ac:dyDescent="0.25">
      <c r="A901" t="s">
        <v>1848</v>
      </c>
      <c r="B901" t="s">
        <v>3351</v>
      </c>
      <c r="C901" t="s">
        <v>4099</v>
      </c>
      <c r="D901" s="69">
        <v>6.8962500000000002</v>
      </c>
    </row>
    <row r="902" spans="1:4" x14ac:dyDescent="0.25">
      <c r="A902" t="s">
        <v>1782</v>
      </c>
      <c r="B902" t="s">
        <v>3352</v>
      </c>
      <c r="C902" t="s">
        <v>4114</v>
      </c>
      <c r="D902" s="69">
        <v>10.083333333333334</v>
      </c>
    </row>
    <row r="903" spans="1:4" x14ac:dyDescent="0.25">
      <c r="A903" t="s">
        <v>3353</v>
      </c>
      <c r="B903" t="s">
        <v>3354</v>
      </c>
      <c r="C903" t="s">
        <v>3904</v>
      </c>
      <c r="D903" s="69">
        <v>17.223214285714285</v>
      </c>
    </row>
    <row r="904" spans="1:4" x14ac:dyDescent="0.25">
      <c r="A904" t="s">
        <v>3355</v>
      </c>
      <c r="B904" t="s">
        <v>3356</v>
      </c>
      <c r="C904" t="s">
        <v>4185</v>
      </c>
      <c r="D904" s="69">
        <v>5.03</v>
      </c>
    </row>
    <row r="905" spans="1:4" x14ac:dyDescent="0.25">
      <c r="A905" t="s">
        <v>3357</v>
      </c>
      <c r="B905" t="s">
        <v>3358</v>
      </c>
      <c r="C905" t="s">
        <v>4004</v>
      </c>
      <c r="D905" s="69">
        <v>1.3</v>
      </c>
    </row>
    <row r="906" spans="1:4" x14ac:dyDescent="0.25">
      <c r="A906" t="s">
        <v>1851</v>
      </c>
      <c r="B906" t="s">
        <v>3359</v>
      </c>
      <c r="C906" t="s">
        <v>4158</v>
      </c>
      <c r="D906" s="69">
        <v>3.4388095238095238</v>
      </c>
    </row>
    <row r="907" spans="1:4" x14ac:dyDescent="0.25">
      <c r="A907" t="s">
        <v>3360</v>
      </c>
      <c r="B907" t="s">
        <v>3361</v>
      </c>
      <c r="C907" t="s">
        <v>4183</v>
      </c>
      <c r="D907" s="69">
        <v>2.9909999999999997</v>
      </c>
    </row>
    <row r="908" spans="1:4" x14ac:dyDescent="0.25">
      <c r="A908" t="s">
        <v>3362</v>
      </c>
      <c r="B908" t="s">
        <v>3363</v>
      </c>
      <c r="C908" t="s">
        <v>3891</v>
      </c>
      <c r="D908" s="69">
        <v>1.5062500000000001</v>
      </c>
    </row>
    <row r="909" spans="1:4" x14ac:dyDescent="0.25">
      <c r="A909" t="s">
        <v>3364</v>
      </c>
      <c r="B909" t="s">
        <v>3365</v>
      </c>
      <c r="C909" t="s">
        <v>3881</v>
      </c>
      <c r="D909" s="69">
        <v>1.3124958015022659</v>
      </c>
    </row>
    <row r="910" spans="1:4" x14ac:dyDescent="0.25">
      <c r="A910" t="s">
        <v>3366</v>
      </c>
      <c r="B910" t="s">
        <v>3367</v>
      </c>
      <c r="C910" t="s">
        <v>4203</v>
      </c>
      <c r="D910" s="69">
        <v>0.81499999999999995</v>
      </c>
    </row>
    <row r="911" spans="1:4" x14ac:dyDescent="0.25">
      <c r="A911" t="s">
        <v>3368</v>
      </c>
      <c r="B911" t="s">
        <v>3369</v>
      </c>
      <c r="C911" t="s">
        <v>4226</v>
      </c>
      <c r="D911" s="69">
        <v>10.0425</v>
      </c>
    </row>
    <row r="912" spans="1:4" x14ac:dyDescent="0.25">
      <c r="A912" t="s">
        <v>3370</v>
      </c>
      <c r="B912" t="s">
        <v>3371</v>
      </c>
      <c r="C912" t="s">
        <v>3881</v>
      </c>
      <c r="D912" s="69">
        <v>1.6224792740043976</v>
      </c>
    </row>
    <row r="913" spans="1:4" x14ac:dyDescent="0.25">
      <c r="A913" t="s">
        <v>3372</v>
      </c>
      <c r="B913" t="s">
        <v>3373</v>
      </c>
      <c r="C913" t="s">
        <v>3995</v>
      </c>
      <c r="D913" s="69">
        <v>5.8034420289855078</v>
      </c>
    </row>
    <row r="914" spans="1:4" x14ac:dyDescent="0.25">
      <c r="A914" t="s">
        <v>3374</v>
      </c>
      <c r="B914" t="s">
        <v>3375</v>
      </c>
      <c r="C914" t="s">
        <v>3988</v>
      </c>
      <c r="D914" s="69">
        <v>6.4136363636363622</v>
      </c>
    </row>
    <row r="915" spans="1:4" x14ac:dyDescent="0.25">
      <c r="A915" t="s">
        <v>3376</v>
      </c>
      <c r="B915" t="s">
        <v>3377</v>
      </c>
      <c r="C915" t="s">
        <v>3995</v>
      </c>
      <c r="D915" s="69">
        <v>4.1036231884057974</v>
      </c>
    </row>
    <row r="916" spans="1:4" x14ac:dyDescent="0.25">
      <c r="A916" t="s">
        <v>3378</v>
      </c>
      <c r="B916" t="s">
        <v>3379</v>
      </c>
      <c r="C916" t="s">
        <v>3888</v>
      </c>
      <c r="D916" s="69">
        <v>1.986666666666667</v>
      </c>
    </row>
    <row r="917" spans="1:4" x14ac:dyDescent="0.25">
      <c r="A917" t="s">
        <v>3380</v>
      </c>
      <c r="B917" t="s">
        <v>3381</v>
      </c>
      <c r="C917" t="s">
        <v>4203</v>
      </c>
      <c r="D917" s="69">
        <v>0.81499999999999995</v>
      </c>
    </row>
    <row r="918" spans="1:4" x14ac:dyDescent="0.25">
      <c r="A918" t="s">
        <v>3382</v>
      </c>
      <c r="B918" t="s">
        <v>3383</v>
      </c>
      <c r="C918" t="s">
        <v>3888</v>
      </c>
      <c r="D918" s="69">
        <v>3.1887500000000002</v>
      </c>
    </row>
    <row r="919" spans="1:4" x14ac:dyDescent="0.25">
      <c r="A919" t="s">
        <v>3384</v>
      </c>
      <c r="B919" t="s">
        <v>3385</v>
      </c>
      <c r="C919" t="s">
        <v>4227</v>
      </c>
      <c r="D919" s="69">
        <v>9.8695652173913047</v>
      </c>
    </row>
    <row r="920" spans="1:4" x14ac:dyDescent="0.25">
      <c r="A920" t="s">
        <v>3386</v>
      </c>
      <c r="B920" t="s">
        <v>3387</v>
      </c>
      <c r="C920" t="s">
        <v>3995</v>
      </c>
      <c r="D920" s="69">
        <v>4.7512681159420298</v>
      </c>
    </row>
    <row r="921" spans="1:4" x14ac:dyDescent="0.25">
      <c r="A921" t="s">
        <v>3388</v>
      </c>
      <c r="B921" t="s">
        <v>3389</v>
      </c>
      <c r="C921" t="s">
        <v>3888</v>
      </c>
      <c r="D921" s="69">
        <v>3.9916666666666658</v>
      </c>
    </row>
    <row r="922" spans="1:4" x14ac:dyDescent="0.25">
      <c r="A922" t="s">
        <v>3390</v>
      </c>
      <c r="B922" t="s">
        <v>3391</v>
      </c>
      <c r="C922" t="s">
        <v>4125</v>
      </c>
      <c r="D922" s="69">
        <v>14.000000000000002</v>
      </c>
    </row>
    <row r="923" spans="1:4" x14ac:dyDescent="0.25">
      <c r="A923" t="s">
        <v>3392</v>
      </c>
      <c r="B923" t="s">
        <v>3393</v>
      </c>
      <c r="C923" t="s">
        <v>4228</v>
      </c>
      <c r="D923" s="69">
        <v>16.16</v>
      </c>
    </row>
    <row r="924" spans="1:4" x14ac:dyDescent="0.25">
      <c r="A924" t="s">
        <v>3394</v>
      </c>
      <c r="B924" t="s">
        <v>3395</v>
      </c>
      <c r="C924" t="s">
        <v>4072</v>
      </c>
      <c r="D924" s="69">
        <v>12.223214285714286</v>
      </c>
    </row>
    <row r="925" spans="1:4" x14ac:dyDescent="0.25">
      <c r="A925" t="s">
        <v>3396</v>
      </c>
      <c r="B925" t="s">
        <v>3397</v>
      </c>
      <c r="C925" t="s">
        <v>3924</v>
      </c>
      <c r="D925" s="69">
        <v>36.833611111111111</v>
      </c>
    </row>
    <row r="926" spans="1:4" x14ac:dyDescent="0.25">
      <c r="A926" t="s">
        <v>3398</v>
      </c>
      <c r="B926" t="s">
        <v>3399</v>
      </c>
      <c r="C926" t="s">
        <v>4229</v>
      </c>
      <c r="D926" s="69">
        <v>4</v>
      </c>
    </row>
    <row r="927" spans="1:4" x14ac:dyDescent="0.25">
      <c r="A927" t="s">
        <v>3400</v>
      </c>
      <c r="B927" t="s">
        <v>3401</v>
      </c>
      <c r="C927" t="s">
        <v>4230</v>
      </c>
      <c r="D927" s="69">
        <v>5.14</v>
      </c>
    </row>
    <row r="928" spans="1:4" x14ac:dyDescent="0.25">
      <c r="A928" t="s">
        <v>3402</v>
      </c>
      <c r="B928" t="s">
        <v>3403</v>
      </c>
      <c r="C928" t="s">
        <v>3888</v>
      </c>
      <c r="D928" s="69">
        <v>2.2933333333333334</v>
      </c>
    </row>
    <row r="929" spans="1:4" x14ac:dyDescent="0.25">
      <c r="A929" t="s">
        <v>3404</v>
      </c>
      <c r="B929" t="s">
        <v>3405</v>
      </c>
      <c r="C929" t="s">
        <v>4229</v>
      </c>
      <c r="D929" s="69">
        <v>3.7466666666666666</v>
      </c>
    </row>
    <row r="930" spans="1:4" x14ac:dyDescent="0.25">
      <c r="A930" t="s">
        <v>3406</v>
      </c>
      <c r="B930" t="s">
        <v>3407</v>
      </c>
      <c r="C930" t="s">
        <v>3884</v>
      </c>
      <c r="D930" s="69">
        <v>3.6999999999999997</v>
      </c>
    </row>
    <row r="931" spans="1:4" x14ac:dyDescent="0.25">
      <c r="A931" t="s">
        <v>3408</v>
      </c>
      <c r="B931" t="s">
        <v>3409</v>
      </c>
      <c r="C931" t="s">
        <v>3881</v>
      </c>
      <c r="D931" s="69">
        <v>1.74</v>
      </c>
    </row>
    <row r="932" spans="1:4" x14ac:dyDescent="0.25">
      <c r="A932" t="s">
        <v>3410</v>
      </c>
      <c r="B932" t="s">
        <v>3411</v>
      </c>
      <c r="C932" t="s">
        <v>4231</v>
      </c>
      <c r="D932" s="69">
        <v>9.7200000000000006</v>
      </c>
    </row>
    <row r="933" spans="1:4" x14ac:dyDescent="0.25">
      <c r="A933" t="s">
        <v>3412</v>
      </c>
      <c r="B933" t="s">
        <v>3413</v>
      </c>
      <c r="C933" t="s">
        <v>4232</v>
      </c>
      <c r="D933" s="69">
        <v>12.4</v>
      </c>
    </row>
    <row r="934" spans="1:4" x14ac:dyDescent="0.25">
      <c r="A934" t="s">
        <v>3414</v>
      </c>
      <c r="B934" t="s">
        <v>3415</v>
      </c>
      <c r="C934" t="s">
        <v>3995</v>
      </c>
      <c r="D934" s="69">
        <v>5.2556159420289861</v>
      </c>
    </row>
    <row r="935" spans="1:4" x14ac:dyDescent="0.25">
      <c r="A935" t="s">
        <v>3416</v>
      </c>
      <c r="B935" t="s">
        <v>3417</v>
      </c>
      <c r="C935" t="s">
        <v>3888</v>
      </c>
      <c r="D935" s="69">
        <v>4.5666666666666664</v>
      </c>
    </row>
    <row r="936" spans="1:4" x14ac:dyDescent="0.25">
      <c r="A936" t="s">
        <v>3418</v>
      </c>
      <c r="B936" t="s">
        <v>3419</v>
      </c>
      <c r="C936" t="s">
        <v>3879</v>
      </c>
      <c r="D936" s="69">
        <v>0.95795591787439616</v>
      </c>
    </row>
    <row r="937" spans="1:4" x14ac:dyDescent="0.25">
      <c r="A937" t="s">
        <v>3420</v>
      </c>
      <c r="B937" t="s">
        <v>3421</v>
      </c>
      <c r="C937" t="s">
        <v>3888</v>
      </c>
      <c r="D937" s="69">
        <v>9.8432971014492754</v>
      </c>
    </row>
    <row r="938" spans="1:4" x14ac:dyDescent="0.25">
      <c r="A938" t="s">
        <v>3422</v>
      </c>
      <c r="B938" t="s">
        <v>3423</v>
      </c>
      <c r="C938" t="s">
        <v>3906</v>
      </c>
      <c r="D938" s="69">
        <v>3.65</v>
      </c>
    </row>
    <row r="939" spans="1:4" x14ac:dyDescent="0.25">
      <c r="A939" t="s">
        <v>3424</v>
      </c>
      <c r="B939" t="s">
        <v>3425</v>
      </c>
      <c r="C939" t="s">
        <v>4203</v>
      </c>
      <c r="D939" s="69">
        <v>0.81499999999999995</v>
      </c>
    </row>
    <row r="940" spans="1:4" x14ac:dyDescent="0.25">
      <c r="A940" t="s">
        <v>3426</v>
      </c>
      <c r="B940" t="s">
        <v>3427</v>
      </c>
      <c r="C940" t="s">
        <v>4233</v>
      </c>
      <c r="D940" s="69">
        <v>3.6</v>
      </c>
    </row>
    <row r="941" spans="1:4" x14ac:dyDescent="0.25">
      <c r="A941" t="s">
        <v>3428</v>
      </c>
      <c r="B941" t="s">
        <v>3429</v>
      </c>
      <c r="C941" t="s">
        <v>3937</v>
      </c>
      <c r="D941" s="69">
        <v>3.5194444444444448</v>
      </c>
    </row>
    <row r="942" spans="1:4" x14ac:dyDescent="0.25">
      <c r="A942" t="s">
        <v>3430</v>
      </c>
      <c r="B942" t="s">
        <v>3431</v>
      </c>
      <c r="C942" t="s">
        <v>4013</v>
      </c>
      <c r="D942" s="69">
        <v>18.698809523809526</v>
      </c>
    </row>
    <row r="943" spans="1:4" x14ac:dyDescent="0.25">
      <c r="A943" t="s">
        <v>1217</v>
      </c>
      <c r="B943" t="s">
        <v>3432</v>
      </c>
      <c r="C943" t="s">
        <v>3976</v>
      </c>
      <c r="D943" s="69">
        <v>15.12</v>
      </c>
    </row>
    <row r="944" spans="1:4" x14ac:dyDescent="0.25">
      <c r="A944" t="s">
        <v>3433</v>
      </c>
      <c r="B944" t="s">
        <v>3434</v>
      </c>
      <c r="C944" t="s">
        <v>3888</v>
      </c>
      <c r="D944" s="69">
        <v>22.33</v>
      </c>
    </row>
    <row r="945" spans="1:4" x14ac:dyDescent="0.25">
      <c r="A945" t="s">
        <v>3435</v>
      </c>
      <c r="B945" t="s">
        <v>3436</v>
      </c>
      <c r="C945" t="s">
        <v>3882</v>
      </c>
      <c r="D945" s="69">
        <v>12.05</v>
      </c>
    </row>
    <row r="946" spans="1:4" x14ac:dyDescent="0.25">
      <c r="A946" t="s">
        <v>3437</v>
      </c>
      <c r="B946" t="s">
        <v>3438</v>
      </c>
      <c r="C946" t="s">
        <v>3914</v>
      </c>
      <c r="D946" s="69">
        <v>3.45</v>
      </c>
    </row>
    <row r="947" spans="1:4" x14ac:dyDescent="0.25">
      <c r="A947" t="s">
        <v>3439</v>
      </c>
      <c r="B947" t="s">
        <v>3440</v>
      </c>
      <c r="C947" t="s">
        <v>3886</v>
      </c>
      <c r="D947" s="69">
        <v>22.608695652173914</v>
      </c>
    </row>
    <row r="948" spans="1:4" x14ac:dyDescent="0.25">
      <c r="A948" t="s">
        <v>1228</v>
      </c>
      <c r="B948" t="s">
        <v>3441</v>
      </c>
      <c r="C948" t="s">
        <v>4234</v>
      </c>
      <c r="D948" s="69">
        <v>4.9800000000000004</v>
      </c>
    </row>
    <row r="949" spans="1:4" x14ac:dyDescent="0.25">
      <c r="A949" t="s">
        <v>3442</v>
      </c>
      <c r="B949" t="s">
        <v>3443</v>
      </c>
      <c r="C949" t="s">
        <v>3881</v>
      </c>
      <c r="D949" s="69">
        <v>0.42554347826086963</v>
      </c>
    </row>
    <row r="950" spans="1:4" x14ac:dyDescent="0.25">
      <c r="A950" t="s">
        <v>1818</v>
      </c>
      <c r="B950" t="s">
        <v>3444</v>
      </c>
      <c r="C950" t="s">
        <v>3910</v>
      </c>
      <c r="D950" s="69">
        <v>12.37</v>
      </c>
    </row>
    <row r="951" spans="1:4" x14ac:dyDescent="0.25">
      <c r="A951" t="s">
        <v>3445</v>
      </c>
      <c r="B951" t="s">
        <v>3446</v>
      </c>
      <c r="C951" t="s">
        <v>4013</v>
      </c>
      <c r="D951" s="69">
        <v>17.515311010825755</v>
      </c>
    </row>
    <row r="952" spans="1:4" x14ac:dyDescent="0.25">
      <c r="A952" t="s">
        <v>3447</v>
      </c>
      <c r="B952" t="s">
        <v>3448</v>
      </c>
      <c r="C952" t="s">
        <v>4014</v>
      </c>
      <c r="D952" s="69">
        <v>6.1127079047917281</v>
      </c>
    </row>
    <row r="953" spans="1:4" x14ac:dyDescent="0.25">
      <c r="A953" t="s">
        <v>3449</v>
      </c>
      <c r="B953" t="s">
        <v>3450</v>
      </c>
      <c r="C953" t="s">
        <v>3980</v>
      </c>
      <c r="D953" s="69">
        <v>1.4</v>
      </c>
    </row>
    <row r="954" spans="1:4" x14ac:dyDescent="0.25">
      <c r="A954" t="s">
        <v>3451</v>
      </c>
      <c r="B954" t="s">
        <v>3452</v>
      </c>
      <c r="C954" t="s">
        <v>4235</v>
      </c>
      <c r="D954" s="69">
        <v>4.5</v>
      </c>
    </row>
    <row r="955" spans="1:4" x14ac:dyDescent="0.25">
      <c r="A955" t="s">
        <v>3453</v>
      </c>
      <c r="B955" t="s">
        <v>3454</v>
      </c>
      <c r="C955" t="s">
        <v>4236</v>
      </c>
      <c r="D955" s="69">
        <v>6.4</v>
      </c>
    </row>
    <row r="956" spans="1:4" x14ac:dyDescent="0.25">
      <c r="A956" t="s">
        <v>3455</v>
      </c>
      <c r="B956" t="s">
        <v>3456</v>
      </c>
      <c r="C956" t="s">
        <v>4237</v>
      </c>
      <c r="D956" s="69">
        <v>78.56</v>
      </c>
    </row>
    <row r="957" spans="1:4" x14ac:dyDescent="0.25">
      <c r="A957" t="s">
        <v>3457</v>
      </c>
      <c r="B957" t="s">
        <v>3458</v>
      </c>
      <c r="C957" t="s">
        <v>3976</v>
      </c>
      <c r="D957" s="69">
        <v>20.81</v>
      </c>
    </row>
    <row r="958" spans="1:4" x14ac:dyDescent="0.25">
      <c r="A958" t="s">
        <v>1177</v>
      </c>
      <c r="B958" t="s">
        <v>3459</v>
      </c>
      <c r="C958" t="s">
        <v>4111</v>
      </c>
      <c r="D958" s="69">
        <v>8.9565217391304355</v>
      </c>
    </row>
    <row r="959" spans="1:4" x14ac:dyDescent="0.25">
      <c r="A959" t="s">
        <v>3460</v>
      </c>
      <c r="B959" t="s">
        <v>3461</v>
      </c>
      <c r="C959" t="s">
        <v>3902</v>
      </c>
      <c r="D959" s="69">
        <v>3.3767361111111112</v>
      </c>
    </row>
    <row r="960" spans="1:4" x14ac:dyDescent="0.25">
      <c r="A960" t="s">
        <v>3462</v>
      </c>
      <c r="B960" t="s">
        <v>3463</v>
      </c>
      <c r="C960" t="s">
        <v>4238</v>
      </c>
      <c r="D960" s="69">
        <v>5.3</v>
      </c>
    </row>
    <row r="961" spans="1:4" x14ac:dyDescent="0.25">
      <c r="A961" t="s">
        <v>3464</v>
      </c>
      <c r="B961" t="s">
        <v>3465</v>
      </c>
      <c r="C961" t="s">
        <v>4125</v>
      </c>
      <c r="D961" s="69">
        <v>8.5166666666666657</v>
      </c>
    </row>
    <row r="962" spans="1:4" x14ac:dyDescent="0.25">
      <c r="A962" t="s">
        <v>3466</v>
      </c>
      <c r="B962" t="s">
        <v>3341</v>
      </c>
      <c r="C962" t="s">
        <v>3945</v>
      </c>
      <c r="D962" s="69">
        <v>9.2826434470261816</v>
      </c>
    </row>
    <row r="963" spans="1:4" x14ac:dyDescent="0.25">
      <c r="A963" t="s">
        <v>3467</v>
      </c>
      <c r="B963" t="s">
        <v>3468</v>
      </c>
      <c r="C963" t="s">
        <v>3881</v>
      </c>
      <c r="D963" s="69">
        <v>0.83921023097027592</v>
      </c>
    </row>
    <row r="964" spans="1:4" x14ac:dyDescent="0.25">
      <c r="A964" t="s">
        <v>3469</v>
      </c>
      <c r="B964" t="s">
        <v>3470</v>
      </c>
      <c r="C964" t="s">
        <v>4239</v>
      </c>
      <c r="D964" s="69">
        <v>0.33249999999999996</v>
      </c>
    </row>
    <row r="965" spans="1:4" x14ac:dyDescent="0.25">
      <c r="A965" t="s">
        <v>3471</v>
      </c>
      <c r="B965" t="s">
        <v>3472</v>
      </c>
      <c r="C965" t="s">
        <v>3881</v>
      </c>
      <c r="D965" s="69">
        <v>2.3333333333333335</v>
      </c>
    </row>
    <row r="966" spans="1:4" x14ac:dyDescent="0.25">
      <c r="A966" t="s">
        <v>1266</v>
      </c>
      <c r="B966" t="s">
        <v>3473</v>
      </c>
      <c r="C966" t="s">
        <v>3914</v>
      </c>
      <c r="D966" s="69">
        <v>3.9755434782608701</v>
      </c>
    </row>
    <row r="967" spans="1:4" x14ac:dyDescent="0.25">
      <c r="A967" t="s">
        <v>3474</v>
      </c>
      <c r="B967" t="s">
        <v>3475</v>
      </c>
      <c r="C967" t="s">
        <v>3888</v>
      </c>
      <c r="D967" s="69">
        <v>2.5633333333333335</v>
      </c>
    </row>
    <row r="968" spans="1:4" x14ac:dyDescent="0.25">
      <c r="A968" t="s">
        <v>3476</v>
      </c>
      <c r="B968" t="s">
        <v>3477</v>
      </c>
      <c r="C968" t="s">
        <v>4092</v>
      </c>
      <c r="D968" s="69">
        <v>0.63</v>
      </c>
    </row>
    <row r="969" spans="1:4" x14ac:dyDescent="0.25">
      <c r="A969" t="s">
        <v>3478</v>
      </c>
      <c r="B969" t="s">
        <v>3479</v>
      </c>
      <c r="C969" t="s">
        <v>4240</v>
      </c>
      <c r="D969" s="69">
        <v>31</v>
      </c>
    </row>
    <row r="970" spans="1:4" x14ac:dyDescent="0.25">
      <c r="A970" t="s">
        <v>3480</v>
      </c>
      <c r="B970" t="s">
        <v>3481</v>
      </c>
      <c r="C970" t="s">
        <v>4150</v>
      </c>
      <c r="D970" s="69">
        <v>4.9390096618357493</v>
      </c>
    </row>
    <row r="971" spans="1:4" x14ac:dyDescent="0.25">
      <c r="A971" t="s">
        <v>3482</v>
      </c>
      <c r="B971" t="s">
        <v>3483</v>
      </c>
      <c r="C971" t="s">
        <v>3995</v>
      </c>
      <c r="D971" s="69">
        <v>4</v>
      </c>
    </row>
    <row r="972" spans="1:4" x14ac:dyDescent="0.25">
      <c r="A972" t="s">
        <v>1151</v>
      </c>
      <c r="B972" t="s">
        <v>3484</v>
      </c>
      <c r="C972" t="s">
        <v>3955</v>
      </c>
      <c r="D972" s="69">
        <v>7.7300000000000013</v>
      </c>
    </row>
    <row r="973" spans="1:4" x14ac:dyDescent="0.25">
      <c r="A973" t="s">
        <v>3485</v>
      </c>
      <c r="B973" t="s">
        <v>3486</v>
      </c>
      <c r="C973" t="s">
        <v>4241</v>
      </c>
      <c r="D973" s="69">
        <v>9.5</v>
      </c>
    </row>
    <row r="974" spans="1:4" x14ac:dyDescent="0.25">
      <c r="A974" t="s">
        <v>3487</v>
      </c>
      <c r="B974" t="s">
        <v>3488</v>
      </c>
      <c r="C974" t="s">
        <v>3884</v>
      </c>
      <c r="D974" s="69">
        <v>18.75</v>
      </c>
    </row>
    <row r="975" spans="1:4" x14ac:dyDescent="0.25">
      <c r="A975" t="s">
        <v>3489</v>
      </c>
      <c r="B975" t="s">
        <v>3490</v>
      </c>
      <c r="C975" t="s">
        <v>4242</v>
      </c>
      <c r="D975" s="69">
        <v>20.82</v>
      </c>
    </row>
    <row r="976" spans="1:4" x14ac:dyDescent="0.25">
      <c r="A976" t="s">
        <v>1169</v>
      </c>
      <c r="B976" t="s">
        <v>3491</v>
      </c>
      <c r="C976" t="s">
        <v>4243</v>
      </c>
      <c r="D976" s="69">
        <v>6</v>
      </c>
    </row>
    <row r="977" spans="1:4" x14ac:dyDescent="0.25">
      <c r="A977" t="s">
        <v>3492</v>
      </c>
      <c r="B977" t="s">
        <v>3493</v>
      </c>
      <c r="C977" t="s">
        <v>3906</v>
      </c>
      <c r="D977" s="69">
        <v>6.7</v>
      </c>
    </row>
    <row r="978" spans="1:4" x14ac:dyDescent="0.25">
      <c r="A978" t="s">
        <v>1811</v>
      </c>
      <c r="B978" t="s">
        <v>3494</v>
      </c>
      <c r="C978" t="s">
        <v>4244</v>
      </c>
      <c r="D978" s="69">
        <v>31</v>
      </c>
    </row>
    <row r="979" spans="1:4" x14ac:dyDescent="0.25">
      <c r="A979" t="s">
        <v>3495</v>
      </c>
      <c r="B979" t="s">
        <v>3496</v>
      </c>
      <c r="C979" t="s">
        <v>3920</v>
      </c>
      <c r="D979" s="69">
        <v>4.5</v>
      </c>
    </row>
    <row r="980" spans="1:4" x14ac:dyDescent="0.25">
      <c r="A980" t="s">
        <v>3497</v>
      </c>
      <c r="B980" t="s">
        <v>3498</v>
      </c>
      <c r="C980" t="s">
        <v>4140</v>
      </c>
      <c r="D980" s="69">
        <v>14.559782608695654</v>
      </c>
    </row>
    <row r="981" spans="1:4" x14ac:dyDescent="0.25">
      <c r="A981" t="s">
        <v>3499</v>
      </c>
      <c r="B981" t="s">
        <v>3500</v>
      </c>
      <c r="C981" t="s">
        <v>3931</v>
      </c>
      <c r="D981" s="69">
        <v>3.48</v>
      </c>
    </row>
    <row r="982" spans="1:4" x14ac:dyDescent="0.25">
      <c r="A982" t="s">
        <v>3501</v>
      </c>
      <c r="B982" t="s">
        <v>3502</v>
      </c>
      <c r="C982" t="s">
        <v>3932</v>
      </c>
      <c r="D982" s="69">
        <v>10.24</v>
      </c>
    </row>
    <row r="983" spans="1:4" x14ac:dyDescent="0.25">
      <c r="A983" t="s">
        <v>3503</v>
      </c>
      <c r="B983" t="s">
        <v>3504</v>
      </c>
      <c r="C983" t="s">
        <v>3888</v>
      </c>
      <c r="D983" s="69">
        <v>4.9916666666666663</v>
      </c>
    </row>
    <row r="984" spans="1:4" x14ac:dyDescent="0.25">
      <c r="A984" t="s">
        <v>3505</v>
      </c>
      <c r="B984" t="s">
        <v>3506</v>
      </c>
      <c r="C984" t="s">
        <v>3988</v>
      </c>
      <c r="D984" s="69">
        <v>5.5136363636363637</v>
      </c>
    </row>
    <row r="985" spans="1:4" x14ac:dyDescent="0.25">
      <c r="A985" t="s">
        <v>3507</v>
      </c>
      <c r="B985" t="s">
        <v>3508</v>
      </c>
      <c r="C985" t="s">
        <v>4032</v>
      </c>
      <c r="D985" s="69">
        <v>1.23</v>
      </c>
    </row>
    <row r="986" spans="1:4" x14ac:dyDescent="0.25">
      <c r="A986" t="s">
        <v>3509</v>
      </c>
      <c r="B986" t="s">
        <v>3510</v>
      </c>
      <c r="C986" t="s">
        <v>4064</v>
      </c>
      <c r="D986" s="69">
        <v>36.9</v>
      </c>
    </row>
    <row r="987" spans="1:4" x14ac:dyDescent="0.25">
      <c r="A987" t="s">
        <v>3511</v>
      </c>
      <c r="B987" t="s">
        <v>3512</v>
      </c>
      <c r="C987" t="s">
        <v>3888</v>
      </c>
      <c r="D987" s="69">
        <v>7.916666666666667</v>
      </c>
    </row>
    <row r="988" spans="1:4" x14ac:dyDescent="0.25">
      <c r="A988" t="s">
        <v>1798</v>
      </c>
      <c r="B988" t="s">
        <v>3513</v>
      </c>
      <c r="C988" t="s">
        <v>3938</v>
      </c>
      <c r="D988" s="69">
        <v>8.5</v>
      </c>
    </row>
    <row r="989" spans="1:4" x14ac:dyDescent="0.25">
      <c r="A989" t="s">
        <v>1297</v>
      </c>
      <c r="B989" t="s">
        <v>3514</v>
      </c>
      <c r="C989" t="s">
        <v>4072</v>
      </c>
      <c r="D989" s="69">
        <v>14.192307692307692</v>
      </c>
    </row>
    <row r="990" spans="1:4" x14ac:dyDescent="0.25">
      <c r="A990" t="s">
        <v>3515</v>
      </c>
      <c r="B990" t="s">
        <v>3516</v>
      </c>
      <c r="C990" t="s">
        <v>3889</v>
      </c>
      <c r="D990" s="69">
        <v>7.8999999999999995</v>
      </c>
    </row>
    <row r="991" spans="1:4" x14ac:dyDescent="0.25">
      <c r="A991" t="s">
        <v>3517</v>
      </c>
      <c r="B991" t="s">
        <v>3518</v>
      </c>
      <c r="C991" t="s">
        <v>4245</v>
      </c>
      <c r="D991" s="69">
        <v>3.2983333333333333</v>
      </c>
    </row>
    <row r="992" spans="1:4" x14ac:dyDescent="0.25">
      <c r="A992" t="s">
        <v>3519</v>
      </c>
      <c r="B992" t="s">
        <v>3520</v>
      </c>
      <c r="C992" t="s">
        <v>4246</v>
      </c>
      <c r="D992" s="69">
        <v>1.085</v>
      </c>
    </row>
    <row r="993" spans="1:4" x14ac:dyDescent="0.25">
      <c r="A993" t="s">
        <v>3521</v>
      </c>
      <c r="B993" t="s">
        <v>3522</v>
      </c>
      <c r="C993" t="s">
        <v>3995</v>
      </c>
      <c r="D993" s="69">
        <v>6.4764492753623202</v>
      </c>
    </row>
    <row r="994" spans="1:4" x14ac:dyDescent="0.25">
      <c r="A994" t="s">
        <v>92</v>
      </c>
      <c r="B994" t="s">
        <v>93</v>
      </c>
      <c r="C994" t="s">
        <v>3884</v>
      </c>
      <c r="D994" s="69">
        <v>7.4653992537313423</v>
      </c>
    </row>
    <row r="995" spans="1:4" x14ac:dyDescent="0.25">
      <c r="A995" t="s">
        <v>3523</v>
      </c>
      <c r="B995" t="s">
        <v>3524</v>
      </c>
      <c r="C995" t="s">
        <v>4247</v>
      </c>
      <c r="D995" s="69">
        <v>16.925000000000001</v>
      </c>
    </row>
    <row r="996" spans="1:4" x14ac:dyDescent="0.25">
      <c r="A996" t="s">
        <v>3525</v>
      </c>
      <c r="B996" t="s">
        <v>3526</v>
      </c>
      <c r="C996" t="s">
        <v>3954</v>
      </c>
      <c r="D996" s="69">
        <v>20.5</v>
      </c>
    </row>
    <row r="997" spans="1:4" x14ac:dyDescent="0.25">
      <c r="A997" t="s">
        <v>1781</v>
      </c>
      <c r="B997" t="s">
        <v>3527</v>
      </c>
      <c r="C997" t="s">
        <v>4248</v>
      </c>
      <c r="D997" s="69">
        <v>5.8</v>
      </c>
    </row>
    <row r="998" spans="1:4" x14ac:dyDescent="0.25">
      <c r="A998" t="s">
        <v>3528</v>
      </c>
      <c r="B998" t="s">
        <v>3529</v>
      </c>
      <c r="C998" t="s">
        <v>3888</v>
      </c>
      <c r="D998" s="69">
        <v>2.5766666666666671</v>
      </c>
    </row>
    <row r="999" spans="1:4" x14ac:dyDescent="0.25">
      <c r="A999" t="s">
        <v>3530</v>
      </c>
      <c r="B999" t="s">
        <v>3531</v>
      </c>
      <c r="C999" t="s">
        <v>4076</v>
      </c>
      <c r="D999" s="69">
        <v>0.72798913043478275</v>
      </c>
    </row>
    <row r="1000" spans="1:4" x14ac:dyDescent="0.25">
      <c r="A1000" t="s">
        <v>1799</v>
      </c>
      <c r="B1000" t="s">
        <v>3532</v>
      </c>
      <c r="C1000" t="s">
        <v>4072</v>
      </c>
      <c r="D1000" s="69">
        <v>16.208333333333332</v>
      </c>
    </row>
    <row r="1001" spans="1:4" x14ac:dyDescent="0.25">
      <c r="A1001" t="s">
        <v>3533</v>
      </c>
      <c r="B1001" t="s">
        <v>3534</v>
      </c>
      <c r="C1001" t="s">
        <v>4249</v>
      </c>
      <c r="D1001" s="69">
        <v>15.13</v>
      </c>
    </row>
    <row r="1002" spans="1:4" x14ac:dyDescent="0.25">
      <c r="A1002" t="s">
        <v>3535</v>
      </c>
      <c r="B1002" t="s">
        <v>3536</v>
      </c>
      <c r="C1002" t="s">
        <v>3888</v>
      </c>
      <c r="D1002" s="69">
        <v>5.916666666666667</v>
      </c>
    </row>
    <row r="1003" spans="1:4" x14ac:dyDescent="0.25">
      <c r="A1003" t="s">
        <v>1825</v>
      </c>
      <c r="B1003" t="s">
        <v>3537</v>
      </c>
      <c r="C1003" t="s">
        <v>3902</v>
      </c>
      <c r="D1003" s="69">
        <v>2.5099999999999998</v>
      </c>
    </row>
    <row r="1004" spans="1:4" x14ac:dyDescent="0.25">
      <c r="A1004" t="s">
        <v>3538</v>
      </c>
      <c r="B1004" t="s">
        <v>3539</v>
      </c>
      <c r="C1004" t="s">
        <v>3881</v>
      </c>
      <c r="D1004" s="69">
        <v>1.55</v>
      </c>
    </row>
    <row r="1005" spans="1:4" x14ac:dyDescent="0.25">
      <c r="A1005" t="s">
        <v>3540</v>
      </c>
      <c r="B1005" t="s">
        <v>3541</v>
      </c>
      <c r="C1005" t="s">
        <v>4250</v>
      </c>
      <c r="D1005" s="69">
        <v>10.8</v>
      </c>
    </row>
    <row r="1006" spans="1:4" x14ac:dyDescent="0.25">
      <c r="A1006" t="s">
        <v>3542</v>
      </c>
      <c r="B1006" t="s">
        <v>3543</v>
      </c>
      <c r="C1006" t="s">
        <v>3943</v>
      </c>
      <c r="D1006" s="69">
        <v>3.2016666666666667</v>
      </c>
    </row>
    <row r="1007" spans="1:4" x14ac:dyDescent="0.25">
      <c r="A1007" t="s">
        <v>3544</v>
      </c>
      <c r="B1007" t="s">
        <v>3545</v>
      </c>
      <c r="C1007" t="s">
        <v>3881</v>
      </c>
      <c r="D1007" s="69">
        <v>2</v>
      </c>
    </row>
    <row r="1008" spans="1:4" x14ac:dyDescent="0.25">
      <c r="A1008" t="s">
        <v>3546</v>
      </c>
      <c r="B1008" t="s">
        <v>3547</v>
      </c>
      <c r="C1008" t="s">
        <v>4064</v>
      </c>
      <c r="D1008" s="69">
        <v>12.100000000000001</v>
      </c>
    </row>
    <row r="1009" spans="1:4" x14ac:dyDescent="0.25">
      <c r="A1009" t="s">
        <v>3548</v>
      </c>
      <c r="B1009" t="s">
        <v>3549</v>
      </c>
      <c r="C1009" t="s">
        <v>4251</v>
      </c>
      <c r="D1009" s="69">
        <v>23</v>
      </c>
    </row>
    <row r="1010" spans="1:4" x14ac:dyDescent="0.25">
      <c r="A1010" t="s">
        <v>1199</v>
      </c>
      <c r="B1010" t="s">
        <v>3550</v>
      </c>
      <c r="C1010" t="s">
        <v>4252</v>
      </c>
      <c r="D1010" s="69">
        <v>10.96</v>
      </c>
    </row>
    <row r="1011" spans="1:4" x14ac:dyDescent="0.25">
      <c r="A1011" t="s">
        <v>3551</v>
      </c>
      <c r="B1011" t="s">
        <v>3552</v>
      </c>
      <c r="C1011" t="s">
        <v>4253</v>
      </c>
      <c r="D1011" s="69">
        <v>11.38</v>
      </c>
    </row>
    <row r="1012" spans="1:4" x14ac:dyDescent="0.25">
      <c r="A1012" t="s">
        <v>3553</v>
      </c>
      <c r="B1012" t="s">
        <v>3554</v>
      </c>
      <c r="C1012" t="s">
        <v>4007</v>
      </c>
      <c r="D1012" s="69">
        <v>1.2922222222222224</v>
      </c>
    </row>
    <row r="1013" spans="1:4" x14ac:dyDescent="0.25">
      <c r="A1013" t="s">
        <v>1283</v>
      </c>
      <c r="B1013" t="s">
        <v>3555</v>
      </c>
      <c r="C1013" t="s">
        <v>3968</v>
      </c>
      <c r="D1013" s="69">
        <v>11</v>
      </c>
    </row>
    <row r="1014" spans="1:4" x14ac:dyDescent="0.25">
      <c r="A1014" t="s">
        <v>1262</v>
      </c>
      <c r="B1014" t="s">
        <v>3556</v>
      </c>
      <c r="C1014" t="s">
        <v>4254</v>
      </c>
      <c r="D1014" s="69">
        <v>5</v>
      </c>
    </row>
    <row r="1015" spans="1:4" x14ac:dyDescent="0.25">
      <c r="A1015" t="s">
        <v>1849</v>
      </c>
      <c r="B1015" t="s">
        <v>3557</v>
      </c>
      <c r="C1015" t="s">
        <v>4255</v>
      </c>
      <c r="D1015" s="69">
        <v>23.94</v>
      </c>
    </row>
    <row r="1016" spans="1:4" x14ac:dyDescent="0.25">
      <c r="A1016" t="s">
        <v>3558</v>
      </c>
      <c r="B1016" t="s">
        <v>3559</v>
      </c>
      <c r="C1016" t="s">
        <v>3931</v>
      </c>
      <c r="D1016" s="69">
        <v>2.6249916030045317</v>
      </c>
    </row>
    <row r="1017" spans="1:4" x14ac:dyDescent="0.25">
      <c r="A1017" t="s">
        <v>1780</v>
      </c>
      <c r="B1017" t="s">
        <v>3560</v>
      </c>
      <c r="C1017" t="s">
        <v>4072</v>
      </c>
      <c r="D1017" s="69">
        <v>14.192307692307692</v>
      </c>
    </row>
    <row r="1018" spans="1:4" x14ac:dyDescent="0.25">
      <c r="A1018" t="s">
        <v>3561</v>
      </c>
      <c r="B1018" t="s">
        <v>3562</v>
      </c>
      <c r="C1018" t="s">
        <v>3995</v>
      </c>
      <c r="D1018" s="69">
        <v>3.2208333333333332</v>
      </c>
    </row>
    <row r="1019" spans="1:4" x14ac:dyDescent="0.25">
      <c r="A1019" t="s">
        <v>3563</v>
      </c>
      <c r="B1019" t="s">
        <v>3564</v>
      </c>
      <c r="C1019" t="s">
        <v>3885</v>
      </c>
      <c r="D1019" s="69">
        <v>0.35</v>
      </c>
    </row>
    <row r="1020" spans="1:4" x14ac:dyDescent="0.25">
      <c r="A1020" t="s">
        <v>1248</v>
      </c>
      <c r="B1020" t="s">
        <v>3565</v>
      </c>
      <c r="C1020" t="s">
        <v>4150</v>
      </c>
      <c r="D1020" s="69">
        <v>9.2868357487922708</v>
      </c>
    </row>
    <row r="1021" spans="1:4" x14ac:dyDescent="0.25">
      <c r="A1021" t="s">
        <v>1281</v>
      </c>
      <c r="B1021" t="s">
        <v>3566</v>
      </c>
      <c r="C1021" t="s">
        <v>3968</v>
      </c>
      <c r="D1021" s="69">
        <v>7.8000000000000007</v>
      </c>
    </row>
    <row r="1022" spans="1:4" x14ac:dyDescent="0.25">
      <c r="A1022" t="s">
        <v>3567</v>
      </c>
      <c r="B1022" t="s">
        <v>3568</v>
      </c>
      <c r="C1022" t="s">
        <v>4256</v>
      </c>
      <c r="D1022" s="69">
        <v>4.9800000000000004</v>
      </c>
    </row>
    <row r="1023" spans="1:4" x14ac:dyDescent="0.25">
      <c r="A1023" t="s">
        <v>3569</v>
      </c>
      <c r="B1023" t="s">
        <v>3570</v>
      </c>
      <c r="C1023" t="s">
        <v>3929</v>
      </c>
      <c r="D1023" s="69">
        <v>6.5</v>
      </c>
    </row>
    <row r="1024" spans="1:4" x14ac:dyDescent="0.25">
      <c r="A1024" t="s">
        <v>3571</v>
      </c>
      <c r="B1024" t="s">
        <v>3572</v>
      </c>
      <c r="C1024" t="s">
        <v>3995</v>
      </c>
      <c r="D1024" s="69">
        <v>6.4764492753623202</v>
      </c>
    </row>
    <row r="1025" spans="1:4" x14ac:dyDescent="0.25">
      <c r="A1025" t="s">
        <v>445</v>
      </c>
      <c r="B1025" t="s">
        <v>589</v>
      </c>
      <c r="C1025" t="s">
        <v>3884</v>
      </c>
      <c r="D1025" s="69">
        <v>6.8</v>
      </c>
    </row>
    <row r="1026" spans="1:4" x14ac:dyDescent="0.25">
      <c r="A1026" t="s">
        <v>1171</v>
      </c>
      <c r="B1026" t="s">
        <v>3573</v>
      </c>
      <c r="C1026" t="s">
        <v>4257</v>
      </c>
      <c r="D1026" s="69">
        <v>13.043478260869566</v>
      </c>
    </row>
    <row r="1027" spans="1:4" x14ac:dyDescent="0.25">
      <c r="A1027" t="s">
        <v>3574</v>
      </c>
      <c r="B1027" t="s">
        <v>3575</v>
      </c>
      <c r="C1027" t="s">
        <v>4258</v>
      </c>
      <c r="D1027" s="69">
        <v>16.925000000000001</v>
      </c>
    </row>
    <row r="1028" spans="1:4" x14ac:dyDescent="0.25">
      <c r="A1028" t="s">
        <v>3576</v>
      </c>
      <c r="B1028" t="s">
        <v>3577</v>
      </c>
      <c r="C1028" t="s">
        <v>3884</v>
      </c>
      <c r="D1028" s="69">
        <v>19.5</v>
      </c>
    </row>
    <row r="1029" spans="1:4" x14ac:dyDescent="0.25">
      <c r="A1029" t="s">
        <v>3578</v>
      </c>
      <c r="B1029" t="s">
        <v>3579</v>
      </c>
      <c r="C1029" t="s">
        <v>3885</v>
      </c>
      <c r="D1029" s="69">
        <v>0.46902269330476398</v>
      </c>
    </row>
    <row r="1030" spans="1:4" x14ac:dyDescent="0.25">
      <c r="A1030" t="s">
        <v>3580</v>
      </c>
      <c r="B1030" t="s">
        <v>3581</v>
      </c>
      <c r="C1030" t="s">
        <v>4008</v>
      </c>
      <c r="D1030" s="69">
        <v>0.98763133162832406</v>
      </c>
    </row>
    <row r="1031" spans="1:4" x14ac:dyDescent="0.25">
      <c r="A1031" t="s">
        <v>3582</v>
      </c>
      <c r="B1031" t="s">
        <v>3583</v>
      </c>
      <c r="C1031" t="s">
        <v>4259</v>
      </c>
      <c r="D1031" s="69">
        <v>83.06</v>
      </c>
    </row>
    <row r="1032" spans="1:4" x14ac:dyDescent="0.25">
      <c r="A1032" t="s">
        <v>3584</v>
      </c>
      <c r="B1032" t="s">
        <v>3585</v>
      </c>
      <c r="C1032" t="s">
        <v>3953</v>
      </c>
      <c r="D1032" s="69">
        <v>9.0833333333333339</v>
      </c>
    </row>
    <row r="1033" spans="1:4" x14ac:dyDescent="0.25">
      <c r="A1033" t="s">
        <v>3586</v>
      </c>
      <c r="B1033" t="s">
        <v>3587</v>
      </c>
      <c r="C1033" t="s">
        <v>3950</v>
      </c>
      <c r="D1033" s="69">
        <v>3.1312500000000001</v>
      </c>
    </row>
    <row r="1034" spans="1:4" x14ac:dyDescent="0.25">
      <c r="A1034" t="s">
        <v>3588</v>
      </c>
      <c r="B1034" t="s">
        <v>3589</v>
      </c>
      <c r="C1034" t="s">
        <v>4158</v>
      </c>
      <c r="D1034" s="69">
        <v>15.12361111111111</v>
      </c>
    </row>
    <row r="1035" spans="1:4" x14ac:dyDescent="0.25">
      <c r="A1035" t="s">
        <v>1830</v>
      </c>
      <c r="B1035" t="s">
        <v>3459</v>
      </c>
      <c r="C1035" t="s">
        <v>4111</v>
      </c>
      <c r="D1035" s="69">
        <v>8.9565217391304355</v>
      </c>
    </row>
    <row r="1036" spans="1:4" x14ac:dyDescent="0.25">
      <c r="A1036" t="s">
        <v>1815</v>
      </c>
      <c r="B1036" t="s">
        <v>3590</v>
      </c>
      <c r="C1036" t="s">
        <v>3958</v>
      </c>
      <c r="D1036" s="69">
        <v>3.8524999999999996</v>
      </c>
    </row>
    <row r="1037" spans="1:4" x14ac:dyDescent="0.25">
      <c r="A1037" t="s">
        <v>3591</v>
      </c>
      <c r="B1037" t="s">
        <v>3592</v>
      </c>
      <c r="C1037" t="s">
        <v>4174</v>
      </c>
      <c r="D1037" s="69">
        <v>25.29</v>
      </c>
    </row>
    <row r="1038" spans="1:4" x14ac:dyDescent="0.25">
      <c r="A1038" t="s">
        <v>3593</v>
      </c>
      <c r="B1038" t="s">
        <v>3594</v>
      </c>
      <c r="C1038" t="s">
        <v>3888</v>
      </c>
      <c r="D1038" s="69">
        <v>7.4</v>
      </c>
    </row>
    <row r="1039" spans="1:4" x14ac:dyDescent="0.25">
      <c r="A1039" t="s">
        <v>3595</v>
      </c>
      <c r="B1039" t="s">
        <v>3596</v>
      </c>
      <c r="C1039" t="s">
        <v>3888</v>
      </c>
      <c r="D1039" s="69">
        <v>5.3250000000000002</v>
      </c>
    </row>
    <row r="1040" spans="1:4" x14ac:dyDescent="0.25">
      <c r="A1040" t="s">
        <v>1268</v>
      </c>
      <c r="B1040" t="s">
        <v>3597</v>
      </c>
      <c r="C1040" t="s">
        <v>4174</v>
      </c>
      <c r="D1040" s="69">
        <v>15.90217391304348</v>
      </c>
    </row>
    <row r="1041" spans="1:4" x14ac:dyDescent="0.25">
      <c r="A1041" t="s">
        <v>3598</v>
      </c>
      <c r="B1041" t="s">
        <v>3599</v>
      </c>
      <c r="C1041" t="s">
        <v>3959</v>
      </c>
      <c r="D1041" s="69">
        <v>1.125</v>
      </c>
    </row>
    <row r="1042" spans="1:4" x14ac:dyDescent="0.25">
      <c r="A1042" t="s">
        <v>3600</v>
      </c>
      <c r="B1042" t="s">
        <v>3601</v>
      </c>
      <c r="C1042" t="s">
        <v>3888</v>
      </c>
      <c r="D1042" s="69">
        <v>1.4183333333333332</v>
      </c>
    </row>
    <row r="1043" spans="1:4" x14ac:dyDescent="0.25">
      <c r="A1043" t="s">
        <v>3602</v>
      </c>
      <c r="B1043" t="s">
        <v>3603</v>
      </c>
      <c r="C1043" t="s">
        <v>4260</v>
      </c>
      <c r="D1043" s="69">
        <v>4.1500000000000004</v>
      </c>
    </row>
    <row r="1044" spans="1:4" x14ac:dyDescent="0.25">
      <c r="A1044" t="s">
        <v>3604</v>
      </c>
      <c r="B1044" t="s">
        <v>3605</v>
      </c>
      <c r="C1044" t="s">
        <v>4158</v>
      </c>
      <c r="D1044" s="69">
        <v>19.163611111111109</v>
      </c>
    </row>
    <row r="1045" spans="1:4" x14ac:dyDescent="0.25">
      <c r="A1045" t="s">
        <v>3606</v>
      </c>
      <c r="B1045" t="s">
        <v>3607</v>
      </c>
      <c r="C1045" t="s">
        <v>3955</v>
      </c>
      <c r="D1045" s="69">
        <v>4.8899999999999988</v>
      </c>
    </row>
    <row r="1046" spans="1:4" x14ac:dyDescent="0.25">
      <c r="A1046" t="s">
        <v>3608</v>
      </c>
      <c r="B1046" t="s">
        <v>3609</v>
      </c>
      <c r="C1046" t="s">
        <v>3963</v>
      </c>
      <c r="D1046" s="69">
        <v>12.883333333333335</v>
      </c>
    </row>
    <row r="1047" spans="1:4" x14ac:dyDescent="0.25">
      <c r="A1047" t="s">
        <v>1795</v>
      </c>
      <c r="B1047" t="s">
        <v>3610</v>
      </c>
      <c r="C1047" t="s">
        <v>4261</v>
      </c>
      <c r="D1047" s="69">
        <v>6.88</v>
      </c>
    </row>
    <row r="1048" spans="1:4" x14ac:dyDescent="0.25">
      <c r="A1048" t="s">
        <v>3611</v>
      </c>
      <c r="B1048" t="s">
        <v>3612</v>
      </c>
      <c r="C1048" t="s">
        <v>3988</v>
      </c>
      <c r="D1048" s="69">
        <v>21.9</v>
      </c>
    </row>
    <row r="1049" spans="1:4" x14ac:dyDescent="0.25">
      <c r="A1049" t="s">
        <v>3613</v>
      </c>
      <c r="B1049" t="s">
        <v>3614</v>
      </c>
      <c r="C1049" t="s">
        <v>4031</v>
      </c>
      <c r="D1049" s="69">
        <v>0.55999999999999994</v>
      </c>
    </row>
    <row r="1050" spans="1:4" x14ac:dyDescent="0.25">
      <c r="A1050" t="s">
        <v>3615</v>
      </c>
      <c r="B1050" t="s">
        <v>3616</v>
      </c>
      <c r="C1050" t="s">
        <v>4229</v>
      </c>
      <c r="D1050" s="69">
        <v>1.55</v>
      </c>
    </row>
    <row r="1051" spans="1:4" x14ac:dyDescent="0.25">
      <c r="A1051" t="s">
        <v>3617</v>
      </c>
      <c r="B1051" t="s">
        <v>3618</v>
      </c>
      <c r="C1051" t="s">
        <v>4012</v>
      </c>
      <c r="D1051" s="69">
        <v>0.58750000000000002</v>
      </c>
    </row>
    <row r="1052" spans="1:4" x14ac:dyDescent="0.25">
      <c r="A1052" t="s">
        <v>1779</v>
      </c>
      <c r="B1052" t="s">
        <v>3619</v>
      </c>
      <c r="C1052" t="s">
        <v>4072</v>
      </c>
      <c r="D1052" s="69">
        <v>20.192307692307693</v>
      </c>
    </row>
    <row r="1053" spans="1:4" x14ac:dyDescent="0.25">
      <c r="A1053" t="s">
        <v>3620</v>
      </c>
      <c r="B1053" t="s">
        <v>3621</v>
      </c>
      <c r="C1053" t="s">
        <v>4262</v>
      </c>
      <c r="D1053" s="69">
        <v>6.47</v>
      </c>
    </row>
    <row r="1054" spans="1:4" x14ac:dyDescent="0.25">
      <c r="A1054" t="s">
        <v>3622</v>
      </c>
      <c r="B1054" t="s">
        <v>3623</v>
      </c>
      <c r="C1054" t="s">
        <v>4134</v>
      </c>
      <c r="D1054" s="69">
        <v>1.1625000000000001</v>
      </c>
    </row>
    <row r="1055" spans="1:4" x14ac:dyDescent="0.25">
      <c r="A1055" t="s">
        <v>3624</v>
      </c>
      <c r="B1055" t="s">
        <v>3625</v>
      </c>
      <c r="C1055" t="s">
        <v>3881</v>
      </c>
      <c r="D1055" s="69">
        <v>1.1108695652173912</v>
      </c>
    </row>
    <row r="1056" spans="1:4" x14ac:dyDescent="0.25">
      <c r="A1056" t="s">
        <v>3626</v>
      </c>
      <c r="B1056" t="s">
        <v>3627</v>
      </c>
      <c r="C1056" t="s">
        <v>3958</v>
      </c>
      <c r="D1056" s="69">
        <v>14.999999999999998</v>
      </c>
    </row>
    <row r="1057" spans="1:4" x14ac:dyDescent="0.25">
      <c r="A1057" t="s">
        <v>3628</v>
      </c>
      <c r="B1057" t="s">
        <v>3629</v>
      </c>
      <c r="C1057" t="s">
        <v>4077</v>
      </c>
      <c r="D1057" s="69">
        <v>33.178571428571431</v>
      </c>
    </row>
    <row r="1058" spans="1:4" x14ac:dyDescent="0.25">
      <c r="A1058" t="s">
        <v>3630</v>
      </c>
      <c r="B1058" t="s">
        <v>3631</v>
      </c>
      <c r="C1058" t="s">
        <v>4263</v>
      </c>
      <c r="D1058" s="69">
        <v>14</v>
      </c>
    </row>
    <row r="1059" spans="1:4" x14ac:dyDescent="0.25">
      <c r="A1059" t="s">
        <v>3632</v>
      </c>
      <c r="B1059" t="s">
        <v>3633</v>
      </c>
      <c r="C1059" t="s">
        <v>4072</v>
      </c>
      <c r="D1059" s="69">
        <v>14.19230769230769</v>
      </c>
    </row>
    <row r="1060" spans="1:4" x14ac:dyDescent="0.25">
      <c r="A1060" t="s">
        <v>3634</v>
      </c>
      <c r="B1060" t="s">
        <v>3635</v>
      </c>
      <c r="C1060" t="s">
        <v>3914</v>
      </c>
      <c r="D1060" s="69">
        <v>8.6521739130434785</v>
      </c>
    </row>
    <row r="1061" spans="1:4" x14ac:dyDescent="0.25">
      <c r="A1061" t="s">
        <v>1807</v>
      </c>
      <c r="B1061" t="s">
        <v>3636</v>
      </c>
      <c r="C1061" t="s">
        <v>4264</v>
      </c>
      <c r="D1061" s="69">
        <v>4.6500000000000004</v>
      </c>
    </row>
    <row r="1062" spans="1:4" x14ac:dyDescent="0.25">
      <c r="A1062" t="s">
        <v>1264</v>
      </c>
      <c r="B1062" t="s">
        <v>3637</v>
      </c>
      <c r="C1062" t="s">
        <v>3983</v>
      </c>
      <c r="D1062" s="69">
        <v>9.0209257028112457</v>
      </c>
    </row>
    <row r="1063" spans="1:4" x14ac:dyDescent="0.25">
      <c r="A1063" t="s">
        <v>3638</v>
      </c>
      <c r="B1063" t="s">
        <v>3639</v>
      </c>
      <c r="C1063" t="s">
        <v>4265</v>
      </c>
      <c r="D1063" s="69">
        <v>16</v>
      </c>
    </row>
    <row r="1064" spans="1:4" x14ac:dyDescent="0.25">
      <c r="A1064" t="s">
        <v>3640</v>
      </c>
      <c r="B1064" t="s">
        <v>3641</v>
      </c>
      <c r="C1064" t="s">
        <v>3917</v>
      </c>
      <c r="D1064" s="69">
        <v>16.585000000000001</v>
      </c>
    </row>
    <row r="1065" spans="1:4" x14ac:dyDescent="0.25">
      <c r="A1065" t="s">
        <v>3642</v>
      </c>
      <c r="B1065" t="s">
        <v>3643</v>
      </c>
      <c r="C1065" t="s">
        <v>3955</v>
      </c>
      <c r="D1065" s="69">
        <v>4.8899999999999997</v>
      </c>
    </row>
    <row r="1066" spans="1:4" x14ac:dyDescent="0.25">
      <c r="A1066" t="s">
        <v>3644</v>
      </c>
      <c r="B1066" t="s">
        <v>3645</v>
      </c>
      <c r="C1066" t="s">
        <v>4266</v>
      </c>
      <c r="D1066" s="69">
        <v>36</v>
      </c>
    </row>
    <row r="1067" spans="1:4" x14ac:dyDescent="0.25">
      <c r="A1067" t="s">
        <v>1845</v>
      </c>
      <c r="B1067" t="s">
        <v>3646</v>
      </c>
      <c r="C1067" t="s">
        <v>4267</v>
      </c>
      <c r="D1067" s="69">
        <v>4.5</v>
      </c>
    </row>
    <row r="1068" spans="1:4" x14ac:dyDescent="0.25">
      <c r="A1068" t="s">
        <v>3647</v>
      </c>
      <c r="B1068" t="s">
        <v>3648</v>
      </c>
      <c r="C1068" t="s">
        <v>4268</v>
      </c>
      <c r="D1068" s="69">
        <v>16.747826086956525</v>
      </c>
    </row>
    <row r="1069" spans="1:4" x14ac:dyDescent="0.25">
      <c r="A1069" t="s">
        <v>3649</v>
      </c>
      <c r="B1069" t="s">
        <v>3650</v>
      </c>
      <c r="C1069" t="s">
        <v>4269</v>
      </c>
      <c r="D1069" s="69">
        <v>14.22</v>
      </c>
    </row>
    <row r="1070" spans="1:4" x14ac:dyDescent="0.25">
      <c r="A1070" t="s">
        <v>3651</v>
      </c>
      <c r="B1070" t="s">
        <v>3652</v>
      </c>
      <c r="C1070" t="s">
        <v>3927</v>
      </c>
      <c r="D1070" s="69">
        <v>12.6</v>
      </c>
    </row>
    <row r="1071" spans="1:4" x14ac:dyDescent="0.25">
      <c r="A1071" t="s">
        <v>3653</v>
      </c>
      <c r="B1071" t="s">
        <v>3654</v>
      </c>
      <c r="C1071" t="s">
        <v>4270</v>
      </c>
      <c r="D1071" s="69">
        <v>37.58</v>
      </c>
    </row>
    <row r="1072" spans="1:4" x14ac:dyDescent="0.25">
      <c r="A1072" t="s">
        <v>3655</v>
      </c>
      <c r="B1072" t="s">
        <v>3656</v>
      </c>
      <c r="C1072" t="s">
        <v>3876</v>
      </c>
      <c r="D1072" s="69">
        <v>1.41</v>
      </c>
    </row>
    <row r="1073" spans="1:4" x14ac:dyDescent="0.25">
      <c r="A1073" t="s">
        <v>1256</v>
      </c>
      <c r="B1073" t="s">
        <v>3657</v>
      </c>
      <c r="C1073" t="s">
        <v>4252</v>
      </c>
      <c r="D1073" s="69">
        <v>15.42</v>
      </c>
    </row>
    <row r="1074" spans="1:4" x14ac:dyDescent="0.25">
      <c r="A1074" t="s">
        <v>3658</v>
      </c>
      <c r="B1074" t="s">
        <v>3659</v>
      </c>
      <c r="C1074" t="s">
        <v>4271</v>
      </c>
      <c r="D1074" s="69">
        <v>19.41</v>
      </c>
    </row>
    <row r="1075" spans="1:4" x14ac:dyDescent="0.25">
      <c r="A1075" t="s">
        <v>3660</v>
      </c>
      <c r="B1075" t="s">
        <v>3661</v>
      </c>
      <c r="C1075" t="s">
        <v>3906</v>
      </c>
      <c r="D1075" s="69">
        <v>12.79</v>
      </c>
    </row>
    <row r="1076" spans="1:4" x14ac:dyDescent="0.25">
      <c r="A1076" t="s">
        <v>3662</v>
      </c>
      <c r="B1076" t="s">
        <v>3663</v>
      </c>
      <c r="C1076" t="s">
        <v>3885</v>
      </c>
      <c r="D1076" s="69">
        <v>1.35</v>
      </c>
    </row>
    <row r="1077" spans="1:4" x14ac:dyDescent="0.25">
      <c r="A1077" t="s">
        <v>3664</v>
      </c>
      <c r="B1077" t="s">
        <v>3665</v>
      </c>
      <c r="C1077" t="s">
        <v>4064</v>
      </c>
      <c r="D1077" s="69">
        <v>35.5</v>
      </c>
    </row>
    <row r="1078" spans="1:4" x14ac:dyDescent="0.25">
      <c r="A1078" t="s">
        <v>3666</v>
      </c>
      <c r="B1078" t="s">
        <v>3667</v>
      </c>
      <c r="C1078" t="s">
        <v>4023</v>
      </c>
      <c r="D1078" s="69">
        <v>8.0434782608695663</v>
      </c>
    </row>
    <row r="1079" spans="1:4" x14ac:dyDescent="0.25">
      <c r="A1079" t="s">
        <v>3668</v>
      </c>
      <c r="B1079" t="s">
        <v>3669</v>
      </c>
      <c r="C1079" t="s">
        <v>3885</v>
      </c>
      <c r="D1079" s="69">
        <v>0.79500000000000015</v>
      </c>
    </row>
    <row r="1080" spans="1:4" x14ac:dyDescent="0.25">
      <c r="A1080" t="s">
        <v>3670</v>
      </c>
      <c r="B1080" t="s">
        <v>3671</v>
      </c>
      <c r="C1080" t="s">
        <v>3955</v>
      </c>
      <c r="D1080" s="69">
        <v>4.8899999999999997</v>
      </c>
    </row>
    <row r="1081" spans="1:4" x14ac:dyDescent="0.25">
      <c r="A1081" t="s">
        <v>1820</v>
      </c>
      <c r="B1081" t="s">
        <v>3672</v>
      </c>
      <c r="C1081" t="s">
        <v>3914</v>
      </c>
      <c r="D1081" s="69">
        <v>3.9755434782608701</v>
      </c>
    </row>
    <row r="1082" spans="1:4" x14ac:dyDescent="0.25">
      <c r="A1082" t="s">
        <v>3673</v>
      </c>
      <c r="B1082" t="s">
        <v>3674</v>
      </c>
      <c r="C1082" t="s">
        <v>3913</v>
      </c>
      <c r="D1082" s="69">
        <v>7.2666666666666675</v>
      </c>
    </row>
    <row r="1083" spans="1:4" x14ac:dyDescent="0.25">
      <c r="A1083" t="s">
        <v>1797</v>
      </c>
      <c r="B1083" t="s">
        <v>3675</v>
      </c>
      <c r="C1083" t="s">
        <v>3957</v>
      </c>
      <c r="D1083" s="69">
        <v>3.9925000000000002</v>
      </c>
    </row>
    <row r="1084" spans="1:4" x14ac:dyDescent="0.25">
      <c r="A1084" t="s">
        <v>3676</v>
      </c>
      <c r="B1084" t="s">
        <v>3677</v>
      </c>
      <c r="C1084" t="s">
        <v>3983</v>
      </c>
      <c r="D1084" s="69">
        <v>67</v>
      </c>
    </row>
    <row r="1085" spans="1:4" x14ac:dyDescent="0.25">
      <c r="A1085" t="s">
        <v>1185</v>
      </c>
      <c r="B1085" t="s">
        <v>3678</v>
      </c>
      <c r="C1085" t="s">
        <v>3906</v>
      </c>
      <c r="D1085" s="69">
        <v>25.178571428571431</v>
      </c>
    </row>
    <row r="1086" spans="1:4" x14ac:dyDescent="0.25">
      <c r="A1086" t="s">
        <v>3679</v>
      </c>
      <c r="B1086" t="s">
        <v>3680</v>
      </c>
      <c r="C1086" t="s">
        <v>3881</v>
      </c>
      <c r="D1086" s="69">
        <v>1.8175647474911476</v>
      </c>
    </row>
    <row r="1087" spans="1:4" x14ac:dyDescent="0.25">
      <c r="A1087" t="s">
        <v>1792</v>
      </c>
      <c r="B1087" t="s">
        <v>3681</v>
      </c>
      <c r="C1087" t="s">
        <v>4272</v>
      </c>
      <c r="D1087" s="69">
        <v>12.15625</v>
      </c>
    </row>
    <row r="1088" spans="1:4" x14ac:dyDescent="0.25">
      <c r="A1088" t="s">
        <v>3682</v>
      </c>
      <c r="B1088" t="s">
        <v>3683</v>
      </c>
      <c r="C1088" t="s">
        <v>3980</v>
      </c>
      <c r="D1088" s="69">
        <v>0.25</v>
      </c>
    </row>
    <row r="1089" spans="1:4" x14ac:dyDescent="0.25">
      <c r="A1089" t="s">
        <v>3684</v>
      </c>
      <c r="B1089" t="s">
        <v>3685</v>
      </c>
      <c r="C1089" t="s">
        <v>3931</v>
      </c>
      <c r="D1089" s="69">
        <v>4</v>
      </c>
    </row>
    <row r="1090" spans="1:4" x14ac:dyDescent="0.25">
      <c r="A1090" t="s">
        <v>3686</v>
      </c>
      <c r="B1090" t="s">
        <v>3687</v>
      </c>
      <c r="C1090" t="s">
        <v>3889</v>
      </c>
      <c r="D1090" s="69">
        <v>7.9833333333333334</v>
      </c>
    </row>
    <row r="1091" spans="1:4" x14ac:dyDescent="0.25">
      <c r="A1091" t="s">
        <v>1822</v>
      </c>
      <c r="B1091" t="s">
        <v>3688</v>
      </c>
      <c r="C1091" t="s">
        <v>4028</v>
      </c>
      <c r="D1091" s="69">
        <v>7.7356249999999998</v>
      </c>
    </row>
    <row r="1092" spans="1:4" x14ac:dyDescent="0.25">
      <c r="A1092" t="s">
        <v>1104</v>
      </c>
      <c r="B1092" t="s">
        <v>3689</v>
      </c>
      <c r="C1092" t="s">
        <v>4141</v>
      </c>
      <c r="D1092" s="69">
        <v>2.82</v>
      </c>
    </row>
    <row r="1093" spans="1:4" x14ac:dyDescent="0.25">
      <c r="A1093" t="s">
        <v>3690</v>
      </c>
      <c r="B1093" t="s">
        <v>3691</v>
      </c>
      <c r="C1093" t="s">
        <v>4273</v>
      </c>
      <c r="D1093" s="69">
        <v>24</v>
      </c>
    </row>
    <row r="1094" spans="1:4" x14ac:dyDescent="0.25">
      <c r="A1094" t="s">
        <v>3692</v>
      </c>
      <c r="B1094" t="s">
        <v>3693</v>
      </c>
      <c r="C1094" t="s">
        <v>4013</v>
      </c>
      <c r="D1094" s="69">
        <v>19.008809523809525</v>
      </c>
    </row>
    <row r="1095" spans="1:4" x14ac:dyDescent="0.25">
      <c r="A1095" t="s">
        <v>3694</v>
      </c>
      <c r="B1095" t="s">
        <v>3695</v>
      </c>
      <c r="C1095" t="s">
        <v>4038</v>
      </c>
      <c r="D1095" s="69">
        <v>13.188412698412698</v>
      </c>
    </row>
    <row r="1096" spans="1:4" x14ac:dyDescent="0.25">
      <c r="A1096" t="s">
        <v>1192</v>
      </c>
      <c r="B1096" t="s">
        <v>3696</v>
      </c>
      <c r="C1096" t="s">
        <v>3984</v>
      </c>
      <c r="D1096" s="69">
        <v>14</v>
      </c>
    </row>
    <row r="1097" spans="1:4" x14ac:dyDescent="0.25">
      <c r="A1097" t="s">
        <v>3697</v>
      </c>
      <c r="B1097" t="s">
        <v>3698</v>
      </c>
      <c r="C1097" t="s">
        <v>4174</v>
      </c>
      <c r="D1097" s="69">
        <v>20.5</v>
      </c>
    </row>
    <row r="1098" spans="1:4" x14ac:dyDescent="0.25">
      <c r="A1098" t="s">
        <v>3699</v>
      </c>
      <c r="B1098" t="s">
        <v>3700</v>
      </c>
      <c r="C1098" t="s">
        <v>4070</v>
      </c>
      <c r="D1098" s="69">
        <v>2.6420000000000003</v>
      </c>
    </row>
    <row r="1099" spans="1:4" x14ac:dyDescent="0.25">
      <c r="A1099" t="s">
        <v>3701</v>
      </c>
      <c r="B1099" t="s">
        <v>3702</v>
      </c>
      <c r="C1099" t="s">
        <v>3955</v>
      </c>
      <c r="D1099" s="69">
        <v>4.8899999999999997</v>
      </c>
    </row>
    <row r="1100" spans="1:4" x14ac:dyDescent="0.25">
      <c r="A1100" t="s">
        <v>3703</v>
      </c>
      <c r="B1100" t="s">
        <v>3704</v>
      </c>
      <c r="C1100" t="s">
        <v>3888</v>
      </c>
      <c r="D1100" s="69">
        <v>5.5</v>
      </c>
    </row>
    <row r="1101" spans="1:4" x14ac:dyDescent="0.25">
      <c r="A1101" t="s">
        <v>3705</v>
      </c>
      <c r="B1101" t="s">
        <v>3706</v>
      </c>
      <c r="C1101" t="s">
        <v>3888</v>
      </c>
      <c r="D1101" s="69">
        <v>4.9666666666666677</v>
      </c>
    </row>
    <row r="1102" spans="1:4" x14ac:dyDescent="0.25">
      <c r="A1102" t="s">
        <v>3707</v>
      </c>
      <c r="B1102" t="s">
        <v>3708</v>
      </c>
      <c r="C1102" t="s">
        <v>4274</v>
      </c>
      <c r="D1102" s="69">
        <v>16.48</v>
      </c>
    </row>
    <row r="1103" spans="1:4" x14ac:dyDescent="0.25">
      <c r="A1103" t="s">
        <v>3709</v>
      </c>
      <c r="B1103" t="s">
        <v>3710</v>
      </c>
      <c r="C1103" t="s">
        <v>4275</v>
      </c>
      <c r="D1103" s="69">
        <v>6</v>
      </c>
    </row>
    <row r="1104" spans="1:4" x14ac:dyDescent="0.25">
      <c r="A1104" t="s">
        <v>3711</v>
      </c>
      <c r="B1104" t="s">
        <v>3712</v>
      </c>
      <c r="C1104" t="s">
        <v>4276</v>
      </c>
      <c r="D1104" s="69">
        <v>1.3956521739130439</v>
      </c>
    </row>
    <row r="1105" spans="1:4" x14ac:dyDescent="0.25">
      <c r="A1105" t="s">
        <v>3713</v>
      </c>
      <c r="B1105" t="s">
        <v>3714</v>
      </c>
      <c r="C1105" t="s">
        <v>3943</v>
      </c>
      <c r="D1105" s="69">
        <v>4.2250000000000005</v>
      </c>
    </row>
    <row r="1106" spans="1:4" x14ac:dyDescent="0.25">
      <c r="A1106" t="s">
        <v>1196</v>
      </c>
      <c r="B1106" t="s">
        <v>3715</v>
      </c>
      <c r="C1106" t="s">
        <v>3983</v>
      </c>
      <c r="D1106" s="69">
        <v>3.65</v>
      </c>
    </row>
    <row r="1107" spans="1:4" x14ac:dyDescent="0.25">
      <c r="A1107" t="s">
        <v>996</v>
      </c>
      <c r="B1107" t="s">
        <v>997</v>
      </c>
      <c r="C1107" t="s">
        <v>3884</v>
      </c>
      <c r="D1107" s="69">
        <v>6.4</v>
      </c>
    </row>
    <row r="1108" spans="1:4" x14ac:dyDescent="0.25">
      <c r="A1108" t="s">
        <v>1788</v>
      </c>
      <c r="B1108" t="s">
        <v>3716</v>
      </c>
      <c r="C1108" t="s">
        <v>3957</v>
      </c>
      <c r="D1108" s="69">
        <v>3.6025</v>
      </c>
    </row>
    <row r="1109" spans="1:4" x14ac:dyDescent="0.25">
      <c r="A1109" t="s">
        <v>1309</v>
      </c>
      <c r="B1109" t="s">
        <v>1310</v>
      </c>
      <c r="C1109" t="s">
        <v>4252</v>
      </c>
      <c r="D1109" s="69">
        <v>13.63</v>
      </c>
    </row>
    <row r="1110" spans="1:4" x14ac:dyDescent="0.25">
      <c r="A1110" t="s">
        <v>3717</v>
      </c>
      <c r="B1110" t="s">
        <v>3718</v>
      </c>
      <c r="C1110" t="s">
        <v>3892</v>
      </c>
      <c r="D1110" s="69">
        <v>2.35</v>
      </c>
    </row>
    <row r="1111" spans="1:4" x14ac:dyDescent="0.25">
      <c r="A1111" t="s">
        <v>3719</v>
      </c>
      <c r="B1111" t="s">
        <v>3720</v>
      </c>
      <c r="C1111" t="s">
        <v>3902</v>
      </c>
      <c r="D1111" s="69">
        <v>1.73125</v>
      </c>
    </row>
    <row r="1112" spans="1:4" x14ac:dyDescent="0.25">
      <c r="A1112" t="s">
        <v>3721</v>
      </c>
      <c r="B1112" t="s">
        <v>3722</v>
      </c>
      <c r="C1112" t="s">
        <v>3884</v>
      </c>
      <c r="D1112" s="69">
        <v>4.9800000000000004</v>
      </c>
    </row>
    <row r="1113" spans="1:4" x14ac:dyDescent="0.25">
      <c r="A1113" t="s">
        <v>3723</v>
      </c>
      <c r="B1113" t="s">
        <v>3724</v>
      </c>
      <c r="C1113" t="s">
        <v>3888</v>
      </c>
      <c r="D1113" s="69">
        <v>4.2</v>
      </c>
    </row>
    <row r="1114" spans="1:4" x14ac:dyDescent="0.25">
      <c r="A1114" t="s">
        <v>3725</v>
      </c>
      <c r="B1114" t="s">
        <v>3726</v>
      </c>
      <c r="C1114" t="s">
        <v>4277</v>
      </c>
      <c r="D1114" s="69">
        <v>2.8584000000000001</v>
      </c>
    </row>
    <row r="1115" spans="1:4" x14ac:dyDescent="0.25">
      <c r="A1115" t="s">
        <v>3727</v>
      </c>
      <c r="B1115" t="s">
        <v>3728</v>
      </c>
      <c r="C1115" t="s">
        <v>3881</v>
      </c>
      <c r="D1115" s="69">
        <v>1.075</v>
      </c>
    </row>
    <row r="1116" spans="1:4" x14ac:dyDescent="0.25">
      <c r="A1116" t="s">
        <v>3729</v>
      </c>
      <c r="B1116" t="s">
        <v>3730</v>
      </c>
      <c r="C1116" t="s">
        <v>4278</v>
      </c>
      <c r="D1116" s="69">
        <v>4.3220211553465271</v>
      </c>
    </row>
    <row r="1117" spans="1:4" x14ac:dyDescent="0.25">
      <c r="A1117" t="s">
        <v>3731</v>
      </c>
      <c r="B1117" t="s">
        <v>3732</v>
      </c>
      <c r="C1117" t="s">
        <v>4013</v>
      </c>
      <c r="D1117" s="69">
        <v>20.396249999999998</v>
      </c>
    </row>
    <row r="1118" spans="1:4" x14ac:dyDescent="0.25">
      <c r="A1118" t="s">
        <v>3733</v>
      </c>
      <c r="B1118" t="s">
        <v>3734</v>
      </c>
      <c r="C1118" t="s">
        <v>3931</v>
      </c>
      <c r="D1118" s="69">
        <v>3.15</v>
      </c>
    </row>
    <row r="1119" spans="1:4" x14ac:dyDescent="0.25">
      <c r="A1119" t="s">
        <v>3735</v>
      </c>
      <c r="B1119" t="s">
        <v>3736</v>
      </c>
      <c r="C1119" t="s">
        <v>4252</v>
      </c>
      <c r="D1119" s="69">
        <v>10.36</v>
      </c>
    </row>
    <row r="1120" spans="1:4" x14ac:dyDescent="0.25">
      <c r="A1120" t="s">
        <v>3737</v>
      </c>
      <c r="B1120" t="s">
        <v>3738</v>
      </c>
      <c r="C1120" t="s">
        <v>4279</v>
      </c>
      <c r="D1120" s="69">
        <v>6.9533333333333331</v>
      </c>
    </row>
    <row r="1121" spans="1:4" x14ac:dyDescent="0.25">
      <c r="A1121" t="s">
        <v>1159</v>
      </c>
      <c r="B1121" t="s">
        <v>3739</v>
      </c>
      <c r="C1121" t="s">
        <v>3890</v>
      </c>
      <c r="D1121" s="69">
        <v>11.108695652173912</v>
      </c>
    </row>
    <row r="1122" spans="1:4" x14ac:dyDescent="0.25">
      <c r="A1122" t="s">
        <v>3740</v>
      </c>
      <c r="B1122" t="s">
        <v>3741</v>
      </c>
      <c r="C1122" t="s">
        <v>4280</v>
      </c>
      <c r="D1122" s="69">
        <v>5.6</v>
      </c>
    </row>
    <row r="1123" spans="1:4" x14ac:dyDescent="0.25">
      <c r="A1123" t="s">
        <v>3742</v>
      </c>
      <c r="B1123" t="s">
        <v>3743</v>
      </c>
      <c r="C1123" t="s">
        <v>4281</v>
      </c>
      <c r="D1123" s="69">
        <v>1.2333333333333334</v>
      </c>
    </row>
    <row r="1124" spans="1:4" x14ac:dyDescent="0.25">
      <c r="A1124" t="s">
        <v>1823</v>
      </c>
      <c r="B1124" t="s">
        <v>3744</v>
      </c>
      <c r="C1124" t="s">
        <v>3886</v>
      </c>
      <c r="D1124" s="69">
        <v>7.9500000000000011</v>
      </c>
    </row>
    <row r="1125" spans="1:4" x14ac:dyDescent="0.25">
      <c r="A1125" t="s">
        <v>1183</v>
      </c>
      <c r="B1125" t="s">
        <v>3745</v>
      </c>
      <c r="C1125" t="s">
        <v>3910</v>
      </c>
      <c r="D1125" s="69">
        <v>7.9746821958264382</v>
      </c>
    </row>
    <row r="1126" spans="1:4" x14ac:dyDescent="0.25">
      <c r="A1126" t="s">
        <v>1167</v>
      </c>
      <c r="B1126" t="s">
        <v>3746</v>
      </c>
      <c r="C1126" t="s">
        <v>4032</v>
      </c>
      <c r="D1126" s="69">
        <v>7.7533333333333339</v>
      </c>
    </row>
    <row r="1127" spans="1:4" x14ac:dyDescent="0.25">
      <c r="A1127" t="s">
        <v>3747</v>
      </c>
      <c r="B1127" t="s">
        <v>3748</v>
      </c>
      <c r="C1127" t="s">
        <v>4282</v>
      </c>
      <c r="D1127" s="69">
        <v>20.121376811594203</v>
      </c>
    </row>
    <row r="1128" spans="1:4" x14ac:dyDescent="0.25">
      <c r="A1128" t="s">
        <v>1230</v>
      </c>
      <c r="B1128" t="s">
        <v>3749</v>
      </c>
      <c r="C1128" t="s">
        <v>3875</v>
      </c>
      <c r="D1128" s="69">
        <v>10.391304347826088</v>
      </c>
    </row>
    <row r="1129" spans="1:4" x14ac:dyDescent="0.25">
      <c r="A1129" t="s">
        <v>3750</v>
      </c>
      <c r="B1129" t="s">
        <v>3751</v>
      </c>
      <c r="C1129" t="s">
        <v>3927</v>
      </c>
      <c r="D1129" s="69">
        <v>6.75</v>
      </c>
    </row>
    <row r="1130" spans="1:4" x14ac:dyDescent="0.25">
      <c r="A1130" t="s">
        <v>1842</v>
      </c>
      <c r="B1130" t="s">
        <v>3752</v>
      </c>
      <c r="C1130" t="s">
        <v>4104</v>
      </c>
      <c r="D1130" s="69">
        <v>11.723214285714286</v>
      </c>
    </row>
    <row r="1131" spans="1:4" x14ac:dyDescent="0.25">
      <c r="A1131" t="s">
        <v>1846</v>
      </c>
      <c r="B1131" t="s">
        <v>3753</v>
      </c>
      <c r="C1131" t="s">
        <v>4283</v>
      </c>
      <c r="D1131" s="69">
        <v>4.1928000000000001</v>
      </c>
    </row>
    <row r="1132" spans="1:4" x14ac:dyDescent="0.25">
      <c r="A1132" t="s">
        <v>3754</v>
      </c>
      <c r="B1132" t="s">
        <v>3755</v>
      </c>
      <c r="C1132" t="s">
        <v>4284</v>
      </c>
      <c r="D1132" s="69">
        <v>0.66666666666666663</v>
      </c>
    </row>
    <row r="1133" spans="1:4" x14ac:dyDescent="0.25">
      <c r="A1133" t="s">
        <v>3756</v>
      </c>
      <c r="B1133" t="s">
        <v>3757</v>
      </c>
      <c r="C1133" t="s">
        <v>4285</v>
      </c>
      <c r="D1133" s="69">
        <v>3.25</v>
      </c>
    </row>
    <row r="1134" spans="1:4" x14ac:dyDescent="0.25">
      <c r="A1134" t="s">
        <v>3758</v>
      </c>
      <c r="B1134" t="s">
        <v>3759</v>
      </c>
      <c r="C1134" t="s">
        <v>3881</v>
      </c>
      <c r="D1134" s="69">
        <v>1.3263192132415285</v>
      </c>
    </row>
    <row r="1135" spans="1:4" x14ac:dyDescent="0.25">
      <c r="A1135" t="s">
        <v>1791</v>
      </c>
      <c r="B1135" t="s">
        <v>3760</v>
      </c>
      <c r="C1135" t="s">
        <v>4286</v>
      </c>
      <c r="D1135" s="69">
        <v>7</v>
      </c>
    </row>
    <row r="1136" spans="1:4" x14ac:dyDescent="0.25">
      <c r="A1136" t="s">
        <v>3761</v>
      </c>
      <c r="B1136" t="s">
        <v>3762</v>
      </c>
      <c r="C1136" t="s">
        <v>3943</v>
      </c>
      <c r="D1136" s="69">
        <v>5.25</v>
      </c>
    </row>
    <row r="1137" spans="1:4" x14ac:dyDescent="0.25">
      <c r="A1137" t="s">
        <v>3763</v>
      </c>
      <c r="B1137" t="s">
        <v>3764</v>
      </c>
      <c r="C1137" t="s">
        <v>4020</v>
      </c>
      <c r="D1137" s="69">
        <v>9.0500000000000007</v>
      </c>
    </row>
    <row r="1138" spans="1:4" x14ac:dyDescent="0.25">
      <c r="A1138" t="s">
        <v>1275</v>
      </c>
      <c r="B1138" t="s">
        <v>3765</v>
      </c>
      <c r="C1138" t="s">
        <v>3914</v>
      </c>
      <c r="D1138" s="69">
        <v>5.2</v>
      </c>
    </row>
    <row r="1139" spans="1:4" x14ac:dyDescent="0.25">
      <c r="A1139" t="s">
        <v>3766</v>
      </c>
      <c r="B1139" t="s">
        <v>3767</v>
      </c>
      <c r="C1139" t="s">
        <v>4013</v>
      </c>
      <c r="D1139" s="69">
        <v>18.698809523809526</v>
      </c>
    </row>
    <row r="1140" spans="1:4" x14ac:dyDescent="0.25">
      <c r="A1140" t="s">
        <v>1242</v>
      </c>
      <c r="B1140" t="s">
        <v>1243</v>
      </c>
      <c r="C1140" t="s">
        <v>4287</v>
      </c>
      <c r="D1140" s="69">
        <v>7.430450360020517</v>
      </c>
    </row>
    <row r="1141" spans="1:4" x14ac:dyDescent="0.25">
      <c r="A1141" t="s">
        <v>3768</v>
      </c>
      <c r="B1141" t="s">
        <v>3769</v>
      </c>
      <c r="C1141" t="s">
        <v>4288</v>
      </c>
      <c r="D1141" s="69">
        <v>28.036249999999999</v>
      </c>
    </row>
    <row r="1142" spans="1:4" x14ac:dyDescent="0.25">
      <c r="A1142" t="s">
        <v>3770</v>
      </c>
      <c r="B1142" t="s">
        <v>3771</v>
      </c>
      <c r="C1142" t="s">
        <v>3889</v>
      </c>
      <c r="D1142" s="69">
        <v>7</v>
      </c>
    </row>
    <row r="1143" spans="1:4" x14ac:dyDescent="0.25">
      <c r="A1143" t="s">
        <v>3772</v>
      </c>
      <c r="B1143" t="s">
        <v>3773</v>
      </c>
      <c r="C1143" t="s">
        <v>4289</v>
      </c>
      <c r="D1143" s="69">
        <v>3.25</v>
      </c>
    </row>
    <row r="1144" spans="1:4" x14ac:dyDescent="0.25">
      <c r="A1144" t="s">
        <v>3774</v>
      </c>
      <c r="B1144" t="s">
        <v>3775</v>
      </c>
      <c r="C1144" t="s">
        <v>3931</v>
      </c>
      <c r="D1144" s="69">
        <v>2.6500000000000008</v>
      </c>
    </row>
    <row r="1145" spans="1:4" x14ac:dyDescent="0.25">
      <c r="A1145" t="s">
        <v>3776</v>
      </c>
      <c r="B1145" t="s">
        <v>3777</v>
      </c>
      <c r="C1145" t="s">
        <v>3954</v>
      </c>
      <c r="D1145" s="69">
        <v>84.95</v>
      </c>
    </row>
    <row r="1146" spans="1:4" x14ac:dyDescent="0.25">
      <c r="A1146" t="s">
        <v>3778</v>
      </c>
      <c r="B1146" t="s">
        <v>3779</v>
      </c>
      <c r="C1146" t="s">
        <v>3902</v>
      </c>
      <c r="D1146" s="69">
        <v>2.1047986725663717</v>
      </c>
    </row>
    <row r="1147" spans="1:4" x14ac:dyDescent="0.25">
      <c r="A1147" t="s">
        <v>3780</v>
      </c>
      <c r="B1147" t="s">
        <v>3781</v>
      </c>
      <c r="C1147" t="s">
        <v>3958</v>
      </c>
      <c r="D1147" s="69">
        <v>7.6000000000000005</v>
      </c>
    </row>
    <row r="1148" spans="1:4" x14ac:dyDescent="0.25">
      <c r="A1148" t="s">
        <v>1806</v>
      </c>
      <c r="B1148" t="s">
        <v>3782</v>
      </c>
      <c r="C1148" t="s">
        <v>3963</v>
      </c>
      <c r="D1148" s="69">
        <v>12.648506860371267</v>
      </c>
    </row>
    <row r="1149" spans="1:4" x14ac:dyDescent="0.25">
      <c r="A1149" t="s">
        <v>3783</v>
      </c>
      <c r="B1149" t="s">
        <v>3784</v>
      </c>
      <c r="C1149" t="s">
        <v>3888</v>
      </c>
      <c r="D1149" s="69">
        <v>3.9650000000000003</v>
      </c>
    </row>
    <row r="1150" spans="1:4" x14ac:dyDescent="0.25">
      <c r="A1150" t="s">
        <v>3785</v>
      </c>
      <c r="B1150" t="s">
        <v>3786</v>
      </c>
      <c r="C1150" t="s">
        <v>3914</v>
      </c>
      <c r="D1150" s="69">
        <v>3.9</v>
      </c>
    </row>
    <row r="1151" spans="1:4" x14ac:dyDescent="0.25">
      <c r="A1151" t="s">
        <v>1147</v>
      </c>
      <c r="B1151" t="s">
        <v>3787</v>
      </c>
      <c r="C1151" t="s">
        <v>3938</v>
      </c>
      <c r="D1151" s="69">
        <v>3.5557169779427809</v>
      </c>
    </row>
    <row r="1152" spans="1:4" x14ac:dyDescent="0.25">
      <c r="A1152" t="s">
        <v>3788</v>
      </c>
      <c r="B1152" t="s">
        <v>3789</v>
      </c>
      <c r="C1152" t="s">
        <v>4290</v>
      </c>
      <c r="D1152" s="69">
        <v>7.4</v>
      </c>
    </row>
    <row r="1153" spans="1:4" x14ac:dyDescent="0.25">
      <c r="A1153" t="s">
        <v>1124</v>
      </c>
      <c r="B1153" t="s">
        <v>3790</v>
      </c>
      <c r="C1153" t="s">
        <v>4087</v>
      </c>
      <c r="D1153" s="69">
        <v>358.97824786893005</v>
      </c>
    </row>
    <row r="1154" spans="1:4" x14ac:dyDescent="0.25">
      <c r="A1154" t="s">
        <v>3791</v>
      </c>
      <c r="B1154" t="s">
        <v>3792</v>
      </c>
      <c r="C1154" t="s">
        <v>3908</v>
      </c>
      <c r="D1154" s="69">
        <v>0.38055555555555554</v>
      </c>
    </row>
    <row r="1155" spans="1:4" x14ac:dyDescent="0.25">
      <c r="A1155" t="s">
        <v>3793</v>
      </c>
      <c r="B1155" t="s">
        <v>3794</v>
      </c>
      <c r="C1155" t="s">
        <v>4134</v>
      </c>
      <c r="D1155" s="69">
        <v>1.6</v>
      </c>
    </row>
    <row r="1156" spans="1:4" x14ac:dyDescent="0.25">
      <c r="A1156" t="s">
        <v>3795</v>
      </c>
      <c r="B1156" t="s">
        <v>3796</v>
      </c>
      <c r="C1156" t="s">
        <v>4005</v>
      </c>
      <c r="D1156" s="69">
        <v>2.3820880094506793</v>
      </c>
    </row>
    <row r="1157" spans="1:4" x14ac:dyDescent="0.25">
      <c r="A1157" t="s">
        <v>3797</v>
      </c>
      <c r="B1157" t="s">
        <v>3798</v>
      </c>
      <c r="C1157" t="s">
        <v>4291</v>
      </c>
      <c r="D1157" s="69">
        <v>4.2088888888888896</v>
      </c>
    </row>
    <row r="1158" spans="1:4" x14ac:dyDescent="0.25">
      <c r="A1158" t="s">
        <v>3799</v>
      </c>
      <c r="B1158" t="s">
        <v>3800</v>
      </c>
      <c r="C1158" t="s">
        <v>3904</v>
      </c>
      <c r="D1158" s="69">
        <v>7</v>
      </c>
    </row>
    <row r="1159" spans="1:4" x14ac:dyDescent="0.25">
      <c r="A1159" t="s">
        <v>1790</v>
      </c>
      <c r="B1159" t="s">
        <v>3801</v>
      </c>
      <c r="C1159" t="s">
        <v>4292</v>
      </c>
      <c r="D1159" s="69">
        <v>10</v>
      </c>
    </row>
    <row r="1160" spans="1:4" x14ac:dyDescent="0.25">
      <c r="A1160" t="s">
        <v>3802</v>
      </c>
      <c r="B1160" t="s">
        <v>3803</v>
      </c>
      <c r="C1160" t="s">
        <v>4014</v>
      </c>
      <c r="D1160" s="69">
        <v>5.8675141242937858</v>
      </c>
    </row>
    <row r="1161" spans="1:4" x14ac:dyDescent="0.25">
      <c r="A1161" t="s">
        <v>3804</v>
      </c>
      <c r="B1161" t="s">
        <v>3805</v>
      </c>
      <c r="C1161" t="s">
        <v>3888</v>
      </c>
      <c r="D1161" s="69">
        <v>2.5299999999999998</v>
      </c>
    </row>
    <row r="1162" spans="1:4" x14ac:dyDescent="0.25">
      <c r="A1162" t="s">
        <v>3806</v>
      </c>
      <c r="B1162" t="s">
        <v>3807</v>
      </c>
      <c r="C1162" t="s">
        <v>4222</v>
      </c>
      <c r="D1162" s="69">
        <v>6.0885999999999996</v>
      </c>
    </row>
    <row r="1163" spans="1:4" x14ac:dyDescent="0.25">
      <c r="A1163" t="s">
        <v>1123</v>
      </c>
      <c r="B1163" t="s">
        <v>3808</v>
      </c>
      <c r="C1163" t="s">
        <v>4087</v>
      </c>
      <c r="D1163" s="69">
        <v>358.97824786893005</v>
      </c>
    </row>
    <row r="1164" spans="1:4" x14ac:dyDescent="0.25">
      <c r="A1164" t="s">
        <v>3809</v>
      </c>
      <c r="B1164" t="s">
        <v>3810</v>
      </c>
      <c r="C1164" t="s">
        <v>3957</v>
      </c>
      <c r="D1164" s="69">
        <v>2.8025000000000002</v>
      </c>
    </row>
    <row r="1165" spans="1:4" x14ac:dyDescent="0.25">
      <c r="A1165" t="s">
        <v>3811</v>
      </c>
      <c r="B1165" t="s">
        <v>3812</v>
      </c>
      <c r="C1165" t="s">
        <v>4229</v>
      </c>
      <c r="D1165" s="69">
        <v>1.6</v>
      </c>
    </row>
    <row r="1166" spans="1:4" x14ac:dyDescent="0.25">
      <c r="A1166" t="s">
        <v>1303</v>
      </c>
      <c r="B1166" t="s">
        <v>1304</v>
      </c>
      <c r="C1166" t="s">
        <v>4274</v>
      </c>
      <c r="D1166" s="69">
        <v>14.91</v>
      </c>
    </row>
    <row r="1167" spans="1:4" x14ac:dyDescent="0.25">
      <c r="A1167" t="s">
        <v>1236</v>
      </c>
      <c r="B1167" t="s">
        <v>3813</v>
      </c>
      <c r="C1167" t="s">
        <v>3983</v>
      </c>
      <c r="D1167" s="69">
        <v>31.739130434782613</v>
      </c>
    </row>
    <row r="1168" spans="1:4" x14ac:dyDescent="0.25">
      <c r="A1168" t="s">
        <v>3814</v>
      </c>
      <c r="B1168" t="s">
        <v>3450</v>
      </c>
      <c r="C1168" t="s">
        <v>3980</v>
      </c>
      <c r="D1168" s="69">
        <v>1.4</v>
      </c>
    </row>
    <row r="1169" spans="1:4" x14ac:dyDescent="0.25">
      <c r="A1169" t="s">
        <v>3815</v>
      </c>
      <c r="B1169" t="s">
        <v>3816</v>
      </c>
      <c r="C1169" t="s">
        <v>3874</v>
      </c>
      <c r="D1169" s="69">
        <v>14.1</v>
      </c>
    </row>
    <row r="1170" spans="1:4" x14ac:dyDescent="0.25">
      <c r="A1170" t="s">
        <v>3817</v>
      </c>
      <c r="B1170" t="s">
        <v>3818</v>
      </c>
      <c r="C1170" t="s">
        <v>3957</v>
      </c>
      <c r="D1170" s="69">
        <v>2.98</v>
      </c>
    </row>
    <row r="1171" spans="1:4" x14ac:dyDescent="0.25">
      <c r="A1171" t="s">
        <v>3819</v>
      </c>
      <c r="B1171" t="s">
        <v>3820</v>
      </c>
      <c r="C1171" t="s">
        <v>3876</v>
      </c>
      <c r="D1171" s="69">
        <v>0.54166666666666663</v>
      </c>
    </row>
    <row r="1172" spans="1:4" x14ac:dyDescent="0.25">
      <c r="A1172" t="s">
        <v>3821</v>
      </c>
      <c r="B1172" t="s">
        <v>3822</v>
      </c>
      <c r="C1172" t="s">
        <v>4162</v>
      </c>
      <c r="D1172" s="69">
        <v>6.72</v>
      </c>
    </row>
    <row r="1173" spans="1:4" x14ac:dyDescent="0.25">
      <c r="A1173" t="s">
        <v>3823</v>
      </c>
      <c r="B1173" t="s">
        <v>3824</v>
      </c>
      <c r="C1173" t="s">
        <v>4095</v>
      </c>
      <c r="D1173" s="69">
        <v>0.65000000000000013</v>
      </c>
    </row>
    <row r="1174" spans="1:4" x14ac:dyDescent="0.25">
      <c r="A1174" t="s">
        <v>3825</v>
      </c>
      <c r="B1174" t="s">
        <v>3826</v>
      </c>
      <c r="C1174" t="s">
        <v>4282</v>
      </c>
      <c r="D1174" s="69">
        <v>23.164855072463766</v>
      </c>
    </row>
    <row r="1175" spans="1:4" x14ac:dyDescent="0.25">
      <c r="A1175" t="s">
        <v>1784</v>
      </c>
      <c r="B1175" t="s">
        <v>3827</v>
      </c>
      <c r="C1175" t="s">
        <v>4293</v>
      </c>
      <c r="D1175" s="69">
        <v>3.6</v>
      </c>
    </row>
    <row r="1176" spans="1:4" x14ac:dyDescent="0.25">
      <c r="A1176" t="s">
        <v>3828</v>
      </c>
      <c r="B1176" t="s">
        <v>3829</v>
      </c>
      <c r="C1176" t="s">
        <v>4283</v>
      </c>
      <c r="D1176" s="69">
        <v>2.8759999999999999</v>
      </c>
    </row>
    <row r="1177" spans="1:4" x14ac:dyDescent="0.25">
      <c r="A1177" t="s">
        <v>3830</v>
      </c>
      <c r="B1177" t="s">
        <v>3831</v>
      </c>
      <c r="C1177" t="s">
        <v>3914</v>
      </c>
      <c r="D1177" s="69">
        <v>4.0269564102564104</v>
      </c>
    </row>
    <row r="1178" spans="1:4" x14ac:dyDescent="0.25">
      <c r="A1178" t="s">
        <v>1827</v>
      </c>
      <c r="B1178" t="s">
        <v>3832</v>
      </c>
      <c r="C1178" t="s">
        <v>3884</v>
      </c>
      <c r="D1178" s="69">
        <v>9.4500000000000011</v>
      </c>
    </row>
    <row r="1179" spans="1:4" x14ac:dyDescent="0.25">
      <c r="A1179" t="s">
        <v>3833</v>
      </c>
      <c r="B1179" t="s">
        <v>3834</v>
      </c>
      <c r="C1179" t="s">
        <v>3888</v>
      </c>
      <c r="D1179" s="69">
        <v>1.4025000000000001</v>
      </c>
    </row>
    <row r="1180" spans="1:4" x14ac:dyDescent="0.25">
      <c r="A1180" t="s">
        <v>1163</v>
      </c>
      <c r="B1180" t="s">
        <v>3835</v>
      </c>
      <c r="C1180" t="s">
        <v>3906</v>
      </c>
      <c r="D1180" s="69">
        <v>18</v>
      </c>
    </row>
    <row r="1181" spans="1:4" x14ac:dyDescent="0.25">
      <c r="A1181" t="s">
        <v>1181</v>
      </c>
      <c r="B1181" t="s">
        <v>3836</v>
      </c>
      <c r="C1181" t="s">
        <v>3884</v>
      </c>
      <c r="D1181" s="69">
        <v>6.7826086956521747</v>
      </c>
    </row>
    <row r="1182" spans="1:4" x14ac:dyDescent="0.25">
      <c r="A1182" t="s">
        <v>3837</v>
      </c>
      <c r="B1182" t="s">
        <v>3838</v>
      </c>
      <c r="C1182" t="s">
        <v>4294</v>
      </c>
      <c r="D1182" s="69">
        <v>4.69022693304764</v>
      </c>
    </row>
    <row r="1183" spans="1:4" x14ac:dyDescent="0.25">
      <c r="A1183" t="s">
        <v>3839</v>
      </c>
      <c r="B1183" t="s">
        <v>3840</v>
      </c>
      <c r="C1183" t="s">
        <v>3885</v>
      </c>
      <c r="D1183" s="69">
        <v>0.84375</v>
      </c>
    </row>
    <row r="1184" spans="1:4" x14ac:dyDescent="0.25">
      <c r="A1184" t="s">
        <v>3841</v>
      </c>
      <c r="B1184" t="s">
        <v>3842</v>
      </c>
      <c r="C1184" t="s">
        <v>3888</v>
      </c>
      <c r="D1184" s="69">
        <v>3.1739130434782612</v>
      </c>
    </row>
    <row r="1185" spans="1:5" x14ac:dyDescent="0.25">
      <c r="A1185" t="s">
        <v>3843</v>
      </c>
      <c r="B1185" t="s">
        <v>3844</v>
      </c>
      <c r="C1185" t="s">
        <v>4295</v>
      </c>
      <c r="D1185" s="69">
        <v>54</v>
      </c>
    </row>
    <row r="1186" spans="1:5" x14ac:dyDescent="0.25">
      <c r="A1186" t="s">
        <v>3845</v>
      </c>
      <c r="B1186" t="s">
        <v>3846</v>
      </c>
      <c r="C1186" t="s">
        <v>3874</v>
      </c>
      <c r="D1186" s="69">
        <v>14.1</v>
      </c>
    </row>
    <row r="1187" spans="1:5" x14ac:dyDescent="0.25">
      <c r="A1187" t="s">
        <v>3847</v>
      </c>
      <c r="B1187" t="s">
        <v>3848</v>
      </c>
      <c r="C1187" t="s">
        <v>4198</v>
      </c>
      <c r="D1187" s="69">
        <v>31.720000000000002</v>
      </c>
    </row>
    <row r="1188" spans="1:5" x14ac:dyDescent="0.25">
      <c r="A1188" t="s">
        <v>1187</v>
      </c>
      <c r="B1188" t="s">
        <v>3849</v>
      </c>
      <c r="C1188" t="s">
        <v>3906</v>
      </c>
      <c r="D1188" s="69">
        <v>9.81</v>
      </c>
    </row>
    <row r="1189" spans="1:5" x14ac:dyDescent="0.25">
      <c r="A1189" t="s">
        <v>1223</v>
      </c>
      <c r="B1189" t="s">
        <v>1224</v>
      </c>
      <c r="C1189" t="s">
        <v>4296</v>
      </c>
      <c r="D1189" s="69">
        <v>34.936</v>
      </c>
    </row>
    <row r="1190" spans="1:5" x14ac:dyDescent="0.25">
      <c r="A1190" t="s">
        <v>3850</v>
      </c>
      <c r="B1190" t="s">
        <v>3851</v>
      </c>
      <c r="C1190" t="s">
        <v>3931</v>
      </c>
      <c r="D1190" s="69">
        <v>2.6526384264830569</v>
      </c>
    </row>
    <row r="1191" spans="1:5" x14ac:dyDescent="0.25">
      <c r="A1191" t="s">
        <v>3852</v>
      </c>
      <c r="B1191" t="s">
        <v>3853</v>
      </c>
      <c r="C1191" t="s">
        <v>3915</v>
      </c>
      <c r="D1191" s="69">
        <v>9.5283520378027173</v>
      </c>
    </row>
    <row r="1192" spans="1:5" x14ac:dyDescent="0.25">
      <c r="A1192" t="s">
        <v>1835</v>
      </c>
      <c r="B1192" t="s">
        <v>3854</v>
      </c>
      <c r="C1192" t="s">
        <v>4014</v>
      </c>
      <c r="D1192" s="69">
        <v>6.1127079047917281</v>
      </c>
    </row>
    <row r="1193" spans="1:5" x14ac:dyDescent="0.25">
      <c r="A1193" t="s">
        <v>1847</v>
      </c>
      <c r="B1193" t="s">
        <v>3855</v>
      </c>
      <c r="C1193" t="s">
        <v>4283</v>
      </c>
      <c r="D1193" s="69">
        <v>3.4660000000000002</v>
      </c>
    </row>
    <row r="1194" spans="1:5" x14ac:dyDescent="0.25">
      <c r="A1194" t="s">
        <v>1219</v>
      </c>
      <c r="B1194" t="s">
        <v>3856</v>
      </c>
      <c r="C1194" t="s">
        <v>4297</v>
      </c>
      <c r="D1194" s="69">
        <v>16.75</v>
      </c>
    </row>
    <row r="1195" spans="1:5" x14ac:dyDescent="0.25">
      <c r="A1195" t="s">
        <v>1800</v>
      </c>
      <c r="B1195" t="s">
        <v>3857</v>
      </c>
      <c r="C1195" t="s">
        <v>3888</v>
      </c>
      <c r="D1195" s="69">
        <v>3.7</v>
      </c>
    </row>
    <row r="1196" spans="1:5" x14ac:dyDescent="0.25">
      <c r="A1196" t="s">
        <v>1131</v>
      </c>
      <c r="B1196" t="s">
        <v>3858</v>
      </c>
      <c r="C1196" t="s">
        <v>3895</v>
      </c>
      <c r="D1196" s="69">
        <v>6.4387305563831037</v>
      </c>
    </row>
    <row r="1197" spans="1:5" x14ac:dyDescent="0.25">
      <c r="A1197" t="s">
        <v>3859</v>
      </c>
      <c r="B1197" t="s">
        <v>3860</v>
      </c>
      <c r="C1197" t="s">
        <v>4282</v>
      </c>
      <c r="D1197" s="69">
        <v>33</v>
      </c>
    </row>
    <row r="1198" spans="1:5" x14ac:dyDescent="0.25">
      <c r="A1198" t="s">
        <v>3861</v>
      </c>
      <c r="B1198" t="s">
        <v>3862</v>
      </c>
      <c r="C1198" t="s">
        <v>3995</v>
      </c>
      <c r="D1198" s="69">
        <v>5.2200000000000006</v>
      </c>
    </row>
    <row r="1199" spans="1:5" x14ac:dyDescent="0.25">
      <c r="A1199" t="s">
        <v>3863</v>
      </c>
      <c r="B1199" t="s">
        <v>3864</v>
      </c>
      <c r="C1199" t="s">
        <v>4282</v>
      </c>
      <c r="D1199" s="69">
        <v>27.077898550724637</v>
      </c>
    </row>
    <row r="1200" spans="1:5" x14ac:dyDescent="0.25">
      <c r="A1200" t="s">
        <v>1209</v>
      </c>
      <c r="B1200" t="s">
        <v>3865</v>
      </c>
      <c r="C1200" t="s">
        <v>4298</v>
      </c>
      <c r="D1200" s="69">
        <v>6.4243871449258556</v>
      </c>
      <c r="E1200" s="70">
        <f>D1200/9</f>
        <v>0.71382079388065067</v>
      </c>
    </row>
    <row r="1201" spans="1:6" x14ac:dyDescent="0.25">
      <c r="A1201" t="s">
        <v>3866</v>
      </c>
      <c r="B1201" t="s">
        <v>3867</v>
      </c>
      <c r="C1201" t="s">
        <v>4065</v>
      </c>
      <c r="D1201" s="69">
        <v>12.000000000000002</v>
      </c>
    </row>
    <row r="1202" spans="1:6" x14ac:dyDescent="0.25">
      <c r="A1202" t="s">
        <v>3868</v>
      </c>
      <c r="B1202" t="s">
        <v>3869</v>
      </c>
      <c r="C1202" t="s">
        <v>3895</v>
      </c>
      <c r="D1202" s="69">
        <v>6.1214622538595549</v>
      </c>
    </row>
    <row r="1203" spans="1:6" x14ac:dyDescent="0.25">
      <c r="A1203" t="s">
        <v>3870</v>
      </c>
      <c r="B1203" t="s">
        <v>652</v>
      </c>
      <c r="C1203" t="s">
        <v>4022</v>
      </c>
      <c r="D1203" s="69">
        <v>1.28</v>
      </c>
    </row>
    <row r="1204" spans="1:6" x14ac:dyDescent="0.25">
      <c r="A1204" t="s">
        <v>3871</v>
      </c>
      <c r="B1204" t="s">
        <v>3764</v>
      </c>
      <c r="C1204" t="s">
        <v>4020</v>
      </c>
      <c r="D1204" s="69">
        <v>9.0500000000000007</v>
      </c>
    </row>
    <row r="1208" spans="1:6" x14ac:dyDescent="0.25">
      <c r="F1208">
        <f>5.82</f>
        <v>5.82</v>
      </c>
    </row>
    <row r="1209" spans="1:6" x14ac:dyDescent="0.25">
      <c r="F1209">
        <f>F1208/5</f>
        <v>1.1640000000000001</v>
      </c>
    </row>
  </sheetData>
  <autoFilter ref="A1:D1204" xr:uid="{E15A9FE2-DF60-462F-84A5-1B5EEE0E8711}"/>
  <conditionalFormatting sqref="A1:A1204">
    <cfRule type="duplicateValues" dxfId="5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C72E-915A-4A22-BD49-3084E8B85C15}">
  <sheetPr codeName="Sheet7">
    <tabColor rgb="FF00B0F0"/>
  </sheetPr>
  <dimension ref="A1:I423"/>
  <sheetViews>
    <sheetView topLeftCell="A400" workbookViewId="0">
      <selection activeCell="B424" sqref="B424"/>
    </sheetView>
  </sheetViews>
  <sheetFormatPr defaultRowHeight="15" x14ac:dyDescent="0.25"/>
  <cols>
    <col min="1" max="1" width="38.85546875" bestFit="1" customWidth="1"/>
    <col min="2" max="2" width="12.5703125" bestFit="1" customWidth="1"/>
    <col min="3" max="3" width="38.7109375" bestFit="1" customWidth="1"/>
    <col min="4" max="4" width="12" bestFit="1" customWidth="1"/>
    <col min="6" max="6" width="6.28515625" customWidth="1"/>
    <col min="7" max="7" width="13.140625" bestFit="1" customWidth="1"/>
  </cols>
  <sheetData>
    <row r="1" spans="1:7" x14ac:dyDescent="0.25">
      <c r="A1" s="7" t="s">
        <v>1340</v>
      </c>
      <c r="B1" s="7" t="s">
        <v>1111</v>
      </c>
      <c r="C1" s="7" t="s">
        <v>1112</v>
      </c>
      <c r="D1" s="7" t="s">
        <v>1341</v>
      </c>
      <c r="E1" s="8" t="s">
        <v>1113</v>
      </c>
      <c r="F1" s="7" t="s">
        <v>1663</v>
      </c>
      <c r="G1" s="84" t="s">
        <v>4330</v>
      </c>
    </row>
    <row r="2" spans="1:7" x14ac:dyDescent="0.25">
      <c r="A2" s="2" t="s">
        <v>1342</v>
      </c>
      <c r="B2" s="1" t="s">
        <v>1115</v>
      </c>
      <c r="C2" s="1" t="str">
        <f>VLOOKUP(B2,'RM Cost'!A:B,2,0)</f>
        <v>RM - LRG PROCESSING CARROT X 1000KG</v>
      </c>
      <c r="D2" s="1" t="s">
        <v>1343</v>
      </c>
      <c r="E2" s="1" t="s">
        <v>554</v>
      </c>
      <c r="F2" s="11">
        <f>VLOOKUP(B2,'RM Cost'!A:F,6,0)</f>
        <v>0.38</v>
      </c>
      <c r="G2" s="4"/>
    </row>
    <row r="3" spans="1:7" x14ac:dyDescent="0.25">
      <c r="A3" s="2" t="s">
        <v>1344</v>
      </c>
      <c r="B3" s="1" t="s">
        <v>1117</v>
      </c>
      <c r="C3" s="1" t="str">
        <f>VLOOKUP(B3,'RM Cost'!A:B,2,0)</f>
        <v>RM - SWEDE 12.5KG</v>
      </c>
      <c r="D3" s="1" t="s">
        <v>1343</v>
      </c>
      <c r="E3" s="1" t="s">
        <v>554</v>
      </c>
      <c r="F3" s="11">
        <f>VLOOKUP(B3,'RM Cost'!A:F,6,0)</f>
        <v>0.52</v>
      </c>
      <c r="G3" s="4"/>
    </row>
    <row r="4" spans="1:7" x14ac:dyDescent="0.25">
      <c r="A4" s="2" t="s">
        <v>1345</v>
      </c>
      <c r="B4" s="1" t="s">
        <v>1119</v>
      </c>
      <c r="C4" s="1" t="str">
        <f>VLOOKUP(B4,'RM Cost'!A:B,2,0)</f>
        <v>RM - ORI MOOLI X 15 EA</v>
      </c>
      <c r="D4" s="1" t="s">
        <v>1343</v>
      </c>
      <c r="E4" s="1" t="s">
        <v>554</v>
      </c>
      <c r="F4" s="11">
        <f>VLOOKUP(B4,'RM Cost'!A:F,6,0)</f>
        <v>1.23</v>
      </c>
      <c r="G4" s="4"/>
    </row>
    <row r="5" spans="1:7" x14ac:dyDescent="0.25">
      <c r="A5" s="2" t="s">
        <v>1346</v>
      </c>
      <c r="B5" s="1" t="s">
        <v>1121</v>
      </c>
      <c r="C5" s="1" t="str">
        <f>VLOOKUP(B5,'RM Cost'!A:B,2,0)</f>
        <v>RM - PARSNIPS 10KG</v>
      </c>
      <c r="D5" s="1" t="s">
        <v>1343</v>
      </c>
      <c r="E5" s="1" t="s">
        <v>554</v>
      </c>
      <c r="F5" s="11">
        <f>VLOOKUP(B5,'RM Cost'!A:F,6,0)</f>
        <v>0.76</v>
      </c>
      <c r="G5" s="4"/>
    </row>
    <row r="6" spans="1:7" x14ac:dyDescent="0.25">
      <c r="A6" s="2" t="s">
        <v>1347</v>
      </c>
      <c r="B6" s="1" t="s">
        <v>1115</v>
      </c>
      <c r="C6" s="1" t="str">
        <f>VLOOKUP(B6,'RM Cost'!A:B,2,0)</f>
        <v>RM - LRG PROCESSING CARROT X 1000KG</v>
      </c>
      <c r="D6" s="1" t="s">
        <v>1343</v>
      </c>
      <c r="E6" s="1" t="s">
        <v>554</v>
      </c>
      <c r="F6" s="11">
        <f>VLOOKUP(B6,'RM Cost'!A:F,6,0)</f>
        <v>0.38</v>
      </c>
      <c r="G6" s="4"/>
    </row>
    <row r="7" spans="1:7" x14ac:dyDescent="0.25">
      <c r="A7" s="2" t="s">
        <v>1348</v>
      </c>
      <c r="B7" s="1" t="s">
        <v>1115</v>
      </c>
      <c r="C7" s="1" t="str">
        <f>VLOOKUP(B7,'RM Cost'!A:B,2,0)</f>
        <v>RM - LRG PROCESSING CARROT X 1000KG</v>
      </c>
      <c r="D7" s="1" t="s">
        <v>1343</v>
      </c>
      <c r="E7" s="1" t="s">
        <v>554</v>
      </c>
      <c r="F7" s="11">
        <f>VLOOKUP(B7,'RM Cost'!A:F,6,0)</f>
        <v>0.38</v>
      </c>
      <c r="G7" s="4"/>
    </row>
    <row r="8" spans="1:7" x14ac:dyDescent="0.25">
      <c r="A8" s="2" t="s">
        <v>1349</v>
      </c>
      <c r="B8" s="1" t="s">
        <v>1123</v>
      </c>
      <c r="C8" s="1" t="str">
        <f>VLOOKUP(B8,'RM Cost'!A:B,2,0)</f>
        <v>RM - DECORED RED CABBAGE 1/3 1200KG</v>
      </c>
      <c r="D8" s="1" t="s">
        <v>1343</v>
      </c>
      <c r="E8" s="1" t="s">
        <v>554</v>
      </c>
      <c r="F8" s="11">
        <f>VLOOKUP(B8,'RM Cost'!A:F,6,0)</f>
        <v>0.38</v>
      </c>
      <c r="G8" s="4"/>
    </row>
    <row r="9" spans="1:7" x14ac:dyDescent="0.25">
      <c r="A9" s="2" t="s">
        <v>1350</v>
      </c>
      <c r="B9" s="1" t="s">
        <v>1124</v>
      </c>
      <c r="C9" s="1" t="str">
        <f>VLOOKUP(B9,'RM Cost'!A:B,2,0)</f>
        <v>RM - DECORE WHITE CABBAGE 1/3 1200KG</v>
      </c>
      <c r="D9" s="1" t="s">
        <v>1343</v>
      </c>
      <c r="E9" s="1" t="s">
        <v>554</v>
      </c>
      <c r="F9" s="11">
        <f>VLOOKUP(B9,'RM Cost'!A:F,6,0)</f>
        <v>0.34</v>
      </c>
      <c r="G9" s="4"/>
    </row>
    <row r="10" spans="1:7" x14ac:dyDescent="0.25">
      <c r="A10" s="2" t="s">
        <v>1351</v>
      </c>
      <c r="B10" s="1" t="s">
        <v>1115</v>
      </c>
      <c r="C10" s="1" t="str">
        <f>VLOOKUP(B10,'RM Cost'!A:B,2,0)</f>
        <v>RM - LRG PROCESSING CARROT X 1000KG</v>
      </c>
      <c r="D10" s="1" t="s">
        <v>1343</v>
      </c>
      <c r="E10" s="1" t="s">
        <v>554</v>
      </c>
      <c r="F10" s="11">
        <f>VLOOKUP(B10,'RM Cost'!A:F,6,0)</f>
        <v>0.38</v>
      </c>
      <c r="G10" s="4"/>
    </row>
    <row r="11" spans="1:7" x14ac:dyDescent="0.25">
      <c r="A11" s="2" t="s">
        <v>1352</v>
      </c>
      <c r="B11" s="1" t="s">
        <v>1124</v>
      </c>
      <c r="C11" s="1" t="str">
        <f>VLOOKUP(B11,'RM Cost'!A:B,2,0)</f>
        <v>RM - DECORE WHITE CABBAGE 1/3 1200KG</v>
      </c>
      <c r="D11" s="1" t="s">
        <v>1343</v>
      </c>
      <c r="E11" s="1" t="s">
        <v>554</v>
      </c>
      <c r="F11" s="11">
        <f>VLOOKUP(B11,'RM Cost'!A:F,6,0)</f>
        <v>0.34</v>
      </c>
      <c r="G11" s="4"/>
    </row>
    <row r="12" spans="1:7" x14ac:dyDescent="0.25">
      <c r="A12" s="2" t="s">
        <v>1353</v>
      </c>
      <c r="B12" s="1" t="s">
        <v>1125</v>
      </c>
      <c r="C12" s="1" t="str">
        <f>VLOOKUP(B12,'RM Cost'!A:B,2,0)</f>
        <v>RM - SAVOY CABBAGE 1 X 5KG</v>
      </c>
      <c r="D12" s="1" t="s">
        <v>1343</v>
      </c>
      <c r="E12" s="1" t="s">
        <v>554</v>
      </c>
      <c r="F12" s="11">
        <f>VLOOKUP(B12,'RM Cost'!A:F,6,0)</f>
        <v>0.76</v>
      </c>
      <c r="G12" s="4"/>
    </row>
    <row r="13" spans="1:7" x14ac:dyDescent="0.25">
      <c r="A13" s="2" t="s">
        <v>1354</v>
      </c>
      <c r="B13" s="1" t="s">
        <v>4835</v>
      </c>
      <c r="C13" s="1" t="str">
        <f>VLOOKUP(B13,'RM Cost'!A:B,2,0)</f>
        <v>WHOLE LEAF CURLY KALE 5X1KG</v>
      </c>
      <c r="D13" s="1" t="s">
        <v>1343</v>
      </c>
      <c r="E13" s="1" t="s">
        <v>554</v>
      </c>
      <c r="F13" s="11">
        <f>VLOOKUP(B13,'RM Cost'!A:F,6,0)</f>
        <v>1.45</v>
      </c>
      <c r="G13" s="4"/>
    </row>
    <row r="14" spans="1:7" x14ac:dyDescent="0.25">
      <c r="A14" s="2" t="s">
        <v>1355</v>
      </c>
      <c r="B14" s="1" t="s">
        <v>1831</v>
      </c>
      <c r="C14" s="1" t="str">
        <f>VLOOKUP(B14,'RM Cost'!A:B,2,0)</f>
        <v>PEPPERS RED X 5KG</v>
      </c>
      <c r="D14" s="1" t="s">
        <v>1343</v>
      </c>
      <c r="E14" s="1" t="s">
        <v>554</v>
      </c>
      <c r="F14" s="11">
        <f>VLOOKUP(B14,'RM Cost'!A:F,6,0)</f>
        <v>1.72</v>
      </c>
      <c r="G14" s="4"/>
    </row>
    <row r="15" spans="1:7" x14ac:dyDescent="0.25">
      <c r="A15" s="2" t="s">
        <v>1356</v>
      </c>
      <c r="B15" s="1" t="s">
        <v>1129</v>
      </c>
      <c r="C15" s="1" t="str">
        <f>VLOOKUP(B15,'RM Cost'!A:B,2,0)</f>
        <v>RM - COURGETTE STANDARD</v>
      </c>
      <c r="D15" s="1" t="s">
        <v>1343</v>
      </c>
      <c r="E15" s="1" t="s">
        <v>554</v>
      </c>
      <c r="F15" s="11">
        <f>VLOOKUP(B15,'RM Cost'!A:F,6,0)</f>
        <v>1.1000000000000001</v>
      </c>
      <c r="G15" s="4"/>
    </row>
    <row r="16" spans="1:7" x14ac:dyDescent="0.25">
      <c r="A16" s="2" t="s">
        <v>1357</v>
      </c>
      <c r="B16" s="1" t="s">
        <v>1131</v>
      </c>
      <c r="C16" s="1" t="str">
        <f>VLOOKUP(B16,'RM Cost'!A:B,2,0)</f>
        <v>RM - BROCCOLI 6KG</v>
      </c>
      <c r="D16" s="1" t="s">
        <v>1343</v>
      </c>
      <c r="E16" s="1" t="s">
        <v>554</v>
      </c>
      <c r="F16" s="11">
        <f>VLOOKUP(B16,'RM Cost'!A:F,6,0)</f>
        <v>1.02</v>
      </c>
      <c r="G16" s="4"/>
    </row>
    <row r="17" spans="1:7" x14ac:dyDescent="0.25">
      <c r="A17" s="2" t="s">
        <v>1358</v>
      </c>
      <c r="B17" s="1" t="s">
        <v>1133</v>
      </c>
      <c r="C17" s="1" t="str">
        <f>VLOOKUP(B17,'RM Cost'!A:B,2,0)</f>
        <v>RM - BEANS EXTRA FINE PREMIUM 1.5KG</v>
      </c>
      <c r="D17" s="1" t="s">
        <v>1343</v>
      </c>
      <c r="E17" s="1" t="s">
        <v>554</v>
      </c>
      <c r="F17" s="11" t="e">
        <f>VLOOKUP(B17,'RM Cost'!A:F,6,0)</f>
        <v>#N/A</v>
      </c>
      <c r="G17" s="4"/>
    </row>
    <row r="18" spans="1:7" x14ac:dyDescent="0.25">
      <c r="A18" s="2" t="s">
        <v>1359</v>
      </c>
      <c r="B18" s="1" t="s">
        <v>1135</v>
      </c>
      <c r="C18" s="1" t="str">
        <f>VLOOKUP(B18,'RM Cost'!A:B,2,0)</f>
        <v>RM - MANGETOUT 2KG</v>
      </c>
      <c r="D18" s="1" t="s">
        <v>1343</v>
      </c>
      <c r="E18" s="1" t="s">
        <v>554</v>
      </c>
      <c r="F18" s="11">
        <f>VLOOKUP(B18,'RM Cost'!A:F,6,0)</f>
        <v>4.13</v>
      </c>
      <c r="G18" s="4"/>
    </row>
    <row r="19" spans="1:7" x14ac:dyDescent="0.25">
      <c r="A19" s="2" t="s">
        <v>1360</v>
      </c>
      <c r="B19" s="1" t="s">
        <v>1123</v>
      </c>
      <c r="C19" s="1" t="str">
        <f>VLOOKUP(B19,'RM Cost'!A:B,2,0)</f>
        <v>RM - DECORED RED CABBAGE 1/3 1200KG</v>
      </c>
      <c r="D19" s="1" t="s">
        <v>1343</v>
      </c>
      <c r="E19" s="1" t="s">
        <v>554</v>
      </c>
      <c r="F19" s="11">
        <f>VLOOKUP(B19,'RM Cost'!A:F,6,0)</f>
        <v>0.38</v>
      </c>
      <c r="G19" s="4"/>
    </row>
    <row r="20" spans="1:7" x14ac:dyDescent="0.25">
      <c r="A20" s="2" t="s">
        <v>1361</v>
      </c>
      <c r="B20" s="1" t="s">
        <v>1137</v>
      </c>
      <c r="C20" s="1" t="str">
        <f>VLOOKUP(B20,'RM Cost'!A:B,2,0)</f>
        <v>RM - TURNIPS X5KG</v>
      </c>
      <c r="D20" s="1" t="s">
        <v>1343</v>
      </c>
      <c r="E20" s="1" t="s">
        <v>554</v>
      </c>
      <c r="F20" s="11">
        <f>VLOOKUP(B20,'RM Cost'!A:F,6,0)</f>
        <v>0.68</v>
      </c>
      <c r="G20" s="4"/>
    </row>
    <row r="21" spans="1:7" x14ac:dyDescent="0.25">
      <c r="A21" s="2" t="s">
        <v>1362</v>
      </c>
      <c r="B21" s="1" t="s">
        <v>1121</v>
      </c>
      <c r="C21" s="1" t="str">
        <f>VLOOKUP(B21,'RM Cost'!A:B,2,0)</f>
        <v>RM - PARSNIPS 10KG</v>
      </c>
      <c r="D21" s="1" t="s">
        <v>1343</v>
      </c>
      <c r="E21" s="1" t="s">
        <v>554</v>
      </c>
      <c r="F21" s="11">
        <f>VLOOKUP(B21,'RM Cost'!A:F,6,0)</f>
        <v>0.76</v>
      </c>
      <c r="G21" s="4"/>
    </row>
    <row r="22" spans="1:7" x14ac:dyDescent="0.25">
      <c r="A22" s="2" t="s">
        <v>1363</v>
      </c>
      <c r="B22" s="1" t="s">
        <v>1139</v>
      </c>
      <c r="C22" s="1" t="str">
        <f>VLOOKUP(B22,'RM Cost'!A:B,2,0)</f>
        <v>CHAYOTE (CHOW CHOW) AVE X25</v>
      </c>
      <c r="D22" s="1" t="s">
        <v>1343</v>
      </c>
      <c r="E22" s="1" t="s">
        <v>554</v>
      </c>
      <c r="F22" s="11">
        <f>VLOOKUP(B22,'RM Cost'!A:F,6,0)</f>
        <v>2.3199999999999998</v>
      </c>
      <c r="G22" s="4"/>
    </row>
    <row r="23" spans="1:7" x14ac:dyDescent="0.25">
      <c r="A23" s="2" t="s">
        <v>1364</v>
      </c>
      <c r="B23" s="1" t="s">
        <v>1119</v>
      </c>
      <c r="C23" s="1" t="str">
        <f>VLOOKUP(B23,'RM Cost'!A:B,2,0)</f>
        <v>RM - ORI MOOLI X 15 EA</v>
      </c>
      <c r="D23" s="1" t="s">
        <v>1343</v>
      </c>
      <c r="E23" s="1" t="s">
        <v>554</v>
      </c>
      <c r="F23" s="11">
        <f>VLOOKUP(B23,'RM Cost'!A:F,6,0)</f>
        <v>1.23</v>
      </c>
      <c r="G23" s="4"/>
    </row>
    <row r="24" spans="1:7" x14ac:dyDescent="0.25">
      <c r="A24" s="2" t="s">
        <v>1365</v>
      </c>
      <c r="B24" s="1" t="s">
        <v>1778</v>
      </c>
      <c r="C24" s="1" t="str">
        <f>VLOOKUP(B24,'RM Cost'!A:B,2,0)</f>
        <v>RM - PREP ONION RED WHOLE 2.5KG</v>
      </c>
      <c r="D24" s="1" t="s">
        <v>1343</v>
      </c>
      <c r="E24" s="1" t="s">
        <v>554</v>
      </c>
      <c r="F24" s="11">
        <f>VLOOKUP(B24,'RM Cost'!A:F,6,0)</f>
        <v>1.08</v>
      </c>
      <c r="G24" s="4"/>
    </row>
    <row r="25" spans="1:7" x14ac:dyDescent="0.25">
      <c r="A25" s="2" t="s">
        <v>1366</v>
      </c>
      <c r="B25" s="1" t="s">
        <v>1115</v>
      </c>
      <c r="C25" s="1" t="str">
        <f>VLOOKUP(B25,'RM Cost'!A:B,2,0)</f>
        <v>RM - LRG PROCESSING CARROT X 1000KG</v>
      </c>
      <c r="D25" s="1" t="s">
        <v>1343</v>
      </c>
      <c r="E25" s="1" t="s">
        <v>554</v>
      </c>
      <c r="F25" s="11">
        <f>VLOOKUP(B25,'RM Cost'!A:F,6,0)</f>
        <v>0.38</v>
      </c>
      <c r="G25" s="4"/>
    </row>
    <row r="26" spans="1:7" x14ac:dyDescent="0.25">
      <c r="A26" s="2" t="s">
        <v>1367</v>
      </c>
      <c r="B26" s="1" t="s">
        <v>1187</v>
      </c>
      <c r="C26" s="1" t="str">
        <f>VLOOKUP(B26,'RM Cost'!A:B,2,0)</f>
        <v>RM - PREP ONION WHOLE 10KG</v>
      </c>
      <c r="D26" s="1" t="s">
        <v>1343</v>
      </c>
      <c r="E26" s="1" t="s">
        <v>554</v>
      </c>
      <c r="F26" s="11">
        <f>VLOOKUP(B26,'RM Cost'!A:F,6,0)</f>
        <v>0.87</v>
      </c>
      <c r="G26" s="4"/>
    </row>
    <row r="27" spans="1:7" x14ac:dyDescent="0.25">
      <c r="A27" s="2" t="s">
        <v>1368</v>
      </c>
      <c r="B27" s="1" t="s">
        <v>1117</v>
      </c>
      <c r="C27" s="1" t="str">
        <f>VLOOKUP(B27,'RM Cost'!A:B,2,0)</f>
        <v>RM - SWEDE 12.5KG</v>
      </c>
      <c r="D27" s="1" t="s">
        <v>1343</v>
      </c>
      <c r="E27" s="1" t="s">
        <v>554</v>
      </c>
      <c r="F27" s="11">
        <f>VLOOKUP(B27,'RM Cost'!A:F,6,0)</f>
        <v>0.52</v>
      </c>
      <c r="G27" s="4"/>
    </row>
    <row r="28" spans="1:7" x14ac:dyDescent="0.25">
      <c r="A28" s="2" t="s">
        <v>1369</v>
      </c>
      <c r="B28" s="1" t="s">
        <v>1124</v>
      </c>
      <c r="C28" s="1" t="str">
        <f>VLOOKUP(B28,'RM Cost'!A:B,2,0)</f>
        <v>RM - DECORE WHITE CABBAGE 1/3 1200KG</v>
      </c>
      <c r="D28" s="1" t="s">
        <v>1343</v>
      </c>
      <c r="E28" s="1" t="s">
        <v>554</v>
      </c>
      <c r="F28" s="11">
        <f>VLOOKUP(B28,'RM Cost'!A:F,6,0)</f>
        <v>0.34</v>
      </c>
      <c r="G28" s="4"/>
    </row>
    <row r="29" spans="1:7" x14ac:dyDescent="0.25">
      <c r="A29" s="2" t="s">
        <v>1370</v>
      </c>
      <c r="B29" s="1" t="s">
        <v>1713</v>
      </c>
      <c r="C29" s="1" t="str">
        <f>VLOOKUP(B29,'RM Cost'!A:B,2,0)</f>
        <v>RM - PROCESSING LEEKS 5KG</v>
      </c>
      <c r="D29" s="1" t="s">
        <v>1343</v>
      </c>
      <c r="E29" s="1" t="s">
        <v>554</v>
      </c>
      <c r="F29" s="11">
        <f>VLOOKUP(B29,'RM Cost'!A:F,6,0)</f>
        <v>1.05</v>
      </c>
      <c r="G29" s="4"/>
    </row>
    <row r="30" spans="1:7" x14ac:dyDescent="0.25">
      <c r="A30" s="2" t="s">
        <v>1371</v>
      </c>
      <c r="B30" s="1" t="s">
        <v>1137</v>
      </c>
      <c r="C30" s="1" t="str">
        <f>VLOOKUP(B30,'RM Cost'!A:B,2,0)</f>
        <v>RM - TURNIPS X5KG</v>
      </c>
      <c r="D30" s="1" t="s">
        <v>1343</v>
      </c>
      <c r="E30" s="1" t="s">
        <v>554</v>
      </c>
      <c r="F30" s="11">
        <f>VLOOKUP(B30,'RM Cost'!A:F,6,0)</f>
        <v>0.68</v>
      </c>
      <c r="G30" s="4"/>
    </row>
    <row r="31" spans="1:7" x14ac:dyDescent="0.25">
      <c r="A31" s="2" t="s">
        <v>1372</v>
      </c>
      <c r="B31" s="1" t="s">
        <v>1853</v>
      </c>
      <c r="C31" s="1" t="str">
        <f>VLOOKUP(B31,'RM Cost'!A:B,2,0)</f>
        <v>RM - DECORED PINK CABBAGE 600KG</v>
      </c>
      <c r="D31" s="1" t="s">
        <v>1343</v>
      </c>
      <c r="E31" s="1" t="s">
        <v>554</v>
      </c>
      <c r="F31" s="11" t="e">
        <f>VLOOKUP(B31,'RM Cost'!A:F,6,0)</f>
        <v>#N/A</v>
      </c>
      <c r="G31" s="4"/>
    </row>
    <row r="32" spans="1:7" x14ac:dyDescent="0.25">
      <c r="A32" s="2" t="s">
        <v>1373</v>
      </c>
      <c r="B32" s="1" t="s">
        <v>1115</v>
      </c>
      <c r="C32" s="1" t="str">
        <f>VLOOKUP(B32,'RM Cost'!A:B,2,0)</f>
        <v>RM - LRG PROCESSING CARROT X 1000KG</v>
      </c>
      <c r="D32" s="1" t="s">
        <v>1343</v>
      </c>
      <c r="E32" s="1" t="s">
        <v>554</v>
      </c>
      <c r="F32" s="11">
        <f>VLOOKUP(B32,'RM Cost'!A:F,6,0)</f>
        <v>0.38</v>
      </c>
      <c r="G32" s="4"/>
    </row>
    <row r="33" spans="1:7" x14ac:dyDescent="0.25">
      <c r="A33" s="2" t="s">
        <v>1374</v>
      </c>
      <c r="B33" s="1" t="s">
        <v>1117</v>
      </c>
      <c r="C33" s="1" t="str">
        <f>VLOOKUP(B33,'RM Cost'!A:B,2,0)</f>
        <v>RM - SWEDE 12.5KG</v>
      </c>
      <c r="D33" s="1" t="s">
        <v>1343</v>
      </c>
      <c r="E33" s="1" t="s">
        <v>554</v>
      </c>
      <c r="F33" s="11">
        <f>VLOOKUP(B33,'RM Cost'!A:F,6,0)</f>
        <v>0.52</v>
      </c>
      <c r="G33" s="4"/>
    </row>
    <row r="34" spans="1:7" x14ac:dyDescent="0.25">
      <c r="A34" s="2" t="s">
        <v>1375</v>
      </c>
      <c r="B34" s="1" t="s">
        <v>1137</v>
      </c>
      <c r="C34" s="1" t="str">
        <f>VLOOKUP(B34,'RM Cost'!A:B,2,0)</f>
        <v>RM - TURNIPS X5KG</v>
      </c>
      <c r="D34" s="1" t="s">
        <v>1343</v>
      </c>
      <c r="E34" s="1" t="s">
        <v>554</v>
      </c>
      <c r="F34" s="11">
        <f>VLOOKUP(B34,'RM Cost'!A:F,6,0)</f>
        <v>0.68</v>
      </c>
      <c r="G34" s="4"/>
    </row>
    <row r="35" spans="1:7" x14ac:dyDescent="0.25">
      <c r="A35" s="2" t="s">
        <v>1376</v>
      </c>
      <c r="B35" s="1" t="s">
        <v>1121</v>
      </c>
      <c r="C35" s="1" t="str">
        <f>VLOOKUP(B35,'RM Cost'!A:B,2,0)</f>
        <v>RM - PARSNIPS 10KG</v>
      </c>
      <c r="D35" s="1" t="s">
        <v>1343</v>
      </c>
      <c r="E35" s="1" t="s">
        <v>554</v>
      </c>
      <c r="F35" s="11">
        <f>VLOOKUP(B35,'RM Cost'!A:F,6,0)</f>
        <v>0.76</v>
      </c>
      <c r="G35" s="4"/>
    </row>
    <row r="36" spans="1:7" x14ac:dyDescent="0.25">
      <c r="A36" s="2" t="s">
        <v>1377</v>
      </c>
      <c r="B36" s="1" t="s">
        <v>1147</v>
      </c>
      <c r="C36" s="1" t="str">
        <f>VLOOKUP(B36,'RM Cost'!A:B,2,0)</f>
        <v>RM - PAK CHOI X2KG</v>
      </c>
      <c r="D36" s="1" t="s">
        <v>1343</v>
      </c>
      <c r="E36" s="1" t="s">
        <v>554</v>
      </c>
      <c r="F36" s="11">
        <f>VLOOKUP(B36,'RM Cost'!A:F,6,0)</f>
        <v>1.81</v>
      </c>
      <c r="G36" s="4"/>
    </row>
    <row r="37" spans="1:7" x14ac:dyDescent="0.25">
      <c r="A37" s="2" t="s">
        <v>1378</v>
      </c>
      <c r="B37" s="1" t="s">
        <v>1149</v>
      </c>
      <c r="C37" s="1" t="str">
        <f>VLOOKUP(B37,'RM Cost'!A:B,2,0)</f>
        <v>RM - SPRING ONION x 2KG</v>
      </c>
      <c r="D37" s="1" t="s">
        <v>1343</v>
      </c>
      <c r="E37" s="1" t="s">
        <v>554</v>
      </c>
      <c r="F37" s="11">
        <f>VLOOKUP(B37,'RM Cost'!A:F,6,0)</f>
        <v>3.08</v>
      </c>
      <c r="G37" s="4"/>
    </row>
    <row r="38" spans="1:7" x14ac:dyDescent="0.25">
      <c r="A38" s="2" t="s">
        <v>1379</v>
      </c>
      <c r="B38" s="1" t="s">
        <v>1151</v>
      </c>
      <c r="C38" s="1" t="str">
        <f>VLOOKUP(B38,'RM Cost'!A:B,2,0)</f>
        <v>RM - PINEAPPLE X 6</v>
      </c>
      <c r="D38" s="1" t="s">
        <v>1343</v>
      </c>
      <c r="E38" s="1" t="s">
        <v>554</v>
      </c>
      <c r="F38" s="11">
        <f>VLOOKUP(B38,'RM Cost'!A:F,6,0)</f>
        <v>0.7</v>
      </c>
      <c r="G38" s="4"/>
    </row>
    <row r="39" spans="1:7" x14ac:dyDescent="0.25">
      <c r="A39" s="2" t="s">
        <v>1380</v>
      </c>
      <c r="B39" s="1" t="s">
        <v>1153</v>
      </c>
      <c r="C39" s="1" t="str">
        <f>VLOOKUP(B39,'RM Cost'!A:B,2,0)</f>
        <v>RM - MELON YELLOW X 6EA</v>
      </c>
      <c r="D39" s="1" t="s">
        <v>1343</v>
      </c>
      <c r="E39" s="1" t="s">
        <v>554</v>
      </c>
      <c r="F39" s="11">
        <f>VLOOKUP(B39,'RM Cost'!A:F,6,0)</f>
        <v>0.81</v>
      </c>
      <c r="G39" s="4"/>
    </row>
    <row r="40" spans="1:7" x14ac:dyDescent="0.25">
      <c r="A40" s="2" t="s">
        <v>1381</v>
      </c>
      <c r="B40" s="1" t="s">
        <v>1155</v>
      </c>
      <c r="C40" s="1" t="str">
        <f>VLOOKUP(B40,'RM Cost'!A:B,2,0)</f>
        <v>RM - ORANGE LARGE X 15KG</v>
      </c>
      <c r="D40" s="1" t="s">
        <v>1343</v>
      </c>
      <c r="E40" s="1" t="s">
        <v>554</v>
      </c>
      <c r="F40" s="11">
        <f>VLOOKUP(B40,'RM Cost'!A:F,6,0)</f>
        <v>0.8</v>
      </c>
      <c r="G40" s="4"/>
    </row>
    <row r="41" spans="1:7" x14ac:dyDescent="0.25">
      <c r="A41" s="2" t="s">
        <v>1382</v>
      </c>
      <c r="B41" s="1" t="s">
        <v>1157</v>
      </c>
      <c r="C41" s="1" t="str">
        <f>VLOOKUP(B41,'RM Cost'!A:B,2,0)</f>
        <v>RM - APPLES RED X 125/138</v>
      </c>
      <c r="D41" s="1" t="s">
        <v>1343</v>
      </c>
      <c r="E41" s="1" t="s">
        <v>554</v>
      </c>
      <c r="F41" s="11">
        <f>VLOOKUP(B41,'RM Cost'!A:F,6,0)</f>
        <v>1.1200000000000001</v>
      </c>
      <c r="G41" s="4"/>
    </row>
    <row r="42" spans="1:7" x14ac:dyDescent="0.25">
      <c r="A42" s="2" t="s">
        <v>1383</v>
      </c>
      <c r="B42" s="1" t="s">
        <v>1159</v>
      </c>
      <c r="C42" s="1" t="str">
        <f>VLOOKUP(B42,'RM Cost'!A:B,2,0)</f>
        <v>RM - GRAPE BLACK SLESS P/P 10X500G</v>
      </c>
      <c r="D42" s="1" t="s">
        <v>1343</v>
      </c>
      <c r="E42" s="1" t="s">
        <v>554</v>
      </c>
      <c r="F42" s="11">
        <f>VLOOKUP(B42,'RM Cost'!A:F,6,0)</f>
        <v>2.2599999999999998</v>
      </c>
      <c r="G42" s="4"/>
    </row>
    <row r="43" spans="1:7" x14ac:dyDescent="0.25">
      <c r="A43" s="2" t="s">
        <v>1384</v>
      </c>
      <c r="B43" s="1" t="s">
        <v>1161</v>
      </c>
      <c r="C43" s="1" t="str">
        <f>VLOOKUP(B43,'RM Cost'!A:B,2,0)</f>
        <v>RM - GRAPE WHITE SLESS P/P 10X500G</v>
      </c>
      <c r="D43" s="1" t="s">
        <v>1343</v>
      </c>
      <c r="E43" s="1" t="s">
        <v>554</v>
      </c>
      <c r="F43" s="11">
        <f>VLOOKUP(B43,'RM Cost'!A:F,6,0)</f>
        <v>2.2400000000000002</v>
      </c>
      <c r="G43" s="4"/>
    </row>
    <row r="44" spans="1:7" x14ac:dyDescent="0.25">
      <c r="A44" s="2" t="s">
        <v>1385</v>
      </c>
      <c r="B44" s="1" t="s">
        <v>1163</v>
      </c>
      <c r="C44" s="1" t="str">
        <f>VLOOKUP(B44,'RM Cost'!A:B,2,0)</f>
        <v>RM - KIWI X 10KG</v>
      </c>
      <c r="D44" s="1" t="s">
        <v>1343</v>
      </c>
      <c r="E44" s="1" t="s">
        <v>554</v>
      </c>
      <c r="F44" s="11">
        <f>VLOOKUP(B44,'RM Cost'!A:F,6,0)</f>
        <v>2.23</v>
      </c>
      <c r="G44" s="4"/>
    </row>
    <row r="45" spans="1:7" x14ac:dyDescent="0.25">
      <c r="A45" s="2" t="s">
        <v>1386</v>
      </c>
      <c r="B45" s="1" t="s">
        <v>4325</v>
      </c>
      <c r="C45" s="1" t="str">
        <f>VLOOKUP(B45,'RM Cost'!A:B,2,0)</f>
        <v>RM - TIC AMAZU PICKLING VINEGAR 5KG</v>
      </c>
      <c r="D45" s="1" t="s">
        <v>1343</v>
      </c>
      <c r="E45" s="1" t="s">
        <v>554</v>
      </c>
      <c r="F45" s="11">
        <f>VLOOKUP(B45,'RM Cost'!A:F,6,0)</f>
        <v>3.6</v>
      </c>
      <c r="G45" s="4"/>
    </row>
    <row r="46" spans="1:7" x14ac:dyDescent="0.25">
      <c r="A46" s="2" t="s">
        <v>1387</v>
      </c>
      <c r="B46" s="1" t="s">
        <v>1167</v>
      </c>
      <c r="C46" s="1" t="str">
        <f>VLOOKUP(B46,'RM Cost'!A:B,2,0)</f>
        <v>RM - MELON ORANGE FLESH X 6</v>
      </c>
      <c r="D46" s="1" t="s">
        <v>1343</v>
      </c>
      <c r="E46" s="1" t="s">
        <v>554</v>
      </c>
      <c r="F46" s="11">
        <f>VLOOKUP(B46,'RM Cost'!A:F,6,0)</f>
        <v>1.32</v>
      </c>
      <c r="G46" s="4"/>
    </row>
    <row r="47" spans="1:7" x14ac:dyDescent="0.25">
      <c r="A47" s="2" t="s">
        <v>1388</v>
      </c>
      <c r="B47" s="1" t="s">
        <v>1151</v>
      </c>
      <c r="C47" s="1" t="str">
        <f>VLOOKUP(B47,'RM Cost'!A:B,2,0)</f>
        <v>RM - PINEAPPLE X 6</v>
      </c>
      <c r="D47" s="1" t="s">
        <v>1343</v>
      </c>
      <c r="E47" s="1" t="s">
        <v>554</v>
      </c>
      <c r="F47" s="11">
        <f>VLOOKUP(B47,'RM Cost'!A:F,6,0)</f>
        <v>0.7</v>
      </c>
      <c r="G47" s="4"/>
    </row>
    <row r="48" spans="1:7" x14ac:dyDescent="0.25">
      <c r="A48" s="2" t="s">
        <v>1389</v>
      </c>
      <c r="B48" s="1" t="s">
        <v>1169</v>
      </c>
      <c r="C48" s="1" t="str">
        <f>VLOOKUP(B48,'RM Cost'!A:B,2,0)</f>
        <v>RM - LARGE MANGO 5/6</v>
      </c>
      <c r="D48" s="1" t="s">
        <v>1343</v>
      </c>
      <c r="E48" s="1" t="s">
        <v>554</v>
      </c>
      <c r="F48" s="11">
        <f>VLOOKUP(B48,'RM Cost'!A:F,6,0)</f>
        <v>2.0799999999999996</v>
      </c>
      <c r="G48" s="4"/>
    </row>
    <row r="49" spans="1:7" x14ac:dyDescent="0.25">
      <c r="A49" s="2" t="s">
        <v>1390</v>
      </c>
      <c r="B49" s="1" t="s">
        <v>1157</v>
      </c>
      <c r="C49" s="1" t="str">
        <f>VLOOKUP(B49,'RM Cost'!A:B,2,0)</f>
        <v>RM - APPLES RED X 125/138</v>
      </c>
      <c r="D49" s="1" t="s">
        <v>1343</v>
      </c>
      <c r="E49" s="1" t="s">
        <v>554</v>
      </c>
      <c r="F49" s="11">
        <f>VLOOKUP(B49,'RM Cost'!A:F,6,0)</f>
        <v>1.1200000000000001</v>
      </c>
      <c r="G49" s="4"/>
    </row>
    <row r="50" spans="1:7" x14ac:dyDescent="0.25">
      <c r="A50" s="2" t="s">
        <v>1391</v>
      </c>
      <c r="B50" s="1" t="s">
        <v>1169</v>
      </c>
      <c r="C50" s="1" t="str">
        <f>VLOOKUP(B50,'RM Cost'!A:B,2,0)</f>
        <v>RM - LARGE MANGO 5/6</v>
      </c>
      <c r="D50" s="1" t="s">
        <v>1343</v>
      </c>
      <c r="E50" s="1" t="s">
        <v>554</v>
      </c>
      <c r="F50" s="11">
        <f>VLOOKUP(B50,'RM Cost'!A:F,6,0)</f>
        <v>2.0799999999999996</v>
      </c>
      <c r="G50" s="4"/>
    </row>
    <row r="51" spans="1:7" x14ac:dyDescent="0.25">
      <c r="A51" s="2" t="s">
        <v>1392</v>
      </c>
      <c r="B51" s="1" t="s">
        <v>1171</v>
      </c>
      <c r="C51" s="1" t="str">
        <f>VLOOKUP(B51,'RM Cost'!A:B,2,0)</f>
        <v>RM - PAPAYA X8 EA</v>
      </c>
      <c r="D51" s="1" t="s">
        <v>1343</v>
      </c>
      <c r="E51" s="1" t="s">
        <v>554</v>
      </c>
      <c r="F51" s="11">
        <f>VLOOKUP(B51,'RM Cost'!A:F,6,0)</f>
        <v>5.52</v>
      </c>
      <c r="G51" s="4"/>
    </row>
    <row r="52" spans="1:7" x14ac:dyDescent="0.25">
      <c r="A52" s="2" t="s">
        <v>1393</v>
      </c>
      <c r="B52" s="1" t="s">
        <v>1187</v>
      </c>
      <c r="C52" s="1" t="str">
        <f>VLOOKUP(B52,'RM Cost'!A:B,2,0)</f>
        <v>RM - PREP ONION WHOLE 10KG</v>
      </c>
      <c r="D52" s="1" t="s">
        <v>1343</v>
      </c>
      <c r="E52" s="1" t="s">
        <v>554</v>
      </c>
      <c r="F52" s="11">
        <f>VLOOKUP(B52,'RM Cost'!A:F,6,0)</f>
        <v>0.87</v>
      </c>
      <c r="G52" s="4"/>
    </row>
    <row r="53" spans="1:7" x14ac:dyDescent="0.25">
      <c r="A53" s="2" t="s">
        <v>1394</v>
      </c>
      <c r="B53" s="1" t="s">
        <v>1129</v>
      </c>
      <c r="C53" s="1" t="str">
        <f>VLOOKUP(B53,'RM Cost'!A:B,2,0)</f>
        <v>RM - COURGETTE STANDARD</v>
      </c>
      <c r="D53" s="1" t="s">
        <v>1343</v>
      </c>
      <c r="E53" s="1" t="s">
        <v>554</v>
      </c>
      <c r="F53" s="11">
        <f>VLOOKUP(B53,'RM Cost'!A:F,6,0)</f>
        <v>1.1000000000000001</v>
      </c>
      <c r="G53" s="4"/>
    </row>
    <row r="54" spans="1:7" x14ac:dyDescent="0.25">
      <c r="A54" s="2" t="s">
        <v>1395</v>
      </c>
      <c r="B54" s="1" t="s">
        <v>1173</v>
      </c>
      <c r="C54" s="1" t="str">
        <f>VLOOKUP(B54,'RM Cost'!A:B,2,0)</f>
        <v>RM - CORN BABY  12 X 80G</v>
      </c>
      <c r="D54" s="1" t="s">
        <v>1343</v>
      </c>
      <c r="E54" s="1" t="s">
        <v>554</v>
      </c>
      <c r="F54" s="11">
        <f>VLOOKUP(B54,'RM Cost'!A:F,6,0)</f>
        <v>6.88</v>
      </c>
      <c r="G54" s="4"/>
    </row>
    <row r="55" spans="1:7" x14ac:dyDescent="0.25">
      <c r="A55" s="2" t="s">
        <v>1396</v>
      </c>
      <c r="B55" s="1" t="s">
        <v>1826</v>
      </c>
      <c r="C55" s="1" t="str">
        <f>VLOOKUP(B55,'RM Cost'!A:B,2,0)</f>
        <v>RM - CELERY 1 X 12</v>
      </c>
      <c r="D55" s="1" t="s">
        <v>1343</v>
      </c>
      <c r="E55" s="1" t="s">
        <v>554</v>
      </c>
      <c r="F55" s="11">
        <f>VLOOKUP(B55,'RM Cost'!A:F,6,0)</f>
        <v>0.91</v>
      </c>
      <c r="G55" s="4"/>
    </row>
    <row r="56" spans="1:7" x14ac:dyDescent="0.25">
      <c r="A56" s="2" t="s">
        <v>1397</v>
      </c>
      <c r="B56" s="1" t="s">
        <v>1831</v>
      </c>
      <c r="C56" s="1" t="str">
        <f>VLOOKUP(B56,'RM Cost'!A:B,2,0)</f>
        <v>PEPPERS RED X 5KG</v>
      </c>
      <c r="D56" s="1" t="s">
        <v>1343</v>
      </c>
      <c r="E56" s="1" t="s">
        <v>554</v>
      </c>
      <c r="F56" s="11">
        <f>VLOOKUP(B56,'RM Cost'!A:F,6,0)</f>
        <v>1.72</v>
      </c>
      <c r="G56" s="4"/>
    </row>
    <row r="57" spans="1:7" x14ac:dyDescent="0.25">
      <c r="A57" s="2" t="s">
        <v>1398</v>
      </c>
      <c r="B57" s="1" t="s">
        <v>1830</v>
      </c>
      <c r="C57" s="1" t="str">
        <f>VLOOKUP(B57,'RM Cost'!A:B,2,0)</f>
        <v>RM - PEPPERS GREEN  X 5KG</v>
      </c>
      <c r="D57" s="1" t="s">
        <v>1343</v>
      </c>
      <c r="E57" s="1" t="s">
        <v>554</v>
      </c>
      <c r="F57" s="11">
        <f>VLOOKUP(B57,'RM Cost'!A:F,6,0)</f>
        <v>1.76</v>
      </c>
      <c r="G57" s="4"/>
    </row>
    <row r="58" spans="1:7" x14ac:dyDescent="0.25">
      <c r="A58" s="2" t="s">
        <v>1399</v>
      </c>
      <c r="B58" s="1" t="s">
        <v>3466</v>
      </c>
      <c r="C58" s="1" t="str">
        <f>VLOOKUP(B58,'RM Cost'!A:B,2,0)</f>
        <v>RM - PEPPERS YELLOW  X 5KG</v>
      </c>
      <c r="D58" s="1" t="s">
        <v>1343</v>
      </c>
      <c r="E58" s="1" t="s">
        <v>554</v>
      </c>
      <c r="F58" s="11">
        <f>VLOOKUP(B58,'RM Cost'!A:F,6,0)</f>
        <v>1.68</v>
      </c>
      <c r="G58" s="4"/>
    </row>
    <row r="59" spans="1:7" x14ac:dyDescent="0.25">
      <c r="A59" s="2" t="s">
        <v>1400</v>
      </c>
      <c r="B59" s="1" t="s">
        <v>1181</v>
      </c>
      <c r="C59" s="1" t="str">
        <f>VLOOKUP(B59,'RM Cost'!A:B,2,0)</f>
        <v>RM - AUBERGINE 5KG</v>
      </c>
      <c r="D59" s="1" t="s">
        <v>1343</v>
      </c>
      <c r="E59" s="1" t="s">
        <v>554</v>
      </c>
      <c r="F59" s="11">
        <f>VLOOKUP(B59,'RM Cost'!A:F,6,0)</f>
        <v>1.34</v>
      </c>
      <c r="G59" s="4"/>
    </row>
    <row r="60" spans="1:7" x14ac:dyDescent="0.25">
      <c r="A60" s="2" t="s">
        <v>1401</v>
      </c>
      <c r="B60" s="1" t="s">
        <v>1129</v>
      </c>
      <c r="C60" s="1" t="str">
        <f>VLOOKUP(B60,'RM Cost'!A:B,2,0)</f>
        <v>RM - COURGETTE STANDARD</v>
      </c>
      <c r="D60" s="1" t="s">
        <v>1343</v>
      </c>
      <c r="E60" s="1" t="s">
        <v>554</v>
      </c>
      <c r="F60" s="11">
        <f>VLOOKUP(B60,'RM Cost'!A:F,6,0)</f>
        <v>1.1000000000000001</v>
      </c>
      <c r="G60" s="4"/>
    </row>
    <row r="61" spans="1:7" x14ac:dyDescent="0.25">
      <c r="A61" s="2" t="s">
        <v>1402</v>
      </c>
      <c r="B61" s="1" t="s">
        <v>1778</v>
      </c>
      <c r="C61" s="1" t="str">
        <f>VLOOKUP(B61,'RM Cost'!A:B,2,0)</f>
        <v>RM - PREP ONION RED WHOLE 2.5KG</v>
      </c>
      <c r="D61" s="1" t="s">
        <v>1343</v>
      </c>
      <c r="E61" s="1" t="s">
        <v>554</v>
      </c>
      <c r="F61" s="11">
        <f>VLOOKUP(B61,'RM Cost'!A:F,6,0)</f>
        <v>1.08</v>
      </c>
      <c r="G61" s="4"/>
    </row>
    <row r="62" spans="1:7" x14ac:dyDescent="0.25">
      <c r="A62" s="2" t="s">
        <v>1403</v>
      </c>
      <c r="B62" s="1" t="s">
        <v>1187</v>
      </c>
      <c r="C62" s="1" t="str">
        <f>VLOOKUP(B62,'RM Cost'!A:B,2,0)</f>
        <v>RM - PREP ONION WHOLE 10KG</v>
      </c>
      <c r="D62" s="1" t="s">
        <v>1343</v>
      </c>
      <c r="E62" s="1" t="s">
        <v>554</v>
      </c>
      <c r="F62" s="11">
        <f>VLOOKUP(B62,'RM Cost'!A:F,6,0)</f>
        <v>0.87</v>
      </c>
      <c r="G62" s="4"/>
    </row>
    <row r="63" spans="1:7" x14ac:dyDescent="0.25">
      <c r="A63" s="2" t="s">
        <v>1404</v>
      </c>
      <c r="B63" s="1" t="s">
        <v>1119</v>
      </c>
      <c r="C63" s="1" t="str">
        <f>VLOOKUP(B63,'RM Cost'!A:B,2,0)</f>
        <v>RM - ORI MOOLI X 15 EA</v>
      </c>
      <c r="D63" s="1" t="s">
        <v>1343</v>
      </c>
      <c r="E63" s="1" t="s">
        <v>554</v>
      </c>
      <c r="F63" s="11">
        <f>VLOOKUP(B63,'RM Cost'!A:F,6,0)</f>
        <v>1.23</v>
      </c>
      <c r="G63" s="4"/>
    </row>
    <row r="64" spans="1:7" x14ac:dyDescent="0.25">
      <c r="A64" s="2" t="s">
        <v>1405</v>
      </c>
      <c r="B64" s="1" t="s">
        <v>1125</v>
      </c>
      <c r="C64" s="1" t="str">
        <f>VLOOKUP(B64,'RM Cost'!A:B,2,0)</f>
        <v>RM - SAVOY CABBAGE 1 X 5KG</v>
      </c>
      <c r="D64" s="1" t="s">
        <v>1343</v>
      </c>
      <c r="E64" s="1" t="s">
        <v>554</v>
      </c>
      <c r="F64" s="11">
        <f>VLOOKUP(B64,'RM Cost'!A:F,6,0)</f>
        <v>0.76</v>
      </c>
      <c r="G64" s="4"/>
    </row>
    <row r="65" spans="1:7" x14ac:dyDescent="0.25">
      <c r="A65" s="1" t="s">
        <v>1406</v>
      </c>
      <c r="B65" s="1" t="s">
        <v>1187</v>
      </c>
      <c r="C65" s="1" t="str">
        <f>VLOOKUP(B65,'RM Cost'!A:B,2,0)</f>
        <v>RM - PREP ONION WHOLE 10KG</v>
      </c>
      <c r="D65" s="1" t="s">
        <v>1343</v>
      </c>
      <c r="E65" s="1" t="s">
        <v>554</v>
      </c>
      <c r="F65" s="11">
        <f>VLOOKUP(B65,'RM Cost'!A:F,6,0)</f>
        <v>0.87</v>
      </c>
      <c r="G65" s="4"/>
    </row>
    <row r="66" spans="1:7" x14ac:dyDescent="0.25">
      <c r="A66" s="2" t="s">
        <v>1407</v>
      </c>
      <c r="B66" s="1" t="s">
        <v>1181</v>
      </c>
      <c r="C66" s="1" t="str">
        <f>VLOOKUP(B66,'RM Cost'!A:B,2,0)</f>
        <v>RM - AUBERGINE 5KG</v>
      </c>
      <c r="D66" s="1" t="s">
        <v>1343</v>
      </c>
      <c r="E66" s="1" t="s">
        <v>554</v>
      </c>
      <c r="F66" s="11">
        <f>VLOOKUP(B66,'RM Cost'!A:F,6,0)</f>
        <v>1.34</v>
      </c>
      <c r="G66" s="4"/>
    </row>
    <row r="67" spans="1:7" x14ac:dyDescent="0.25">
      <c r="A67" s="2" t="s">
        <v>1408</v>
      </c>
      <c r="B67" s="1" t="s">
        <v>1129</v>
      </c>
      <c r="C67" s="1" t="str">
        <f>VLOOKUP(B67,'RM Cost'!A:B,2,0)</f>
        <v>RM - COURGETTE STANDARD</v>
      </c>
      <c r="D67" s="1" t="s">
        <v>1343</v>
      </c>
      <c r="E67" s="1" t="s">
        <v>554</v>
      </c>
      <c r="F67" s="11">
        <f>VLOOKUP(B67,'RM Cost'!A:F,6,0)</f>
        <v>1.1000000000000001</v>
      </c>
      <c r="G67" s="4"/>
    </row>
    <row r="68" spans="1:7" x14ac:dyDescent="0.25">
      <c r="A68" s="2" t="s">
        <v>1409</v>
      </c>
      <c r="B68" s="1" t="s">
        <v>1778</v>
      </c>
      <c r="C68" s="1" t="str">
        <f>VLOOKUP(B68,'RM Cost'!A:B,2,0)</f>
        <v>RM - PREP ONION RED WHOLE 2.5KG</v>
      </c>
      <c r="D68" s="1" t="s">
        <v>1343</v>
      </c>
      <c r="E68" s="1" t="s">
        <v>554</v>
      </c>
      <c r="F68" s="11">
        <f>VLOOKUP(B68,'RM Cost'!A:F,6,0)</f>
        <v>1.08</v>
      </c>
      <c r="G68" s="4"/>
    </row>
    <row r="69" spans="1:7" x14ac:dyDescent="0.25">
      <c r="A69" s="1" t="s">
        <v>1410</v>
      </c>
      <c r="B69" s="1" t="s">
        <v>1187</v>
      </c>
      <c r="C69" s="1" t="str">
        <f>VLOOKUP(B69,'RM Cost'!A:B,2,0)</f>
        <v>RM - PREP ONION WHOLE 10KG</v>
      </c>
      <c r="D69" s="1" t="s">
        <v>1343</v>
      </c>
      <c r="E69" s="1" t="s">
        <v>554</v>
      </c>
      <c r="F69" s="11">
        <f>VLOOKUP(B69,'RM Cost'!A:F,6,0)</f>
        <v>0.87</v>
      </c>
      <c r="G69" s="4"/>
    </row>
    <row r="70" spans="1:7" x14ac:dyDescent="0.25">
      <c r="A70" s="2" t="s">
        <v>1411</v>
      </c>
      <c r="B70" s="1" t="s">
        <v>1831</v>
      </c>
      <c r="C70" s="1" t="str">
        <f>VLOOKUP(B70,'RM Cost'!A:B,2,0)</f>
        <v>PEPPERS RED X 5KG</v>
      </c>
      <c r="D70" s="1" t="s">
        <v>1343</v>
      </c>
      <c r="E70" s="1" t="s">
        <v>554</v>
      </c>
      <c r="F70" s="11">
        <f>VLOOKUP(B70,'RM Cost'!A:F,6,0)</f>
        <v>1.72</v>
      </c>
      <c r="G70" s="4"/>
    </row>
    <row r="71" spans="1:7" x14ac:dyDescent="0.25">
      <c r="A71" s="2" t="s">
        <v>1412</v>
      </c>
      <c r="B71" s="1" t="s">
        <v>1830</v>
      </c>
      <c r="C71" s="1" t="str">
        <f>VLOOKUP(B71,'RM Cost'!A:B,2,0)</f>
        <v>RM - PEPPERS GREEN  X 5KG</v>
      </c>
      <c r="D71" s="1" t="s">
        <v>1343</v>
      </c>
      <c r="E71" s="1" t="s">
        <v>554</v>
      </c>
      <c r="F71" s="11">
        <f>VLOOKUP(B71,'RM Cost'!A:F,6,0)</f>
        <v>1.76</v>
      </c>
      <c r="G71" s="4"/>
    </row>
    <row r="72" spans="1:7" x14ac:dyDescent="0.25">
      <c r="A72" s="2" t="s">
        <v>1413</v>
      </c>
      <c r="B72" s="1" t="s">
        <v>3466</v>
      </c>
      <c r="C72" s="1" t="str">
        <f>VLOOKUP(B72,'RM Cost'!A:B,2,0)</f>
        <v>RM - PEPPERS YELLOW  X 5KG</v>
      </c>
      <c r="D72" s="1" t="s">
        <v>1343</v>
      </c>
      <c r="E72" s="1" t="s">
        <v>554</v>
      </c>
      <c r="F72" s="11">
        <f>VLOOKUP(B72,'RM Cost'!A:F,6,0)</f>
        <v>1.68</v>
      </c>
      <c r="G72" s="4"/>
    </row>
    <row r="73" spans="1:7" x14ac:dyDescent="0.25">
      <c r="A73" s="2" t="s">
        <v>1414</v>
      </c>
      <c r="B73" s="1" t="s">
        <v>1830</v>
      </c>
      <c r="C73" s="1" t="str">
        <f>VLOOKUP(B73,'RM Cost'!A:B,2,0)</f>
        <v>RM - PEPPERS GREEN  X 5KG</v>
      </c>
      <c r="D73" s="1" t="s">
        <v>1343</v>
      </c>
      <c r="E73" s="1" t="s">
        <v>554</v>
      </c>
      <c r="F73" s="11">
        <f>VLOOKUP(B73,'RM Cost'!A:F,6,0)</f>
        <v>1.76</v>
      </c>
      <c r="G73" s="4"/>
    </row>
    <row r="74" spans="1:7" x14ac:dyDescent="0.25">
      <c r="A74" s="2" t="s">
        <v>1415</v>
      </c>
      <c r="B74" s="1" t="s">
        <v>1831</v>
      </c>
      <c r="C74" s="1" t="str">
        <f>VLOOKUP(B74,'RM Cost'!A:B,2,0)</f>
        <v>PEPPERS RED X 5KG</v>
      </c>
      <c r="D74" s="1" t="s">
        <v>1343</v>
      </c>
      <c r="E74" s="1" t="s">
        <v>554</v>
      </c>
      <c r="F74" s="11">
        <f>VLOOKUP(B74,'RM Cost'!A:F,6,0)</f>
        <v>1.72</v>
      </c>
      <c r="G74" s="4"/>
    </row>
    <row r="75" spans="1:7" x14ac:dyDescent="0.25">
      <c r="A75" s="2" t="s">
        <v>1416</v>
      </c>
      <c r="B75" s="1" t="s">
        <v>3466</v>
      </c>
      <c r="C75" s="1" t="str">
        <f>VLOOKUP(B75,'RM Cost'!A:B,2,0)</f>
        <v>RM - PEPPERS YELLOW  X 5KG</v>
      </c>
      <c r="D75" s="1" t="s">
        <v>1343</v>
      </c>
      <c r="E75" s="1" t="s">
        <v>554</v>
      </c>
      <c r="F75" s="11">
        <f>VLOOKUP(B75,'RM Cost'!A:F,6,0)</f>
        <v>1.68</v>
      </c>
      <c r="G75" s="4"/>
    </row>
    <row r="76" spans="1:7" x14ac:dyDescent="0.25">
      <c r="A76" s="2" t="s">
        <v>1417</v>
      </c>
      <c r="B76" s="1" t="s">
        <v>1830</v>
      </c>
      <c r="C76" s="1" t="str">
        <f>VLOOKUP(B76,'RM Cost'!A:B,2,0)</f>
        <v>RM - PEPPERS GREEN  X 5KG</v>
      </c>
      <c r="D76" s="1" t="s">
        <v>1343</v>
      </c>
      <c r="E76" s="1" t="s">
        <v>554</v>
      </c>
      <c r="F76" s="11">
        <f>VLOOKUP(B76,'RM Cost'!A:F,6,0)</f>
        <v>1.76</v>
      </c>
      <c r="G76" s="4"/>
    </row>
    <row r="77" spans="1:7" x14ac:dyDescent="0.25">
      <c r="A77" s="2" t="s">
        <v>1418</v>
      </c>
      <c r="B77" s="1" t="s">
        <v>1831</v>
      </c>
      <c r="C77" s="1" t="str">
        <f>VLOOKUP(B77,'RM Cost'!A:B,2,0)</f>
        <v>PEPPERS RED X 5KG</v>
      </c>
      <c r="D77" s="1" t="s">
        <v>1343</v>
      </c>
      <c r="E77" s="1" t="s">
        <v>554</v>
      </c>
      <c r="F77" s="11">
        <f>VLOOKUP(B77,'RM Cost'!A:F,6,0)</f>
        <v>1.72</v>
      </c>
      <c r="G77" s="4"/>
    </row>
    <row r="78" spans="1:7" x14ac:dyDescent="0.25">
      <c r="A78" s="2" t="s">
        <v>1419</v>
      </c>
      <c r="B78" s="1" t="s">
        <v>3466</v>
      </c>
      <c r="C78" s="1" t="str">
        <f>VLOOKUP(B78,'RM Cost'!A:B,2,0)</f>
        <v>RM - PEPPERS YELLOW  X 5KG</v>
      </c>
      <c r="D78" s="1" t="s">
        <v>1343</v>
      </c>
      <c r="E78" s="1" t="s">
        <v>554</v>
      </c>
      <c r="F78" s="11">
        <f>VLOOKUP(B78,'RM Cost'!A:F,6,0)</f>
        <v>1.68</v>
      </c>
      <c r="G78" s="4"/>
    </row>
    <row r="79" spans="1:7" x14ac:dyDescent="0.25">
      <c r="A79" s="2" t="s">
        <v>1420</v>
      </c>
      <c r="B79" s="1" t="s">
        <v>1115</v>
      </c>
      <c r="C79" s="1" t="str">
        <f>VLOOKUP(B79,'RM Cost'!A:B,2,0)</f>
        <v>RM - LRG PROCESSING CARROT X 1000KG</v>
      </c>
      <c r="D79" s="1" t="s">
        <v>1343</v>
      </c>
      <c r="E79" s="1" t="s">
        <v>554</v>
      </c>
      <c r="F79" s="11">
        <f>VLOOKUP(B79,'RM Cost'!A:F,6,0)</f>
        <v>0.38</v>
      </c>
      <c r="G79" s="4"/>
    </row>
    <row r="80" spans="1:7" x14ac:dyDescent="0.25">
      <c r="A80" s="2" t="s">
        <v>1421</v>
      </c>
      <c r="B80" s="1" t="s">
        <v>1123</v>
      </c>
      <c r="C80" s="1" t="str">
        <f>VLOOKUP(B80,'RM Cost'!A:B,2,0)</f>
        <v>RM - DECORED RED CABBAGE 1/3 1200KG</v>
      </c>
      <c r="D80" s="1" t="s">
        <v>1343</v>
      </c>
      <c r="E80" s="1" t="s">
        <v>554</v>
      </c>
      <c r="F80" s="11">
        <f>VLOOKUP(B80,'RM Cost'!A:F,6,0)</f>
        <v>0.38</v>
      </c>
      <c r="G80" s="4"/>
    </row>
    <row r="81" spans="1:7" x14ac:dyDescent="0.25">
      <c r="A81" s="2" t="s">
        <v>1422</v>
      </c>
      <c r="B81" s="1" t="s">
        <v>1187</v>
      </c>
      <c r="C81" s="1" t="str">
        <f>VLOOKUP(B81,'RM Cost'!A:B,2,0)</f>
        <v>RM - PREP ONION WHOLE 10KG</v>
      </c>
      <c r="D81" s="1" t="s">
        <v>1343</v>
      </c>
      <c r="E81" s="1" t="s">
        <v>554</v>
      </c>
      <c r="F81" s="11">
        <f>VLOOKUP(B81,'RM Cost'!A:F,6,0)</f>
        <v>0.87</v>
      </c>
      <c r="G81" s="4"/>
    </row>
    <row r="82" spans="1:7" x14ac:dyDescent="0.25">
      <c r="A82" s="2" t="s">
        <v>1423</v>
      </c>
      <c r="B82" s="1" t="s">
        <v>1778</v>
      </c>
      <c r="C82" s="1" t="str">
        <f>VLOOKUP(B82,'RM Cost'!A:B,2,0)</f>
        <v>RM - PREP ONION RED WHOLE 2.5KG</v>
      </c>
      <c r="D82" s="1" t="s">
        <v>1343</v>
      </c>
      <c r="E82" s="1" t="s">
        <v>554</v>
      </c>
      <c r="F82" s="11">
        <f>VLOOKUP(B82,'RM Cost'!A:F,6,0)</f>
        <v>1.08</v>
      </c>
      <c r="G82" s="4"/>
    </row>
    <row r="83" spans="1:7" x14ac:dyDescent="0.25">
      <c r="A83" s="2" t="s">
        <v>1424</v>
      </c>
      <c r="B83" s="1" t="s">
        <v>1129</v>
      </c>
      <c r="C83" s="1" t="str">
        <f>VLOOKUP(B83,'RM Cost'!A:B,2,0)</f>
        <v>RM - COURGETTE STANDARD</v>
      </c>
      <c r="D83" s="1" t="s">
        <v>1343</v>
      </c>
      <c r="E83" s="1" t="s">
        <v>554</v>
      </c>
      <c r="F83" s="11">
        <f>VLOOKUP(B83,'RM Cost'!A:F,6,0)</f>
        <v>1.1000000000000001</v>
      </c>
      <c r="G83" s="4"/>
    </row>
    <row r="84" spans="1:7" x14ac:dyDescent="0.25">
      <c r="A84" s="1" t="s">
        <v>1425</v>
      </c>
      <c r="B84" s="1" t="s">
        <v>1181</v>
      </c>
      <c r="C84" s="1" t="str">
        <f>VLOOKUP(B84,'RM Cost'!A:B,2,0)</f>
        <v>RM - AUBERGINE 5KG</v>
      </c>
      <c r="D84" s="1" t="s">
        <v>1343</v>
      </c>
      <c r="E84" s="1" t="s">
        <v>554</v>
      </c>
      <c r="F84" s="11">
        <f>VLOOKUP(B84,'RM Cost'!A:F,6,0)</f>
        <v>1.34</v>
      </c>
      <c r="G84" s="4"/>
    </row>
    <row r="85" spans="1:7" x14ac:dyDescent="0.25">
      <c r="A85" s="2" t="s">
        <v>1426</v>
      </c>
      <c r="B85" s="1" t="s">
        <v>1826</v>
      </c>
      <c r="C85" s="1" t="str">
        <f>VLOOKUP(B85,'RM Cost'!A:B,2,0)</f>
        <v>RM - CELERY 1 X 12</v>
      </c>
      <c r="D85" s="1" t="s">
        <v>1343</v>
      </c>
      <c r="E85" s="1" t="s">
        <v>554</v>
      </c>
      <c r="F85" s="11">
        <f>VLOOKUP(B85,'RM Cost'!A:F,6,0)</f>
        <v>0.91</v>
      </c>
      <c r="G85" s="4"/>
    </row>
    <row r="86" spans="1:7" x14ac:dyDescent="0.25">
      <c r="A86" s="2" t="s">
        <v>1427</v>
      </c>
      <c r="B86" s="1" t="s">
        <v>1830</v>
      </c>
      <c r="C86" s="1" t="str">
        <f>VLOOKUP(B86,'RM Cost'!A:B,2,0)</f>
        <v>RM - PEPPERS GREEN  X 5KG</v>
      </c>
      <c r="D86" s="1" t="s">
        <v>1343</v>
      </c>
      <c r="E86" s="1" t="s">
        <v>554</v>
      </c>
      <c r="F86" s="11">
        <f>VLOOKUP(B86,'RM Cost'!A:F,6,0)</f>
        <v>1.76</v>
      </c>
      <c r="G86" s="4"/>
    </row>
    <row r="87" spans="1:7" x14ac:dyDescent="0.25">
      <c r="A87" s="2" t="s">
        <v>1428</v>
      </c>
      <c r="B87" s="1" t="s">
        <v>3466</v>
      </c>
      <c r="C87" s="1" t="str">
        <f>VLOOKUP(B87,'RM Cost'!A:B,2,0)</f>
        <v>RM - PEPPERS YELLOW  X 5KG</v>
      </c>
      <c r="D87" s="1" t="s">
        <v>1343</v>
      </c>
      <c r="E87" s="1" t="s">
        <v>554</v>
      </c>
      <c r="F87" s="11">
        <f>VLOOKUP(B87,'RM Cost'!A:F,6,0)</f>
        <v>1.68</v>
      </c>
      <c r="G87" s="4"/>
    </row>
    <row r="88" spans="1:7" x14ac:dyDescent="0.25">
      <c r="A88" s="2" t="s">
        <v>1429</v>
      </c>
      <c r="B88" s="1" t="s">
        <v>1831</v>
      </c>
      <c r="C88" s="1" t="str">
        <f>VLOOKUP(B88,'RM Cost'!A:B,2,0)</f>
        <v>PEPPERS RED X 5KG</v>
      </c>
      <c r="D88" s="1" t="s">
        <v>1343</v>
      </c>
      <c r="E88" s="1" t="s">
        <v>554</v>
      </c>
      <c r="F88" s="11">
        <f>VLOOKUP(B88,'RM Cost'!A:F,6,0)</f>
        <v>1.72</v>
      </c>
      <c r="G88" s="4"/>
    </row>
    <row r="89" spans="1:7" x14ac:dyDescent="0.25">
      <c r="A89" s="1" t="s">
        <v>1430</v>
      </c>
      <c r="B89" s="1" t="s">
        <v>1115</v>
      </c>
      <c r="C89" s="1" t="str">
        <f>VLOOKUP(B89,'RM Cost'!A:B,2,0)</f>
        <v>RM - LRG PROCESSING CARROT X 1000KG</v>
      </c>
      <c r="D89" s="1" t="s">
        <v>1343</v>
      </c>
      <c r="E89" s="1" t="s">
        <v>554</v>
      </c>
      <c r="F89" s="11">
        <f>VLOOKUP(B89,'RM Cost'!A:F,6,0)</f>
        <v>0.38</v>
      </c>
      <c r="G89" s="4"/>
    </row>
    <row r="90" spans="1:7" x14ac:dyDescent="0.25">
      <c r="A90" s="1" t="s">
        <v>1431</v>
      </c>
      <c r="B90" s="1" t="s">
        <v>1115</v>
      </c>
      <c r="C90" s="1" t="str">
        <f>VLOOKUP(B90,'RM Cost'!A:B,2,0)</f>
        <v>RM - LRG PROCESSING CARROT X 1000KG</v>
      </c>
      <c r="D90" s="1" t="s">
        <v>1343</v>
      </c>
      <c r="E90" s="1" t="s">
        <v>554</v>
      </c>
      <c r="F90" s="11">
        <f>VLOOKUP(B90,'RM Cost'!A:F,6,0)</f>
        <v>0.38</v>
      </c>
      <c r="G90" s="4"/>
    </row>
    <row r="91" spans="1:7" x14ac:dyDescent="0.25">
      <c r="A91" s="1" t="s">
        <v>1432</v>
      </c>
      <c r="B91" s="1" t="s">
        <v>1115</v>
      </c>
      <c r="C91" s="1" t="str">
        <f>VLOOKUP(B91,'RM Cost'!A:B,2,0)</f>
        <v>RM - LRG PROCESSING CARROT X 1000KG</v>
      </c>
      <c r="D91" s="1" t="s">
        <v>1343</v>
      </c>
      <c r="E91" s="1" t="s">
        <v>554</v>
      </c>
      <c r="F91" s="11">
        <f>VLOOKUP(B91,'RM Cost'!A:F,6,0)</f>
        <v>0.38</v>
      </c>
      <c r="G91" s="4"/>
    </row>
    <row r="92" spans="1:7" x14ac:dyDescent="0.25">
      <c r="A92" s="1" t="s">
        <v>1433</v>
      </c>
      <c r="B92" s="1" t="s">
        <v>1115</v>
      </c>
      <c r="C92" s="1" t="str">
        <f>VLOOKUP(B92,'RM Cost'!A:B,2,0)</f>
        <v>RM - LRG PROCESSING CARROT X 1000KG</v>
      </c>
      <c r="D92" s="1" t="s">
        <v>1343</v>
      </c>
      <c r="E92" s="1" t="s">
        <v>554</v>
      </c>
      <c r="F92" s="11">
        <f>VLOOKUP(B92,'RM Cost'!A:F,6,0)</f>
        <v>0.38</v>
      </c>
      <c r="G92" s="4"/>
    </row>
    <row r="93" spans="1:7" x14ac:dyDescent="0.25">
      <c r="A93" s="1" t="s">
        <v>1434</v>
      </c>
      <c r="B93" s="1" t="s">
        <v>1185</v>
      </c>
      <c r="C93" s="1" t="str">
        <f>VLOOKUP(B93,'RM Cost'!A:B,2,0)</f>
        <v>RM - GINGER FROZEN 10KG</v>
      </c>
      <c r="D93" s="1" t="s">
        <v>1343</v>
      </c>
      <c r="E93" s="1" t="s">
        <v>554</v>
      </c>
      <c r="F93" s="11">
        <f>VLOOKUP(B93,'RM Cost'!A:F,6,0)</f>
        <v>1.64</v>
      </c>
      <c r="G93" s="4"/>
    </row>
    <row r="94" spans="1:7" x14ac:dyDescent="0.25">
      <c r="A94" s="1" t="s">
        <v>1435</v>
      </c>
      <c r="B94" s="1" t="s">
        <v>1187</v>
      </c>
      <c r="C94" s="1" t="str">
        <f>VLOOKUP(B94,'RM Cost'!A:B,2,0)</f>
        <v>RM - PREP ONION WHOLE 10KG</v>
      </c>
      <c r="D94" s="1" t="s">
        <v>1343</v>
      </c>
      <c r="E94" s="1" t="s">
        <v>554</v>
      </c>
      <c r="F94" s="11">
        <f>VLOOKUP(B94,'RM Cost'!A:F,6,0)</f>
        <v>0.87</v>
      </c>
      <c r="G94" s="4"/>
    </row>
    <row r="95" spans="1:7" x14ac:dyDescent="0.25">
      <c r="A95" s="1" t="s">
        <v>1436</v>
      </c>
      <c r="B95" s="1" t="s">
        <v>1831</v>
      </c>
      <c r="C95" s="1" t="str">
        <f>VLOOKUP(B95,'RM Cost'!A:B,2,0)</f>
        <v>PEPPERS RED X 5KG</v>
      </c>
      <c r="D95" s="1" t="s">
        <v>1343</v>
      </c>
      <c r="E95" s="1" t="s">
        <v>554</v>
      </c>
      <c r="F95" s="11">
        <f>VLOOKUP(B95,'RM Cost'!A:F,6,0)</f>
        <v>1.72</v>
      </c>
      <c r="G95" s="4"/>
    </row>
    <row r="96" spans="1:7" x14ac:dyDescent="0.25">
      <c r="A96" s="1" t="s">
        <v>1437</v>
      </c>
      <c r="B96" s="1" t="s">
        <v>1713</v>
      </c>
      <c r="C96" s="1" t="str">
        <f>VLOOKUP(B96,'RM Cost'!A:B,2,0)</f>
        <v>RM - PROCESSING LEEKS 5KG</v>
      </c>
      <c r="D96" s="1" t="s">
        <v>1343</v>
      </c>
      <c r="E96" s="1" t="s">
        <v>554</v>
      </c>
      <c r="F96" s="11">
        <f>VLOOKUP(B96,'RM Cost'!A:F,6,0)</f>
        <v>1.05</v>
      </c>
      <c r="G96" s="4"/>
    </row>
    <row r="97" spans="1:7" x14ac:dyDescent="0.25">
      <c r="A97" s="1" t="s">
        <v>1438</v>
      </c>
      <c r="B97" t="s">
        <v>1338</v>
      </c>
      <c r="C97" s="1" t="str">
        <f>VLOOKUP(B97,'RM Cost'!A:B,2,0)</f>
        <v>RM - BUTTERNUT SQUASH BIN X 625KG</v>
      </c>
      <c r="D97" s="1" t="s">
        <v>1343</v>
      </c>
      <c r="E97" s="1" t="s">
        <v>554</v>
      </c>
      <c r="F97" s="11">
        <f>VLOOKUP(B97,'RM Cost'!A:F,6,0)</f>
        <v>0.65</v>
      </c>
      <c r="G97" s="4"/>
    </row>
    <row r="98" spans="1:7" x14ac:dyDescent="0.25">
      <c r="A98" s="1" t="s">
        <v>1439</v>
      </c>
      <c r="B98" s="1" t="s">
        <v>1129</v>
      </c>
      <c r="C98" s="1" t="str">
        <f>VLOOKUP(B98,'RM Cost'!A:B,2,0)</f>
        <v>RM - COURGETTE STANDARD</v>
      </c>
      <c r="D98" s="1" t="s">
        <v>1343</v>
      </c>
      <c r="E98" s="1" t="s">
        <v>554</v>
      </c>
      <c r="F98" s="11">
        <f>VLOOKUP(B98,'RM Cost'!A:F,6,0)</f>
        <v>1.1000000000000001</v>
      </c>
      <c r="G98" s="4"/>
    </row>
    <row r="99" spans="1:7" x14ac:dyDescent="0.25">
      <c r="A99" s="1" t="s">
        <v>1440</v>
      </c>
      <c r="B99" s="1" t="s">
        <v>1187</v>
      </c>
      <c r="C99" s="1" t="str">
        <f>VLOOKUP(B99,'RM Cost'!A:B,2,0)</f>
        <v>RM - PREP ONION WHOLE 10KG</v>
      </c>
      <c r="D99" s="1" t="s">
        <v>1343</v>
      </c>
      <c r="E99" s="1" t="s">
        <v>554</v>
      </c>
      <c r="F99" s="11">
        <f>VLOOKUP(B99,'RM Cost'!A:F,6,0)</f>
        <v>0.87</v>
      </c>
      <c r="G99" s="4"/>
    </row>
    <row r="100" spans="1:7" x14ac:dyDescent="0.25">
      <c r="A100" s="1" t="s">
        <v>1441</v>
      </c>
      <c r="B100" s="1" t="s">
        <v>1192</v>
      </c>
      <c r="C100" s="1" t="str">
        <f>VLOOKUP(B100,'RM Cost'!A:B,2,0)</f>
        <v>RM - GRAPEFRUIT RUBY RED X40EA</v>
      </c>
      <c r="D100" s="1" t="s">
        <v>1343</v>
      </c>
      <c r="E100" s="1" t="s">
        <v>554</v>
      </c>
      <c r="F100" s="11">
        <f>VLOOKUP(B100,'RM Cost'!A:F,6,0)</f>
        <v>1</v>
      </c>
      <c r="G100" s="4"/>
    </row>
    <row r="101" spans="1:7" x14ac:dyDescent="0.25">
      <c r="A101" s="1" t="s">
        <v>1442</v>
      </c>
      <c r="B101" s="1" t="s">
        <v>1194</v>
      </c>
      <c r="C101" s="1" t="str">
        <f>VLOOKUP(B101,'RM Cost'!A:B,2,0)</f>
        <v>RM - LEMON x 120-138</v>
      </c>
      <c r="D101" s="1" t="s">
        <v>1343</v>
      </c>
      <c r="E101" s="1" t="s">
        <v>554</v>
      </c>
      <c r="F101" s="11">
        <f>VLOOKUP(B101,'RM Cost'!A:F,6,0)</f>
        <v>0.98</v>
      </c>
      <c r="G101" s="4"/>
    </row>
    <row r="102" spans="1:7" x14ac:dyDescent="0.25">
      <c r="A102" s="1" t="s">
        <v>1443</v>
      </c>
      <c r="B102" s="1" t="s">
        <v>1151</v>
      </c>
      <c r="C102" s="1" t="str">
        <f>VLOOKUP(B102,'RM Cost'!A:B,2,0)</f>
        <v>RM - PINEAPPLE X 6</v>
      </c>
      <c r="D102" s="1" t="s">
        <v>1343</v>
      </c>
      <c r="E102" s="1" t="s">
        <v>554</v>
      </c>
      <c r="F102" s="11">
        <f>VLOOKUP(B102,'RM Cost'!A:F,6,0)</f>
        <v>0.7</v>
      </c>
      <c r="G102" s="4"/>
    </row>
    <row r="103" spans="1:7" x14ac:dyDescent="0.25">
      <c r="A103" s="1" t="s">
        <v>1444</v>
      </c>
      <c r="B103" s="1" t="s">
        <v>1778</v>
      </c>
      <c r="C103" s="1" t="str">
        <f>VLOOKUP(B103,'RM Cost'!A:B,2,0)</f>
        <v>RM - PREP ONION RED WHOLE 2.5KG</v>
      </c>
      <c r="D103" s="1" t="s">
        <v>1343</v>
      </c>
      <c r="E103" s="1" t="s">
        <v>554</v>
      </c>
      <c r="F103" s="11">
        <f>VLOOKUP(B103,'RM Cost'!A:F,6,0)</f>
        <v>1.08</v>
      </c>
      <c r="G103" s="4"/>
    </row>
    <row r="104" spans="1:7" x14ac:dyDescent="0.25">
      <c r="A104" s="1" t="s">
        <v>1705</v>
      </c>
      <c r="B104" s="1" t="s">
        <v>1153</v>
      </c>
      <c r="C104" s="1" t="str">
        <f>VLOOKUP(B104,'RM Cost'!A:B,2,0)</f>
        <v>RM - MELON YELLOW X 6EA</v>
      </c>
      <c r="D104" s="1" t="s">
        <v>1343</v>
      </c>
      <c r="E104" s="1" t="s">
        <v>554</v>
      </c>
      <c r="F104" s="11">
        <f>VLOOKUP(B104,'RM Cost'!A:F,6,0)</f>
        <v>0.81</v>
      </c>
      <c r="G104" s="4"/>
    </row>
    <row r="105" spans="1:7" x14ac:dyDescent="0.25">
      <c r="A105" s="1" t="s">
        <v>1445</v>
      </c>
      <c r="B105" s="1" t="s">
        <v>1293</v>
      </c>
      <c r="C105" s="1" t="str">
        <f>VLOOKUP(B105,'RM Cost'!A:B,2,0)</f>
        <v>RM - BEETROOT RAW  X10KG</v>
      </c>
      <c r="D105" s="1" t="s">
        <v>1343</v>
      </c>
      <c r="E105" s="1" t="s">
        <v>554</v>
      </c>
      <c r="F105" s="11">
        <f>VLOOKUP(B105,'RM Cost'!A:F,6,0)</f>
        <v>0.47</v>
      </c>
      <c r="G105" s="4"/>
    </row>
    <row r="106" spans="1:7" x14ac:dyDescent="0.25">
      <c r="A106" s="1" t="s">
        <v>1447</v>
      </c>
      <c r="B106" t="s">
        <v>1338</v>
      </c>
      <c r="C106" s="1" t="str">
        <f>VLOOKUP(B106,'RM Cost'!A:B,2,0)</f>
        <v>RM - BUTTERNUT SQUASH BIN X 625KG</v>
      </c>
      <c r="D106" s="1" t="s">
        <v>1343</v>
      </c>
      <c r="E106" s="1" t="s">
        <v>554</v>
      </c>
      <c r="F106" s="11">
        <f>VLOOKUP(B106,'RM Cost'!A:F,6,0)</f>
        <v>0.65</v>
      </c>
      <c r="G106" s="4"/>
    </row>
    <row r="107" spans="1:7" x14ac:dyDescent="0.25">
      <c r="A107" s="1" t="s">
        <v>1448</v>
      </c>
      <c r="B107" s="1" t="s">
        <v>1197</v>
      </c>
      <c r="C107" s="1" t="str">
        <f>VLOOKUP(B107,'RM Cost'!A:B,2,0)</f>
        <v>RM - SWEET POTATOES ORANGE FLESH 6K</v>
      </c>
      <c r="D107" s="1" t="s">
        <v>1343</v>
      </c>
      <c r="E107" s="1" t="s">
        <v>554</v>
      </c>
      <c r="F107" s="11">
        <f>VLOOKUP(B107,'RM Cost'!A:F,6,0)</f>
        <v>0.88</v>
      </c>
      <c r="G107" s="4"/>
    </row>
    <row r="108" spans="1:7" x14ac:dyDescent="0.25">
      <c r="A108" s="1" t="s">
        <v>1449</v>
      </c>
      <c r="B108" s="1" t="s">
        <v>1199</v>
      </c>
      <c r="C108" s="1" t="str">
        <f>VLOOKUP(B108,'RM Cost'!A:B,2,0)</f>
        <v>RM - POTATOES WARE 25KG</v>
      </c>
      <c r="D108" s="1" t="s">
        <v>1343</v>
      </c>
      <c r="E108" s="1" t="s">
        <v>554</v>
      </c>
      <c r="F108" s="11">
        <f>VLOOKUP(B108,'RM Cost'!A:F,6,0)</f>
        <v>0.27</v>
      </c>
      <c r="G108" s="4"/>
    </row>
    <row r="109" spans="1:7" x14ac:dyDescent="0.25">
      <c r="A109" s="1" t="s">
        <v>1450</v>
      </c>
      <c r="B109" s="1" t="s">
        <v>1197</v>
      </c>
      <c r="C109" s="1" t="str">
        <f>VLOOKUP(B109,'RM Cost'!A:B,2,0)</f>
        <v>RM - SWEET POTATOES ORANGE FLESH 6K</v>
      </c>
      <c r="D109" s="1" t="s">
        <v>1343</v>
      </c>
      <c r="E109" s="1" t="s">
        <v>554</v>
      </c>
      <c r="F109" s="11">
        <f>VLOOKUP(B109,'RM Cost'!A:F,6,0)</f>
        <v>0.88</v>
      </c>
      <c r="G109" s="4"/>
    </row>
    <row r="110" spans="1:7" x14ac:dyDescent="0.25">
      <c r="A110" s="1" t="s">
        <v>1451</v>
      </c>
      <c r="B110" s="1" t="s">
        <v>1303</v>
      </c>
      <c r="C110" s="1" t="str">
        <f>VLOOKUP(B110,'RM Cost'!A:B,2,0)</f>
        <v>BAKING POTATO X50 EA</v>
      </c>
      <c r="D110" s="1" t="s">
        <v>1343</v>
      </c>
      <c r="E110" s="1" t="s">
        <v>554</v>
      </c>
      <c r="F110" s="11">
        <f>VLOOKUP(B110,'RM Cost'!A:F,6,0)</f>
        <v>0.57000000000000006</v>
      </c>
      <c r="G110" s="4"/>
    </row>
    <row r="111" spans="1:7" x14ac:dyDescent="0.25">
      <c r="A111" s="1" t="s">
        <v>1452</v>
      </c>
      <c r="B111" s="1" t="s">
        <v>1303</v>
      </c>
      <c r="C111" s="1" t="str">
        <f>VLOOKUP(B111,'RM Cost'!A:B,2,0)</f>
        <v>BAKING POTATO X50 EA</v>
      </c>
      <c r="D111" s="1" t="s">
        <v>1343</v>
      </c>
      <c r="E111" s="1" t="s">
        <v>554</v>
      </c>
      <c r="F111" s="11">
        <f>VLOOKUP(B111,'RM Cost'!A:F,6,0)</f>
        <v>0.57000000000000006</v>
      </c>
      <c r="G111" s="4"/>
    </row>
    <row r="112" spans="1:7" x14ac:dyDescent="0.25">
      <c r="A112" s="1" t="s">
        <v>1453</v>
      </c>
      <c r="B112" s="1" t="s">
        <v>1778</v>
      </c>
      <c r="C112" s="1" t="str">
        <f>VLOOKUP(B112,'RM Cost'!A:B,2,0)</f>
        <v>RM - PREP ONION RED WHOLE 2.5KG</v>
      </c>
      <c r="D112" s="1" t="s">
        <v>1343</v>
      </c>
      <c r="E112" s="1" t="s">
        <v>554</v>
      </c>
      <c r="F112" s="11">
        <f>VLOOKUP(B112,'RM Cost'!A:F,6,0)</f>
        <v>1.08</v>
      </c>
      <c r="G112" s="4"/>
    </row>
    <row r="113" spans="1:7" x14ac:dyDescent="0.25">
      <c r="A113" s="1" t="s">
        <v>1454</v>
      </c>
      <c r="B113" s="1" t="s">
        <v>1121</v>
      </c>
      <c r="C113" s="1" t="str">
        <f>VLOOKUP(B113,'RM Cost'!A:B,2,0)</f>
        <v>RM - PARSNIPS 10KG</v>
      </c>
      <c r="D113" s="1" t="s">
        <v>1343</v>
      </c>
      <c r="E113" s="1" t="s">
        <v>554</v>
      </c>
      <c r="F113" s="11">
        <f>VLOOKUP(B113,'RM Cost'!A:F,6,0)</f>
        <v>0.76</v>
      </c>
      <c r="G113" s="4"/>
    </row>
    <row r="114" spans="1:7" x14ac:dyDescent="0.25">
      <c r="A114" s="1" t="s">
        <v>1455</v>
      </c>
      <c r="B114" s="1" t="s">
        <v>1199</v>
      </c>
      <c r="C114" s="1" t="str">
        <f>VLOOKUP(B114,'RM Cost'!A:B,2,0)</f>
        <v>RM - POTATOES WARE 25KG</v>
      </c>
      <c r="D114" s="1" t="s">
        <v>1343</v>
      </c>
      <c r="E114" s="1" t="s">
        <v>554</v>
      </c>
      <c r="F114" s="11">
        <f>VLOOKUP(B114,'RM Cost'!A:F,6,0)</f>
        <v>0.27</v>
      </c>
      <c r="G114" s="4"/>
    </row>
    <row r="115" spans="1:7" x14ac:dyDescent="0.25">
      <c r="A115" s="1" t="s">
        <v>1456</v>
      </c>
      <c r="B115" s="1" t="s">
        <v>1203</v>
      </c>
      <c r="C115" s="1" t="str">
        <f>VLOOKUP(B115,'RM Cost'!A:B,2,0)</f>
        <v>RM - GINGER   X 12KG</v>
      </c>
      <c r="D115" s="1" t="s">
        <v>1343</v>
      </c>
      <c r="E115" s="1" t="s">
        <v>554</v>
      </c>
      <c r="F115" s="11">
        <f>VLOOKUP(B115,'RM Cost'!A:F,6,0)</f>
        <v>2.0499999999999998</v>
      </c>
      <c r="G115" s="4"/>
    </row>
    <row r="116" spans="1:7" x14ac:dyDescent="0.25">
      <c r="A116" s="1" t="s">
        <v>1457</v>
      </c>
      <c r="B116" s="1" t="s">
        <v>1121</v>
      </c>
      <c r="C116" s="1" t="str">
        <f>VLOOKUP(B116,'RM Cost'!A:B,2,0)</f>
        <v>RM - PARSNIPS 10KG</v>
      </c>
      <c r="D116" s="1" t="s">
        <v>1343</v>
      </c>
      <c r="E116" s="1" t="s">
        <v>554</v>
      </c>
      <c r="F116" s="11">
        <f>VLOOKUP(B116,'RM Cost'!A:F,6,0)</f>
        <v>0.76</v>
      </c>
      <c r="G116" s="4"/>
    </row>
    <row r="117" spans="1:7" x14ac:dyDescent="0.25">
      <c r="A117" s="1" t="s">
        <v>1458</v>
      </c>
      <c r="B117" s="1" t="s">
        <v>1205</v>
      </c>
      <c r="C117" s="1" t="str">
        <f>VLOOKUP(B117,'RM Cost'!A:B,2,0)</f>
        <v>RM - BEEF TOMATO 1 X 7KG</v>
      </c>
      <c r="D117" s="1" t="s">
        <v>1343</v>
      </c>
      <c r="E117" s="1" t="s">
        <v>554</v>
      </c>
      <c r="F117" s="11">
        <f>VLOOKUP(B117,'RM Cost'!A:F,6,0)</f>
        <v>1.32</v>
      </c>
      <c r="G117" s="4"/>
    </row>
    <row r="118" spans="1:7" x14ac:dyDescent="0.25">
      <c r="A118" s="1" t="s">
        <v>1459</v>
      </c>
      <c r="B118" s="1" t="s">
        <v>1207</v>
      </c>
      <c r="C118" s="1" t="str">
        <f>VLOOKUP(B118,'RM Cost'!A:B,2,0)</f>
        <v>RM - TOMATOES CHERRY LOOSE 4KG</v>
      </c>
      <c r="D118" s="1" t="s">
        <v>1343</v>
      </c>
      <c r="E118" s="1" t="s">
        <v>554</v>
      </c>
      <c r="F118" s="11">
        <f>VLOOKUP(B118,'RM Cost'!A:F,6,0)</f>
        <v>1.74</v>
      </c>
      <c r="G118" s="4"/>
    </row>
    <row r="119" spans="1:7" x14ac:dyDescent="0.25">
      <c r="A119" s="1" t="s">
        <v>1460</v>
      </c>
      <c r="B119" s="1" t="s">
        <v>1209</v>
      </c>
      <c r="C119" s="1" t="str">
        <f>VLOOKUP(B119,'RM Cost'!A:B,2,0)</f>
        <v>RM - CAULIFLOWER X 9KG</v>
      </c>
      <c r="D119" s="1" t="s">
        <v>1343</v>
      </c>
      <c r="E119" s="1" t="s">
        <v>554</v>
      </c>
      <c r="F119" s="11">
        <f>VLOOKUP(B119,'RM Cost'!A:F,6,0)</f>
        <v>0.6</v>
      </c>
      <c r="G119" s="4"/>
    </row>
    <row r="120" spans="1:7" x14ac:dyDescent="0.25">
      <c r="A120" s="1" t="s">
        <v>1461</v>
      </c>
      <c r="B120" s="1" t="s">
        <v>1167</v>
      </c>
      <c r="C120" s="1" t="str">
        <f>VLOOKUP(B120,'RM Cost'!A:B,2,0)</f>
        <v>RM - MELON ORANGE FLESH X 6</v>
      </c>
      <c r="D120" s="1" t="s">
        <v>1343</v>
      </c>
      <c r="E120" s="1" t="s">
        <v>554</v>
      </c>
      <c r="F120" s="11">
        <f>VLOOKUP(B120,'RM Cost'!A:F,6,0)</f>
        <v>1.32</v>
      </c>
      <c r="G120" s="4"/>
    </row>
    <row r="121" spans="1:7" x14ac:dyDescent="0.25">
      <c r="A121" s="1" t="s">
        <v>1462</v>
      </c>
      <c r="B121" s="1" t="s">
        <v>1149</v>
      </c>
      <c r="C121" s="1" t="str">
        <f>VLOOKUP(B121,'RM Cost'!A:B,2,0)</f>
        <v>RM - SPRING ONION x 2KG</v>
      </c>
      <c r="D121" s="1" t="s">
        <v>1343</v>
      </c>
      <c r="E121" s="1" t="s">
        <v>554</v>
      </c>
      <c r="F121" s="11">
        <f>VLOOKUP(B121,'RM Cost'!A:F,6,0)</f>
        <v>3.08</v>
      </c>
      <c r="G121" s="4"/>
    </row>
    <row r="122" spans="1:7" x14ac:dyDescent="0.25">
      <c r="A122" s="1" t="s">
        <v>1463</v>
      </c>
      <c r="B122" s="1" t="s">
        <v>1199</v>
      </c>
      <c r="C122" s="1" t="str">
        <f>VLOOKUP(B122,'RM Cost'!A:B,2,0)</f>
        <v>RM - POTATOES WARE 25KG</v>
      </c>
      <c r="D122" s="1" t="s">
        <v>1343</v>
      </c>
      <c r="E122" s="1" t="s">
        <v>554</v>
      </c>
      <c r="F122" s="11">
        <f>VLOOKUP(B122,'RM Cost'!A:F,6,0)</f>
        <v>0.27</v>
      </c>
      <c r="G122" s="4"/>
    </row>
    <row r="123" spans="1:7" x14ac:dyDescent="0.25">
      <c r="A123" s="1" t="s">
        <v>1464</v>
      </c>
      <c r="B123" s="1" t="s">
        <v>1778</v>
      </c>
      <c r="C123" s="1" t="str">
        <f>VLOOKUP(B123,'RM Cost'!A:B,2,0)</f>
        <v>RM - PREP ONION RED WHOLE 2.5KG</v>
      </c>
      <c r="D123" s="1" t="s">
        <v>1343</v>
      </c>
      <c r="E123" s="1" t="s">
        <v>554</v>
      </c>
      <c r="F123" s="11">
        <f>VLOOKUP(B123,'RM Cost'!A:F,6,0)</f>
        <v>1.08</v>
      </c>
      <c r="G123" s="4"/>
    </row>
    <row r="124" spans="1:7" x14ac:dyDescent="0.25">
      <c r="A124" s="1" t="s">
        <v>1465</v>
      </c>
      <c r="B124" s="1" t="s">
        <v>1213</v>
      </c>
      <c r="C124" s="1" t="str">
        <f>VLOOKUP(B124,'RM Cost'!A:B,2,0)</f>
        <v>RM - GRAPEFRUIT WHITE X40EA</v>
      </c>
      <c r="D124" s="1" t="s">
        <v>1343</v>
      </c>
      <c r="E124" s="1" t="s">
        <v>554</v>
      </c>
      <c r="F124" s="11">
        <f>VLOOKUP(B124,'RM Cost'!A:F,6,0)</f>
        <v>1.22</v>
      </c>
      <c r="G124" s="4"/>
    </row>
    <row r="125" spans="1:7" x14ac:dyDescent="0.25">
      <c r="A125" s="1" t="s">
        <v>1466</v>
      </c>
      <c r="B125" s="1" t="s">
        <v>1215</v>
      </c>
      <c r="C125" s="1" t="str">
        <f>VLOOKUP(B125,'RM Cost'!A:B,2,0)</f>
        <v>RM - WATERMELON x 5EA</v>
      </c>
      <c r="D125" s="1" t="s">
        <v>1343</v>
      </c>
      <c r="E125" s="1" t="s">
        <v>554</v>
      </c>
      <c r="F125" s="11">
        <f>VLOOKUP(B125,'RM Cost'!A:F,6,0)</f>
        <v>0.85</v>
      </c>
      <c r="G125" s="4"/>
    </row>
    <row r="126" spans="1:7" x14ac:dyDescent="0.25">
      <c r="A126" s="1" t="s">
        <v>1467</v>
      </c>
      <c r="B126" s="1" t="s">
        <v>1303</v>
      </c>
      <c r="C126" s="1" t="str">
        <f>VLOOKUP(B126,'RM Cost'!A:B,2,0)</f>
        <v>BAKING POTATO X50 EA</v>
      </c>
      <c r="D126" s="1" t="s">
        <v>1343</v>
      </c>
      <c r="E126" s="1" t="s">
        <v>554</v>
      </c>
      <c r="F126" s="11">
        <f>VLOOKUP(B126,'RM Cost'!A:F,6,0)</f>
        <v>0.57000000000000006</v>
      </c>
      <c r="G126" s="4"/>
    </row>
    <row r="127" spans="1:7" x14ac:dyDescent="0.25">
      <c r="A127" s="1" t="s">
        <v>1468</v>
      </c>
      <c r="B127" s="1" t="s">
        <v>1217</v>
      </c>
      <c r="C127" s="1" t="str">
        <f>VLOOKUP(B127,'RM Cost'!A:B,2,0)</f>
        <v>RM - PREMIUM CHIPPING POTATO 1X25KG</v>
      </c>
      <c r="D127" s="1" t="s">
        <v>1343</v>
      </c>
      <c r="E127" s="1" t="s">
        <v>554</v>
      </c>
      <c r="F127" s="11">
        <f>VLOOKUP(B127,'RM Cost'!A:F,6,0)</f>
        <v>0.45</v>
      </c>
      <c r="G127" s="4"/>
    </row>
    <row r="128" spans="1:7" x14ac:dyDescent="0.25">
      <c r="A128" s="1" t="s">
        <v>1469</v>
      </c>
      <c r="B128" s="1" t="s">
        <v>1125</v>
      </c>
      <c r="C128" s="1" t="str">
        <f>VLOOKUP(B128,'RM Cost'!A:B,2,0)</f>
        <v>RM - SAVOY CABBAGE 1 X 5KG</v>
      </c>
      <c r="D128" s="1" t="s">
        <v>1343</v>
      </c>
      <c r="E128" s="1" t="s">
        <v>554</v>
      </c>
      <c r="F128" s="11">
        <f>VLOOKUP(B128,'RM Cost'!A:F,6,0)</f>
        <v>0.76</v>
      </c>
      <c r="G128" s="4"/>
    </row>
    <row r="129" spans="1:7" x14ac:dyDescent="0.25">
      <c r="A129" s="1" t="s">
        <v>1470</v>
      </c>
      <c r="B129" s="1" t="s">
        <v>1147</v>
      </c>
      <c r="C129" s="1" t="str">
        <f>VLOOKUP(B129,'RM Cost'!A:B,2,0)</f>
        <v>RM - PAK CHOI X2KG</v>
      </c>
      <c r="D129" s="1" t="s">
        <v>1343</v>
      </c>
      <c r="E129" s="1" t="s">
        <v>554</v>
      </c>
      <c r="F129" s="11">
        <f>VLOOKUP(B129,'RM Cost'!A:F,6,0)</f>
        <v>1.81</v>
      </c>
      <c r="G129" s="4"/>
    </row>
    <row r="130" spans="1:7" x14ac:dyDescent="0.25">
      <c r="A130" s="1" t="s">
        <v>1471</v>
      </c>
      <c r="B130" s="1" t="s">
        <v>1217</v>
      </c>
      <c r="C130" s="1" t="str">
        <f>VLOOKUP(B130,'RM Cost'!A:B,2,0)</f>
        <v>RM - PREMIUM CHIPPING POTATO 1X25KG</v>
      </c>
      <c r="D130" s="1" t="s">
        <v>1343</v>
      </c>
      <c r="E130" s="1" t="s">
        <v>554</v>
      </c>
      <c r="F130" s="11">
        <f>VLOOKUP(B130,'RM Cost'!A:F,6,0)</f>
        <v>0.45</v>
      </c>
      <c r="G130" s="4"/>
    </row>
    <row r="131" spans="1:7" x14ac:dyDescent="0.25">
      <c r="A131" s="1" t="s">
        <v>1472</v>
      </c>
      <c r="B131" s="1" t="s">
        <v>1219</v>
      </c>
      <c r="C131" s="1" t="str">
        <f>VLOOKUP(B131,'RM Cost'!A:B,2,0)</f>
        <v>RM - MARIS PIPER 25KG</v>
      </c>
      <c r="D131" s="1" t="s">
        <v>1343</v>
      </c>
      <c r="E131" s="1" t="s">
        <v>554</v>
      </c>
      <c r="F131" s="11">
        <f>VLOOKUP(B131,'RM Cost'!A:F,6,0)</f>
        <v>0.43</v>
      </c>
      <c r="G131" s="4"/>
    </row>
    <row r="132" spans="1:7" x14ac:dyDescent="0.25">
      <c r="A132" s="1" t="s">
        <v>1473</v>
      </c>
      <c r="B132" s="1" t="s">
        <v>1133</v>
      </c>
      <c r="C132" s="1" t="str">
        <f>VLOOKUP(B132,'RM Cost'!A:B,2,0)</f>
        <v>RM - BEANS EXTRA FINE PREMIUM 1.5KG</v>
      </c>
      <c r="D132" s="1" t="s">
        <v>1343</v>
      </c>
      <c r="E132" s="1" t="s">
        <v>554</v>
      </c>
      <c r="F132" s="11" t="e">
        <f>VLOOKUP(B132,'RM Cost'!A:F,6,0)</f>
        <v>#N/A</v>
      </c>
      <c r="G132" s="4"/>
    </row>
    <row r="133" spans="1:7" x14ac:dyDescent="0.25">
      <c r="A133" s="1" t="s">
        <v>1474</v>
      </c>
      <c r="B133" s="1" t="s">
        <v>1115</v>
      </c>
      <c r="C133" s="1" t="str">
        <f>VLOOKUP(B133,'RM Cost'!A:B,2,0)</f>
        <v>RM - LRG PROCESSING CARROT X 1000KG</v>
      </c>
      <c r="D133" s="1" t="s">
        <v>1343</v>
      </c>
      <c r="E133" s="1" t="s">
        <v>554</v>
      </c>
      <c r="F133" s="11">
        <f>VLOOKUP(B133,'RM Cost'!A:F,6,0)</f>
        <v>0.38</v>
      </c>
      <c r="G133" s="4"/>
    </row>
    <row r="134" spans="1:7" x14ac:dyDescent="0.25">
      <c r="A134" s="1" t="s">
        <v>1475</v>
      </c>
      <c r="B134" s="1" t="s">
        <v>1221</v>
      </c>
      <c r="C134" s="1" t="str">
        <f>VLOOKUP(B134,'RM Cost'!A:B,2,0)</f>
        <v>RM - CHILLI GREEN LONG DUTCH 3KG</v>
      </c>
      <c r="D134" s="1" t="s">
        <v>1343</v>
      </c>
      <c r="E134" s="1" t="s">
        <v>554</v>
      </c>
      <c r="F134" s="11">
        <f>VLOOKUP(B134,'RM Cost'!A:F,6,0)</f>
        <v>2.84</v>
      </c>
      <c r="G134" s="4"/>
    </row>
    <row r="135" spans="1:7" x14ac:dyDescent="0.25">
      <c r="A135" s="1" t="s">
        <v>1476</v>
      </c>
      <c r="B135" s="1" t="s">
        <v>1115</v>
      </c>
      <c r="C135" s="1" t="str">
        <f>VLOOKUP(B135,'RM Cost'!A:B,2,0)</f>
        <v>RM - LRG PROCESSING CARROT X 1000KG</v>
      </c>
      <c r="D135" s="1" t="s">
        <v>1343</v>
      </c>
      <c r="E135" s="1" t="s">
        <v>554</v>
      </c>
      <c r="F135" s="11">
        <f>VLOOKUP(B135,'RM Cost'!A:F,6,0)</f>
        <v>0.38</v>
      </c>
      <c r="G135" s="4"/>
    </row>
    <row r="136" spans="1:7" x14ac:dyDescent="0.25">
      <c r="A136" s="1" t="s">
        <v>1477</v>
      </c>
      <c r="B136" s="1" t="s">
        <v>4685</v>
      </c>
      <c r="C136" s="1" t="str">
        <f>VLOOKUP(B136,'RM Cost'!A:B,2,0)</f>
        <v>ASPARAGUS XL BUNCH  10 X 500G</v>
      </c>
      <c r="D136" s="1" t="s">
        <v>1343</v>
      </c>
      <c r="E136" s="1" t="s">
        <v>554</v>
      </c>
      <c r="F136" s="11">
        <f>VLOOKUP(B136,'RM Cost'!A:F,6,0)</f>
        <v>6.78</v>
      </c>
      <c r="G136" s="4"/>
    </row>
    <row r="137" spans="1:7" x14ac:dyDescent="0.25">
      <c r="A137" s="1" t="s">
        <v>1478</v>
      </c>
      <c r="B137" s="1" t="s">
        <v>1181</v>
      </c>
      <c r="C137" s="1" t="str">
        <f>VLOOKUP(B137,'RM Cost'!A:B,2,0)</f>
        <v>RM - AUBERGINE 5KG</v>
      </c>
      <c r="D137" s="1" t="s">
        <v>1343</v>
      </c>
      <c r="E137" s="1" t="s">
        <v>554</v>
      </c>
      <c r="F137" s="11">
        <f>VLOOKUP(B137,'RM Cost'!A:F,6,0)</f>
        <v>1.34</v>
      </c>
      <c r="G137" s="4"/>
    </row>
    <row r="138" spans="1:7" x14ac:dyDescent="0.25">
      <c r="A138" s="1" t="s">
        <v>1479</v>
      </c>
      <c r="B138" s="1" t="s">
        <v>1181</v>
      </c>
      <c r="C138" s="1" t="str">
        <f>VLOOKUP(B138,'RM Cost'!A:B,2,0)</f>
        <v>RM - AUBERGINE 5KG</v>
      </c>
      <c r="D138" s="1" t="s">
        <v>1343</v>
      </c>
      <c r="E138" s="1" t="s">
        <v>554</v>
      </c>
      <c r="F138" s="11">
        <f>VLOOKUP(B138,'RM Cost'!A:F,6,0)</f>
        <v>1.34</v>
      </c>
      <c r="G138" s="4"/>
    </row>
    <row r="139" spans="1:7" x14ac:dyDescent="0.25">
      <c r="A139" s="1" t="s">
        <v>1480</v>
      </c>
      <c r="B139" s="1" t="s">
        <v>1131</v>
      </c>
      <c r="C139" s="1" t="str">
        <f>VLOOKUP(B139,'RM Cost'!A:B,2,0)</f>
        <v>RM - BROCCOLI 6KG</v>
      </c>
      <c r="D139" s="1" t="s">
        <v>1343</v>
      </c>
      <c r="E139" s="1" t="s">
        <v>554</v>
      </c>
      <c r="F139" s="11">
        <f>VLOOKUP(B139,'RM Cost'!A:F,6,0)</f>
        <v>1.02</v>
      </c>
      <c r="G139" s="4"/>
    </row>
    <row r="140" spans="1:7" x14ac:dyDescent="0.25">
      <c r="A140" s="1" t="s">
        <v>1481</v>
      </c>
      <c r="B140" s="12" t="s">
        <v>1225</v>
      </c>
      <c r="C140" s="1" t="str">
        <f>VLOOKUP(B140,'RM Cost'!A:B,2,0)</f>
        <v>RM - BRUSSEL SPROUTS P/P 10X1KG</v>
      </c>
      <c r="D140" s="1" t="s">
        <v>1343</v>
      </c>
      <c r="E140" s="1" t="s">
        <v>554</v>
      </c>
      <c r="F140" s="11">
        <f>VLOOKUP(B140,'RM Cost'!A:F,6,0)</f>
        <v>0</v>
      </c>
      <c r="G140" s="4"/>
    </row>
    <row r="141" spans="1:7" x14ac:dyDescent="0.25">
      <c r="A141" s="1" t="s">
        <v>1482</v>
      </c>
      <c r="B141" t="s">
        <v>1338</v>
      </c>
      <c r="C141" s="1" t="str">
        <f>VLOOKUP(B141,'RM Cost'!A:B,2,0)</f>
        <v>RM - BUTTERNUT SQUASH BIN X 625KG</v>
      </c>
      <c r="D141" s="1" t="s">
        <v>1343</v>
      </c>
      <c r="E141" s="1" t="s">
        <v>554</v>
      </c>
      <c r="F141" s="11">
        <f>VLOOKUP(B141,'RM Cost'!A:F,6,0)</f>
        <v>0.65</v>
      </c>
      <c r="G141" s="4"/>
    </row>
    <row r="142" spans="1:7" x14ac:dyDescent="0.25">
      <c r="A142" s="1" t="s">
        <v>1483</v>
      </c>
      <c r="B142" t="s">
        <v>1338</v>
      </c>
      <c r="C142" s="1" t="str">
        <f>VLOOKUP(B142,'RM Cost'!A:B,2,0)</f>
        <v>RM - BUTTERNUT SQUASH BIN X 625KG</v>
      </c>
      <c r="D142" s="1" t="s">
        <v>1343</v>
      </c>
      <c r="E142" s="1" t="s">
        <v>554</v>
      </c>
      <c r="F142" s="11">
        <f>VLOOKUP(B142,'RM Cost'!A:F,6,0)</f>
        <v>0.65</v>
      </c>
      <c r="G142" s="4"/>
    </row>
    <row r="143" spans="1:7" x14ac:dyDescent="0.25">
      <c r="A143" s="1" t="s">
        <v>1484</v>
      </c>
      <c r="B143" s="1" t="s">
        <v>1124</v>
      </c>
      <c r="C143" s="1" t="str">
        <f>VLOOKUP(B143,'RM Cost'!A:B,2,0)</f>
        <v>RM - DECORE WHITE CABBAGE 1/3 1200KG</v>
      </c>
      <c r="D143" s="1" t="s">
        <v>1343</v>
      </c>
      <c r="E143" s="1" t="s">
        <v>554</v>
      </c>
      <c r="F143" s="11">
        <f>VLOOKUP(B143,'RM Cost'!A:F,6,0)</f>
        <v>0.34</v>
      </c>
      <c r="G143" s="4"/>
    </row>
    <row r="144" spans="1:7" x14ac:dyDescent="0.25">
      <c r="A144" s="1" t="s">
        <v>1485</v>
      </c>
      <c r="B144" s="1" t="s">
        <v>1226</v>
      </c>
      <c r="C144" s="1" t="str">
        <f>VLOOKUP(B144,'RM Cost'!A:B,2,0)</f>
        <v>LETTUCE CHINESE LEAF X 8 EA</v>
      </c>
      <c r="D144" s="1" t="s">
        <v>1343</v>
      </c>
      <c r="E144" s="1" t="s">
        <v>554</v>
      </c>
      <c r="F144" s="11">
        <f>VLOOKUP(B144,'RM Cost'!A:F,6,0)</f>
        <v>1.1599999999999999</v>
      </c>
      <c r="G144" s="4"/>
    </row>
    <row r="145" spans="1:7" x14ac:dyDescent="0.25">
      <c r="A145" s="1" t="s">
        <v>1486</v>
      </c>
      <c r="B145" s="1" t="s">
        <v>1115</v>
      </c>
      <c r="C145" s="1" t="str">
        <f>VLOOKUP(B145,'RM Cost'!A:B,2,0)</f>
        <v>RM - LRG PROCESSING CARROT X 1000KG</v>
      </c>
      <c r="D145" s="1" t="s">
        <v>1343</v>
      </c>
      <c r="E145" s="1" t="s">
        <v>554</v>
      </c>
      <c r="F145" s="11">
        <f>VLOOKUP(B145,'RM Cost'!A:F,6,0)</f>
        <v>0.38</v>
      </c>
      <c r="G145" s="4"/>
    </row>
    <row r="146" spans="1:7" x14ac:dyDescent="0.25">
      <c r="A146" s="1" t="s">
        <v>1487</v>
      </c>
      <c r="B146" s="1" t="s">
        <v>1115</v>
      </c>
      <c r="C146" s="1" t="str">
        <f>VLOOKUP(B146,'RM Cost'!A:B,2,0)</f>
        <v>RM - LRG PROCESSING CARROT X 1000KG</v>
      </c>
      <c r="D146" s="1" t="s">
        <v>1343</v>
      </c>
      <c r="E146" s="1" t="s">
        <v>554</v>
      </c>
      <c r="F146" s="11">
        <f>VLOOKUP(B146,'RM Cost'!A:F,6,0)</f>
        <v>0.38</v>
      </c>
      <c r="G146" s="4"/>
    </row>
    <row r="147" spans="1:7" x14ac:dyDescent="0.25">
      <c r="A147" s="1" t="s">
        <v>1488</v>
      </c>
      <c r="B147" s="1" t="s">
        <v>1115</v>
      </c>
      <c r="C147" s="1" t="str">
        <f>VLOOKUP(B147,'RM Cost'!A:B,2,0)</f>
        <v>RM - LRG PROCESSING CARROT X 1000KG</v>
      </c>
      <c r="D147" s="1" t="s">
        <v>1343</v>
      </c>
      <c r="E147" s="1" t="s">
        <v>554</v>
      </c>
      <c r="F147" s="11">
        <f>VLOOKUP(B147,'RM Cost'!A:F,6,0)</f>
        <v>0.38</v>
      </c>
      <c r="G147" s="4"/>
    </row>
    <row r="148" spans="1:7" x14ac:dyDescent="0.25">
      <c r="A148" s="1" t="s">
        <v>1489</v>
      </c>
      <c r="B148" s="1" t="s">
        <v>1115</v>
      </c>
      <c r="C148" s="1" t="str">
        <f>VLOOKUP(B148,'RM Cost'!A:B,2,0)</f>
        <v>RM - LRG PROCESSING CARROT X 1000KG</v>
      </c>
      <c r="D148" s="1" t="s">
        <v>1343</v>
      </c>
      <c r="E148" s="1" t="s">
        <v>554</v>
      </c>
      <c r="F148" s="11">
        <f>VLOOKUP(B148,'RM Cost'!A:F,6,0)</f>
        <v>0.38</v>
      </c>
      <c r="G148" s="4"/>
    </row>
    <row r="149" spans="1:7" x14ac:dyDescent="0.25">
      <c r="A149" s="1" t="s">
        <v>1490</v>
      </c>
      <c r="B149" s="1" t="s">
        <v>1115</v>
      </c>
      <c r="C149" s="1" t="str">
        <f>VLOOKUP(B149,'RM Cost'!A:B,2,0)</f>
        <v>RM - LRG PROCESSING CARROT X 1000KG</v>
      </c>
      <c r="D149" s="1" t="s">
        <v>1343</v>
      </c>
      <c r="E149" s="1" t="s">
        <v>554</v>
      </c>
      <c r="F149" s="11">
        <f>VLOOKUP(B149,'RM Cost'!A:F,6,0)</f>
        <v>0.38</v>
      </c>
      <c r="G149" s="4"/>
    </row>
    <row r="150" spans="1:7" x14ac:dyDescent="0.25">
      <c r="A150" s="1" t="s">
        <v>1491</v>
      </c>
      <c r="B150" s="1" t="s">
        <v>1115</v>
      </c>
      <c r="C150" s="1" t="str">
        <f>VLOOKUP(B150,'RM Cost'!A:B,2,0)</f>
        <v>RM - LRG PROCESSING CARROT X 1000KG</v>
      </c>
      <c r="D150" s="1" t="s">
        <v>1343</v>
      </c>
      <c r="E150" s="1" t="s">
        <v>554</v>
      </c>
      <c r="F150" s="11">
        <f>VLOOKUP(B150,'RM Cost'!A:F,6,0)</f>
        <v>0.38</v>
      </c>
      <c r="G150" s="4"/>
    </row>
    <row r="151" spans="1:7" x14ac:dyDescent="0.25">
      <c r="A151" s="1" t="s">
        <v>1492</v>
      </c>
      <c r="B151" s="1" t="s">
        <v>1115</v>
      </c>
      <c r="C151" s="1" t="str">
        <f>VLOOKUP(B151,'RM Cost'!A:B,2,0)</f>
        <v>RM - LRG PROCESSING CARROT X 1000KG</v>
      </c>
      <c r="D151" s="1" t="s">
        <v>1343</v>
      </c>
      <c r="E151" s="1" t="s">
        <v>554</v>
      </c>
      <c r="F151" s="11">
        <f>VLOOKUP(B151,'RM Cost'!A:F,6,0)</f>
        <v>0.38</v>
      </c>
      <c r="G151" s="4"/>
    </row>
    <row r="152" spans="1:7" x14ac:dyDescent="0.25">
      <c r="A152" s="1" t="s">
        <v>1493</v>
      </c>
      <c r="B152" s="1" t="s">
        <v>1115</v>
      </c>
      <c r="C152" s="1" t="str">
        <f>VLOOKUP(B152,'RM Cost'!A:B,2,0)</f>
        <v>RM - LRG PROCESSING CARROT X 1000KG</v>
      </c>
      <c r="D152" s="1" t="s">
        <v>1343</v>
      </c>
      <c r="E152" s="1" t="s">
        <v>554</v>
      </c>
      <c r="F152" s="11">
        <f>VLOOKUP(B152,'RM Cost'!A:F,6,0)</f>
        <v>0.38</v>
      </c>
      <c r="G152" s="4"/>
    </row>
    <row r="153" spans="1:7" x14ac:dyDescent="0.25">
      <c r="A153" s="1" t="s">
        <v>1494</v>
      </c>
      <c r="B153" s="1" t="s">
        <v>1115</v>
      </c>
      <c r="C153" s="1" t="str">
        <f>VLOOKUP(B153,'RM Cost'!A:B,2,0)</f>
        <v>RM - LRG PROCESSING CARROT X 1000KG</v>
      </c>
      <c r="D153" s="1" t="s">
        <v>1343</v>
      </c>
      <c r="E153" s="1" t="s">
        <v>554</v>
      </c>
      <c r="F153" s="11">
        <f>VLOOKUP(B153,'RM Cost'!A:F,6,0)</f>
        <v>0.38</v>
      </c>
      <c r="G153" s="4"/>
    </row>
    <row r="154" spans="1:7" x14ac:dyDescent="0.25">
      <c r="A154" s="1" t="s">
        <v>1495</v>
      </c>
      <c r="B154" s="1" t="s">
        <v>1115</v>
      </c>
      <c r="C154" s="1" t="str">
        <f>VLOOKUP(B154,'RM Cost'!A:B,2,0)</f>
        <v>RM - LRG PROCESSING CARROT X 1000KG</v>
      </c>
      <c r="D154" s="1" t="s">
        <v>1343</v>
      </c>
      <c r="E154" s="1" t="s">
        <v>554</v>
      </c>
      <c r="F154" s="11">
        <f>VLOOKUP(B154,'RM Cost'!A:F,6,0)</f>
        <v>0.38</v>
      </c>
      <c r="G154" s="4"/>
    </row>
    <row r="155" spans="1:7" x14ac:dyDescent="0.25">
      <c r="A155" s="1" t="s">
        <v>1496</v>
      </c>
      <c r="B155" s="1" t="s">
        <v>1115</v>
      </c>
      <c r="C155" s="1" t="str">
        <f>VLOOKUP(B155,'RM Cost'!A:B,2,0)</f>
        <v>RM - LRG PROCESSING CARROT X 1000KG</v>
      </c>
      <c r="D155" s="1" t="s">
        <v>1343</v>
      </c>
      <c r="E155" s="1" t="s">
        <v>554</v>
      </c>
      <c r="F155" s="11">
        <f>VLOOKUP(B155,'RM Cost'!A:F,6,0)</f>
        <v>0.38</v>
      </c>
      <c r="G155" s="4"/>
    </row>
    <row r="156" spans="1:7" x14ac:dyDescent="0.25">
      <c r="A156" s="1" t="s">
        <v>1497</v>
      </c>
      <c r="B156" s="1" t="s">
        <v>1209</v>
      </c>
      <c r="C156" s="1" t="str">
        <f>VLOOKUP(B156,'RM Cost'!A:B,2,0)</f>
        <v>RM - CAULIFLOWER X 9KG</v>
      </c>
      <c r="D156" s="1" t="s">
        <v>1343</v>
      </c>
      <c r="E156" s="1" t="s">
        <v>554</v>
      </c>
      <c r="F156" s="11">
        <f>VLOOKUP(B156,'RM Cost'!A:F,6,0)</f>
        <v>0.6</v>
      </c>
      <c r="G156" s="4"/>
    </row>
    <row r="157" spans="1:7" x14ac:dyDescent="0.25">
      <c r="A157" s="1" t="s">
        <v>1498</v>
      </c>
      <c r="B157" s="1" t="s">
        <v>1209</v>
      </c>
      <c r="C157" s="1" t="str">
        <f>VLOOKUP(B157,'RM Cost'!A:B,2,0)</f>
        <v>RM - CAULIFLOWER X 9KG</v>
      </c>
      <c r="D157" s="1" t="s">
        <v>1343</v>
      </c>
      <c r="E157" s="1" t="s">
        <v>554</v>
      </c>
      <c r="F157" s="11">
        <f>VLOOKUP(B157,'RM Cost'!A:F,6,0)</f>
        <v>0.6</v>
      </c>
      <c r="G157" s="4"/>
    </row>
    <row r="158" spans="1:7" x14ac:dyDescent="0.25">
      <c r="A158" s="1" t="s">
        <v>1499</v>
      </c>
      <c r="B158" s="1" t="s">
        <v>1209</v>
      </c>
      <c r="C158" s="1" t="str">
        <f>VLOOKUP(B158,'RM Cost'!A:B,2,0)</f>
        <v>RM - CAULIFLOWER X 9KG</v>
      </c>
      <c r="D158" s="1" t="s">
        <v>1343</v>
      </c>
      <c r="E158" s="1" t="s">
        <v>554</v>
      </c>
      <c r="F158" s="11">
        <f>VLOOKUP(B158,'RM Cost'!A:F,6,0)</f>
        <v>0.6</v>
      </c>
      <c r="G158" s="4"/>
    </row>
    <row r="159" spans="1:7" x14ac:dyDescent="0.25">
      <c r="A159" s="1" t="s">
        <v>1500</v>
      </c>
      <c r="B159" s="1" t="s">
        <v>1228</v>
      </c>
      <c r="C159" s="1" t="str">
        <f>VLOOKUP(B159,'RM Cost'!A:B,2,0)</f>
        <v>RM - CELERIAC 10KG</v>
      </c>
      <c r="D159" s="1" t="s">
        <v>1343</v>
      </c>
      <c r="E159" s="1" t="s">
        <v>554</v>
      </c>
      <c r="F159" s="11">
        <f>VLOOKUP(B159,'RM Cost'!A:F,6,0)</f>
        <v>0.55000000000000004</v>
      </c>
      <c r="G159" s="4"/>
    </row>
    <row r="160" spans="1:7" x14ac:dyDescent="0.25">
      <c r="A160" s="1" t="s">
        <v>1501</v>
      </c>
      <c r="B160" s="1" t="s">
        <v>1228</v>
      </c>
      <c r="C160" s="1" t="str">
        <f>VLOOKUP(B160,'RM Cost'!A:B,2,0)</f>
        <v>RM - CELERIAC 10KG</v>
      </c>
      <c r="D160" s="1" t="s">
        <v>1343</v>
      </c>
      <c r="E160" s="1" t="s">
        <v>554</v>
      </c>
      <c r="F160" s="11">
        <f>VLOOKUP(B160,'RM Cost'!A:F,6,0)</f>
        <v>0.55000000000000004</v>
      </c>
      <c r="G160" s="4"/>
    </row>
    <row r="161" spans="1:7" x14ac:dyDescent="0.25">
      <c r="A161" s="1" t="s">
        <v>1502</v>
      </c>
      <c r="B161" s="1" t="s">
        <v>1826</v>
      </c>
      <c r="C161" s="1" t="str">
        <f>VLOOKUP(B161,'RM Cost'!A:B,2,0)</f>
        <v>RM - CELERY 1 X 12</v>
      </c>
      <c r="D161" s="1" t="s">
        <v>1343</v>
      </c>
      <c r="E161" s="1" t="s">
        <v>554</v>
      </c>
      <c r="F161" s="11">
        <f>VLOOKUP(B161,'RM Cost'!A:F,6,0)</f>
        <v>0.91</v>
      </c>
      <c r="G161" s="4"/>
    </row>
    <row r="162" spans="1:7" x14ac:dyDescent="0.25">
      <c r="A162" s="1" t="s">
        <v>1503</v>
      </c>
      <c r="B162" s="1" t="s">
        <v>1826</v>
      </c>
      <c r="C162" s="1" t="str">
        <f>VLOOKUP(B162,'RM Cost'!A:B,2,0)</f>
        <v>RM - CELERY 1 X 12</v>
      </c>
      <c r="D162" s="1" t="s">
        <v>1343</v>
      </c>
      <c r="E162" s="1" t="s">
        <v>554</v>
      </c>
      <c r="F162" s="11">
        <f>VLOOKUP(B162,'RM Cost'!A:F,6,0)</f>
        <v>0.91</v>
      </c>
      <c r="G162" s="4"/>
    </row>
    <row r="163" spans="1:7" x14ac:dyDescent="0.25">
      <c r="A163" s="1" t="s">
        <v>1504</v>
      </c>
      <c r="B163" s="1" t="s">
        <v>1826</v>
      </c>
      <c r="C163" s="1" t="str">
        <f>VLOOKUP(B163,'RM Cost'!A:B,2,0)</f>
        <v>RM - CELERY 1 X 12</v>
      </c>
      <c r="D163" s="1" t="s">
        <v>1343</v>
      </c>
      <c r="E163" s="1" t="s">
        <v>554</v>
      </c>
      <c r="F163" s="11">
        <f>VLOOKUP(B163,'RM Cost'!A:F,6,0)</f>
        <v>0.91</v>
      </c>
      <c r="G163" s="4"/>
    </row>
    <row r="164" spans="1:7" x14ac:dyDescent="0.25">
      <c r="A164" s="1" t="s">
        <v>1505</v>
      </c>
      <c r="B164" s="1" t="s">
        <v>1826</v>
      </c>
      <c r="C164" s="1" t="str">
        <f>VLOOKUP(B164,'RM Cost'!A:B,2,0)</f>
        <v>RM - CELERY 1 X 12</v>
      </c>
      <c r="D164" s="1" t="s">
        <v>1343</v>
      </c>
      <c r="E164" s="1" t="s">
        <v>554</v>
      </c>
      <c r="F164" s="11">
        <f>VLOOKUP(B164,'RM Cost'!A:F,6,0)</f>
        <v>0.91</v>
      </c>
      <c r="G164" s="4"/>
    </row>
    <row r="165" spans="1:7" x14ac:dyDescent="0.25">
      <c r="A165" s="1" t="s">
        <v>1506</v>
      </c>
      <c r="B165" s="1" t="s">
        <v>1230</v>
      </c>
      <c r="C165" s="1" t="str">
        <f>VLOOKUP(B165,'RM Cost'!A:B,2,0)</f>
        <v>RM - CHILLIES RED LONG DUTCH 3KG</v>
      </c>
      <c r="D165" s="1" t="s">
        <v>1343</v>
      </c>
      <c r="E165" s="1" t="s">
        <v>554</v>
      </c>
      <c r="F165" s="11">
        <f>VLOOKUP(B165,'RM Cost'!A:F,6,0)</f>
        <v>3.14</v>
      </c>
      <c r="G165" s="4"/>
    </row>
    <row r="166" spans="1:7" x14ac:dyDescent="0.25">
      <c r="A166" s="1" t="s">
        <v>1507</v>
      </c>
      <c r="B166" s="1" t="s">
        <v>1230</v>
      </c>
      <c r="C166" s="1" t="str">
        <f>VLOOKUP(B166,'RM Cost'!A:B,2,0)</f>
        <v>RM - CHILLIES RED LONG DUTCH 3KG</v>
      </c>
      <c r="D166" s="1" t="s">
        <v>1343</v>
      </c>
      <c r="E166" s="1" t="s">
        <v>554</v>
      </c>
      <c r="F166" s="11">
        <f>VLOOKUP(B166,'RM Cost'!A:F,6,0)</f>
        <v>3.14</v>
      </c>
      <c r="G166" s="4"/>
    </row>
    <row r="167" spans="1:7" x14ac:dyDescent="0.25">
      <c r="A167" s="1" t="s">
        <v>1508</v>
      </c>
      <c r="B167" s="1" t="s">
        <v>1221</v>
      </c>
      <c r="C167" s="1" t="str">
        <f>VLOOKUP(B167,'RM Cost'!A:B,2,0)</f>
        <v>RM - CHILLI GREEN LONG DUTCH 3KG</v>
      </c>
      <c r="D167" s="1" t="s">
        <v>1343</v>
      </c>
      <c r="E167" s="1" t="s">
        <v>554</v>
      </c>
      <c r="F167" s="11">
        <f>VLOOKUP(B167,'RM Cost'!A:F,6,0)</f>
        <v>2.84</v>
      </c>
      <c r="G167" s="4"/>
    </row>
    <row r="168" spans="1:7" x14ac:dyDescent="0.25">
      <c r="A168" s="1" t="s">
        <v>1509</v>
      </c>
      <c r="B168" s="1" t="s">
        <v>1129</v>
      </c>
      <c r="C168" s="1" t="str">
        <f>VLOOKUP(B168,'RM Cost'!A:B,2,0)</f>
        <v>RM - COURGETTE STANDARD</v>
      </c>
      <c r="D168" s="1" t="s">
        <v>1343</v>
      </c>
      <c r="E168" s="1" t="s">
        <v>554</v>
      </c>
      <c r="F168" s="11">
        <f>VLOOKUP(B168,'RM Cost'!A:F,6,0)</f>
        <v>1.1000000000000001</v>
      </c>
      <c r="G168" s="4"/>
    </row>
    <row r="169" spans="1:7" x14ac:dyDescent="0.25">
      <c r="A169" s="1" t="s">
        <v>1510</v>
      </c>
      <c r="B169" s="1" t="s">
        <v>1129</v>
      </c>
      <c r="C169" s="1" t="str">
        <f>VLOOKUP(B169,'RM Cost'!A:B,2,0)</f>
        <v>RM - COURGETTE STANDARD</v>
      </c>
      <c r="D169" s="1" t="s">
        <v>1343</v>
      </c>
      <c r="E169" s="1" t="s">
        <v>554</v>
      </c>
      <c r="F169" s="11">
        <f>VLOOKUP(B169,'RM Cost'!A:F,6,0)</f>
        <v>1.1000000000000001</v>
      </c>
      <c r="G169" s="4"/>
    </row>
    <row r="170" spans="1:7" x14ac:dyDescent="0.25">
      <c r="A170" s="1" t="s">
        <v>1511</v>
      </c>
      <c r="B170" s="1" t="s">
        <v>1129</v>
      </c>
      <c r="C170" s="1" t="str">
        <f>VLOOKUP(B170,'RM Cost'!A:B,2,0)</f>
        <v>RM - COURGETTE STANDARD</v>
      </c>
      <c r="D170" s="1" t="s">
        <v>1343</v>
      </c>
      <c r="E170" s="1" t="s">
        <v>554</v>
      </c>
      <c r="F170" s="11">
        <f>VLOOKUP(B170,'RM Cost'!A:F,6,0)</f>
        <v>1.1000000000000001</v>
      </c>
      <c r="G170" s="4"/>
    </row>
    <row r="171" spans="1:7" x14ac:dyDescent="0.25">
      <c r="A171" s="1" t="s">
        <v>1512</v>
      </c>
      <c r="B171" s="1" t="s">
        <v>1129</v>
      </c>
      <c r="C171" s="1" t="str">
        <f>VLOOKUP(B171,'RM Cost'!A:B,2,0)</f>
        <v>RM - COURGETTE STANDARD</v>
      </c>
      <c r="D171" s="1" t="s">
        <v>1343</v>
      </c>
      <c r="E171" s="1" t="s">
        <v>554</v>
      </c>
      <c r="F171" s="11">
        <f>VLOOKUP(B171,'RM Cost'!A:F,6,0)</f>
        <v>1.1000000000000001</v>
      </c>
      <c r="G171" s="4"/>
    </row>
    <row r="172" spans="1:7" x14ac:dyDescent="0.25">
      <c r="A172" s="1" t="s">
        <v>1513</v>
      </c>
      <c r="B172" s="1" t="s">
        <v>1232</v>
      </c>
      <c r="C172" s="1" t="str">
        <f>VLOOKUP(B172,'RM Cost'!A:B,2,0)</f>
        <v>RM - CUCUMBER X12 EA</v>
      </c>
      <c r="D172" s="1" t="s">
        <v>1343</v>
      </c>
      <c r="E172" s="1" t="s">
        <v>554</v>
      </c>
      <c r="F172" s="11">
        <f>VLOOKUP(B172,'RM Cost'!A:F,6,0)</f>
        <v>1.18</v>
      </c>
      <c r="G172" s="4"/>
    </row>
    <row r="173" spans="1:7" x14ac:dyDescent="0.25">
      <c r="A173" s="1" t="s">
        <v>1514</v>
      </c>
      <c r="B173" s="1" t="s">
        <v>1232</v>
      </c>
      <c r="C173" s="1" t="str">
        <f>VLOOKUP(B173,'RM Cost'!A:B,2,0)</f>
        <v>RM - CUCUMBER X12 EA</v>
      </c>
      <c r="D173" s="1" t="s">
        <v>1343</v>
      </c>
      <c r="E173" s="1" t="s">
        <v>554</v>
      </c>
      <c r="F173" s="11">
        <f>VLOOKUP(B173,'RM Cost'!A:F,6,0)</f>
        <v>1.18</v>
      </c>
      <c r="G173" s="4"/>
    </row>
    <row r="174" spans="1:7" x14ac:dyDescent="0.25">
      <c r="A174" s="1" t="s">
        <v>1515</v>
      </c>
      <c r="B174" s="1" t="s">
        <v>1234</v>
      </c>
      <c r="C174" s="1" t="str">
        <f>VLOOKUP(B174,'RM Cost'!A:B,2,0)</f>
        <v>RM - FENNEL X5KG</v>
      </c>
      <c r="D174" s="1" t="s">
        <v>1343</v>
      </c>
      <c r="E174" s="1" t="s">
        <v>554</v>
      </c>
      <c r="F174" s="11">
        <f>VLOOKUP(B174,'RM Cost'!A:F,6,0)</f>
        <v>1.41</v>
      </c>
      <c r="G174" s="4"/>
    </row>
    <row r="175" spans="1:7" x14ac:dyDescent="0.25">
      <c r="A175" s="1" t="s">
        <v>1516</v>
      </c>
      <c r="B175" s="1" t="s">
        <v>1234</v>
      </c>
      <c r="C175" s="1" t="str">
        <f>VLOOKUP(B175,'RM Cost'!A:B,2,0)</f>
        <v>RM - FENNEL X5KG</v>
      </c>
      <c r="D175" s="1" t="s">
        <v>1343</v>
      </c>
      <c r="E175" s="1" t="s">
        <v>554</v>
      </c>
      <c r="F175" s="11">
        <f>VLOOKUP(B175,'RM Cost'!A:F,6,0)</f>
        <v>1.41</v>
      </c>
      <c r="G175" s="4"/>
    </row>
    <row r="176" spans="1:7" x14ac:dyDescent="0.25">
      <c r="A176" s="1" t="s">
        <v>1517</v>
      </c>
      <c r="B176" s="1" t="s">
        <v>1236</v>
      </c>
      <c r="C176" s="1" t="str">
        <f>VLOOKUP(B176,'RM Cost'!A:B,2,0)</f>
        <v>RM - GARLIC PEELED 10X1KG</v>
      </c>
      <c r="D176" s="1" t="s">
        <v>1343</v>
      </c>
      <c r="E176" s="1" t="s">
        <v>554</v>
      </c>
      <c r="F176" s="11">
        <f>VLOOKUP(B176,'RM Cost'!A:F,6,0)</f>
        <v>2.76</v>
      </c>
      <c r="G176" s="4"/>
    </row>
    <row r="177" spans="1:7" x14ac:dyDescent="0.25">
      <c r="A177" s="1" t="s">
        <v>1518</v>
      </c>
      <c r="B177" s="1" t="s">
        <v>1203</v>
      </c>
      <c r="C177" s="1" t="str">
        <f>VLOOKUP(B177,'RM Cost'!A:B,2,0)</f>
        <v>RM - GINGER   X 12KG</v>
      </c>
      <c r="D177" s="1" t="s">
        <v>1343</v>
      </c>
      <c r="E177" s="1" t="s">
        <v>554</v>
      </c>
      <c r="F177" s="11">
        <f>VLOOKUP(B177,'RM Cost'!A:F,6,0)</f>
        <v>2.0499999999999998</v>
      </c>
      <c r="G177" s="4"/>
    </row>
    <row r="178" spans="1:7" x14ac:dyDescent="0.25">
      <c r="A178" s="1" t="s">
        <v>1519</v>
      </c>
      <c r="B178" s="1" t="s">
        <v>1185</v>
      </c>
      <c r="C178" s="1" t="str">
        <f>VLOOKUP(B178,'RM Cost'!A:B,2,0)</f>
        <v>RM - GINGER FROZEN 10KG</v>
      </c>
      <c r="D178" s="1" t="s">
        <v>1343</v>
      </c>
      <c r="E178" s="1" t="s">
        <v>554</v>
      </c>
      <c r="F178" s="11">
        <f>VLOOKUP(B178,'RM Cost'!A:F,6,0)</f>
        <v>1.64</v>
      </c>
      <c r="G178" s="4"/>
    </row>
    <row r="179" spans="1:7" x14ac:dyDescent="0.25">
      <c r="A179" s="1" t="s">
        <v>1520</v>
      </c>
      <c r="B179" s="1" t="s">
        <v>1203</v>
      </c>
      <c r="C179" s="1" t="str">
        <f>VLOOKUP(B179,'RM Cost'!A:B,2,0)</f>
        <v>RM - GINGER   X 12KG</v>
      </c>
      <c r="D179" s="1" t="s">
        <v>1343</v>
      </c>
      <c r="E179" s="1" t="s">
        <v>554</v>
      </c>
      <c r="F179" s="11">
        <f>VLOOKUP(B179,'RM Cost'!A:F,6,0)</f>
        <v>2.0499999999999998</v>
      </c>
      <c r="G179" s="4"/>
    </row>
    <row r="180" spans="1:7" x14ac:dyDescent="0.25">
      <c r="A180" s="1" t="s">
        <v>1521</v>
      </c>
      <c r="B180" s="1" t="s">
        <v>1238</v>
      </c>
      <c r="C180" s="1" t="str">
        <f>VLOOKUP(B180,'RM Cost'!A:B,2,0)</f>
        <v>RM - HORSERADISH FRESH   X10 STICK</v>
      </c>
      <c r="D180" s="1" t="s">
        <v>1343</v>
      </c>
      <c r="E180" s="1" t="s">
        <v>554</v>
      </c>
      <c r="F180" s="11">
        <f>VLOOKUP(B180,'RM Cost'!A:F,6,0)</f>
        <v>4.84</v>
      </c>
      <c r="G180" s="4"/>
    </row>
    <row r="181" spans="1:7" x14ac:dyDescent="0.25">
      <c r="A181" s="1" t="s">
        <v>1522</v>
      </c>
      <c r="B181" s="1" t="s">
        <v>1240</v>
      </c>
      <c r="C181" s="1" t="str">
        <f>VLOOKUP(B181,'RM Cost'!A:B,2,0)</f>
        <v>RM - SWISS CHARD X10KG</v>
      </c>
      <c r="D181" s="1" t="s">
        <v>1343</v>
      </c>
      <c r="E181" s="1" t="s">
        <v>554</v>
      </c>
      <c r="F181" s="11" t="e">
        <f>VLOOKUP(B181,'RM Cost'!A:F,6,0)</f>
        <v>#N/A</v>
      </c>
      <c r="G181" s="4"/>
    </row>
    <row r="182" spans="1:7" x14ac:dyDescent="0.25">
      <c r="A182" s="1" t="s">
        <v>1523</v>
      </c>
      <c r="B182" s="1" t="s">
        <v>1713</v>
      </c>
      <c r="C182" s="1" t="str">
        <f>VLOOKUP(B182,'RM Cost'!A:B,2,0)</f>
        <v>RM - PROCESSING LEEKS 5KG</v>
      </c>
      <c r="D182" s="1" t="s">
        <v>1343</v>
      </c>
      <c r="E182" s="1" t="s">
        <v>554</v>
      </c>
      <c r="F182" s="11">
        <f>VLOOKUP(B182,'RM Cost'!A:F,6,0)</f>
        <v>1.05</v>
      </c>
      <c r="G182" s="4"/>
    </row>
    <row r="183" spans="1:7" x14ac:dyDescent="0.25">
      <c r="A183" s="1" t="s">
        <v>1524</v>
      </c>
      <c r="B183" s="1" t="s">
        <v>1713</v>
      </c>
      <c r="C183" s="1" t="str">
        <f>VLOOKUP(B183,'RM Cost'!A:B,2,0)</f>
        <v>RM - PROCESSING LEEKS 5KG</v>
      </c>
      <c r="D183" s="1" t="s">
        <v>1343</v>
      </c>
      <c r="E183" s="1" t="s">
        <v>554</v>
      </c>
      <c r="F183" s="11">
        <f>VLOOKUP(B183,'RM Cost'!A:F,6,0)</f>
        <v>1.05</v>
      </c>
      <c r="G183" s="4"/>
    </row>
    <row r="184" spans="1:7" x14ac:dyDescent="0.25">
      <c r="A184" s="1" t="s">
        <v>1525</v>
      </c>
      <c r="B184" s="1" t="s">
        <v>1713</v>
      </c>
      <c r="C184" s="1" t="str">
        <f>VLOOKUP(B184,'RM Cost'!A:B,2,0)</f>
        <v>RM - PROCESSING LEEKS 5KG</v>
      </c>
      <c r="D184" s="1" t="s">
        <v>1343</v>
      </c>
      <c r="E184" s="1" t="s">
        <v>554</v>
      </c>
      <c r="F184" s="11">
        <f>VLOOKUP(B184,'RM Cost'!A:F,6,0)</f>
        <v>1.05</v>
      </c>
      <c r="G184" s="4"/>
    </row>
    <row r="185" spans="1:7" x14ac:dyDescent="0.25">
      <c r="A185" s="1" t="s">
        <v>1526</v>
      </c>
      <c r="B185" s="1" t="s">
        <v>1242</v>
      </c>
      <c r="C185" s="1" t="str">
        <f>VLOOKUP(B185,'RM Cost'!A:B,2,0)</f>
        <v>LETTUCE LITTLE GEM X16 PKT</v>
      </c>
      <c r="D185" s="1" t="s">
        <v>1343</v>
      </c>
      <c r="E185" s="1" t="s">
        <v>554</v>
      </c>
      <c r="F185" s="11">
        <f>VLOOKUP(B185,'RM Cost'!A:F,6,0)</f>
        <v>2.0699999999999998</v>
      </c>
      <c r="G185" s="4"/>
    </row>
    <row r="186" spans="1:7" x14ac:dyDescent="0.25">
      <c r="A186" s="1" t="s">
        <v>1527</v>
      </c>
      <c r="B186" s="1" t="s">
        <v>1135</v>
      </c>
      <c r="C186" s="1" t="str">
        <f>VLOOKUP(B186,'RM Cost'!A:B,2,0)</f>
        <v>RM - MANGETOUT 2KG</v>
      </c>
      <c r="D186" s="1" t="s">
        <v>1343</v>
      </c>
      <c r="E186" s="1" t="s">
        <v>554</v>
      </c>
      <c r="F186" s="11">
        <f>VLOOKUP(B186,'RM Cost'!A:F,6,0)</f>
        <v>4.13</v>
      </c>
      <c r="G186" s="4"/>
    </row>
    <row r="187" spans="1:7" x14ac:dyDescent="0.25">
      <c r="A187" s="1" t="s">
        <v>1528</v>
      </c>
      <c r="B187" s="1" t="s">
        <v>1119</v>
      </c>
      <c r="C187" s="1" t="str">
        <f>VLOOKUP(B187,'RM Cost'!A:B,2,0)</f>
        <v>RM - ORI MOOLI X 15 EA</v>
      </c>
      <c r="D187" s="1" t="s">
        <v>1343</v>
      </c>
      <c r="E187" s="1" t="s">
        <v>554</v>
      </c>
      <c r="F187" s="11">
        <f>VLOOKUP(B187,'RM Cost'!A:F,6,0)</f>
        <v>1.23</v>
      </c>
      <c r="G187" s="4"/>
    </row>
    <row r="188" spans="1:7" x14ac:dyDescent="0.25">
      <c r="A188" s="1" t="s">
        <v>1529</v>
      </c>
      <c r="B188" s="1" t="s">
        <v>1244</v>
      </c>
      <c r="C188" s="1" t="str">
        <f>VLOOKUP(B188,'RM Cost'!A:B,2,0)</f>
        <v>RM - MUSHROOM BUTTON 30-40M 3KG</v>
      </c>
      <c r="D188" s="1" t="s">
        <v>1343</v>
      </c>
      <c r="E188" s="1" t="s">
        <v>554</v>
      </c>
      <c r="F188" s="11">
        <f>VLOOKUP(B188,'RM Cost'!A:F,6,0)</f>
        <v>1.85</v>
      </c>
      <c r="G188" s="4"/>
    </row>
    <row r="189" spans="1:7" x14ac:dyDescent="0.25">
      <c r="A189" s="1" t="s">
        <v>1530</v>
      </c>
      <c r="B189" s="1" t="s">
        <v>1244</v>
      </c>
      <c r="C189" s="1" t="str">
        <f>VLOOKUP(B189,'RM Cost'!A:B,2,0)</f>
        <v>RM - MUSHROOM BUTTON 30-40M 3KG</v>
      </c>
      <c r="D189" s="1" t="s">
        <v>1343</v>
      </c>
      <c r="E189" s="1" t="s">
        <v>554</v>
      </c>
      <c r="F189" s="11">
        <f>VLOOKUP(B189,'RM Cost'!A:F,6,0)</f>
        <v>1.85</v>
      </c>
      <c r="G189" s="4"/>
    </row>
    <row r="190" spans="1:7" x14ac:dyDescent="0.25">
      <c r="A190" s="1" t="s">
        <v>1531</v>
      </c>
      <c r="B190" s="1" t="s">
        <v>1244</v>
      </c>
      <c r="C190" s="1" t="str">
        <f>VLOOKUP(B190,'RM Cost'!A:B,2,0)</f>
        <v>RM - MUSHROOM BUTTON 30-40M 3KG</v>
      </c>
      <c r="D190" s="1" t="s">
        <v>1343</v>
      </c>
      <c r="E190" s="1" t="s">
        <v>554</v>
      </c>
      <c r="F190" s="11">
        <f>VLOOKUP(B190,'RM Cost'!A:F,6,0)</f>
        <v>1.85</v>
      </c>
      <c r="G190" s="4"/>
    </row>
    <row r="191" spans="1:7" x14ac:dyDescent="0.25">
      <c r="A191" s="1" t="s">
        <v>1532</v>
      </c>
      <c r="B191" s="1" t="s">
        <v>1244</v>
      </c>
      <c r="C191" s="1" t="str">
        <f>VLOOKUP(B191,'RM Cost'!A:B,2,0)</f>
        <v>RM - MUSHROOM BUTTON 30-40M 3KG</v>
      </c>
      <c r="D191" s="1" t="s">
        <v>1343</v>
      </c>
      <c r="E191" s="1" t="s">
        <v>554</v>
      </c>
      <c r="F191" s="11">
        <f>VLOOKUP(B191,'RM Cost'!A:F,6,0)</f>
        <v>1.85</v>
      </c>
      <c r="G191" s="4"/>
    </row>
    <row r="192" spans="1:7" x14ac:dyDescent="0.25">
      <c r="A192" s="1" t="s">
        <v>1533</v>
      </c>
      <c r="B192" s="1" t="s">
        <v>1246</v>
      </c>
      <c r="C192" s="1" t="str">
        <f>VLOOKUP(B192,'RM Cost'!A:B,2,0)</f>
        <v>RM - MUSHROOM CHESTNUT 35-40M 3KG</v>
      </c>
      <c r="D192" s="1" t="s">
        <v>1343</v>
      </c>
      <c r="E192" s="1" t="s">
        <v>554</v>
      </c>
      <c r="F192" s="11">
        <f>VLOOKUP(B192,'RM Cost'!A:F,6,0)</f>
        <v>2</v>
      </c>
      <c r="G192" s="4"/>
    </row>
    <row r="193" spans="1:7" x14ac:dyDescent="0.25">
      <c r="A193" s="1" t="s">
        <v>1534</v>
      </c>
      <c r="B193" s="1" t="s">
        <v>1246</v>
      </c>
      <c r="C193" s="1" t="str">
        <f>VLOOKUP(B193,'RM Cost'!A:B,2,0)</f>
        <v>RM - MUSHROOM CHESTNUT 35-40M 3KG</v>
      </c>
      <c r="D193" s="1" t="s">
        <v>1343</v>
      </c>
      <c r="E193" s="1" t="s">
        <v>554</v>
      </c>
      <c r="F193" s="11">
        <f>VLOOKUP(B193,'RM Cost'!A:F,6,0)</f>
        <v>2</v>
      </c>
      <c r="G193" s="4"/>
    </row>
    <row r="194" spans="1:7" x14ac:dyDescent="0.25">
      <c r="A194" s="1" t="s">
        <v>1535</v>
      </c>
      <c r="B194" s="1" t="s">
        <v>1248</v>
      </c>
      <c r="C194" s="1" t="str">
        <f>VLOOKUP(B194,'RM Cost'!A:B,2,0)</f>
        <v>RM - MUSHROOM SHITAKI 1.5KG</v>
      </c>
      <c r="D194" s="1" t="s">
        <v>1343</v>
      </c>
      <c r="E194" s="1" t="s">
        <v>554</v>
      </c>
      <c r="F194" s="11">
        <f>VLOOKUP(B194,'RM Cost'!A:F,6,0)</f>
        <v>6.14</v>
      </c>
      <c r="G194" s="4"/>
    </row>
    <row r="195" spans="1:7" x14ac:dyDescent="0.25">
      <c r="A195" s="1" t="s">
        <v>1536</v>
      </c>
      <c r="B195" s="1" t="s">
        <v>1248</v>
      </c>
      <c r="C195" s="1" t="str">
        <f>VLOOKUP(B195,'RM Cost'!A:B,2,0)</f>
        <v>RM - MUSHROOM SHITAKI 1.5KG</v>
      </c>
      <c r="D195" s="1" t="s">
        <v>1343</v>
      </c>
      <c r="E195" s="1" t="s">
        <v>554</v>
      </c>
      <c r="F195" s="11">
        <f>VLOOKUP(B195,'RM Cost'!A:F,6,0)</f>
        <v>6.14</v>
      </c>
      <c r="G195" s="4"/>
    </row>
    <row r="196" spans="1:7" x14ac:dyDescent="0.25">
      <c r="A196" s="1" t="s">
        <v>1537</v>
      </c>
      <c r="B196" s="1" t="s">
        <v>1248</v>
      </c>
      <c r="C196" s="1" t="str">
        <f>VLOOKUP(B196,'RM Cost'!A:B,2,0)</f>
        <v>RM - MUSHROOM SHITAKI 1.5KG</v>
      </c>
      <c r="D196" s="1" t="s">
        <v>1343</v>
      </c>
      <c r="E196" s="1" t="s">
        <v>554</v>
      </c>
      <c r="F196" s="11">
        <f>VLOOKUP(B196,'RM Cost'!A:F,6,0)</f>
        <v>6.14</v>
      </c>
      <c r="G196" s="4"/>
    </row>
    <row r="197" spans="1:7" x14ac:dyDescent="0.25">
      <c r="A197" s="1" t="s">
        <v>1538</v>
      </c>
      <c r="B197" s="1" t="s">
        <v>1248</v>
      </c>
      <c r="C197" s="1" t="str">
        <f>VLOOKUP(B197,'RM Cost'!A:B,2,0)</f>
        <v>RM - MUSHROOM SHITAKI 1.5KG</v>
      </c>
      <c r="D197" s="1" t="s">
        <v>1343</v>
      </c>
      <c r="E197" s="1" t="s">
        <v>554</v>
      </c>
      <c r="F197" s="11">
        <f>VLOOKUP(B197,'RM Cost'!A:F,6,0)</f>
        <v>6.14</v>
      </c>
      <c r="G197" s="4"/>
    </row>
    <row r="198" spans="1:7" x14ac:dyDescent="0.25">
      <c r="A198" s="1" t="s">
        <v>1539</v>
      </c>
      <c r="B198" s="1" t="s">
        <v>1187</v>
      </c>
      <c r="C198" s="1" t="str">
        <f>VLOOKUP(B198,'RM Cost'!A:B,2,0)</f>
        <v>RM - PREP ONION WHOLE 10KG</v>
      </c>
      <c r="D198" s="1" t="s">
        <v>1343</v>
      </c>
      <c r="E198" s="1" t="s">
        <v>554</v>
      </c>
      <c r="F198" s="11">
        <f>VLOOKUP(B198,'RM Cost'!A:F,6,0)</f>
        <v>0.87</v>
      </c>
      <c r="G198" s="4"/>
    </row>
    <row r="199" spans="1:7" x14ac:dyDescent="0.25">
      <c r="A199" s="1" t="s">
        <v>1540</v>
      </c>
      <c r="B199" s="1" t="s">
        <v>1187</v>
      </c>
      <c r="C199" s="1" t="str">
        <f>VLOOKUP(B199,'RM Cost'!A:B,2,0)</f>
        <v>RM - PREP ONION WHOLE 10KG</v>
      </c>
      <c r="D199" s="1" t="s">
        <v>1343</v>
      </c>
      <c r="E199" s="1" t="s">
        <v>554</v>
      </c>
      <c r="F199" s="11">
        <f>VLOOKUP(B199,'RM Cost'!A:F,6,0)</f>
        <v>0.87</v>
      </c>
      <c r="G199" s="4"/>
    </row>
    <row r="200" spans="1:7" x14ac:dyDescent="0.25">
      <c r="A200" s="1" t="s">
        <v>1541</v>
      </c>
      <c r="B200" s="1" t="s">
        <v>1187</v>
      </c>
      <c r="C200" s="1" t="str">
        <f>VLOOKUP(B200,'RM Cost'!A:B,2,0)</f>
        <v>RM - PREP ONION WHOLE 10KG</v>
      </c>
      <c r="D200" s="1" t="s">
        <v>1343</v>
      </c>
      <c r="E200" s="1" t="s">
        <v>554</v>
      </c>
      <c r="F200" s="11">
        <f>VLOOKUP(B200,'RM Cost'!A:F,6,0)</f>
        <v>0.87</v>
      </c>
      <c r="G200" s="4"/>
    </row>
    <row r="201" spans="1:7" x14ac:dyDescent="0.25">
      <c r="A201" s="1" t="s">
        <v>1542</v>
      </c>
      <c r="B201" s="1" t="s">
        <v>1250</v>
      </c>
      <c r="C201" s="1" t="str">
        <f>VLOOKUP(B201,'RM Cost'!A:B,2,0)</f>
        <v>RM - ONION BUTTON   X5KG</v>
      </c>
      <c r="D201" s="1" t="s">
        <v>1343</v>
      </c>
      <c r="E201" s="1" t="s">
        <v>554</v>
      </c>
      <c r="F201" s="11">
        <f>VLOOKUP(B201,'RM Cost'!A:F,6,0)</f>
        <v>0</v>
      </c>
      <c r="G201" s="4"/>
    </row>
    <row r="202" spans="1:7" x14ac:dyDescent="0.25">
      <c r="A202" s="1" t="s">
        <v>1543</v>
      </c>
      <c r="B202" s="1" t="s">
        <v>1121</v>
      </c>
      <c r="C202" s="1" t="str">
        <f>VLOOKUP(B202,'RM Cost'!A:B,2,0)</f>
        <v>RM - PARSNIPS 10KG</v>
      </c>
      <c r="D202" s="1" t="s">
        <v>1343</v>
      </c>
      <c r="E202" s="1" t="s">
        <v>554</v>
      </c>
      <c r="F202" s="11">
        <f>VLOOKUP(B202,'RM Cost'!A:F,6,0)</f>
        <v>0.76</v>
      </c>
      <c r="G202" s="4"/>
    </row>
    <row r="203" spans="1:7" x14ac:dyDescent="0.25">
      <c r="A203" s="1" t="s">
        <v>1544</v>
      </c>
      <c r="B203" s="1" t="s">
        <v>1830</v>
      </c>
      <c r="C203" s="1" t="str">
        <f>VLOOKUP(B203,'RM Cost'!A:B,2,0)</f>
        <v>RM - PEPPERS GREEN  X 5KG</v>
      </c>
      <c r="D203" s="1" t="s">
        <v>1343</v>
      </c>
      <c r="E203" s="1" t="s">
        <v>554</v>
      </c>
      <c r="F203" s="11">
        <f>VLOOKUP(B203,'RM Cost'!A:F,6,0)</f>
        <v>1.76</v>
      </c>
      <c r="G203" s="4"/>
    </row>
    <row r="204" spans="1:7" x14ac:dyDescent="0.25">
      <c r="A204" s="1" t="s">
        <v>1545</v>
      </c>
      <c r="B204" s="1" t="s">
        <v>1831</v>
      </c>
      <c r="C204" s="1" t="str">
        <f>VLOOKUP(B204,'RM Cost'!A:B,2,0)</f>
        <v>PEPPERS RED X 5KG</v>
      </c>
      <c r="D204" s="1" t="s">
        <v>1343</v>
      </c>
      <c r="E204" s="1" t="s">
        <v>554</v>
      </c>
      <c r="F204" s="11">
        <f>VLOOKUP(B204,'RM Cost'!A:F,6,0)</f>
        <v>1.72</v>
      </c>
      <c r="G204" s="4"/>
    </row>
    <row r="205" spans="1:7" x14ac:dyDescent="0.25">
      <c r="A205" s="1" t="s">
        <v>1546</v>
      </c>
      <c r="B205" s="1" t="s">
        <v>1831</v>
      </c>
      <c r="C205" s="1" t="str">
        <f>VLOOKUP(B205,'RM Cost'!A:B,2,0)</f>
        <v>PEPPERS RED X 5KG</v>
      </c>
      <c r="D205" s="1" t="s">
        <v>1343</v>
      </c>
      <c r="E205" s="1" t="s">
        <v>554</v>
      </c>
      <c r="F205" s="11">
        <f>VLOOKUP(B205,'RM Cost'!A:F,6,0)</f>
        <v>1.72</v>
      </c>
      <c r="G205" s="4"/>
    </row>
    <row r="206" spans="1:7" x14ac:dyDescent="0.25">
      <c r="A206" s="1" t="s">
        <v>1547</v>
      </c>
      <c r="B206" s="1" t="s">
        <v>3466</v>
      </c>
      <c r="C206" s="1" t="str">
        <f>VLOOKUP(B206,'RM Cost'!A:B,2,0)</f>
        <v>RM - PEPPERS YELLOW  X 5KG</v>
      </c>
      <c r="D206" s="1" t="s">
        <v>1343</v>
      </c>
      <c r="E206" s="1" t="s">
        <v>554</v>
      </c>
      <c r="F206" s="11">
        <f>VLOOKUP(B206,'RM Cost'!A:F,6,0)</f>
        <v>1.68</v>
      </c>
      <c r="G206" s="4"/>
    </row>
    <row r="207" spans="1:7" x14ac:dyDescent="0.25">
      <c r="A207" s="1" t="s">
        <v>1548</v>
      </c>
      <c r="B207" s="1" t="s">
        <v>1219</v>
      </c>
      <c r="C207" s="1" t="str">
        <f>VLOOKUP(B207,'RM Cost'!A:B,2,0)</f>
        <v>RM - MARIS PIPER 25KG</v>
      </c>
      <c r="D207" s="1" t="s">
        <v>1343</v>
      </c>
      <c r="E207" s="1" t="s">
        <v>554</v>
      </c>
      <c r="F207" s="11">
        <f>VLOOKUP(B207,'RM Cost'!A:F,6,0)</f>
        <v>0.43</v>
      </c>
      <c r="G207" s="4"/>
    </row>
    <row r="208" spans="1:7" x14ac:dyDescent="0.25">
      <c r="A208" s="1" t="s">
        <v>1549</v>
      </c>
      <c r="B208" s="1" t="s">
        <v>1303</v>
      </c>
      <c r="C208" s="1" t="str">
        <f>VLOOKUP(B208,'RM Cost'!A:B,2,0)</f>
        <v>BAKING POTATO X50 EA</v>
      </c>
      <c r="D208" s="1" t="s">
        <v>1343</v>
      </c>
      <c r="E208" s="1" t="s">
        <v>554</v>
      </c>
      <c r="F208" s="11">
        <f>VLOOKUP(B208,'RM Cost'!A:F,6,0)</f>
        <v>0.57000000000000006</v>
      </c>
      <c r="G208" s="4"/>
    </row>
    <row r="209" spans="1:7" x14ac:dyDescent="0.25">
      <c r="A209" s="1" t="s">
        <v>1550</v>
      </c>
      <c r="B209" s="1" t="s">
        <v>1303</v>
      </c>
      <c r="C209" s="1" t="str">
        <f>VLOOKUP(B209,'RM Cost'!A:B,2,0)</f>
        <v>BAKING POTATO X50 EA</v>
      </c>
      <c r="D209" s="1" t="s">
        <v>1343</v>
      </c>
      <c r="E209" s="1" t="s">
        <v>554</v>
      </c>
      <c r="F209" s="11">
        <f>VLOOKUP(B209,'RM Cost'!A:F,6,0)</f>
        <v>0.57000000000000006</v>
      </c>
      <c r="G209" s="4"/>
    </row>
    <row r="210" spans="1:7" x14ac:dyDescent="0.25">
      <c r="A210" s="1" t="s">
        <v>1551</v>
      </c>
      <c r="B210" s="1" t="s">
        <v>1252</v>
      </c>
      <c r="C210" s="1" t="str">
        <f>VLOOKUP(B210,'RM Cost'!A:B,2,0)</f>
        <v>RM - POTATOES RATTE     15 X 1KG</v>
      </c>
      <c r="D210" s="1" t="s">
        <v>1343</v>
      </c>
      <c r="E210" s="1" t="s">
        <v>554</v>
      </c>
      <c r="F210" s="11">
        <f>VLOOKUP(B210,'RM Cost'!A:F,6,0)</f>
        <v>2.67</v>
      </c>
      <c r="G210" s="4"/>
    </row>
    <row r="211" spans="1:7" x14ac:dyDescent="0.25">
      <c r="A211" s="1" t="s">
        <v>1552</v>
      </c>
      <c r="B211" s="1" t="s">
        <v>1199</v>
      </c>
      <c r="C211" s="1" t="str">
        <f>VLOOKUP(B211,'RM Cost'!A:B,2,0)</f>
        <v>RM - POTATOES WARE 25KG</v>
      </c>
      <c r="D211" s="1" t="s">
        <v>1343</v>
      </c>
      <c r="E211" s="1" t="s">
        <v>554</v>
      </c>
      <c r="F211" s="11">
        <f>VLOOKUP(B211,'RM Cost'!A:F,6,0)</f>
        <v>0.27</v>
      </c>
      <c r="G211" s="4"/>
    </row>
    <row r="212" spans="1:7" x14ac:dyDescent="0.25">
      <c r="A212" s="1" t="s">
        <v>1553</v>
      </c>
      <c r="B212" s="1" t="s">
        <v>1252</v>
      </c>
      <c r="C212" s="1" t="str">
        <f>VLOOKUP(B212,'RM Cost'!A:B,2,0)</f>
        <v>RM - POTATOES RATTE     15 X 1KG</v>
      </c>
      <c r="D212" s="1" t="s">
        <v>1343</v>
      </c>
      <c r="E212" s="1" t="s">
        <v>554</v>
      </c>
      <c r="F212" s="11">
        <f>VLOOKUP(B212,'RM Cost'!A:F,6,0)</f>
        <v>2.67</v>
      </c>
      <c r="G212" s="4"/>
    </row>
    <row r="213" spans="1:7" x14ac:dyDescent="0.25">
      <c r="A213" s="1" t="s">
        <v>1554</v>
      </c>
      <c r="B213" s="1" t="s">
        <v>1252</v>
      </c>
      <c r="C213" s="1" t="str">
        <f>VLOOKUP(B213,'RM Cost'!A:B,2,0)</f>
        <v>RM - POTATOES RATTE     15 X 1KG</v>
      </c>
      <c r="D213" s="1" t="s">
        <v>1343</v>
      </c>
      <c r="E213" s="1" t="s">
        <v>554</v>
      </c>
      <c r="F213" s="11">
        <f>VLOOKUP(B213,'RM Cost'!A:F,6,0)</f>
        <v>2.67</v>
      </c>
      <c r="G213" s="4"/>
    </row>
    <row r="214" spans="1:7" x14ac:dyDescent="0.25">
      <c r="A214" s="1" t="s">
        <v>1555</v>
      </c>
      <c r="B214" s="1" t="s">
        <v>1219</v>
      </c>
      <c r="C214" s="1" t="str">
        <f>VLOOKUP(B214,'RM Cost'!A:B,2,0)</f>
        <v>RM - MARIS PIPER 25KG</v>
      </c>
      <c r="D214" s="1" t="s">
        <v>1343</v>
      </c>
      <c r="E214" s="1" t="s">
        <v>554</v>
      </c>
      <c r="F214" s="11">
        <f>VLOOKUP(B214,'RM Cost'!A:F,6,0)</f>
        <v>0.43</v>
      </c>
      <c r="G214" s="4"/>
    </row>
    <row r="215" spans="1:7" x14ac:dyDescent="0.25">
      <c r="A215" s="1" t="s">
        <v>1556</v>
      </c>
      <c r="B215" s="1" t="s">
        <v>1199</v>
      </c>
      <c r="C215" s="1" t="str">
        <f>VLOOKUP(B215,'RM Cost'!A:B,2,0)</f>
        <v>RM - POTATOES WARE 25KG</v>
      </c>
      <c r="D215" s="1" t="s">
        <v>1343</v>
      </c>
      <c r="E215" s="1" t="s">
        <v>554</v>
      </c>
      <c r="F215" s="11">
        <f>VLOOKUP(B215,'RM Cost'!A:F,6,0)</f>
        <v>0.27</v>
      </c>
      <c r="G215" s="4"/>
    </row>
    <row r="216" spans="1:7" x14ac:dyDescent="0.25">
      <c r="A216" s="1" t="s">
        <v>1557</v>
      </c>
      <c r="B216" s="1" t="s">
        <v>1254</v>
      </c>
      <c r="C216" s="1" t="str">
        <f>VLOOKUP(B216,'RM Cost'!A:B,2,0)</f>
        <v>RM - POTATO - MIDS 35-45MM X 10KG</v>
      </c>
      <c r="D216" s="1" t="s">
        <v>1343</v>
      </c>
      <c r="E216" s="1" t="s">
        <v>554</v>
      </c>
      <c r="F216" s="11">
        <f>VLOOKUP(B216,'RM Cost'!A:F,6,0)</f>
        <v>0.94</v>
      </c>
      <c r="G216" s="4"/>
    </row>
    <row r="217" spans="1:7" x14ac:dyDescent="0.25">
      <c r="A217" s="1" t="s">
        <v>1558</v>
      </c>
      <c r="B217" s="1" t="s">
        <v>1254</v>
      </c>
      <c r="C217" s="1" t="str">
        <f>VLOOKUP(B217,'RM Cost'!A:B,2,0)</f>
        <v>RM - POTATO - MIDS 35-45MM X 10KG</v>
      </c>
      <c r="D217" s="1" t="s">
        <v>1343</v>
      </c>
      <c r="E217" s="1" t="s">
        <v>554</v>
      </c>
      <c r="F217" s="11">
        <f>VLOOKUP(B217,'RM Cost'!A:F,6,0)</f>
        <v>0.94</v>
      </c>
      <c r="G217" s="4"/>
    </row>
    <row r="218" spans="1:7" x14ac:dyDescent="0.25">
      <c r="A218" s="1" t="s">
        <v>1559</v>
      </c>
      <c r="B218" s="1" t="s">
        <v>1254</v>
      </c>
      <c r="C218" s="1" t="str">
        <f>VLOOKUP(B218,'RM Cost'!A:B,2,0)</f>
        <v>RM - POTATO - MIDS 35-45MM X 10KG</v>
      </c>
      <c r="D218" s="1" t="s">
        <v>1343</v>
      </c>
      <c r="E218" s="1" t="s">
        <v>554</v>
      </c>
      <c r="F218" s="11">
        <f>VLOOKUP(B218,'RM Cost'!A:F,6,0)</f>
        <v>0.94</v>
      </c>
      <c r="G218" s="4"/>
    </row>
    <row r="219" spans="1:7" x14ac:dyDescent="0.25">
      <c r="A219" s="1" t="s">
        <v>1560</v>
      </c>
      <c r="B219" s="1" t="s">
        <v>1254</v>
      </c>
      <c r="C219" s="1" t="str">
        <f>VLOOKUP(B219,'RM Cost'!A:B,2,0)</f>
        <v>RM - POTATO - MIDS 35-45MM X 10KG</v>
      </c>
      <c r="D219" s="1" t="s">
        <v>1343</v>
      </c>
      <c r="E219" s="1" t="s">
        <v>554</v>
      </c>
      <c r="F219" s="11">
        <f>VLOOKUP(B219,'RM Cost'!A:F,6,0)</f>
        <v>0.94</v>
      </c>
      <c r="G219" s="4"/>
    </row>
    <row r="220" spans="1:7" x14ac:dyDescent="0.25">
      <c r="A220" s="1" t="s">
        <v>1561</v>
      </c>
      <c r="B220" s="1" t="s">
        <v>1254</v>
      </c>
      <c r="C220" s="1" t="str">
        <f>VLOOKUP(B220,'RM Cost'!A:B,2,0)</f>
        <v>RM - POTATO - MIDS 35-45MM X 10KG</v>
      </c>
      <c r="D220" s="1" t="s">
        <v>1343</v>
      </c>
      <c r="E220" s="1" t="s">
        <v>554</v>
      </c>
      <c r="F220" s="11">
        <f>VLOOKUP(B220,'RM Cost'!A:F,6,0)</f>
        <v>0.94</v>
      </c>
      <c r="G220" s="4"/>
    </row>
    <row r="221" spans="1:7" x14ac:dyDescent="0.25">
      <c r="A221" s="1" t="s">
        <v>1562</v>
      </c>
      <c r="B221" s="1" t="s">
        <v>1254</v>
      </c>
      <c r="C221" s="1" t="str">
        <f>VLOOKUP(B221,'RM Cost'!A:B,2,0)</f>
        <v>RM - POTATO - MIDS 35-45MM X 10KG</v>
      </c>
      <c r="D221" s="1" t="s">
        <v>1343</v>
      </c>
      <c r="E221" s="1" t="s">
        <v>554</v>
      </c>
      <c r="F221" s="11">
        <f>VLOOKUP(B221,'RM Cost'!A:F,6,0)</f>
        <v>0.94</v>
      </c>
      <c r="G221" s="4"/>
    </row>
    <row r="222" spans="1:7" x14ac:dyDescent="0.25">
      <c r="A222" s="1" t="s">
        <v>1563</v>
      </c>
      <c r="B222" s="1" t="s">
        <v>1256</v>
      </c>
      <c r="C222" s="1" t="str">
        <f>VLOOKUP(B222,'RM Cost'!A:B,2,0)</f>
        <v>RM - POTATO RED 25KG</v>
      </c>
      <c r="D222" s="1" t="s">
        <v>1343</v>
      </c>
      <c r="E222" s="1" t="s">
        <v>554</v>
      </c>
      <c r="F222" s="11">
        <f>VLOOKUP(B222,'RM Cost'!A:F,6,0)</f>
        <v>0.47</v>
      </c>
      <c r="G222" s="4"/>
    </row>
    <row r="223" spans="1:7" x14ac:dyDescent="0.25">
      <c r="A223" s="1" t="s">
        <v>1564</v>
      </c>
      <c r="B223" s="1" t="s">
        <v>1256</v>
      </c>
      <c r="C223" s="1" t="str">
        <f>VLOOKUP(B223,'RM Cost'!A:B,2,0)</f>
        <v>RM - POTATO RED 25KG</v>
      </c>
      <c r="D223" s="1" t="s">
        <v>1343</v>
      </c>
      <c r="E223" s="1" t="s">
        <v>554</v>
      </c>
      <c r="F223" s="11">
        <f>VLOOKUP(B223,'RM Cost'!A:F,6,0)</f>
        <v>0.47</v>
      </c>
      <c r="G223" s="4"/>
    </row>
    <row r="224" spans="1:7" x14ac:dyDescent="0.25">
      <c r="A224" s="1" t="s">
        <v>1565</v>
      </c>
      <c r="B224" s="1" t="s">
        <v>1256</v>
      </c>
      <c r="C224" s="1" t="str">
        <f>VLOOKUP(B224,'RM Cost'!A:B,2,0)</f>
        <v>RM - POTATO RED 25KG</v>
      </c>
      <c r="D224" s="1" t="s">
        <v>1343</v>
      </c>
      <c r="E224" s="1" t="s">
        <v>554</v>
      </c>
      <c r="F224" s="11">
        <f>VLOOKUP(B224,'RM Cost'!A:F,6,0)</f>
        <v>0.47</v>
      </c>
      <c r="G224" s="4"/>
    </row>
    <row r="225" spans="1:7" x14ac:dyDescent="0.25">
      <c r="A225" s="1" t="s">
        <v>1566</v>
      </c>
      <c r="B225" s="1" t="s">
        <v>1254</v>
      </c>
      <c r="C225" s="1" t="str">
        <f>VLOOKUP(B225,'RM Cost'!A:B,2,0)</f>
        <v>RM - POTATO - MIDS 35-45MM X 10KG</v>
      </c>
      <c r="D225" s="1" t="s">
        <v>1343</v>
      </c>
      <c r="E225" s="1" t="s">
        <v>554</v>
      </c>
      <c r="F225" s="11">
        <f>VLOOKUP(B225,'RM Cost'!A:F,6,0)</f>
        <v>0.94</v>
      </c>
      <c r="G225" s="4"/>
    </row>
    <row r="226" spans="1:7" x14ac:dyDescent="0.25">
      <c r="A226" s="1" t="s">
        <v>1567</v>
      </c>
      <c r="B226" s="1" t="s">
        <v>1199</v>
      </c>
      <c r="C226" s="1" t="str">
        <f>VLOOKUP(B226,'RM Cost'!A:B,2,0)</f>
        <v>RM - POTATOES WARE 25KG</v>
      </c>
      <c r="D226" s="1" t="s">
        <v>1343</v>
      </c>
      <c r="E226" s="1" t="s">
        <v>554</v>
      </c>
      <c r="F226" s="11">
        <f>VLOOKUP(B226,'RM Cost'!A:F,6,0)</f>
        <v>0.27</v>
      </c>
      <c r="G226" s="4"/>
    </row>
    <row r="227" spans="1:7" x14ac:dyDescent="0.25">
      <c r="A227" s="1" t="s">
        <v>1568</v>
      </c>
      <c r="B227" s="1" t="s">
        <v>1260</v>
      </c>
      <c r="C227" s="1" t="str">
        <f>VLOOKUP(B227,'RM Cost'!A:B,2,0)</f>
        <v>RM - PUMPKIN CROWN PRINCE X2.5KG</v>
      </c>
      <c r="D227" s="1" t="s">
        <v>1343</v>
      </c>
      <c r="E227" s="1" t="s">
        <v>554</v>
      </c>
      <c r="F227" s="11">
        <f>VLOOKUP(B227,'RM Cost'!A:F,6,0)</f>
        <v>0.78</v>
      </c>
      <c r="G227" s="4"/>
    </row>
    <row r="228" spans="1:7" x14ac:dyDescent="0.25">
      <c r="A228" s="1" t="s">
        <v>1569</v>
      </c>
      <c r="B228" s="1" t="s">
        <v>1260</v>
      </c>
      <c r="C228" s="1" t="str">
        <f>VLOOKUP(B228,'RM Cost'!A:B,2,0)</f>
        <v>RM - PUMPKIN CROWN PRINCE X2.5KG</v>
      </c>
      <c r="D228" s="1" t="s">
        <v>1343</v>
      </c>
      <c r="E228" s="1" t="s">
        <v>554</v>
      </c>
      <c r="F228" s="11">
        <f>VLOOKUP(B228,'RM Cost'!A:F,6,0)</f>
        <v>0.78</v>
      </c>
      <c r="G228" s="4"/>
    </row>
    <row r="229" spans="1:7" x14ac:dyDescent="0.25">
      <c r="A229" s="1" t="s">
        <v>1570</v>
      </c>
      <c r="B229" s="1" t="s">
        <v>1260</v>
      </c>
      <c r="C229" s="1" t="str">
        <f>VLOOKUP(B229,'RM Cost'!A:B,2,0)</f>
        <v>RM - PUMPKIN CROWN PRINCE X2.5KG</v>
      </c>
      <c r="D229" s="1" t="s">
        <v>1343</v>
      </c>
      <c r="E229" s="1" t="s">
        <v>554</v>
      </c>
      <c r="F229" s="11">
        <f>VLOOKUP(B229,'RM Cost'!A:F,6,0)</f>
        <v>0.78</v>
      </c>
      <c r="G229" s="4"/>
    </row>
    <row r="230" spans="1:7" x14ac:dyDescent="0.25">
      <c r="A230" s="1" t="s">
        <v>1571</v>
      </c>
      <c r="B230" s="1" t="s">
        <v>1262</v>
      </c>
      <c r="C230" s="1" t="str">
        <f>VLOOKUP(B230,'RM Cost'!A:B,2,0)</f>
        <v>RM - RADISH P/P   20 X 1 PKT</v>
      </c>
      <c r="D230" s="1" t="s">
        <v>1343</v>
      </c>
      <c r="E230" s="1" t="s">
        <v>554</v>
      </c>
      <c r="F230" s="11">
        <f>VLOOKUP(B230,'RM Cost'!A:F,6,0)</f>
        <v>2.0799999999999996</v>
      </c>
      <c r="G230" s="4"/>
    </row>
    <row r="231" spans="1:7" x14ac:dyDescent="0.25">
      <c r="A231" s="1" t="s">
        <v>1572</v>
      </c>
      <c r="B231" s="1" t="s">
        <v>1778</v>
      </c>
      <c r="C231" s="1" t="str">
        <f>VLOOKUP(B231,'RM Cost'!A:B,2,0)</f>
        <v>RM - PREP ONION RED WHOLE 2.5KG</v>
      </c>
      <c r="D231" s="1" t="s">
        <v>1343</v>
      </c>
      <c r="E231" s="1" t="s">
        <v>554</v>
      </c>
      <c r="F231" s="11">
        <f>VLOOKUP(B231,'RM Cost'!A:F,6,0)</f>
        <v>1.08</v>
      </c>
      <c r="G231" s="4"/>
    </row>
    <row r="232" spans="1:7" x14ac:dyDescent="0.25">
      <c r="A232" s="1" t="s">
        <v>1573</v>
      </c>
      <c r="B232" s="1" t="s">
        <v>1778</v>
      </c>
      <c r="C232" s="1" t="str">
        <f>VLOOKUP(B232,'RM Cost'!A:B,2,0)</f>
        <v>RM - PREP ONION RED WHOLE 2.5KG</v>
      </c>
      <c r="D232" s="1" t="s">
        <v>1343</v>
      </c>
      <c r="E232" s="1" t="s">
        <v>554</v>
      </c>
      <c r="F232" s="11">
        <f>VLOOKUP(B232,'RM Cost'!A:F,6,0)</f>
        <v>1.08</v>
      </c>
      <c r="G232" s="4"/>
    </row>
    <row r="233" spans="1:7" x14ac:dyDescent="0.25">
      <c r="A233" s="1" t="s">
        <v>1574</v>
      </c>
      <c r="B233" s="1" t="s">
        <v>1778</v>
      </c>
      <c r="C233" s="1" t="str">
        <f>VLOOKUP(B233,'RM Cost'!A:B,2,0)</f>
        <v>RM - PREP ONION RED WHOLE 2.5KG</v>
      </c>
      <c r="D233" s="1" t="s">
        <v>1343</v>
      </c>
      <c r="E233" s="1" t="s">
        <v>554</v>
      </c>
      <c r="F233" s="11">
        <f>VLOOKUP(B233,'RM Cost'!A:F,6,0)</f>
        <v>1.08</v>
      </c>
      <c r="G233" s="4"/>
    </row>
    <row r="234" spans="1:7" x14ac:dyDescent="0.25">
      <c r="A234" s="1" t="s">
        <v>1575</v>
      </c>
      <c r="B234" s="1" t="s">
        <v>1266</v>
      </c>
      <c r="C234" s="1" t="str">
        <f>VLOOKUP(B234,'RM Cost'!A:B,2,0)</f>
        <v>RM - SHALLOTS ROUND 5KG</v>
      </c>
      <c r="D234" s="1" t="s">
        <v>1343</v>
      </c>
      <c r="E234" s="1" t="s">
        <v>554</v>
      </c>
      <c r="F234" s="11">
        <f>VLOOKUP(B234,'RM Cost'!A:F,6,0)</f>
        <v>0.79</v>
      </c>
      <c r="G234" s="4"/>
    </row>
    <row r="235" spans="1:7" x14ac:dyDescent="0.25">
      <c r="A235" s="1" t="s">
        <v>1576</v>
      </c>
      <c r="B235" s="1" t="s">
        <v>1268</v>
      </c>
      <c r="C235" s="1" t="str">
        <f>VLOOKUP(B235,'RM Cost'!A:B,2,0)</f>
        <v>RM - SHALLOT BANANA 1X20KG</v>
      </c>
      <c r="D235" s="1" t="s">
        <v>1343</v>
      </c>
      <c r="E235" s="1" t="s">
        <v>554</v>
      </c>
      <c r="F235" s="11">
        <f>VLOOKUP(B235,'RM Cost'!A:F,6,0)</f>
        <v>0.92</v>
      </c>
      <c r="G235" s="4"/>
    </row>
    <row r="236" spans="1:7" x14ac:dyDescent="0.25">
      <c r="A236" s="1" t="s">
        <v>1577</v>
      </c>
      <c r="B236" s="1" t="s">
        <v>1268</v>
      </c>
      <c r="C236" s="1" t="str">
        <f>VLOOKUP(B236,'RM Cost'!A:B,2,0)</f>
        <v>RM - SHALLOT BANANA 1X20KG</v>
      </c>
      <c r="D236" s="1" t="s">
        <v>1343</v>
      </c>
      <c r="E236" s="1" t="s">
        <v>554</v>
      </c>
      <c r="F236" s="11">
        <f>VLOOKUP(B236,'RM Cost'!A:F,6,0)</f>
        <v>0.92</v>
      </c>
      <c r="G236" s="4"/>
    </row>
    <row r="237" spans="1:7" x14ac:dyDescent="0.25">
      <c r="A237" s="1" t="s">
        <v>1578</v>
      </c>
      <c r="B237" s="1" t="s">
        <v>1268</v>
      </c>
      <c r="C237" s="1" t="str">
        <f>VLOOKUP(B237,'RM Cost'!A:B,2,0)</f>
        <v>RM - SHALLOT BANANA 1X20KG</v>
      </c>
      <c r="D237" s="1" t="s">
        <v>1343</v>
      </c>
      <c r="E237" s="1" t="s">
        <v>554</v>
      </c>
      <c r="F237" s="11">
        <f>VLOOKUP(B237,'RM Cost'!A:F,6,0)</f>
        <v>0.92</v>
      </c>
      <c r="G237" s="4"/>
    </row>
    <row r="238" spans="1:7" x14ac:dyDescent="0.25">
      <c r="A238" s="1" t="s">
        <v>1579</v>
      </c>
      <c r="B238" s="1" t="s">
        <v>1266</v>
      </c>
      <c r="C238" s="1" t="str">
        <f>VLOOKUP(B238,'RM Cost'!A:B,2,0)</f>
        <v>RM - SHALLOTS ROUND 5KG</v>
      </c>
      <c r="D238" s="1" t="s">
        <v>1343</v>
      </c>
      <c r="E238" s="1" t="s">
        <v>554</v>
      </c>
      <c r="F238" s="11">
        <f>VLOOKUP(B238,'RM Cost'!A:F,6,0)</f>
        <v>0.79</v>
      </c>
      <c r="G238" s="4"/>
    </row>
    <row r="239" spans="1:7" x14ac:dyDescent="0.25">
      <c r="A239" s="1" t="s">
        <v>1580</v>
      </c>
      <c r="B239" s="1" t="s">
        <v>1149</v>
      </c>
      <c r="C239" s="1" t="str">
        <f>VLOOKUP(B239,'RM Cost'!A:B,2,0)</f>
        <v>RM - SPRING ONION x 2KG</v>
      </c>
      <c r="D239" s="1" t="s">
        <v>1343</v>
      </c>
      <c r="E239" s="1" t="s">
        <v>554</v>
      </c>
      <c r="F239" s="11">
        <f>VLOOKUP(B239,'RM Cost'!A:F,6,0)</f>
        <v>3.08</v>
      </c>
      <c r="G239" s="4"/>
    </row>
    <row r="240" spans="1:7" x14ac:dyDescent="0.25">
      <c r="A240" s="1" t="s">
        <v>1581</v>
      </c>
      <c r="B240" s="1" t="s">
        <v>1149</v>
      </c>
      <c r="C240" s="1" t="str">
        <f>VLOOKUP(B240,'RM Cost'!A:B,2,0)</f>
        <v>RM - SPRING ONION x 2KG</v>
      </c>
      <c r="D240" s="1" t="s">
        <v>1343</v>
      </c>
      <c r="E240" s="1" t="s">
        <v>554</v>
      </c>
      <c r="F240" s="11">
        <f>VLOOKUP(B240,'RM Cost'!A:F,6,0)</f>
        <v>3.08</v>
      </c>
      <c r="G240" s="4"/>
    </row>
    <row r="241" spans="1:7" x14ac:dyDescent="0.25">
      <c r="A241" s="1" t="s">
        <v>1582</v>
      </c>
      <c r="B241" s="1" t="s">
        <v>1149</v>
      </c>
      <c r="C241" s="1" t="str">
        <f>VLOOKUP(B241,'RM Cost'!A:B,2,0)</f>
        <v>RM - SPRING ONION x 2KG</v>
      </c>
      <c r="D241" s="1" t="s">
        <v>1343</v>
      </c>
      <c r="E241" s="1" t="s">
        <v>554</v>
      </c>
      <c r="F241" s="11">
        <f>VLOOKUP(B241,'RM Cost'!A:F,6,0)</f>
        <v>3.08</v>
      </c>
      <c r="G241" s="4"/>
    </row>
    <row r="242" spans="1:7" x14ac:dyDescent="0.25">
      <c r="A242" s="1" t="s">
        <v>1583</v>
      </c>
      <c r="B242" t="s">
        <v>1338</v>
      </c>
      <c r="C242" s="1" t="str">
        <f>VLOOKUP(B242,'RM Cost'!A:B,2,0)</f>
        <v>RM - BUTTERNUT SQUASH BIN X 625KG</v>
      </c>
      <c r="D242" s="1" t="s">
        <v>1343</v>
      </c>
      <c r="E242" s="1" t="s">
        <v>554</v>
      </c>
      <c r="F242" s="11">
        <f>VLOOKUP(B242,'RM Cost'!A:F,6,0)</f>
        <v>0.65</v>
      </c>
      <c r="G242" s="4"/>
    </row>
    <row r="243" spans="1:7" x14ac:dyDescent="0.25">
      <c r="A243" s="1" t="s">
        <v>1584</v>
      </c>
      <c r="B243" s="12" t="s">
        <v>1272</v>
      </c>
      <c r="C243" s="1" t="e">
        <f>VLOOKUP(B243,'RM Cost'!A:B,2,0)</f>
        <v>#N/A</v>
      </c>
      <c r="D243" s="1" t="s">
        <v>1343</v>
      </c>
      <c r="E243" s="1" t="s">
        <v>554</v>
      </c>
      <c r="F243" s="11" t="e">
        <f>VLOOKUP(B243,'RM Cost'!A:F,6,0)</f>
        <v>#N/A</v>
      </c>
      <c r="G243" s="4"/>
    </row>
    <row r="244" spans="1:7" x14ac:dyDescent="0.25">
      <c r="A244" s="1" t="s">
        <v>1585</v>
      </c>
      <c r="B244" s="1" t="s">
        <v>1205</v>
      </c>
      <c r="C244" s="1" t="str">
        <f>VLOOKUP(B244,'RM Cost'!A:B,2,0)</f>
        <v>RM - BEEF TOMATO 1 X 7KG</v>
      </c>
      <c r="D244" s="1" t="s">
        <v>1343</v>
      </c>
      <c r="E244" s="1" t="s">
        <v>554</v>
      </c>
      <c r="F244" s="11">
        <f>VLOOKUP(B244,'RM Cost'!A:F,6,0)</f>
        <v>1.32</v>
      </c>
      <c r="G244" s="4"/>
    </row>
    <row r="245" spans="1:7" x14ac:dyDescent="0.25">
      <c r="A245" s="1" t="s">
        <v>1586</v>
      </c>
      <c r="B245" s="1" t="s">
        <v>1205</v>
      </c>
      <c r="C245" s="1" t="str">
        <f>VLOOKUP(B245,'RM Cost'!A:B,2,0)</f>
        <v>RM - BEEF TOMATO 1 X 7KG</v>
      </c>
      <c r="D245" s="1" t="s">
        <v>1343</v>
      </c>
      <c r="E245" s="1" t="s">
        <v>554</v>
      </c>
      <c r="F245" s="11">
        <f>VLOOKUP(B245,'RM Cost'!A:F,6,0)</f>
        <v>1.32</v>
      </c>
      <c r="G245" s="4"/>
    </row>
    <row r="246" spans="1:7" x14ac:dyDescent="0.25">
      <c r="A246" s="1" t="s">
        <v>1587</v>
      </c>
      <c r="B246" s="1" t="s">
        <v>1273</v>
      </c>
      <c r="C246" s="1" t="str">
        <f>VLOOKUP(B246,'RM Cost'!A:B,2,0)</f>
        <v>RM - TOMATOES PLUM 6KG</v>
      </c>
      <c r="D246" s="1" t="s">
        <v>1343</v>
      </c>
      <c r="E246" s="1" t="s">
        <v>554</v>
      </c>
      <c r="F246" s="11">
        <f>VLOOKUP(B246,'RM Cost'!A:F,6,0)</f>
        <v>1.1200000000000001</v>
      </c>
      <c r="G246" s="4"/>
    </row>
    <row r="247" spans="1:7" x14ac:dyDescent="0.25">
      <c r="A247" s="1" t="s">
        <v>1588</v>
      </c>
      <c r="B247" s="1" t="s">
        <v>1275</v>
      </c>
      <c r="C247" s="1" t="str">
        <f>VLOOKUP(B247,'RM Cost'!A:B,2,0)</f>
        <v>RM - TOMATOES VINE 5KG</v>
      </c>
      <c r="D247" s="1" t="s">
        <v>1343</v>
      </c>
      <c r="E247" s="1" t="s">
        <v>554</v>
      </c>
      <c r="F247" s="11">
        <f>VLOOKUP(B247,'RM Cost'!A:F,6,0)</f>
        <v>1.02</v>
      </c>
      <c r="G247" s="4"/>
    </row>
    <row r="248" spans="1:7" x14ac:dyDescent="0.25">
      <c r="A248" s="1" t="s">
        <v>1589</v>
      </c>
      <c r="B248" s="1" t="s">
        <v>1137</v>
      </c>
      <c r="C248" s="1" t="str">
        <f>VLOOKUP(B248,'RM Cost'!A:B,2,0)</f>
        <v>RM - TURNIPS X5KG</v>
      </c>
      <c r="D248" s="1" t="s">
        <v>1343</v>
      </c>
      <c r="E248" s="1" t="s">
        <v>554</v>
      </c>
      <c r="F248" s="11">
        <f>VLOOKUP(B248,'RM Cost'!A:F,6,0)</f>
        <v>0.68</v>
      </c>
      <c r="G248" s="4"/>
    </row>
    <row r="249" spans="1:7" x14ac:dyDescent="0.25">
      <c r="A249" s="1" t="s">
        <v>1590</v>
      </c>
      <c r="B249" s="1" t="s">
        <v>1277</v>
      </c>
      <c r="C249" s="1" t="str">
        <f>VLOOKUP(B249,'RM Cost'!A:B,2,0)</f>
        <v>RM - SUGAR SNAP 2KG</v>
      </c>
      <c r="D249" s="1" t="s">
        <v>1343</v>
      </c>
      <c r="E249" s="1" t="s">
        <v>554</v>
      </c>
      <c r="F249" s="11">
        <f>VLOOKUP(B249,'RM Cost'!A:F,6,0)</f>
        <v>3.37</v>
      </c>
      <c r="G249" s="4"/>
    </row>
    <row r="250" spans="1:7" x14ac:dyDescent="0.25">
      <c r="A250" s="1" t="s">
        <v>1591</v>
      </c>
      <c r="B250" s="1" t="s">
        <v>1279</v>
      </c>
      <c r="C250" s="1" t="str">
        <f>VLOOKUP(B250,'RM Cost'!A:B,2,0)</f>
        <v>RM - TURNIP BABY 6 X 150G</v>
      </c>
      <c r="D250" s="1" t="s">
        <v>1343</v>
      </c>
      <c r="E250" s="1" t="s">
        <v>554</v>
      </c>
      <c r="F250" s="11">
        <f>VLOOKUP(B250,'RM Cost'!A:F,6,0)</f>
        <v>10.5</v>
      </c>
      <c r="G250" s="4"/>
    </row>
    <row r="251" spans="1:7" x14ac:dyDescent="0.25">
      <c r="A251" s="1" t="s">
        <v>1592</v>
      </c>
      <c r="B251" s="1" t="s">
        <v>1281</v>
      </c>
      <c r="C251" s="1" t="str">
        <f>VLOOKUP(B251,'RM Cost'!A:B,2,0)</f>
        <v>RM - CARROT BABY 6 X 200G</v>
      </c>
      <c r="D251" s="1" t="s">
        <v>1343</v>
      </c>
      <c r="E251" s="1" t="s">
        <v>554</v>
      </c>
      <c r="F251" s="11">
        <f>VLOOKUP(B251,'RM Cost'!A:F,6,0)</f>
        <v>7.25</v>
      </c>
      <c r="G251" s="4"/>
    </row>
    <row r="252" spans="1:7" x14ac:dyDescent="0.25">
      <c r="A252" s="1" t="s">
        <v>1593</v>
      </c>
      <c r="B252" s="1" t="s">
        <v>1281</v>
      </c>
      <c r="C252" s="1" t="str">
        <f>VLOOKUP(B252,'RM Cost'!A:B,2,0)</f>
        <v>RM - CARROT BABY 6 X 200G</v>
      </c>
      <c r="D252" s="1" t="s">
        <v>1343</v>
      </c>
      <c r="E252" s="1" t="s">
        <v>554</v>
      </c>
      <c r="F252" s="11">
        <f>VLOOKUP(B252,'RM Cost'!A:F,6,0)</f>
        <v>7.25</v>
      </c>
      <c r="G252" s="4"/>
    </row>
    <row r="253" spans="1:7" x14ac:dyDescent="0.25">
      <c r="A253" s="1" t="s">
        <v>1594</v>
      </c>
      <c r="B253" s="1" t="s">
        <v>1283</v>
      </c>
      <c r="C253" s="1" t="str">
        <f>VLOOKUP(B253,'RM Cost'!A:B,2,0)</f>
        <v>RM - BABY GOLDEN BEETROOT 6 X 200G</v>
      </c>
      <c r="D253" s="1" t="s">
        <v>1343</v>
      </c>
      <c r="E253" s="1" t="s">
        <v>554</v>
      </c>
      <c r="F253" s="11">
        <f>VLOOKUP(B253,'RM Cost'!A:F,6,0)</f>
        <v>9.35</v>
      </c>
      <c r="G253" s="4"/>
    </row>
    <row r="254" spans="1:7" x14ac:dyDescent="0.25">
      <c r="A254" s="1" t="s">
        <v>1595</v>
      </c>
      <c r="B254" s="1" t="s">
        <v>1285</v>
      </c>
      <c r="C254" s="1" t="str">
        <f>VLOOKUP(B254,'RM Cost'!A:B,2,0)</f>
        <v>RM - SALSIFY   X5KG</v>
      </c>
      <c r="D254" s="1" t="s">
        <v>1343</v>
      </c>
      <c r="E254" s="1" t="s">
        <v>554</v>
      </c>
      <c r="F254" s="11" t="e">
        <f>VLOOKUP(B254,'RM Cost'!A:F,6,0)</f>
        <v>#N/A</v>
      </c>
      <c r="G254" s="4"/>
    </row>
    <row r="255" spans="1:7" x14ac:dyDescent="0.25">
      <c r="A255" s="1" t="s">
        <v>1596</v>
      </c>
      <c r="B255" s="1" t="s">
        <v>1664</v>
      </c>
      <c r="C255" s="1" t="str">
        <f>VLOOKUP(B255,'RM Cost'!A:B,2,0)</f>
        <v>RM - FROZEN BROAD BEANS 10X1KG</v>
      </c>
      <c r="D255" s="1" t="s">
        <v>1343</v>
      </c>
      <c r="E255" s="1" t="s">
        <v>554</v>
      </c>
      <c r="F255" s="11">
        <f>VLOOKUP(B255,'RM Cost'!A:F,6,0)</f>
        <v>1.81</v>
      </c>
      <c r="G255" s="4"/>
    </row>
    <row r="256" spans="1:7" x14ac:dyDescent="0.25">
      <c r="A256" s="1" t="s">
        <v>1597</v>
      </c>
      <c r="B256" s="1" t="s">
        <v>1289</v>
      </c>
      <c r="C256" s="1" t="str">
        <f>VLOOKUP(B256,'RM Cost'!A:B,2,0)</f>
        <v>RM - ARTICHOKES JERUSALEM  X5KG</v>
      </c>
      <c r="D256" s="1" t="s">
        <v>1343</v>
      </c>
      <c r="E256" s="1" t="s">
        <v>554</v>
      </c>
      <c r="F256" s="11">
        <f>VLOOKUP(B256,'RM Cost'!A:F,6,0)</f>
        <v>1.57</v>
      </c>
      <c r="G256" s="4"/>
    </row>
    <row r="257" spans="1:7" x14ac:dyDescent="0.25">
      <c r="A257" s="1" t="s">
        <v>1598</v>
      </c>
      <c r="B257" s="1" t="s">
        <v>1291</v>
      </c>
      <c r="C257" s="1" t="str">
        <f>VLOOKUP(B257,'RM Cost'!A:B,2,0)</f>
        <v>RM - BABY RAINBOW CARROTS 6 X 200G</v>
      </c>
      <c r="D257" s="1" t="s">
        <v>1343</v>
      </c>
      <c r="E257" s="1" t="s">
        <v>554</v>
      </c>
      <c r="F257" s="11">
        <f>VLOOKUP(B257,'RM Cost'!A:F,6,0)</f>
        <v>9.5</v>
      </c>
      <c r="G257" s="4"/>
    </row>
    <row r="258" spans="1:7" x14ac:dyDescent="0.25">
      <c r="A258" s="1" t="s">
        <v>1599</v>
      </c>
      <c r="B258" s="1" t="s">
        <v>1197</v>
      </c>
      <c r="C258" s="1" t="str">
        <f>VLOOKUP(B258,'RM Cost'!A:B,2,0)</f>
        <v>RM - SWEET POTATOES ORANGE FLESH 6K</v>
      </c>
      <c r="D258" s="1" t="s">
        <v>1343</v>
      </c>
      <c r="E258" s="1" t="s">
        <v>554</v>
      </c>
      <c r="F258" s="11">
        <f>VLOOKUP(B258,'RM Cost'!A:F,6,0)</f>
        <v>0.88</v>
      </c>
      <c r="G258" s="4"/>
    </row>
    <row r="259" spans="1:7" x14ac:dyDescent="0.25">
      <c r="A259" s="1" t="s">
        <v>1600</v>
      </c>
      <c r="B259" s="1" t="s">
        <v>1303</v>
      </c>
      <c r="C259" s="1" t="str">
        <f>VLOOKUP(B259,'RM Cost'!A:B,2,0)</f>
        <v>BAKING POTATO X50 EA</v>
      </c>
      <c r="D259" s="1" t="s">
        <v>1343</v>
      </c>
      <c r="E259" s="1" t="s">
        <v>554</v>
      </c>
      <c r="F259" s="11">
        <f>VLOOKUP(B259,'RM Cost'!A:F,6,0)</f>
        <v>0.57000000000000006</v>
      </c>
      <c r="G259" s="4"/>
    </row>
    <row r="260" spans="1:7" x14ac:dyDescent="0.25">
      <c r="A260" s="1" t="s">
        <v>1601</v>
      </c>
      <c r="B260" s="1" t="s">
        <v>1236</v>
      </c>
      <c r="C260" s="1" t="str">
        <f>VLOOKUP(B260,'RM Cost'!A:B,2,0)</f>
        <v>RM - GARLIC PEELED 10X1KG</v>
      </c>
      <c r="D260" s="1" t="s">
        <v>1343</v>
      </c>
      <c r="E260" s="1" t="s">
        <v>554</v>
      </c>
      <c r="F260" s="11">
        <f>VLOOKUP(B260,'RM Cost'!A:F,6,0)</f>
        <v>2.76</v>
      </c>
      <c r="G260" s="4"/>
    </row>
    <row r="261" spans="1:7" x14ac:dyDescent="0.25">
      <c r="A261" s="1" t="s">
        <v>1602</v>
      </c>
      <c r="B261" s="1" t="s">
        <v>1293</v>
      </c>
      <c r="C261" s="1" t="str">
        <f>VLOOKUP(B261,'RM Cost'!A:B,2,0)</f>
        <v>RM - BEETROOT RAW  X10KG</v>
      </c>
      <c r="D261" s="1" t="s">
        <v>1343</v>
      </c>
      <c r="E261" s="1" t="s">
        <v>554</v>
      </c>
      <c r="F261" s="11">
        <f>VLOOKUP(B261,'RM Cost'!A:F,6,0)</f>
        <v>0.47</v>
      </c>
      <c r="G261" s="4"/>
    </row>
    <row r="262" spans="1:7" x14ac:dyDescent="0.25">
      <c r="A262" s="1" t="s">
        <v>1603</v>
      </c>
      <c r="B262" s="1" t="s">
        <v>1295</v>
      </c>
      <c r="C262" s="1" t="str">
        <f>VLOOKUP(B262,'RM Cost'!A:B,2,0)</f>
        <v>RM - KOHL RABI X 20EA</v>
      </c>
      <c r="D262" s="1" t="s">
        <v>1343</v>
      </c>
      <c r="E262" s="1" t="s">
        <v>554</v>
      </c>
      <c r="F262" s="11">
        <f>VLOOKUP(B262,'RM Cost'!A:F,6,0)</f>
        <v>2.2399999999999998</v>
      </c>
      <c r="G262" s="4"/>
    </row>
    <row r="263" spans="1:7" x14ac:dyDescent="0.25">
      <c r="A263" s="1" t="s">
        <v>1604</v>
      </c>
      <c r="B263" t="s">
        <v>1338</v>
      </c>
      <c r="C263" s="1" t="str">
        <f>VLOOKUP(B263,'RM Cost'!A:B,2,0)</f>
        <v>RM - BUTTERNUT SQUASH BIN X 625KG</v>
      </c>
      <c r="D263" s="1" t="s">
        <v>1343</v>
      </c>
      <c r="E263" s="1" t="s">
        <v>554</v>
      </c>
      <c r="F263" s="11">
        <f>VLOOKUP(B263,'RM Cost'!A:F,6,0)</f>
        <v>0.65</v>
      </c>
      <c r="G263" s="4"/>
    </row>
    <row r="264" spans="1:7" x14ac:dyDescent="0.25">
      <c r="A264" s="1" t="s">
        <v>1605</v>
      </c>
      <c r="B264" s="1" t="s">
        <v>1303</v>
      </c>
      <c r="C264" s="1" t="str">
        <f>VLOOKUP(B264,'RM Cost'!A:B,2,0)</f>
        <v>BAKING POTATO X50 EA</v>
      </c>
      <c r="D264" s="1" t="s">
        <v>1343</v>
      </c>
      <c r="E264" s="1" t="s">
        <v>554</v>
      </c>
      <c r="F264" s="11">
        <f>VLOOKUP(B264,'RM Cost'!A:F,6,0)</f>
        <v>0.57000000000000006</v>
      </c>
      <c r="G264" s="4"/>
    </row>
    <row r="265" spans="1:7" x14ac:dyDescent="0.25">
      <c r="A265" s="1" t="s">
        <v>1606</v>
      </c>
      <c r="B265" s="1" t="s">
        <v>1297</v>
      </c>
      <c r="C265" s="1" t="str">
        <f>VLOOKUP(B265,'RM Cost'!A:B,2,0)</f>
        <v>RM - APPLES  GALA X 12KG</v>
      </c>
      <c r="D265" s="1" t="s">
        <v>1343</v>
      </c>
      <c r="E265" s="1" t="s">
        <v>554</v>
      </c>
      <c r="F265" s="11" t="e">
        <f>VLOOKUP(B265,'RM Cost'!A:F,6,0)</f>
        <v>#N/A</v>
      </c>
      <c r="G265" s="4"/>
    </row>
    <row r="266" spans="1:7" x14ac:dyDescent="0.25">
      <c r="A266" s="1" t="s">
        <v>1607</v>
      </c>
      <c r="B266" s="1" t="s">
        <v>1115</v>
      </c>
      <c r="C266" s="1" t="str">
        <f>VLOOKUP(B266,'RM Cost'!A:B,2,0)</f>
        <v>RM - LRG PROCESSING CARROT X 1000KG</v>
      </c>
      <c r="D266" s="1" t="s">
        <v>1343</v>
      </c>
      <c r="E266" s="1" t="s">
        <v>554</v>
      </c>
      <c r="F266" s="11">
        <f>VLOOKUP(B266,'RM Cost'!A:F,6,0)</f>
        <v>0.38</v>
      </c>
      <c r="G266" s="4"/>
    </row>
    <row r="267" spans="1:7" x14ac:dyDescent="0.25">
      <c r="A267" s="1" t="s">
        <v>1608</v>
      </c>
      <c r="B267" s="1" t="s">
        <v>1244</v>
      </c>
      <c r="C267" s="1" t="str">
        <f>VLOOKUP(B267,'RM Cost'!A:B,2,0)</f>
        <v>RM - MUSHROOM BUTTON 30-40M 3KG</v>
      </c>
      <c r="D267" s="1" t="s">
        <v>1343</v>
      </c>
      <c r="E267" s="1" t="s">
        <v>554</v>
      </c>
      <c r="F267" s="11">
        <f>VLOOKUP(B267,'RM Cost'!A:F,6,0)</f>
        <v>1.85</v>
      </c>
      <c r="G267" s="4"/>
    </row>
    <row r="268" spans="1:7" x14ac:dyDescent="0.25">
      <c r="A268" s="1" t="s">
        <v>1609</v>
      </c>
      <c r="B268" s="1" t="s">
        <v>1299</v>
      </c>
      <c r="C268" s="1" t="str">
        <f>VLOOKUP(B268,'RM Cost'!A:B,2,0)</f>
        <v>RM - BABY RED BEETROOT 6 X 200G</v>
      </c>
      <c r="D268" s="1" t="s">
        <v>1343</v>
      </c>
      <c r="E268" s="1" t="s">
        <v>554</v>
      </c>
      <c r="F268" s="11">
        <f>VLOOKUP(B268,'RM Cost'!A:F,6,0)</f>
        <v>9.35</v>
      </c>
      <c r="G268" s="4"/>
    </row>
    <row r="269" spans="1:7" x14ac:dyDescent="0.25">
      <c r="A269" s="1" t="s">
        <v>1610</v>
      </c>
      <c r="B269" s="1" t="s">
        <v>1236</v>
      </c>
      <c r="C269" s="1" t="str">
        <f>VLOOKUP(B269,'RM Cost'!A:B,2,0)</f>
        <v>RM - GARLIC PEELED 10X1KG</v>
      </c>
      <c r="D269" s="1" t="s">
        <v>1343</v>
      </c>
      <c r="E269" s="1" t="s">
        <v>554</v>
      </c>
      <c r="F269" s="11">
        <f>VLOOKUP(B269,'RM Cost'!A:F,6,0)</f>
        <v>2.76</v>
      </c>
      <c r="G269" s="4"/>
    </row>
    <row r="270" spans="1:7" x14ac:dyDescent="0.25">
      <c r="A270" s="1" t="s">
        <v>1611</v>
      </c>
      <c r="B270" s="1" t="s">
        <v>1293</v>
      </c>
      <c r="C270" s="1" t="str">
        <f>VLOOKUP(B270,'RM Cost'!A:B,2,0)</f>
        <v>RM - BEETROOT RAW  X10KG</v>
      </c>
      <c r="D270" s="1" t="s">
        <v>1343</v>
      </c>
      <c r="E270" s="1" t="s">
        <v>554</v>
      </c>
      <c r="F270" s="11">
        <f>VLOOKUP(B270,'RM Cost'!A:F,6,0)</f>
        <v>0.47</v>
      </c>
      <c r="G270" s="4"/>
    </row>
    <row r="271" spans="1:7" x14ac:dyDescent="0.25">
      <c r="A271" s="1" t="s">
        <v>1612</v>
      </c>
      <c r="B271" s="1" t="s">
        <v>1301</v>
      </c>
      <c r="C271" s="1" t="str">
        <f>VLOOKUP(B271,'RM Cost'!A:B,2,0)</f>
        <v>RM - Tomatoes Loose Class II 6KG</v>
      </c>
      <c r="D271" s="1" t="s">
        <v>1343</v>
      </c>
      <c r="E271" s="1" t="s">
        <v>554</v>
      </c>
      <c r="F271" s="11" t="e">
        <f>VLOOKUP(B271,'RM Cost'!A:F,6,0)</f>
        <v>#N/A</v>
      </c>
      <c r="G271" s="4"/>
    </row>
    <row r="272" spans="1:7" x14ac:dyDescent="0.25">
      <c r="A272" s="1" t="s">
        <v>1613</v>
      </c>
      <c r="B272" s="1" t="s">
        <v>1303</v>
      </c>
      <c r="C272" s="1" t="str">
        <f>VLOOKUP(B272,'RM Cost'!A:B,2,0)</f>
        <v>BAKING POTATO X50 EA</v>
      </c>
      <c r="D272" s="1" t="s">
        <v>1343</v>
      </c>
      <c r="E272" s="1" t="s">
        <v>554</v>
      </c>
      <c r="F272" s="11">
        <f>VLOOKUP(B272,'RM Cost'!A:F,6,0)</f>
        <v>0.57000000000000006</v>
      </c>
      <c r="G272" s="4"/>
    </row>
    <row r="273" spans="1:7" x14ac:dyDescent="0.25">
      <c r="A273" s="1" t="s">
        <v>1614</v>
      </c>
      <c r="B273" s="1" t="s">
        <v>1303</v>
      </c>
      <c r="C273" s="1" t="str">
        <f>VLOOKUP(B273,'RM Cost'!A:B,2,0)</f>
        <v>BAKING POTATO X50 EA</v>
      </c>
      <c r="D273" s="1" t="s">
        <v>1343</v>
      </c>
      <c r="E273" s="1" t="s">
        <v>554</v>
      </c>
      <c r="F273" s="11">
        <f>VLOOKUP(B273,'RM Cost'!A:F,6,0)</f>
        <v>0.57000000000000006</v>
      </c>
      <c r="G273" s="4"/>
    </row>
    <row r="274" spans="1:7" x14ac:dyDescent="0.25">
      <c r="A274" s="1" t="s">
        <v>1615</v>
      </c>
      <c r="B274" s="1" t="s">
        <v>4705</v>
      </c>
      <c r="C274" s="1" t="str">
        <f>VLOOKUP(B274,'RM Cost'!A:B,2,0)</f>
        <v>BAKING POTATO X50 EA</v>
      </c>
      <c r="D274" s="1" t="s">
        <v>1343</v>
      </c>
      <c r="E274" s="1" t="s">
        <v>554</v>
      </c>
      <c r="F274" s="11">
        <f>VLOOKUP(B274,'RM Cost'!A:F,6,0)</f>
        <v>0.57000000000000006</v>
      </c>
      <c r="G274" s="4"/>
    </row>
    <row r="275" spans="1:7" x14ac:dyDescent="0.25">
      <c r="A275" s="1" t="s">
        <v>1616</v>
      </c>
      <c r="B275" s="1" t="s">
        <v>1115</v>
      </c>
      <c r="C275" s="1" t="str">
        <f>VLOOKUP(B275,'RM Cost'!A:B,2,0)</f>
        <v>RM - LRG PROCESSING CARROT X 1000KG</v>
      </c>
      <c r="D275" s="1" t="s">
        <v>1343</v>
      </c>
      <c r="E275" s="1" t="s">
        <v>554</v>
      </c>
      <c r="F275" s="11">
        <f>VLOOKUP(B275,'RM Cost'!A:F,6,0)</f>
        <v>0.38</v>
      </c>
      <c r="G275" s="4"/>
    </row>
    <row r="276" spans="1:7" x14ac:dyDescent="0.25">
      <c r="A276" s="1" t="s">
        <v>1617</v>
      </c>
      <c r="B276" s="12" t="s">
        <v>1305</v>
      </c>
      <c r="C276" s="1" t="str">
        <f>VLOOKUP(B276,'RM Cost'!A:B,2,0)</f>
        <v>FLAT PARSLEY X 1K</v>
      </c>
      <c r="D276" s="1" t="s">
        <v>1343</v>
      </c>
      <c r="E276" s="1" t="s">
        <v>554</v>
      </c>
      <c r="F276" s="11">
        <f>VLOOKUP(B276,'RM Cost'!A:F,6,0)</f>
        <v>3.7</v>
      </c>
      <c r="G276" s="4"/>
    </row>
    <row r="277" spans="1:7" x14ac:dyDescent="0.25">
      <c r="A277" s="1" t="s">
        <v>1618</v>
      </c>
      <c r="B277" s="1" t="s">
        <v>1831</v>
      </c>
      <c r="C277" s="1" t="str">
        <f>VLOOKUP(B277,'RM Cost'!A:B,2,0)</f>
        <v>PEPPERS RED X 5KG</v>
      </c>
      <c r="D277" s="1" t="s">
        <v>1343</v>
      </c>
      <c r="E277" s="1" t="s">
        <v>554</v>
      </c>
      <c r="F277" s="11">
        <f>VLOOKUP(B277,'RM Cost'!A:F,6,0)</f>
        <v>1.72</v>
      </c>
      <c r="G277" s="4"/>
    </row>
    <row r="278" spans="1:7" x14ac:dyDescent="0.25">
      <c r="A278" s="1" t="s">
        <v>1619</v>
      </c>
      <c r="B278" s="1" t="s">
        <v>3466</v>
      </c>
      <c r="C278" s="1" t="str">
        <f>VLOOKUP(B278,'RM Cost'!A:B,2,0)</f>
        <v>RM - PEPPERS YELLOW  X 5KG</v>
      </c>
      <c r="D278" s="1" t="s">
        <v>1343</v>
      </c>
      <c r="E278" s="1" t="s">
        <v>554</v>
      </c>
      <c r="F278" s="11">
        <f>VLOOKUP(B278,'RM Cost'!A:F,6,0)</f>
        <v>1.68</v>
      </c>
      <c r="G278" s="4"/>
    </row>
    <row r="279" spans="1:7" x14ac:dyDescent="0.25">
      <c r="A279" s="1" t="s">
        <v>1620</v>
      </c>
      <c r="B279" s="1" t="s">
        <v>1293</v>
      </c>
      <c r="C279" s="1" t="str">
        <f>VLOOKUP(B279,'RM Cost'!A:B,2,0)</f>
        <v>RM - BEETROOT RAW  X10KG</v>
      </c>
      <c r="D279" s="1" t="s">
        <v>1343</v>
      </c>
      <c r="E279" s="1" t="s">
        <v>554</v>
      </c>
      <c r="F279" s="11">
        <f>VLOOKUP(B279,'RM Cost'!A:F,6,0)</f>
        <v>0.47</v>
      </c>
      <c r="G279" s="4"/>
    </row>
    <row r="280" spans="1:7" x14ac:dyDescent="0.25">
      <c r="A280" s="1" t="s">
        <v>1621</v>
      </c>
      <c r="B280" s="1" t="s">
        <v>1115</v>
      </c>
      <c r="C280" s="1" t="str">
        <f>VLOOKUP(B280,'RM Cost'!A:B,2,0)</f>
        <v>RM - LRG PROCESSING CARROT X 1000KG</v>
      </c>
      <c r="D280" s="1" t="s">
        <v>1343</v>
      </c>
      <c r="E280" s="1" t="s">
        <v>554</v>
      </c>
      <c r="F280" s="11">
        <f>VLOOKUP(B280,'RM Cost'!A:F,6,0)</f>
        <v>0.38</v>
      </c>
      <c r="G280" s="4"/>
    </row>
    <row r="281" spans="1:7" x14ac:dyDescent="0.25">
      <c r="A281" s="1" t="s">
        <v>1622</v>
      </c>
      <c r="B281" s="1" t="s">
        <v>1228</v>
      </c>
      <c r="C281" s="1" t="str">
        <f>VLOOKUP(B281,'RM Cost'!A:B,2,0)</f>
        <v>RM - CELERIAC 10KG</v>
      </c>
      <c r="D281" s="1" t="s">
        <v>1343</v>
      </c>
      <c r="E281" s="1" t="s">
        <v>554</v>
      </c>
      <c r="F281" s="11">
        <f>VLOOKUP(B281,'RM Cost'!A:F,6,0)</f>
        <v>0.55000000000000004</v>
      </c>
      <c r="G281" s="4"/>
    </row>
    <row r="282" spans="1:7" x14ac:dyDescent="0.25">
      <c r="A282" s="1" t="s">
        <v>1623</v>
      </c>
      <c r="B282" s="1" t="s">
        <v>1826</v>
      </c>
      <c r="C282" s="1" t="str">
        <f>VLOOKUP(B282,'RM Cost'!A:B,2,0)</f>
        <v>RM - CELERY 1 X 12</v>
      </c>
      <c r="D282" s="1" t="s">
        <v>1343</v>
      </c>
      <c r="E282" s="1" t="s">
        <v>554</v>
      </c>
      <c r="F282" s="11">
        <f>VLOOKUP(B282,'RM Cost'!A:F,6,0)</f>
        <v>0.91</v>
      </c>
      <c r="G282" s="4"/>
    </row>
    <row r="283" spans="1:7" x14ac:dyDescent="0.25">
      <c r="A283" s="1" t="s">
        <v>1624</v>
      </c>
      <c r="B283" s="1" t="s">
        <v>1221</v>
      </c>
      <c r="C283" s="1" t="str">
        <f>VLOOKUP(B283,'RM Cost'!A:B,2,0)</f>
        <v>RM - CHILLI GREEN LONG DUTCH 3KG</v>
      </c>
      <c r="D283" s="1" t="s">
        <v>1343</v>
      </c>
      <c r="E283" s="1" t="s">
        <v>554</v>
      </c>
      <c r="F283" s="11">
        <f>VLOOKUP(B283,'RM Cost'!A:F,6,0)</f>
        <v>2.84</v>
      </c>
      <c r="G283" s="4"/>
    </row>
    <row r="284" spans="1:7" x14ac:dyDescent="0.25">
      <c r="A284" s="1" t="s">
        <v>1625</v>
      </c>
      <c r="B284" s="1" t="s">
        <v>1234</v>
      </c>
      <c r="C284" s="1" t="str">
        <f>VLOOKUP(B284,'RM Cost'!A:B,2,0)</f>
        <v>RM - FENNEL X5KG</v>
      </c>
      <c r="D284" s="1" t="s">
        <v>1343</v>
      </c>
      <c r="E284" s="1" t="s">
        <v>554</v>
      </c>
      <c r="F284" s="11">
        <f>VLOOKUP(B284,'RM Cost'!A:F,6,0)</f>
        <v>1.41</v>
      </c>
      <c r="G284" s="4"/>
    </row>
    <row r="285" spans="1:7" x14ac:dyDescent="0.25">
      <c r="A285" s="1" t="s">
        <v>1626</v>
      </c>
      <c r="B285" s="1" t="s">
        <v>1129</v>
      </c>
      <c r="C285" s="1" t="str">
        <f>VLOOKUP(B285,'RM Cost'!A:B,2,0)</f>
        <v>RM - COURGETTE STANDARD</v>
      </c>
      <c r="D285" s="1" t="s">
        <v>1343</v>
      </c>
      <c r="E285" s="1" t="s">
        <v>554</v>
      </c>
      <c r="F285" s="11">
        <f>VLOOKUP(B285,'RM Cost'!A:F,6,0)</f>
        <v>1.1000000000000001</v>
      </c>
      <c r="G285" s="4"/>
    </row>
    <row r="286" spans="1:7" x14ac:dyDescent="0.25">
      <c r="A286" s="1" t="s">
        <v>1627</v>
      </c>
      <c r="B286" s="12" t="s">
        <v>1307</v>
      </c>
      <c r="C286" s="1" t="str">
        <f>VLOOKUP(B286,'RM Cost'!A:B,2,0)</f>
        <v>RM - LETTUCE FRISSEE FRENCH X10EA</v>
      </c>
      <c r="D286" s="1" t="s">
        <v>1343</v>
      </c>
      <c r="E286" s="1" t="s">
        <v>554</v>
      </c>
      <c r="F286" s="11">
        <f>VLOOKUP(B286,'RM Cost'!A:F,6,0)</f>
        <v>1.27</v>
      </c>
      <c r="G286" s="4"/>
    </row>
    <row r="287" spans="1:7" x14ac:dyDescent="0.25">
      <c r="A287" s="1" t="s">
        <v>1628</v>
      </c>
      <c r="B287" s="1" t="s">
        <v>1121</v>
      </c>
      <c r="C287" s="1" t="str">
        <f>VLOOKUP(B287,'RM Cost'!A:B,2,0)</f>
        <v>RM - PARSNIPS 10KG</v>
      </c>
      <c r="D287" s="1" t="s">
        <v>1343</v>
      </c>
      <c r="E287" s="1" t="s">
        <v>554</v>
      </c>
      <c r="F287" s="11">
        <f>VLOOKUP(B287,'RM Cost'!A:F,6,0)</f>
        <v>0.76</v>
      </c>
      <c r="G287" s="4"/>
    </row>
    <row r="288" spans="1:7" x14ac:dyDescent="0.25">
      <c r="A288" s="1" t="s">
        <v>1629</v>
      </c>
      <c r="B288" s="1" t="s">
        <v>1830</v>
      </c>
      <c r="C288" s="1" t="str">
        <f>VLOOKUP(B288,'RM Cost'!A:B,2,0)</f>
        <v>RM - PEPPERS GREEN  X 5KG</v>
      </c>
      <c r="D288" s="1" t="s">
        <v>1343</v>
      </c>
      <c r="E288" s="1" t="s">
        <v>554</v>
      </c>
      <c r="F288" s="11">
        <f>VLOOKUP(B288,'RM Cost'!A:F,6,0)</f>
        <v>1.76</v>
      </c>
      <c r="G288" s="4"/>
    </row>
    <row r="289" spans="1:7" x14ac:dyDescent="0.25">
      <c r="A289" s="1" t="s">
        <v>1630</v>
      </c>
      <c r="B289" s="1" t="s">
        <v>1831</v>
      </c>
      <c r="C289" s="1" t="str">
        <f>VLOOKUP(B289,'RM Cost'!A:B,2,0)</f>
        <v>PEPPERS RED X 5KG</v>
      </c>
      <c r="D289" s="1" t="s">
        <v>1343</v>
      </c>
      <c r="E289" s="1" t="s">
        <v>554</v>
      </c>
      <c r="F289" s="11">
        <f>VLOOKUP(B289,'RM Cost'!A:F,6,0)</f>
        <v>1.72</v>
      </c>
      <c r="G289" s="4"/>
    </row>
    <row r="290" spans="1:7" x14ac:dyDescent="0.25">
      <c r="A290" s="1" t="s">
        <v>1631</v>
      </c>
      <c r="B290" s="12" t="s">
        <v>1309</v>
      </c>
      <c r="C290" s="1" t="str">
        <f>VLOOKUP(B290,'RM Cost'!A:B,2,0)</f>
        <v>POTATO JUMBO WSHED 25KG</v>
      </c>
      <c r="D290" s="1" t="s">
        <v>1343</v>
      </c>
      <c r="E290" s="1" t="s">
        <v>554</v>
      </c>
      <c r="F290" s="11">
        <f>VLOOKUP(B290,'RM Cost'!A:F,6,0)</f>
        <v>0.4</v>
      </c>
      <c r="G290" s="4"/>
    </row>
    <row r="291" spans="1:7" x14ac:dyDescent="0.25">
      <c r="A291" s="1" t="s">
        <v>1632</v>
      </c>
      <c r="B291" s="1" t="s">
        <v>1303</v>
      </c>
      <c r="C291" s="1" t="str">
        <f>VLOOKUP(B291,'RM Cost'!A:B,2,0)</f>
        <v>BAKING POTATO X50 EA</v>
      </c>
      <c r="D291" s="1" t="s">
        <v>1343</v>
      </c>
      <c r="E291" s="1" t="s">
        <v>554</v>
      </c>
      <c r="F291" s="11">
        <f>VLOOKUP(B291,'RM Cost'!A:F,6,0)</f>
        <v>0.57000000000000006</v>
      </c>
      <c r="G291" s="4"/>
    </row>
    <row r="292" spans="1:7" x14ac:dyDescent="0.25">
      <c r="A292" s="1" t="s">
        <v>1633</v>
      </c>
      <c r="B292" s="1" t="s">
        <v>1199</v>
      </c>
      <c r="C292" s="1" t="str">
        <f>VLOOKUP(B292,'RM Cost'!A:B,2,0)</f>
        <v>RM - POTATOES WARE 25KG</v>
      </c>
      <c r="D292" s="1" t="s">
        <v>1343</v>
      </c>
      <c r="E292" s="1" t="s">
        <v>554</v>
      </c>
      <c r="F292" s="11">
        <f>VLOOKUP(B292,'RM Cost'!A:F,6,0)</f>
        <v>0.27</v>
      </c>
      <c r="G292" s="4"/>
    </row>
    <row r="293" spans="1:7" x14ac:dyDescent="0.25">
      <c r="A293" s="1" t="s">
        <v>1634</v>
      </c>
      <c r="B293" s="1" t="s">
        <v>1199</v>
      </c>
      <c r="C293" s="1" t="str">
        <f>VLOOKUP(B293,'RM Cost'!A:B,2,0)</f>
        <v>RM - POTATOES WARE 25KG</v>
      </c>
      <c r="D293" s="1" t="s">
        <v>1343</v>
      </c>
      <c r="E293" s="1" t="s">
        <v>554</v>
      </c>
      <c r="F293" s="11">
        <f>VLOOKUP(B293,'RM Cost'!A:F,6,0)</f>
        <v>0.27</v>
      </c>
      <c r="G293" s="4"/>
    </row>
    <row r="294" spans="1:7" x14ac:dyDescent="0.25">
      <c r="A294" s="1" t="s">
        <v>1635</v>
      </c>
      <c r="B294" s="1" t="s">
        <v>1149</v>
      </c>
      <c r="C294" s="1" t="str">
        <f>VLOOKUP(B294,'RM Cost'!A:B,2,0)</f>
        <v>RM - SPRING ONION x 2KG</v>
      </c>
      <c r="D294" s="1" t="s">
        <v>1343</v>
      </c>
      <c r="E294" s="1" t="s">
        <v>554</v>
      </c>
      <c r="F294" s="11">
        <f>VLOOKUP(B294,'RM Cost'!A:F,6,0)</f>
        <v>3.08</v>
      </c>
      <c r="G294" s="4"/>
    </row>
    <row r="295" spans="1:7" x14ac:dyDescent="0.25">
      <c r="A295" s="1" t="s">
        <v>1636</v>
      </c>
      <c r="B295" s="1" t="s">
        <v>1205</v>
      </c>
      <c r="C295" s="1" t="str">
        <f>VLOOKUP(B295,'RM Cost'!A:B,2,0)</f>
        <v>RM - BEEF TOMATO 1 X 7KG</v>
      </c>
      <c r="D295" s="1" t="s">
        <v>1343</v>
      </c>
      <c r="E295" s="1" t="s">
        <v>554</v>
      </c>
      <c r="F295" s="11">
        <f>VLOOKUP(B295,'RM Cost'!A:F,6,0)</f>
        <v>1.32</v>
      </c>
      <c r="G295" s="4"/>
    </row>
    <row r="296" spans="1:7" x14ac:dyDescent="0.25">
      <c r="A296" s="1" t="s">
        <v>1637</v>
      </c>
      <c r="B296" s="1" t="s">
        <v>1205</v>
      </c>
      <c r="C296" s="1" t="str">
        <f>VLOOKUP(B296,'RM Cost'!A:B,2,0)</f>
        <v>RM - BEEF TOMATO 1 X 7KG</v>
      </c>
      <c r="D296" s="1" t="s">
        <v>1343</v>
      </c>
      <c r="E296" s="1" t="s">
        <v>554</v>
      </c>
      <c r="F296" s="11">
        <f>VLOOKUP(B296,'RM Cost'!A:F,6,0)</f>
        <v>1.32</v>
      </c>
      <c r="G296" s="4"/>
    </row>
    <row r="297" spans="1:7" x14ac:dyDescent="0.25">
      <c r="A297" s="1" t="s">
        <v>1638</v>
      </c>
      <c r="B297" s="1" t="s">
        <v>1713</v>
      </c>
      <c r="C297" s="1" t="str">
        <f>VLOOKUP(B297,'RM Cost'!A:B,2,0)</f>
        <v>RM - PROCESSING LEEKS 5KG</v>
      </c>
      <c r="D297" s="1" t="s">
        <v>1343</v>
      </c>
      <c r="E297" s="1" t="s">
        <v>554</v>
      </c>
      <c r="F297" s="11">
        <f>VLOOKUP(B297,'RM Cost'!A:F,6,0)</f>
        <v>1.05</v>
      </c>
      <c r="G297" s="4"/>
    </row>
    <row r="298" spans="1:7" x14ac:dyDescent="0.25">
      <c r="A298" s="1" t="s">
        <v>1639</v>
      </c>
      <c r="B298" s="1" t="s">
        <v>1199</v>
      </c>
      <c r="C298" s="1" t="str">
        <f>VLOOKUP(B298,'RM Cost'!A:B,2,0)</f>
        <v>RM - POTATOES WARE 25KG</v>
      </c>
      <c r="D298" s="1" t="s">
        <v>1343</v>
      </c>
      <c r="E298" s="1" t="s">
        <v>554</v>
      </c>
      <c r="F298" s="11">
        <f>VLOOKUP(B298,'RM Cost'!A:F,6,0)</f>
        <v>0.27</v>
      </c>
      <c r="G298" s="4"/>
    </row>
    <row r="299" spans="1:7" x14ac:dyDescent="0.25">
      <c r="A299" s="1" t="s">
        <v>1640</v>
      </c>
      <c r="B299" s="1" t="s">
        <v>1199</v>
      </c>
      <c r="C299" s="1" t="str">
        <f>VLOOKUP(B299,'RM Cost'!A:B,2,0)</f>
        <v>RM - POTATOES WARE 25KG</v>
      </c>
      <c r="D299" s="1" t="s">
        <v>1343</v>
      </c>
      <c r="E299" s="1" t="s">
        <v>554</v>
      </c>
      <c r="F299" s="11">
        <f>VLOOKUP(B299,'RM Cost'!A:F,6,0)</f>
        <v>0.27</v>
      </c>
      <c r="G299" s="4"/>
    </row>
    <row r="300" spans="1:7" x14ac:dyDescent="0.25">
      <c r="A300" s="1" t="s">
        <v>1641</v>
      </c>
      <c r="B300" s="1" t="s">
        <v>1125</v>
      </c>
      <c r="C300" s="1" t="str">
        <f>VLOOKUP(B300,'RM Cost'!A:B,2,0)</f>
        <v>RM - SAVOY CABBAGE 1 X 5KG</v>
      </c>
      <c r="D300" s="1" t="s">
        <v>1343</v>
      </c>
      <c r="E300" s="1" t="s">
        <v>554</v>
      </c>
      <c r="F300" s="11">
        <f>VLOOKUP(B300,'RM Cost'!A:F,6,0)</f>
        <v>0.76</v>
      </c>
      <c r="G300" s="4"/>
    </row>
    <row r="301" spans="1:7" x14ac:dyDescent="0.25">
      <c r="A301" s="1" t="s">
        <v>1642</v>
      </c>
      <c r="B301" s="1" t="s">
        <v>4835</v>
      </c>
      <c r="C301" s="1" t="str">
        <f>VLOOKUP(B301,'RM Cost'!A:B,2,0)</f>
        <v>WHOLE LEAF CURLY KALE 5X1KG</v>
      </c>
      <c r="D301" s="1" t="s">
        <v>1343</v>
      </c>
      <c r="E301" s="1" t="s">
        <v>554</v>
      </c>
      <c r="F301" s="11">
        <f>VLOOKUP(B301,'RM Cost'!A:F,6,0)</f>
        <v>1.45</v>
      </c>
      <c r="G301" s="4"/>
    </row>
    <row r="302" spans="1:7" x14ac:dyDescent="0.25">
      <c r="A302" s="1" t="s">
        <v>1643</v>
      </c>
      <c r="B302" s="1" t="s">
        <v>4703</v>
      </c>
      <c r="C302" s="1" t="str">
        <f>VLOOKUP(B302,'RM Cost'!A:B,2,0)</f>
        <v>RM - ROSE ONIONS 10 X 1KG</v>
      </c>
      <c r="D302" s="1" t="s">
        <v>1343</v>
      </c>
      <c r="E302" s="1" t="s">
        <v>554</v>
      </c>
      <c r="F302" s="11" t="e">
        <f>VLOOKUP(B302,'RM Cost'!A:F,6,0)</f>
        <v>#N/A</v>
      </c>
      <c r="G302" s="4"/>
    </row>
    <row r="303" spans="1:7" x14ac:dyDescent="0.25">
      <c r="A303" s="1" t="s">
        <v>1644</v>
      </c>
      <c r="B303" s="12">
        <v>0</v>
      </c>
      <c r="C303" s="1" t="e">
        <f>VLOOKUP(B303,'RM Cost'!A:B,2,0)</f>
        <v>#N/A</v>
      </c>
      <c r="D303" s="1" t="s">
        <v>1343</v>
      </c>
      <c r="E303" s="1" t="s">
        <v>554</v>
      </c>
      <c r="F303" s="11" t="e">
        <f>VLOOKUP(B303,'RM Cost'!A:F,6,0)</f>
        <v>#N/A</v>
      </c>
      <c r="G303" s="4"/>
    </row>
    <row r="304" spans="1:7" x14ac:dyDescent="0.25">
      <c r="A304" s="1" t="s">
        <v>1645</v>
      </c>
      <c r="B304" s="12" t="s">
        <v>4325</v>
      </c>
      <c r="C304" s="1" t="str">
        <f>VLOOKUP(B304,'RM Cost'!A:B,2,0)</f>
        <v>RM - TIC AMAZU PICKLING VINEGAR 5KG</v>
      </c>
      <c r="D304" s="1" t="s">
        <v>1343</v>
      </c>
      <c r="E304" s="1" t="s">
        <v>554</v>
      </c>
      <c r="F304" s="11">
        <f>VLOOKUP(B304,'RM Cost'!A:F,6,0)</f>
        <v>3.6</v>
      </c>
      <c r="G304" s="4"/>
    </row>
    <row r="305" spans="1:7" x14ac:dyDescent="0.25">
      <c r="A305" s="1" t="s">
        <v>1646</v>
      </c>
      <c r="B305" s="1" t="s">
        <v>1199</v>
      </c>
      <c r="C305" s="1" t="str">
        <f>VLOOKUP(B305,'RM Cost'!A:B,2,0)</f>
        <v>RM - POTATOES WARE 25KG</v>
      </c>
      <c r="D305" s="1" t="s">
        <v>1343</v>
      </c>
      <c r="E305" s="1" t="s">
        <v>554</v>
      </c>
      <c r="F305" s="11">
        <f>VLOOKUP(B305,'RM Cost'!A:F,6,0)</f>
        <v>0.27</v>
      </c>
      <c r="G305" s="4"/>
    </row>
    <row r="306" spans="1:7" x14ac:dyDescent="0.25">
      <c r="A306" s="1" t="s">
        <v>1647</v>
      </c>
      <c r="B306" s="1" t="s">
        <v>1115</v>
      </c>
      <c r="C306" s="1" t="str">
        <f>VLOOKUP(B306,'RM Cost'!A:B,2,0)</f>
        <v>RM - LRG PROCESSING CARROT X 1000KG</v>
      </c>
      <c r="D306" s="1" t="s">
        <v>1343</v>
      </c>
      <c r="E306" s="1" t="s">
        <v>554</v>
      </c>
      <c r="F306" s="11">
        <f>VLOOKUP(B306,'RM Cost'!A:F,6,0)</f>
        <v>0.38</v>
      </c>
      <c r="G306" s="4"/>
    </row>
    <row r="307" spans="1:7" x14ac:dyDescent="0.25">
      <c r="A307" s="1" t="s">
        <v>1648</v>
      </c>
      <c r="B307" s="1" t="s">
        <v>1115</v>
      </c>
      <c r="C307" s="1" t="str">
        <f>VLOOKUP(B307,'RM Cost'!A:B,2,0)</f>
        <v>RM - LRG PROCESSING CARROT X 1000KG</v>
      </c>
      <c r="D307" s="1" t="s">
        <v>1343</v>
      </c>
      <c r="E307" s="1" t="s">
        <v>554</v>
      </c>
      <c r="F307" s="11">
        <f>VLOOKUP(B307,'RM Cost'!A:F,6,0)</f>
        <v>0.38</v>
      </c>
      <c r="G307" s="4"/>
    </row>
    <row r="308" spans="1:7" x14ac:dyDescent="0.25">
      <c r="A308" s="1" t="s">
        <v>1649</v>
      </c>
      <c r="B308" s="1" t="s">
        <v>1268</v>
      </c>
      <c r="C308" s="1" t="str">
        <f>VLOOKUP(B308,'RM Cost'!A:B,2,0)</f>
        <v>RM - SHALLOT BANANA 1X20KG</v>
      </c>
      <c r="D308" s="1" t="s">
        <v>1343</v>
      </c>
      <c r="E308" s="1" t="s">
        <v>554</v>
      </c>
      <c r="F308" s="11">
        <f>VLOOKUP(B308,'RM Cost'!A:F,6,0)</f>
        <v>0.92</v>
      </c>
      <c r="G308" s="4"/>
    </row>
    <row r="309" spans="1:7" x14ac:dyDescent="0.25">
      <c r="A309" s="1" t="s">
        <v>1650</v>
      </c>
      <c r="B309" s="1" t="s">
        <v>1187</v>
      </c>
      <c r="C309" s="1" t="str">
        <f>VLOOKUP(B309,'RM Cost'!A:B,2,0)</f>
        <v>RM - PREP ONION WHOLE 10KG</v>
      </c>
      <c r="D309" s="1" t="s">
        <v>1343</v>
      </c>
      <c r="E309" s="1" t="s">
        <v>554</v>
      </c>
      <c r="F309" s="11">
        <f>VLOOKUP(B309,'RM Cost'!A:F,6,0)</f>
        <v>0.87</v>
      </c>
      <c r="G309" s="4"/>
    </row>
    <row r="310" spans="1:7" x14ac:dyDescent="0.25">
      <c r="A310" s="1" t="s">
        <v>1651</v>
      </c>
      <c r="B310" s="1" t="s">
        <v>1199</v>
      </c>
      <c r="C310" s="1" t="str">
        <f>VLOOKUP(B310,'RM Cost'!A:B,2,0)</f>
        <v>RM - POTATOES WARE 25KG</v>
      </c>
      <c r="D310" s="1" t="s">
        <v>1343</v>
      </c>
      <c r="E310" s="1" t="s">
        <v>554</v>
      </c>
      <c r="F310" s="11">
        <f>VLOOKUP(B310,'RM Cost'!A:F,6,0)</f>
        <v>0.27</v>
      </c>
      <c r="G310" s="4"/>
    </row>
    <row r="311" spans="1:7" x14ac:dyDescent="0.25">
      <c r="A311" s="1" t="s">
        <v>1652</v>
      </c>
      <c r="B311" s="12" t="s">
        <v>1715</v>
      </c>
      <c r="C311" s="1" t="str">
        <f>VLOOKUP(B311,'RM Cost'!A:B,2,0)</f>
        <v>GOLDEN BEETROOT 1 X 5KG</v>
      </c>
      <c r="D311" s="1" t="s">
        <v>1343</v>
      </c>
      <c r="E311" s="1" t="s">
        <v>554</v>
      </c>
      <c r="F311" s="11">
        <f>VLOOKUP(B311,'RM Cost'!A:F,6,0)</f>
        <v>1.1000000000000001</v>
      </c>
      <c r="G311" s="4"/>
    </row>
    <row r="312" spans="1:7" x14ac:dyDescent="0.25">
      <c r="A312" s="1" t="s">
        <v>1653</v>
      </c>
      <c r="B312" s="1" t="s">
        <v>1157</v>
      </c>
      <c r="C312" s="1" t="str">
        <f>VLOOKUP(B312,'RM Cost'!A:B,2,0)</f>
        <v>RM - APPLES RED X 125/138</v>
      </c>
      <c r="D312" s="1" t="s">
        <v>1343</v>
      </c>
      <c r="E312" s="1" t="s">
        <v>554</v>
      </c>
      <c r="F312" s="11">
        <f>VLOOKUP(B312,'RM Cost'!A:F,6,0)</f>
        <v>1.1200000000000001</v>
      </c>
      <c r="G312" s="4"/>
    </row>
    <row r="313" spans="1:7" x14ac:dyDescent="0.25">
      <c r="A313" s="1" t="s">
        <v>1654</v>
      </c>
      <c r="B313" s="12" t="s">
        <v>1232</v>
      </c>
      <c r="C313" s="1" t="str">
        <f>VLOOKUP(B313,'RM Cost'!A:B,2,0)</f>
        <v>RM - CUCUMBER X12 EA</v>
      </c>
      <c r="D313" s="1" t="s">
        <v>1343</v>
      </c>
      <c r="E313" s="1" t="s">
        <v>554</v>
      </c>
      <c r="F313" s="11">
        <f>VLOOKUP(B313,'RM Cost'!A:F,6,0)</f>
        <v>1.18</v>
      </c>
      <c r="G313" s="4"/>
    </row>
    <row r="314" spans="1:7" x14ac:dyDescent="0.25">
      <c r="A314" s="1" t="s">
        <v>1655</v>
      </c>
      <c r="B314" s="1" t="s">
        <v>4327</v>
      </c>
      <c r="C314" s="1" t="str">
        <f>VLOOKUP(B314,'RM Cost'!A:B,2,0)</f>
        <v>RM - BABY YELLOW CARROT 6X200G</v>
      </c>
      <c r="D314" s="1" t="s">
        <v>1343</v>
      </c>
      <c r="E314" s="1" t="s">
        <v>554</v>
      </c>
      <c r="F314" s="11" t="e">
        <f>VLOOKUP(B314,'RM Cost'!A:F,6,0)</f>
        <v>#N/A</v>
      </c>
      <c r="G314" s="4"/>
    </row>
    <row r="315" spans="1:7" x14ac:dyDescent="0.25">
      <c r="A315" s="1" t="s">
        <v>1656</v>
      </c>
      <c r="B315" s="1" t="s">
        <v>1289</v>
      </c>
      <c r="C315" s="1" t="str">
        <f>VLOOKUP(B315,'RM Cost'!A:B,2,0)</f>
        <v>RM - ARTICHOKES JERUSALEM  X5KG</v>
      </c>
      <c r="D315" s="1" t="s">
        <v>1343</v>
      </c>
      <c r="E315" s="1" t="s">
        <v>554</v>
      </c>
      <c r="F315" s="11">
        <f>VLOOKUP(B315,'RM Cost'!A:F,6,0)</f>
        <v>1.57</v>
      </c>
      <c r="G315" s="4"/>
    </row>
    <row r="316" spans="1:7" x14ac:dyDescent="0.25">
      <c r="A316" s="1" t="s">
        <v>1657</v>
      </c>
      <c r="B316" s="1" t="s">
        <v>1117</v>
      </c>
      <c r="C316" s="1" t="str">
        <f>VLOOKUP(B316,'RM Cost'!A:B,2,0)</f>
        <v>RM - SWEDE 12.5KG</v>
      </c>
      <c r="D316" s="1" t="s">
        <v>1343</v>
      </c>
      <c r="E316" s="1" t="s">
        <v>554</v>
      </c>
      <c r="F316" s="11">
        <f>VLOOKUP(B316,'RM Cost'!A:F,6,0)</f>
        <v>0.52</v>
      </c>
      <c r="G316" s="4"/>
    </row>
    <row r="317" spans="1:7" x14ac:dyDescent="0.25">
      <c r="A317" s="2" t="s">
        <v>4678</v>
      </c>
      <c r="B317" s="1" t="s">
        <v>1317</v>
      </c>
      <c r="C317" s="1" t="str">
        <f>VLOOKUP(B317,'RM Cost'!A:B,2,0)</f>
        <v>SOL 30EL # PPLUS 630x1000 BLUE -1</v>
      </c>
      <c r="D317" s="1" t="s">
        <v>1658</v>
      </c>
      <c r="E317" s="1" t="s">
        <v>595</v>
      </c>
      <c r="F317" s="11">
        <f>VLOOKUP(B317,'RM Cost'!A:F,6,0)</f>
        <v>0.08</v>
      </c>
      <c r="G317" s="4"/>
    </row>
    <row r="318" spans="1:7" x14ac:dyDescent="0.25">
      <c r="A318" s="2" t="s">
        <v>4679</v>
      </c>
      <c r="B318" s="1" t="s">
        <v>1318</v>
      </c>
      <c r="C318" s="1" t="str">
        <f>VLOOKUP(B318,'RM Cost'!A:B,2,0)</f>
        <v>SOL 30EL # PPLUS 630x1000 BLUE -4</v>
      </c>
      <c r="D318" s="1" t="s">
        <v>1658</v>
      </c>
      <c r="E318" s="1" t="s">
        <v>595</v>
      </c>
      <c r="F318" s="11">
        <f>VLOOKUP(B318,'RM Cost'!A:F,6,0)</f>
        <v>0.32</v>
      </c>
      <c r="G318" s="4"/>
    </row>
    <row r="319" spans="1:7" x14ac:dyDescent="0.25">
      <c r="A319" s="2" t="s">
        <v>4680</v>
      </c>
      <c r="B319" s="1" t="s">
        <v>1319</v>
      </c>
      <c r="C319" s="1" t="str">
        <f>VLOOKUP(B319,'RM Cost'!A:B,2,0)</f>
        <v>SOL 30EL # PPLUS 630x1000 BLUE -6</v>
      </c>
      <c r="D319" s="1" t="s">
        <v>1658</v>
      </c>
      <c r="E319" s="1" t="s">
        <v>595</v>
      </c>
      <c r="F319" s="11">
        <f>VLOOKUP(B319,'RM Cost'!A:F,6,0)</f>
        <v>0.48</v>
      </c>
      <c r="G319" s="4"/>
    </row>
    <row r="320" spans="1:7" x14ac:dyDescent="0.25">
      <c r="A320" s="2" t="s">
        <v>4681</v>
      </c>
      <c r="B320" s="1" t="s">
        <v>1320</v>
      </c>
      <c r="C320" s="1" t="str">
        <f>VLOOKUP(B320,'RM Cost'!A:B,2,0)</f>
        <v>SOL 30EL # PPLUS 630x1000 BLUE -8</v>
      </c>
      <c r="D320" s="1" t="s">
        <v>1658</v>
      </c>
      <c r="E320" s="1" t="s">
        <v>595</v>
      </c>
      <c r="F320" s="11">
        <f>VLOOKUP(B320,'RM Cost'!A:F,6,0)</f>
        <v>0.64</v>
      </c>
      <c r="G320" s="4"/>
    </row>
    <row r="321" spans="1:7" x14ac:dyDescent="0.25">
      <c r="A321" s="2" t="s">
        <v>1323</v>
      </c>
      <c r="B321" s="1" t="s">
        <v>1322</v>
      </c>
      <c r="C321" s="1" t="str">
        <f>VLOOKUP(B321,'RM Cost'!A:B,2,0)</f>
        <v>PALE BLUE BAG 470X750MM</v>
      </c>
      <c r="D321" s="1" t="s">
        <v>1658</v>
      </c>
      <c r="E321" s="1" t="s">
        <v>595</v>
      </c>
      <c r="F321" s="11">
        <f>VLOOKUP(B321,'RM Cost'!A:F,6,0)</f>
        <v>0.14000000000000001</v>
      </c>
      <c r="G321" s="4"/>
    </row>
    <row r="322" spans="1:7" x14ac:dyDescent="0.25">
      <c r="A322" s="2" t="s">
        <v>4672</v>
      </c>
      <c r="B322" s="1" t="s">
        <v>1324</v>
      </c>
      <c r="C322" s="1" t="str">
        <f>VLOOKUP(B322,'RM Cost'!A:B,2,0)</f>
        <v>BUCKET 3L PJET</v>
      </c>
      <c r="D322" s="1" t="s">
        <v>1658</v>
      </c>
      <c r="E322" s="1" t="s">
        <v>595</v>
      </c>
      <c r="F322" s="11">
        <f>VLOOKUP(B322,'RM Cost'!A:F,6,0)</f>
        <v>0.56000000000000005</v>
      </c>
      <c r="G322" s="4"/>
    </row>
    <row r="323" spans="1:7" x14ac:dyDescent="0.25">
      <c r="A323" s="2" t="s">
        <v>4673</v>
      </c>
      <c r="B323" s="1" t="s">
        <v>1773</v>
      </c>
      <c r="C323" s="1" t="str">
        <f>VLOOKUP(B323,'RM Cost'!A:B,2,0)</f>
        <v>LID 2.2L PJET 2.2L-3.8L</v>
      </c>
      <c r="D323" s="1" t="s">
        <v>1658</v>
      </c>
      <c r="E323" s="1" t="s">
        <v>595</v>
      </c>
      <c r="F323" s="11">
        <f>VLOOKUP(B323,'RM Cost'!A:F,6,0)</f>
        <v>0.16</v>
      </c>
      <c r="G323" s="4"/>
    </row>
    <row r="324" spans="1:7" ht="15.75" x14ac:dyDescent="0.25">
      <c r="A324" s="13" t="s">
        <v>1326</v>
      </c>
      <c r="B324" s="1" t="s">
        <v>1325</v>
      </c>
      <c r="C324" s="1" t="str">
        <f>VLOOKUP(B324,'RM Cost'!A:B,2,0)</f>
        <v>VACK PACK 300x400</v>
      </c>
      <c r="D324" s="1" t="s">
        <v>1658</v>
      </c>
      <c r="E324" s="1" t="s">
        <v>595</v>
      </c>
      <c r="F324" s="11">
        <f>VLOOKUP(B324,'RM Cost'!A:F,6,0)</f>
        <v>0.1</v>
      </c>
      <c r="G324" s="4"/>
    </row>
    <row r="325" spans="1:7" x14ac:dyDescent="0.25">
      <c r="A325" s="2" t="s">
        <v>4668</v>
      </c>
      <c r="B325" s="1" t="s">
        <v>1327</v>
      </c>
      <c r="C325" s="1" t="str">
        <f>VLOOKUP(B325,'RM Cost'!A:B,2,0)</f>
        <v>XL GRAZE REVIVE POT (X6)</v>
      </c>
      <c r="D325" s="1" t="s">
        <v>1658</v>
      </c>
      <c r="E325" s="1" t="s">
        <v>595</v>
      </c>
      <c r="F325" s="11">
        <f>VLOOKUP(B325,'RM Cost'!A:F,6,0)</f>
        <v>0.96</v>
      </c>
      <c r="G325" s="4"/>
    </row>
    <row r="326" spans="1:7" x14ac:dyDescent="0.25">
      <c r="A326" s="2" t="s">
        <v>4669</v>
      </c>
      <c r="B326" s="1" t="s">
        <v>1770</v>
      </c>
      <c r="C326" s="1" t="str">
        <f>VLOOKUP(B326,'RM Cost'!A:B,2,0)</f>
        <v>300-425ML CL R-PET REVIVE LID (X6)</v>
      </c>
      <c r="D326" s="1" t="s">
        <v>1658</v>
      </c>
      <c r="E326" s="1" t="s">
        <v>595</v>
      </c>
      <c r="F326" s="11">
        <f>VLOOKUP(B326,'RM Cost'!A:F,6,0)</f>
        <v>0.48</v>
      </c>
      <c r="G326" s="4"/>
    </row>
    <row r="327" spans="1:7" x14ac:dyDescent="0.25">
      <c r="A327" s="2" t="s">
        <v>4677</v>
      </c>
      <c r="B327" s="1" t="s">
        <v>1771</v>
      </c>
      <c r="C327" s="1" t="str">
        <f>VLOOKUP(B327,'RM Cost'!A:B,2,0)</f>
        <v>DIE CUT CARTON 390MM X 290MM</v>
      </c>
      <c r="D327" s="1" t="s">
        <v>1658</v>
      </c>
      <c r="E327" s="1" t="s">
        <v>595</v>
      </c>
      <c r="F327" s="11">
        <f>VLOOKUP(B327,'RM Cost'!A:F,6,0)</f>
        <v>0.1</v>
      </c>
      <c r="G327" s="4"/>
    </row>
    <row r="328" spans="1:7" x14ac:dyDescent="0.25">
      <c r="A328" s="2" t="s">
        <v>4676</v>
      </c>
      <c r="B328" s="1" t="s">
        <v>1328</v>
      </c>
      <c r="C328" s="1" t="str">
        <f>VLOOKUP(B328,'RM Cost'!A:B,2,0)</f>
        <v>BUCKET 2.2L PET</v>
      </c>
      <c r="D328" s="1" t="s">
        <v>1658</v>
      </c>
      <c r="E328" s="1" t="s">
        <v>595</v>
      </c>
      <c r="F328" s="11">
        <f>VLOOKUP(B328,'RM Cost'!A:F,6,0)</f>
        <v>0.54</v>
      </c>
      <c r="G328" s="4"/>
    </row>
    <row r="329" spans="1:7" x14ac:dyDescent="0.25">
      <c r="A329" s="2" t="s">
        <v>1330</v>
      </c>
      <c r="B329" s="1" t="s">
        <v>1329</v>
      </c>
      <c r="C329" s="1" t="str">
        <f>VLOOKUP(B329,'RM Cost'!A:B,2,0)</f>
        <v>banana box</v>
      </c>
      <c r="D329" s="1" t="s">
        <v>1658</v>
      </c>
      <c r="E329" s="1" t="s">
        <v>595</v>
      </c>
      <c r="F329" s="11">
        <f>VLOOKUP(B329,'RM Cost'!A:F,6,0)</f>
        <v>0.22</v>
      </c>
      <c r="G329" s="4"/>
    </row>
    <row r="330" spans="1:7" x14ac:dyDescent="0.25">
      <c r="A330" s="2" t="s">
        <v>1332</v>
      </c>
      <c r="B330" s="1" t="s">
        <v>1331</v>
      </c>
      <c r="C330" s="1" t="str">
        <f>VLOOKUP(B330,'RM Cost'!A:B,2,0)</f>
        <v>REY 40 30 BOX</v>
      </c>
      <c r="D330" s="1" t="s">
        <v>1658</v>
      </c>
      <c r="E330" s="1" t="s">
        <v>595</v>
      </c>
      <c r="F330" s="11">
        <f>VLOOKUP(B330,'RM Cost'!A:F,6,0)</f>
        <v>0.28000000000000003</v>
      </c>
      <c r="G330" s="4"/>
    </row>
    <row r="331" spans="1:7" x14ac:dyDescent="0.25">
      <c r="A331" s="1" t="s">
        <v>1334</v>
      </c>
      <c r="B331" s="1" t="s">
        <v>1333</v>
      </c>
      <c r="C331" s="1" t="str">
        <f>VLOOKUP(B331,'RM Cost'!A:B,2,0)</f>
        <v>PALE BLUE BAG 250X300MM</v>
      </c>
      <c r="D331" s="1" t="s">
        <v>1658</v>
      </c>
      <c r="E331" s="1" t="s">
        <v>595</v>
      </c>
      <c r="F331" s="11">
        <f>VLOOKUP(B331,'RM Cost'!A:F,6,0)</f>
        <v>0.05</v>
      </c>
      <c r="G331" s="4"/>
    </row>
    <row r="332" spans="1:7" x14ac:dyDescent="0.25">
      <c r="A332" s="2" t="s">
        <v>1336</v>
      </c>
      <c r="B332" s="1" t="s">
        <v>1335</v>
      </c>
      <c r="C332" s="1" t="str">
        <f>VLOOKUP(B332,'RM Cost'!A:B,2,0)</f>
        <v>1 LTR   BOTTLE WFP</v>
      </c>
      <c r="D332" s="1" t="s">
        <v>1658</v>
      </c>
      <c r="E332" s="1" t="s">
        <v>595</v>
      </c>
      <c r="F332" s="11">
        <f>VLOOKUP(B332,'RM Cost'!A:F,6,0)</f>
        <v>0.27</v>
      </c>
      <c r="G332" s="4"/>
    </row>
    <row r="333" spans="1:7" ht="15.75" x14ac:dyDescent="0.25">
      <c r="A333" s="13" t="s">
        <v>4674</v>
      </c>
      <c r="B333" s="1" t="s">
        <v>1337</v>
      </c>
      <c r="C333" s="1" t="str">
        <f>VLOOKUP(B333,'RM Cost'!A:B,2,0)</f>
        <v>BUCKET16-5L JET2+ WHITE</v>
      </c>
      <c r="D333" s="1" t="s">
        <v>1658</v>
      </c>
      <c r="E333" s="1" t="s">
        <v>595</v>
      </c>
      <c r="F333" s="11">
        <f>VLOOKUP(B333,'RM Cost'!A:F,6,0)</f>
        <v>2.87</v>
      </c>
      <c r="G333" s="4"/>
    </row>
    <row r="334" spans="1:7" ht="15.75" x14ac:dyDescent="0.25">
      <c r="A334" s="13" t="s">
        <v>4675</v>
      </c>
      <c r="B334" s="1" t="s">
        <v>1774</v>
      </c>
      <c r="C334" s="1" t="str">
        <f>VLOOKUP(B334,'RM Cost'!A:B,2,0)</f>
        <v>LID 16L JET2+ 16-21L - WHITE</v>
      </c>
      <c r="D334" s="1" t="s">
        <v>1658</v>
      </c>
      <c r="E334" s="1" t="s">
        <v>595</v>
      </c>
      <c r="F334" s="11">
        <f>VLOOKUP(B334,'RM Cost'!A:F,6,0)</f>
        <v>0.59</v>
      </c>
      <c r="G334" s="4"/>
    </row>
    <row r="335" spans="1:7" x14ac:dyDescent="0.25">
      <c r="A335" s="1" t="s">
        <v>1659</v>
      </c>
      <c r="B335" s="1" t="s">
        <v>1660</v>
      </c>
      <c r="C335" s="1" t="str">
        <f>VLOOKUP(B335,'RM Cost'!A:B,2,0)</f>
        <v>PALE BLUE BAG 430X430MM</v>
      </c>
      <c r="D335" s="1" t="s">
        <v>1658</v>
      </c>
      <c r="E335" s="1" t="s">
        <v>595</v>
      </c>
      <c r="F335" s="11">
        <f>VLOOKUP(B335,'RM Cost'!A:F,6,0)</f>
        <v>0.09</v>
      </c>
      <c r="G335" s="4"/>
    </row>
    <row r="336" spans="1:7" x14ac:dyDescent="0.25">
      <c r="A336" s="1" t="s">
        <v>1661</v>
      </c>
      <c r="B336" s="1" t="s">
        <v>1303</v>
      </c>
      <c r="C336" s="1" t="str">
        <f>VLOOKUP(B336,'RM Cost'!A:B,2,0)</f>
        <v>BAKING POTATO X50 EA</v>
      </c>
      <c r="D336" s="1" t="s">
        <v>1343</v>
      </c>
      <c r="E336" s="1" t="s">
        <v>554</v>
      </c>
      <c r="F336" s="11">
        <f>VLOOKUP(B336,'RM Cost'!A:F,6,0)</f>
        <v>0.57000000000000006</v>
      </c>
      <c r="G336" s="4"/>
    </row>
    <row r="337" spans="1:9" x14ac:dyDescent="0.25">
      <c r="A337" s="1" t="s">
        <v>1662</v>
      </c>
      <c r="B337" s="1" t="s">
        <v>1137</v>
      </c>
      <c r="C337" s="1" t="str">
        <f>VLOOKUP(B337,'RM Cost'!A:B,2,0)</f>
        <v>RM - TURNIPS X5KG</v>
      </c>
      <c r="D337" s="1" t="s">
        <v>1343</v>
      </c>
      <c r="E337" s="1" t="s">
        <v>554</v>
      </c>
      <c r="F337" s="11">
        <f>VLOOKUP(B337,'RM Cost'!A:F,6,0)</f>
        <v>0.68</v>
      </c>
      <c r="G337" s="4"/>
    </row>
    <row r="338" spans="1:9" x14ac:dyDescent="0.25">
      <c r="A338" s="65" t="s">
        <v>1894</v>
      </c>
      <c r="B338" s="65" t="s">
        <v>1338</v>
      </c>
      <c r="C338" s="65" t="str">
        <f>VLOOKUP(B338,'RM Cost'!A:B,2,0)</f>
        <v>RM - BUTTERNUT SQUASH BIN X 625KG</v>
      </c>
      <c r="D338" s="65" t="s">
        <v>1343</v>
      </c>
      <c r="E338" s="65" t="s">
        <v>554</v>
      </c>
      <c r="F338" s="11">
        <f>VLOOKUP(B338,'RM Cost'!A:F,6,0)</f>
        <v>0.65</v>
      </c>
      <c r="G338" s="4"/>
    </row>
    <row r="339" spans="1:9" x14ac:dyDescent="0.25">
      <c r="A339" s="1" t="s">
        <v>1899</v>
      </c>
      <c r="B339" s="1" t="s">
        <v>4682</v>
      </c>
      <c r="C339" s="1" t="str">
        <f>VLOOKUP(B339,'RM Cost'!A:B,2,0)</f>
        <v>CARDYMA CHIPPING POTATOES 25KG</v>
      </c>
      <c r="D339" s="1" t="s">
        <v>1343</v>
      </c>
      <c r="E339" s="1" t="s">
        <v>554</v>
      </c>
      <c r="F339" s="11">
        <f>VLOOKUP(B339,'RM Cost'!A:F,6,0)</f>
        <v>0.55000000000000004</v>
      </c>
      <c r="G339" s="4"/>
    </row>
    <row r="340" spans="1:9" x14ac:dyDescent="0.25">
      <c r="A340" s="1" t="s">
        <v>1902</v>
      </c>
      <c r="B340" s="1" t="s">
        <v>4682</v>
      </c>
      <c r="C340" s="1" t="str">
        <f>VLOOKUP(B340,'RM Cost'!A:B,2,0)</f>
        <v>CARDYMA CHIPPING POTATOES 25KG</v>
      </c>
      <c r="D340" s="1" t="s">
        <v>1343</v>
      </c>
      <c r="E340" s="1" t="s">
        <v>554</v>
      </c>
      <c r="F340" s="11">
        <f>VLOOKUP(B340,'RM Cost'!A:F,6,0)</f>
        <v>0.55000000000000004</v>
      </c>
      <c r="G340" s="4"/>
    </row>
    <row r="341" spans="1:9" x14ac:dyDescent="0.25">
      <c r="A341" s="1" t="s">
        <v>4311</v>
      </c>
      <c r="B341" s="1" t="s">
        <v>1293</v>
      </c>
      <c r="C341" s="1" t="str">
        <f>VLOOKUP(B341,'RM Cost'!A:B,2,0)</f>
        <v>RM - BEETROOT RAW  X10KG</v>
      </c>
      <c r="D341" s="1" t="s">
        <v>1343</v>
      </c>
      <c r="E341" s="1" t="s">
        <v>554</v>
      </c>
      <c r="F341" s="11">
        <f>VLOOKUP(B341,'RM Cost'!A:F,6,0)</f>
        <v>0.47</v>
      </c>
      <c r="G341" s="4"/>
    </row>
    <row r="342" spans="1:9" x14ac:dyDescent="0.25">
      <c r="A342" s="1" t="s">
        <v>4316</v>
      </c>
      <c r="B342" s="1" t="s">
        <v>1115</v>
      </c>
      <c r="C342" s="1" t="str">
        <f>VLOOKUP(B342,'RM Cost'!A:B,2,0)</f>
        <v>RM - LRG PROCESSING CARROT X 1000KG</v>
      </c>
      <c r="D342" s="1" t="s">
        <v>1343</v>
      </c>
      <c r="E342" s="1" t="s">
        <v>554</v>
      </c>
      <c r="F342" s="11">
        <f>VLOOKUP(B342,'RM Cost'!A:F,6,0)</f>
        <v>0.38</v>
      </c>
      <c r="G342" s="4"/>
    </row>
    <row r="343" spans="1:9" x14ac:dyDescent="0.25">
      <c r="A343" s="1" t="s">
        <v>4317</v>
      </c>
      <c r="B343" s="1" t="s">
        <v>1115</v>
      </c>
      <c r="C343" s="1" t="str">
        <f>VLOOKUP(B343,'RM Cost'!A:B,2,0)</f>
        <v>RM - LRG PROCESSING CARROT X 1000KG</v>
      </c>
      <c r="D343" s="1" t="s">
        <v>1343</v>
      </c>
      <c r="E343" s="1" t="s">
        <v>554</v>
      </c>
      <c r="F343" s="11">
        <f>VLOOKUP(B343,'RM Cost'!A:F,6,0)</f>
        <v>0.38</v>
      </c>
      <c r="G343" s="4"/>
    </row>
    <row r="344" spans="1:9" x14ac:dyDescent="0.25">
      <c r="A344" s="1" t="s">
        <v>4318</v>
      </c>
      <c r="B344" s="1" t="s">
        <v>1713</v>
      </c>
      <c r="C344" s="1" t="str">
        <f>VLOOKUP(B344,'RM Cost'!A:B,2,0)</f>
        <v>RM - PROCESSING LEEKS 5KG</v>
      </c>
      <c r="D344" s="1" t="s">
        <v>1343</v>
      </c>
      <c r="E344" s="1" t="s">
        <v>554</v>
      </c>
      <c r="F344" s="11">
        <f>VLOOKUP(B344,'RM Cost'!A:F,6,0)</f>
        <v>1.05</v>
      </c>
      <c r="G344" s="4"/>
    </row>
    <row r="345" spans="1:9" x14ac:dyDescent="0.25">
      <c r="A345" s="1" t="s">
        <v>1757</v>
      </c>
      <c r="B345" s="1" t="s">
        <v>1850</v>
      </c>
      <c r="C345" s="1" t="s">
        <v>1757</v>
      </c>
      <c r="D345" s="1" t="s">
        <v>1343</v>
      </c>
      <c r="E345" s="1" t="s">
        <v>554</v>
      </c>
      <c r="F345" s="11">
        <f>VLOOKUP(B345,'RM Cost'!A:F,6,0)</f>
        <v>6.3E-2</v>
      </c>
      <c r="G345" s="4"/>
    </row>
    <row r="346" spans="1:9" x14ac:dyDescent="0.25">
      <c r="A346" s="64" t="s">
        <v>4353</v>
      </c>
      <c r="B346" t="s">
        <v>1830</v>
      </c>
      <c r="C346" s="65" t="s">
        <v>1757</v>
      </c>
      <c r="D346" s="65" t="s">
        <v>1343</v>
      </c>
      <c r="E346" s="65" t="s">
        <v>554</v>
      </c>
      <c r="F346" s="11">
        <f>VLOOKUP(B346,'RM Cost'!A:F,6,0)</f>
        <v>1.76</v>
      </c>
    </row>
    <row r="347" spans="1:9" x14ac:dyDescent="0.25">
      <c r="A347" s="1" t="s">
        <v>4355</v>
      </c>
      <c r="B347" s="1" t="s">
        <v>1115</v>
      </c>
      <c r="C347" s="1" t="str">
        <f>VLOOKUP(B347,'RM Cost'!A:B,2,0)</f>
        <v>RM - LRG PROCESSING CARROT X 1000KG</v>
      </c>
      <c r="D347" s="1" t="s">
        <v>1343</v>
      </c>
      <c r="E347" s="1" t="s">
        <v>554</v>
      </c>
      <c r="F347" s="11">
        <f>VLOOKUP(B347,'RM Cost'!A:F,6,0)</f>
        <v>0.38</v>
      </c>
    </row>
    <row r="348" spans="1:9" x14ac:dyDescent="0.25">
      <c r="A348" s="1" t="s">
        <v>4354</v>
      </c>
      <c r="B348" s="1" t="s">
        <v>1826</v>
      </c>
      <c r="C348" s="1" t="str">
        <f>VLOOKUP(B348,'RM Cost'!A:B,2,0)</f>
        <v>RM - CELERY 1 X 12</v>
      </c>
      <c r="D348" s="1" t="s">
        <v>1343</v>
      </c>
      <c r="E348" s="1" t="s">
        <v>554</v>
      </c>
      <c r="F348" s="11">
        <f>VLOOKUP(B348,'RM Cost'!A:F,6,0)</f>
        <v>0.91</v>
      </c>
    </row>
    <row r="349" spans="1:9" x14ac:dyDescent="0.25">
      <c r="A349" s="1" t="s">
        <v>4356</v>
      </c>
      <c r="B349" s="1" t="s">
        <v>1713</v>
      </c>
      <c r="C349" s="1" t="str">
        <f>VLOOKUP(B349,'RM Cost'!A:B,2,0)</f>
        <v>RM - PROCESSING LEEKS 5KG</v>
      </c>
      <c r="D349" s="1" t="s">
        <v>1343</v>
      </c>
      <c r="E349" s="1" t="s">
        <v>554</v>
      </c>
      <c r="F349" s="11">
        <f>VLOOKUP(B349,'RM Cost'!A:F,6,0)</f>
        <v>1.05</v>
      </c>
    </row>
    <row r="350" spans="1:9" x14ac:dyDescent="0.25">
      <c r="A350" s="1" t="s">
        <v>4357</v>
      </c>
      <c r="B350" s="1" t="s">
        <v>1187</v>
      </c>
      <c r="C350" s="1" t="str">
        <f>VLOOKUP(B350,'RM Cost'!A:B,2,0)</f>
        <v>RM - PREP ONION WHOLE 10KG</v>
      </c>
      <c r="D350" s="1" t="s">
        <v>1343</v>
      </c>
      <c r="E350" s="1" t="s">
        <v>554</v>
      </c>
      <c r="F350" s="11">
        <f>VLOOKUP(B350,'RM Cost'!A:F,6,0)</f>
        <v>0.87</v>
      </c>
    </row>
    <row r="351" spans="1:9" x14ac:dyDescent="0.25">
      <c r="A351" t="s">
        <v>4475</v>
      </c>
      <c r="B351" s="1" t="s">
        <v>1197</v>
      </c>
      <c r="C351" s="1" t="str">
        <f>VLOOKUP(B351,'RM Cost'!A:B,2,0)</f>
        <v>RM - SWEET POTATOES ORANGE FLESH 6K</v>
      </c>
      <c r="D351" s="1" t="s">
        <v>1343</v>
      </c>
      <c r="E351" s="1" t="s">
        <v>554</v>
      </c>
      <c r="F351" s="11">
        <f>VLOOKUP(B351,'RM Cost'!A:F,6,0)</f>
        <v>0.88</v>
      </c>
    </row>
    <row r="352" spans="1:9" x14ac:dyDescent="0.25">
      <c r="A352" t="s">
        <v>4476</v>
      </c>
      <c r="B352" s="1" t="s">
        <v>1219</v>
      </c>
      <c r="C352" s="1" t="str">
        <f>VLOOKUP(B352,'RM Cost'!A:B,2,0)</f>
        <v>RM - MARIS PIPER 25KG</v>
      </c>
      <c r="D352" s="1" t="s">
        <v>1343</v>
      </c>
      <c r="E352" s="1" t="s">
        <v>554</v>
      </c>
      <c r="F352" s="11">
        <f>VLOOKUP(B352,'RM Cost'!A:F,6,0)</f>
        <v>0.43</v>
      </c>
      <c r="I352">
        <v>345052</v>
      </c>
    </row>
    <row r="353" spans="1:6" x14ac:dyDescent="0.25">
      <c r="A353" t="s">
        <v>4477</v>
      </c>
      <c r="B353" s="1" t="s">
        <v>1215</v>
      </c>
      <c r="C353" s="1" t="str">
        <f>VLOOKUP(B353,'RM Cost'!A:B,2,0)</f>
        <v>RM - WATERMELON x 5EA</v>
      </c>
      <c r="D353" s="1" t="s">
        <v>1343</v>
      </c>
      <c r="E353" s="1" t="s">
        <v>554</v>
      </c>
      <c r="F353" s="11">
        <f>VLOOKUP(B353,'RM Cost'!A:F,6,0)</f>
        <v>0.85</v>
      </c>
    </row>
    <row r="354" spans="1:6" x14ac:dyDescent="0.25">
      <c r="A354" t="s">
        <v>4478</v>
      </c>
      <c r="B354" s="1" t="s">
        <v>1197</v>
      </c>
      <c r="C354" s="1" t="str">
        <f>VLOOKUP(B354,'RM Cost'!A:B,2,0)</f>
        <v>RM - SWEET POTATOES ORANGE FLESH 6K</v>
      </c>
      <c r="D354" s="1" t="s">
        <v>1343</v>
      </c>
      <c r="E354" s="1" t="s">
        <v>554</v>
      </c>
      <c r="F354" s="11">
        <f>VLOOKUP(B354,'RM Cost'!A:F,6,0)</f>
        <v>0.88</v>
      </c>
    </row>
    <row r="355" spans="1:6" x14ac:dyDescent="0.25">
      <c r="A355" t="s">
        <v>4479</v>
      </c>
      <c r="B355" s="1" t="s">
        <v>1244</v>
      </c>
      <c r="C355" s="1" t="str">
        <f>VLOOKUP(B355,'RM Cost'!A:B,2,0)</f>
        <v>RM - MUSHROOM BUTTON 30-40M 3KG</v>
      </c>
      <c r="D355" s="1" t="s">
        <v>1343</v>
      </c>
      <c r="E355" s="1" t="s">
        <v>554</v>
      </c>
      <c r="F355" s="11">
        <f>VLOOKUP(B355,'RM Cost'!A:F,6,0)</f>
        <v>1.85</v>
      </c>
    </row>
    <row r="356" spans="1:6" x14ac:dyDescent="0.25">
      <c r="A356" t="s">
        <v>4480</v>
      </c>
      <c r="B356" s="1" t="s">
        <v>1153</v>
      </c>
      <c r="C356" s="1" t="str">
        <f>VLOOKUP(B356,'RM Cost'!A:B,2,0)</f>
        <v>RM - MELON YELLOW X 6EA</v>
      </c>
      <c r="D356" s="1" t="s">
        <v>1343</v>
      </c>
      <c r="E356" s="1" t="s">
        <v>554</v>
      </c>
      <c r="F356" s="11">
        <f>VLOOKUP(B356,'RM Cost'!A:F,6,0)</f>
        <v>0.81</v>
      </c>
    </row>
    <row r="357" spans="1:6" x14ac:dyDescent="0.25">
      <c r="A357" t="s">
        <v>4481</v>
      </c>
      <c r="B357" s="1" t="s">
        <v>1232</v>
      </c>
      <c r="C357" s="1" t="str">
        <f>VLOOKUP(B357,'RM Cost'!A:B,2,0)</f>
        <v>RM - CUCUMBER X12 EA</v>
      </c>
      <c r="D357" s="1" t="s">
        <v>1343</v>
      </c>
      <c r="E357" s="1" t="s">
        <v>554</v>
      </c>
      <c r="F357" s="11">
        <f>VLOOKUP(B357,'RM Cost'!A:F,6,0)</f>
        <v>1.18</v>
      </c>
    </row>
    <row r="358" spans="1:6" x14ac:dyDescent="0.25">
      <c r="A358" s="2" t="s">
        <v>4482</v>
      </c>
      <c r="B358" t="s">
        <v>1338</v>
      </c>
      <c r="C358" s="1" t="str">
        <f>VLOOKUP(B358,'RM Cost'!A:B,2,0)</f>
        <v>RM - BUTTERNUT SQUASH BIN X 625KG</v>
      </c>
      <c r="D358" s="1" t="s">
        <v>1343</v>
      </c>
      <c r="E358" s="1" t="s">
        <v>554</v>
      </c>
      <c r="F358" s="11">
        <f>VLOOKUP(B358,'RM Cost'!A:F,6,0)</f>
        <v>0.65</v>
      </c>
    </row>
    <row r="359" spans="1:6" x14ac:dyDescent="0.25">
      <c r="A359" t="s">
        <v>4483</v>
      </c>
      <c r="B359" s="1" t="s">
        <v>1129</v>
      </c>
      <c r="C359" s="1" t="str">
        <f>VLOOKUP(B359,'RM Cost'!A:B,2,0)</f>
        <v>RM - COURGETTE STANDARD</v>
      </c>
      <c r="D359" s="1" t="s">
        <v>1343</v>
      </c>
      <c r="E359" s="1" t="s">
        <v>554</v>
      </c>
      <c r="F359" s="11">
        <f>VLOOKUP(B359,'RM Cost'!A:F,6,0)</f>
        <v>1.1000000000000001</v>
      </c>
    </row>
    <row r="360" spans="1:6" x14ac:dyDescent="0.25">
      <c r="A360" t="s">
        <v>4484</v>
      </c>
      <c r="B360" s="1" t="s">
        <v>1197</v>
      </c>
      <c r="C360" s="1" t="str">
        <f>VLOOKUP(B360,'RM Cost'!A:B,2,0)</f>
        <v>RM - SWEET POTATOES ORANGE FLESH 6K</v>
      </c>
      <c r="D360" s="1" t="s">
        <v>1343</v>
      </c>
      <c r="E360" s="1" t="s">
        <v>554</v>
      </c>
      <c r="F360" s="11">
        <f>VLOOKUP(B360,'RM Cost'!A:F,6,0)</f>
        <v>0.88</v>
      </c>
    </row>
    <row r="361" spans="1:6" x14ac:dyDescent="0.25">
      <c r="A361" s="7" t="s">
        <v>4485</v>
      </c>
      <c r="B361" t="s">
        <v>1338</v>
      </c>
      <c r="C361" s="1" t="str">
        <f>VLOOKUP(B361,'RM Cost'!A:B,2,0)</f>
        <v>RM - BUTTERNUT SQUASH BIN X 625KG</v>
      </c>
      <c r="D361" s="1" t="s">
        <v>1343</v>
      </c>
      <c r="E361" s="1" t="s">
        <v>554</v>
      </c>
      <c r="F361" s="11">
        <f>VLOOKUP(B361,'RM Cost'!A:F,6,0)</f>
        <v>0.65</v>
      </c>
    </row>
    <row r="362" spans="1:6" x14ac:dyDescent="0.25">
      <c r="A362" t="s">
        <v>4486</v>
      </c>
      <c r="B362" s="1" t="s">
        <v>4835</v>
      </c>
      <c r="C362" s="65" t="str">
        <f>VLOOKUP(B362,'RM Cost'!A:B,2,0)</f>
        <v>WHOLE LEAF CURLY KALE 5X1KG</v>
      </c>
      <c r="D362" s="65" t="s">
        <v>1343</v>
      </c>
      <c r="E362" s="65" t="s">
        <v>554</v>
      </c>
      <c r="F362" s="11">
        <f>VLOOKUP(B362,'RM Cost'!A:F,6,0)</f>
        <v>1.45</v>
      </c>
    </row>
    <row r="363" spans="1:6" x14ac:dyDescent="0.25">
      <c r="A363" s="1" t="s">
        <v>4487</v>
      </c>
      <c r="B363" s="1" t="s">
        <v>1234</v>
      </c>
      <c r="C363" s="1" t="str">
        <f>VLOOKUP(B363,'RM Cost'!A:B,2,0)</f>
        <v>RM - FENNEL X5KG</v>
      </c>
      <c r="D363" s="1" t="s">
        <v>1343</v>
      </c>
      <c r="E363" s="1" t="s">
        <v>554</v>
      </c>
      <c r="F363" s="11">
        <f>VLOOKUP(B363,'RM Cost'!A:F,6,0)</f>
        <v>1.41</v>
      </c>
    </row>
    <row r="364" spans="1:6" x14ac:dyDescent="0.25">
      <c r="A364" s="1" t="s">
        <v>4488</v>
      </c>
      <c r="B364" s="1" t="s">
        <v>1234</v>
      </c>
      <c r="C364" s="1" t="str">
        <f>VLOOKUP(B364,'RM Cost'!A:B,2,0)</f>
        <v>RM - FENNEL X5KG</v>
      </c>
      <c r="D364" s="1" t="s">
        <v>1343</v>
      </c>
      <c r="E364" s="1" t="s">
        <v>554</v>
      </c>
      <c r="F364" s="11">
        <f>VLOOKUP(B364,'RM Cost'!A:F,6,0)</f>
        <v>1.41</v>
      </c>
    </row>
    <row r="365" spans="1:6" x14ac:dyDescent="0.25">
      <c r="A365" t="s">
        <v>4489</v>
      </c>
      <c r="B365" s="1" t="s">
        <v>1778</v>
      </c>
      <c r="C365" s="1" t="str">
        <f>VLOOKUP(B365,'RM Cost'!A:B,2,0)</f>
        <v>RM - PREP ONION RED WHOLE 2.5KG</v>
      </c>
      <c r="D365" s="1" t="s">
        <v>1343</v>
      </c>
      <c r="E365" s="1" t="s">
        <v>554</v>
      </c>
      <c r="F365" s="11">
        <f>VLOOKUP(B365,'RM Cost'!A:F,6,0)</f>
        <v>1.08</v>
      </c>
    </row>
    <row r="366" spans="1:6" x14ac:dyDescent="0.25">
      <c r="A366" t="s">
        <v>4495</v>
      </c>
      <c r="B366" t="s">
        <v>2231</v>
      </c>
      <c r="C366" s="1" t="str">
        <f>VLOOKUP(B366,'RM Cost'!A:B,2,0)</f>
        <v>RM - OKRA 2KG</v>
      </c>
      <c r="D366" s="1" t="s">
        <v>1343</v>
      </c>
      <c r="E366" s="1" t="s">
        <v>554</v>
      </c>
      <c r="F366" s="11">
        <f>VLOOKUP(B366,'RM Cost'!A:F,6,0)</f>
        <v>4.2300000000000004</v>
      </c>
    </row>
    <row r="367" spans="1:6" x14ac:dyDescent="0.25">
      <c r="A367" t="s">
        <v>4498</v>
      </c>
      <c r="B367" s="1" t="s">
        <v>1232</v>
      </c>
      <c r="C367" s="1" t="str">
        <f>VLOOKUP(B367,'RM Cost'!A:B,2,0)</f>
        <v>RM - CUCUMBER X12 EA</v>
      </c>
      <c r="D367" s="1" t="s">
        <v>1343</v>
      </c>
      <c r="E367" s="1" t="s">
        <v>554</v>
      </c>
      <c r="F367" s="11">
        <f>VLOOKUP(B367,'RM Cost'!A:F,6,0)</f>
        <v>1.18</v>
      </c>
    </row>
    <row r="368" spans="1:6" x14ac:dyDescent="0.25">
      <c r="A368" t="s">
        <v>4505</v>
      </c>
      <c r="B368" s="101" t="s">
        <v>1768</v>
      </c>
      <c r="C368" s="1" t="str">
        <f>VLOOKUP(B368,'RM Cost'!A:B,2,0)</f>
        <v>1000ML RECT TAMPER EVID POTS &amp; LIDS</v>
      </c>
      <c r="D368" s="1" t="s">
        <v>1658</v>
      </c>
      <c r="E368" s="1" t="s">
        <v>595</v>
      </c>
      <c r="F368" s="11">
        <f>VLOOKUP(B368,'RM Cost'!A:F,6,0)</f>
        <v>0.4</v>
      </c>
    </row>
    <row r="369" spans="1:9" x14ac:dyDescent="0.25">
      <c r="A369" t="s">
        <v>4510</v>
      </c>
      <c r="B369" s="1" t="s">
        <v>1309</v>
      </c>
      <c r="C369" t="s">
        <v>1310</v>
      </c>
      <c r="D369" s="1" t="s">
        <v>1343</v>
      </c>
      <c r="E369" s="1" t="s">
        <v>554</v>
      </c>
      <c r="F369" s="11">
        <f>VLOOKUP(B369,'RM Cost'!A:F,6,0)</f>
        <v>0.4</v>
      </c>
    </row>
    <row r="370" spans="1:9" x14ac:dyDescent="0.25">
      <c r="A370" t="s">
        <v>4513</v>
      </c>
      <c r="B370" t="s">
        <v>1299</v>
      </c>
      <c r="C370" s="1" t="str">
        <f>VLOOKUP(B370,'RM Cost'!A:B,2,0)</f>
        <v>RM - BABY RED BEETROOT 6 X 200G</v>
      </c>
      <c r="D370" s="1" t="s">
        <v>1343</v>
      </c>
      <c r="E370" s="1" t="s">
        <v>554</v>
      </c>
      <c r="F370" s="11">
        <f>VLOOKUP(B370,'RM Cost'!A:F,6,0)</f>
        <v>9.35</v>
      </c>
      <c r="I370">
        <f>I352/0.95</f>
        <v>363212.63157894736</v>
      </c>
    </row>
    <row r="371" spans="1:9" x14ac:dyDescent="0.25">
      <c r="A371" s="94" t="s">
        <v>4538</v>
      </c>
      <c r="B371" s="1" t="s">
        <v>1266</v>
      </c>
      <c r="C371" s="1" t="str">
        <f>VLOOKUP(B371,'RM Cost'!A:B,2,0)</f>
        <v>RM - SHALLOTS ROUND 5KG</v>
      </c>
      <c r="D371" s="1" t="s">
        <v>1343</v>
      </c>
      <c r="E371" s="1" t="s">
        <v>554</v>
      </c>
      <c r="F371" s="11">
        <f>VLOOKUP(B371,'RM Cost'!A:F,6,0)</f>
        <v>0.79</v>
      </c>
      <c r="I371">
        <f>I370-I352</f>
        <v>18160.631578947359</v>
      </c>
    </row>
    <row r="372" spans="1:9" x14ac:dyDescent="0.25">
      <c r="A372" t="s">
        <v>4539</v>
      </c>
      <c r="B372" t="s">
        <v>4516</v>
      </c>
      <c r="C372" s="1" t="e">
        <f>VLOOKUP(B372,'RM Cost'!A:B,2,0)</f>
        <v>#N/A</v>
      </c>
      <c r="D372" s="1" t="s">
        <v>1343</v>
      </c>
      <c r="E372" s="1" t="s">
        <v>554</v>
      </c>
      <c r="F372" s="11" t="e">
        <f>VLOOKUP(B372,'RM Cost'!A:F,6,0)</f>
        <v>#N/A</v>
      </c>
    </row>
    <row r="373" spans="1:9" x14ac:dyDescent="0.25">
      <c r="A373" t="s">
        <v>4540</v>
      </c>
      <c r="B373" s="1" t="s">
        <v>1778</v>
      </c>
      <c r="C373" s="1" t="str">
        <f>VLOOKUP(B373,'RM Cost'!A:B,2,0)</f>
        <v>RM - PREP ONION RED WHOLE 2.5KG</v>
      </c>
      <c r="D373" s="1" t="s">
        <v>1343</v>
      </c>
      <c r="E373" s="1" t="s">
        <v>554</v>
      </c>
      <c r="F373" s="11">
        <f>VLOOKUP(B373,'RM Cost'!A:F,6,0)</f>
        <v>1.08</v>
      </c>
    </row>
    <row r="374" spans="1:9" x14ac:dyDescent="0.25">
      <c r="A374" t="s">
        <v>4541</v>
      </c>
      <c r="B374" s="12" t="s">
        <v>1225</v>
      </c>
      <c r="C374" s="1" t="str">
        <f>VLOOKUP(B374,'RM Cost'!A:B,2,0)</f>
        <v>RM - BRUSSEL SPROUTS P/P 10X1KG</v>
      </c>
      <c r="D374" s="1" t="s">
        <v>1343</v>
      </c>
      <c r="E374" s="1" t="s">
        <v>554</v>
      </c>
      <c r="F374" s="11">
        <f>VLOOKUP(B374,'RM Cost'!A:F,6,0)</f>
        <v>0</v>
      </c>
    </row>
    <row r="375" spans="1:9" x14ac:dyDescent="0.25">
      <c r="A375" t="s">
        <v>4572</v>
      </c>
      <c r="B375" s="1" t="s">
        <v>1778</v>
      </c>
      <c r="C375" s="1" t="str">
        <f>VLOOKUP(B375,'RM Cost'!A:B,2,0)</f>
        <v>RM - PREP ONION RED WHOLE 2.5KG</v>
      </c>
      <c r="D375" s="1" t="s">
        <v>1343</v>
      </c>
      <c r="E375" s="1" t="s">
        <v>554</v>
      </c>
      <c r="F375" s="11">
        <f>VLOOKUP(B375,'RM Cost'!A:F,6,0)</f>
        <v>1.08</v>
      </c>
    </row>
    <row r="376" spans="1:9" x14ac:dyDescent="0.25">
      <c r="A376" t="s">
        <v>4625</v>
      </c>
      <c r="B376" s="1" t="s">
        <v>1147</v>
      </c>
      <c r="C376" s="1" t="str">
        <f>VLOOKUP(B376,'RM Cost'!A:B,2,0)</f>
        <v>RM - PAK CHOI X2KG</v>
      </c>
      <c r="D376" s="1" t="s">
        <v>1343</v>
      </c>
      <c r="E376" s="1" t="s">
        <v>554</v>
      </c>
      <c r="F376" s="11">
        <f>VLOOKUP(B376,'RM Cost'!A:F,6,0)</f>
        <v>1.81</v>
      </c>
      <c r="G376" s="4"/>
    </row>
    <row r="377" spans="1:9" x14ac:dyDescent="0.25">
      <c r="A377" t="s">
        <v>4631</v>
      </c>
      <c r="B377" t="s">
        <v>1199</v>
      </c>
      <c r="C377" t="s">
        <v>1200</v>
      </c>
      <c r="D377" s="1" t="s">
        <v>1343</v>
      </c>
      <c r="E377" s="1" t="s">
        <v>554</v>
      </c>
      <c r="F377" s="11">
        <f>VLOOKUP(B377,'RM Cost'!A:F,6,0)</f>
        <v>0.27</v>
      </c>
    </row>
    <row r="378" spans="1:9" x14ac:dyDescent="0.25">
      <c r="A378" t="s">
        <v>4636</v>
      </c>
      <c r="B378" s="1" t="s">
        <v>1289</v>
      </c>
      <c r="C378" s="1" t="str">
        <f>VLOOKUP(B378,'RM Cost'!A:B,2,0)</f>
        <v>RM - ARTICHOKES JERUSALEM  X5KG</v>
      </c>
      <c r="D378" s="1" t="s">
        <v>1343</v>
      </c>
      <c r="E378" s="1" t="s">
        <v>554</v>
      </c>
      <c r="F378" s="11">
        <f>VLOOKUP(B378,'RM Cost'!A:F,6,0)</f>
        <v>1.57</v>
      </c>
    </row>
    <row r="379" spans="1:9" x14ac:dyDescent="0.25">
      <c r="A379" t="s">
        <v>4647</v>
      </c>
      <c r="B379" s="1" t="s">
        <v>1713</v>
      </c>
      <c r="C379" s="1" t="str">
        <f>VLOOKUP(B379,'RM Cost'!A:B,2,0)</f>
        <v>RM - PROCESSING LEEKS 5KG</v>
      </c>
      <c r="D379" s="1" t="s">
        <v>1343</v>
      </c>
      <c r="E379" s="1" t="s">
        <v>554</v>
      </c>
      <c r="F379" s="11">
        <f>VLOOKUP(B379,'RM Cost'!A:F,6,0)</f>
        <v>1.05</v>
      </c>
    </row>
    <row r="380" spans="1:9" x14ac:dyDescent="0.25">
      <c r="A380" t="s">
        <v>4656</v>
      </c>
      <c r="B380" s="1" t="s">
        <v>1181</v>
      </c>
      <c r="C380" s="1" t="str">
        <f>VLOOKUP(B380,'RM Cost'!A:B,2,0)</f>
        <v>RM - AUBERGINE 5KG</v>
      </c>
      <c r="D380" s="1" t="s">
        <v>1343</v>
      </c>
      <c r="E380" s="1" t="s">
        <v>554</v>
      </c>
      <c r="F380" s="11">
        <f>VLOOKUP(B380,'RM Cost'!A:F,6,0)</f>
        <v>1.34</v>
      </c>
    </row>
    <row r="381" spans="1:9" x14ac:dyDescent="0.25">
      <c r="A381" t="s">
        <v>4657</v>
      </c>
      <c r="B381" s="1" t="s">
        <v>1228</v>
      </c>
      <c r="C381" s="1" t="str">
        <f>VLOOKUP(B381,'RM Cost'!A:B,2,0)</f>
        <v>RM - CELERIAC 10KG</v>
      </c>
      <c r="D381" s="1" t="s">
        <v>1343</v>
      </c>
      <c r="E381" s="1" t="s">
        <v>554</v>
      </c>
      <c r="F381" s="11">
        <f>VLOOKUP(B381,'RM Cost'!A:F,6,0)</f>
        <v>0.55000000000000004</v>
      </c>
    </row>
    <row r="382" spans="1:9" x14ac:dyDescent="0.25">
      <c r="A382" t="s">
        <v>4658</v>
      </c>
      <c r="B382" s="1" t="s">
        <v>1129</v>
      </c>
      <c r="C382" s="1" t="str">
        <f>VLOOKUP(B382,'RM Cost'!A:B,2,0)</f>
        <v>RM - COURGETTE STANDARD</v>
      </c>
      <c r="D382" s="1" t="s">
        <v>1343</v>
      </c>
      <c r="E382" s="1" t="s">
        <v>554</v>
      </c>
      <c r="F382" s="11">
        <f>VLOOKUP(B382,'RM Cost'!A:F,6,0)</f>
        <v>1.1000000000000001</v>
      </c>
    </row>
    <row r="383" spans="1:9" x14ac:dyDescent="0.25">
      <c r="A383" t="s">
        <v>4659</v>
      </c>
      <c r="B383" s="1" t="s">
        <v>1234</v>
      </c>
      <c r="C383" s="1" t="str">
        <f>VLOOKUP(B383,'RM Cost'!A:B,2,0)</f>
        <v>RM - FENNEL X5KG</v>
      </c>
      <c r="D383" s="1" t="s">
        <v>1343</v>
      </c>
      <c r="E383" s="1" t="s">
        <v>554</v>
      </c>
      <c r="F383" s="11">
        <f>VLOOKUP(B383,'RM Cost'!A:F,6,0)</f>
        <v>1.41</v>
      </c>
    </row>
    <row r="384" spans="1:9" x14ac:dyDescent="0.25">
      <c r="A384" t="s">
        <v>4666</v>
      </c>
      <c r="B384" t="s">
        <v>1321</v>
      </c>
      <c r="C384" s="1" t="str">
        <f>VLOOKUP(B384,'RM Cost'!A:B,2,0)</f>
        <v>HDPE TRAY 573</v>
      </c>
      <c r="D384" s="1" t="s">
        <v>1658</v>
      </c>
      <c r="E384" s="1" t="s">
        <v>595</v>
      </c>
      <c r="F384" s="11">
        <f>VLOOKUP(B384,'RM Cost'!A:F,6,0)</f>
        <v>0.57999999999999996</v>
      </c>
    </row>
    <row r="385" spans="1:6" x14ac:dyDescent="0.25">
      <c r="A385" t="s">
        <v>4667</v>
      </c>
      <c r="B385" t="s">
        <v>1769</v>
      </c>
      <c r="C385" s="1" t="str">
        <f>VLOOKUP(B385,'RM Cost'!A:B,2,0)</f>
        <v>FILM FOR HDPE TRAY 573</v>
      </c>
      <c r="D385" s="1" t="s">
        <v>1658</v>
      </c>
      <c r="E385" s="1" t="s">
        <v>595</v>
      </c>
      <c r="F385" s="11">
        <f>VLOOKUP(B385,'RM Cost'!A:F,6,0)</f>
        <v>0.05</v>
      </c>
    </row>
    <row r="386" spans="1:6" x14ac:dyDescent="0.25">
      <c r="A386" t="s">
        <v>4698</v>
      </c>
      <c r="B386" s="1" t="s">
        <v>4835</v>
      </c>
      <c r="C386" s="1" t="str">
        <f>VLOOKUP(B386,'RM Cost'!A:B,2,0)</f>
        <v>WHOLE LEAF CURLY KALE 5X1KG</v>
      </c>
      <c r="D386" s="1" t="s">
        <v>1343</v>
      </c>
      <c r="E386" s="1" t="s">
        <v>554</v>
      </c>
      <c r="F386" s="11">
        <f>VLOOKUP(B386,'RM Cost'!A:F,6,0)</f>
        <v>1.45</v>
      </c>
    </row>
    <row r="387" spans="1:6" x14ac:dyDescent="0.25">
      <c r="A387" t="s">
        <v>4699</v>
      </c>
      <c r="B387" t="s">
        <v>2051</v>
      </c>
      <c r="C387" s="65" t="str">
        <f>VLOOKUP(B387,'RM Cost'!A:B,2,0)</f>
        <v>MUSHROOMS FLAT LARGE 1.81KG</v>
      </c>
      <c r="D387" s="65" t="s">
        <v>1343</v>
      </c>
      <c r="E387" s="65" t="s">
        <v>554</v>
      </c>
      <c r="F387" s="11">
        <f>VLOOKUP(B387,'RM Cost'!A:F,6,0)</f>
        <v>1.97</v>
      </c>
    </row>
    <row r="388" spans="1:6" x14ac:dyDescent="0.25">
      <c r="A388" s="1" t="s">
        <v>4710</v>
      </c>
      <c r="B388" s="1" t="s">
        <v>1121</v>
      </c>
      <c r="C388" s="1" t="str">
        <f>VLOOKUP(B388,'RM Cost'!A:B,2,0)</f>
        <v>RM - PARSNIPS 10KG</v>
      </c>
      <c r="D388" s="1" t="s">
        <v>1343</v>
      </c>
      <c r="E388" s="1" t="s">
        <v>554</v>
      </c>
      <c r="F388" s="11">
        <f>VLOOKUP(B388,'RM Cost'!A:F,6,0)</f>
        <v>0.76</v>
      </c>
    </row>
    <row r="389" spans="1:6" x14ac:dyDescent="0.25">
      <c r="A389" s="1" t="s">
        <v>4714</v>
      </c>
      <c r="B389" s="1" t="s">
        <v>2468</v>
      </c>
      <c r="C389" s="1" t="str">
        <f>VLOOKUP(B389,'RM Cost'!A:B,2,0)</f>
        <v>RM - CHILLIES JALAPENO GREEN  X2KG</v>
      </c>
      <c r="D389" s="1" t="s">
        <v>1343</v>
      </c>
      <c r="E389" s="1" t="s">
        <v>554</v>
      </c>
      <c r="F389" s="11">
        <f>VLOOKUP(B389,'RM Cost'!A:F,6,0)</f>
        <v>3.9</v>
      </c>
    </row>
    <row r="390" spans="1:6" x14ac:dyDescent="0.25">
      <c r="A390" s="1" t="s">
        <v>4716</v>
      </c>
      <c r="B390" s="1" t="s">
        <v>1244</v>
      </c>
      <c r="C390" s="1" t="str">
        <f>VLOOKUP(B390,'RM Cost'!A:B,2,0)</f>
        <v>RM - MUSHROOM BUTTON 30-40M 3KG</v>
      </c>
      <c r="D390" s="1" t="s">
        <v>1343</v>
      </c>
      <c r="E390" s="1" t="s">
        <v>554</v>
      </c>
      <c r="F390" s="11">
        <f>VLOOKUP(B390,'RM Cost'!A:F,6,0)</f>
        <v>1.85</v>
      </c>
    </row>
    <row r="391" spans="1:6" x14ac:dyDescent="0.25">
      <c r="A391" s="1" t="s">
        <v>4717</v>
      </c>
      <c r="B391" s="1" t="s">
        <v>1246</v>
      </c>
      <c r="C391" s="1" t="str">
        <f>VLOOKUP(B391,'RM Cost'!A:B,2,0)</f>
        <v>RM - MUSHROOM CHESTNUT 35-40M 3KG</v>
      </c>
      <c r="D391" s="1" t="s">
        <v>1343</v>
      </c>
      <c r="E391" s="1" t="s">
        <v>554</v>
      </c>
      <c r="F391" s="11">
        <f>VLOOKUP(B391,'RM Cost'!A:F,6,0)</f>
        <v>2</v>
      </c>
    </row>
    <row r="392" spans="1:6" x14ac:dyDescent="0.25">
      <c r="A392" s="101" t="s">
        <v>4725</v>
      </c>
      <c r="B392" t="s">
        <v>1143</v>
      </c>
      <c r="C392" s="1" t="str">
        <f>VLOOKUP(B392,'RM Cost'!A:B,2,0)</f>
        <v>RM - ONIONS LARGE 20KG</v>
      </c>
      <c r="D392" s="1" t="s">
        <v>1343</v>
      </c>
      <c r="E392" s="1" t="s">
        <v>554</v>
      </c>
      <c r="F392" s="11">
        <f>VLOOKUP(B392,'RM Cost'!A:F,6,0)</f>
        <v>0.39</v>
      </c>
    </row>
    <row r="393" spans="1:6" x14ac:dyDescent="0.25">
      <c r="A393" s="101" t="s">
        <v>4722</v>
      </c>
      <c r="B393" t="s">
        <v>1264</v>
      </c>
      <c r="C393" s="1" t="str">
        <f>VLOOKUP(B393,'RM Cost'!A:B,2,0)</f>
        <v>RM - ONIONS RED LARGE 10KG</v>
      </c>
      <c r="D393" s="1" t="s">
        <v>1343</v>
      </c>
      <c r="E393" s="1" t="s">
        <v>554</v>
      </c>
      <c r="F393" s="11">
        <f>VLOOKUP(B393,'RM Cost'!A:F,6,0)</f>
        <v>0.54</v>
      </c>
    </row>
    <row r="394" spans="1:6" x14ac:dyDescent="0.25">
      <c r="A394" s="101" t="s">
        <v>4747</v>
      </c>
      <c r="B394" t="s">
        <v>4745</v>
      </c>
      <c r="C394" s="1" t="str">
        <f>VLOOKUP(B394,'RM Cost'!A:B,2,0)</f>
        <v>REY 40 30 BOX 4 in 1</v>
      </c>
      <c r="D394" s="1" t="s">
        <v>1658</v>
      </c>
      <c r="E394" s="1" t="s">
        <v>595</v>
      </c>
      <c r="F394" s="11">
        <f>VLOOKUP(B394,'RM Cost'!A:F,6,0)</f>
        <v>7.0000000000000007E-2</v>
      </c>
    </row>
    <row r="395" spans="1:6" x14ac:dyDescent="0.25">
      <c r="A395" t="s">
        <v>4754</v>
      </c>
      <c r="B395" s="1" t="s">
        <v>1131</v>
      </c>
      <c r="C395" s="1" t="str">
        <f>VLOOKUP(B395,'RM Cost'!A:B,2,0)</f>
        <v>RM - BROCCOLI 6KG</v>
      </c>
      <c r="D395" s="1" t="s">
        <v>1343</v>
      </c>
      <c r="E395" s="1" t="s">
        <v>554</v>
      </c>
      <c r="F395" s="11">
        <f>VLOOKUP(B395,'RM Cost'!A:F,6,0)</f>
        <v>1.02</v>
      </c>
    </row>
    <row r="396" spans="1:6" x14ac:dyDescent="0.25">
      <c r="A396" s="142" t="s">
        <v>4770</v>
      </c>
      <c r="B396" s="142" t="s">
        <v>3632</v>
      </c>
      <c r="C396" s="1" t="str">
        <f>VLOOKUP(B396,'RM Cost'!A:B,2,0)</f>
        <v>RM - APPLES GOLDEN DEL X 12 KG</v>
      </c>
      <c r="D396" s="1" t="s">
        <v>1343</v>
      </c>
      <c r="E396" s="1" t="s">
        <v>554</v>
      </c>
      <c r="F396" s="11">
        <f>VLOOKUP(B396,'RM Cost'!A:F,6,0)</f>
        <v>0</v>
      </c>
    </row>
    <row r="397" spans="1:6" x14ac:dyDescent="0.25">
      <c r="A397" s="1" t="s">
        <v>4771</v>
      </c>
      <c r="B397" s="142" t="s">
        <v>1157</v>
      </c>
      <c r="C397" s="1" t="str">
        <f>VLOOKUP(B397,'RM Cost'!A:B,2,0)</f>
        <v>RM - APPLES RED X 125/138</v>
      </c>
      <c r="D397" s="1" t="s">
        <v>1343</v>
      </c>
      <c r="E397" s="1" t="s">
        <v>554</v>
      </c>
      <c r="F397" s="11">
        <f>VLOOKUP(B397,'RM Cost'!A:F,6,0)</f>
        <v>1.1200000000000001</v>
      </c>
    </row>
    <row r="398" spans="1:6" x14ac:dyDescent="0.25">
      <c r="A398" s="143" t="s">
        <v>4772</v>
      </c>
      <c r="B398" t="s">
        <v>2347</v>
      </c>
      <c r="C398" s="1" t="str">
        <f>VLOOKUP(B398,'RM Cost'!A:B,2,0)</f>
        <v>RM – CHILLIES RED BULLET 250G</v>
      </c>
      <c r="D398" s="1" t="s">
        <v>1343</v>
      </c>
      <c r="E398" s="1" t="s">
        <v>554</v>
      </c>
      <c r="F398" s="11">
        <f>VLOOKUP(B398,'RM Cost'!A:F,6,0)</f>
        <v>0</v>
      </c>
    </row>
    <row r="399" spans="1:6" x14ac:dyDescent="0.25">
      <c r="A399" s="143" t="s">
        <v>4773</v>
      </c>
      <c r="B399" t="s">
        <v>2468</v>
      </c>
      <c r="C399" s="1" t="str">
        <f>VLOOKUP(B399,'RM Cost'!A:B,2,0)</f>
        <v>RM - CHILLIES JALAPENO GREEN  X2KG</v>
      </c>
      <c r="D399" s="1" t="s">
        <v>1343</v>
      </c>
      <c r="E399" s="1" t="s">
        <v>554</v>
      </c>
      <c r="F399" s="11">
        <f>VLOOKUP(B399,'RM Cost'!A:F,6,0)</f>
        <v>3.9</v>
      </c>
    </row>
    <row r="400" spans="1:6" x14ac:dyDescent="0.25">
      <c r="A400" s="143" t="s">
        <v>4774</v>
      </c>
      <c r="B400" t="s">
        <v>4776</v>
      </c>
      <c r="C400" s="1" t="str">
        <f>VLOOKUP(B400,'RM Cost'!A:B,2,0)</f>
        <v>RM - TINNED SWEETCORN</v>
      </c>
      <c r="D400" s="1" t="s">
        <v>1343</v>
      </c>
      <c r="E400" s="1" t="s">
        <v>554</v>
      </c>
      <c r="F400" s="11">
        <f>VLOOKUP(B400,'RM Cost'!A:F,6,0)</f>
        <v>1.31</v>
      </c>
    </row>
    <row r="401" spans="1:6" x14ac:dyDescent="0.25">
      <c r="A401" s="143" t="s">
        <v>4775</v>
      </c>
      <c r="B401" t="s">
        <v>2022</v>
      </c>
      <c r="C401" s="1" t="str">
        <f>VLOOKUP(B401,'RM Cost'!A:B,2,0)</f>
        <v>LEMON JUICE HPP 1 X 1LT</v>
      </c>
      <c r="D401" s="1" t="s">
        <v>1343</v>
      </c>
      <c r="E401" s="101" t="s">
        <v>981</v>
      </c>
      <c r="F401" s="11">
        <f>VLOOKUP(B401,'RM Cost'!A:F,6,0)</f>
        <v>0</v>
      </c>
    </row>
    <row r="402" spans="1:6" x14ac:dyDescent="0.25">
      <c r="A402" t="s">
        <v>4784</v>
      </c>
      <c r="B402" s="1" t="s">
        <v>4682</v>
      </c>
      <c r="C402" s="1" t="str">
        <f>VLOOKUP(B402,'RM Cost'!A:B,2,0)</f>
        <v>CARDYMA CHIPPING POTATOES 25KG</v>
      </c>
      <c r="D402" s="1" t="s">
        <v>1343</v>
      </c>
      <c r="E402" s="1" t="s">
        <v>554</v>
      </c>
      <c r="F402" s="11">
        <f>VLOOKUP(B402,'RM Cost'!A:F,6,0)</f>
        <v>0.55000000000000004</v>
      </c>
    </row>
    <row r="403" spans="1:6" x14ac:dyDescent="0.25">
      <c r="A403" t="s">
        <v>4793</v>
      </c>
      <c r="B403" s="1" t="s">
        <v>1219</v>
      </c>
      <c r="C403" s="1" t="str">
        <f>VLOOKUP(B403,'RM Cost'!A:B,2,0)</f>
        <v>RM - MARIS PIPER 25KG</v>
      </c>
      <c r="D403" s="1" t="s">
        <v>1343</v>
      </c>
      <c r="E403" s="1" t="s">
        <v>554</v>
      </c>
      <c r="F403" s="11">
        <f>VLOOKUP(B403,'RM Cost'!A:F,6,0)</f>
        <v>0.43</v>
      </c>
    </row>
    <row r="404" spans="1:6" x14ac:dyDescent="0.25">
      <c r="A404" t="s">
        <v>4794</v>
      </c>
      <c r="B404" s="1" t="s">
        <v>1151</v>
      </c>
      <c r="C404" s="1" t="str">
        <f>VLOOKUP(B404,'RM Cost'!A:B,2,0)</f>
        <v>RM - PINEAPPLE X 6</v>
      </c>
      <c r="D404" s="1" t="s">
        <v>1343</v>
      </c>
      <c r="E404" s="1" t="s">
        <v>554</v>
      </c>
      <c r="F404" s="11">
        <f>VLOOKUP(B404,'RM Cost'!A:F,6,0)</f>
        <v>0.7</v>
      </c>
    </row>
    <row r="405" spans="1:6" x14ac:dyDescent="0.25">
      <c r="A405" t="s">
        <v>4799</v>
      </c>
      <c r="B405" s="101" t="s">
        <v>1169</v>
      </c>
      <c r="C405" s="1" t="str">
        <f>VLOOKUP(B405,'RM Cost'!A:B,2,0)</f>
        <v>RM - LARGE MANGO 5/6</v>
      </c>
      <c r="D405" s="1" t="s">
        <v>1343</v>
      </c>
      <c r="E405" s="1" t="s">
        <v>554</v>
      </c>
      <c r="F405" s="11">
        <f>VLOOKUP(B405,'RM Cost'!A:F,6,0)</f>
        <v>2.0799999999999996</v>
      </c>
    </row>
    <row r="406" spans="1:6" x14ac:dyDescent="0.25">
      <c r="A406" t="s">
        <v>4800</v>
      </c>
      <c r="B406" s="101" t="s">
        <v>2029</v>
      </c>
      <c r="C406" s="1" t="str">
        <f>VLOOKUP(B406,'RM Cost'!A:B,2,0)</f>
        <v>LIME 6 EA</v>
      </c>
      <c r="D406" s="1" t="s">
        <v>1343</v>
      </c>
      <c r="E406" s="1" t="s">
        <v>554</v>
      </c>
      <c r="F406" s="11">
        <f>VLOOKUP(B406,'RM Cost'!A:F,6,0)</f>
        <v>1.67</v>
      </c>
    </row>
    <row r="407" spans="1:6" x14ac:dyDescent="0.25">
      <c r="A407" t="s">
        <v>4801</v>
      </c>
      <c r="B407" s="101" t="s">
        <v>1151</v>
      </c>
      <c r="C407" s="1" t="str">
        <f>VLOOKUP(B407,'RM Cost'!A:B,2,0)</f>
        <v>RM - PINEAPPLE X 6</v>
      </c>
      <c r="D407" s="1" t="s">
        <v>1343</v>
      </c>
      <c r="E407" s="1" t="s">
        <v>554</v>
      </c>
      <c r="F407" s="11">
        <f>VLOOKUP(B407,'RM Cost'!A:F,6,0)</f>
        <v>0.7</v>
      </c>
    </row>
    <row r="408" spans="1:6" x14ac:dyDescent="0.25">
      <c r="A408" s="1" t="s">
        <v>4802</v>
      </c>
      <c r="B408" s="101" t="s">
        <v>1167</v>
      </c>
      <c r="C408" s="1" t="str">
        <f>VLOOKUP(B408,'RM Cost'!A:B,2,0)</f>
        <v>RM - MELON ORANGE FLESH X 6</v>
      </c>
      <c r="D408" s="1" t="s">
        <v>1343</v>
      </c>
      <c r="E408" s="1" t="s">
        <v>554</v>
      </c>
      <c r="F408" s="11">
        <f>VLOOKUP(B408,'RM Cost'!A:F,6,0)</f>
        <v>1.32</v>
      </c>
    </row>
    <row r="409" spans="1:6" x14ac:dyDescent="0.25">
      <c r="A409" t="s">
        <v>4804</v>
      </c>
      <c r="B409" s="101" t="s">
        <v>1772</v>
      </c>
      <c r="C409" s="1" t="str">
        <f>VLOOKUP(B409,'RM Cost'!A:B,2,0)</f>
        <v>VACK PACK 360x520</v>
      </c>
      <c r="D409" s="1" t="s">
        <v>1658</v>
      </c>
      <c r="E409" s="1" t="s">
        <v>595</v>
      </c>
      <c r="F409" s="11">
        <f>VLOOKUP(B409,'RM Cost'!A:F,6,0)</f>
        <v>0.15</v>
      </c>
    </row>
    <row r="410" spans="1:6" x14ac:dyDescent="0.25">
      <c r="A410" t="s">
        <v>4815</v>
      </c>
      <c r="B410" s="101" t="s">
        <v>4814</v>
      </c>
      <c r="C410" s="1" t="str">
        <f>VLOOKUP(B410,'RM Cost'!A:B,2,0)</f>
        <v>REY 40 30 BOX 8 in 1</v>
      </c>
      <c r="D410" s="1" t="s">
        <v>1658</v>
      </c>
      <c r="E410" s="1" t="s">
        <v>595</v>
      </c>
      <c r="F410" s="11">
        <f>VLOOKUP(B410,'RM Cost'!A:F,6,0)</f>
        <v>3.5000000000000003E-2</v>
      </c>
    </row>
    <row r="411" spans="1:6" x14ac:dyDescent="0.25">
      <c r="A411" t="s">
        <v>4818</v>
      </c>
      <c r="B411" s="1" t="s">
        <v>1808</v>
      </c>
      <c r="C411" s="1" t="str">
        <f>VLOOKUP(B411,'RM Cost'!A:B,2,0)</f>
        <v>CABBAGE SWEETHEART (X14EA) CS</v>
      </c>
      <c r="D411" s="1" t="s">
        <v>1343</v>
      </c>
      <c r="E411" s="1" t="s">
        <v>554</v>
      </c>
      <c r="F411" s="11">
        <f>VLOOKUP(B411,'RM Cost'!A:F,6,0)</f>
        <v>1.34</v>
      </c>
    </row>
    <row r="412" spans="1:6" x14ac:dyDescent="0.25">
      <c r="A412" t="s">
        <v>4819</v>
      </c>
      <c r="B412" s="1" t="s">
        <v>4835</v>
      </c>
      <c r="C412" s="1" t="str">
        <f>VLOOKUP(B412,'RM Cost'!A:B,2,0)</f>
        <v>WHOLE LEAF CURLY KALE 5X1KG</v>
      </c>
      <c r="D412" s="1" t="s">
        <v>1343</v>
      </c>
      <c r="E412" s="1" t="s">
        <v>554</v>
      </c>
      <c r="F412" s="11">
        <f>VLOOKUP(B412,'RM Cost'!A:F,6,0)</f>
        <v>1.45</v>
      </c>
    </row>
    <row r="413" spans="1:6" x14ac:dyDescent="0.25">
      <c r="A413" t="s">
        <v>4820</v>
      </c>
      <c r="B413" s="1" t="s">
        <v>1277</v>
      </c>
      <c r="C413" s="1" t="str">
        <f>VLOOKUP(B413,'RM Cost'!A:B,2,0)</f>
        <v>RM - SUGAR SNAP 2KG</v>
      </c>
      <c r="D413" s="1" t="s">
        <v>1343</v>
      </c>
      <c r="E413" s="1" t="s">
        <v>554</v>
      </c>
      <c r="F413" s="11">
        <f>VLOOKUP(B413,'RM Cost'!A:F,6,0)</f>
        <v>3.37</v>
      </c>
    </row>
    <row r="414" spans="1:6" x14ac:dyDescent="0.25">
      <c r="A414" t="s">
        <v>4821</v>
      </c>
      <c r="B414" s="1" t="s">
        <v>1295</v>
      </c>
      <c r="C414" s="1" t="str">
        <f>VLOOKUP(B414,'RM Cost'!A:B,2,0)</f>
        <v>RM - KOHL RABI X 20EA</v>
      </c>
      <c r="D414" s="1" t="s">
        <v>1343</v>
      </c>
      <c r="E414" s="1" t="s">
        <v>554</v>
      </c>
      <c r="F414" s="11">
        <f>VLOOKUP(B414,'RM Cost'!A:F,6,0)</f>
        <v>2.2399999999999998</v>
      </c>
    </row>
    <row r="415" spans="1:6" x14ac:dyDescent="0.25">
      <c r="A415" t="s">
        <v>4822</v>
      </c>
      <c r="B415" s="1" t="s">
        <v>1147</v>
      </c>
      <c r="C415" s="1" t="str">
        <f>VLOOKUP(B415,'RM Cost'!A:B,2,0)</f>
        <v>RM - PAK CHOI X2KG</v>
      </c>
      <c r="D415" s="1" t="s">
        <v>1343</v>
      </c>
      <c r="E415" s="1" t="s">
        <v>554</v>
      </c>
      <c r="F415" s="11">
        <f>VLOOKUP(B415,'RM Cost'!A:F,6,0)</f>
        <v>1.81</v>
      </c>
    </row>
    <row r="416" spans="1:6" x14ac:dyDescent="0.25">
      <c r="A416" t="s">
        <v>4827</v>
      </c>
      <c r="B416" t="s">
        <v>1293</v>
      </c>
      <c r="C416" s="1" t="str">
        <f>VLOOKUP(B416,'RM Cost'!A:B,2,0)</f>
        <v>RM - BEETROOT RAW  X10KG</v>
      </c>
      <c r="D416" s="1" t="s">
        <v>1343</v>
      </c>
      <c r="E416" s="1" t="s">
        <v>554</v>
      </c>
      <c r="F416" s="11">
        <f>VLOOKUP(B416,'RM Cost'!A:F,6,0)</f>
        <v>0.47</v>
      </c>
    </row>
    <row r="417" spans="1:6" x14ac:dyDescent="0.25">
      <c r="A417" t="s">
        <v>4828</v>
      </c>
      <c r="B417" t="s">
        <v>1715</v>
      </c>
      <c r="C417" s="1" t="str">
        <f>VLOOKUP(B417,'RM Cost'!A:B,2,0)</f>
        <v>GOLDEN BEETROOT 1 X 5KG</v>
      </c>
      <c r="D417" s="1" t="s">
        <v>1343</v>
      </c>
      <c r="E417" s="1" t="s">
        <v>554</v>
      </c>
      <c r="F417" s="11">
        <f>VLOOKUP(B417,'RM Cost'!A:F,6,0)</f>
        <v>1.1000000000000001</v>
      </c>
    </row>
    <row r="418" spans="1:6" x14ac:dyDescent="0.25">
      <c r="A418" t="s">
        <v>4746</v>
      </c>
      <c r="B418" s="101" t="s">
        <v>4745</v>
      </c>
      <c r="C418" s="1" t="str">
        <f>VLOOKUP(B418,'RM Cost'!A:B,2,0)</f>
        <v>REY 40 30 BOX 4 in 1</v>
      </c>
      <c r="D418" s="1" t="s">
        <v>1343</v>
      </c>
      <c r="E418" s="1" t="s">
        <v>554</v>
      </c>
      <c r="F418" s="11">
        <f>VLOOKUP(B418,'RM Cost'!A:F,6,0)</f>
        <v>7.0000000000000007E-2</v>
      </c>
    </row>
    <row r="419" spans="1:6" x14ac:dyDescent="0.25">
      <c r="A419" t="s">
        <v>4845</v>
      </c>
      <c r="B419" s="146" t="s">
        <v>4846</v>
      </c>
      <c r="C419" s="1" t="str">
        <f>VLOOKUP(B419,'RM Cost'!A:B,2,0)</f>
        <v>RM - THOMSON POTATO</v>
      </c>
      <c r="D419" s="1" t="s">
        <v>1343</v>
      </c>
      <c r="E419" s="1" t="s">
        <v>554</v>
      </c>
      <c r="F419" s="11">
        <f>VLOOKUP(B419,'RM Cost'!A:F,6,0)</f>
        <v>0.24</v>
      </c>
    </row>
    <row r="420" spans="1:6" x14ac:dyDescent="0.25">
      <c r="A420" t="s">
        <v>4847</v>
      </c>
      <c r="B420" t="s">
        <v>4848</v>
      </c>
      <c r="C420" s="1" t="str">
        <f>VLOOKUP(B420,'RM Cost'!A:B,2,0)</f>
        <v>REY 40 30 BOX 2 in 1</v>
      </c>
      <c r="D420" t="s">
        <v>1658</v>
      </c>
      <c r="E420" t="s">
        <v>595</v>
      </c>
      <c r="F420" s="11">
        <f>VLOOKUP(B420,'RM Cost'!A:F,6,0)</f>
        <v>0</v>
      </c>
    </row>
    <row r="421" spans="1:6" x14ac:dyDescent="0.25">
      <c r="A421" t="s">
        <v>4850</v>
      </c>
      <c r="B421" s="1" t="s">
        <v>1153</v>
      </c>
      <c r="C421" s="1" t="str">
        <f>VLOOKUP(B421,'RM Cost'!A:B,2,0)</f>
        <v>RM - MELON YELLOW X 6EA</v>
      </c>
      <c r="D421" s="1" t="s">
        <v>1343</v>
      </c>
      <c r="E421" s="1" t="s">
        <v>554</v>
      </c>
      <c r="F421" s="11">
        <f>VLOOKUP(B421,'RM Cost'!A:F,6,0)</f>
        <v>0.81</v>
      </c>
    </row>
    <row r="422" spans="1:6" x14ac:dyDescent="0.25">
      <c r="A422" t="s">
        <v>4894</v>
      </c>
      <c r="B422" s="1" t="s">
        <v>1131</v>
      </c>
      <c r="C422" s="1" t="str">
        <f>VLOOKUP(B422,'RM Cost'!A:B,2,0)</f>
        <v>RM - BROCCOLI 6KG</v>
      </c>
      <c r="D422" s="1" t="s">
        <v>1343</v>
      </c>
      <c r="E422" s="1" t="s">
        <v>554</v>
      </c>
      <c r="F422" s="11">
        <f>VLOOKUP(B422,'RM Cost'!A:F,6,0)</f>
        <v>1.02</v>
      </c>
    </row>
    <row r="423" spans="1:6" x14ac:dyDescent="0.25">
      <c r="A423" t="s">
        <v>4907</v>
      </c>
      <c r="B423" s="1" t="s">
        <v>1805</v>
      </c>
      <c r="C423" s="1" t="str">
        <f>VLOOKUP(B423,'RM Cost'!A:B,2,0)</f>
        <v>SPRING GREENS</v>
      </c>
      <c r="D423" s="1" t="s">
        <v>1343</v>
      </c>
      <c r="E423" s="1" t="s">
        <v>554</v>
      </c>
      <c r="F423" s="11">
        <f>VLOOKUP(B423,'RM Cost'!A:F,6,0)</f>
        <v>1.3199999999999998</v>
      </c>
    </row>
  </sheetData>
  <autoFilter ref="A1:F422" xr:uid="{4DC9C72E-915A-4A22-BD49-3084E8B85C15}"/>
  <conditionalFormatting sqref="A53">
    <cfRule type="duplicateValues" dxfId="57" priority="11"/>
    <cfRule type="duplicateValues" dxfId="56" priority="12"/>
  </conditionalFormatting>
  <conditionalFormatting sqref="A84">
    <cfRule type="duplicateValues" dxfId="55" priority="9"/>
    <cfRule type="duplicateValues" dxfId="54" priority="10"/>
  </conditionalFormatting>
  <conditionalFormatting sqref="A317:A332">
    <cfRule type="duplicateValues" dxfId="53" priority="110"/>
  </conditionalFormatting>
  <conditionalFormatting sqref="A332 A317:A330">
    <cfRule type="duplicateValues" dxfId="52" priority="8"/>
  </conditionalFormatting>
  <conditionalFormatting sqref="A358">
    <cfRule type="duplicateValues" dxfId="51" priority="6"/>
  </conditionalFormatting>
  <conditionalFormatting sqref="A376">
    <cfRule type="duplicateValues" dxfId="50" priority="4"/>
  </conditionalFormatting>
  <conditionalFormatting sqref="A392:A395 A378 A384:A389 A1:A375 A402:A404 A409:A410 A416:A418 A421:A1048576">
    <cfRule type="duplicateValues" dxfId="49" priority="5"/>
  </conditionalFormatting>
  <conditionalFormatting sqref="A398:A401">
    <cfRule type="duplicateValues" dxfId="48" priority="3"/>
  </conditionalFormatting>
  <conditionalFormatting sqref="A408">
    <cfRule type="duplicateValues" dxfId="47" priority="2"/>
  </conditionalFormatting>
  <conditionalFormatting sqref="A419:A420">
    <cfRule type="duplicateValues" dxfId="4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116E-694B-44E3-915B-C4B252091159}">
  <sheetPr codeName="Sheet8">
    <tabColor rgb="FF00B0F0"/>
  </sheetPr>
  <dimension ref="A1:AC397"/>
  <sheetViews>
    <sheetView workbookViewId="0">
      <pane xSplit="4" ySplit="1" topLeftCell="E384" activePane="bottomRight" state="frozen"/>
      <selection activeCell="R144" sqref="R144"/>
      <selection pane="topRight" activeCell="R144" sqref="R144"/>
      <selection pane="bottomLeft" activeCell="R144" sqref="R144"/>
      <selection pane="bottomRight" activeCell="A397" sqref="A397"/>
    </sheetView>
  </sheetViews>
  <sheetFormatPr defaultRowHeight="15" x14ac:dyDescent="0.25"/>
  <cols>
    <col min="1" max="1" width="38.85546875" bestFit="1" customWidth="1"/>
    <col min="2" max="3" width="10.5703125" customWidth="1"/>
    <col min="4" max="4" width="11.85546875" customWidth="1"/>
    <col min="5" max="8" width="8.7109375" customWidth="1"/>
    <col min="9" max="9" width="24" customWidth="1"/>
    <col min="10" max="17" width="8.7109375" customWidth="1"/>
    <col min="18" max="18" width="24.28515625" customWidth="1"/>
    <col min="19" max="21" width="8.7109375" customWidth="1"/>
    <col min="22" max="22" width="10" bestFit="1" customWidth="1"/>
    <col min="23" max="24" width="10" customWidth="1"/>
    <col min="25" max="25" width="5.28515625" customWidth="1"/>
    <col min="26" max="26" width="5.42578125" customWidth="1"/>
    <col min="27" max="28" width="5.5703125" customWidth="1"/>
    <col min="29" max="29" width="8.7109375" customWidth="1"/>
  </cols>
  <sheetData>
    <row r="1" spans="1:29" ht="45" x14ac:dyDescent="0.25">
      <c r="A1" s="17" t="s">
        <v>1340</v>
      </c>
      <c r="B1" s="17" t="s">
        <v>1683</v>
      </c>
      <c r="C1" s="18" t="s">
        <v>1684</v>
      </c>
      <c r="D1" s="19" t="s">
        <v>1685</v>
      </c>
      <c r="E1" s="20" t="s">
        <v>656</v>
      </c>
      <c r="F1" s="20" t="s">
        <v>1686</v>
      </c>
      <c r="G1" s="20" t="s">
        <v>1687</v>
      </c>
      <c r="H1" s="20" t="s">
        <v>1688</v>
      </c>
      <c r="I1" s="20" t="s">
        <v>1689</v>
      </c>
      <c r="J1" s="20" t="s">
        <v>1690</v>
      </c>
      <c r="K1" s="20" t="s">
        <v>1676</v>
      </c>
      <c r="L1" s="20" t="s">
        <v>1691</v>
      </c>
      <c r="M1" s="20" t="s">
        <v>1692</v>
      </c>
      <c r="N1" s="21" t="s">
        <v>1693</v>
      </c>
      <c r="O1" s="21" t="s">
        <v>1686</v>
      </c>
      <c r="P1" s="21" t="s">
        <v>1687</v>
      </c>
      <c r="Q1" s="21" t="s">
        <v>1688</v>
      </c>
      <c r="R1" s="21" t="s">
        <v>1689</v>
      </c>
      <c r="S1" s="21" t="s">
        <v>1694</v>
      </c>
      <c r="T1" s="22" t="s">
        <v>1676</v>
      </c>
      <c r="U1" s="22" t="s">
        <v>1691</v>
      </c>
      <c r="V1" s="22" t="s">
        <v>1692</v>
      </c>
      <c r="W1" s="98" t="s">
        <v>4474</v>
      </c>
      <c r="X1" s="98" t="s">
        <v>4473</v>
      </c>
      <c r="Y1" s="54"/>
      <c r="Z1" s="54"/>
      <c r="AA1" s="54"/>
      <c r="AB1" s="54"/>
      <c r="AC1" s="54"/>
    </row>
    <row r="2" spans="1:29" x14ac:dyDescent="0.25">
      <c r="A2" s="1" t="s">
        <v>1382</v>
      </c>
      <c r="B2" s="1" t="s">
        <v>1695</v>
      </c>
      <c r="C2" s="23">
        <v>0.76402439024390245</v>
      </c>
      <c r="D2" s="11">
        <v>3.990422984836393</v>
      </c>
      <c r="E2" s="1"/>
      <c r="F2" s="1"/>
      <c r="G2" s="1"/>
      <c r="H2" s="1"/>
      <c r="I2" s="1"/>
      <c r="J2" s="1"/>
      <c r="K2" s="23">
        <v>1</v>
      </c>
      <c r="L2" s="11">
        <f>D2+J2</f>
        <v>3.990422984836393</v>
      </c>
      <c r="M2" s="23">
        <f>C2*K2</f>
        <v>0.76402439024390245</v>
      </c>
      <c r="N2" s="1" t="s">
        <v>1696</v>
      </c>
      <c r="O2" s="1" t="s">
        <v>1696</v>
      </c>
      <c r="P2" s="1" t="s">
        <v>1696</v>
      </c>
      <c r="Q2" s="1"/>
      <c r="R2" s="1" t="s">
        <v>1697</v>
      </c>
      <c r="S2" s="11">
        <v>5.2083333333333336E-2</v>
      </c>
      <c r="T2" s="23">
        <v>1</v>
      </c>
      <c r="U2" s="11">
        <f>S2+D2</f>
        <v>4.0425063181697265</v>
      </c>
      <c r="V2" s="24">
        <f>T2*C2</f>
        <v>0.76402439024390245</v>
      </c>
      <c r="W2" s="4"/>
      <c r="X2" s="54"/>
      <c r="Y2" s="34">
        <v>0.76402439024390245</v>
      </c>
      <c r="Z2" s="54">
        <v>3.990422984836393</v>
      </c>
      <c r="AA2" s="54" t="b">
        <f t="shared" ref="AA2:AA65" si="0">C2=Y2</f>
        <v>1</v>
      </c>
      <c r="AB2" s="54" t="b">
        <f t="shared" ref="AB2:AB65" si="1">D2=Z2</f>
        <v>1</v>
      </c>
      <c r="AC2" s="54" t="b">
        <f t="shared" ref="AC2:AC65" si="2">V2=M2</f>
        <v>1</v>
      </c>
    </row>
    <row r="3" spans="1:29" x14ac:dyDescent="0.25">
      <c r="A3" s="1" t="s">
        <v>1390</v>
      </c>
      <c r="B3" s="1" t="s">
        <v>1695</v>
      </c>
      <c r="C3" s="23">
        <v>0.76402439024390245</v>
      </c>
      <c r="D3" s="11">
        <v>3.990422984836393</v>
      </c>
      <c r="E3" s="1"/>
      <c r="F3" s="1"/>
      <c r="G3" s="1"/>
      <c r="H3" s="1"/>
      <c r="I3" s="1"/>
      <c r="J3" s="1"/>
      <c r="K3" s="23">
        <v>1</v>
      </c>
      <c r="L3" s="11">
        <f t="shared" ref="L3:L66" si="3">D3+J3</f>
        <v>3.990422984836393</v>
      </c>
      <c r="M3" s="23">
        <f t="shared" ref="M3:M66" si="4">C3*K3</f>
        <v>0.76402439024390245</v>
      </c>
      <c r="N3" s="1" t="s">
        <v>1696</v>
      </c>
      <c r="O3" s="1" t="s">
        <v>1696</v>
      </c>
      <c r="P3" s="1" t="s">
        <v>1696</v>
      </c>
      <c r="Q3" s="1"/>
      <c r="R3" s="1" t="s">
        <v>1697</v>
      </c>
      <c r="S3" s="11">
        <v>5.2083333333333336E-2</v>
      </c>
      <c r="T3" s="23">
        <v>1</v>
      </c>
      <c r="U3" s="11">
        <f t="shared" ref="U3:U66" si="5">S3+D3</f>
        <v>4.0425063181697265</v>
      </c>
      <c r="V3" s="24">
        <f t="shared" ref="V3:V66" si="6">T3*C3</f>
        <v>0.76402439024390245</v>
      </c>
      <c r="W3" s="4"/>
      <c r="X3" s="54"/>
      <c r="Y3" s="34">
        <v>0.76402439024390245</v>
      </c>
      <c r="Z3" s="54">
        <v>3.990422984836393</v>
      </c>
      <c r="AA3" s="54" t="b">
        <f t="shared" si="0"/>
        <v>1</v>
      </c>
      <c r="AB3" s="54" t="b">
        <f t="shared" si="1"/>
        <v>1</v>
      </c>
      <c r="AC3" s="54" t="b">
        <f t="shared" si="2"/>
        <v>1</v>
      </c>
    </row>
    <row r="4" spans="1:29" x14ac:dyDescent="0.25">
      <c r="A4" s="1" t="s">
        <v>1606</v>
      </c>
      <c r="B4" s="1" t="s">
        <v>1695</v>
      </c>
      <c r="C4" s="23">
        <v>0.61611374407582942</v>
      </c>
      <c r="D4" s="11">
        <v>8.9102564102564106</v>
      </c>
      <c r="E4" s="1"/>
      <c r="F4" s="1"/>
      <c r="G4" s="1"/>
      <c r="H4" s="1"/>
      <c r="I4" s="1"/>
      <c r="J4" s="1"/>
      <c r="K4" s="23">
        <v>1</v>
      </c>
      <c r="L4" s="11">
        <f t="shared" si="3"/>
        <v>8.9102564102564106</v>
      </c>
      <c r="M4" s="23">
        <f t="shared" si="4"/>
        <v>0.61611374407582942</v>
      </c>
      <c r="N4" s="1" t="s">
        <v>1696</v>
      </c>
      <c r="O4" s="1" t="s">
        <v>1696</v>
      </c>
      <c r="P4" s="1" t="s">
        <v>1696</v>
      </c>
      <c r="Q4" s="1"/>
      <c r="R4" s="1" t="s">
        <v>1697</v>
      </c>
      <c r="S4" s="11">
        <v>5.2083333333333336E-2</v>
      </c>
      <c r="T4" s="23">
        <v>1</v>
      </c>
      <c r="U4" s="11">
        <f t="shared" si="5"/>
        <v>8.9623397435897445</v>
      </c>
      <c r="V4" s="24">
        <f t="shared" si="6"/>
        <v>0.61611374407582942</v>
      </c>
      <c r="W4" s="4"/>
      <c r="X4" s="54"/>
      <c r="Y4" s="34">
        <v>0.61611374407582942</v>
      </c>
      <c r="Z4" s="54">
        <v>8.9102564102564106</v>
      </c>
      <c r="AA4" s="54" t="b">
        <f t="shared" si="0"/>
        <v>1</v>
      </c>
      <c r="AB4" s="54" t="b">
        <f t="shared" si="1"/>
        <v>1</v>
      </c>
      <c r="AC4" s="54" t="b">
        <f t="shared" si="2"/>
        <v>1</v>
      </c>
    </row>
    <row r="5" spans="1:29" x14ac:dyDescent="0.25">
      <c r="A5" s="25" t="s">
        <v>1656</v>
      </c>
      <c r="B5" s="25" t="s">
        <v>1879</v>
      </c>
      <c r="C5" s="23"/>
      <c r="D5" s="11"/>
      <c r="E5" s="1" t="s">
        <v>1696</v>
      </c>
      <c r="F5" s="1"/>
      <c r="G5" s="1" t="s">
        <v>1696</v>
      </c>
      <c r="H5" s="1"/>
      <c r="I5" s="1" t="s">
        <v>1698</v>
      </c>
      <c r="J5" s="1">
        <v>0.1</v>
      </c>
      <c r="K5" s="23">
        <v>1</v>
      </c>
      <c r="L5" s="11">
        <f t="shared" si="3"/>
        <v>0.1</v>
      </c>
      <c r="M5" s="23">
        <f t="shared" si="4"/>
        <v>0</v>
      </c>
      <c r="N5" s="1"/>
      <c r="O5" s="1"/>
      <c r="P5" s="1"/>
      <c r="Q5" s="1"/>
      <c r="R5" s="1"/>
      <c r="S5" s="1"/>
      <c r="T5" s="23">
        <v>1</v>
      </c>
      <c r="U5" s="11">
        <f t="shared" si="5"/>
        <v>0</v>
      </c>
      <c r="V5" s="24">
        <f t="shared" si="6"/>
        <v>0</v>
      </c>
      <c r="W5" s="4"/>
      <c r="X5" s="54"/>
      <c r="Y5" s="34">
        <v>0</v>
      </c>
      <c r="Z5" s="54">
        <v>0</v>
      </c>
      <c r="AA5" s="54" t="b">
        <f t="shared" si="0"/>
        <v>1</v>
      </c>
      <c r="AB5" s="54" t="b">
        <f t="shared" si="1"/>
        <v>1</v>
      </c>
      <c r="AC5" s="54" t="b">
        <f t="shared" si="2"/>
        <v>1</v>
      </c>
    </row>
    <row r="6" spans="1:29" x14ac:dyDescent="0.25">
      <c r="A6" s="1" t="s">
        <v>1597</v>
      </c>
      <c r="B6" s="1" t="s">
        <v>1695</v>
      </c>
      <c r="C6" s="23">
        <v>0.6298701298701298</v>
      </c>
      <c r="D6" s="11">
        <v>7.731958762886598</v>
      </c>
      <c r="E6" s="1" t="s">
        <v>1696</v>
      </c>
      <c r="F6" s="1"/>
      <c r="G6" s="1" t="s">
        <v>1696</v>
      </c>
      <c r="H6" s="1"/>
      <c r="I6" s="1" t="s">
        <v>1699</v>
      </c>
      <c r="J6" s="1">
        <v>0.1</v>
      </c>
      <c r="K6" s="23">
        <v>1</v>
      </c>
      <c r="L6" s="11">
        <f t="shared" si="3"/>
        <v>7.8319587628865976</v>
      </c>
      <c r="M6" s="23">
        <f t="shared" si="4"/>
        <v>0.6298701298701298</v>
      </c>
      <c r="N6" s="1"/>
      <c r="O6" s="1"/>
      <c r="P6" s="1"/>
      <c r="Q6" s="1"/>
      <c r="R6" s="1"/>
      <c r="S6" s="1"/>
      <c r="T6" s="23">
        <v>1</v>
      </c>
      <c r="U6" s="11">
        <f t="shared" si="5"/>
        <v>7.731958762886598</v>
      </c>
      <c r="V6" s="24">
        <f t="shared" si="6"/>
        <v>0.6298701298701298</v>
      </c>
      <c r="W6" s="4"/>
      <c r="X6" s="54"/>
      <c r="Y6" s="34">
        <v>0.6298701298701298</v>
      </c>
      <c r="Z6" s="54">
        <v>7.731958762886598</v>
      </c>
      <c r="AA6" s="54" t="b">
        <f t="shared" si="0"/>
        <v>1</v>
      </c>
      <c r="AB6" s="54" t="b">
        <f t="shared" si="1"/>
        <v>1</v>
      </c>
      <c r="AC6" s="54" t="b">
        <f t="shared" si="2"/>
        <v>1</v>
      </c>
    </row>
    <row r="7" spans="1:29" x14ac:dyDescent="0.25">
      <c r="A7" s="1" t="s">
        <v>1477</v>
      </c>
      <c r="B7" s="25" t="s">
        <v>1879</v>
      </c>
      <c r="C7" s="26">
        <v>0.3</v>
      </c>
      <c r="D7" s="11">
        <v>43</v>
      </c>
      <c r="E7" s="1" t="s">
        <v>1696</v>
      </c>
      <c r="F7" s="1"/>
      <c r="G7" s="1"/>
      <c r="H7" s="1"/>
      <c r="I7" s="1"/>
      <c r="J7" s="1"/>
      <c r="K7" s="23">
        <v>1</v>
      </c>
      <c r="L7" s="11">
        <f t="shared" si="3"/>
        <v>43</v>
      </c>
      <c r="M7" s="23">
        <f t="shared" si="4"/>
        <v>0.3</v>
      </c>
      <c r="N7" s="1"/>
      <c r="O7" s="1"/>
      <c r="P7" s="1"/>
      <c r="Q7" s="1"/>
      <c r="R7" s="1"/>
      <c r="S7" s="1"/>
      <c r="T7" s="23">
        <v>1</v>
      </c>
      <c r="U7" s="11">
        <f t="shared" si="5"/>
        <v>43</v>
      </c>
      <c r="V7" s="24">
        <f t="shared" si="6"/>
        <v>0.3</v>
      </c>
      <c r="W7" s="4"/>
      <c r="X7" s="54"/>
      <c r="Y7" s="34">
        <v>0</v>
      </c>
      <c r="Z7" s="54">
        <v>0</v>
      </c>
      <c r="AA7" s="54" t="b">
        <f t="shared" si="0"/>
        <v>0</v>
      </c>
      <c r="AB7" s="54" t="b">
        <f t="shared" si="1"/>
        <v>0</v>
      </c>
      <c r="AC7" s="54" t="b">
        <f t="shared" si="2"/>
        <v>1</v>
      </c>
    </row>
    <row r="8" spans="1:29" x14ac:dyDescent="0.25">
      <c r="A8" s="1" t="s">
        <v>1478</v>
      </c>
      <c r="B8" s="1" t="s">
        <v>1695</v>
      </c>
      <c r="C8" s="23">
        <v>0.75</v>
      </c>
      <c r="D8" s="11">
        <v>1.6666666666666667</v>
      </c>
      <c r="E8" s="1" t="s">
        <v>1696</v>
      </c>
      <c r="F8" s="1"/>
      <c r="G8" s="1" t="s">
        <v>1696</v>
      </c>
      <c r="H8" s="1"/>
      <c r="I8" s="1" t="s">
        <v>1698</v>
      </c>
      <c r="J8" s="1">
        <v>0.1</v>
      </c>
      <c r="K8" s="23">
        <v>1</v>
      </c>
      <c r="L8" s="11">
        <f t="shared" si="3"/>
        <v>1.7666666666666668</v>
      </c>
      <c r="M8" s="23">
        <f t="shared" si="4"/>
        <v>0.75</v>
      </c>
      <c r="N8" s="1"/>
      <c r="O8" s="1"/>
      <c r="P8" s="1"/>
      <c r="Q8" s="1"/>
      <c r="R8" s="1"/>
      <c r="S8" s="1"/>
      <c r="T8" s="23">
        <v>1</v>
      </c>
      <c r="U8" s="11">
        <f t="shared" si="5"/>
        <v>1.6666666666666667</v>
      </c>
      <c r="V8" s="24">
        <f t="shared" si="6"/>
        <v>0.75</v>
      </c>
      <c r="W8" s="4">
        <v>1.77</v>
      </c>
      <c r="X8" s="54">
        <v>0.75</v>
      </c>
      <c r="Y8" s="34">
        <v>0.75</v>
      </c>
      <c r="Z8" s="54">
        <v>1.6666666666666667</v>
      </c>
      <c r="AA8" s="54" t="b">
        <f t="shared" si="0"/>
        <v>1</v>
      </c>
      <c r="AB8" s="54" t="b">
        <f t="shared" si="1"/>
        <v>1</v>
      </c>
      <c r="AC8" s="54" t="b">
        <f t="shared" si="2"/>
        <v>1</v>
      </c>
    </row>
    <row r="9" spans="1:29" x14ac:dyDescent="0.25">
      <c r="A9" s="1" t="s">
        <v>1425</v>
      </c>
      <c r="B9" s="1" t="s">
        <v>1695</v>
      </c>
      <c r="C9" s="23">
        <v>0.75</v>
      </c>
      <c r="D9" s="11">
        <v>2.2222222222222223</v>
      </c>
      <c r="E9" s="1" t="s">
        <v>1696</v>
      </c>
      <c r="F9" s="1"/>
      <c r="G9" s="1" t="s">
        <v>1696</v>
      </c>
      <c r="H9" s="1"/>
      <c r="I9" s="1" t="s">
        <v>1698</v>
      </c>
      <c r="J9" s="1">
        <v>0.1</v>
      </c>
      <c r="K9" s="23">
        <v>1</v>
      </c>
      <c r="L9" s="11">
        <f t="shared" si="3"/>
        <v>2.3222222222222224</v>
      </c>
      <c r="M9" s="23">
        <f t="shared" si="4"/>
        <v>0.75</v>
      </c>
      <c r="N9" s="1"/>
      <c r="O9" s="1"/>
      <c r="P9" s="1"/>
      <c r="Q9" s="1"/>
      <c r="R9" s="1"/>
      <c r="S9" s="1"/>
      <c r="T9" s="23">
        <v>1</v>
      </c>
      <c r="U9" s="11">
        <f t="shared" si="5"/>
        <v>2.2222222222222223</v>
      </c>
      <c r="V9" s="24">
        <f t="shared" si="6"/>
        <v>0.75</v>
      </c>
      <c r="W9" s="4">
        <v>2.3199999999999998</v>
      </c>
      <c r="X9" s="54">
        <v>0.75</v>
      </c>
      <c r="Y9" s="34">
        <v>0.75</v>
      </c>
      <c r="Z9" s="54">
        <v>2.2222222222222223</v>
      </c>
      <c r="AA9" s="54" t="b">
        <f t="shared" si="0"/>
        <v>1</v>
      </c>
      <c r="AB9" s="54" t="b">
        <f t="shared" si="1"/>
        <v>1</v>
      </c>
      <c r="AC9" s="54" t="b">
        <f t="shared" si="2"/>
        <v>1</v>
      </c>
    </row>
    <row r="10" spans="1:29" x14ac:dyDescent="0.25">
      <c r="A10" s="1" t="s">
        <v>1400</v>
      </c>
      <c r="B10" s="1" t="s">
        <v>1695</v>
      </c>
      <c r="C10" s="23">
        <v>0.8</v>
      </c>
      <c r="D10" s="11">
        <v>2.3958333333333335</v>
      </c>
      <c r="E10" s="1"/>
      <c r="F10" s="1"/>
      <c r="G10" s="1"/>
      <c r="H10" s="1"/>
      <c r="I10" s="1"/>
      <c r="J10" s="1"/>
      <c r="K10" s="23">
        <v>1</v>
      </c>
      <c r="L10" s="11">
        <f t="shared" si="3"/>
        <v>2.3958333333333335</v>
      </c>
      <c r="M10" s="23">
        <f t="shared" si="4"/>
        <v>0.8</v>
      </c>
      <c r="N10" s="1" t="s">
        <v>1696</v>
      </c>
      <c r="O10" s="1"/>
      <c r="P10" s="1" t="s">
        <v>1696</v>
      </c>
      <c r="Q10" s="1"/>
      <c r="R10" s="1" t="s">
        <v>1698</v>
      </c>
      <c r="S10" s="1">
        <v>0.1</v>
      </c>
      <c r="T10" s="23">
        <v>1</v>
      </c>
      <c r="U10" s="11">
        <f t="shared" si="5"/>
        <v>2.4958333333333336</v>
      </c>
      <c r="V10" s="24">
        <f t="shared" si="6"/>
        <v>0.8</v>
      </c>
      <c r="W10" s="4"/>
      <c r="X10" s="54"/>
      <c r="Y10" s="34">
        <v>0.8</v>
      </c>
      <c r="Z10" s="54">
        <v>2.3958333333333335</v>
      </c>
      <c r="AA10" s="54" t="b">
        <f t="shared" si="0"/>
        <v>1</v>
      </c>
      <c r="AB10" s="54" t="b">
        <f t="shared" si="1"/>
        <v>1</v>
      </c>
      <c r="AC10" s="54" t="b">
        <f t="shared" si="2"/>
        <v>1</v>
      </c>
    </row>
    <row r="11" spans="1:29" x14ac:dyDescent="0.25">
      <c r="A11" s="1" t="s">
        <v>1407</v>
      </c>
      <c r="B11" s="1" t="s">
        <v>1695</v>
      </c>
      <c r="C11" s="23">
        <v>0.8</v>
      </c>
      <c r="D11" s="11">
        <v>1.5625</v>
      </c>
      <c r="E11" s="1"/>
      <c r="F11" s="1"/>
      <c r="G11" s="1"/>
      <c r="H11" s="1"/>
      <c r="I11" s="1"/>
      <c r="J11" s="1"/>
      <c r="K11" s="23">
        <v>1</v>
      </c>
      <c r="L11" s="11">
        <f t="shared" si="3"/>
        <v>1.5625</v>
      </c>
      <c r="M11" s="23">
        <f t="shared" si="4"/>
        <v>0.8</v>
      </c>
      <c r="N11" s="1" t="s">
        <v>1696</v>
      </c>
      <c r="O11" s="1"/>
      <c r="P11" s="1" t="s">
        <v>1696</v>
      </c>
      <c r="Q11" s="1"/>
      <c r="R11" s="1" t="s">
        <v>1698</v>
      </c>
      <c r="S11" s="1">
        <v>0.1</v>
      </c>
      <c r="T11" s="23">
        <v>1</v>
      </c>
      <c r="U11" s="11">
        <f t="shared" si="5"/>
        <v>1.6625000000000001</v>
      </c>
      <c r="V11" s="24">
        <f t="shared" si="6"/>
        <v>0.8</v>
      </c>
      <c r="W11" s="4"/>
      <c r="X11" s="54"/>
      <c r="Y11" s="34">
        <v>0.8</v>
      </c>
      <c r="Z11" s="54">
        <v>1.5625</v>
      </c>
      <c r="AA11" s="54" t="b">
        <f t="shared" si="0"/>
        <v>1</v>
      </c>
      <c r="AB11" s="54" t="b">
        <f t="shared" si="1"/>
        <v>1</v>
      </c>
      <c r="AC11" s="54" t="b">
        <f t="shared" si="2"/>
        <v>1</v>
      </c>
    </row>
    <row r="12" spans="1:29" x14ac:dyDescent="0.25">
      <c r="A12" s="25" t="s">
        <v>1479</v>
      </c>
      <c r="B12" s="25" t="s">
        <v>1879</v>
      </c>
      <c r="C12" s="23"/>
      <c r="D12" s="11"/>
      <c r="E12" s="1" t="s">
        <v>1696</v>
      </c>
      <c r="F12" s="1"/>
      <c r="G12" s="1" t="s">
        <v>1696</v>
      </c>
      <c r="H12" s="1"/>
      <c r="I12" s="1" t="s">
        <v>1698</v>
      </c>
      <c r="J12" s="1">
        <v>0.1</v>
      </c>
      <c r="K12" s="23">
        <v>1</v>
      </c>
      <c r="L12" s="11">
        <f t="shared" si="3"/>
        <v>0.1</v>
      </c>
      <c r="M12" s="23">
        <f t="shared" si="4"/>
        <v>0</v>
      </c>
      <c r="N12" s="1"/>
      <c r="O12" s="1"/>
      <c r="P12" s="1"/>
      <c r="Q12" s="1"/>
      <c r="R12" s="1"/>
      <c r="S12" s="1"/>
      <c r="T12" s="23">
        <v>1</v>
      </c>
      <c r="U12" s="11">
        <f t="shared" si="5"/>
        <v>0</v>
      </c>
      <c r="V12" s="24">
        <f t="shared" si="6"/>
        <v>0</v>
      </c>
      <c r="W12" s="4"/>
      <c r="X12" s="54"/>
      <c r="Y12" s="34">
        <v>0</v>
      </c>
      <c r="Z12" s="54">
        <v>0</v>
      </c>
      <c r="AA12" s="54" t="b">
        <f t="shared" si="0"/>
        <v>1</v>
      </c>
      <c r="AB12" s="54" t="b">
        <f t="shared" si="1"/>
        <v>1</v>
      </c>
      <c r="AC12" s="54" t="b">
        <f t="shared" si="2"/>
        <v>1</v>
      </c>
    </row>
    <row r="13" spans="1:29" x14ac:dyDescent="0.25">
      <c r="A13" s="1" t="s">
        <v>1395</v>
      </c>
      <c r="B13" s="1" t="s">
        <v>1695</v>
      </c>
      <c r="C13" s="23">
        <v>1</v>
      </c>
      <c r="D13" s="11">
        <v>0</v>
      </c>
      <c r="E13" s="1"/>
      <c r="F13" s="1"/>
      <c r="G13" s="1"/>
      <c r="H13" s="1"/>
      <c r="I13" s="1"/>
      <c r="J13" s="1"/>
      <c r="K13" s="23">
        <v>1</v>
      </c>
      <c r="L13" s="11">
        <f t="shared" si="3"/>
        <v>0</v>
      </c>
      <c r="M13" s="23">
        <f t="shared" si="4"/>
        <v>1</v>
      </c>
      <c r="N13" s="1" t="s">
        <v>1696</v>
      </c>
      <c r="O13" s="1"/>
      <c r="P13" s="1"/>
      <c r="Q13" s="1"/>
      <c r="R13" s="1"/>
      <c r="S13" s="1"/>
      <c r="T13" s="23">
        <v>1</v>
      </c>
      <c r="U13" s="11">
        <f t="shared" si="5"/>
        <v>0</v>
      </c>
      <c r="V13" s="24">
        <f t="shared" si="6"/>
        <v>1</v>
      </c>
      <c r="W13" s="4"/>
      <c r="X13" s="54"/>
      <c r="Y13" s="34">
        <v>1</v>
      </c>
      <c r="Z13" s="54">
        <v>0</v>
      </c>
      <c r="AA13" s="54" t="b">
        <f t="shared" si="0"/>
        <v>1</v>
      </c>
      <c r="AB13" s="54" t="b">
        <f t="shared" si="1"/>
        <v>1</v>
      </c>
      <c r="AC13" s="54" t="b">
        <f t="shared" si="2"/>
        <v>1</v>
      </c>
    </row>
    <row r="14" spans="1:29" x14ac:dyDescent="0.25">
      <c r="A14" s="1" t="s">
        <v>1596</v>
      </c>
      <c r="B14" s="1" t="s">
        <v>1695</v>
      </c>
      <c r="C14" s="23">
        <v>0.72599999999999998</v>
      </c>
      <c r="D14" s="11">
        <v>26.170798898071627</v>
      </c>
      <c r="E14" s="1" t="s">
        <v>1696</v>
      </c>
      <c r="F14" s="1"/>
      <c r="G14" s="1"/>
      <c r="H14" s="1"/>
      <c r="I14" s="1"/>
      <c r="J14" s="1"/>
      <c r="K14" s="23">
        <v>1</v>
      </c>
      <c r="L14" s="11">
        <f t="shared" si="3"/>
        <v>26.170798898071627</v>
      </c>
      <c r="M14" s="23">
        <f t="shared" si="4"/>
        <v>0.72599999999999998</v>
      </c>
      <c r="N14" s="1"/>
      <c r="O14" s="1"/>
      <c r="P14" s="1"/>
      <c r="Q14" s="1"/>
      <c r="R14" s="1"/>
      <c r="S14" s="1"/>
      <c r="T14" s="23">
        <v>1</v>
      </c>
      <c r="U14" s="11">
        <f t="shared" si="5"/>
        <v>26.170798898071627</v>
      </c>
      <c r="V14" s="24">
        <f t="shared" si="6"/>
        <v>0.72599999999999998</v>
      </c>
      <c r="W14" s="4"/>
      <c r="X14" s="54"/>
      <c r="Y14" s="34">
        <v>0.72599999999999998</v>
      </c>
      <c r="Z14" s="54">
        <v>26.170798898071627</v>
      </c>
      <c r="AA14" s="54" t="b">
        <f t="shared" si="0"/>
        <v>1</v>
      </c>
      <c r="AB14" s="54" t="b">
        <f t="shared" si="1"/>
        <v>1</v>
      </c>
      <c r="AC14" s="54" t="b">
        <f t="shared" si="2"/>
        <v>1</v>
      </c>
    </row>
    <row r="15" spans="1:29" x14ac:dyDescent="0.25">
      <c r="A15" s="1" t="s">
        <v>1473</v>
      </c>
      <c r="B15" s="1" t="s">
        <v>1695</v>
      </c>
      <c r="C15" s="23">
        <v>0.7</v>
      </c>
      <c r="D15" s="11">
        <v>18.428571428571431</v>
      </c>
      <c r="E15" s="1" t="s">
        <v>1696</v>
      </c>
      <c r="F15" s="1"/>
      <c r="G15" s="1"/>
      <c r="H15" s="1"/>
      <c r="I15" s="1"/>
      <c r="J15" s="1"/>
      <c r="K15" s="23">
        <v>1</v>
      </c>
      <c r="L15" s="11">
        <f t="shared" si="3"/>
        <v>18.428571428571431</v>
      </c>
      <c r="M15" s="23">
        <f t="shared" si="4"/>
        <v>0.7</v>
      </c>
      <c r="N15" s="1"/>
      <c r="O15" s="1"/>
      <c r="P15" s="1"/>
      <c r="Q15" s="1"/>
      <c r="R15" s="1"/>
      <c r="S15" s="1"/>
      <c r="T15" s="23">
        <v>1</v>
      </c>
      <c r="U15" s="11">
        <f t="shared" si="5"/>
        <v>18.428571428571431</v>
      </c>
      <c r="V15" s="24">
        <f t="shared" si="6"/>
        <v>0.7</v>
      </c>
      <c r="W15" s="4">
        <v>18.43</v>
      </c>
      <c r="X15" s="54">
        <v>0.7</v>
      </c>
      <c r="Y15" s="34">
        <v>0.62</v>
      </c>
      <c r="Z15" s="54">
        <v>20.806451612903228</v>
      </c>
      <c r="AA15" s="54" t="b">
        <f t="shared" si="0"/>
        <v>0</v>
      </c>
      <c r="AB15" s="54" t="b">
        <f t="shared" si="1"/>
        <v>0</v>
      </c>
      <c r="AC15" s="54" t="b">
        <f t="shared" si="2"/>
        <v>1</v>
      </c>
    </row>
    <row r="16" spans="1:29" x14ac:dyDescent="0.25">
      <c r="A16" s="1" t="s">
        <v>1445</v>
      </c>
      <c r="B16" s="1" t="s">
        <v>1695</v>
      </c>
      <c r="C16" s="133">
        <v>0.77</v>
      </c>
      <c r="D16" s="119">
        <v>1.4</v>
      </c>
      <c r="E16" s="1"/>
      <c r="F16" s="1"/>
      <c r="G16" s="1"/>
      <c r="H16" s="1"/>
      <c r="I16" s="1"/>
      <c r="J16" s="1"/>
      <c r="K16" s="23">
        <v>1</v>
      </c>
      <c r="L16" s="11">
        <f t="shared" si="3"/>
        <v>1.4</v>
      </c>
      <c r="M16" s="23">
        <f t="shared" si="4"/>
        <v>0.77</v>
      </c>
      <c r="N16" s="1" t="s">
        <v>1696</v>
      </c>
      <c r="O16" s="1"/>
      <c r="P16" s="1" t="s">
        <v>1696</v>
      </c>
      <c r="Q16" s="1" t="s">
        <v>1696</v>
      </c>
      <c r="R16" s="1" t="s">
        <v>1700</v>
      </c>
      <c r="S16" s="1">
        <v>0.2</v>
      </c>
      <c r="T16" s="23">
        <v>0.92</v>
      </c>
      <c r="U16" s="11">
        <f t="shared" si="5"/>
        <v>1.5999999999999999</v>
      </c>
      <c r="V16" s="24">
        <f t="shared" si="6"/>
        <v>0.70840000000000003</v>
      </c>
      <c r="W16" s="4"/>
      <c r="X16" s="54"/>
      <c r="Y16" s="34">
        <v>0.40424999999999994</v>
      </c>
      <c r="Z16" s="54">
        <v>4.4166151309008459</v>
      </c>
      <c r="AA16" s="54" t="b">
        <f t="shared" si="0"/>
        <v>0</v>
      </c>
      <c r="AB16" s="54" t="b">
        <f t="shared" si="1"/>
        <v>0</v>
      </c>
      <c r="AC16" s="54" t="b">
        <f t="shared" si="2"/>
        <v>0</v>
      </c>
    </row>
    <row r="17" spans="1:29" x14ac:dyDescent="0.25">
      <c r="A17" s="1" t="s">
        <v>1594</v>
      </c>
      <c r="B17" s="1" t="s">
        <v>1695</v>
      </c>
      <c r="C17" s="23">
        <v>0.78571428571428581</v>
      </c>
      <c r="D17" s="11">
        <v>21.818181818181817</v>
      </c>
      <c r="E17" s="1" t="s">
        <v>1696</v>
      </c>
      <c r="F17" s="1"/>
      <c r="G17" s="1" t="s">
        <v>1696</v>
      </c>
      <c r="H17" s="1"/>
      <c r="I17" s="1" t="s">
        <v>1698</v>
      </c>
      <c r="J17" s="1">
        <v>0.1</v>
      </c>
      <c r="K17" s="23">
        <v>1</v>
      </c>
      <c r="L17" s="11">
        <f t="shared" si="3"/>
        <v>21.918181818181818</v>
      </c>
      <c r="M17" s="23">
        <f t="shared" si="4"/>
        <v>0.78571428571428581</v>
      </c>
      <c r="N17" s="1"/>
      <c r="O17" s="1"/>
      <c r="P17" s="1"/>
      <c r="Q17" s="1"/>
      <c r="R17" s="1"/>
      <c r="S17" s="1"/>
      <c r="T17" s="23">
        <v>1</v>
      </c>
      <c r="U17" s="11">
        <f t="shared" si="5"/>
        <v>21.818181818181817</v>
      </c>
      <c r="V17" s="24">
        <f t="shared" si="6"/>
        <v>0.78571428571428581</v>
      </c>
      <c r="W17" s="4"/>
      <c r="X17" s="54"/>
      <c r="Y17" s="34">
        <v>0.78571428571428581</v>
      </c>
      <c r="Z17" s="54">
        <v>21.818181818181817</v>
      </c>
      <c r="AA17" s="54" t="b">
        <f t="shared" si="0"/>
        <v>1</v>
      </c>
      <c r="AB17" s="54" t="b">
        <f t="shared" si="1"/>
        <v>1</v>
      </c>
      <c r="AC17" s="54" t="b">
        <f t="shared" si="2"/>
        <v>1</v>
      </c>
    </row>
    <row r="18" spans="1:29" x14ac:dyDescent="0.25">
      <c r="A18" s="1" t="s">
        <v>1611</v>
      </c>
      <c r="B18" s="1" t="s">
        <v>1695</v>
      </c>
      <c r="C18" s="23">
        <v>0.33333333333333337</v>
      </c>
      <c r="D18" s="11">
        <v>3.0555555555555554</v>
      </c>
      <c r="E18" s="1"/>
      <c r="F18" s="1"/>
      <c r="G18" s="1"/>
      <c r="H18" s="1"/>
      <c r="I18" s="1"/>
      <c r="J18" s="1"/>
      <c r="K18" s="23">
        <v>1</v>
      </c>
      <c r="L18" s="11">
        <f t="shared" si="3"/>
        <v>3.0555555555555554</v>
      </c>
      <c r="M18" s="23">
        <f t="shared" si="4"/>
        <v>0.33333333333333337</v>
      </c>
      <c r="N18" s="1" t="s">
        <v>1696</v>
      </c>
      <c r="O18" s="1"/>
      <c r="P18" s="1"/>
      <c r="Q18" s="1"/>
      <c r="R18" s="1"/>
      <c r="S18" s="1"/>
      <c r="T18" s="23">
        <v>1</v>
      </c>
      <c r="U18" s="11">
        <f t="shared" si="5"/>
        <v>3.0555555555555554</v>
      </c>
      <c r="V18" s="24">
        <f t="shared" si="6"/>
        <v>0.33333333333333337</v>
      </c>
      <c r="W18" s="4"/>
      <c r="X18" s="54"/>
      <c r="Y18" s="34">
        <v>0.33333333333333337</v>
      </c>
      <c r="Z18" s="54">
        <v>3.0555555555555554</v>
      </c>
      <c r="AA18" s="54" t="b">
        <f t="shared" si="0"/>
        <v>1</v>
      </c>
      <c r="AB18" s="54" t="b">
        <f t="shared" si="1"/>
        <v>1</v>
      </c>
      <c r="AC18" s="54" t="b">
        <f t="shared" si="2"/>
        <v>1</v>
      </c>
    </row>
    <row r="19" spans="1:29" x14ac:dyDescent="0.25">
      <c r="A19" s="1" t="s">
        <v>1602</v>
      </c>
      <c r="B19" s="1" t="s">
        <v>1695</v>
      </c>
      <c r="C19" s="23">
        <v>0.37823834196891187</v>
      </c>
      <c r="D19" s="33">
        <v>5.0999999999999996</v>
      </c>
      <c r="E19" s="1" t="s">
        <v>1696</v>
      </c>
      <c r="F19" s="1"/>
      <c r="G19" s="1" t="s">
        <v>1696</v>
      </c>
      <c r="H19" s="1"/>
      <c r="I19" s="1" t="s">
        <v>1700</v>
      </c>
      <c r="J19" s="1">
        <v>0.1</v>
      </c>
      <c r="K19" s="23">
        <v>1</v>
      </c>
      <c r="L19" s="11">
        <f t="shared" si="3"/>
        <v>5.1999999999999993</v>
      </c>
      <c r="M19" s="23">
        <f t="shared" si="4"/>
        <v>0.37823834196891187</v>
      </c>
      <c r="N19" s="1"/>
      <c r="O19" s="1"/>
      <c r="P19" s="1"/>
      <c r="Q19" s="1"/>
      <c r="R19" s="1"/>
      <c r="S19" s="1"/>
      <c r="T19" s="23">
        <v>1</v>
      </c>
      <c r="U19" s="11">
        <f t="shared" si="5"/>
        <v>5.0999999999999996</v>
      </c>
      <c r="V19" s="24">
        <f t="shared" si="6"/>
        <v>0.37823834196891187</v>
      </c>
      <c r="W19" s="4"/>
      <c r="X19" s="54"/>
      <c r="Y19" s="34">
        <v>0.37823834196891187</v>
      </c>
      <c r="Z19" s="54">
        <v>4.9315068493150687</v>
      </c>
      <c r="AA19" s="54" t="b">
        <f t="shared" si="0"/>
        <v>1</v>
      </c>
      <c r="AB19" s="54" t="b">
        <f t="shared" si="1"/>
        <v>0</v>
      </c>
      <c r="AC19" s="54" t="b">
        <f t="shared" si="2"/>
        <v>1</v>
      </c>
    </row>
    <row r="20" spans="1:29" x14ac:dyDescent="0.25">
      <c r="A20" s="1" t="s">
        <v>1620</v>
      </c>
      <c r="B20" s="1" t="s">
        <v>1695</v>
      </c>
      <c r="C20" s="29">
        <v>0.8571428571428571</v>
      </c>
      <c r="D20" s="33">
        <v>3.3</v>
      </c>
      <c r="E20" s="1" t="s">
        <v>1696</v>
      </c>
      <c r="F20" s="1"/>
      <c r="G20" s="1"/>
      <c r="H20" s="1"/>
      <c r="I20" s="1"/>
      <c r="J20" s="1"/>
      <c r="K20" s="23">
        <v>1</v>
      </c>
      <c r="L20" s="11">
        <f t="shared" si="3"/>
        <v>3.3</v>
      </c>
      <c r="M20" s="23">
        <f t="shared" si="4"/>
        <v>0.8571428571428571</v>
      </c>
      <c r="N20" s="1"/>
      <c r="O20" s="1"/>
      <c r="P20" s="1"/>
      <c r="Q20" s="1"/>
      <c r="R20" s="1"/>
      <c r="S20" s="1"/>
      <c r="T20" s="23">
        <v>1</v>
      </c>
      <c r="U20" s="11">
        <f t="shared" si="5"/>
        <v>3.3</v>
      </c>
      <c r="V20" s="24">
        <f t="shared" si="6"/>
        <v>0.8571428571428571</v>
      </c>
      <c r="W20" s="4"/>
      <c r="X20" s="54"/>
      <c r="Y20" s="34">
        <v>0.8571428571428571</v>
      </c>
      <c r="Z20" s="54">
        <v>3.4920634920634916</v>
      </c>
      <c r="AA20" s="54" t="b">
        <f t="shared" si="0"/>
        <v>1</v>
      </c>
      <c r="AB20" s="54" t="b">
        <f t="shared" si="1"/>
        <v>0</v>
      </c>
      <c r="AC20" s="54" t="b">
        <f t="shared" si="2"/>
        <v>1</v>
      </c>
    </row>
    <row r="21" spans="1:29" x14ac:dyDescent="0.25">
      <c r="A21" s="1" t="s">
        <v>1605</v>
      </c>
      <c r="B21" s="1" t="s">
        <v>1695</v>
      </c>
      <c r="C21" s="23">
        <v>0.68220338983050854</v>
      </c>
      <c r="D21" s="79">
        <v>1.8012422360248446</v>
      </c>
      <c r="E21" s="1"/>
      <c r="F21" s="1"/>
      <c r="G21" s="1"/>
      <c r="H21" s="1"/>
      <c r="I21" s="1"/>
      <c r="J21" s="1"/>
      <c r="K21" s="23">
        <v>1</v>
      </c>
      <c r="L21" s="11">
        <f t="shared" si="3"/>
        <v>1.8012422360248446</v>
      </c>
      <c r="M21" s="23">
        <f t="shared" si="4"/>
        <v>0.68220338983050854</v>
      </c>
      <c r="N21" s="1" t="s">
        <v>1696</v>
      </c>
      <c r="O21" s="1"/>
      <c r="P21" s="1" t="s">
        <v>1696</v>
      </c>
      <c r="Q21" s="1"/>
      <c r="R21" s="1" t="s">
        <v>1698</v>
      </c>
      <c r="S21" s="1">
        <v>0.1</v>
      </c>
      <c r="T21" s="23">
        <v>1</v>
      </c>
      <c r="U21" s="11">
        <f t="shared" si="5"/>
        <v>1.9012422360248447</v>
      </c>
      <c r="V21" s="24">
        <f t="shared" si="6"/>
        <v>0.68220338983050854</v>
      </c>
      <c r="W21" s="4"/>
      <c r="X21" s="54"/>
      <c r="Y21" s="34">
        <v>0.62890625</v>
      </c>
      <c r="Z21" s="54">
        <v>4.2236024844720497</v>
      </c>
      <c r="AA21" s="54" t="b">
        <f t="shared" si="0"/>
        <v>0</v>
      </c>
      <c r="AB21" s="54" t="b">
        <f t="shared" si="1"/>
        <v>0</v>
      </c>
      <c r="AC21" s="54" t="b">
        <f t="shared" si="2"/>
        <v>1</v>
      </c>
    </row>
    <row r="22" spans="1:29" x14ac:dyDescent="0.25">
      <c r="A22" s="1" t="s">
        <v>1480</v>
      </c>
      <c r="B22" s="1" t="s">
        <v>1695</v>
      </c>
      <c r="C22" s="23">
        <v>0.57999999999999996</v>
      </c>
      <c r="D22" s="11">
        <v>2.7</v>
      </c>
      <c r="E22" s="1" t="s">
        <v>1696</v>
      </c>
      <c r="F22" s="1"/>
      <c r="G22" s="1"/>
      <c r="H22" s="1"/>
      <c r="I22" s="1"/>
      <c r="J22" s="1"/>
      <c r="K22" s="23">
        <v>1</v>
      </c>
      <c r="L22" s="11">
        <f t="shared" si="3"/>
        <v>2.7</v>
      </c>
      <c r="M22" s="23">
        <f t="shared" si="4"/>
        <v>0.57999999999999996</v>
      </c>
      <c r="N22" s="1"/>
      <c r="O22" s="1"/>
      <c r="P22" s="1"/>
      <c r="Q22" s="1"/>
      <c r="R22" s="1"/>
      <c r="S22" s="1"/>
      <c r="T22" s="23">
        <v>1</v>
      </c>
      <c r="U22" s="11">
        <f t="shared" si="5"/>
        <v>2.7</v>
      </c>
      <c r="V22" s="24">
        <f t="shared" si="6"/>
        <v>0.57999999999999996</v>
      </c>
      <c r="W22" s="11">
        <f>U22</f>
        <v>2.7</v>
      </c>
      <c r="X22" s="24">
        <v>0.57999999999999996</v>
      </c>
      <c r="Y22" s="34">
        <v>0.45971563981042657</v>
      </c>
      <c r="Z22" s="54">
        <v>4.3814432989690717</v>
      </c>
      <c r="AA22" s="54" t="b">
        <f t="shared" si="0"/>
        <v>0</v>
      </c>
      <c r="AB22" s="54" t="b">
        <f t="shared" si="1"/>
        <v>0</v>
      </c>
      <c r="AC22" s="54" t="b">
        <f t="shared" si="2"/>
        <v>1</v>
      </c>
    </row>
    <row r="23" spans="1:29" x14ac:dyDescent="0.25">
      <c r="A23" s="1" t="s">
        <v>1357</v>
      </c>
      <c r="B23" s="1" t="s">
        <v>1695</v>
      </c>
      <c r="C23" s="23">
        <v>0.57999999999999996</v>
      </c>
      <c r="D23" s="11">
        <v>2.7</v>
      </c>
      <c r="E23" s="1"/>
      <c r="F23" s="1"/>
      <c r="G23" s="1"/>
      <c r="H23" s="1"/>
      <c r="I23" s="1"/>
      <c r="J23" s="1"/>
      <c r="K23" s="23">
        <v>1</v>
      </c>
      <c r="L23" s="11">
        <f t="shared" si="3"/>
        <v>2.7</v>
      </c>
      <c r="M23" s="23">
        <f t="shared" si="4"/>
        <v>0.57999999999999996</v>
      </c>
      <c r="N23" s="1" t="s">
        <v>1696</v>
      </c>
      <c r="O23" s="1"/>
      <c r="P23" s="1"/>
      <c r="Q23" s="1"/>
      <c r="R23" s="1"/>
      <c r="S23" s="1"/>
      <c r="T23" s="23">
        <v>1</v>
      </c>
      <c r="U23" s="11">
        <f t="shared" si="5"/>
        <v>2.7</v>
      </c>
      <c r="V23" s="24">
        <f t="shared" si="6"/>
        <v>0.57999999999999996</v>
      </c>
      <c r="W23" s="4"/>
      <c r="X23" s="54"/>
      <c r="Y23" s="34">
        <v>0.45971563981042657</v>
      </c>
      <c r="Z23" s="54">
        <v>4.3814432989690717</v>
      </c>
      <c r="AA23" s="54" t="b">
        <f t="shared" si="0"/>
        <v>0</v>
      </c>
      <c r="AB23" s="54" t="b">
        <f t="shared" si="1"/>
        <v>0</v>
      </c>
      <c r="AC23" s="54" t="b">
        <f t="shared" si="2"/>
        <v>1</v>
      </c>
    </row>
    <row r="24" spans="1:29" x14ac:dyDescent="0.25">
      <c r="A24" s="1" t="s">
        <v>1481</v>
      </c>
      <c r="B24" s="25" t="s">
        <v>1879</v>
      </c>
      <c r="C24" s="23">
        <v>0.99</v>
      </c>
      <c r="D24" s="11">
        <v>0.43</v>
      </c>
      <c r="E24" s="1" t="s">
        <v>1696</v>
      </c>
      <c r="F24" s="1"/>
      <c r="G24" s="1"/>
      <c r="H24" s="1"/>
      <c r="I24" s="1"/>
      <c r="J24" s="1"/>
      <c r="K24" s="23">
        <v>1</v>
      </c>
      <c r="L24" s="11">
        <f t="shared" si="3"/>
        <v>0.43</v>
      </c>
      <c r="M24" s="23">
        <f t="shared" si="4"/>
        <v>0.99</v>
      </c>
      <c r="N24" s="1"/>
      <c r="O24" s="1"/>
      <c r="P24" s="1"/>
      <c r="Q24" s="1"/>
      <c r="R24" s="1"/>
      <c r="S24" s="1"/>
      <c r="T24" s="23">
        <v>1</v>
      </c>
      <c r="U24" s="11">
        <f t="shared" si="5"/>
        <v>0.43</v>
      </c>
      <c r="V24" s="24">
        <f t="shared" si="6"/>
        <v>0.99</v>
      </c>
      <c r="W24" s="4"/>
      <c r="X24" s="54"/>
      <c r="Y24" s="34">
        <v>0</v>
      </c>
      <c r="Z24" s="54">
        <v>0</v>
      </c>
      <c r="AA24" s="54" t="b">
        <f t="shared" si="0"/>
        <v>0</v>
      </c>
      <c r="AB24" s="54" t="b">
        <f t="shared" si="1"/>
        <v>0</v>
      </c>
      <c r="AC24" s="54" t="b">
        <f t="shared" si="2"/>
        <v>1</v>
      </c>
    </row>
    <row r="25" spans="1:29" x14ac:dyDescent="0.25">
      <c r="A25" s="1" t="s">
        <v>1482</v>
      </c>
      <c r="B25" s="1" t="s">
        <v>1695</v>
      </c>
      <c r="C25" s="23">
        <v>0.62812500050122233</v>
      </c>
      <c r="D25" s="11">
        <v>2.264035345756235</v>
      </c>
      <c r="E25" s="1" t="s">
        <v>1696</v>
      </c>
      <c r="F25" s="1"/>
      <c r="G25" s="1"/>
      <c r="H25" s="1"/>
      <c r="I25" s="1"/>
      <c r="J25" s="1"/>
      <c r="K25" s="23">
        <v>1</v>
      </c>
      <c r="L25" s="11">
        <f t="shared" si="3"/>
        <v>2.264035345756235</v>
      </c>
      <c r="M25" s="23">
        <f t="shared" si="4"/>
        <v>0.62812500050122233</v>
      </c>
      <c r="N25" s="1"/>
      <c r="O25" s="1"/>
      <c r="P25" s="1"/>
      <c r="Q25" s="1"/>
      <c r="R25" s="1"/>
      <c r="S25" s="1"/>
      <c r="T25" s="23">
        <v>1</v>
      </c>
      <c r="U25" s="11">
        <f t="shared" si="5"/>
        <v>2.264035345756235</v>
      </c>
      <c r="V25" s="24">
        <f t="shared" si="6"/>
        <v>0.62812500050122233</v>
      </c>
      <c r="W25" s="4"/>
      <c r="X25" s="54"/>
      <c r="Y25" s="34">
        <v>0.62812500050122233</v>
      </c>
      <c r="Z25" s="54">
        <v>2.264035345756235</v>
      </c>
      <c r="AA25" s="54" t="b">
        <f t="shared" si="0"/>
        <v>1</v>
      </c>
      <c r="AB25" s="54" t="b">
        <f t="shared" si="1"/>
        <v>1</v>
      </c>
      <c r="AC25" s="54" t="b">
        <f t="shared" si="2"/>
        <v>1</v>
      </c>
    </row>
    <row r="26" spans="1:29" x14ac:dyDescent="0.25">
      <c r="A26" s="1" t="s">
        <v>1438</v>
      </c>
      <c r="B26" s="1" t="s">
        <v>1695</v>
      </c>
      <c r="C26" s="23">
        <v>0.72</v>
      </c>
      <c r="D26" s="11">
        <v>2.92</v>
      </c>
      <c r="E26" s="1" t="s">
        <v>1696</v>
      </c>
      <c r="F26" s="1"/>
      <c r="G26" s="1"/>
      <c r="H26" s="1"/>
      <c r="I26" s="1"/>
      <c r="J26" s="1"/>
      <c r="K26" s="23">
        <v>1</v>
      </c>
      <c r="L26" s="11">
        <f t="shared" si="3"/>
        <v>2.92</v>
      </c>
      <c r="M26" s="23">
        <f t="shared" si="4"/>
        <v>0.72</v>
      </c>
      <c r="N26" s="1" t="s">
        <v>1696</v>
      </c>
      <c r="O26" s="1"/>
      <c r="P26" s="1"/>
      <c r="Q26" s="1"/>
      <c r="R26" s="1"/>
      <c r="S26" s="1"/>
      <c r="T26" s="23">
        <v>1</v>
      </c>
      <c r="U26" s="11">
        <f t="shared" si="5"/>
        <v>2.92</v>
      </c>
      <c r="V26" s="24">
        <f t="shared" si="6"/>
        <v>0.72</v>
      </c>
      <c r="W26" s="4"/>
      <c r="X26" s="54"/>
      <c r="Y26" s="34">
        <v>0.60907954367869988</v>
      </c>
      <c r="Z26" s="54">
        <v>6.2540089801154588</v>
      </c>
      <c r="AA26" s="54" t="b">
        <f t="shared" si="0"/>
        <v>0</v>
      </c>
      <c r="AB26" s="54" t="b">
        <f t="shared" si="1"/>
        <v>0</v>
      </c>
      <c r="AC26" s="54" t="b">
        <f t="shared" si="2"/>
        <v>1</v>
      </c>
    </row>
    <row r="27" spans="1:29" x14ac:dyDescent="0.25">
      <c r="A27" s="1" t="s">
        <v>1483</v>
      </c>
      <c r="B27" s="1" t="s">
        <v>1695</v>
      </c>
      <c r="C27" s="23">
        <v>0.73089545241443976</v>
      </c>
      <c r="D27" s="11">
        <v>1.6570451143895659</v>
      </c>
      <c r="E27" s="1" t="s">
        <v>1696</v>
      </c>
      <c r="F27" s="1"/>
      <c r="G27" s="1"/>
      <c r="H27" s="1"/>
      <c r="I27" s="1"/>
      <c r="J27" s="1"/>
      <c r="K27" s="23">
        <v>1</v>
      </c>
      <c r="L27" s="11">
        <f t="shared" si="3"/>
        <v>1.6570451143895659</v>
      </c>
      <c r="M27" s="23">
        <f t="shared" si="4"/>
        <v>0.73089545241443976</v>
      </c>
      <c r="N27" s="1"/>
      <c r="O27" s="1"/>
      <c r="P27" s="1"/>
      <c r="Q27" s="1"/>
      <c r="R27" s="1"/>
      <c r="S27" s="1"/>
      <c r="T27" s="23">
        <v>1</v>
      </c>
      <c r="U27" s="11">
        <f t="shared" si="5"/>
        <v>1.6570451143895659</v>
      </c>
      <c r="V27" s="24">
        <f t="shared" si="6"/>
        <v>0.73089545241443976</v>
      </c>
      <c r="W27" s="4"/>
      <c r="X27" s="54"/>
      <c r="Y27" s="34">
        <v>0.73089545241443976</v>
      </c>
      <c r="Z27" s="54">
        <v>1.6570451143895659</v>
      </c>
      <c r="AA27" s="54" t="b">
        <f t="shared" si="0"/>
        <v>1</v>
      </c>
      <c r="AB27" s="54" t="b">
        <f t="shared" si="1"/>
        <v>1</v>
      </c>
      <c r="AC27" s="54" t="b">
        <f t="shared" si="2"/>
        <v>1</v>
      </c>
    </row>
    <row r="28" spans="1:29" x14ac:dyDescent="0.25">
      <c r="A28" s="1" t="s">
        <v>1604</v>
      </c>
      <c r="B28" s="1" t="s">
        <v>1695</v>
      </c>
      <c r="C28" s="23">
        <v>0.73089545241443976</v>
      </c>
      <c r="D28" s="11">
        <v>1.6570451143895659</v>
      </c>
      <c r="E28" s="1"/>
      <c r="F28" s="1"/>
      <c r="G28" s="1"/>
      <c r="H28" s="1"/>
      <c r="I28" s="1"/>
      <c r="J28" s="1"/>
      <c r="K28" s="23">
        <v>1</v>
      </c>
      <c r="L28" s="11">
        <f t="shared" si="3"/>
        <v>1.6570451143895659</v>
      </c>
      <c r="M28" s="23">
        <f t="shared" si="4"/>
        <v>0.73089545241443976</v>
      </c>
      <c r="N28" s="1" t="s">
        <v>1696</v>
      </c>
      <c r="O28" s="1"/>
      <c r="P28" s="1"/>
      <c r="Q28" s="1"/>
      <c r="R28" s="1"/>
      <c r="S28" s="1"/>
      <c r="T28" s="23">
        <v>1</v>
      </c>
      <c r="U28" s="11">
        <f t="shared" si="5"/>
        <v>1.6570451143895659</v>
      </c>
      <c r="V28" s="24">
        <f t="shared" si="6"/>
        <v>0.73089545241443976</v>
      </c>
      <c r="W28" s="4"/>
      <c r="X28" s="54"/>
      <c r="Y28" s="34">
        <v>0.73089545241443976</v>
      </c>
      <c r="Z28" s="54">
        <v>1.6570451143895659</v>
      </c>
      <c r="AA28" s="54" t="b">
        <f t="shared" si="0"/>
        <v>1</v>
      </c>
      <c r="AB28" s="54" t="b">
        <f t="shared" si="1"/>
        <v>1</v>
      </c>
      <c r="AC28" s="54" t="b">
        <f t="shared" si="2"/>
        <v>1</v>
      </c>
    </row>
    <row r="29" spans="1:29" x14ac:dyDescent="0.25">
      <c r="A29" s="1" t="s">
        <v>1447</v>
      </c>
      <c r="B29" s="1" t="s">
        <v>1695</v>
      </c>
      <c r="C29" s="29">
        <v>0.7250254610509328</v>
      </c>
      <c r="D29" s="11">
        <v>1.7027924777221581</v>
      </c>
      <c r="E29" s="1"/>
      <c r="F29" s="1"/>
      <c r="G29" s="1"/>
      <c r="H29" s="1"/>
      <c r="I29" s="1"/>
      <c r="J29" s="1"/>
      <c r="K29" s="23">
        <v>1</v>
      </c>
      <c r="L29" s="11">
        <f t="shared" si="3"/>
        <v>1.7027924777221581</v>
      </c>
      <c r="M29" s="23">
        <f t="shared" si="4"/>
        <v>0.7250254610509328</v>
      </c>
      <c r="N29" s="1" t="s">
        <v>1696</v>
      </c>
      <c r="O29" s="1"/>
      <c r="P29" s="1"/>
      <c r="Q29" s="1"/>
      <c r="R29" s="1"/>
      <c r="S29" s="1"/>
      <c r="T29" s="23">
        <v>1</v>
      </c>
      <c r="U29" s="11">
        <f t="shared" si="5"/>
        <v>1.7027924777221581</v>
      </c>
      <c r="V29" s="24">
        <f t="shared" si="6"/>
        <v>0.7250254610509328</v>
      </c>
      <c r="W29" s="4">
        <v>1.7</v>
      </c>
      <c r="X29" s="54">
        <v>0.73</v>
      </c>
      <c r="Y29" s="34">
        <v>0.7250254610509328</v>
      </c>
      <c r="Z29" s="54">
        <v>1.7027924777221581</v>
      </c>
      <c r="AA29" s="54" t="b">
        <f t="shared" si="0"/>
        <v>1</v>
      </c>
      <c r="AB29" s="54" t="b">
        <f t="shared" si="1"/>
        <v>1</v>
      </c>
      <c r="AC29" s="54" t="b">
        <f t="shared" si="2"/>
        <v>1</v>
      </c>
    </row>
    <row r="30" spans="1:29" x14ac:dyDescent="0.25">
      <c r="A30" s="1" t="s">
        <v>1702</v>
      </c>
      <c r="B30" s="1" t="s">
        <v>1695</v>
      </c>
      <c r="C30" s="23">
        <v>0.60907954367869988</v>
      </c>
      <c r="D30" s="11">
        <v>6.2540089801154588</v>
      </c>
      <c r="E30" s="1"/>
      <c r="F30" s="1"/>
      <c r="G30" s="1"/>
      <c r="H30" s="1"/>
      <c r="I30" s="1"/>
      <c r="J30" s="1"/>
      <c r="K30" s="23">
        <v>1</v>
      </c>
      <c r="L30" s="11">
        <f t="shared" si="3"/>
        <v>6.2540089801154588</v>
      </c>
      <c r="M30" s="23">
        <f t="shared" si="4"/>
        <v>0.60907954367869988</v>
      </c>
      <c r="N30" s="1"/>
      <c r="O30" s="1"/>
      <c r="P30" s="1"/>
      <c r="Q30" s="1"/>
      <c r="R30" s="1"/>
      <c r="S30" s="1"/>
      <c r="T30" s="23">
        <v>1</v>
      </c>
      <c r="U30" s="11">
        <f t="shared" si="5"/>
        <v>6.2540089801154588</v>
      </c>
      <c r="V30" s="24">
        <f t="shared" si="6"/>
        <v>0.60907954367869988</v>
      </c>
      <c r="W30" s="4"/>
      <c r="X30" s="54"/>
      <c r="Y30" s="34">
        <v>0.60907954367869988</v>
      </c>
      <c r="Z30" s="54">
        <v>6.2540089801154588</v>
      </c>
      <c r="AA30" s="54" t="b">
        <f t="shared" si="0"/>
        <v>1</v>
      </c>
      <c r="AB30" s="54" t="b">
        <f t="shared" si="1"/>
        <v>1</v>
      </c>
      <c r="AC30" s="54" t="b">
        <f t="shared" si="2"/>
        <v>1</v>
      </c>
    </row>
    <row r="31" spans="1:29" x14ac:dyDescent="0.25">
      <c r="A31" s="1" t="s">
        <v>1484</v>
      </c>
      <c r="B31" s="1" t="s">
        <v>1695</v>
      </c>
      <c r="C31" s="23">
        <v>0.87465000000000004</v>
      </c>
      <c r="D31" s="11">
        <v>0.19055241144076676</v>
      </c>
      <c r="E31" s="1" t="s">
        <v>1696</v>
      </c>
      <c r="F31" s="1"/>
      <c r="G31" s="1" t="s">
        <v>1696</v>
      </c>
      <c r="H31" s="1" t="s">
        <v>1696</v>
      </c>
      <c r="I31" s="1" t="s">
        <v>1700</v>
      </c>
      <c r="J31" s="1">
        <v>0.4</v>
      </c>
      <c r="K31" s="23">
        <v>0.91990602306706537</v>
      </c>
      <c r="L31" s="11">
        <f t="shared" si="3"/>
        <v>0.59055241144076676</v>
      </c>
      <c r="M31" s="23">
        <f t="shared" si="4"/>
        <v>0.80459580307560874</v>
      </c>
      <c r="N31" s="1"/>
      <c r="O31" s="1"/>
      <c r="P31" s="1"/>
      <c r="Q31" s="1"/>
      <c r="R31" s="1"/>
      <c r="S31" s="1"/>
      <c r="T31" s="23">
        <v>1</v>
      </c>
      <c r="U31" s="11">
        <f t="shared" si="5"/>
        <v>0.19055241144076676</v>
      </c>
      <c r="V31" s="24">
        <f t="shared" si="6"/>
        <v>0.87465000000000004</v>
      </c>
      <c r="W31" s="4"/>
      <c r="X31" s="54"/>
      <c r="Y31" s="34">
        <v>0.87465000000000004</v>
      </c>
      <c r="Z31" s="54">
        <v>0.19055241144076676</v>
      </c>
      <c r="AA31" s="54" t="b">
        <f t="shared" si="0"/>
        <v>1</v>
      </c>
      <c r="AB31" s="54" t="b">
        <f t="shared" si="1"/>
        <v>1</v>
      </c>
      <c r="AC31" s="54" t="b">
        <f t="shared" si="2"/>
        <v>0</v>
      </c>
    </row>
    <row r="32" spans="1:29" x14ac:dyDescent="0.25">
      <c r="A32" s="1" t="s">
        <v>1485</v>
      </c>
      <c r="B32" s="1" t="s">
        <v>1695</v>
      </c>
      <c r="C32" s="23">
        <v>0.77272727272727271</v>
      </c>
      <c r="D32" s="11">
        <v>1.6106442577030813</v>
      </c>
      <c r="E32" s="1" t="s">
        <v>1696</v>
      </c>
      <c r="F32" s="1"/>
      <c r="G32" s="1"/>
      <c r="H32" s="1"/>
      <c r="I32" s="1"/>
      <c r="J32" s="1"/>
      <c r="K32" s="23">
        <v>1</v>
      </c>
      <c r="L32" s="11">
        <f t="shared" si="3"/>
        <v>1.6106442577030813</v>
      </c>
      <c r="M32" s="23">
        <f t="shared" si="4"/>
        <v>0.77272727272727271</v>
      </c>
      <c r="N32" s="1"/>
      <c r="O32" s="1"/>
      <c r="P32" s="1"/>
      <c r="Q32" s="1"/>
      <c r="R32" s="1"/>
      <c r="S32" s="1"/>
      <c r="T32" s="23">
        <v>1</v>
      </c>
      <c r="U32" s="11">
        <f t="shared" si="5"/>
        <v>1.6106442577030813</v>
      </c>
      <c r="V32" s="24">
        <f t="shared" si="6"/>
        <v>0.77272727272727271</v>
      </c>
      <c r="W32" s="4"/>
      <c r="X32" s="54"/>
      <c r="Y32" s="34">
        <v>0.77272727272727271</v>
      </c>
      <c r="Z32" s="54">
        <v>1.6106442577030813</v>
      </c>
      <c r="AA32" s="54" t="b">
        <f t="shared" si="0"/>
        <v>1</v>
      </c>
      <c r="AB32" s="54" t="b">
        <f t="shared" si="1"/>
        <v>1</v>
      </c>
      <c r="AC32" s="54" t="b">
        <f t="shared" si="2"/>
        <v>1</v>
      </c>
    </row>
    <row r="33" spans="1:29" x14ac:dyDescent="0.25">
      <c r="A33" s="1" t="s">
        <v>1349</v>
      </c>
      <c r="B33" s="1" t="s">
        <v>1695</v>
      </c>
      <c r="C33" s="23">
        <v>0.88397694524495674</v>
      </c>
      <c r="D33" s="11">
        <v>0.19560539870900437</v>
      </c>
      <c r="E33" s="1" t="s">
        <v>1696</v>
      </c>
      <c r="F33" s="1" t="s">
        <v>1696</v>
      </c>
      <c r="G33" s="1"/>
      <c r="H33" s="1" t="s">
        <v>1696</v>
      </c>
      <c r="I33" s="1" t="s">
        <v>1700</v>
      </c>
      <c r="J33" s="11">
        <v>0.56701030927835061</v>
      </c>
      <c r="K33" s="24">
        <v>0.85</v>
      </c>
      <c r="L33" s="11">
        <f t="shared" si="3"/>
        <v>0.76261570798735501</v>
      </c>
      <c r="M33" s="23">
        <f t="shared" si="4"/>
        <v>0.75138040345821322</v>
      </c>
      <c r="N33" s="1" t="s">
        <v>1696</v>
      </c>
      <c r="O33" s="1" t="s">
        <v>1696</v>
      </c>
      <c r="P33" s="1"/>
      <c r="Q33" s="1" t="s">
        <v>1696</v>
      </c>
      <c r="R33" s="1" t="s">
        <v>1700</v>
      </c>
      <c r="S33" s="11">
        <v>0.56701030927835061</v>
      </c>
      <c r="T33" s="23">
        <v>0.85</v>
      </c>
      <c r="U33" s="11">
        <f t="shared" si="5"/>
        <v>0.76261570798735501</v>
      </c>
      <c r="V33" s="24">
        <f t="shared" si="6"/>
        <v>0.75138040345821322</v>
      </c>
      <c r="W33" s="4"/>
      <c r="X33" s="54"/>
      <c r="Y33" s="34">
        <v>0.88397694524495674</v>
      </c>
      <c r="Z33" s="54">
        <v>0.19560539870900437</v>
      </c>
      <c r="AA33" s="54" t="b">
        <f t="shared" si="0"/>
        <v>1</v>
      </c>
      <c r="AB33" s="54" t="b">
        <f t="shared" si="1"/>
        <v>1</v>
      </c>
      <c r="AC33" s="54" t="b">
        <f t="shared" si="2"/>
        <v>1</v>
      </c>
    </row>
    <row r="34" spans="1:29" x14ac:dyDescent="0.25">
      <c r="A34" s="1" t="s">
        <v>1405</v>
      </c>
      <c r="B34" s="1" t="s">
        <v>1695</v>
      </c>
      <c r="C34" s="23">
        <v>0.8</v>
      </c>
      <c r="D34" s="11">
        <v>0.45833333333333331</v>
      </c>
      <c r="E34" s="1"/>
      <c r="F34" s="1"/>
      <c r="G34" s="1"/>
      <c r="H34" s="1"/>
      <c r="I34" s="1"/>
      <c r="J34" s="1"/>
      <c r="K34" s="23">
        <v>1</v>
      </c>
      <c r="L34" s="11">
        <f t="shared" si="3"/>
        <v>0.45833333333333331</v>
      </c>
      <c r="M34" s="23">
        <f t="shared" si="4"/>
        <v>0.8</v>
      </c>
      <c r="N34" s="1" t="s">
        <v>1696</v>
      </c>
      <c r="O34" s="1"/>
      <c r="P34" s="1" t="s">
        <v>1703</v>
      </c>
      <c r="Q34" s="1" t="s">
        <v>1696</v>
      </c>
      <c r="R34" s="1" t="s">
        <v>1700</v>
      </c>
      <c r="S34" s="1">
        <v>0.25</v>
      </c>
      <c r="T34" s="23">
        <v>0.92</v>
      </c>
      <c r="U34" s="11">
        <f t="shared" si="5"/>
        <v>0.70833333333333326</v>
      </c>
      <c r="V34" s="24">
        <f t="shared" si="6"/>
        <v>0.7360000000000001</v>
      </c>
      <c r="W34" s="4"/>
      <c r="X34" s="54"/>
      <c r="Y34" s="34">
        <v>0.8</v>
      </c>
      <c r="Z34" s="54">
        <v>0.45833333333333331</v>
      </c>
      <c r="AA34" s="54" t="b">
        <f t="shared" si="0"/>
        <v>1</v>
      </c>
      <c r="AB34" s="54" t="b">
        <f t="shared" si="1"/>
        <v>1</v>
      </c>
      <c r="AC34" s="54" t="b">
        <f t="shared" si="2"/>
        <v>0</v>
      </c>
    </row>
    <row r="35" spans="1:29" x14ac:dyDescent="0.25">
      <c r="A35" s="1" t="s">
        <v>1372</v>
      </c>
      <c r="B35" s="1" t="s">
        <v>1695</v>
      </c>
      <c r="C35" s="23">
        <v>0.88646288209606994</v>
      </c>
      <c r="D35" s="11">
        <v>0.34482758620689652</v>
      </c>
      <c r="E35" s="1"/>
      <c r="F35" s="1"/>
      <c r="G35" s="1"/>
      <c r="H35" s="1"/>
      <c r="I35" s="1"/>
      <c r="J35" s="1"/>
      <c r="K35" s="23">
        <v>1</v>
      </c>
      <c r="L35" s="11">
        <f t="shared" si="3"/>
        <v>0.34482758620689652</v>
      </c>
      <c r="M35" s="23">
        <f t="shared" si="4"/>
        <v>0.88646288209606994</v>
      </c>
      <c r="N35" s="1" t="s">
        <v>1696</v>
      </c>
      <c r="O35" s="1" t="s">
        <v>1696</v>
      </c>
      <c r="P35" s="1"/>
      <c r="Q35" s="1" t="s">
        <v>1696</v>
      </c>
      <c r="R35" s="1" t="s">
        <v>1700</v>
      </c>
      <c r="S35" s="11">
        <v>0.56701030927835061</v>
      </c>
      <c r="T35" s="23">
        <v>0.8</v>
      </c>
      <c r="U35" s="11">
        <f t="shared" si="5"/>
        <v>0.91183789548524707</v>
      </c>
      <c r="V35" s="24">
        <f t="shared" si="6"/>
        <v>0.70917030567685602</v>
      </c>
      <c r="W35" s="4"/>
      <c r="X35" s="54"/>
      <c r="Y35" s="34">
        <v>0.88646288209606994</v>
      </c>
      <c r="Z35" s="54">
        <v>0.34482758620689652</v>
      </c>
      <c r="AA35" s="54" t="b">
        <f t="shared" si="0"/>
        <v>1</v>
      </c>
      <c r="AB35" s="54" t="b">
        <f t="shared" si="1"/>
        <v>1</v>
      </c>
      <c r="AC35" s="54" t="b">
        <f t="shared" si="2"/>
        <v>0</v>
      </c>
    </row>
    <row r="36" spans="1:29" x14ac:dyDescent="0.25">
      <c r="A36" s="1" t="s">
        <v>1360</v>
      </c>
      <c r="B36" s="1" t="s">
        <v>1695</v>
      </c>
      <c r="C36" s="23">
        <v>0.87599999999999989</v>
      </c>
      <c r="D36" s="11">
        <v>0.32724505327245057</v>
      </c>
      <c r="E36" s="1"/>
      <c r="F36" s="1"/>
      <c r="G36" s="1"/>
      <c r="H36" s="1"/>
      <c r="I36" s="1"/>
      <c r="J36" s="1"/>
      <c r="K36" s="23">
        <v>1</v>
      </c>
      <c r="L36" s="11">
        <f t="shared" si="3"/>
        <v>0.32724505327245057</v>
      </c>
      <c r="M36" s="23">
        <f t="shared" si="4"/>
        <v>0.87599999999999989</v>
      </c>
      <c r="N36" s="1" t="s">
        <v>1696</v>
      </c>
      <c r="O36" s="1" t="s">
        <v>1696</v>
      </c>
      <c r="P36" s="1"/>
      <c r="Q36" s="1" t="s">
        <v>1696</v>
      </c>
      <c r="R36" s="1" t="s">
        <v>1700</v>
      </c>
      <c r="S36" s="11">
        <v>0.56701030927835061</v>
      </c>
      <c r="T36" s="23">
        <v>0.8</v>
      </c>
      <c r="U36" s="11">
        <f t="shared" si="5"/>
        <v>0.89425536255080118</v>
      </c>
      <c r="V36" s="24">
        <f t="shared" si="6"/>
        <v>0.70079999999999998</v>
      </c>
      <c r="W36" s="4"/>
      <c r="X36" s="54"/>
      <c r="Y36" s="34">
        <v>0.87599999999999989</v>
      </c>
      <c r="Z36" s="54">
        <v>0.32724505327245057</v>
      </c>
      <c r="AA36" s="54" t="b">
        <f t="shared" si="0"/>
        <v>1</v>
      </c>
      <c r="AB36" s="54" t="b">
        <f t="shared" si="1"/>
        <v>1</v>
      </c>
      <c r="AC36" s="54" t="b">
        <f t="shared" si="2"/>
        <v>0</v>
      </c>
    </row>
    <row r="37" spans="1:29" x14ac:dyDescent="0.25">
      <c r="A37" s="1" t="s">
        <v>1369</v>
      </c>
      <c r="B37" s="1" t="s">
        <v>1695</v>
      </c>
      <c r="C37" s="23">
        <v>0.90698433420365532</v>
      </c>
      <c r="D37" s="11">
        <v>0.25</v>
      </c>
      <c r="E37" s="1"/>
      <c r="F37" s="1"/>
      <c r="G37" s="1"/>
      <c r="H37" s="1"/>
      <c r="I37" s="1"/>
      <c r="J37" s="1"/>
      <c r="K37" s="23">
        <v>1</v>
      </c>
      <c r="L37" s="11">
        <f t="shared" si="3"/>
        <v>0.25</v>
      </c>
      <c r="M37" s="23">
        <f t="shared" si="4"/>
        <v>0.90698433420365532</v>
      </c>
      <c r="N37" s="1" t="s">
        <v>1696</v>
      </c>
      <c r="O37" s="1"/>
      <c r="P37" s="1"/>
      <c r="Q37" s="1"/>
      <c r="R37" s="1"/>
      <c r="S37" s="1"/>
      <c r="T37" s="23">
        <v>1</v>
      </c>
      <c r="U37" s="11">
        <f t="shared" si="5"/>
        <v>0.25</v>
      </c>
      <c r="V37" s="24">
        <f t="shared" si="6"/>
        <v>0.90698433420365532</v>
      </c>
      <c r="W37" s="4"/>
      <c r="X37" s="54"/>
      <c r="Y37" s="34">
        <v>0.90698433420365532</v>
      </c>
      <c r="Z37" s="54">
        <v>0.13973851505337653</v>
      </c>
      <c r="AA37" s="54" t="b">
        <f t="shared" si="0"/>
        <v>1</v>
      </c>
      <c r="AB37" s="54" t="b">
        <f t="shared" si="1"/>
        <v>0</v>
      </c>
      <c r="AC37" s="54" t="b">
        <f t="shared" si="2"/>
        <v>1</v>
      </c>
    </row>
    <row r="38" spans="1:29" x14ac:dyDescent="0.25">
      <c r="A38" s="1" t="s">
        <v>1352</v>
      </c>
      <c r="B38" s="1" t="s">
        <v>1695</v>
      </c>
      <c r="C38" s="23">
        <v>0.87465000000000004</v>
      </c>
      <c r="D38" s="11">
        <v>0.19055241144076676</v>
      </c>
      <c r="E38" s="1"/>
      <c r="F38" s="1"/>
      <c r="G38" s="1"/>
      <c r="H38" s="1"/>
      <c r="I38" s="1"/>
      <c r="J38" s="1"/>
      <c r="K38" s="23">
        <v>1</v>
      </c>
      <c r="L38" s="11">
        <f t="shared" si="3"/>
        <v>0.19055241144076676</v>
      </c>
      <c r="M38" s="23">
        <f t="shared" si="4"/>
        <v>0.87465000000000004</v>
      </c>
      <c r="N38" s="1" t="s">
        <v>1696</v>
      </c>
      <c r="O38" s="1" t="s">
        <v>1696</v>
      </c>
      <c r="P38" s="1"/>
      <c r="Q38" s="1" t="s">
        <v>1696</v>
      </c>
      <c r="R38" s="1" t="s">
        <v>1700</v>
      </c>
      <c r="S38" s="11">
        <v>0.60773480662983426</v>
      </c>
      <c r="T38" s="23">
        <v>0.85</v>
      </c>
      <c r="U38" s="11">
        <f t="shared" si="5"/>
        <v>0.79828721807060099</v>
      </c>
      <c r="V38" s="24">
        <f t="shared" si="6"/>
        <v>0.74345249999999996</v>
      </c>
      <c r="W38" s="4"/>
      <c r="X38" s="54"/>
      <c r="Y38" s="34">
        <v>0.87465000000000004</v>
      </c>
      <c r="Z38" s="54">
        <v>0.19055241144076676</v>
      </c>
      <c r="AA38" s="54" t="b">
        <f t="shared" si="0"/>
        <v>1</v>
      </c>
      <c r="AB38" s="54" t="b">
        <f t="shared" si="1"/>
        <v>1</v>
      </c>
      <c r="AC38" s="54" t="b">
        <f t="shared" si="2"/>
        <v>0</v>
      </c>
    </row>
    <row r="39" spans="1:29" x14ac:dyDescent="0.25">
      <c r="A39" s="1" t="s">
        <v>1350</v>
      </c>
      <c r="B39" s="1" t="s">
        <v>1695</v>
      </c>
      <c r="C39" s="23">
        <v>0.93861386138613856</v>
      </c>
      <c r="D39" s="11">
        <v>0.22</v>
      </c>
      <c r="E39" s="1"/>
      <c r="F39" s="1"/>
      <c r="G39" s="1"/>
      <c r="H39" s="1"/>
      <c r="I39" s="1"/>
      <c r="J39" s="1"/>
      <c r="K39" s="23">
        <v>1</v>
      </c>
      <c r="L39" s="11">
        <f t="shared" si="3"/>
        <v>0.22</v>
      </c>
      <c r="M39" s="23">
        <f t="shared" si="4"/>
        <v>0.93861386138613856</v>
      </c>
      <c r="N39" s="1" t="s">
        <v>1696</v>
      </c>
      <c r="O39" s="1" t="s">
        <v>1696</v>
      </c>
      <c r="P39" s="1"/>
      <c r="Q39" s="1" t="s">
        <v>1696</v>
      </c>
      <c r="R39" s="1" t="s">
        <v>1700</v>
      </c>
      <c r="S39" s="11">
        <v>0.60773480662983426</v>
      </c>
      <c r="T39" s="23">
        <v>0.82272727272727275</v>
      </c>
      <c r="U39" s="11">
        <f t="shared" si="5"/>
        <v>0.82773480662983423</v>
      </c>
      <c r="V39" s="24">
        <f t="shared" si="6"/>
        <v>0.77222322232223217</v>
      </c>
      <c r="W39" s="4"/>
      <c r="X39" s="54"/>
      <c r="Y39" s="34">
        <v>0.93861386138613856</v>
      </c>
      <c r="Z39" s="54">
        <v>0.27426160337552741</v>
      </c>
      <c r="AA39" s="54" t="b">
        <f t="shared" si="0"/>
        <v>1</v>
      </c>
      <c r="AB39" s="54" t="b">
        <f t="shared" si="1"/>
        <v>0</v>
      </c>
      <c r="AC39" s="54" t="b">
        <f t="shared" si="2"/>
        <v>0</v>
      </c>
    </row>
    <row r="40" spans="1:29" x14ac:dyDescent="0.25">
      <c r="A40" s="1" t="s">
        <v>1486</v>
      </c>
      <c r="B40" s="1" t="s">
        <v>1695</v>
      </c>
      <c r="C40" s="23">
        <v>0.51729460173101749</v>
      </c>
      <c r="D40" s="11">
        <v>5.3503502164183594</v>
      </c>
      <c r="E40" s="1" t="s">
        <v>1696</v>
      </c>
      <c r="F40" s="1"/>
      <c r="G40" s="1"/>
      <c r="H40" s="1"/>
      <c r="I40" s="1"/>
      <c r="J40" s="1"/>
      <c r="K40" s="23">
        <v>1</v>
      </c>
      <c r="L40" s="11">
        <f t="shared" si="3"/>
        <v>5.3503502164183594</v>
      </c>
      <c r="M40" s="23">
        <f t="shared" si="4"/>
        <v>0.51729460173101749</v>
      </c>
      <c r="N40" s="1"/>
      <c r="O40" s="1"/>
      <c r="P40" s="1"/>
      <c r="Q40" s="1"/>
      <c r="R40" s="1"/>
      <c r="S40" s="1"/>
      <c r="T40" s="23">
        <v>1</v>
      </c>
      <c r="U40" s="11">
        <f t="shared" si="5"/>
        <v>5.3503502164183594</v>
      </c>
      <c r="V40" s="24">
        <f t="shared" si="6"/>
        <v>0.51729460173101749</v>
      </c>
      <c r="W40" s="4">
        <v>5.35</v>
      </c>
      <c r="X40" s="54">
        <v>0.52</v>
      </c>
      <c r="Y40" s="34">
        <v>0.51729460173101749</v>
      </c>
      <c r="Z40" s="54">
        <v>5.3503502164183594</v>
      </c>
      <c r="AA40" s="54" t="b">
        <f t="shared" si="0"/>
        <v>1</v>
      </c>
      <c r="AB40" s="54" t="b">
        <f t="shared" si="1"/>
        <v>1</v>
      </c>
      <c r="AC40" s="54" t="b">
        <f t="shared" si="2"/>
        <v>1</v>
      </c>
    </row>
    <row r="41" spans="1:29" x14ac:dyDescent="0.25">
      <c r="A41" s="1" t="s">
        <v>1487</v>
      </c>
      <c r="B41" s="1" t="s">
        <v>1695</v>
      </c>
      <c r="C41" s="23">
        <v>0.59308538964496971</v>
      </c>
      <c r="D41" s="11">
        <v>0.9</v>
      </c>
      <c r="E41" s="1" t="s">
        <v>1696</v>
      </c>
      <c r="F41" s="1"/>
      <c r="G41" s="1" t="s">
        <v>1696</v>
      </c>
      <c r="H41" s="1"/>
      <c r="I41" s="1" t="s">
        <v>1700</v>
      </c>
      <c r="J41" s="1">
        <v>0.1</v>
      </c>
      <c r="K41" s="23">
        <v>1</v>
      </c>
      <c r="L41" s="11">
        <f t="shared" si="3"/>
        <v>1</v>
      </c>
      <c r="M41" s="23">
        <f t="shared" si="4"/>
        <v>0.59308538964496971</v>
      </c>
      <c r="N41" s="1"/>
      <c r="O41" s="1"/>
      <c r="P41" s="1"/>
      <c r="Q41" s="1"/>
      <c r="R41" s="1"/>
      <c r="S41" s="1"/>
      <c r="T41" s="23">
        <v>1</v>
      </c>
      <c r="U41" s="11">
        <f t="shared" si="5"/>
        <v>0.9</v>
      </c>
      <c r="V41" s="24">
        <f t="shared" si="6"/>
        <v>0.59308538964496971</v>
      </c>
      <c r="W41" s="4"/>
      <c r="X41" s="54"/>
      <c r="Y41" s="34">
        <v>0.54657040606456686</v>
      </c>
      <c r="Z41" s="54">
        <v>1.926935234808824</v>
      </c>
      <c r="AA41" s="54" t="b">
        <f t="shared" si="0"/>
        <v>0</v>
      </c>
      <c r="AB41" s="54" t="b">
        <f t="shared" si="1"/>
        <v>0</v>
      </c>
      <c r="AC41" s="54" t="b">
        <f t="shared" si="2"/>
        <v>1</v>
      </c>
    </row>
    <row r="42" spans="1:29" x14ac:dyDescent="0.25">
      <c r="A42" s="1" t="s">
        <v>1488</v>
      </c>
      <c r="B42" s="1" t="s">
        <v>1695</v>
      </c>
      <c r="C42" s="23">
        <v>0.62730002870590995</v>
      </c>
      <c r="D42" s="11">
        <v>4.1497732460852061</v>
      </c>
      <c r="E42" s="1" t="s">
        <v>1696</v>
      </c>
      <c r="F42" s="1"/>
      <c r="G42" s="1"/>
      <c r="H42" s="1"/>
      <c r="I42" s="1"/>
      <c r="J42" s="1"/>
      <c r="K42" s="23">
        <v>1</v>
      </c>
      <c r="L42" s="11">
        <f t="shared" si="3"/>
        <v>4.1497732460852061</v>
      </c>
      <c r="M42" s="23">
        <f t="shared" si="4"/>
        <v>0.62730002870590995</v>
      </c>
      <c r="N42" s="1"/>
      <c r="O42" s="1"/>
      <c r="P42" s="1"/>
      <c r="Q42" s="1"/>
      <c r="R42" s="1"/>
      <c r="S42" s="1"/>
      <c r="T42" s="23">
        <v>1</v>
      </c>
      <c r="U42" s="11">
        <f t="shared" si="5"/>
        <v>4.1497732460852061</v>
      </c>
      <c r="V42" s="24">
        <f t="shared" si="6"/>
        <v>0.62730002870590995</v>
      </c>
      <c r="W42" s="4"/>
      <c r="X42" s="54"/>
      <c r="Y42" s="34">
        <v>0.62730002870590995</v>
      </c>
      <c r="Z42" s="54">
        <v>4.1497732460852061</v>
      </c>
      <c r="AA42" s="54" t="b">
        <f t="shared" si="0"/>
        <v>1</v>
      </c>
      <c r="AB42" s="54" t="b">
        <f t="shared" si="1"/>
        <v>1</v>
      </c>
      <c r="AC42" s="54" t="b">
        <f t="shared" si="2"/>
        <v>1</v>
      </c>
    </row>
    <row r="43" spans="1:29" x14ac:dyDescent="0.25">
      <c r="A43" s="1" t="s">
        <v>1489</v>
      </c>
      <c r="B43" s="1" t="s">
        <v>1695</v>
      </c>
      <c r="C43" s="23">
        <v>0.81</v>
      </c>
      <c r="D43" s="11">
        <v>0.65</v>
      </c>
      <c r="E43" s="1" t="s">
        <v>1696</v>
      </c>
      <c r="F43" s="1" t="s">
        <v>1696</v>
      </c>
      <c r="G43" s="1"/>
      <c r="H43" s="1" t="s">
        <v>1696</v>
      </c>
      <c r="I43" s="1" t="s">
        <v>1700</v>
      </c>
      <c r="J43" s="11">
        <v>0.25531914893617019</v>
      </c>
      <c r="K43" s="24">
        <v>0.92</v>
      </c>
      <c r="L43" s="11">
        <f t="shared" si="3"/>
        <v>0.90531914893617027</v>
      </c>
      <c r="M43" s="23">
        <f t="shared" si="4"/>
        <v>0.74520000000000008</v>
      </c>
      <c r="N43" s="1"/>
      <c r="O43" s="1"/>
      <c r="P43" s="1"/>
      <c r="Q43" s="1"/>
      <c r="R43" s="1"/>
      <c r="S43" s="1"/>
      <c r="T43" s="23">
        <v>1</v>
      </c>
      <c r="U43" s="11">
        <f t="shared" si="5"/>
        <v>0.65</v>
      </c>
      <c r="V43" s="24">
        <f t="shared" si="6"/>
        <v>0.81</v>
      </c>
      <c r="W43" s="4"/>
      <c r="X43" s="54"/>
      <c r="Y43" s="34">
        <v>0.63968153466711464</v>
      </c>
      <c r="Z43" s="54">
        <v>1.9888631098911469</v>
      </c>
      <c r="AA43" s="54" t="b">
        <f t="shared" si="0"/>
        <v>0</v>
      </c>
      <c r="AB43" s="54" t="b">
        <f t="shared" si="1"/>
        <v>0</v>
      </c>
      <c r="AC43" s="54" t="b">
        <f t="shared" si="2"/>
        <v>0</v>
      </c>
    </row>
    <row r="44" spans="1:29" x14ac:dyDescent="0.25">
      <c r="A44" s="25" t="s">
        <v>1420</v>
      </c>
      <c r="B44" s="25" t="s">
        <v>1879</v>
      </c>
      <c r="C44" s="23"/>
      <c r="D44" s="11">
        <v>0</v>
      </c>
      <c r="E44" s="1" t="s">
        <v>1696</v>
      </c>
      <c r="F44" s="1"/>
      <c r="G44" s="1"/>
      <c r="H44" s="1"/>
      <c r="I44" s="1"/>
      <c r="J44" s="1"/>
      <c r="K44" s="23">
        <v>1</v>
      </c>
      <c r="L44" s="11">
        <f t="shared" si="3"/>
        <v>0</v>
      </c>
      <c r="M44" s="23">
        <f t="shared" si="4"/>
        <v>0</v>
      </c>
      <c r="N44" s="1" t="s">
        <v>1696</v>
      </c>
      <c r="O44" s="1" t="s">
        <v>1696</v>
      </c>
      <c r="P44" s="1"/>
      <c r="Q44" s="1" t="s">
        <v>1696</v>
      </c>
      <c r="R44" s="1" t="s">
        <v>1700</v>
      </c>
      <c r="S44" s="11">
        <v>0.25531914893617019</v>
      </c>
      <c r="T44" s="23">
        <v>0.94</v>
      </c>
      <c r="U44" s="11">
        <f t="shared" si="5"/>
        <v>0.25531914893617019</v>
      </c>
      <c r="V44" s="24">
        <f t="shared" si="6"/>
        <v>0</v>
      </c>
      <c r="W44" s="4"/>
      <c r="X44" s="54"/>
      <c r="Y44" s="34">
        <v>0</v>
      </c>
      <c r="Z44" s="54">
        <v>0</v>
      </c>
      <c r="AA44" s="54" t="b">
        <f t="shared" si="0"/>
        <v>1</v>
      </c>
      <c r="AB44" s="54" t="b">
        <f t="shared" si="1"/>
        <v>1</v>
      </c>
      <c r="AC44" s="54" t="b">
        <f t="shared" si="2"/>
        <v>1</v>
      </c>
    </row>
    <row r="45" spans="1:29" x14ac:dyDescent="0.25">
      <c r="A45" s="1" t="s">
        <v>1490</v>
      </c>
      <c r="B45" s="1" t="s">
        <v>1695</v>
      </c>
      <c r="C45" s="23">
        <v>0.2524835726235764</v>
      </c>
      <c r="D45" s="11">
        <v>9.6822627333725446</v>
      </c>
      <c r="E45" s="1" t="s">
        <v>1696</v>
      </c>
      <c r="F45" s="1"/>
      <c r="G45" s="1" t="s">
        <v>1696</v>
      </c>
      <c r="H45" s="1"/>
      <c r="I45" s="1" t="s">
        <v>1700</v>
      </c>
      <c r="J45" s="1">
        <v>0.1</v>
      </c>
      <c r="K45" s="23">
        <v>1</v>
      </c>
      <c r="L45" s="11">
        <f t="shared" si="3"/>
        <v>9.7822627333725443</v>
      </c>
      <c r="M45" s="23">
        <f t="shared" si="4"/>
        <v>0.2524835726235764</v>
      </c>
      <c r="N45" s="1"/>
      <c r="O45" s="1"/>
      <c r="P45" s="1"/>
      <c r="Q45" s="1"/>
      <c r="R45" s="1"/>
      <c r="S45" s="1"/>
      <c r="T45" s="23">
        <v>1</v>
      </c>
      <c r="U45" s="11">
        <f t="shared" si="5"/>
        <v>9.6822627333725446</v>
      </c>
      <c r="V45" s="24">
        <f t="shared" si="6"/>
        <v>0.2524835726235764</v>
      </c>
      <c r="W45" s="4"/>
      <c r="X45" s="54"/>
      <c r="Y45" s="34">
        <v>0.2524835726235764</v>
      </c>
      <c r="Z45" s="54">
        <v>9.6822627333725446</v>
      </c>
      <c r="AA45" s="54" t="b">
        <f t="shared" si="0"/>
        <v>1</v>
      </c>
      <c r="AB45" s="54" t="b">
        <f t="shared" si="1"/>
        <v>1</v>
      </c>
      <c r="AC45" s="54" t="b">
        <f t="shared" si="2"/>
        <v>1</v>
      </c>
    </row>
    <row r="46" spans="1:29" x14ac:dyDescent="0.25">
      <c r="A46" s="1" t="s">
        <v>1491</v>
      </c>
      <c r="B46" s="1" t="s">
        <v>1695</v>
      </c>
      <c r="C46" s="23">
        <v>0.73317345127230837</v>
      </c>
      <c r="D46" s="11">
        <v>1.1480576795997355</v>
      </c>
      <c r="E46" s="1" t="s">
        <v>1696</v>
      </c>
      <c r="F46" s="1"/>
      <c r="G46" s="1"/>
      <c r="H46" s="1"/>
      <c r="I46" s="1"/>
      <c r="J46" s="1"/>
      <c r="K46" s="23">
        <v>1</v>
      </c>
      <c r="L46" s="11">
        <f t="shared" si="3"/>
        <v>1.1480576795997355</v>
      </c>
      <c r="M46" s="23">
        <f t="shared" si="4"/>
        <v>0.73317345127230837</v>
      </c>
      <c r="N46" s="1"/>
      <c r="O46" s="1"/>
      <c r="P46" s="1"/>
      <c r="Q46" s="1"/>
      <c r="R46" s="1"/>
      <c r="S46" s="1"/>
      <c r="T46" s="23">
        <v>1</v>
      </c>
      <c r="U46" s="11">
        <f t="shared" si="5"/>
        <v>1.1480576795997355</v>
      </c>
      <c r="V46" s="24">
        <f t="shared" si="6"/>
        <v>0.73317345127230837</v>
      </c>
      <c r="W46" s="4"/>
      <c r="X46" s="54"/>
      <c r="Y46" s="34">
        <v>0</v>
      </c>
      <c r="Z46" s="54">
        <v>0</v>
      </c>
      <c r="AA46" s="54" t="b">
        <f t="shared" si="0"/>
        <v>0</v>
      </c>
      <c r="AB46" s="54" t="b">
        <f t="shared" si="1"/>
        <v>0</v>
      </c>
      <c r="AC46" s="54" t="b">
        <f t="shared" si="2"/>
        <v>1</v>
      </c>
    </row>
    <row r="47" spans="1:29" x14ac:dyDescent="0.25">
      <c r="A47" s="1" t="s">
        <v>1492</v>
      </c>
      <c r="B47" s="1" t="s">
        <v>1695</v>
      </c>
      <c r="C47" s="23">
        <v>0.55302226038825542</v>
      </c>
      <c r="D47" s="11">
        <v>1.8452723210582169</v>
      </c>
      <c r="E47" s="1" t="s">
        <v>1696</v>
      </c>
      <c r="F47" s="1"/>
      <c r="G47" s="1"/>
      <c r="H47" s="1"/>
      <c r="I47" s="1"/>
      <c r="J47" s="1"/>
      <c r="K47" s="23">
        <v>1</v>
      </c>
      <c r="L47" s="11">
        <f t="shared" si="3"/>
        <v>1.8452723210582169</v>
      </c>
      <c r="M47" s="23">
        <f t="shared" si="4"/>
        <v>0.55302226038825542</v>
      </c>
      <c r="N47" s="1"/>
      <c r="O47" s="1"/>
      <c r="P47" s="1"/>
      <c r="Q47" s="1"/>
      <c r="R47" s="1"/>
      <c r="S47" s="1"/>
      <c r="T47" s="23">
        <v>1</v>
      </c>
      <c r="U47" s="11">
        <f t="shared" si="5"/>
        <v>1.8452723210582169</v>
      </c>
      <c r="V47" s="24">
        <f t="shared" si="6"/>
        <v>0.55302226038825542</v>
      </c>
      <c r="W47" s="4"/>
      <c r="X47" s="54"/>
      <c r="Y47" s="34">
        <v>0.55302226038825542</v>
      </c>
      <c r="Z47" s="54">
        <v>1.8452723210582169</v>
      </c>
      <c r="AA47" s="54" t="b">
        <f t="shared" si="0"/>
        <v>1</v>
      </c>
      <c r="AB47" s="54" t="b">
        <f t="shared" si="1"/>
        <v>1</v>
      </c>
      <c r="AC47" s="54" t="b">
        <f t="shared" si="2"/>
        <v>1</v>
      </c>
    </row>
    <row r="48" spans="1:29" x14ac:dyDescent="0.25">
      <c r="A48" s="1" t="s">
        <v>1493</v>
      </c>
      <c r="B48" s="1" t="s">
        <v>1695</v>
      </c>
      <c r="C48" s="23">
        <v>0.53370277950915401</v>
      </c>
      <c r="D48" s="11">
        <v>1.8318755501749584</v>
      </c>
      <c r="E48" s="1" t="s">
        <v>1696</v>
      </c>
      <c r="F48" s="1"/>
      <c r="G48" s="1"/>
      <c r="H48" s="1"/>
      <c r="I48" s="1"/>
      <c r="J48" s="1"/>
      <c r="K48" s="23">
        <v>1</v>
      </c>
      <c r="L48" s="11">
        <f t="shared" si="3"/>
        <v>1.8318755501749584</v>
      </c>
      <c r="M48" s="23">
        <f t="shared" si="4"/>
        <v>0.53370277950915401</v>
      </c>
      <c r="N48" s="1"/>
      <c r="O48" s="1"/>
      <c r="P48" s="1"/>
      <c r="Q48" s="1"/>
      <c r="R48" s="1"/>
      <c r="S48" s="1"/>
      <c r="T48" s="23">
        <v>1</v>
      </c>
      <c r="U48" s="11">
        <f t="shared" si="5"/>
        <v>1.8318755501749584</v>
      </c>
      <c r="V48" s="24">
        <f t="shared" si="6"/>
        <v>0.53370277950915401</v>
      </c>
      <c r="W48" s="4"/>
      <c r="X48" s="54"/>
      <c r="Y48" s="34">
        <v>0.53370277950915401</v>
      </c>
      <c r="Z48" s="54">
        <v>1.8318755501749584</v>
      </c>
      <c r="AA48" s="54" t="b">
        <f t="shared" si="0"/>
        <v>1</v>
      </c>
      <c r="AB48" s="54" t="b">
        <f t="shared" si="1"/>
        <v>1</v>
      </c>
      <c r="AC48" s="54" t="b">
        <f t="shared" si="2"/>
        <v>1</v>
      </c>
    </row>
    <row r="49" spans="1:29" x14ac:dyDescent="0.25">
      <c r="A49" s="1" t="s">
        <v>1621</v>
      </c>
      <c r="B49" s="1" t="s">
        <v>1695</v>
      </c>
      <c r="C49" s="23">
        <v>0.55620054924106133</v>
      </c>
      <c r="D49" s="11">
        <v>5.7927381825905613</v>
      </c>
      <c r="E49" s="1" t="s">
        <v>1696</v>
      </c>
      <c r="F49" s="1"/>
      <c r="G49" s="1"/>
      <c r="H49" s="1"/>
      <c r="I49" s="1"/>
      <c r="J49" s="1"/>
      <c r="K49" s="23">
        <v>1</v>
      </c>
      <c r="L49" s="11">
        <f t="shared" si="3"/>
        <v>5.7927381825905613</v>
      </c>
      <c r="M49" s="23">
        <f t="shared" si="4"/>
        <v>0.55620054924106133</v>
      </c>
      <c r="N49" s="1"/>
      <c r="O49" s="1"/>
      <c r="P49" s="1"/>
      <c r="Q49" s="1"/>
      <c r="R49" s="1"/>
      <c r="S49" s="1"/>
      <c r="T49" s="23">
        <v>1</v>
      </c>
      <c r="U49" s="11">
        <f t="shared" si="5"/>
        <v>5.7927381825905613</v>
      </c>
      <c r="V49" s="24">
        <f t="shared" si="6"/>
        <v>0.55620054924106133</v>
      </c>
      <c r="W49" s="4"/>
      <c r="X49" s="54"/>
      <c r="Y49" s="34">
        <v>0.55620054924106133</v>
      </c>
      <c r="Z49" s="54">
        <v>5.7927381825905613</v>
      </c>
      <c r="AA49" s="54" t="b">
        <f t="shared" si="0"/>
        <v>1</v>
      </c>
      <c r="AB49" s="54" t="b">
        <f t="shared" si="1"/>
        <v>1</v>
      </c>
      <c r="AC49" s="54" t="b">
        <f t="shared" si="2"/>
        <v>1</v>
      </c>
    </row>
    <row r="50" spans="1:29" x14ac:dyDescent="0.25">
      <c r="A50" s="1" t="s">
        <v>1494</v>
      </c>
      <c r="B50" s="1" t="s">
        <v>1695</v>
      </c>
      <c r="C50" s="23">
        <v>0.73317345127230837</v>
      </c>
      <c r="D50" s="11">
        <v>1.1480576795997355</v>
      </c>
      <c r="E50" s="1" t="s">
        <v>1696</v>
      </c>
      <c r="F50" s="1"/>
      <c r="G50" s="1" t="s">
        <v>1696</v>
      </c>
      <c r="H50" s="1"/>
      <c r="I50" s="1" t="s">
        <v>1700</v>
      </c>
      <c r="J50" s="1">
        <v>0.1</v>
      </c>
      <c r="K50" s="23">
        <v>1</v>
      </c>
      <c r="L50" s="11">
        <f t="shared" si="3"/>
        <v>1.2480576795997356</v>
      </c>
      <c r="M50" s="23">
        <f t="shared" si="4"/>
        <v>0.73317345127230837</v>
      </c>
      <c r="N50" s="1"/>
      <c r="O50" s="1"/>
      <c r="P50" s="1"/>
      <c r="Q50" s="1"/>
      <c r="R50" s="1"/>
      <c r="S50" s="1"/>
      <c r="T50" s="23">
        <v>1</v>
      </c>
      <c r="U50" s="11">
        <f t="shared" si="5"/>
        <v>1.1480576795997355</v>
      </c>
      <c r="V50" s="24">
        <f t="shared" si="6"/>
        <v>0.73317345127230837</v>
      </c>
      <c r="W50" s="4"/>
      <c r="X50" s="54"/>
      <c r="Y50" s="34">
        <v>0.73317345127230837</v>
      </c>
      <c r="Z50" s="54">
        <v>1.1480576795997355</v>
      </c>
      <c r="AA50" s="54" t="b">
        <f t="shared" si="0"/>
        <v>1</v>
      </c>
      <c r="AB50" s="54" t="b">
        <f t="shared" si="1"/>
        <v>1</v>
      </c>
      <c r="AC50" s="54" t="b">
        <f t="shared" si="2"/>
        <v>1</v>
      </c>
    </row>
    <row r="51" spans="1:29" x14ac:dyDescent="0.25">
      <c r="A51" s="1" t="s">
        <v>1351</v>
      </c>
      <c r="B51" s="1" t="s">
        <v>1695</v>
      </c>
      <c r="C51" s="23">
        <v>0.81</v>
      </c>
      <c r="D51" s="11">
        <v>0.65</v>
      </c>
      <c r="E51" s="1"/>
      <c r="F51" s="1"/>
      <c r="G51" s="1"/>
      <c r="H51" s="1"/>
      <c r="I51" s="1"/>
      <c r="J51" s="1"/>
      <c r="K51" s="23">
        <v>1</v>
      </c>
      <c r="L51" s="11">
        <f t="shared" si="3"/>
        <v>0.65</v>
      </c>
      <c r="M51" s="23">
        <f t="shared" si="4"/>
        <v>0.81</v>
      </c>
      <c r="N51" s="1" t="s">
        <v>1696</v>
      </c>
      <c r="O51" s="1" t="s">
        <v>1696</v>
      </c>
      <c r="P51" s="1"/>
      <c r="Q51" s="1" t="s">
        <v>1696</v>
      </c>
      <c r="R51" s="1" t="s">
        <v>1700</v>
      </c>
      <c r="S51" s="11">
        <v>0.25531914893617019</v>
      </c>
      <c r="T51" s="23">
        <v>0.93</v>
      </c>
      <c r="U51" s="11">
        <f t="shared" si="5"/>
        <v>0.90531914893617027</v>
      </c>
      <c r="V51" s="24">
        <f t="shared" si="6"/>
        <v>0.75330000000000008</v>
      </c>
      <c r="W51" s="4">
        <v>0.91</v>
      </c>
      <c r="X51" s="54">
        <v>0.75</v>
      </c>
      <c r="Y51" s="34">
        <v>0.63968153466711464</v>
      </c>
      <c r="Z51" s="54">
        <v>1.9888631098911469</v>
      </c>
      <c r="AA51" s="54" t="b">
        <f t="shared" si="0"/>
        <v>0</v>
      </c>
      <c r="AB51" s="54" t="b">
        <f t="shared" si="1"/>
        <v>0</v>
      </c>
      <c r="AC51" s="54" t="b">
        <f t="shared" si="2"/>
        <v>0</v>
      </c>
    </row>
    <row r="52" spans="1:29" x14ac:dyDescent="0.25">
      <c r="A52" s="1" t="s">
        <v>1432</v>
      </c>
      <c r="B52" s="1" t="s">
        <v>1695</v>
      </c>
      <c r="C52" s="23">
        <v>0.73317345127230837</v>
      </c>
      <c r="D52" s="11">
        <v>1.1480576795997355</v>
      </c>
      <c r="E52" s="1"/>
      <c r="F52" s="1"/>
      <c r="G52" s="1"/>
      <c r="H52" s="1"/>
      <c r="I52" s="1"/>
      <c r="J52" s="1"/>
      <c r="K52" s="23">
        <v>1</v>
      </c>
      <c r="L52" s="11">
        <f t="shared" si="3"/>
        <v>1.1480576795997355</v>
      </c>
      <c r="M52" s="23">
        <f t="shared" si="4"/>
        <v>0.73317345127230837</v>
      </c>
      <c r="N52" s="1" t="s">
        <v>1696</v>
      </c>
      <c r="O52" s="1"/>
      <c r="P52" s="1"/>
      <c r="Q52" s="1"/>
      <c r="R52" s="1"/>
      <c r="S52" s="1"/>
      <c r="T52" s="23">
        <v>1</v>
      </c>
      <c r="U52" s="11">
        <f t="shared" si="5"/>
        <v>1.1480576795997355</v>
      </c>
      <c r="V52" s="24">
        <f t="shared" si="6"/>
        <v>0.73317345127230837</v>
      </c>
      <c r="W52" s="4"/>
      <c r="X52" s="54"/>
      <c r="Y52" s="34">
        <v>0.73317345127230837</v>
      </c>
      <c r="Z52" s="54">
        <v>1.1480576795997355</v>
      </c>
      <c r="AA52" s="54" t="b">
        <f t="shared" si="0"/>
        <v>1</v>
      </c>
      <c r="AB52" s="54" t="b">
        <f t="shared" si="1"/>
        <v>1</v>
      </c>
      <c r="AC52" s="54" t="b">
        <f t="shared" si="2"/>
        <v>1</v>
      </c>
    </row>
    <row r="53" spans="1:29" x14ac:dyDescent="0.25">
      <c r="A53" s="1" t="s">
        <v>1431</v>
      </c>
      <c r="B53" s="1" t="s">
        <v>1695</v>
      </c>
      <c r="C53" s="23">
        <v>0.59308538964496971</v>
      </c>
      <c r="D53" s="11">
        <v>0.9</v>
      </c>
      <c r="E53" s="1"/>
      <c r="F53" s="1"/>
      <c r="G53" s="1"/>
      <c r="H53" s="1"/>
      <c r="I53" s="1"/>
      <c r="J53" s="1"/>
      <c r="K53" s="23">
        <v>1</v>
      </c>
      <c r="L53" s="11">
        <f t="shared" si="3"/>
        <v>0.9</v>
      </c>
      <c r="M53" s="23">
        <f t="shared" si="4"/>
        <v>0.59308538964496971</v>
      </c>
      <c r="N53" s="1" t="s">
        <v>1696</v>
      </c>
      <c r="O53" s="1"/>
      <c r="P53" s="1" t="s">
        <v>1696</v>
      </c>
      <c r="Q53" s="1"/>
      <c r="R53" s="1" t="s">
        <v>1700</v>
      </c>
      <c r="S53" s="1">
        <v>0.1</v>
      </c>
      <c r="T53" s="23">
        <v>1</v>
      </c>
      <c r="U53" s="11">
        <f t="shared" si="5"/>
        <v>1</v>
      </c>
      <c r="V53" s="24">
        <f t="shared" si="6"/>
        <v>0.59308538964496971</v>
      </c>
      <c r="W53" s="4">
        <v>2.0299999999999998</v>
      </c>
      <c r="X53" s="54">
        <v>0.55000000000000004</v>
      </c>
      <c r="Y53" s="34">
        <v>0.54657040606456686</v>
      </c>
      <c r="Z53" s="54">
        <v>1.926935234808824</v>
      </c>
      <c r="AA53" s="54" t="b">
        <f t="shared" si="0"/>
        <v>0</v>
      </c>
      <c r="AB53" s="54" t="b">
        <f t="shared" si="1"/>
        <v>0</v>
      </c>
      <c r="AC53" s="54" t="b">
        <f t="shared" si="2"/>
        <v>1</v>
      </c>
    </row>
    <row r="54" spans="1:29" x14ac:dyDescent="0.25">
      <c r="A54" s="1" t="s">
        <v>1366</v>
      </c>
      <c r="B54" s="1" t="s">
        <v>1695</v>
      </c>
      <c r="C54" s="23">
        <v>0.71222563837881381</v>
      </c>
      <c r="D54" s="11">
        <v>1.2525214347987847</v>
      </c>
      <c r="E54" s="1"/>
      <c r="F54" s="1"/>
      <c r="G54" s="1"/>
      <c r="H54" s="1"/>
      <c r="I54" s="1"/>
      <c r="J54" s="1"/>
      <c r="K54" s="23">
        <v>1</v>
      </c>
      <c r="L54" s="11">
        <f t="shared" si="3"/>
        <v>1.2525214347987847</v>
      </c>
      <c r="M54" s="23">
        <f t="shared" si="4"/>
        <v>0.71222563837881381</v>
      </c>
      <c r="N54" s="1" t="s">
        <v>1696</v>
      </c>
      <c r="O54" s="1"/>
      <c r="P54" s="1"/>
      <c r="Q54" s="1"/>
      <c r="R54" s="1"/>
      <c r="S54" s="1"/>
      <c r="T54" s="23">
        <v>1</v>
      </c>
      <c r="U54" s="11">
        <f t="shared" si="5"/>
        <v>1.2525214347987847</v>
      </c>
      <c r="V54" s="24">
        <f t="shared" si="6"/>
        <v>0.71222563837881381</v>
      </c>
      <c r="W54" s="4">
        <v>1.25</v>
      </c>
      <c r="X54" s="24">
        <v>0.71</v>
      </c>
      <c r="Y54" s="34">
        <v>0.71222563837881381</v>
      </c>
      <c r="Z54" s="54">
        <v>1.2525214347987847</v>
      </c>
      <c r="AA54" s="54" t="b">
        <f t="shared" si="0"/>
        <v>1</v>
      </c>
      <c r="AB54" s="54" t="b">
        <f t="shared" si="1"/>
        <v>1</v>
      </c>
      <c r="AC54" s="54" t="b">
        <f t="shared" si="2"/>
        <v>1</v>
      </c>
    </row>
    <row r="55" spans="1:29" x14ac:dyDescent="0.25">
      <c r="A55" s="1" t="s">
        <v>1373</v>
      </c>
      <c r="B55" s="1" t="s">
        <v>1695</v>
      </c>
      <c r="C55" s="23">
        <v>0.71506673850809344</v>
      </c>
      <c r="D55" s="11">
        <v>1.2475449219522261</v>
      </c>
      <c r="E55" s="1" t="s">
        <v>1696</v>
      </c>
      <c r="F55" s="1"/>
      <c r="G55" s="1"/>
      <c r="H55" s="1"/>
      <c r="I55" s="1"/>
      <c r="J55" s="1"/>
      <c r="K55" s="23">
        <v>1</v>
      </c>
      <c r="L55" s="11">
        <f t="shared" si="3"/>
        <v>1.2475449219522261</v>
      </c>
      <c r="M55" s="23">
        <f t="shared" si="4"/>
        <v>0.71506673850809344</v>
      </c>
      <c r="N55" s="1" t="s">
        <v>1696</v>
      </c>
      <c r="O55" s="1"/>
      <c r="P55" s="1"/>
      <c r="Q55" s="1"/>
      <c r="R55" s="1"/>
      <c r="S55" s="1"/>
      <c r="T55" s="23">
        <v>1</v>
      </c>
      <c r="U55" s="11">
        <f t="shared" si="5"/>
        <v>1.2475449219522261</v>
      </c>
      <c r="V55" s="24">
        <f t="shared" si="6"/>
        <v>0.71506673850809344</v>
      </c>
      <c r="W55" s="4">
        <v>1.25</v>
      </c>
      <c r="X55" s="54">
        <v>0.72</v>
      </c>
      <c r="Y55" s="34">
        <v>0.71506673850809344</v>
      </c>
      <c r="Z55" s="54">
        <v>1.2475449219522261</v>
      </c>
      <c r="AA55" s="54" t="b">
        <f t="shared" si="0"/>
        <v>1</v>
      </c>
      <c r="AB55" s="54" t="b">
        <f t="shared" si="1"/>
        <v>1</v>
      </c>
      <c r="AC55" s="54" t="b">
        <f t="shared" si="2"/>
        <v>1</v>
      </c>
    </row>
    <row r="56" spans="1:29" x14ac:dyDescent="0.25">
      <c r="A56" s="1" t="s">
        <v>1342</v>
      </c>
      <c r="B56" s="1" t="s">
        <v>1695</v>
      </c>
      <c r="C56" s="23">
        <v>0.71506673850809344</v>
      </c>
      <c r="D56" s="11">
        <v>1.2475449219522261</v>
      </c>
      <c r="E56" s="1"/>
      <c r="F56" s="1"/>
      <c r="G56" s="1"/>
      <c r="H56" s="1"/>
      <c r="I56" s="1"/>
      <c r="J56" s="1"/>
      <c r="K56" s="23">
        <v>1</v>
      </c>
      <c r="L56" s="11">
        <f t="shared" si="3"/>
        <v>1.2475449219522261</v>
      </c>
      <c r="M56" s="23">
        <f t="shared" si="4"/>
        <v>0.71506673850809344</v>
      </c>
      <c r="N56" s="1" t="s">
        <v>1696</v>
      </c>
      <c r="O56" s="1"/>
      <c r="P56" s="1"/>
      <c r="Q56" s="1"/>
      <c r="R56" s="1"/>
      <c r="S56" s="1"/>
      <c r="T56" s="23">
        <v>1</v>
      </c>
      <c r="U56" s="11">
        <f t="shared" si="5"/>
        <v>1.2475449219522261</v>
      </c>
      <c r="V56" s="24">
        <f t="shared" si="6"/>
        <v>0.71506673850809344</v>
      </c>
      <c r="W56" s="4"/>
      <c r="X56" s="54"/>
      <c r="Y56" s="34">
        <v>0.71506673850809344</v>
      </c>
      <c r="Z56" s="54">
        <v>1.2475449219522261</v>
      </c>
      <c r="AA56" s="54" t="b">
        <f t="shared" si="0"/>
        <v>1</v>
      </c>
      <c r="AB56" s="54" t="b">
        <f t="shared" si="1"/>
        <v>1</v>
      </c>
      <c r="AC56" s="54" t="b">
        <f t="shared" si="2"/>
        <v>1</v>
      </c>
    </row>
    <row r="57" spans="1:29" x14ac:dyDescent="0.25">
      <c r="A57" s="1" t="s">
        <v>1433</v>
      </c>
      <c r="B57" s="1" t="s">
        <v>1695</v>
      </c>
      <c r="C57" s="23">
        <v>0.71850998224686213</v>
      </c>
      <c r="D57" s="11">
        <v>1.2415664368267838</v>
      </c>
      <c r="E57" s="1"/>
      <c r="F57" s="1"/>
      <c r="G57" s="1"/>
      <c r="H57" s="1"/>
      <c r="I57" s="1"/>
      <c r="J57" s="1"/>
      <c r="K57" s="23">
        <v>1</v>
      </c>
      <c r="L57" s="11">
        <f t="shared" si="3"/>
        <v>1.2415664368267838</v>
      </c>
      <c r="M57" s="23">
        <f t="shared" si="4"/>
        <v>0.71850998224686213</v>
      </c>
      <c r="N57" s="1" t="s">
        <v>1696</v>
      </c>
      <c r="O57" s="1"/>
      <c r="P57" s="1"/>
      <c r="Q57" s="1"/>
      <c r="R57" s="1" t="s">
        <v>1700</v>
      </c>
      <c r="S57" s="1"/>
      <c r="T57" s="23">
        <v>1</v>
      </c>
      <c r="U57" s="11">
        <f t="shared" si="5"/>
        <v>1.2415664368267838</v>
      </c>
      <c r="V57" s="24">
        <f t="shared" si="6"/>
        <v>0.71850998224686213</v>
      </c>
      <c r="W57" s="4"/>
      <c r="X57" s="54"/>
      <c r="Y57" s="34">
        <v>0.71850998224686213</v>
      </c>
      <c r="Z57" s="54">
        <v>1.2415664368267838</v>
      </c>
      <c r="AA57" s="54" t="b">
        <f t="shared" si="0"/>
        <v>1</v>
      </c>
      <c r="AB57" s="54" t="b">
        <f t="shared" si="1"/>
        <v>1</v>
      </c>
      <c r="AC57" s="54" t="b">
        <f t="shared" si="2"/>
        <v>1</v>
      </c>
    </row>
    <row r="58" spans="1:29" x14ac:dyDescent="0.25">
      <c r="A58" s="1" t="s">
        <v>1348</v>
      </c>
      <c r="B58" s="1" t="s">
        <v>1695</v>
      </c>
      <c r="C58" s="23">
        <v>0.65252437163235444</v>
      </c>
      <c r="D58" s="11">
        <v>1.8506895055776709</v>
      </c>
      <c r="E58" s="1"/>
      <c r="F58" s="1"/>
      <c r="G58" s="1"/>
      <c r="H58" s="1"/>
      <c r="I58" s="1"/>
      <c r="J58" s="1"/>
      <c r="K58" s="23">
        <v>1</v>
      </c>
      <c r="L58" s="11">
        <f t="shared" si="3"/>
        <v>1.8506895055776709</v>
      </c>
      <c r="M58" s="23">
        <f t="shared" si="4"/>
        <v>0.65252437163235444</v>
      </c>
      <c r="N58" s="1" t="s">
        <v>1696</v>
      </c>
      <c r="O58" s="1"/>
      <c r="P58" s="1"/>
      <c r="Q58" s="1"/>
      <c r="R58" s="1" t="s">
        <v>1700</v>
      </c>
      <c r="S58" s="1"/>
      <c r="T58" s="23">
        <v>1</v>
      </c>
      <c r="U58" s="11">
        <f t="shared" si="5"/>
        <v>1.8506895055776709</v>
      </c>
      <c r="V58" s="24">
        <f t="shared" si="6"/>
        <v>0.65252437163235444</v>
      </c>
      <c r="W58" s="4"/>
      <c r="X58" s="54"/>
      <c r="Y58" s="34">
        <v>0.65252437163235444</v>
      </c>
      <c r="Z58" s="54">
        <v>1.8506895055776709</v>
      </c>
      <c r="AA58" s="54" t="b">
        <f t="shared" si="0"/>
        <v>1</v>
      </c>
      <c r="AB58" s="54" t="b">
        <f t="shared" si="1"/>
        <v>1</v>
      </c>
      <c r="AC58" s="54" t="b">
        <f t="shared" si="2"/>
        <v>1</v>
      </c>
    </row>
    <row r="59" spans="1:29" x14ac:dyDescent="0.25">
      <c r="A59" s="1" t="s">
        <v>1347</v>
      </c>
      <c r="B59" s="1" t="s">
        <v>1695</v>
      </c>
      <c r="C59" s="23">
        <v>0.65252437163235444</v>
      </c>
      <c r="D59" s="11">
        <v>1.8506895055776709</v>
      </c>
      <c r="E59" s="1"/>
      <c r="F59" s="1"/>
      <c r="G59" s="1"/>
      <c r="H59" s="1"/>
      <c r="I59" s="1"/>
      <c r="J59" s="1"/>
      <c r="K59" s="23">
        <v>1</v>
      </c>
      <c r="L59" s="11">
        <f t="shared" si="3"/>
        <v>1.8506895055776709</v>
      </c>
      <c r="M59" s="23">
        <f t="shared" si="4"/>
        <v>0.65252437163235444</v>
      </c>
      <c r="N59" s="1" t="s">
        <v>1696</v>
      </c>
      <c r="O59" s="1" t="s">
        <v>1696</v>
      </c>
      <c r="P59" s="1"/>
      <c r="Q59" s="1" t="s">
        <v>1696</v>
      </c>
      <c r="R59" s="1" t="s">
        <v>1700</v>
      </c>
      <c r="S59" s="11">
        <v>0.25531914893617019</v>
      </c>
      <c r="T59" s="23">
        <v>0.94</v>
      </c>
      <c r="U59" s="11">
        <f t="shared" si="5"/>
        <v>2.106008654513841</v>
      </c>
      <c r="V59" s="24">
        <f t="shared" si="6"/>
        <v>0.61337290933441313</v>
      </c>
      <c r="W59" s="4"/>
      <c r="X59" s="54"/>
      <c r="Y59" s="34">
        <v>0.65252437163235444</v>
      </c>
      <c r="Z59" s="54">
        <v>1.8506895055776709</v>
      </c>
      <c r="AA59" s="54" t="b">
        <f t="shared" si="0"/>
        <v>1</v>
      </c>
      <c r="AB59" s="54" t="b">
        <f t="shared" si="1"/>
        <v>1</v>
      </c>
      <c r="AC59" s="54" t="b">
        <f t="shared" si="2"/>
        <v>0</v>
      </c>
    </row>
    <row r="60" spans="1:29" x14ac:dyDescent="0.25">
      <c r="A60" s="1" t="s">
        <v>1430</v>
      </c>
      <c r="B60" s="1" t="s">
        <v>1695</v>
      </c>
      <c r="C60" s="23">
        <v>0.71850998224686224</v>
      </c>
      <c r="D60" s="11">
        <v>1.7110957948741659</v>
      </c>
      <c r="E60" s="1"/>
      <c r="F60" s="1"/>
      <c r="G60" s="1"/>
      <c r="H60" s="1"/>
      <c r="I60" s="1"/>
      <c r="J60" s="1"/>
      <c r="K60" s="23">
        <v>1</v>
      </c>
      <c r="L60" s="11">
        <f t="shared" si="3"/>
        <v>1.7110957948741659</v>
      </c>
      <c r="M60" s="23">
        <f t="shared" si="4"/>
        <v>0.71850998224686224</v>
      </c>
      <c r="N60" s="1" t="s">
        <v>1696</v>
      </c>
      <c r="O60" s="1"/>
      <c r="P60" s="1"/>
      <c r="Q60" s="1"/>
      <c r="R60" s="1" t="s">
        <v>1700</v>
      </c>
      <c r="S60" s="1"/>
      <c r="T60" s="23">
        <v>1</v>
      </c>
      <c r="U60" s="11">
        <f t="shared" si="5"/>
        <v>1.7110957948741659</v>
      </c>
      <c r="V60" s="24">
        <f t="shared" si="6"/>
        <v>0.71850998224686224</v>
      </c>
      <c r="W60" s="4"/>
      <c r="X60" s="54"/>
      <c r="Y60" s="34">
        <v>0.71850998224686224</v>
      </c>
      <c r="Z60" s="54">
        <v>1.7110957948741659</v>
      </c>
      <c r="AA60" s="54" t="b">
        <f t="shared" si="0"/>
        <v>1</v>
      </c>
      <c r="AB60" s="54" t="b">
        <f t="shared" si="1"/>
        <v>1</v>
      </c>
      <c r="AC60" s="54" t="b">
        <f t="shared" si="2"/>
        <v>1</v>
      </c>
    </row>
    <row r="61" spans="1:29" x14ac:dyDescent="0.25">
      <c r="A61" s="1" t="s">
        <v>1593</v>
      </c>
      <c r="B61" s="1" t="s">
        <v>1695</v>
      </c>
      <c r="C61" s="23">
        <v>0.70967741935483875</v>
      </c>
      <c r="D61" s="11">
        <v>20.129870129870131</v>
      </c>
      <c r="E61" s="1" t="s">
        <v>1696</v>
      </c>
      <c r="F61" s="1"/>
      <c r="G61" s="1"/>
      <c r="H61" s="1"/>
      <c r="I61" s="1"/>
      <c r="J61" s="1"/>
      <c r="K61" s="23">
        <v>1</v>
      </c>
      <c r="L61" s="11">
        <f t="shared" si="3"/>
        <v>20.129870129870131</v>
      </c>
      <c r="M61" s="23">
        <f t="shared" si="4"/>
        <v>0.70967741935483875</v>
      </c>
      <c r="N61" s="1"/>
      <c r="O61" s="1"/>
      <c r="P61" s="1"/>
      <c r="Q61" s="1"/>
      <c r="R61" s="1"/>
      <c r="S61" s="1"/>
      <c r="T61" s="23">
        <v>1</v>
      </c>
      <c r="U61" s="11">
        <f t="shared" si="5"/>
        <v>20.129870129870131</v>
      </c>
      <c r="V61" s="24">
        <f t="shared" si="6"/>
        <v>0.70967741935483875</v>
      </c>
      <c r="W61" s="4"/>
      <c r="X61" s="54"/>
      <c r="Y61" s="34">
        <v>0.70967741935483875</v>
      </c>
      <c r="Z61" s="54">
        <v>20.129870129870131</v>
      </c>
      <c r="AA61" s="54" t="b">
        <f t="shared" si="0"/>
        <v>1</v>
      </c>
      <c r="AB61" s="54" t="b">
        <f t="shared" si="1"/>
        <v>1</v>
      </c>
      <c r="AC61" s="54" t="b">
        <f t="shared" si="2"/>
        <v>1</v>
      </c>
    </row>
    <row r="62" spans="1:29" x14ac:dyDescent="0.25">
      <c r="A62" s="1" t="s">
        <v>1598</v>
      </c>
      <c r="B62" s="1" t="s">
        <v>1695</v>
      </c>
      <c r="C62" s="23">
        <v>0.70967741935483875</v>
      </c>
      <c r="D62" s="11">
        <v>20.129870129870131</v>
      </c>
      <c r="E62" s="1" t="s">
        <v>1696</v>
      </c>
      <c r="F62" s="1"/>
      <c r="G62" s="1"/>
      <c r="H62" s="1"/>
      <c r="I62" s="1"/>
      <c r="J62" s="1"/>
      <c r="K62" s="23">
        <v>1</v>
      </c>
      <c r="L62" s="11">
        <f t="shared" si="3"/>
        <v>20.129870129870131</v>
      </c>
      <c r="M62" s="23">
        <f t="shared" si="4"/>
        <v>0.70967741935483875</v>
      </c>
      <c r="N62" s="1"/>
      <c r="O62" s="1"/>
      <c r="P62" s="1"/>
      <c r="Q62" s="1"/>
      <c r="R62" s="1"/>
      <c r="S62" s="1"/>
      <c r="T62" s="23">
        <v>1</v>
      </c>
      <c r="U62" s="11">
        <f t="shared" si="5"/>
        <v>20.129870129870131</v>
      </c>
      <c r="V62" s="24">
        <f t="shared" si="6"/>
        <v>0.70967741935483875</v>
      </c>
      <c r="W62" s="4"/>
      <c r="X62" s="54"/>
      <c r="Y62" s="34">
        <v>0.70967741935483875</v>
      </c>
      <c r="Z62" s="54">
        <v>20.129870129870131</v>
      </c>
      <c r="AA62" s="54" t="b">
        <f t="shared" si="0"/>
        <v>1</v>
      </c>
      <c r="AB62" s="54" t="b">
        <f t="shared" si="1"/>
        <v>1</v>
      </c>
      <c r="AC62" s="54" t="b">
        <f t="shared" si="2"/>
        <v>1</v>
      </c>
    </row>
    <row r="63" spans="1:29" x14ac:dyDescent="0.25">
      <c r="A63" s="1" t="s">
        <v>1592</v>
      </c>
      <c r="B63" s="1" t="s">
        <v>1695</v>
      </c>
      <c r="C63" s="23">
        <v>0.7069767441860465</v>
      </c>
      <c r="D63" s="11">
        <v>12.171052631578947</v>
      </c>
      <c r="E63" s="1" t="s">
        <v>1696</v>
      </c>
      <c r="F63" s="1"/>
      <c r="G63" s="1"/>
      <c r="H63" s="1"/>
      <c r="I63" s="1"/>
      <c r="J63" s="1"/>
      <c r="K63" s="23">
        <v>1</v>
      </c>
      <c r="L63" s="11">
        <f t="shared" si="3"/>
        <v>12.171052631578947</v>
      </c>
      <c r="M63" s="23">
        <f t="shared" si="4"/>
        <v>0.7069767441860465</v>
      </c>
      <c r="N63" s="1"/>
      <c r="O63" s="1"/>
      <c r="P63" s="1"/>
      <c r="Q63" s="1"/>
      <c r="R63" s="1"/>
      <c r="S63" s="1"/>
      <c r="T63" s="23">
        <v>1</v>
      </c>
      <c r="U63" s="11">
        <f t="shared" si="5"/>
        <v>12.171052631578947</v>
      </c>
      <c r="V63" s="24">
        <f t="shared" si="6"/>
        <v>0.7069767441860465</v>
      </c>
      <c r="W63" s="4"/>
      <c r="X63" s="54"/>
      <c r="Y63" s="34">
        <v>0.7069767441860465</v>
      </c>
      <c r="Z63" s="54">
        <v>12.171052631578947</v>
      </c>
      <c r="AA63" s="54" t="b">
        <f t="shared" si="0"/>
        <v>1</v>
      </c>
      <c r="AB63" s="54" t="b">
        <f t="shared" si="1"/>
        <v>1</v>
      </c>
      <c r="AC63" s="54" t="b">
        <f t="shared" si="2"/>
        <v>1</v>
      </c>
    </row>
    <row r="64" spans="1:29" x14ac:dyDescent="0.25">
      <c r="A64" s="1" t="s">
        <v>1495</v>
      </c>
      <c r="B64" s="1" t="s">
        <v>1695</v>
      </c>
      <c r="C64" s="23">
        <v>0.55180949227336884</v>
      </c>
      <c r="D64" s="11">
        <v>5.5312544766665406</v>
      </c>
      <c r="E64" s="1" t="s">
        <v>1696</v>
      </c>
      <c r="F64" s="1"/>
      <c r="G64" s="1"/>
      <c r="H64" s="1"/>
      <c r="I64" s="1"/>
      <c r="J64" s="1"/>
      <c r="K64" s="23">
        <v>1</v>
      </c>
      <c r="L64" s="11">
        <f t="shared" si="3"/>
        <v>5.5312544766665406</v>
      </c>
      <c r="M64" s="23">
        <f t="shared" si="4"/>
        <v>0.55180949227336884</v>
      </c>
      <c r="N64" s="1"/>
      <c r="O64" s="1"/>
      <c r="P64" s="1"/>
      <c r="Q64" s="1"/>
      <c r="R64" s="1"/>
      <c r="S64" s="1"/>
      <c r="T64" s="23">
        <v>1</v>
      </c>
      <c r="U64" s="11">
        <f t="shared" si="5"/>
        <v>5.5312544766665406</v>
      </c>
      <c r="V64" s="24">
        <f t="shared" si="6"/>
        <v>0.55180949227336884</v>
      </c>
      <c r="W64" s="4"/>
      <c r="X64" s="54"/>
      <c r="Y64" s="34">
        <v>0.55180949227336884</v>
      </c>
      <c r="Z64" s="54">
        <v>5.5312544766665406</v>
      </c>
      <c r="AA64" s="54" t="b">
        <f t="shared" si="0"/>
        <v>1</v>
      </c>
      <c r="AB64" s="54" t="b">
        <f t="shared" si="1"/>
        <v>1</v>
      </c>
      <c r="AC64" s="54" t="b">
        <f t="shared" si="2"/>
        <v>1</v>
      </c>
    </row>
    <row r="65" spans="1:29" x14ac:dyDescent="0.25">
      <c r="A65" s="1" t="s">
        <v>1616</v>
      </c>
      <c r="B65" s="1" t="s">
        <v>1695</v>
      </c>
      <c r="C65" s="23">
        <v>0.23461550440713869</v>
      </c>
      <c r="D65" s="11">
        <v>17.008394399603507</v>
      </c>
      <c r="E65" s="1" t="s">
        <v>1696</v>
      </c>
      <c r="F65" s="1"/>
      <c r="G65" s="1"/>
      <c r="H65" s="1"/>
      <c r="I65" s="1"/>
      <c r="J65" s="1"/>
      <c r="K65" s="23">
        <v>1</v>
      </c>
      <c r="L65" s="11">
        <f t="shared" si="3"/>
        <v>17.008394399603507</v>
      </c>
      <c r="M65" s="23">
        <f t="shared" si="4"/>
        <v>0.23461550440713869</v>
      </c>
      <c r="N65" s="1"/>
      <c r="O65" s="1"/>
      <c r="P65" s="1"/>
      <c r="Q65" s="1"/>
      <c r="R65" s="1"/>
      <c r="S65" s="1"/>
      <c r="T65" s="23">
        <v>1</v>
      </c>
      <c r="U65" s="11">
        <f t="shared" si="5"/>
        <v>17.008394399603507</v>
      </c>
      <c r="V65" s="24">
        <f t="shared" si="6"/>
        <v>0.23461550440713869</v>
      </c>
      <c r="W65" s="4"/>
      <c r="X65" s="54"/>
      <c r="Y65" s="34">
        <v>0.18017857364600517</v>
      </c>
      <c r="Z65" s="54">
        <v>22.147100792675207</v>
      </c>
      <c r="AA65" s="54" t="b">
        <f t="shared" si="0"/>
        <v>0</v>
      </c>
      <c r="AB65" s="54" t="b">
        <f t="shared" si="1"/>
        <v>0</v>
      </c>
      <c r="AC65" s="54" t="b">
        <f t="shared" si="2"/>
        <v>1</v>
      </c>
    </row>
    <row r="66" spans="1:29" x14ac:dyDescent="0.25">
      <c r="A66" s="1" t="s">
        <v>1474</v>
      </c>
      <c r="B66" s="1" t="s">
        <v>1695</v>
      </c>
      <c r="C66" s="23">
        <v>0.54988008845423131</v>
      </c>
      <c r="D66" s="11">
        <v>2.1869945561534343</v>
      </c>
      <c r="E66" s="1" t="s">
        <v>1696</v>
      </c>
      <c r="F66" s="1"/>
      <c r="G66" s="1" t="s">
        <v>1696</v>
      </c>
      <c r="H66" s="1"/>
      <c r="I66" s="1" t="s">
        <v>1700</v>
      </c>
      <c r="J66" s="1">
        <v>0.1</v>
      </c>
      <c r="K66" s="23">
        <v>1</v>
      </c>
      <c r="L66" s="11">
        <f t="shared" si="3"/>
        <v>2.2869945561534344</v>
      </c>
      <c r="M66" s="23">
        <f t="shared" si="4"/>
        <v>0.54988008845423131</v>
      </c>
      <c r="N66" s="1"/>
      <c r="O66" s="1"/>
      <c r="P66" s="1"/>
      <c r="Q66" s="1"/>
      <c r="R66" s="1"/>
      <c r="S66" s="1"/>
      <c r="T66" s="23">
        <v>1</v>
      </c>
      <c r="U66" s="11">
        <f t="shared" si="5"/>
        <v>2.1869945561534343</v>
      </c>
      <c r="V66" s="24">
        <f t="shared" si="6"/>
        <v>0.54988008845423131</v>
      </c>
      <c r="W66" s="4"/>
      <c r="X66" s="54"/>
      <c r="Y66" s="34">
        <v>0.54988008845423131</v>
      </c>
      <c r="Z66" s="54">
        <v>2.1869945561534343</v>
      </c>
      <c r="AA66" s="54" t="b">
        <f t="shared" ref="AA66:AA129" si="7">C66=Y66</f>
        <v>1</v>
      </c>
      <c r="AB66" s="54" t="b">
        <f t="shared" ref="AB66:AB129" si="8">D66=Z66</f>
        <v>1</v>
      </c>
      <c r="AC66" s="54" t="b">
        <f t="shared" ref="AC66:AC129" si="9">V66=M66</f>
        <v>1</v>
      </c>
    </row>
    <row r="67" spans="1:29" x14ac:dyDescent="0.25">
      <c r="A67" s="1" t="s">
        <v>1476</v>
      </c>
      <c r="B67" s="1" t="s">
        <v>1695</v>
      </c>
      <c r="C67" s="23">
        <v>0.73317345127230837</v>
      </c>
      <c r="D67" s="11">
        <v>1.1480576795997355</v>
      </c>
      <c r="E67" s="1" t="s">
        <v>1696</v>
      </c>
      <c r="F67" s="1"/>
      <c r="G67" s="1" t="s">
        <v>1696</v>
      </c>
      <c r="H67" s="1"/>
      <c r="I67" s="1" t="s">
        <v>1700</v>
      </c>
      <c r="J67" s="1">
        <v>0.1</v>
      </c>
      <c r="K67" s="23">
        <v>1</v>
      </c>
      <c r="L67" s="11">
        <f t="shared" ref="L67:L130" si="10">D67+J67</f>
        <v>1.2480576795997356</v>
      </c>
      <c r="M67" s="23">
        <f t="shared" ref="M67:M130" si="11">C67*K67</f>
        <v>0.73317345127230837</v>
      </c>
      <c r="N67" s="1"/>
      <c r="O67" s="1"/>
      <c r="P67" s="1"/>
      <c r="Q67" s="1"/>
      <c r="R67" s="1"/>
      <c r="S67" s="1"/>
      <c r="T67" s="23">
        <v>1</v>
      </c>
      <c r="U67" s="11">
        <f t="shared" ref="U67:U130" si="12">S67+D67</f>
        <v>1.1480576795997355</v>
      </c>
      <c r="V67" s="24">
        <f t="shared" ref="V67:V130" si="13">T67*C67</f>
        <v>0.73317345127230837</v>
      </c>
      <c r="W67" s="4"/>
      <c r="X67" s="54"/>
      <c r="Y67" s="34">
        <v>0.73317345127230837</v>
      </c>
      <c r="Z67" s="54">
        <v>1.1480576795997355</v>
      </c>
      <c r="AA67" s="54" t="b">
        <f t="shared" si="7"/>
        <v>1</v>
      </c>
      <c r="AB67" s="54" t="b">
        <f t="shared" si="8"/>
        <v>1</v>
      </c>
      <c r="AC67" s="54" t="b">
        <f t="shared" si="9"/>
        <v>1</v>
      </c>
    </row>
    <row r="68" spans="1:29" x14ac:dyDescent="0.25">
      <c r="A68" s="1" t="s">
        <v>1496</v>
      </c>
      <c r="B68" s="1" t="s">
        <v>1695</v>
      </c>
      <c r="C68" s="23">
        <v>0.73317345127230837</v>
      </c>
      <c r="D68" s="11">
        <v>1.1480576795997355</v>
      </c>
      <c r="E68" s="1" t="s">
        <v>1696</v>
      </c>
      <c r="F68" s="1"/>
      <c r="G68" s="1" t="s">
        <v>1696</v>
      </c>
      <c r="H68" s="1"/>
      <c r="I68" s="1" t="s">
        <v>1700</v>
      </c>
      <c r="J68" s="1">
        <v>0.1</v>
      </c>
      <c r="K68" s="23">
        <v>1</v>
      </c>
      <c r="L68" s="11">
        <f t="shared" si="10"/>
        <v>1.2480576795997356</v>
      </c>
      <c r="M68" s="23">
        <f t="shared" si="11"/>
        <v>0.73317345127230837</v>
      </c>
      <c r="N68" s="1"/>
      <c r="O68" s="1"/>
      <c r="P68" s="1"/>
      <c r="Q68" s="1"/>
      <c r="R68" s="1"/>
      <c r="S68" s="1"/>
      <c r="T68" s="23">
        <v>1</v>
      </c>
      <c r="U68" s="11">
        <f t="shared" si="12"/>
        <v>1.1480576795997355</v>
      </c>
      <c r="V68" s="24">
        <f t="shared" si="13"/>
        <v>0.73317345127230837</v>
      </c>
      <c r="W68" s="4"/>
      <c r="X68" s="54"/>
      <c r="Y68" s="34">
        <v>0.73317345127230837</v>
      </c>
      <c r="Z68" s="54">
        <v>1.1480576795997355</v>
      </c>
      <c r="AA68" s="54" t="b">
        <f t="shared" si="7"/>
        <v>1</v>
      </c>
      <c r="AB68" s="54" t="b">
        <f t="shared" si="8"/>
        <v>1</v>
      </c>
      <c r="AC68" s="54" t="b">
        <f t="shared" si="9"/>
        <v>1</v>
      </c>
    </row>
    <row r="69" spans="1:29" x14ac:dyDescent="0.25">
      <c r="A69" s="1" t="s">
        <v>1497</v>
      </c>
      <c r="B69" s="1" t="s">
        <v>1695</v>
      </c>
      <c r="C69" s="23">
        <v>0.49780219780219787</v>
      </c>
      <c r="D69" s="11">
        <v>2.9323031640912434</v>
      </c>
      <c r="E69" s="1" t="s">
        <v>1696</v>
      </c>
      <c r="F69" s="1"/>
      <c r="G69" s="1"/>
      <c r="H69" s="1"/>
      <c r="I69" s="1"/>
      <c r="J69" s="1"/>
      <c r="K69" s="23">
        <v>1</v>
      </c>
      <c r="L69" s="11">
        <f t="shared" si="10"/>
        <v>2.9323031640912434</v>
      </c>
      <c r="M69" s="23">
        <f t="shared" si="11"/>
        <v>0.49780219780219787</v>
      </c>
      <c r="N69" s="1"/>
      <c r="O69" s="1"/>
      <c r="P69" s="1"/>
      <c r="Q69" s="1"/>
      <c r="R69" s="1"/>
      <c r="S69" s="1"/>
      <c r="T69" s="23">
        <v>1</v>
      </c>
      <c r="U69" s="11">
        <f t="shared" si="12"/>
        <v>2.9323031640912434</v>
      </c>
      <c r="V69" s="24">
        <f t="shared" si="13"/>
        <v>0.49780219780219787</v>
      </c>
      <c r="W69" s="4">
        <v>2.93</v>
      </c>
      <c r="X69" s="54">
        <v>0.5</v>
      </c>
      <c r="Y69" s="34">
        <v>0.49780219780219787</v>
      </c>
      <c r="Z69" s="54">
        <v>2.9323031640912434</v>
      </c>
      <c r="AA69" s="54" t="b">
        <f t="shared" si="7"/>
        <v>1</v>
      </c>
      <c r="AB69" s="54" t="b">
        <f t="shared" si="8"/>
        <v>1</v>
      </c>
      <c r="AC69" s="54" t="b">
        <f t="shared" si="9"/>
        <v>1</v>
      </c>
    </row>
    <row r="70" spans="1:29" x14ac:dyDescent="0.25">
      <c r="A70" s="1" t="s">
        <v>1498</v>
      </c>
      <c r="B70" s="1" t="s">
        <v>1695</v>
      </c>
      <c r="C70" s="23">
        <v>0.3530120481927711</v>
      </c>
      <c r="D70" s="11">
        <v>4.8350398179749714</v>
      </c>
      <c r="E70" s="1" t="s">
        <v>1696</v>
      </c>
      <c r="F70" s="1"/>
      <c r="G70" s="1"/>
      <c r="H70" s="1"/>
      <c r="I70" s="1"/>
      <c r="J70" s="1"/>
      <c r="K70" s="23">
        <v>1</v>
      </c>
      <c r="L70" s="11">
        <f t="shared" si="10"/>
        <v>4.8350398179749714</v>
      </c>
      <c r="M70" s="23">
        <f t="shared" si="11"/>
        <v>0.3530120481927711</v>
      </c>
      <c r="N70" s="1"/>
      <c r="O70" s="1"/>
      <c r="P70" s="1"/>
      <c r="Q70" s="1"/>
      <c r="R70" s="1"/>
      <c r="S70" s="1"/>
      <c r="T70" s="23">
        <v>1</v>
      </c>
      <c r="U70" s="11">
        <f t="shared" si="12"/>
        <v>4.8350398179749714</v>
      </c>
      <c r="V70" s="24">
        <f t="shared" si="13"/>
        <v>0.3530120481927711</v>
      </c>
      <c r="W70" s="4">
        <v>4.84</v>
      </c>
      <c r="X70" s="54">
        <v>0.35</v>
      </c>
      <c r="Y70" s="34">
        <v>0.3530120481927711</v>
      </c>
      <c r="Z70" s="54">
        <v>4.8350398179749714</v>
      </c>
      <c r="AA70" s="54" t="b">
        <f t="shared" si="7"/>
        <v>1</v>
      </c>
      <c r="AB70" s="54" t="b">
        <f t="shared" si="8"/>
        <v>1</v>
      </c>
      <c r="AC70" s="54" t="b">
        <f t="shared" si="9"/>
        <v>1</v>
      </c>
    </row>
    <row r="71" spans="1:29" x14ac:dyDescent="0.25">
      <c r="A71" s="1" t="s">
        <v>1460</v>
      </c>
      <c r="B71" s="1" t="s">
        <v>1695</v>
      </c>
      <c r="C71" s="23">
        <v>0.40571428571428569</v>
      </c>
      <c r="D71" s="11">
        <v>6.5962441314553999</v>
      </c>
      <c r="E71" s="1"/>
      <c r="F71" s="1"/>
      <c r="G71" s="1"/>
      <c r="H71" s="1"/>
      <c r="I71" s="1"/>
      <c r="J71" s="1"/>
      <c r="K71" s="23">
        <v>1</v>
      </c>
      <c r="L71" s="11">
        <f t="shared" si="10"/>
        <v>6.5962441314553999</v>
      </c>
      <c r="M71" s="23">
        <f t="shared" si="11"/>
        <v>0.40571428571428569</v>
      </c>
      <c r="N71" s="1" t="s">
        <v>1696</v>
      </c>
      <c r="O71" s="1"/>
      <c r="P71" s="1"/>
      <c r="Q71" s="1"/>
      <c r="R71" s="1"/>
      <c r="S71" s="1"/>
      <c r="T71" s="23">
        <v>1</v>
      </c>
      <c r="U71" s="11">
        <f t="shared" si="12"/>
        <v>6.5962441314553999</v>
      </c>
      <c r="V71" s="24">
        <f t="shared" si="13"/>
        <v>0.40571428571428569</v>
      </c>
      <c r="W71" s="4"/>
      <c r="X71" s="54"/>
      <c r="Y71" s="34">
        <v>0.40571428571428569</v>
      </c>
      <c r="Z71" s="54">
        <v>6.5962441314553999</v>
      </c>
      <c r="AA71" s="54" t="b">
        <f t="shared" si="7"/>
        <v>1</v>
      </c>
      <c r="AB71" s="54" t="b">
        <f t="shared" si="8"/>
        <v>1</v>
      </c>
      <c r="AC71" s="54" t="b">
        <f t="shared" si="9"/>
        <v>1</v>
      </c>
    </row>
    <row r="72" spans="1:29" x14ac:dyDescent="0.25">
      <c r="A72" s="1" t="s">
        <v>1499</v>
      </c>
      <c r="B72" s="1" t="s">
        <v>1695</v>
      </c>
      <c r="C72" s="23">
        <v>0.49780219780219787</v>
      </c>
      <c r="D72" s="11">
        <v>2.9323031640912434</v>
      </c>
      <c r="E72" s="1" t="s">
        <v>1696</v>
      </c>
      <c r="F72" s="1"/>
      <c r="G72" s="1"/>
      <c r="H72" s="1"/>
      <c r="I72" s="1"/>
      <c r="J72" s="1"/>
      <c r="K72" s="23">
        <v>1</v>
      </c>
      <c r="L72" s="11">
        <f t="shared" si="10"/>
        <v>2.9323031640912434</v>
      </c>
      <c r="M72" s="23">
        <f t="shared" si="11"/>
        <v>0.49780219780219787</v>
      </c>
      <c r="N72" s="1"/>
      <c r="O72" s="1"/>
      <c r="P72" s="1"/>
      <c r="Q72" s="1"/>
      <c r="R72" s="1"/>
      <c r="S72" s="1"/>
      <c r="T72" s="23">
        <v>1</v>
      </c>
      <c r="U72" s="11">
        <f t="shared" si="12"/>
        <v>2.9323031640912434</v>
      </c>
      <c r="V72" s="24">
        <f t="shared" si="13"/>
        <v>0.49780219780219787</v>
      </c>
      <c r="W72" s="4"/>
      <c r="X72" s="54"/>
      <c r="Y72" s="34">
        <v>0.49780219780219787</v>
      </c>
      <c r="Z72" s="54">
        <v>2.9323031640912434</v>
      </c>
      <c r="AA72" s="54" t="b">
        <f t="shared" si="7"/>
        <v>1</v>
      </c>
      <c r="AB72" s="54" t="b">
        <f t="shared" si="8"/>
        <v>1</v>
      </c>
      <c r="AC72" s="54" t="b">
        <f t="shared" si="9"/>
        <v>1</v>
      </c>
    </row>
    <row r="73" spans="1:29" x14ac:dyDescent="0.25">
      <c r="A73" s="1" t="s">
        <v>1500</v>
      </c>
      <c r="B73" s="1" t="s">
        <v>1695</v>
      </c>
      <c r="C73" s="23">
        <v>0.46391660461653011</v>
      </c>
      <c r="D73" s="11">
        <v>2.3738443759630199</v>
      </c>
      <c r="E73" s="1" t="s">
        <v>1696</v>
      </c>
      <c r="F73" s="1"/>
      <c r="G73" s="1" t="s">
        <v>1696</v>
      </c>
      <c r="H73" s="1"/>
      <c r="I73" s="1" t="s">
        <v>1698</v>
      </c>
      <c r="J73" s="1">
        <v>0.1</v>
      </c>
      <c r="K73" s="23">
        <v>1</v>
      </c>
      <c r="L73" s="11">
        <f t="shared" si="10"/>
        <v>2.47384437596302</v>
      </c>
      <c r="M73" s="23">
        <f t="shared" si="11"/>
        <v>0.46391660461653011</v>
      </c>
      <c r="N73" s="1"/>
      <c r="O73" s="1"/>
      <c r="P73" s="1"/>
      <c r="Q73" s="1"/>
      <c r="R73" s="1"/>
      <c r="S73" s="1"/>
      <c r="T73" s="23">
        <v>1</v>
      </c>
      <c r="U73" s="11">
        <f t="shared" si="12"/>
        <v>2.3738443759630199</v>
      </c>
      <c r="V73" s="24">
        <f t="shared" si="13"/>
        <v>0.46391660461653011</v>
      </c>
      <c r="W73" s="4">
        <v>2</v>
      </c>
      <c r="X73" s="54">
        <v>0.6</v>
      </c>
      <c r="Y73" s="34">
        <v>0.46391660461653011</v>
      </c>
      <c r="Z73" s="54">
        <v>2.3738443759630199</v>
      </c>
      <c r="AA73" s="54" t="b">
        <f t="shared" si="7"/>
        <v>1</v>
      </c>
      <c r="AB73" s="54" t="b">
        <f t="shared" si="8"/>
        <v>1</v>
      </c>
      <c r="AC73" s="54" t="b">
        <f t="shared" si="9"/>
        <v>1</v>
      </c>
    </row>
    <row r="74" spans="1:29" x14ac:dyDescent="0.25">
      <c r="A74" s="1" t="s">
        <v>1622</v>
      </c>
      <c r="B74" s="1" t="s">
        <v>1695</v>
      </c>
      <c r="C74" s="23">
        <v>0.62</v>
      </c>
      <c r="D74" s="33">
        <v>1.8</v>
      </c>
      <c r="E74" s="1" t="s">
        <v>1696</v>
      </c>
      <c r="F74" s="1"/>
      <c r="G74" s="1" t="s">
        <v>1696</v>
      </c>
      <c r="H74" s="1"/>
      <c r="I74" s="1" t="s">
        <v>1698</v>
      </c>
      <c r="J74" s="1">
        <v>0.1</v>
      </c>
      <c r="K74" s="23">
        <v>1</v>
      </c>
      <c r="L74" s="11">
        <f t="shared" si="10"/>
        <v>1.9000000000000001</v>
      </c>
      <c r="M74" s="23">
        <f t="shared" si="11"/>
        <v>0.62</v>
      </c>
      <c r="N74" s="1"/>
      <c r="O74" s="1"/>
      <c r="P74" s="1"/>
      <c r="Q74" s="1"/>
      <c r="R74" s="1"/>
      <c r="S74" s="1"/>
      <c r="T74" s="23">
        <v>1</v>
      </c>
      <c r="U74" s="11">
        <f t="shared" si="12"/>
        <v>1.8</v>
      </c>
      <c r="V74" s="24">
        <f t="shared" si="13"/>
        <v>0.62</v>
      </c>
      <c r="W74" s="4">
        <v>1</v>
      </c>
      <c r="X74" s="54">
        <v>0.78</v>
      </c>
      <c r="Y74" s="34">
        <v>0.77551020408163251</v>
      </c>
      <c r="Z74" s="54">
        <v>0.89912280701754388</v>
      </c>
      <c r="AA74" s="54" t="b">
        <f t="shared" si="7"/>
        <v>0</v>
      </c>
      <c r="AB74" s="54" t="b">
        <f t="shared" si="8"/>
        <v>0</v>
      </c>
      <c r="AC74" s="54" t="b">
        <f t="shared" si="9"/>
        <v>1</v>
      </c>
    </row>
    <row r="75" spans="1:29" x14ac:dyDescent="0.25">
      <c r="A75" s="1" t="s">
        <v>1501</v>
      </c>
      <c r="B75" s="1" t="s">
        <v>1695</v>
      </c>
      <c r="C75" s="23">
        <v>0.51557890855457233</v>
      </c>
      <c r="D75" s="11">
        <v>1.707282913165266</v>
      </c>
      <c r="E75" s="1" t="s">
        <v>1696</v>
      </c>
      <c r="F75" s="1"/>
      <c r="G75" s="1" t="s">
        <v>1696</v>
      </c>
      <c r="H75" s="1"/>
      <c r="I75" s="1" t="s">
        <v>1704</v>
      </c>
      <c r="J75" s="1">
        <v>0.1</v>
      </c>
      <c r="K75" s="23">
        <v>1</v>
      </c>
      <c r="L75" s="11">
        <f t="shared" si="10"/>
        <v>1.8072829131652661</v>
      </c>
      <c r="M75" s="23">
        <f t="shared" si="11"/>
        <v>0.51557890855457233</v>
      </c>
      <c r="N75" s="1" t="s">
        <v>1696</v>
      </c>
      <c r="O75" s="1"/>
      <c r="P75" s="1" t="s">
        <v>1696</v>
      </c>
      <c r="Q75" s="1"/>
      <c r="R75" s="1" t="s">
        <v>1704</v>
      </c>
      <c r="S75" s="1">
        <v>0.1</v>
      </c>
      <c r="T75" s="23">
        <v>1</v>
      </c>
      <c r="U75" s="11">
        <f t="shared" si="12"/>
        <v>1.8072829131652661</v>
      </c>
      <c r="V75" s="24">
        <f t="shared" si="13"/>
        <v>0.51557890855457233</v>
      </c>
      <c r="W75" s="4"/>
      <c r="X75" s="54"/>
      <c r="Y75" s="34">
        <v>0.51557890855457233</v>
      </c>
      <c r="Z75" s="54">
        <v>1.707282913165266</v>
      </c>
      <c r="AA75" s="54" t="b">
        <f t="shared" si="7"/>
        <v>1</v>
      </c>
      <c r="AB75" s="54" t="b">
        <f t="shared" si="8"/>
        <v>1</v>
      </c>
      <c r="AC75" s="54" t="b">
        <f t="shared" si="9"/>
        <v>1</v>
      </c>
    </row>
    <row r="76" spans="1:29" x14ac:dyDescent="0.25">
      <c r="A76" s="1" t="s">
        <v>1396</v>
      </c>
      <c r="B76" s="1" t="s">
        <v>1695</v>
      </c>
      <c r="C76" s="23">
        <v>0.75</v>
      </c>
      <c r="D76" s="11">
        <v>1.3333333333333333</v>
      </c>
      <c r="E76" s="1"/>
      <c r="F76" s="1"/>
      <c r="G76" s="1"/>
      <c r="H76" s="1"/>
      <c r="I76" s="1"/>
      <c r="J76" s="1"/>
      <c r="K76" s="23">
        <v>1</v>
      </c>
      <c r="L76" s="11">
        <f t="shared" si="10"/>
        <v>1.3333333333333333</v>
      </c>
      <c r="M76" s="23">
        <f t="shared" si="11"/>
        <v>0.75</v>
      </c>
      <c r="N76" s="1" t="s">
        <v>1696</v>
      </c>
      <c r="O76" s="1"/>
      <c r="P76" s="1" t="s">
        <v>1703</v>
      </c>
      <c r="Q76" s="1"/>
      <c r="R76" s="1" t="s">
        <v>1700</v>
      </c>
      <c r="S76" s="1">
        <v>0.1</v>
      </c>
      <c r="T76" s="23">
        <v>1</v>
      </c>
      <c r="U76" s="11">
        <f t="shared" si="12"/>
        <v>1.4333333333333333</v>
      </c>
      <c r="V76" s="24">
        <f t="shared" si="13"/>
        <v>0.75</v>
      </c>
      <c r="W76" s="4"/>
      <c r="X76" s="54"/>
      <c r="Y76" s="34">
        <v>0.75</v>
      </c>
      <c r="Z76" s="54">
        <v>1.3333333333333333</v>
      </c>
      <c r="AA76" s="54" t="b">
        <f t="shared" si="7"/>
        <v>1</v>
      </c>
      <c r="AB76" s="54" t="b">
        <f t="shared" si="8"/>
        <v>1</v>
      </c>
      <c r="AC76" s="54" t="b">
        <f t="shared" si="9"/>
        <v>1</v>
      </c>
    </row>
    <row r="77" spans="1:29" x14ac:dyDescent="0.25">
      <c r="A77" s="1" t="s">
        <v>1623</v>
      </c>
      <c r="B77" s="1" t="s">
        <v>1695</v>
      </c>
      <c r="C77" s="23">
        <v>0.68354430379746833</v>
      </c>
      <c r="D77" s="11">
        <v>10.555555555555555</v>
      </c>
      <c r="E77" s="1" t="s">
        <v>1696</v>
      </c>
      <c r="F77" s="1"/>
      <c r="G77" s="1"/>
      <c r="H77" s="1"/>
      <c r="I77" s="1"/>
      <c r="J77" s="1"/>
      <c r="K77" s="23">
        <v>1</v>
      </c>
      <c r="L77" s="11">
        <f t="shared" si="10"/>
        <v>10.555555555555555</v>
      </c>
      <c r="M77" s="23">
        <f t="shared" si="11"/>
        <v>0.68354430379746833</v>
      </c>
      <c r="N77" s="1"/>
      <c r="O77" s="1"/>
      <c r="P77" s="1"/>
      <c r="Q77" s="1"/>
      <c r="R77" s="1"/>
      <c r="S77" s="1"/>
      <c r="T77" s="23">
        <v>1</v>
      </c>
      <c r="U77" s="11">
        <f t="shared" si="12"/>
        <v>10.555555555555555</v>
      </c>
      <c r="V77" s="24">
        <f t="shared" si="13"/>
        <v>0.68354430379746833</v>
      </c>
      <c r="W77" s="4"/>
      <c r="X77" s="54"/>
      <c r="Y77" s="34">
        <v>0.68354430379746833</v>
      </c>
      <c r="Z77" s="54">
        <v>10.555555555555555</v>
      </c>
      <c r="AA77" s="54" t="b">
        <f t="shared" si="7"/>
        <v>1</v>
      </c>
      <c r="AB77" s="54" t="b">
        <f t="shared" si="8"/>
        <v>1</v>
      </c>
      <c r="AC77" s="54" t="b">
        <f t="shared" si="9"/>
        <v>1</v>
      </c>
    </row>
    <row r="78" spans="1:29" x14ac:dyDescent="0.25">
      <c r="A78" s="25" t="s">
        <v>1502</v>
      </c>
      <c r="B78" s="25" t="s">
        <v>1879</v>
      </c>
      <c r="C78" s="23"/>
      <c r="D78" s="11">
        <v>0</v>
      </c>
      <c r="E78" s="1" t="s">
        <v>1696</v>
      </c>
      <c r="F78" s="1"/>
      <c r="G78" s="1"/>
      <c r="H78" s="1"/>
      <c r="I78" s="1"/>
      <c r="J78" s="1"/>
      <c r="K78" s="23">
        <v>1</v>
      </c>
      <c r="L78" s="11">
        <f t="shared" si="10"/>
        <v>0</v>
      </c>
      <c r="M78" s="23">
        <f t="shared" si="11"/>
        <v>0</v>
      </c>
      <c r="N78" s="1"/>
      <c r="O78" s="1"/>
      <c r="P78" s="1"/>
      <c r="Q78" s="1"/>
      <c r="R78" s="1"/>
      <c r="S78" s="1"/>
      <c r="T78" s="23">
        <v>1</v>
      </c>
      <c r="U78" s="11">
        <f t="shared" si="12"/>
        <v>0</v>
      </c>
      <c r="V78" s="24">
        <f t="shared" si="13"/>
        <v>0</v>
      </c>
      <c r="W78" s="4"/>
      <c r="X78" s="54"/>
      <c r="Y78" s="34">
        <v>0</v>
      </c>
      <c r="Z78" s="54">
        <v>0</v>
      </c>
      <c r="AA78" s="54" t="b">
        <f t="shared" si="7"/>
        <v>1</v>
      </c>
      <c r="AB78" s="54" t="b">
        <f t="shared" si="8"/>
        <v>1</v>
      </c>
      <c r="AC78" s="54" t="b">
        <f t="shared" si="9"/>
        <v>1</v>
      </c>
    </row>
    <row r="79" spans="1:29" x14ac:dyDescent="0.25">
      <c r="A79" s="1" t="s">
        <v>1503</v>
      </c>
      <c r="B79" s="1" t="s">
        <v>1695</v>
      </c>
      <c r="C79" s="23">
        <v>0.69444444444444442</v>
      </c>
      <c r="D79" s="11">
        <v>1.6</v>
      </c>
      <c r="E79" s="1" t="s">
        <v>1696</v>
      </c>
      <c r="F79" s="1"/>
      <c r="G79" s="1"/>
      <c r="H79" s="1"/>
      <c r="I79" s="1"/>
      <c r="J79" s="1"/>
      <c r="K79" s="23">
        <v>1</v>
      </c>
      <c r="L79" s="11">
        <f t="shared" si="10"/>
        <v>1.6</v>
      </c>
      <c r="M79" s="23">
        <f t="shared" si="11"/>
        <v>0.69444444444444442</v>
      </c>
      <c r="N79" s="1"/>
      <c r="O79" s="1"/>
      <c r="P79" s="1"/>
      <c r="Q79" s="1"/>
      <c r="R79" s="1"/>
      <c r="S79" s="1"/>
      <c r="T79" s="23">
        <v>1</v>
      </c>
      <c r="U79" s="11">
        <f t="shared" si="12"/>
        <v>1.6</v>
      </c>
      <c r="V79" s="24">
        <f t="shared" si="13"/>
        <v>0.69444444444444442</v>
      </c>
      <c r="W79" s="4"/>
      <c r="X79" s="54"/>
      <c r="Y79" s="34">
        <v>0.69444444444444442</v>
      </c>
      <c r="Z79" s="54">
        <v>1.6</v>
      </c>
      <c r="AA79" s="54" t="b">
        <f t="shared" si="7"/>
        <v>1</v>
      </c>
      <c r="AB79" s="54" t="b">
        <f t="shared" si="8"/>
        <v>1</v>
      </c>
      <c r="AC79" s="54" t="b">
        <f t="shared" si="9"/>
        <v>1</v>
      </c>
    </row>
    <row r="80" spans="1:29" x14ac:dyDescent="0.25">
      <c r="A80" s="1" t="s">
        <v>1426</v>
      </c>
      <c r="B80" s="1" t="s">
        <v>1695</v>
      </c>
      <c r="C80" s="23">
        <v>0.68540145985401446</v>
      </c>
      <c r="D80" s="11">
        <v>11.625843095491657</v>
      </c>
      <c r="E80" s="1" t="s">
        <v>1696</v>
      </c>
      <c r="F80" s="1"/>
      <c r="G80" s="1"/>
      <c r="H80" s="1"/>
      <c r="I80" s="1"/>
      <c r="J80" s="1"/>
      <c r="K80" s="23">
        <v>1</v>
      </c>
      <c r="L80" s="11">
        <f t="shared" si="10"/>
        <v>11.625843095491657</v>
      </c>
      <c r="M80" s="23">
        <f t="shared" si="11"/>
        <v>0.68540145985401446</v>
      </c>
      <c r="N80" s="1"/>
      <c r="O80" s="1"/>
      <c r="P80" s="1"/>
      <c r="Q80" s="1"/>
      <c r="R80" s="1"/>
      <c r="S80" s="1"/>
      <c r="T80" s="23">
        <v>1</v>
      </c>
      <c r="U80" s="11">
        <f t="shared" si="12"/>
        <v>11.625843095491657</v>
      </c>
      <c r="V80" s="24">
        <f t="shared" si="13"/>
        <v>0.68540145985401446</v>
      </c>
      <c r="W80" s="4"/>
      <c r="X80" s="54"/>
      <c r="Y80" s="34">
        <v>0.68540145985401446</v>
      </c>
      <c r="Z80" s="54">
        <v>11.625843095491657</v>
      </c>
      <c r="AA80" s="54" t="b">
        <f t="shared" si="7"/>
        <v>1</v>
      </c>
      <c r="AB80" s="54" t="b">
        <f t="shared" si="8"/>
        <v>1</v>
      </c>
      <c r="AC80" s="54" t="b">
        <f t="shared" si="9"/>
        <v>1</v>
      </c>
    </row>
    <row r="81" spans="1:29" x14ac:dyDescent="0.25">
      <c r="A81" s="1" t="s">
        <v>1504</v>
      </c>
      <c r="B81" s="1" t="s">
        <v>1695</v>
      </c>
      <c r="C81" s="23">
        <v>0.72307692307692306</v>
      </c>
      <c r="D81" s="11">
        <v>1.773049645390071</v>
      </c>
      <c r="E81" s="1" t="s">
        <v>1696</v>
      </c>
      <c r="F81" s="1"/>
      <c r="G81" s="1" t="s">
        <v>1696</v>
      </c>
      <c r="H81" s="1" t="s">
        <v>1696</v>
      </c>
      <c r="I81" s="1" t="s">
        <v>1700</v>
      </c>
      <c r="J81" s="1">
        <v>0.25</v>
      </c>
      <c r="K81" s="23">
        <v>0.94517543859649122</v>
      </c>
      <c r="L81" s="11">
        <f t="shared" si="10"/>
        <v>2.023049645390071</v>
      </c>
      <c r="M81" s="23">
        <f t="shared" si="11"/>
        <v>0.6834345479082321</v>
      </c>
      <c r="N81" s="1"/>
      <c r="O81" s="1"/>
      <c r="P81" s="1"/>
      <c r="Q81" s="1"/>
      <c r="R81" s="1"/>
      <c r="S81" s="1"/>
      <c r="T81" s="23">
        <v>1</v>
      </c>
      <c r="U81" s="11">
        <f t="shared" si="12"/>
        <v>1.773049645390071</v>
      </c>
      <c r="V81" s="24">
        <f t="shared" si="13"/>
        <v>0.72307692307692306</v>
      </c>
      <c r="W81" s="4"/>
      <c r="X81" s="54"/>
      <c r="Y81" s="34">
        <v>0.72307692307692306</v>
      </c>
      <c r="Z81" s="54">
        <v>1.773049645390071</v>
      </c>
      <c r="AA81" s="54" t="b">
        <f t="shared" si="7"/>
        <v>1</v>
      </c>
      <c r="AB81" s="54" t="b">
        <f t="shared" si="8"/>
        <v>1</v>
      </c>
      <c r="AC81" s="54" t="b">
        <f t="shared" si="9"/>
        <v>0</v>
      </c>
    </row>
    <row r="82" spans="1:29" x14ac:dyDescent="0.25">
      <c r="A82" s="1" t="s">
        <v>1505</v>
      </c>
      <c r="B82" s="1" t="s">
        <v>1695</v>
      </c>
      <c r="C82" s="29">
        <v>0.5</v>
      </c>
      <c r="D82" s="11">
        <v>3</v>
      </c>
      <c r="E82" s="1" t="s">
        <v>1696</v>
      </c>
      <c r="F82" s="1"/>
      <c r="G82" s="1" t="s">
        <v>1696</v>
      </c>
      <c r="H82" s="1"/>
      <c r="I82" s="1" t="s">
        <v>1700</v>
      </c>
      <c r="J82" s="1">
        <v>0.1</v>
      </c>
      <c r="K82" s="23">
        <v>1</v>
      </c>
      <c r="L82" s="11">
        <f t="shared" si="10"/>
        <v>3.1</v>
      </c>
      <c r="M82" s="23">
        <f t="shared" si="11"/>
        <v>0.5</v>
      </c>
      <c r="N82" s="1"/>
      <c r="O82" s="1"/>
      <c r="P82" s="1"/>
      <c r="Q82" s="1"/>
      <c r="R82" s="1"/>
      <c r="S82" s="1"/>
      <c r="T82" s="23">
        <v>1</v>
      </c>
      <c r="U82" s="11">
        <f t="shared" si="12"/>
        <v>3</v>
      </c>
      <c r="V82" s="24">
        <f t="shared" si="13"/>
        <v>0.5</v>
      </c>
      <c r="W82" s="4"/>
      <c r="X82" s="54"/>
      <c r="Y82" s="34">
        <v>0.5</v>
      </c>
      <c r="Z82" s="54">
        <v>3</v>
      </c>
      <c r="AA82" s="54" t="b">
        <f t="shared" si="7"/>
        <v>1</v>
      </c>
      <c r="AB82" s="54" t="b">
        <f t="shared" si="8"/>
        <v>1</v>
      </c>
      <c r="AC82" s="54" t="b">
        <f t="shared" si="9"/>
        <v>1</v>
      </c>
    </row>
    <row r="83" spans="1:29" x14ac:dyDescent="0.25">
      <c r="A83" s="1" t="s">
        <v>1363</v>
      </c>
      <c r="B83" s="1" t="s">
        <v>1695</v>
      </c>
      <c r="C83" s="23">
        <v>0.78</v>
      </c>
      <c r="D83" s="11">
        <v>8.7606837606837598</v>
      </c>
      <c r="E83" s="1"/>
      <c r="F83" s="1"/>
      <c r="G83" s="1"/>
      <c r="H83" s="1"/>
      <c r="I83" s="1"/>
      <c r="J83" s="1"/>
      <c r="K83" s="23">
        <v>1</v>
      </c>
      <c r="L83" s="11">
        <f t="shared" si="10"/>
        <v>8.7606837606837598</v>
      </c>
      <c r="M83" s="23">
        <f t="shared" si="11"/>
        <v>0.78</v>
      </c>
      <c r="N83" s="1" t="s">
        <v>1696</v>
      </c>
      <c r="O83" s="1"/>
      <c r="P83" s="1" t="s">
        <v>1703</v>
      </c>
      <c r="Q83" s="1"/>
      <c r="R83" s="1" t="s">
        <v>1700</v>
      </c>
      <c r="S83" s="1">
        <v>0.1</v>
      </c>
      <c r="T83" s="23">
        <v>0.95</v>
      </c>
      <c r="U83" s="11">
        <f t="shared" si="12"/>
        <v>8.8606837606837594</v>
      </c>
      <c r="V83" s="24">
        <f t="shared" si="13"/>
        <v>0.74099999999999999</v>
      </c>
      <c r="W83" s="4"/>
      <c r="X83" s="54"/>
      <c r="Y83" s="34">
        <v>0.78</v>
      </c>
      <c r="Z83" s="54">
        <v>8.7606837606837598</v>
      </c>
      <c r="AA83" s="54" t="b">
        <f t="shared" si="7"/>
        <v>1</v>
      </c>
      <c r="AB83" s="54" t="b">
        <f t="shared" si="8"/>
        <v>1</v>
      </c>
      <c r="AC83" s="54" t="b">
        <f t="shared" si="9"/>
        <v>0</v>
      </c>
    </row>
    <row r="84" spans="1:29" x14ac:dyDescent="0.25">
      <c r="A84" s="1" t="s">
        <v>1459</v>
      </c>
      <c r="B84" s="1" t="s">
        <v>1695</v>
      </c>
      <c r="C84" s="23">
        <v>0.98484848484848486</v>
      </c>
      <c r="D84" s="11">
        <v>0.70085470085470092</v>
      </c>
      <c r="E84" s="1"/>
      <c r="F84" s="1"/>
      <c r="G84" s="1"/>
      <c r="H84" s="1"/>
      <c r="I84" s="1"/>
      <c r="J84" s="1"/>
      <c r="K84" s="23">
        <v>1</v>
      </c>
      <c r="L84" s="11">
        <f t="shared" si="10"/>
        <v>0.70085470085470092</v>
      </c>
      <c r="M84" s="23">
        <f t="shared" si="11"/>
        <v>0.98484848484848486</v>
      </c>
      <c r="N84" s="1" t="s">
        <v>1696</v>
      </c>
      <c r="O84" s="1"/>
      <c r="P84" s="1" t="s">
        <v>1696</v>
      </c>
      <c r="Q84" s="1"/>
      <c r="R84" s="1" t="s">
        <v>1700</v>
      </c>
      <c r="S84" s="1">
        <v>0.1</v>
      </c>
      <c r="T84" s="23">
        <v>0.95</v>
      </c>
      <c r="U84" s="11">
        <f t="shared" si="12"/>
        <v>0.8008547008547009</v>
      </c>
      <c r="V84" s="24">
        <f t="shared" si="13"/>
        <v>0.93560606060606055</v>
      </c>
      <c r="W84" s="4"/>
      <c r="X84" s="54"/>
      <c r="Y84" s="34">
        <v>0.98484848484848486</v>
      </c>
      <c r="Z84" s="54">
        <v>7.008547008547009E-3</v>
      </c>
      <c r="AA84" s="54" t="b">
        <f t="shared" si="7"/>
        <v>1</v>
      </c>
      <c r="AB84" s="54" t="b">
        <f t="shared" si="8"/>
        <v>0</v>
      </c>
      <c r="AC84" s="54" t="b">
        <f t="shared" si="9"/>
        <v>0</v>
      </c>
    </row>
    <row r="85" spans="1:29" x14ac:dyDescent="0.25">
      <c r="A85" s="1" t="s">
        <v>1506</v>
      </c>
      <c r="B85" s="1" t="s">
        <v>1695</v>
      </c>
      <c r="C85" s="23">
        <v>0.41666666666666663</v>
      </c>
      <c r="D85" s="11">
        <v>18.4375</v>
      </c>
      <c r="E85" s="1" t="s">
        <v>1696</v>
      </c>
      <c r="F85" s="1"/>
      <c r="G85" s="1" t="s">
        <v>1696</v>
      </c>
      <c r="H85" s="1" t="s">
        <v>1696</v>
      </c>
      <c r="I85" s="1" t="s">
        <v>1700</v>
      </c>
      <c r="J85" s="1">
        <v>0.25</v>
      </c>
      <c r="K85" s="24">
        <v>0.84</v>
      </c>
      <c r="L85" s="11">
        <f t="shared" si="10"/>
        <v>18.6875</v>
      </c>
      <c r="M85" s="23">
        <f t="shared" si="11"/>
        <v>0.35</v>
      </c>
      <c r="N85" s="1"/>
      <c r="O85" s="1"/>
      <c r="P85" s="1"/>
      <c r="Q85" s="1"/>
      <c r="R85" s="1"/>
      <c r="S85" s="1"/>
      <c r="T85" s="23">
        <v>1</v>
      </c>
      <c r="U85" s="11">
        <f t="shared" si="12"/>
        <v>18.4375</v>
      </c>
      <c r="V85" s="24">
        <f t="shared" si="13"/>
        <v>0.41666666666666663</v>
      </c>
      <c r="W85" s="4"/>
      <c r="X85" s="54"/>
      <c r="Y85" s="34">
        <v>0.41666666666666663</v>
      </c>
      <c r="Z85" s="54">
        <v>18.4375</v>
      </c>
      <c r="AA85" s="54" t="b">
        <f t="shared" si="7"/>
        <v>1</v>
      </c>
      <c r="AB85" s="54" t="b">
        <f t="shared" si="8"/>
        <v>1</v>
      </c>
      <c r="AC85" s="54" t="b">
        <f t="shared" si="9"/>
        <v>0</v>
      </c>
    </row>
    <row r="86" spans="1:29" x14ac:dyDescent="0.25">
      <c r="A86" s="1" t="s">
        <v>1507</v>
      </c>
      <c r="B86" s="1" t="s">
        <v>1695</v>
      </c>
      <c r="C86" s="23">
        <v>0.86805555555555547</v>
      </c>
      <c r="D86" s="11">
        <v>4.6166666666666663</v>
      </c>
      <c r="E86" s="1" t="s">
        <v>1696</v>
      </c>
      <c r="F86" s="1"/>
      <c r="G86" s="1" t="s">
        <v>1696</v>
      </c>
      <c r="H86" s="1" t="s">
        <v>1696</v>
      </c>
      <c r="I86" s="1" t="s">
        <v>1700</v>
      </c>
      <c r="J86" s="1">
        <v>0.25</v>
      </c>
      <c r="K86" s="23">
        <v>0.935960591133005</v>
      </c>
      <c r="L86" s="11">
        <f t="shared" si="10"/>
        <v>4.8666666666666663</v>
      </c>
      <c r="M86" s="23">
        <f t="shared" si="11"/>
        <v>0.81246579091406679</v>
      </c>
      <c r="N86" s="1"/>
      <c r="O86" s="1"/>
      <c r="P86" s="1"/>
      <c r="Q86" s="1"/>
      <c r="R86" s="1"/>
      <c r="S86" s="1"/>
      <c r="T86" s="23">
        <v>1</v>
      </c>
      <c r="U86" s="11">
        <f t="shared" si="12"/>
        <v>4.6166666666666663</v>
      </c>
      <c r="V86" s="24">
        <f t="shared" si="13"/>
        <v>0.86805555555555547</v>
      </c>
      <c r="W86" s="4"/>
      <c r="X86" s="54"/>
      <c r="Y86" s="34">
        <v>0.86805555555555547</v>
      </c>
      <c r="Z86" s="54">
        <v>4.6166666666666663</v>
      </c>
      <c r="AA86" s="54" t="b">
        <f t="shared" si="7"/>
        <v>1</v>
      </c>
      <c r="AB86" s="54" t="b">
        <f t="shared" si="8"/>
        <v>1</v>
      </c>
      <c r="AC86" s="54" t="b">
        <f t="shared" si="9"/>
        <v>0</v>
      </c>
    </row>
    <row r="87" spans="1:29" x14ac:dyDescent="0.25">
      <c r="A87" s="1" t="s">
        <v>1508</v>
      </c>
      <c r="B87" s="1" t="s">
        <v>1695</v>
      </c>
      <c r="C87" s="23">
        <v>0.41666666666666663</v>
      </c>
      <c r="D87" s="11">
        <v>18.4375</v>
      </c>
      <c r="E87" s="1" t="s">
        <v>1696</v>
      </c>
      <c r="F87" s="1"/>
      <c r="G87" s="1" t="s">
        <v>1696</v>
      </c>
      <c r="H87" s="1" t="s">
        <v>1696</v>
      </c>
      <c r="I87" s="1" t="s">
        <v>1700</v>
      </c>
      <c r="J87" s="1">
        <v>0.25</v>
      </c>
      <c r="K87" s="24">
        <v>0.84</v>
      </c>
      <c r="L87" s="11">
        <f t="shared" si="10"/>
        <v>18.6875</v>
      </c>
      <c r="M87" s="23">
        <f t="shared" si="11"/>
        <v>0.35</v>
      </c>
      <c r="N87" s="1"/>
      <c r="O87" s="1"/>
      <c r="P87" s="1"/>
      <c r="Q87" s="1"/>
      <c r="R87" s="1"/>
      <c r="S87" s="1"/>
      <c r="T87" s="23">
        <v>1</v>
      </c>
      <c r="U87" s="11">
        <f t="shared" si="12"/>
        <v>18.4375</v>
      </c>
      <c r="V87" s="24">
        <f t="shared" si="13"/>
        <v>0.41666666666666663</v>
      </c>
      <c r="W87" s="4"/>
      <c r="X87" s="54"/>
      <c r="Y87" s="34">
        <v>0.41666666666666663</v>
      </c>
      <c r="Z87" s="54">
        <v>18.4375</v>
      </c>
      <c r="AA87" s="54" t="b">
        <f t="shared" si="7"/>
        <v>1</v>
      </c>
      <c r="AB87" s="54" t="b">
        <f t="shared" si="8"/>
        <v>1</v>
      </c>
      <c r="AC87" s="54" t="b">
        <f t="shared" si="9"/>
        <v>0</v>
      </c>
    </row>
    <row r="88" spans="1:29" x14ac:dyDescent="0.25">
      <c r="A88" s="1" t="s">
        <v>1475</v>
      </c>
      <c r="B88" s="1" t="s">
        <v>1695</v>
      </c>
      <c r="C88" s="23">
        <v>0.86805555555555547</v>
      </c>
      <c r="D88" s="11">
        <v>4.6166666666666663</v>
      </c>
      <c r="E88" s="1" t="s">
        <v>1696</v>
      </c>
      <c r="F88" s="1"/>
      <c r="G88" s="1" t="s">
        <v>1696</v>
      </c>
      <c r="H88" s="1" t="s">
        <v>1696</v>
      </c>
      <c r="I88" s="1" t="s">
        <v>1700</v>
      </c>
      <c r="J88" s="1">
        <v>0.25</v>
      </c>
      <c r="K88" s="23">
        <v>0.92990142387732744</v>
      </c>
      <c r="L88" s="11">
        <f t="shared" si="10"/>
        <v>4.8666666666666663</v>
      </c>
      <c r="M88" s="23">
        <f t="shared" si="11"/>
        <v>0.80720609711573554</v>
      </c>
      <c r="N88" s="1"/>
      <c r="O88" s="1"/>
      <c r="P88" s="1"/>
      <c r="Q88" s="1"/>
      <c r="R88" s="1"/>
      <c r="S88" s="1"/>
      <c r="T88" s="23">
        <v>1</v>
      </c>
      <c r="U88" s="11">
        <f t="shared" si="12"/>
        <v>4.6166666666666663</v>
      </c>
      <c r="V88" s="24">
        <f t="shared" si="13"/>
        <v>0.86805555555555547</v>
      </c>
      <c r="W88" s="4"/>
      <c r="X88" s="54"/>
      <c r="Y88" s="34">
        <v>0.86805555555555547</v>
      </c>
      <c r="Z88" s="54">
        <v>4.6166666666666663</v>
      </c>
      <c r="AA88" s="54" t="b">
        <f t="shared" si="7"/>
        <v>1</v>
      </c>
      <c r="AB88" s="54" t="b">
        <f t="shared" si="8"/>
        <v>1</v>
      </c>
      <c r="AC88" s="54" t="b">
        <f t="shared" si="9"/>
        <v>0</v>
      </c>
    </row>
    <row r="89" spans="1:29" x14ac:dyDescent="0.25">
      <c r="A89" s="1" t="s">
        <v>1624</v>
      </c>
      <c r="B89" s="1" t="s">
        <v>1695</v>
      </c>
      <c r="C89" s="23">
        <v>0.86805555555555547</v>
      </c>
      <c r="D89" s="11">
        <v>4.6166666666666663</v>
      </c>
      <c r="E89" s="1" t="s">
        <v>1696</v>
      </c>
      <c r="F89" s="1"/>
      <c r="G89" s="1" t="s">
        <v>1696</v>
      </c>
      <c r="H89" s="1" t="s">
        <v>1696</v>
      </c>
      <c r="I89" s="1" t="s">
        <v>1700</v>
      </c>
      <c r="J89" s="1">
        <v>0.25</v>
      </c>
      <c r="K89" s="23">
        <v>0.92990142387732744</v>
      </c>
      <c r="L89" s="11">
        <f t="shared" si="10"/>
        <v>4.8666666666666663</v>
      </c>
      <c r="M89" s="23">
        <f t="shared" si="11"/>
        <v>0.80720609711573554</v>
      </c>
      <c r="N89" s="1"/>
      <c r="O89" s="1"/>
      <c r="P89" s="1"/>
      <c r="Q89" s="1"/>
      <c r="R89" s="1"/>
      <c r="S89" s="1"/>
      <c r="T89" s="23">
        <v>1</v>
      </c>
      <c r="U89" s="11">
        <f t="shared" si="12"/>
        <v>4.6166666666666663</v>
      </c>
      <c r="V89" s="24">
        <f t="shared" si="13"/>
        <v>0.86805555555555547</v>
      </c>
      <c r="W89" s="4"/>
      <c r="X89" s="54"/>
      <c r="Y89" s="34">
        <v>0.86805555555555547</v>
      </c>
      <c r="Z89" s="54">
        <v>4.6166666666666663</v>
      </c>
      <c r="AA89" s="54" t="b">
        <f t="shared" si="7"/>
        <v>1</v>
      </c>
      <c r="AB89" s="54" t="b">
        <f t="shared" si="8"/>
        <v>1</v>
      </c>
      <c r="AC89" s="54" t="b">
        <f t="shared" si="9"/>
        <v>0</v>
      </c>
    </row>
    <row r="90" spans="1:29" x14ac:dyDescent="0.25">
      <c r="A90" s="1" t="s">
        <v>1509</v>
      </c>
      <c r="B90" s="1" t="s">
        <v>1695</v>
      </c>
      <c r="C90" s="23">
        <v>0.67500000000000004</v>
      </c>
      <c r="D90" s="11">
        <v>1.0758377425044092</v>
      </c>
      <c r="E90" s="1" t="s">
        <v>1696</v>
      </c>
      <c r="F90" s="1"/>
      <c r="G90" s="1"/>
      <c r="H90" s="1"/>
      <c r="I90" s="1"/>
      <c r="J90" s="1"/>
      <c r="K90" s="23">
        <v>1</v>
      </c>
      <c r="L90" s="11">
        <f t="shared" si="10"/>
        <v>1.0758377425044092</v>
      </c>
      <c r="M90" s="23">
        <f t="shared" si="11"/>
        <v>0.67500000000000004</v>
      </c>
      <c r="N90" s="1"/>
      <c r="O90" s="1"/>
      <c r="P90" s="1"/>
      <c r="Q90" s="1"/>
      <c r="R90" s="1"/>
      <c r="S90" s="1"/>
      <c r="T90" s="23">
        <v>1</v>
      </c>
      <c r="U90" s="11">
        <f t="shared" si="12"/>
        <v>1.0758377425044092</v>
      </c>
      <c r="V90" s="24">
        <f t="shared" si="13"/>
        <v>0.67500000000000004</v>
      </c>
      <c r="W90" s="4"/>
      <c r="X90" s="54"/>
      <c r="Y90" s="34">
        <v>0.57142857142857151</v>
      </c>
      <c r="Z90" s="54">
        <v>1.2708333333333333</v>
      </c>
      <c r="AA90" s="54" t="b">
        <f t="shared" si="7"/>
        <v>0</v>
      </c>
      <c r="AB90" s="54" t="b">
        <f t="shared" si="8"/>
        <v>0</v>
      </c>
      <c r="AC90" s="54" t="b">
        <f t="shared" si="9"/>
        <v>1</v>
      </c>
    </row>
    <row r="91" spans="1:29" x14ac:dyDescent="0.25">
      <c r="A91" s="1" t="s">
        <v>1510</v>
      </c>
      <c r="B91" s="1" t="s">
        <v>1695</v>
      </c>
      <c r="C91" s="23">
        <v>0.625</v>
      </c>
      <c r="D91" s="11">
        <v>0.97333333333333327</v>
      </c>
      <c r="E91" s="1" t="s">
        <v>1696</v>
      </c>
      <c r="F91" s="1"/>
      <c r="G91" s="1"/>
      <c r="H91" s="1"/>
      <c r="I91" s="1"/>
      <c r="J91" s="1"/>
      <c r="K91" s="23">
        <v>1</v>
      </c>
      <c r="L91" s="11">
        <f t="shared" si="10"/>
        <v>0.97333333333333327</v>
      </c>
      <c r="M91" s="23">
        <f t="shared" si="11"/>
        <v>0.625</v>
      </c>
      <c r="N91" s="1"/>
      <c r="O91" s="1"/>
      <c r="P91" s="1"/>
      <c r="Q91" s="1"/>
      <c r="R91" s="1"/>
      <c r="S91" s="1"/>
      <c r="T91" s="23">
        <v>1</v>
      </c>
      <c r="U91" s="11">
        <f t="shared" si="12"/>
        <v>0.97333333333333327</v>
      </c>
      <c r="V91" s="24">
        <f t="shared" si="13"/>
        <v>0.625</v>
      </c>
      <c r="W91" s="4"/>
      <c r="X91" s="54"/>
      <c r="Y91" s="34">
        <v>0.51</v>
      </c>
      <c r="Z91" s="54">
        <v>1.1928104575163399</v>
      </c>
      <c r="AA91" s="54" t="b">
        <f t="shared" si="7"/>
        <v>0</v>
      </c>
      <c r="AB91" s="54" t="b">
        <f t="shared" si="8"/>
        <v>0</v>
      </c>
      <c r="AC91" s="54" t="b">
        <f t="shared" si="9"/>
        <v>1</v>
      </c>
    </row>
    <row r="92" spans="1:29" x14ac:dyDescent="0.25">
      <c r="A92" s="1" t="s">
        <v>1424</v>
      </c>
      <c r="B92" s="1" t="s">
        <v>1695</v>
      </c>
      <c r="C92" s="23">
        <v>0.75230092036814722</v>
      </c>
      <c r="D92" s="11">
        <v>2.2225177304964538</v>
      </c>
      <c r="E92" s="1" t="s">
        <v>1696</v>
      </c>
      <c r="F92" s="1"/>
      <c r="G92" s="1"/>
      <c r="H92" s="1"/>
      <c r="I92" s="1"/>
      <c r="J92" s="1"/>
      <c r="K92" s="23">
        <v>1</v>
      </c>
      <c r="L92" s="11">
        <f t="shared" si="10"/>
        <v>2.2225177304964538</v>
      </c>
      <c r="M92" s="23">
        <f t="shared" si="11"/>
        <v>0.75230092036814722</v>
      </c>
      <c r="N92" s="1"/>
      <c r="O92" s="1"/>
      <c r="P92" s="1"/>
      <c r="Q92" s="1"/>
      <c r="R92" s="1"/>
      <c r="S92" s="1"/>
      <c r="T92" s="23">
        <v>1</v>
      </c>
      <c r="U92" s="11">
        <f t="shared" si="12"/>
        <v>2.2225177304964538</v>
      </c>
      <c r="V92" s="24">
        <f t="shared" si="13"/>
        <v>0.75230092036814722</v>
      </c>
      <c r="W92" s="4"/>
      <c r="X92" s="54"/>
      <c r="Y92" s="34">
        <v>0.75230092036814722</v>
      </c>
      <c r="Z92" s="54">
        <v>2.2225177304964538</v>
      </c>
      <c r="AA92" s="54" t="b">
        <f t="shared" si="7"/>
        <v>1</v>
      </c>
      <c r="AB92" s="54" t="b">
        <f t="shared" si="8"/>
        <v>1</v>
      </c>
      <c r="AC92" s="54" t="b">
        <f t="shared" si="9"/>
        <v>1</v>
      </c>
    </row>
    <row r="93" spans="1:29" x14ac:dyDescent="0.25">
      <c r="A93" s="1" t="s">
        <v>1511</v>
      </c>
      <c r="B93" s="1" t="s">
        <v>1695</v>
      </c>
      <c r="C93" s="23">
        <v>0.78947368421052644</v>
      </c>
      <c r="D93" s="11">
        <v>1.2098765432098764</v>
      </c>
      <c r="E93" s="1" t="s">
        <v>1696</v>
      </c>
      <c r="F93" s="1"/>
      <c r="G93" s="1"/>
      <c r="H93" s="1"/>
      <c r="I93" s="1"/>
      <c r="J93" s="1"/>
      <c r="K93" s="23">
        <v>1</v>
      </c>
      <c r="L93" s="11">
        <f t="shared" si="10"/>
        <v>1.2098765432098764</v>
      </c>
      <c r="M93" s="23">
        <f t="shared" si="11"/>
        <v>0.78947368421052644</v>
      </c>
      <c r="N93" s="1"/>
      <c r="O93" s="1"/>
      <c r="P93" s="1"/>
      <c r="Q93" s="1"/>
      <c r="R93" s="1"/>
      <c r="S93" s="1"/>
      <c r="T93" s="23">
        <v>1</v>
      </c>
      <c r="U93" s="11">
        <f t="shared" si="12"/>
        <v>1.2098765432098764</v>
      </c>
      <c r="V93" s="24">
        <f t="shared" si="13"/>
        <v>0.78947368421052644</v>
      </c>
      <c r="W93" s="4"/>
      <c r="X93" s="54"/>
      <c r="Y93" s="34">
        <v>0.78947368421052644</v>
      </c>
      <c r="Z93" s="54">
        <v>1.2098765432098764</v>
      </c>
      <c r="AA93" s="54" t="b">
        <f t="shared" si="7"/>
        <v>1</v>
      </c>
      <c r="AB93" s="54" t="b">
        <f t="shared" si="8"/>
        <v>1</v>
      </c>
      <c r="AC93" s="54" t="b">
        <f t="shared" si="9"/>
        <v>1</v>
      </c>
    </row>
    <row r="94" spans="1:29" x14ac:dyDescent="0.25">
      <c r="A94" s="1" t="s">
        <v>1512</v>
      </c>
      <c r="B94" s="1" t="s">
        <v>1695</v>
      </c>
      <c r="C94" s="23">
        <v>0.8</v>
      </c>
      <c r="D94" s="11">
        <v>1.6666666666666665</v>
      </c>
      <c r="E94" s="1" t="s">
        <v>1696</v>
      </c>
      <c r="F94" s="1"/>
      <c r="G94" s="1"/>
      <c r="H94" s="1"/>
      <c r="I94" s="1"/>
      <c r="J94" s="1"/>
      <c r="K94" s="23">
        <v>1</v>
      </c>
      <c r="L94" s="11">
        <f t="shared" si="10"/>
        <v>1.6666666666666665</v>
      </c>
      <c r="M94" s="23">
        <f t="shared" si="11"/>
        <v>0.8</v>
      </c>
      <c r="N94" s="1"/>
      <c r="O94" s="1"/>
      <c r="P94" s="1"/>
      <c r="Q94" s="1"/>
      <c r="R94" s="1"/>
      <c r="S94" s="1"/>
      <c r="T94" s="23">
        <v>1</v>
      </c>
      <c r="U94" s="11">
        <f t="shared" si="12"/>
        <v>1.6666666666666665</v>
      </c>
      <c r="V94" s="24">
        <f t="shared" si="13"/>
        <v>0.8</v>
      </c>
      <c r="W94" s="4"/>
      <c r="X94" s="54"/>
      <c r="Y94" s="34">
        <v>0.8</v>
      </c>
      <c r="Z94" s="54">
        <v>1.6666666666666665</v>
      </c>
      <c r="AA94" s="54" t="b">
        <f t="shared" si="7"/>
        <v>1</v>
      </c>
      <c r="AB94" s="54" t="b">
        <f t="shared" si="8"/>
        <v>1</v>
      </c>
      <c r="AC94" s="54" t="b">
        <f t="shared" si="9"/>
        <v>1</v>
      </c>
    </row>
    <row r="95" spans="1:29" x14ac:dyDescent="0.25">
      <c r="A95" s="1" t="s">
        <v>1401</v>
      </c>
      <c r="B95" s="1" t="s">
        <v>1695</v>
      </c>
      <c r="C95" s="23">
        <v>0.8</v>
      </c>
      <c r="D95" s="11">
        <v>1.75</v>
      </c>
      <c r="E95" s="1"/>
      <c r="F95" s="1"/>
      <c r="G95" s="1"/>
      <c r="H95" s="1"/>
      <c r="I95" s="1"/>
      <c r="J95" s="1"/>
      <c r="K95" s="23">
        <v>1</v>
      </c>
      <c r="L95" s="11">
        <f t="shared" si="10"/>
        <v>1.75</v>
      </c>
      <c r="M95" s="23">
        <f t="shared" si="11"/>
        <v>0.8</v>
      </c>
      <c r="N95" s="1" t="s">
        <v>1696</v>
      </c>
      <c r="O95" s="1"/>
      <c r="P95" s="1"/>
      <c r="Q95" s="1"/>
      <c r="R95" s="1"/>
      <c r="S95" s="1"/>
      <c r="T95" s="23">
        <v>1</v>
      </c>
      <c r="U95" s="11">
        <f t="shared" si="12"/>
        <v>1.75</v>
      </c>
      <c r="V95" s="24">
        <f t="shared" si="13"/>
        <v>0.8</v>
      </c>
      <c r="W95" s="4"/>
      <c r="X95" s="54"/>
      <c r="Y95" s="34">
        <v>0.8</v>
      </c>
      <c r="Z95" s="54">
        <v>1.75</v>
      </c>
      <c r="AA95" s="54" t="b">
        <f t="shared" si="7"/>
        <v>1</v>
      </c>
      <c r="AB95" s="54" t="b">
        <f t="shared" si="8"/>
        <v>1</v>
      </c>
      <c r="AC95" s="54" t="b">
        <f t="shared" si="9"/>
        <v>1</v>
      </c>
    </row>
    <row r="96" spans="1:29" x14ac:dyDescent="0.25">
      <c r="A96" s="1" t="s">
        <v>1408</v>
      </c>
      <c r="B96" s="1" t="s">
        <v>1695</v>
      </c>
      <c r="C96" s="23">
        <v>0.80999999999999994</v>
      </c>
      <c r="D96" s="11">
        <v>1.5432098765432098</v>
      </c>
      <c r="E96" s="1" t="s">
        <v>1696</v>
      </c>
      <c r="F96" s="1"/>
      <c r="G96" s="1"/>
      <c r="H96" s="1"/>
      <c r="I96" s="1"/>
      <c r="J96" s="1"/>
      <c r="K96" s="23">
        <v>1</v>
      </c>
      <c r="L96" s="11">
        <f t="shared" si="10"/>
        <v>1.5432098765432098</v>
      </c>
      <c r="M96" s="23">
        <f t="shared" si="11"/>
        <v>0.80999999999999994</v>
      </c>
      <c r="N96" s="1" t="s">
        <v>1696</v>
      </c>
      <c r="O96" s="1"/>
      <c r="P96" s="1"/>
      <c r="Q96" s="1"/>
      <c r="R96" s="1"/>
      <c r="S96" s="1"/>
      <c r="T96" s="23">
        <v>1</v>
      </c>
      <c r="U96" s="11">
        <f t="shared" si="12"/>
        <v>1.5432098765432098</v>
      </c>
      <c r="V96" s="24">
        <f t="shared" si="13"/>
        <v>0.80999999999999994</v>
      </c>
      <c r="W96" s="4"/>
      <c r="X96" s="54"/>
      <c r="Y96" s="34">
        <v>0.80999999999999994</v>
      </c>
      <c r="Z96" s="54">
        <v>1.5432098765432098</v>
      </c>
      <c r="AA96" s="54" t="b">
        <f t="shared" si="7"/>
        <v>1</v>
      </c>
      <c r="AB96" s="54" t="b">
        <f t="shared" si="8"/>
        <v>1</v>
      </c>
      <c r="AC96" s="54" t="b">
        <f t="shared" si="9"/>
        <v>1</v>
      </c>
    </row>
    <row r="97" spans="1:29" x14ac:dyDescent="0.25">
      <c r="A97" s="1" t="s">
        <v>1356</v>
      </c>
      <c r="B97" s="1" t="s">
        <v>1695</v>
      </c>
      <c r="C97" s="23">
        <v>0.78947368421052644</v>
      </c>
      <c r="D97" s="11">
        <v>1.1000000000000001</v>
      </c>
      <c r="E97" s="1"/>
      <c r="F97" s="1"/>
      <c r="G97" s="1"/>
      <c r="H97" s="1"/>
      <c r="I97" s="1"/>
      <c r="J97" s="1"/>
      <c r="K97" s="23">
        <v>1</v>
      </c>
      <c r="L97" s="11">
        <f t="shared" si="10"/>
        <v>1.1000000000000001</v>
      </c>
      <c r="M97" s="23">
        <f t="shared" si="11"/>
        <v>0.78947368421052644</v>
      </c>
      <c r="N97" s="1" t="s">
        <v>1696</v>
      </c>
      <c r="O97" s="1"/>
      <c r="P97" s="1" t="s">
        <v>1696</v>
      </c>
      <c r="Q97" s="1"/>
      <c r="R97" s="1" t="s">
        <v>1700</v>
      </c>
      <c r="S97" s="1">
        <v>0.1</v>
      </c>
      <c r="T97" s="23">
        <v>0.95</v>
      </c>
      <c r="U97" s="11">
        <f t="shared" si="12"/>
        <v>1.2000000000000002</v>
      </c>
      <c r="V97" s="24">
        <f t="shared" si="13"/>
        <v>0.75000000000000011</v>
      </c>
      <c r="W97" s="4">
        <f>D97+S97</f>
        <v>1.2000000000000002</v>
      </c>
      <c r="X97" s="54">
        <v>0.75</v>
      </c>
      <c r="Y97" s="34">
        <v>0.78947368421052644</v>
      </c>
      <c r="Z97" s="54">
        <v>1.2098765432098764</v>
      </c>
      <c r="AA97" s="54" t="b">
        <f t="shared" si="7"/>
        <v>1</v>
      </c>
      <c r="AB97" s="54" t="b">
        <f t="shared" si="8"/>
        <v>0</v>
      </c>
      <c r="AC97" s="54" t="b">
        <f t="shared" si="9"/>
        <v>0</v>
      </c>
    </row>
    <row r="98" spans="1:29" x14ac:dyDescent="0.25">
      <c r="A98" s="1" t="s">
        <v>1394</v>
      </c>
      <c r="B98" s="1" t="s">
        <v>1695</v>
      </c>
      <c r="C98" s="23">
        <v>0.8</v>
      </c>
      <c r="D98" s="11">
        <v>1.6666666666666665</v>
      </c>
      <c r="E98" s="1"/>
      <c r="F98" s="1"/>
      <c r="G98" s="1"/>
      <c r="H98" s="1"/>
      <c r="I98" s="1"/>
      <c r="J98" s="1"/>
      <c r="K98" s="23">
        <v>1</v>
      </c>
      <c r="L98" s="11">
        <f t="shared" si="10"/>
        <v>1.6666666666666665</v>
      </c>
      <c r="M98" s="23">
        <f t="shared" si="11"/>
        <v>0.8</v>
      </c>
      <c r="N98" s="1" t="s">
        <v>1696</v>
      </c>
      <c r="O98" s="1"/>
      <c r="P98" s="1"/>
      <c r="Q98" s="1"/>
      <c r="R98" s="1"/>
      <c r="S98" s="1"/>
      <c r="T98" s="23">
        <v>1</v>
      </c>
      <c r="U98" s="11">
        <f t="shared" si="12"/>
        <v>1.6666666666666665</v>
      </c>
      <c r="V98" s="24">
        <f t="shared" si="13"/>
        <v>0.8</v>
      </c>
      <c r="W98" s="4"/>
      <c r="X98" s="54"/>
      <c r="Y98" s="34">
        <v>0.8</v>
      </c>
      <c r="Z98" s="54">
        <v>1.6666666666666665</v>
      </c>
      <c r="AA98" s="54" t="b">
        <f t="shared" si="7"/>
        <v>1</v>
      </c>
      <c r="AB98" s="54" t="b">
        <f t="shared" si="8"/>
        <v>1</v>
      </c>
      <c r="AC98" s="54" t="b">
        <f t="shared" si="9"/>
        <v>1</v>
      </c>
    </row>
    <row r="99" spans="1:29" x14ac:dyDescent="0.25">
      <c r="A99" s="25" t="s">
        <v>1439</v>
      </c>
      <c r="B99" s="25" t="s">
        <v>1879</v>
      </c>
      <c r="C99" s="23"/>
      <c r="D99" s="11">
        <v>0</v>
      </c>
      <c r="E99" s="1"/>
      <c r="F99" s="1"/>
      <c r="G99" s="1"/>
      <c r="H99" s="1"/>
      <c r="I99" s="1"/>
      <c r="J99" s="1"/>
      <c r="K99" s="23">
        <v>1</v>
      </c>
      <c r="L99" s="11">
        <f t="shared" si="10"/>
        <v>0</v>
      </c>
      <c r="M99" s="23">
        <f t="shared" si="11"/>
        <v>0</v>
      </c>
      <c r="N99" s="1" t="s">
        <v>1696</v>
      </c>
      <c r="O99" s="1"/>
      <c r="P99" s="1" t="s">
        <v>1696</v>
      </c>
      <c r="Q99" s="1"/>
      <c r="R99" s="1" t="s">
        <v>1700</v>
      </c>
      <c r="S99" s="1">
        <v>0.1</v>
      </c>
      <c r="T99" s="23">
        <v>1</v>
      </c>
      <c r="U99" s="11">
        <f t="shared" si="12"/>
        <v>0.1</v>
      </c>
      <c r="V99" s="24">
        <f t="shared" si="13"/>
        <v>0</v>
      </c>
      <c r="W99" s="4"/>
      <c r="X99" s="54"/>
      <c r="Y99" s="34">
        <v>0</v>
      </c>
      <c r="Z99" s="54">
        <v>0</v>
      </c>
      <c r="AA99" s="54" t="b">
        <f t="shared" si="7"/>
        <v>1</v>
      </c>
      <c r="AB99" s="54" t="b">
        <f t="shared" si="8"/>
        <v>1</v>
      </c>
      <c r="AC99" s="54" t="b">
        <f t="shared" si="9"/>
        <v>1</v>
      </c>
    </row>
    <row r="100" spans="1:29" x14ac:dyDescent="0.25">
      <c r="A100" s="1" t="s">
        <v>1513</v>
      </c>
      <c r="B100" s="1" t="s">
        <v>1695</v>
      </c>
      <c r="C100" s="23">
        <v>0.6475279106858054</v>
      </c>
      <c r="D100" s="11">
        <v>3.8711001642036122</v>
      </c>
      <c r="E100" s="1" t="s">
        <v>1696</v>
      </c>
      <c r="F100" s="1"/>
      <c r="G100" s="1" t="s">
        <v>1696</v>
      </c>
      <c r="H100" s="1" t="s">
        <v>1696</v>
      </c>
      <c r="I100" s="1" t="s">
        <v>1700</v>
      </c>
      <c r="J100" s="1">
        <v>0.25</v>
      </c>
      <c r="K100" s="30">
        <v>0.9</v>
      </c>
      <c r="L100" s="11">
        <f t="shared" si="10"/>
        <v>4.1211001642036127</v>
      </c>
      <c r="M100" s="23">
        <f t="shared" si="11"/>
        <v>0.58277511961722483</v>
      </c>
      <c r="N100" s="1"/>
      <c r="O100" s="1"/>
      <c r="P100" s="1"/>
      <c r="Q100" s="1"/>
      <c r="R100" s="1"/>
      <c r="S100" s="1"/>
      <c r="T100" s="23">
        <v>1</v>
      </c>
      <c r="U100" s="11">
        <f t="shared" si="12"/>
        <v>3.8711001642036122</v>
      </c>
      <c r="V100" s="24">
        <f t="shared" si="13"/>
        <v>0.6475279106858054</v>
      </c>
      <c r="W100" s="4"/>
      <c r="X100" s="54"/>
      <c r="Y100" s="34">
        <v>0.6475279106858054</v>
      </c>
      <c r="Z100" s="54">
        <v>3.8711001642036122</v>
      </c>
      <c r="AA100" s="54" t="b">
        <f t="shared" si="7"/>
        <v>1</v>
      </c>
      <c r="AB100" s="54" t="b">
        <f t="shared" si="8"/>
        <v>1</v>
      </c>
      <c r="AC100" s="54" t="b">
        <f t="shared" si="9"/>
        <v>0</v>
      </c>
    </row>
    <row r="101" spans="1:29" x14ac:dyDescent="0.25">
      <c r="A101" s="1" t="s">
        <v>1514</v>
      </c>
      <c r="B101" s="1" t="s">
        <v>1695</v>
      </c>
      <c r="C101" s="23">
        <v>0.47499999999999998</v>
      </c>
      <c r="D101" s="11">
        <v>4.4152046783625734</v>
      </c>
      <c r="E101" s="1" t="s">
        <v>1696</v>
      </c>
      <c r="F101" s="1"/>
      <c r="G101" s="1" t="s">
        <v>1696</v>
      </c>
      <c r="H101" s="1"/>
      <c r="I101" s="1" t="s">
        <v>1700</v>
      </c>
      <c r="J101" s="1">
        <v>0.1</v>
      </c>
      <c r="K101" s="23">
        <v>1</v>
      </c>
      <c r="L101" s="11">
        <f t="shared" si="10"/>
        <v>4.515204678362573</v>
      </c>
      <c r="M101" s="23">
        <f t="shared" si="11"/>
        <v>0.47499999999999998</v>
      </c>
      <c r="N101" s="1"/>
      <c r="O101" s="1"/>
      <c r="P101" s="1"/>
      <c r="Q101" s="1"/>
      <c r="R101" s="1"/>
      <c r="S101" s="1"/>
      <c r="T101" s="23">
        <v>1</v>
      </c>
      <c r="U101" s="11">
        <f t="shared" si="12"/>
        <v>4.4152046783625734</v>
      </c>
      <c r="V101" s="24">
        <f t="shared" si="13"/>
        <v>0.47499999999999998</v>
      </c>
      <c r="W101" s="4"/>
      <c r="X101" s="54"/>
      <c r="Y101" s="34">
        <v>0.47499999999999998</v>
      </c>
      <c r="Z101" s="54">
        <v>4.4152046783625734</v>
      </c>
      <c r="AA101" s="54" t="b">
        <f t="shared" si="7"/>
        <v>1</v>
      </c>
      <c r="AB101" s="54" t="b">
        <f t="shared" si="8"/>
        <v>1</v>
      </c>
      <c r="AC101" s="54" t="b">
        <f t="shared" si="9"/>
        <v>1</v>
      </c>
    </row>
    <row r="102" spans="1:29" x14ac:dyDescent="0.25">
      <c r="A102" s="1" t="s">
        <v>1648</v>
      </c>
      <c r="B102" s="1" t="s">
        <v>1695</v>
      </c>
      <c r="C102" s="23">
        <v>0.71222563837881381</v>
      </c>
      <c r="D102" s="11">
        <v>1.2525214347987847</v>
      </c>
      <c r="E102" s="1"/>
      <c r="F102" s="1"/>
      <c r="G102" s="1"/>
      <c r="H102" s="1"/>
      <c r="I102" s="1"/>
      <c r="J102" s="1"/>
      <c r="K102" s="23">
        <v>1</v>
      </c>
      <c r="L102" s="11">
        <f t="shared" si="10"/>
        <v>1.2525214347987847</v>
      </c>
      <c r="M102" s="23">
        <f t="shared" si="11"/>
        <v>0.71222563837881381</v>
      </c>
      <c r="N102" s="1" t="s">
        <v>1696</v>
      </c>
      <c r="O102" s="1"/>
      <c r="P102" s="1"/>
      <c r="Q102" s="1"/>
      <c r="R102" s="1"/>
      <c r="S102" s="1"/>
      <c r="T102" s="23">
        <v>1</v>
      </c>
      <c r="U102" s="11">
        <f t="shared" si="12"/>
        <v>1.2525214347987847</v>
      </c>
      <c r="V102" s="24">
        <f t="shared" si="13"/>
        <v>0.71222563837881381</v>
      </c>
      <c r="W102" s="4"/>
      <c r="X102" s="54"/>
      <c r="Y102" s="34">
        <v>0.71222563837881381</v>
      </c>
      <c r="Z102" s="54">
        <v>1.2525214347987847</v>
      </c>
      <c r="AA102" s="54" t="b">
        <f t="shared" si="7"/>
        <v>1</v>
      </c>
      <c r="AB102" s="54" t="b">
        <f t="shared" si="8"/>
        <v>1</v>
      </c>
      <c r="AC102" s="54" t="b">
        <f t="shared" si="9"/>
        <v>1</v>
      </c>
    </row>
    <row r="103" spans="1:29" x14ac:dyDescent="0.25">
      <c r="A103" s="1" t="s">
        <v>1612</v>
      </c>
      <c r="B103" s="1" t="s">
        <v>1695</v>
      </c>
      <c r="C103" s="23">
        <v>0.97333333333333327</v>
      </c>
      <c r="D103" s="33">
        <v>0.25</v>
      </c>
      <c r="E103" s="1"/>
      <c r="F103" s="1"/>
      <c r="G103" s="1"/>
      <c r="H103" s="1"/>
      <c r="I103" s="1"/>
      <c r="J103" s="1"/>
      <c r="K103" s="23">
        <v>1</v>
      </c>
      <c r="L103" s="11">
        <f t="shared" si="10"/>
        <v>0.25</v>
      </c>
      <c r="M103" s="23">
        <f t="shared" si="11"/>
        <v>0.97333333333333327</v>
      </c>
      <c r="N103" s="1" t="s">
        <v>1696</v>
      </c>
      <c r="O103" s="1"/>
      <c r="P103" s="1"/>
      <c r="Q103" s="1"/>
      <c r="R103" s="1"/>
      <c r="S103" s="1"/>
      <c r="T103" s="23">
        <v>1</v>
      </c>
      <c r="U103" s="11">
        <f t="shared" si="12"/>
        <v>0.25</v>
      </c>
      <c r="V103" s="24">
        <f t="shared" si="13"/>
        <v>0.97333333333333327</v>
      </c>
      <c r="W103" s="4"/>
      <c r="X103" s="54"/>
      <c r="Y103" s="34">
        <v>0.97333333333333327</v>
      </c>
      <c r="Z103" s="54">
        <v>0.10273972602739727</v>
      </c>
      <c r="AA103" s="54" t="b">
        <f t="shared" si="7"/>
        <v>1</v>
      </c>
      <c r="AB103" s="54" t="b">
        <f t="shared" si="8"/>
        <v>0</v>
      </c>
      <c r="AC103" s="54" t="b">
        <f t="shared" si="9"/>
        <v>1</v>
      </c>
    </row>
    <row r="104" spans="1:29" x14ac:dyDescent="0.25">
      <c r="A104" s="1" t="s">
        <v>1515</v>
      </c>
      <c r="B104" s="1" t="s">
        <v>1695</v>
      </c>
      <c r="C104" s="23">
        <v>0.48499999999999999</v>
      </c>
      <c r="D104" s="11">
        <v>3.7800687285223367</v>
      </c>
      <c r="E104" s="1" t="s">
        <v>1696</v>
      </c>
      <c r="F104" s="1"/>
      <c r="G104" s="1" t="s">
        <v>1696</v>
      </c>
      <c r="H104" s="1" t="s">
        <v>1696</v>
      </c>
      <c r="I104" s="1" t="s">
        <v>1700</v>
      </c>
      <c r="J104" s="1">
        <v>0.25</v>
      </c>
      <c r="K104" s="30">
        <v>0.9</v>
      </c>
      <c r="L104" s="11">
        <f t="shared" si="10"/>
        <v>4.0300687285223367</v>
      </c>
      <c r="M104" s="23">
        <f t="shared" si="11"/>
        <v>0.4365</v>
      </c>
      <c r="N104" s="1"/>
      <c r="O104" s="1"/>
      <c r="P104" s="1"/>
      <c r="Q104" s="1"/>
      <c r="R104" s="1"/>
      <c r="S104" s="1"/>
      <c r="T104" s="23">
        <v>1</v>
      </c>
      <c r="U104" s="11">
        <f t="shared" si="12"/>
        <v>3.7800687285223367</v>
      </c>
      <c r="V104" s="24">
        <f t="shared" si="13"/>
        <v>0.48499999999999999</v>
      </c>
      <c r="W104" s="4"/>
      <c r="X104" s="54"/>
      <c r="Y104" s="34">
        <v>0.49230769230769228</v>
      </c>
      <c r="Z104" s="54">
        <v>26.614583333333336</v>
      </c>
      <c r="AA104" s="54" t="b">
        <f t="shared" si="7"/>
        <v>0</v>
      </c>
      <c r="AB104" s="54" t="b">
        <f t="shared" si="8"/>
        <v>0</v>
      </c>
      <c r="AC104" s="54" t="b">
        <f t="shared" si="9"/>
        <v>0</v>
      </c>
    </row>
    <row r="105" spans="1:29" x14ac:dyDescent="0.25">
      <c r="A105" s="1" t="s">
        <v>1516</v>
      </c>
      <c r="B105" s="1" t="s">
        <v>1695</v>
      </c>
      <c r="C105" s="29">
        <v>0.6</v>
      </c>
      <c r="D105" s="11">
        <v>4.6527777777777777</v>
      </c>
      <c r="E105" s="1" t="s">
        <v>1696</v>
      </c>
      <c r="F105" s="1"/>
      <c r="G105" s="1" t="s">
        <v>1696</v>
      </c>
      <c r="H105" s="1" t="s">
        <v>1696</v>
      </c>
      <c r="I105" s="1" t="s">
        <v>1700</v>
      </c>
      <c r="J105" s="1">
        <v>0.25</v>
      </c>
      <c r="K105" s="28">
        <v>0.9</v>
      </c>
      <c r="L105" s="11">
        <f t="shared" si="10"/>
        <v>4.9027777777777777</v>
      </c>
      <c r="M105" s="23">
        <f t="shared" si="11"/>
        <v>0.54</v>
      </c>
      <c r="N105" s="1"/>
      <c r="O105" s="1"/>
      <c r="P105" s="1"/>
      <c r="Q105" s="1"/>
      <c r="R105" s="1"/>
      <c r="S105" s="1"/>
      <c r="T105" s="23">
        <v>1</v>
      </c>
      <c r="U105" s="11">
        <f t="shared" si="12"/>
        <v>4.6527777777777777</v>
      </c>
      <c r="V105" s="24">
        <f t="shared" si="13"/>
        <v>0.6</v>
      </c>
      <c r="W105" s="4"/>
      <c r="X105" s="54"/>
      <c r="Y105" s="34">
        <v>0.6</v>
      </c>
      <c r="Z105" s="54">
        <v>4.6527777777777777</v>
      </c>
      <c r="AA105" s="54" t="b">
        <f t="shared" si="7"/>
        <v>1</v>
      </c>
      <c r="AB105" s="54" t="b">
        <f t="shared" si="8"/>
        <v>1</v>
      </c>
      <c r="AC105" s="54" t="b">
        <f t="shared" si="9"/>
        <v>0</v>
      </c>
    </row>
    <row r="106" spans="1:29" x14ac:dyDescent="0.25">
      <c r="A106" s="1" t="s">
        <v>1625</v>
      </c>
      <c r="B106" s="1" t="s">
        <v>1695</v>
      </c>
      <c r="C106" s="23">
        <v>0.61860465116279073</v>
      </c>
      <c r="D106" s="11">
        <v>4.511278195488722</v>
      </c>
      <c r="E106" s="1" t="s">
        <v>1696</v>
      </c>
      <c r="F106" s="1"/>
      <c r="G106" s="1"/>
      <c r="H106" s="1"/>
      <c r="I106" s="1"/>
      <c r="J106" s="1"/>
      <c r="K106" s="23">
        <v>1</v>
      </c>
      <c r="L106" s="11">
        <f t="shared" si="10"/>
        <v>4.511278195488722</v>
      </c>
      <c r="M106" s="23">
        <f t="shared" si="11"/>
        <v>0.61860465116279073</v>
      </c>
      <c r="N106" s="1"/>
      <c r="O106" s="1"/>
      <c r="P106" s="1"/>
      <c r="Q106" s="1"/>
      <c r="R106" s="1"/>
      <c r="S106" s="1"/>
      <c r="T106" s="23">
        <v>1</v>
      </c>
      <c r="U106" s="11">
        <f t="shared" si="12"/>
        <v>4.511278195488722</v>
      </c>
      <c r="V106" s="24">
        <f t="shared" si="13"/>
        <v>0.61860465116279073</v>
      </c>
      <c r="W106" s="4"/>
      <c r="X106" s="54"/>
      <c r="Y106" s="34">
        <v>0.61860465116279073</v>
      </c>
      <c r="Z106" s="54">
        <v>4.511278195488722</v>
      </c>
      <c r="AA106" s="54" t="b">
        <f t="shared" si="7"/>
        <v>1</v>
      </c>
      <c r="AB106" s="54" t="b">
        <f t="shared" si="8"/>
        <v>1</v>
      </c>
      <c r="AC106" s="54" t="b">
        <f t="shared" si="9"/>
        <v>1</v>
      </c>
    </row>
    <row r="107" spans="1:29" x14ac:dyDescent="0.25">
      <c r="A107" s="1" t="s">
        <v>1358</v>
      </c>
      <c r="B107" s="1" t="s">
        <v>1695</v>
      </c>
      <c r="C107" s="23">
        <v>0.74</v>
      </c>
      <c r="D107" s="11">
        <v>12.387387387387387</v>
      </c>
      <c r="E107" s="1"/>
      <c r="F107" s="1"/>
      <c r="G107" s="1"/>
      <c r="H107" s="1"/>
      <c r="I107" s="1"/>
      <c r="J107" s="1"/>
      <c r="K107" s="23">
        <v>1</v>
      </c>
      <c r="L107" s="11">
        <f t="shared" si="10"/>
        <v>12.387387387387387</v>
      </c>
      <c r="M107" s="23">
        <f t="shared" si="11"/>
        <v>0.74</v>
      </c>
      <c r="N107" s="1" t="s">
        <v>1696</v>
      </c>
      <c r="O107" s="1"/>
      <c r="P107" s="1"/>
      <c r="Q107" s="1"/>
      <c r="R107" s="1"/>
      <c r="S107" s="1"/>
      <c r="T107" s="23">
        <v>1</v>
      </c>
      <c r="U107" s="11">
        <f t="shared" si="12"/>
        <v>12.387387387387387</v>
      </c>
      <c r="V107" s="24">
        <f t="shared" si="13"/>
        <v>0.74</v>
      </c>
      <c r="W107" s="4"/>
      <c r="X107" s="54"/>
      <c r="Y107" s="34">
        <v>0.74</v>
      </c>
      <c r="Z107" s="54">
        <v>12.387387387387387</v>
      </c>
      <c r="AA107" s="54" t="b">
        <f t="shared" si="7"/>
        <v>1</v>
      </c>
      <c r="AB107" s="54" t="b">
        <f t="shared" si="8"/>
        <v>1</v>
      </c>
      <c r="AC107" s="54" t="b">
        <f t="shared" si="9"/>
        <v>1</v>
      </c>
    </row>
    <row r="108" spans="1:29" x14ac:dyDescent="0.25">
      <c r="A108" s="1" t="s">
        <v>1601</v>
      </c>
      <c r="B108" s="1" t="s">
        <v>1695</v>
      </c>
      <c r="C108" s="23">
        <v>0.70588235294117652</v>
      </c>
      <c r="D108" s="11">
        <v>1.1111111111111112</v>
      </c>
      <c r="E108" s="1" t="s">
        <v>1696</v>
      </c>
      <c r="F108" s="1"/>
      <c r="G108" s="1" t="s">
        <v>1696</v>
      </c>
      <c r="H108" s="1"/>
      <c r="I108" s="1" t="s">
        <v>1700</v>
      </c>
      <c r="J108" s="1">
        <v>0.1</v>
      </c>
      <c r="K108" s="23">
        <v>1</v>
      </c>
      <c r="L108" s="11">
        <f t="shared" si="10"/>
        <v>1.2111111111111112</v>
      </c>
      <c r="M108" s="23">
        <f t="shared" si="11"/>
        <v>0.70588235294117652</v>
      </c>
      <c r="N108" s="1"/>
      <c r="O108" s="1"/>
      <c r="P108" s="1"/>
      <c r="Q108" s="1"/>
      <c r="R108" s="1"/>
      <c r="S108" s="1"/>
      <c r="T108" s="23">
        <v>1</v>
      </c>
      <c r="U108" s="11">
        <f t="shared" si="12"/>
        <v>1.1111111111111112</v>
      </c>
      <c r="V108" s="24">
        <f t="shared" si="13"/>
        <v>0.70588235294117652</v>
      </c>
      <c r="W108" s="4">
        <v>1.1100000000000001</v>
      </c>
      <c r="X108" s="54">
        <v>0.71</v>
      </c>
      <c r="Y108" s="34">
        <v>0.70588235294117652</v>
      </c>
      <c r="Z108" s="54">
        <v>1.1111111111111112</v>
      </c>
      <c r="AA108" s="54" t="b">
        <f t="shared" si="7"/>
        <v>1</v>
      </c>
      <c r="AB108" s="54" t="b">
        <f t="shared" si="8"/>
        <v>1</v>
      </c>
      <c r="AC108" s="54" t="b">
        <f t="shared" si="9"/>
        <v>1</v>
      </c>
    </row>
    <row r="109" spans="1:29" x14ac:dyDescent="0.25">
      <c r="A109" s="1" t="s">
        <v>1517</v>
      </c>
      <c r="B109" s="1" t="s">
        <v>1695</v>
      </c>
      <c r="C109" s="23">
        <v>0.96750369276218617</v>
      </c>
      <c r="D109" s="11">
        <v>0.25</v>
      </c>
      <c r="E109" s="1" t="s">
        <v>1696</v>
      </c>
      <c r="F109" s="1"/>
      <c r="G109" s="1" t="s">
        <v>1696</v>
      </c>
      <c r="H109" s="1"/>
      <c r="I109" s="1" t="s">
        <v>1700</v>
      </c>
      <c r="J109" s="1">
        <v>0.25</v>
      </c>
      <c r="K109" s="23">
        <v>1</v>
      </c>
      <c r="L109" s="11">
        <f t="shared" si="10"/>
        <v>0.5</v>
      </c>
      <c r="M109" s="23">
        <f t="shared" si="11"/>
        <v>0.96750369276218617</v>
      </c>
      <c r="N109" s="1"/>
      <c r="O109" s="1"/>
      <c r="P109" s="1"/>
      <c r="Q109" s="1"/>
      <c r="R109" s="1"/>
      <c r="S109" s="1"/>
      <c r="T109" s="23">
        <v>1</v>
      </c>
      <c r="U109" s="11">
        <f t="shared" si="12"/>
        <v>0.25</v>
      </c>
      <c r="V109" s="24">
        <f t="shared" si="13"/>
        <v>0.96750369276218617</v>
      </c>
      <c r="W109" s="4"/>
      <c r="X109" s="54"/>
      <c r="Y109" s="34">
        <v>0.96750369276218617</v>
      </c>
      <c r="Z109" s="54">
        <v>0.10178117048346055</v>
      </c>
      <c r="AA109" s="54" t="b">
        <f t="shared" si="7"/>
        <v>1</v>
      </c>
      <c r="AB109" s="54" t="b">
        <f t="shared" si="8"/>
        <v>0</v>
      </c>
      <c r="AC109" s="54" t="b">
        <f t="shared" si="9"/>
        <v>1</v>
      </c>
    </row>
    <row r="110" spans="1:29" x14ac:dyDescent="0.25">
      <c r="A110" s="1" t="s">
        <v>1610</v>
      </c>
      <c r="B110" s="1" t="s">
        <v>1695</v>
      </c>
      <c r="C110" s="23">
        <v>0.96750369276218617</v>
      </c>
      <c r="D110" s="11">
        <v>0.25</v>
      </c>
      <c r="E110" s="1"/>
      <c r="F110" s="1"/>
      <c r="G110" s="1"/>
      <c r="H110" s="1"/>
      <c r="I110" s="1"/>
      <c r="J110" s="1"/>
      <c r="K110" s="23">
        <v>1</v>
      </c>
      <c r="L110" s="11">
        <f t="shared" si="10"/>
        <v>0.25</v>
      </c>
      <c r="M110" s="23">
        <f t="shared" si="11"/>
        <v>0.96750369276218617</v>
      </c>
      <c r="N110" s="1" t="s">
        <v>1696</v>
      </c>
      <c r="O110" s="1"/>
      <c r="P110" s="1"/>
      <c r="Q110" s="1"/>
      <c r="R110" s="1"/>
      <c r="S110" s="1">
        <v>0.25</v>
      </c>
      <c r="T110" s="23">
        <v>1</v>
      </c>
      <c r="U110" s="11">
        <f t="shared" si="12"/>
        <v>0.5</v>
      </c>
      <c r="V110" s="24">
        <f t="shared" si="13"/>
        <v>0.96750369276218617</v>
      </c>
      <c r="W110" s="4"/>
      <c r="X110" s="54"/>
      <c r="Y110" s="34">
        <v>0.96750369276218617</v>
      </c>
      <c r="Z110" s="54">
        <v>0.10178117048346055</v>
      </c>
      <c r="AA110" s="54" t="b">
        <f t="shared" si="7"/>
        <v>1</v>
      </c>
      <c r="AB110" s="54" t="b">
        <f t="shared" si="8"/>
        <v>0</v>
      </c>
      <c r="AC110" s="54" t="b">
        <f t="shared" si="9"/>
        <v>1</v>
      </c>
    </row>
    <row r="111" spans="1:29" x14ac:dyDescent="0.25">
      <c r="A111" s="1" t="s">
        <v>1434</v>
      </c>
      <c r="B111" s="1" t="s">
        <v>1695</v>
      </c>
      <c r="C111" s="23">
        <v>0.71</v>
      </c>
      <c r="D111" s="11">
        <v>0.5</v>
      </c>
      <c r="E111" s="1"/>
      <c r="F111" s="1"/>
      <c r="G111" s="1" t="s">
        <v>1696</v>
      </c>
      <c r="H111" s="1" t="s">
        <v>1696</v>
      </c>
      <c r="I111" s="1" t="s">
        <v>1700</v>
      </c>
      <c r="J111" s="1">
        <v>0.25</v>
      </c>
      <c r="K111" s="30">
        <v>0.97</v>
      </c>
      <c r="L111" s="11">
        <f t="shared" si="10"/>
        <v>0.75</v>
      </c>
      <c r="M111" s="23">
        <f t="shared" si="11"/>
        <v>0.68869999999999998</v>
      </c>
      <c r="N111" s="1" t="s">
        <v>1696</v>
      </c>
      <c r="O111" s="1"/>
      <c r="P111" s="1" t="s">
        <v>4691</v>
      </c>
      <c r="Q111" s="1" t="s">
        <v>1696</v>
      </c>
      <c r="R111" s="1" t="s">
        <v>1700</v>
      </c>
      <c r="S111" s="1">
        <v>0.25</v>
      </c>
      <c r="T111" s="23">
        <v>0.97</v>
      </c>
      <c r="U111" s="11">
        <f t="shared" si="12"/>
        <v>0.75</v>
      </c>
      <c r="V111" s="24">
        <f t="shared" si="13"/>
        <v>0.68869999999999998</v>
      </c>
      <c r="W111" s="4"/>
      <c r="X111" s="54"/>
      <c r="Y111" s="34">
        <v>0.64935064935064934</v>
      </c>
      <c r="Z111" s="54">
        <v>0.2</v>
      </c>
      <c r="AA111" s="54" t="b">
        <f t="shared" si="7"/>
        <v>0</v>
      </c>
      <c r="AB111" s="54" t="b">
        <f t="shared" si="8"/>
        <v>0</v>
      </c>
      <c r="AC111" s="54" t="b">
        <f t="shared" si="9"/>
        <v>1</v>
      </c>
    </row>
    <row r="112" spans="1:29" x14ac:dyDescent="0.25">
      <c r="A112" s="1" t="s">
        <v>1456</v>
      </c>
      <c r="B112" s="1" t="s">
        <v>1695</v>
      </c>
      <c r="C112" s="23">
        <v>0.53271028037383172</v>
      </c>
      <c r="D112" s="11">
        <v>14.210526315789474</v>
      </c>
      <c r="E112" s="1"/>
      <c r="F112" s="1"/>
      <c r="G112" s="1"/>
      <c r="H112" s="1"/>
      <c r="I112" s="1"/>
      <c r="J112" s="1"/>
      <c r="K112" s="23">
        <v>1</v>
      </c>
      <c r="L112" s="11">
        <f t="shared" si="10"/>
        <v>14.210526315789474</v>
      </c>
      <c r="M112" s="23">
        <f t="shared" si="11"/>
        <v>0.53271028037383172</v>
      </c>
      <c r="N112" s="1" t="s">
        <v>1696</v>
      </c>
      <c r="O112" s="1"/>
      <c r="P112" s="1"/>
      <c r="Q112" s="1"/>
      <c r="R112" s="1"/>
      <c r="S112" s="1"/>
      <c r="T112" s="23">
        <v>1</v>
      </c>
      <c r="U112" s="11">
        <f t="shared" si="12"/>
        <v>14.210526315789474</v>
      </c>
      <c r="V112" s="24">
        <f t="shared" si="13"/>
        <v>0.53271028037383172</v>
      </c>
      <c r="W112" s="4"/>
      <c r="X112" s="54"/>
      <c r="Y112" s="34">
        <v>0.53271028037383172</v>
      </c>
      <c r="Z112" s="54">
        <v>14.210526315789474</v>
      </c>
      <c r="AA112" s="54" t="b">
        <f t="shared" si="7"/>
        <v>1</v>
      </c>
      <c r="AB112" s="54" t="b">
        <f t="shared" si="8"/>
        <v>1</v>
      </c>
      <c r="AC112" s="54" t="b">
        <f t="shared" si="9"/>
        <v>1</v>
      </c>
    </row>
    <row r="113" spans="1:29" x14ac:dyDescent="0.25">
      <c r="A113" s="1" t="s">
        <v>1518</v>
      </c>
      <c r="B113" s="1" t="s">
        <v>1695</v>
      </c>
      <c r="C113" s="23">
        <v>0.3925233644859813</v>
      </c>
      <c r="D113" s="11">
        <v>48.452380952380956</v>
      </c>
      <c r="E113" s="1" t="s">
        <v>1696</v>
      </c>
      <c r="F113" s="1"/>
      <c r="G113" s="1"/>
      <c r="H113" s="1"/>
      <c r="I113" s="1"/>
      <c r="J113" s="1"/>
      <c r="K113" s="23">
        <v>1</v>
      </c>
      <c r="L113" s="11">
        <f t="shared" si="10"/>
        <v>48.452380952380956</v>
      </c>
      <c r="M113" s="23">
        <f t="shared" si="11"/>
        <v>0.3925233644859813</v>
      </c>
      <c r="N113" s="1"/>
      <c r="O113" s="1"/>
      <c r="P113" s="1"/>
      <c r="Q113" s="1"/>
      <c r="R113" s="1"/>
      <c r="S113" s="1"/>
      <c r="T113" s="23">
        <v>1</v>
      </c>
      <c r="U113" s="11">
        <f t="shared" si="12"/>
        <v>48.452380952380956</v>
      </c>
      <c r="V113" s="24">
        <f t="shared" si="13"/>
        <v>0.3925233644859813</v>
      </c>
      <c r="W113" s="4"/>
      <c r="X113" s="54"/>
      <c r="Y113" s="34">
        <v>0.3925233644859813</v>
      </c>
      <c r="Z113" s="54">
        <v>48.452380952380956</v>
      </c>
      <c r="AA113" s="54" t="b">
        <f t="shared" si="7"/>
        <v>1</v>
      </c>
      <c r="AB113" s="54" t="b">
        <f t="shared" si="8"/>
        <v>1</v>
      </c>
      <c r="AC113" s="54" t="b">
        <f t="shared" si="9"/>
        <v>1</v>
      </c>
    </row>
    <row r="114" spans="1:29" x14ac:dyDescent="0.25">
      <c r="A114" s="1" t="s">
        <v>1519</v>
      </c>
      <c r="B114" s="1" t="s">
        <v>1695</v>
      </c>
      <c r="C114" s="23">
        <v>0.7</v>
      </c>
      <c r="D114" s="11">
        <v>1.5476190476190477</v>
      </c>
      <c r="E114" s="1" t="s">
        <v>1696</v>
      </c>
      <c r="F114" s="1"/>
      <c r="G114" s="1" t="s">
        <v>1696</v>
      </c>
      <c r="H114" s="1" t="s">
        <v>1696</v>
      </c>
      <c r="I114" s="1" t="s">
        <v>1700</v>
      </c>
      <c r="J114" s="1">
        <v>0.25</v>
      </c>
      <c r="K114" s="24">
        <v>0.92</v>
      </c>
      <c r="L114" s="11">
        <f t="shared" si="10"/>
        <v>1.7976190476190477</v>
      </c>
      <c r="M114" s="23">
        <f t="shared" si="11"/>
        <v>0.64400000000000002</v>
      </c>
      <c r="N114" s="1"/>
      <c r="O114" s="31"/>
      <c r="P114" s="1"/>
      <c r="Q114" s="1"/>
      <c r="R114" s="1"/>
      <c r="S114" s="1"/>
      <c r="T114" s="23">
        <v>1</v>
      </c>
      <c r="U114" s="11">
        <f t="shared" si="12"/>
        <v>1.5476190476190477</v>
      </c>
      <c r="V114" s="24">
        <f t="shared" si="13"/>
        <v>0.7</v>
      </c>
      <c r="W114" s="4">
        <v>1.55</v>
      </c>
      <c r="X114" s="54">
        <v>0.7</v>
      </c>
      <c r="Y114" s="34">
        <v>0.46666666666666662</v>
      </c>
      <c r="Z114" s="54">
        <v>1.5476190476190477</v>
      </c>
      <c r="AA114" s="54" t="b">
        <f t="shared" si="7"/>
        <v>0</v>
      </c>
      <c r="AB114" s="54" t="b">
        <f t="shared" si="8"/>
        <v>1</v>
      </c>
      <c r="AC114" s="54" t="b">
        <f t="shared" si="9"/>
        <v>0</v>
      </c>
    </row>
    <row r="115" spans="1:29" x14ac:dyDescent="0.25">
      <c r="A115" s="1" t="s">
        <v>1520</v>
      </c>
      <c r="B115" s="1" t="s">
        <v>1695</v>
      </c>
      <c r="C115" s="23">
        <v>0.53271028037383172</v>
      </c>
      <c r="D115" s="11">
        <v>14.210526315789474</v>
      </c>
      <c r="E115" s="1" t="s">
        <v>1696</v>
      </c>
      <c r="F115" s="1"/>
      <c r="G115" s="1" t="s">
        <v>1696</v>
      </c>
      <c r="H115" s="1"/>
      <c r="I115" s="1" t="s">
        <v>1700</v>
      </c>
      <c r="J115" s="1">
        <v>0.1</v>
      </c>
      <c r="K115" s="23">
        <v>1</v>
      </c>
      <c r="L115" s="11">
        <f t="shared" si="10"/>
        <v>14.310526315789474</v>
      </c>
      <c r="M115" s="23">
        <f t="shared" si="11"/>
        <v>0.53271028037383172</v>
      </c>
      <c r="N115" s="1"/>
      <c r="O115" s="1"/>
      <c r="P115" s="1"/>
      <c r="Q115" s="1"/>
      <c r="R115" s="1"/>
      <c r="S115" s="1"/>
      <c r="T115" s="23">
        <v>1</v>
      </c>
      <c r="U115" s="11">
        <f t="shared" si="12"/>
        <v>14.210526315789474</v>
      </c>
      <c r="V115" s="24">
        <f t="shared" si="13"/>
        <v>0.53271028037383172</v>
      </c>
      <c r="W115" s="4"/>
      <c r="X115" s="54"/>
      <c r="Y115" s="34">
        <v>0.53271028037383172</v>
      </c>
      <c r="Z115" s="54">
        <v>14.210526315789474</v>
      </c>
      <c r="AA115" s="54" t="b">
        <f t="shared" si="7"/>
        <v>1</v>
      </c>
      <c r="AB115" s="54" t="b">
        <f t="shared" si="8"/>
        <v>1</v>
      </c>
      <c r="AC115" s="54" t="b">
        <f t="shared" si="9"/>
        <v>1</v>
      </c>
    </row>
    <row r="116" spans="1:29" x14ac:dyDescent="0.25">
      <c r="A116" s="1" t="s">
        <v>1652</v>
      </c>
      <c r="B116" s="1" t="s">
        <v>1695</v>
      </c>
      <c r="C116" s="29">
        <v>0.31372549019607848</v>
      </c>
      <c r="D116" s="11">
        <v>7.5</v>
      </c>
      <c r="E116" s="1" t="s">
        <v>1696</v>
      </c>
      <c r="F116" s="1"/>
      <c r="G116" s="1"/>
      <c r="H116" s="1"/>
      <c r="I116" s="1"/>
      <c r="J116" s="1"/>
      <c r="K116" s="23">
        <v>1</v>
      </c>
      <c r="L116" s="11">
        <f t="shared" si="10"/>
        <v>7.5</v>
      </c>
      <c r="M116" s="23">
        <f t="shared" si="11"/>
        <v>0.31372549019607848</v>
      </c>
      <c r="N116" s="1"/>
      <c r="O116" s="1"/>
      <c r="P116" s="1"/>
      <c r="Q116" s="1"/>
      <c r="R116" s="1"/>
      <c r="S116" s="1"/>
      <c r="T116" s="23">
        <v>1</v>
      </c>
      <c r="U116" s="11">
        <f t="shared" si="12"/>
        <v>7.5</v>
      </c>
      <c r="V116" s="24">
        <f t="shared" si="13"/>
        <v>0.31372549019607848</v>
      </c>
      <c r="W116" s="4"/>
      <c r="X116" s="54"/>
      <c r="Y116" s="34">
        <v>0.31372549019607848</v>
      </c>
      <c r="Z116" s="54">
        <v>7.5</v>
      </c>
      <c r="AA116" s="54" t="b">
        <f t="shared" si="7"/>
        <v>1</v>
      </c>
      <c r="AB116" s="54" t="b">
        <f t="shared" si="8"/>
        <v>1</v>
      </c>
      <c r="AC116" s="54" t="b">
        <f t="shared" si="9"/>
        <v>1</v>
      </c>
    </row>
    <row r="117" spans="1:29" x14ac:dyDescent="0.25">
      <c r="A117" s="1" t="s">
        <v>1384</v>
      </c>
      <c r="B117" s="1" t="s">
        <v>1695</v>
      </c>
      <c r="C117" s="23">
        <v>0.95454545454545447</v>
      </c>
      <c r="D117" s="11">
        <v>2.3253968253968256</v>
      </c>
      <c r="E117" s="1"/>
      <c r="F117" s="1"/>
      <c r="G117" s="1"/>
      <c r="H117" s="1"/>
      <c r="I117" s="1"/>
      <c r="J117" s="1"/>
      <c r="K117" s="23">
        <v>1</v>
      </c>
      <c r="L117" s="11">
        <f t="shared" si="10"/>
        <v>2.3253968253968256</v>
      </c>
      <c r="M117" s="23">
        <f t="shared" si="11"/>
        <v>0.95454545454545447</v>
      </c>
      <c r="N117" s="1" t="s">
        <v>1696</v>
      </c>
      <c r="O117" s="1" t="s">
        <v>1696</v>
      </c>
      <c r="P117" s="1"/>
      <c r="Q117" s="1"/>
      <c r="R117" s="1" t="s">
        <v>1700</v>
      </c>
      <c r="S117" s="11">
        <v>6.25E-2</v>
      </c>
      <c r="T117" s="23">
        <v>1</v>
      </c>
      <c r="U117" s="11">
        <f t="shared" si="12"/>
        <v>2.3878968253968256</v>
      </c>
      <c r="V117" s="24">
        <f t="shared" si="13"/>
        <v>0.95454545454545447</v>
      </c>
      <c r="W117" s="4"/>
      <c r="X117" s="54"/>
      <c r="Y117" s="34">
        <v>0.95454545454545447</v>
      </c>
      <c r="Z117" s="54">
        <v>2.3253968253968256</v>
      </c>
      <c r="AA117" s="54" t="b">
        <f t="shared" si="7"/>
        <v>1</v>
      </c>
      <c r="AB117" s="54" t="b">
        <f t="shared" si="8"/>
        <v>1</v>
      </c>
      <c r="AC117" s="54" t="b">
        <f t="shared" si="9"/>
        <v>1</v>
      </c>
    </row>
    <row r="118" spans="1:29" x14ac:dyDescent="0.25">
      <c r="A118" s="1" t="s">
        <v>1383</v>
      </c>
      <c r="B118" s="1" t="s">
        <v>1695</v>
      </c>
      <c r="C118" s="23">
        <v>0.95121951219512202</v>
      </c>
      <c r="D118" s="11">
        <v>2.5641025641025639</v>
      </c>
      <c r="E118" s="1"/>
      <c r="F118" s="1"/>
      <c r="G118" s="1"/>
      <c r="H118" s="1"/>
      <c r="I118" s="1"/>
      <c r="J118" s="1"/>
      <c r="K118" s="23">
        <v>1</v>
      </c>
      <c r="L118" s="11">
        <f t="shared" si="10"/>
        <v>2.5641025641025639</v>
      </c>
      <c r="M118" s="23">
        <f t="shared" si="11"/>
        <v>0.95121951219512202</v>
      </c>
      <c r="N118" s="1" t="s">
        <v>1696</v>
      </c>
      <c r="O118" s="1" t="s">
        <v>1696</v>
      </c>
      <c r="P118" s="1"/>
      <c r="Q118" s="1"/>
      <c r="R118" s="1" t="s">
        <v>1700</v>
      </c>
      <c r="S118" s="11">
        <v>6.25E-2</v>
      </c>
      <c r="T118" s="23">
        <v>1</v>
      </c>
      <c r="U118" s="11">
        <f t="shared" si="12"/>
        <v>2.6266025641025639</v>
      </c>
      <c r="V118" s="24">
        <f t="shared" si="13"/>
        <v>0.95121951219512202</v>
      </c>
      <c r="W118" s="4"/>
      <c r="X118" s="54"/>
      <c r="Y118" s="34">
        <v>0.95121951219512202</v>
      </c>
      <c r="Z118" s="54">
        <v>2.5641025641025639</v>
      </c>
      <c r="AA118" s="54" t="b">
        <f t="shared" si="7"/>
        <v>1</v>
      </c>
      <c r="AB118" s="54" t="b">
        <f t="shared" si="8"/>
        <v>1</v>
      </c>
      <c r="AC118" s="54" t="b">
        <f t="shared" si="9"/>
        <v>1</v>
      </c>
    </row>
    <row r="119" spans="1:29" x14ac:dyDescent="0.25">
      <c r="A119" s="1" t="s">
        <v>1427</v>
      </c>
      <c r="B119" s="1" t="s">
        <v>1695</v>
      </c>
      <c r="C119" s="23">
        <v>0.8059468822170901</v>
      </c>
      <c r="D119" s="11">
        <v>1.0228961960025789</v>
      </c>
      <c r="E119" s="1"/>
      <c r="F119" s="1"/>
      <c r="G119" s="1"/>
      <c r="H119" s="1"/>
      <c r="I119" s="1"/>
      <c r="J119" s="1"/>
      <c r="K119" s="23">
        <v>1</v>
      </c>
      <c r="L119" s="11">
        <f t="shared" si="10"/>
        <v>1.0228961960025789</v>
      </c>
      <c r="M119" s="23">
        <f t="shared" si="11"/>
        <v>0.8059468822170901</v>
      </c>
      <c r="N119" s="1" t="s">
        <v>1696</v>
      </c>
      <c r="O119" s="1" t="s">
        <v>1696</v>
      </c>
      <c r="P119" s="1"/>
      <c r="Q119" s="1" t="s">
        <v>1696</v>
      </c>
      <c r="R119" s="1" t="s">
        <v>1700</v>
      </c>
      <c r="S119" s="11">
        <v>0.27169149868536374</v>
      </c>
      <c r="T119" s="23">
        <v>0.84959046909903191</v>
      </c>
      <c r="U119" s="11">
        <f t="shared" si="12"/>
        <v>1.2945876946879427</v>
      </c>
      <c r="V119" s="24">
        <f t="shared" si="13"/>
        <v>0.6847247897317198</v>
      </c>
      <c r="W119" s="4"/>
      <c r="X119" s="54"/>
      <c r="Y119" s="34">
        <v>0.8059468822170901</v>
      </c>
      <c r="Z119" s="54">
        <v>1.0228961960025789</v>
      </c>
      <c r="AA119" s="54" t="b">
        <f t="shared" si="7"/>
        <v>1</v>
      </c>
      <c r="AB119" s="54" t="b">
        <f t="shared" si="8"/>
        <v>1</v>
      </c>
      <c r="AC119" s="54" t="b">
        <f t="shared" si="9"/>
        <v>0</v>
      </c>
    </row>
    <row r="120" spans="1:29" x14ac:dyDescent="0.25">
      <c r="A120" s="1" t="s">
        <v>1414</v>
      </c>
      <c r="B120" s="1" t="s">
        <v>1695</v>
      </c>
      <c r="C120" s="23">
        <v>0.84453781512605042</v>
      </c>
      <c r="D120" s="11">
        <v>0.64676616915422891</v>
      </c>
      <c r="E120" s="1" t="s">
        <v>1696</v>
      </c>
      <c r="F120" s="1"/>
      <c r="G120" s="1" t="s">
        <v>1696</v>
      </c>
      <c r="H120" s="1" t="s">
        <v>1696</v>
      </c>
      <c r="I120" s="1" t="s">
        <v>1700</v>
      </c>
      <c r="J120" s="1">
        <v>0.25</v>
      </c>
      <c r="K120" s="30">
        <v>0.92</v>
      </c>
      <c r="L120" s="11">
        <f t="shared" si="10"/>
        <v>0.89676616915422891</v>
      </c>
      <c r="M120" s="23">
        <f t="shared" si="11"/>
        <v>0.77697478991596647</v>
      </c>
      <c r="N120" s="1"/>
      <c r="O120" s="1"/>
      <c r="P120" s="1"/>
      <c r="Q120" s="1"/>
      <c r="R120" s="1"/>
      <c r="S120" s="1"/>
      <c r="T120" s="23">
        <v>1</v>
      </c>
      <c r="U120" s="11">
        <f t="shared" si="12"/>
        <v>0.64676616915422891</v>
      </c>
      <c r="V120" s="24">
        <f t="shared" si="13"/>
        <v>0.84453781512605042</v>
      </c>
      <c r="W120" s="4"/>
      <c r="X120" s="54"/>
      <c r="Y120" s="34">
        <v>0.84453781512605042</v>
      </c>
      <c r="Z120" s="54">
        <v>0.64676616915422891</v>
      </c>
      <c r="AA120" s="54" t="b">
        <f t="shared" si="7"/>
        <v>1</v>
      </c>
      <c r="AB120" s="54" t="b">
        <f t="shared" si="8"/>
        <v>1</v>
      </c>
      <c r="AC120" s="54" t="b">
        <f t="shared" si="9"/>
        <v>0</v>
      </c>
    </row>
    <row r="121" spans="1:29" x14ac:dyDescent="0.25">
      <c r="A121" s="25" t="s">
        <v>1626</v>
      </c>
      <c r="B121" s="25" t="s">
        <v>1879</v>
      </c>
      <c r="C121" s="23"/>
      <c r="D121" s="11">
        <v>0</v>
      </c>
      <c r="E121" s="1" t="s">
        <v>1696</v>
      </c>
      <c r="F121" s="1"/>
      <c r="G121" s="1"/>
      <c r="H121" s="1"/>
      <c r="I121" s="1"/>
      <c r="J121" s="1"/>
      <c r="K121" s="23">
        <v>1</v>
      </c>
      <c r="L121" s="11">
        <f t="shared" si="10"/>
        <v>0</v>
      </c>
      <c r="M121" s="23">
        <f t="shared" si="11"/>
        <v>0</v>
      </c>
      <c r="N121" s="1"/>
      <c r="O121" s="1"/>
      <c r="P121" s="1"/>
      <c r="Q121" s="1"/>
      <c r="R121" s="1"/>
      <c r="S121" s="1"/>
      <c r="T121" s="23">
        <v>1</v>
      </c>
      <c r="U121" s="11">
        <f t="shared" si="12"/>
        <v>0</v>
      </c>
      <c r="V121" s="24">
        <f t="shared" si="13"/>
        <v>0</v>
      </c>
      <c r="W121" s="4"/>
      <c r="X121" s="54"/>
      <c r="Y121" s="34">
        <v>0</v>
      </c>
      <c r="Z121" s="54">
        <v>0</v>
      </c>
      <c r="AA121" s="54" t="b">
        <f t="shared" si="7"/>
        <v>1</v>
      </c>
      <c r="AB121" s="54" t="b">
        <f t="shared" si="8"/>
        <v>1</v>
      </c>
      <c r="AC121" s="54" t="b">
        <f t="shared" si="9"/>
        <v>1</v>
      </c>
    </row>
    <row r="122" spans="1:29" x14ac:dyDescent="0.25">
      <c r="A122" s="1" t="s">
        <v>1521</v>
      </c>
      <c r="B122" s="1" t="s">
        <v>1695</v>
      </c>
      <c r="C122" s="29">
        <v>0.47619047619047616</v>
      </c>
      <c r="D122" s="11">
        <v>5.5</v>
      </c>
      <c r="E122" s="1" t="s">
        <v>1696</v>
      </c>
      <c r="F122" s="1"/>
      <c r="G122" s="1" t="s">
        <v>1696</v>
      </c>
      <c r="H122" s="1" t="s">
        <v>1696</v>
      </c>
      <c r="I122" s="1" t="s">
        <v>1700</v>
      </c>
      <c r="J122" s="1">
        <v>0.25</v>
      </c>
      <c r="K122" s="28">
        <v>0.87</v>
      </c>
      <c r="L122" s="11">
        <f t="shared" si="10"/>
        <v>5.75</v>
      </c>
      <c r="M122" s="23">
        <f t="shared" si="11"/>
        <v>0.41428571428571426</v>
      </c>
      <c r="N122" s="1"/>
      <c r="O122" s="1"/>
      <c r="P122" s="1"/>
      <c r="Q122" s="1"/>
      <c r="R122" s="1"/>
      <c r="S122" s="1"/>
      <c r="T122" s="23">
        <v>1</v>
      </c>
      <c r="U122" s="11">
        <f t="shared" si="12"/>
        <v>5.5</v>
      </c>
      <c r="V122" s="24">
        <f t="shared" si="13"/>
        <v>0.47619047619047616</v>
      </c>
      <c r="W122" s="4"/>
      <c r="X122" s="54"/>
      <c r="Y122" s="34">
        <v>0.47619047619047616</v>
      </c>
      <c r="Z122" s="54">
        <v>5.5</v>
      </c>
      <c r="AA122" s="54" t="b">
        <f t="shared" si="7"/>
        <v>1</v>
      </c>
      <c r="AB122" s="54" t="b">
        <f t="shared" si="8"/>
        <v>1</v>
      </c>
      <c r="AC122" s="54" t="b">
        <f t="shared" si="9"/>
        <v>0</v>
      </c>
    </row>
    <row r="123" spans="1:29" x14ac:dyDescent="0.25">
      <c r="A123" s="1" t="s">
        <v>1617</v>
      </c>
      <c r="B123" s="1" t="s">
        <v>1695</v>
      </c>
      <c r="C123" s="23">
        <v>0.74999999999999989</v>
      </c>
      <c r="D123" s="11">
        <v>48.333333333333336</v>
      </c>
      <c r="E123" s="1" t="s">
        <v>1696</v>
      </c>
      <c r="F123" s="1"/>
      <c r="G123" s="1"/>
      <c r="H123" s="1"/>
      <c r="I123" s="1"/>
      <c r="J123" s="1"/>
      <c r="K123" s="23">
        <v>1</v>
      </c>
      <c r="L123" s="11">
        <f t="shared" si="10"/>
        <v>48.333333333333336</v>
      </c>
      <c r="M123" s="23">
        <f t="shared" si="11"/>
        <v>0.74999999999999989</v>
      </c>
      <c r="N123" s="1"/>
      <c r="O123" s="1"/>
      <c r="P123" s="1"/>
      <c r="Q123" s="1"/>
      <c r="R123" s="1"/>
      <c r="S123" s="1"/>
      <c r="T123" s="23">
        <v>1</v>
      </c>
      <c r="U123" s="11">
        <f t="shared" si="12"/>
        <v>48.333333333333336</v>
      </c>
      <c r="V123" s="24">
        <f t="shared" si="13"/>
        <v>0.74999999999999989</v>
      </c>
      <c r="W123" s="4"/>
      <c r="X123" s="54"/>
      <c r="Y123" s="34">
        <v>0</v>
      </c>
      <c r="Z123" s="54">
        <v>0</v>
      </c>
      <c r="AA123" s="54" t="b">
        <f t="shared" si="7"/>
        <v>0</v>
      </c>
      <c r="AB123" s="54" t="b">
        <f t="shared" si="8"/>
        <v>0</v>
      </c>
      <c r="AC123" s="54" t="b">
        <f t="shared" si="9"/>
        <v>1</v>
      </c>
    </row>
    <row r="124" spans="1:29" x14ac:dyDescent="0.25">
      <c r="A124" s="1" t="s">
        <v>1354</v>
      </c>
      <c r="B124" s="1" t="s">
        <v>1695</v>
      </c>
      <c r="C124" s="23">
        <v>0.7407407407407407</v>
      </c>
      <c r="D124" s="11">
        <v>3</v>
      </c>
      <c r="E124" s="1"/>
      <c r="F124" s="1"/>
      <c r="G124" s="1"/>
      <c r="H124" s="1"/>
      <c r="I124" s="1"/>
      <c r="J124" s="1"/>
      <c r="K124" s="23">
        <v>1</v>
      </c>
      <c r="L124" s="11">
        <f t="shared" si="10"/>
        <v>3</v>
      </c>
      <c r="M124" s="23">
        <f t="shared" si="11"/>
        <v>0.7407407407407407</v>
      </c>
      <c r="N124" s="1" t="s">
        <v>1696</v>
      </c>
      <c r="O124" s="1" t="s">
        <v>1696</v>
      </c>
      <c r="P124" s="1"/>
      <c r="Q124" s="1" t="s">
        <v>1696</v>
      </c>
      <c r="R124" s="1" t="s">
        <v>1700</v>
      </c>
      <c r="S124" s="11">
        <v>0.32167832167832167</v>
      </c>
      <c r="T124" s="23">
        <v>0.98620689655172411</v>
      </c>
      <c r="U124" s="11">
        <f t="shared" si="12"/>
        <v>3.3216783216783217</v>
      </c>
      <c r="V124" s="24">
        <f t="shared" si="13"/>
        <v>0.73052362707535112</v>
      </c>
      <c r="W124" s="4"/>
      <c r="X124" s="54"/>
      <c r="Y124" s="34">
        <v>0.7407407407407407</v>
      </c>
      <c r="Z124" s="54">
        <v>0.56666666666666665</v>
      </c>
      <c r="AA124" s="54" t="b">
        <f t="shared" si="7"/>
        <v>1</v>
      </c>
      <c r="AB124" s="54" t="b">
        <f t="shared" si="8"/>
        <v>0</v>
      </c>
      <c r="AC124" s="54" t="b">
        <f t="shared" si="9"/>
        <v>0</v>
      </c>
    </row>
    <row r="125" spans="1:29" x14ac:dyDescent="0.25">
      <c r="A125" s="1" t="s">
        <v>1385</v>
      </c>
      <c r="B125" s="1" t="s">
        <v>1695</v>
      </c>
      <c r="C125" s="23">
        <v>0.65354000837871795</v>
      </c>
      <c r="D125" s="11">
        <v>14.241452991452993</v>
      </c>
      <c r="E125" s="1"/>
      <c r="F125" s="1"/>
      <c r="G125" s="1"/>
      <c r="H125" s="1"/>
      <c r="I125" s="1"/>
      <c r="J125" s="1"/>
      <c r="K125" s="23">
        <v>1</v>
      </c>
      <c r="L125" s="11">
        <f t="shared" si="10"/>
        <v>14.241452991452993</v>
      </c>
      <c r="M125" s="23">
        <f t="shared" si="11"/>
        <v>0.65354000837871795</v>
      </c>
      <c r="N125" s="1" t="s">
        <v>1696</v>
      </c>
      <c r="O125" s="1" t="s">
        <v>1696</v>
      </c>
      <c r="P125" s="1"/>
      <c r="Q125" s="1"/>
      <c r="R125" s="1" t="s">
        <v>1700</v>
      </c>
      <c r="S125" s="11">
        <v>6.25E-2</v>
      </c>
      <c r="T125" s="23">
        <v>1</v>
      </c>
      <c r="U125" s="11">
        <f t="shared" si="12"/>
        <v>14.303952991452993</v>
      </c>
      <c r="V125" s="24">
        <f t="shared" si="13"/>
        <v>0.65354000837871795</v>
      </c>
      <c r="W125" s="4"/>
      <c r="X125" s="54"/>
      <c r="Y125" s="34">
        <v>0.65354000837871795</v>
      </c>
      <c r="Z125" s="54">
        <v>14.241452991452993</v>
      </c>
      <c r="AA125" s="54" t="b">
        <f t="shared" si="7"/>
        <v>1</v>
      </c>
      <c r="AB125" s="54" t="b">
        <f t="shared" si="8"/>
        <v>1</v>
      </c>
      <c r="AC125" s="54" t="b">
        <f t="shared" si="9"/>
        <v>1</v>
      </c>
    </row>
    <row r="126" spans="1:29" x14ac:dyDescent="0.25">
      <c r="A126" s="1" t="s">
        <v>1603</v>
      </c>
      <c r="B126" s="1" t="s">
        <v>1695</v>
      </c>
      <c r="C126" s="23">
        <v>0.7</v>
      </c>
      <c r="D126" s="11">
        <v>3.4</v>
      </c>
      <c r="E126" s="1"/>
      <c r="F126" s="1"/>
      <c r="G126" s="1"/>
      <c r="H126" s="1"/>
      <c r="I126" s="1"/>
      <c r="J126" s="1"/>
      <c r="K126" s="23">
        <v>1</v>
      </c>
      <c r="L126" s="11">
        <f t="shared" si="10"/>
        <v>3.4</v>
      </c>
      <c r="M126" s="23">
        <f t="shared" si="11"/>
        <v>0.7</v>
      </c>
      <c r="N126" s="1" t="s">
        <v>1696</v>
      </c>
      <c r="O126" s="1"/>
      <c r="P126" s="1"/>
      <c r="Q126" s="1"/>
      <c r="R126" s="1" t="s">
        <v>1700</v>
      </c>
      <c r="S126" s="1">
        <v>0.1</v>
      </c>
      <c r="T126" s="23">
        <v>1</v>
      </c>
      <c r="U126" s="11">
        <f t="shared" si="12"/>
        <v>3.5</v>
      </c>
      <c r="V126" s="24">
        <f t="shared" si="13"/>
        <v>0.7</v>
      </c>
      <c r="W126" s="4"/>
      <c r="X126" s="54"/>
      <c r="Y126" s="34">
        <v>0.64766839378238339</v>
      </c>
      <c r="Z126" s="54">
        <v>3.2</v>
      </c>
      <c r="AA126" s="54" t="b">
        <f t="shared" si="7"/>
        <v>0</v>
      </c>
      <c r="AB126" s="54" t="b">
        <f t="shared" si="8"/>
        <v>0</v>
      </c>
      <c r="AC126" s="54" t="b">
        <f t="shared" si="9"/>
        <v>1</v>
      </c>
    </row>
    <row r="127" spans="1:29" x14ac:dyDescent="0.25">
      <c r="A127" s="1" t="s">
        <v>1522</v>
      </c>
      <c r="B127" s="1" t="s">
        <v>1695</v>
      </c>
      <c r="C127" s="23">
        <v>0.32200000000000001</v>
      </c>
      <c r="D127" s="11">
        <v>6.2111801242236018</v>
      </c>
      <c r="E127" s="1" t="s">
        <v>1696</v>
      </c>
      <c r="F127" s="1"/>
      <c r="G127" s="1"/>
      <c r="H127" s="1"/>
      <c r="I127" s="1"/>
      <c r="J127" s="1"/>
      <c r="K127" s="23">
        <v>1</v>
      </c>
      <c r="L127" s="11">
        <f t="shared" si="10"/>
        <v>6.2111801242236018</v>
      </c>
      <c r="M127" s="23">
        <f t="shared" si="11"/>
        <v>0.32200000000000001</v>
      </c>
      <c r="N127" s="1"/>
      <c r="O127" s="1"/>
      <c r="P127" s="1"/>
      <c r="Q127" s="1"/>
      <c r="R127" s="1"/>
      <c r="S127" s="1"/>
      <c r="T127" s="23">
        <v>1</v>
      </c>
      <c r="U127" s="11">
        <f t="shared" si="12"/>
        <v>6.2111801242236018</v>
      </c>
      <c r="V127" s="24">
        <f t="shared" si="13"/>
        <v>0.32200000000000001</v>
      </c>
      <c r="W127" s="4"/>
      <c r="X127" s="54"/>
      <c r="Y127" s="34">
        <v>0.32200000000000001</v>
      </c>
      <c r="Z127" s="54">
        <v>6.2111801242236018</v>
      </c>
      <c r="AA127" s="54" t="b">
        <f t="shared" si="7"/>
        <v>1</v>
      </c>
      <c r="AB127" s="54" t="b">
        <f t="shared" si="8"/>
        <v>1</v>
      </c>
      <c r="AC127" s="54" t="b">
        <f t="shared" si="9"/>
        <v>1</v>
      </c>
    </row>
    <row r="128" spans="1:29" x14ac:dyDescent="0.25">
      <c r="A128" s="1" t="s">
        <v>1370</v>
      </c>
      <c r="B128" s="1" t="s">
        <v>1695</v>
      </c>
      <c r="C128" s="23">
        <v>0.82727587400484592</v>
      </c>
      <c r="D128" s="11">
        <v>0.54393305439330553</v>
      </c>
      <c r="E128" s="1"/>
      <c r="F128" s="1"/>
      <c r="G128" s="1"/>
      <c r="H128" s="1"/>
      <c r="I128" s="1"/>
      <c r="J128" s="1"/>
      <c r="K128" s="23">
        <v>1</v>
      </c>
      <c r="L128" s="11">
        <f t="shared" si="10"/>
        <v>0.54393305439330553</v>
      </c>
      <c r="M128" s="23">
        <f t="shared" si="11"/>
        <v>0.82727587400484592</v>
      </c>
      <c r="N128" s="1" t="s">
        <v>1696</v>
      </c>
      <c r="O128" s="1"/>
      <c r="P128" s="1"/>
      <c r="Q128" s="1"/>
      <c r="R128" s="1"/>
      <c r="S128" s="1"/>
      <c r="T128" s="23">
        <v>1</v>
      </c>
      <c r="U128" s="11">
        <f t="shared" si="12"/>
        <v>0.54393305439330553</v>
      </c>
      <c r="V128" s="24">
        <f t="shared" si="13"/>
        <v>0.82727587400484592</v>
      </c>
      <c r="W128" s="4"/>
      <c r="X128" s="54"/>
      <c r="Y128" s="34">
        <v>0.82727587400484592</v>
      </c>
      <c r="Z128" s="54">
        <v>0.54393305439330553</v>
      </c>
      <c r="AA128" s="54" t="b">
        <f t="shared" si="7"/>
        <v>1</v>
      </c>
      <c r="AB128" s="54" t="b">
        <f t="shared" si="8"/>
        <v>1</v>
      </c>
      <c r="AC128" s="54" t="b">
        <f t="shared" si="9"/>
        <v>1</v>
      </c>
    </row>
    <row r="129" spans="1:29" x14ac:dyDescent="0.25">
      <c r="A129" s="1" t="s">
        <v>1437</v>
      </c>
      <c r="B129" s="1" t="s">
        <v>1695</v>
      </c>
      <c r="C129" s="23">
        <v>0.75</v>
      </c>
      <c r="D129" s="11">
        <v>0.44077134986225897</v>
      </c>
      <c r="E129" s="1"/>
      <c r="F129" s="1"/>
      <c r="G129" s="1"/>
      <c r="H129" s="1"/>
      <c r="I129" s="1"/>
      <c r="J129" s="1"/>
      <c r="K129" s="23">
        <v>1</v>
      </c>
      <c r="L129" s="11">
        <f t="shared" si="10"/>
        <v>0.44077134986225897</v>
      </c>
      <c r="M129" s="23">
        <f t="shared" si="11"/>
        <v>0.75</v>
      </c>
      <c r="N129" s="1" t="s">
        <v>1696</v>
      </c>
      <c r="O129" s="1" t="s">
        <v>1696</v>
      </c>
      <c r="P129" s="1"/>
      <c r="Q129" s="1" t="s">
        <v>1696</v>
      </c>
      <c r="R129" s="1" t="s">
        <v>1700</v>
      </c>
      <c r="S129" s="11">
        <v>0.32340767530640946</v>
      </c>
      <c r="T129" s="26">
        <v>0.95</v>
      </c>
      <c r="U129" s="11">
        <f t="shared" si="12"/>
        <v>0.76417902516866842</v>
      </c>
      <c r="V129" s="121">
        <v>0.83</v>
      </c>
      <c r="W129" s="4"/>
      <c r="X129" s="54"/>
      <c r="Y129" s="34">
        <v>0.75</v>
      </c>
      <c r="Z129" s="54">
        <v>0.44077134986225897</v>
      </c>
      <c r="AA129" s="54" t="b">
        <f t="shared" si="7"/>
        <v>1</v>
      </c>
      <c r="AB129" s="54" t="b">
        <f t="shared" si="8"/>
        <v>1</v>
      </c>
      <c r="AC129" s="54" t="b">
        <f t="shared" si="9"/>
        <v>0</v>
      </c>
    </row>
    <row r="130" spans="1:29" x14ac:dyDescent="0.25">
      <c r="A130" s="1" t="s">
        <v>1523</v>
      </c>
      <c r="B130" s="1" t="s">
        <v>1695</v>
      </c>
      <c r="C130" s="23">
        <v>0.48976807639836289</v>
      </c>
      <c r="D130" s="11">
        <v>9.3314763231197784</v>
      </c>
      <c r="E130" s="1" t="s">
        <v>1696</v>
      </c>
      <c r="F130" s="1"/>
      <c r="G130" s="1"/>
      <c r="H130" s="1" t="s">
        <v>1696</v>
      </c>
      <c r="I130" s="1"/>
      <c r="J130" s="1">
        <v>0.1</v>
      </c>
      <c r="K130" s="28">
        <v>0.94</v>
      </c>
      <c r="L130" s="11">
        <f t="shared" si="10"/>
        <v>9.431476323119778</v>
      </c>
      <c r="M130" s="23">
        <f t="shared" si="11"/>
        <v>0.4603819918144611</v>
      </c>
      <c r="N130" s="1"/>
      <c r="O130" s="1"/>
      <c r="P130" s="1"/>
      <c r="Q130" s="1"/>
      <c r="R130" s="1"/>
      <c r="S130" s="1"/>
      <c r="T130" s="23">
        <v>1</v>
      </c>
      <c r="U130" s="11">
        <f t="shared" si="12"/>
        <v>9.3314763231197784</v>
      </c>
      <c r="V130" s="24">
        <f t="shared" si="13"/>
        <v>0.48976807639836289</v>
      </c>
      <c r="W130" s="4"/>
      <c r="X130" s="54"/>
      <c r="Y130" s="34">
        <v>0.48976807639836289</v>
      </c>
      <c r="Z130" s="54">
        <v>9.3314763231197784</v>
      </c>
      <c r="AA130" s="54" t="b">
        <f t="shared" ref="AA130:AA193" si="14">C130=Y130</f>
        <v>1</v>
      </c>
      <c r="AB130" s="54" t="b">
        <f t="shared" ref="AB130:AB193" si="15">D130=Z130</f>
        <v>1</v>
      </c>
      <c r="AC130" s="54" t="b">
        <f t="shared" ref="AC130:AC193" si="16">V130=M130</f>
        <v>0</v>
      </c>
    </row>
    <row r="131" spans="1:29" x14ac:dyDescent="0.25">
      <c r="A131" s="1" t="s">
        <v>1524</v>
      </c>
      <c r="B131" s="1" t="s">
        <v>1695</v>
      </c>
      <c r="C131" s="23">
        <v>0.504774897680764</v>
      </c>
      <c r="D131" s="11">
        <v>7.0090090090090085</v>
      </c>
      <c r="E131" s="1" t="s">
        <v>1696</v>
      </c>
      <c r="F131" s="1"/>
      <c r="G131" s="1"/>
      <c r="H131" s="1" t="s">
        <v>1696</v>
      </c>
      <c r="I131" s="1"/>
      <c r="J131" s="1">
        <v>0.1</v>
      </c>
      <c r="K131" s="28">
        <v>0.94</v>
      </c>
      <c r="L131" s="11">
        <f t="shared" ref="L131:L194" si="17">D131+J131</f>
        <v>7.1090090090090081</v>
      </c>
      <c r="M131" s="23">
        <f t="shared" ref="M131:M194" si="18">C131*K131</f>
        <v>0.47448840381991814</v>
      </c>
      <c r="N131" s="1"/>
      <c r="O131" s="1"/>
      <c r="P131" s="1"/>
      <c r="Q131" s="1"/>
      <c r="R131" s="1"/>
      <c r="S131" s="1"/>
      <c r="T131" s="23">
        <v>1</v>
      </c>
      <c r="U131" s="11">
        <f t="shared" ref="U131:U194" si="19">S131+D131</f>
        <v>7.0090090090090085</v>
      </c>
      <c r="V131" s="24">
        <f t="shared" ref="V131:V194" si="20">T131*C131</f>
        <v>0.504774897680764</v>
      </c>
      <c r="W131" s="4"/>
      <c r="X131" s="54"/>
      <c r="Y131" s="34">
        <v>0.504774897680764</v>
      </c>
      <c r="Z131" s="54">
        <v>7.0090090090090085</v>
      </c>
      <c r="AA131" s="54" t="b">
        <f t="shared" si="14"/>
        <v>1</v>
      </c>
      <c r="AB131" s="54" t="b">
        <f t="shared" si="15"/>
        <v>1</v>
      </c>
      <c r="AC131" s="54" t="b">
        <f t="shared" si="16"/>
        <v>0</v>
      </c>
    </row>
    <row r="132" spans="1:29" x14ac:dyDescent="0.25">
      <c r="A132" s="1" t="s">
        <v>1525</v>
      </c>
      <c r="B132" s="1" t="s">
        <v>1695</v>
      </c>
      <c r="C132" s="23">
        <v>0.72368421052631582</v>
      </c>
      <c r="D132" s="11">
        <v>0.68181818181818177</v>
      </c>
      <c r="E132" s="1" t="s">
        <v>1696</v>
      </c>
      <c r="F132" s="1"/>
      <c r="G132" s="1"/>
      <c r="H132" s="1" t="s">
        <v>1696</v>
      </c>
      <c r="I132" s="1"/>
      <c r="J132" s="1">
        <v>0.1</v>
      </c>
      <c r="K132" s="28">
        <v>0.92</v>
      </c>
      <c r="L132" s="11">
        <f t="shared" si="17"/>
        <v>0.78181818181818175</v>
      </c>
      <c r="M132" s="23">
        <f t="shared" si="18"/>
        <v>0.6657894736842106</v>
      </c>
      <c r="N132" s="1"/>
      <c r="O132" s="1"/>
      <c r="P132" s="1"/>
      <c r="Q132" s="1"/>
      <c r="R132" s="1"/>
      <c r="S132" s="1"/>
      <c r="T132" s="23">
        <v>1</v>
      </c>
      <c r="U132" s="11">
        <f t="shared" si="19"/>
        <v>0.68181818181818177</v>
      </c>
      <c r="V132" s="24">
        <f t="shared" si="20"/>
        <v>0.72368421052631582</v>
      </c>
      <c r="W132" s="4"/>
      <c r="X132" s="54"/>
      <c r="Y132" s="34">
        <v>0.72368421052631582</v>
      </c>
      <c r="Z132" s="54">
        <v>0.68181818181818177</v>
      </c>
      <c r="AA132" s="54" t="b">
        <f t="shared" si="14"/>
        <v>1</v>
      </c>
      <c r="AB132" s="54" t="b">
        <f t="shared" si="15"/>
        <v>1</v>
      </c>
      <c r="AC132" s="54" t="b">
        <f t="shared" si="16"/>
        <v>0</v>
      </c>
    </row>
    <row r="133" spans="1:29" x14ac:dyDescent="0.25">
      <c r="A133" s="1" t="s">
        <v>1442</v>
      </c>
      <c r="B133" s="1" t="s">
        <v>1695</v>
      </c>
      <c r="C133" s="23">
        <v>0.85271317829457371</v>
      </c>
      <c r="D133" s="11">
        <v>3.4848484848484849</v>
      </c>
      <c r="E133" s="1"/>
      <c r="F133" s="1"/>
      <c r="G133" s="1"/>
      <c r="H133" s="1"/>
      <c r="I133" s="1"/>
      <c r="J133" s="1"/>
      <c r="K133" s="23">
        <v>1</v>
      </c>
      <c r="L133" s="11">
        <f t="shared" si="17"/>
        <v>3.4848484848484849</v>
      </c>
      <c r="M133" s="23">
        <f t="shared" si="18"/>
        <v>0.85271317829457371</v>
      </c>
      <c r="N133" s="1" t="s">
        <v>1696</v>
      </c>
      <c r="O133" s="1" t="s">
        <v>1696</v>
      </c>
      <c r="P133" s="1"/>
      <c r="Q133" s="1"/>
      <c r="R133" s="1" t="s">
        <v>1700</v>
      </c>
      <c r="S133" s="11">
        <v>5.6689342403628121E-2</v>
      </c>
      <c r="T133" s="23">
        <v>1</v>
      </c>
      <c r="U133" s="11">
        <f t="shared" si="19"/>
        <v>3.541537827252113</v>
      </c>
      <c r="V133" s="24">
        <f t="shared" si="20"/>
        <v>0.85271317829457371</v>
      </c>
      <c r="W133" s="4"/>
      <c r="X133" s="54"/>
      <c r="Y133" s="34">
        <v>0.85271317829457371</v>
      </c>
      <c r="Z133" s="54">
        <v>3.4848484848484849</v>
      </c>
      <c r="AA133" s="54" t="b">
        <f t="shared" si="14"/>
        <v>1</v>
      </c>
      <c r="AB133" s="54" t="b">
        <f t="shared" si="15"/>
        <v>1</v>
      </c>
      <c r="AC133" s="54" t="b">
        <f t="shared" si="16"/>
        <v>1</v>
      </c>
    </row>
    <row r="134" spans="1:29" x14ac:dyDescent="0.25">
      <c r="A134" s="25" t="s">
        <v>1627</v>
      </c>
      <c r="B134" s="25" t="s">
        <v>1879</v>
      </c>
      <c r="C134" s="23"/>
      <c r="D134" s="11">
        <v>0</v>
      </c>
      <c r="E134" s="1" t="s">
        <v>1696</v>
      </c>
      <c r="F134" s="1"/>
      <c r="G134" s="1"/>
      <c r="H134" s="1"/>
      <c r="I134" s="1"/>
      <c r="J134" s="1"/>
      <c r="K134" s="23">
        <v>1</v>
      </c>
      <c r="L134" s="11">
        <f t="shared" si="17"/>
        <v>0</v>
      </c>
      <c r="M134" s="23">
        <f t="shared" si="18"/>
        <v>0</v>
      </c>
      <c r="N134" s="1"/>
      <c r="O134" s="1"/>
      <c r="P134" s="1"/>
      <c r="Q134" s="1"/>
      <c r="R134" s="1"/>
      <c r="S134" s="1"/>
      <c r="T134" s="23">
        <v>1</v>
      </c>
      <c r="U134" s="11">
        <f t="shared" si="19"/>
        <v>0</v>
      </c>
      <c r="V134" s="24">
        <f t="shared" si="20"/>
        <v>0</v>
      </c>
      <c r="W134" s="4"/>
      <c r="X134" s="54"/>
      <c r="Y134" s="34">
        <v>0</v>
      </c>
      <c r="Z134" s="54">
        <v>0</v>
      </c>
      <c r="AA134" s="54" t="b">
        <f t="shared" si="14"/>
        <v>1</v>
      </c>
      <c r="AB134" s="54" t="b">
        <f t="shared" si="15"/>
        <v>1</v>
      </c>
      <c r="AC134" s="54" t="b">
        <f t="shared" si="16"/>
        <v>1</v>
      </c>
    </row>
    <row r="135" spans="1:29" x14ac:dyDescent="0.25">
      <c r="A135" s="1" t="s">
        <v>1526</v>
      </c>
      <c r="B135" s="1" t="s">
        <v>1695</v>
      </c>
      <c r="C135" s="23">
        <v>0.9078014184397164</v>
      </c>
      <c r="D135" s="11">
        <v>1.640625</v>
      </c>
      <c r="E135" s="1" t="s">
        <v>1696</v>
      </c>
      <c r="F135" s="1"/>
      <c r="G135" s="1" t="s">
        <v>1696</v>
      </c>
      <c r="H135" s="1"/>
      <c r="I135" s="1" t="s">
        <v>1700</v>
      </c>
      <c r="J135" s="1">
        <v>0.1</v>
      </c>
      <c r="K135" s="23">
        <v>1</v>
      </c>
      <c r="L135" s="11">
        <f t="shared" si="17"/>
        <v>1.7406250000000001</v>
      </c>
      <c r="M135" s="23">
        <f t="shared" si="18"/>
        <v>0.9078014184397164</v>
      </c>
      <c r="N135" s="1"/>
      <c r="O135" s="1"/>
      <c r="P135" s="1"/>
      <c r="Q135" s="1"/>
      <c r="R135" s="1"/>
      <c r="S135" s="1"/>
      <c r="T135" s="23">
        <v>1</v>
      </c>
      <c r="U135" s="11">
        <f t="shared" si="19"/>
        <v>1.640625</v>
      </c>
      <c r="V135" s="24">
        <f t="shared" si="20"/>
        <v>0.9078014184397164</v>
      </c>
      <c r="W135" s="4"/>
      <c r="X135" s="54"/>
      <c r="Y135" s="34">
        <v>0.9078014184397164</v>
      </c>
      <c r="Z135" s="54">
        <v>1.640625</v>
      </c>
      <c r="AA135" s="54" t="b">
        <f t="shared" si="14"/>
        <v>1</v>
      </c>
      <c r="AB135" s="54" t="b">
        <f t="shared" si="15"/>
        <v>1</v>
      </c>
      <c r="AC135" s="54" t="b">
        <f t="shared" si="16"/>
        <v>1</v>
      </c>
    </row>
    <row r="136" spans="1:29" x14ac:dyDescent="0.25">
      <c r="A136" s="1" t="s">
        <v>1359</v>
      </c>
      <c r="B136" s="1" t="s">
        <v>1695</v>
      </c>
      <c r="C136" s="23">
        <v>1</v>
      </c>
      <c r="D136" s="11">
        <v>0</v>
      </c>
      <c r="E136" s="1"/>
      <c r="F136" s="1"/>
      <c r="G136" s="1"/>
      <c r="H136" s="1"/>
      <c r="I136" s="1"/>
      <c r="J136" s="1"/>
      <c r="K136" s="23">
        <v>1</v>
      </c>
      <c r="L136" s="11">
        <f t="shared" si="17"/>
        <v>0</v>
      </c>
      <c r="M136" s="23">
        <f t="shared" si="18"/>
        <v>1</v>
      </c>
      <c r="N136" s="1" t="s">
        <v>1696</v>
      </c>
      <c r="O136" s="1"/>
      <c r="P136" s="1"/>
      <c r="Q136" s="1"/>
      <c r="R136" s="1"/>
      <c r="S136" s="1"/>
      <c r="T136" s="23">
        <v>1</v>
      </c>
      <c r="U136" s="11">
        <f t="shared" si="19"/>
        <v>0</v>
      </c>
      <c r="V136" s="24">
        <f t="shared" si="20"/>
        <v>1</v>
      </c>
      <c r="W136" s="4"/>
      <c r="X136" s="54"/>
      <c r="Y136" s="34">
        <v>1</v>
      </c>
      <c r="Z136" s="54">
        <v>0</v>
      </c>
      <c r="AA136" s="54" t="b">
        <f t="shared" si="14"/>
        <v>1</v>
      </c>
      <c r="AB136" s="54" t="b">
        <f t="shared" si="15"/>
        <v>1</v>
      </c>
      <c r="AC136" s="54" t="b">
        <f t="shared" si="16"/>
        <v>1</v>
      </c>
    </row>
    <row r="137" spans="1:29" x14ac:dyDescent="0.25">
      <c r="A137" s="1" t="s">
        <v>1527</v>
      </c>
      <c r="B137" s="1" t="s">
        <v>1695</v>
      </c>
      <c r="C137" s="23">
        <v>0.95249130938586302</v>
      </c>
      <c r="D137" s="11">
        <v>16.950527169505275</v>
      </c>
      <c r="E137" s="1" t="s">
        <v>1696</v>
      </c>
      <c r="F137" s="1"/>
      <c r="G137" s="1"/>
      <c r="H137" s="1"/>
      <c r="I137" s="1"/>
      <c r="J137" s="1"/>
      <c r="K137" s="23">
        <v>1</v>
      </c>
      <c r="L137" s="11">
        <f t="shared" si="17"/>
        <v>16.950527169505275</v>
      </c>
      <c r="M137" s="23">
        <f t="shared" si="18"/>
        <v>0.95249130938586302</v>
      </c>
      <c r="N137" s="1"/>
      <c r="O137" s="1"/>
      <c r="P137" s="1"/>
      <c r="Q137" s="1"/>
      <c r="R137" s="1"/>
      <c r="S137" s="1"/>
      <c r="T137" s="23">
        <v>1</v>
      </c>
      <c r="U137" s="11">
        <f t="shared" si="19"/>
        <v>16.950527169505275</v>
      </c>
      <c r="V137" s="24">
        <f t="shared" si="20"/>
        <v>0.95249130938586302</v>
      </c>
      <c r="W137" s="4"/>
      <c r="X137" s="54"/>
      <c r="Y137" s="34">
        <v>0.95249130938586302</v>
      </c>
      <c r="Z137" s="54">
        <v>16.950527169505275</v>
      </c>
      <c r="AA137" s="54" t="b">
        <f t="shared" si="14"/>
        <v>1</v>
      </c>
      <c r="AB137" s="54" t="b">
        <f t="shared" si="15"/>
        <v>1</v>
      </c>
      <c r="AC137" s="54" t="b">
        <f t="shared" si="16"/>
        <v>1</v>
      </c>
    </row>
    <row r="138" spans="1:29" x14ac:dyDescent="0.25">
      <c r="A138" s="1" t="s">
        <v>1391</v>
      </c>
      <c r="B138" s="1" t="s">
        <v>1695</v>
      </c>
      <c r="C138" s="23">
        <v>0.51644204851752018</v>
      </c>
      <c r="D138" s="11">
        <v>4.1753653444676413</v>
      </c>
      <c r="E138" s="1"/>
      <c r="F138" s="1"/>
      <c r="G138" s="1"/>
      <c r="H138" s="1"/>
      <c r="I138" s="1"/>
      <c r="J138" s="1"/>
      <c r="K138" s="23">
        <v>1</v>
      </c>
      <c r="L138" s="11">
        <f t="shared" si="17"/>
        <v>4.1753653444676413</v>
      </c>
      <c r="M138" s="23">
        <f t="shared" si="18"/>
        <v>0.51644204851752018</v>
      </c>
      <c r="N138" s="1" t="s">
        <v>1696</v>
      </c>
      <c r="O138" s="1" t="s">
        <v>1696</v>
      </c>
      <c r="P138" s="1"/>
      <c r="Q138" s="1"/>
      <c r="R138" s="1" t="s">
        <v>1700</v>
      </c>
      <c r="S138" s="11">
        <v>6.0975609756097567E-2</v>
      </c>
      <c r="T138" s="23">
        <v>1</v>
      </c>
      <c r="U138" s="11">
        <f t="shared" si="19"/>
        <v>4.2363409542237385</v>
      </c>
      <c r="V138" s="24">
        <f t="shared" si="20"/>
        <v>0.51644204851752018</v>
      </c>
      <c r="W138" s="4"/>
      <c r="X138" s="54"/>
      <c r="Y138" s="34">
        <v>0.51644204851752018</v>
      </c>
      <c r="Z138" s="54">
        <v>4.1753653444676413</v>
      </c>
      <c r="AA138" s="54" t="b">
        <f t="shared" si="14"/>
        <v>1</v>
      </c>
      <c r="AB138" s="54" t="b">
        <f t="shared" si="15"/>
        <v>1</v>
      </c>
      <c r="AC138" s="54" t="b">
        <f t="shared" si="16"/>
        <v>1</v>
      </c>
    </row>
    <row r="139" spans="1:29" x14ac:dyDescent="0.25">
      <c r="A139" s="1" t="s">
        <v>1389</v>
      </c>
      <c r="B139" s="1" t="s">
        <v>1695</v>
      </c>
      <c r="C139" s="23">
        <v>0.59554973821989532</v>
      </c>
      <c r="D139" s="11">
        <v>4.1758241758241761</v>
      </c>
      <c r="E139" s="1"/>
      <c r="F139" s="1"/>
      <c r="G139" s="1"/>
      <c r="H139" s="1"/>
      <c r="I139" s="1"/>
      <c r="J139" s="1"/>
      <c r="K139" s="23">
        <v>1</v>
      </c>
      <c r="L139" s="11">
        <f t="shared" si="17"/>
        <v>4.1758241758241761</v>
      </c>
      <c r="M139" s="23">
        <f t="shared" si="18"/>
        <v>0.59554973821989532</v>
      </c>
      <c r="N139" s="1" t="s">
        <v>1696</v>
      </c>
      <c r="O139" s="1" t="s">
        <v>1696</v>
      </c>
      <c r="P139" s="1"/>
      <c r="Q139" s="1"/>
      <c r="R139" s="1" t="s">
        <v>1700</v>
      </c>
      <c r="S139" s="11">
        <v>6.0975609756097567E-2</v>
      </c>
      <c r="T139" s="23">
        <v>1</v>
      </c>
      <c r="U139" s="11">
        <f t="shared" si="19"/>
        <v>4.2367997855802733</v>
      </c>
      <c r="V139" s="24">
        <f t="shared" si="20"/>
        <v>0.59554973821989532</v>
      </c>
      <c r="W139" s="4"/>
      <c r="X139" s="54"/>
      <c r="Y139" s="34">
        <v>0.59554973821989532</v>
      </c>
      <c r="Z139" s="54">
        <v>4.1758241758241761</v>
      </c>
      <c r="AA139" s="54" t="b">
        <f t="shared" si="14"/>
        <v>1</v>
      </c>
      <c r="AB139" s="54" t="b">
        <f t="shared" si="15"/>
        <v>1</v>
      </c>
      <c r="AC139" s="54" t="b">
        <f t="shared" si="16"/>
        <v>1</v>
      </c>
    </row>
    <row r="140" spans="1:29" x14ac:dyDescent="0.25">
      <c r="A140" s="99" t="s">
        <v>1705</v>
      </c>
      <c r="B140" s="1" t="s">
        <v>1695</v>
      </c>
      <c r="C140" s="23">
        <v>0.51980754530329609</v>
      </c>
      <c r="D140" s="11">
        <v>1.9573961937716262</v>
      </c>
      <c r="E140" s="1"/>
      <c r="F140" s="1"/>
      <c r="G140" s="1"/>
      <c r="H140" s="1"/>
      <c r="I140" s="1"/>
      <c r="J140" s="1"/>
      <c r="K140" s="23">
        <v>1</v>
      </c>
      <c r="L140" s="11">
        <f t="shared" si="17"/>
        <v>1.9573961937716262</v>
      </c>
      <c r="M140" s="23">
        <f t="shared" si="18"/>
        <v>0.51980754530329609</v>
      </c>
      <c r="N140" s="1" t="s">
        <v>1696</v>
      </c>
      <c r="O140" s="1" t="s">
        <v>1696</v>
      </c>
      <c r="P140" s="1"/>
      <c r="Q140" s="1"/>
      <c r="R140" s="1" t="s">
        <v>1700</v>
      </c>
      <c r="S140" s="11">
        <v>5.6818181818181816E-2</v>
      </c>
      <c r="T140" s="23">
        <v>1</v>
      </c>
      <c r="U140" s="11">
        <f t="shared" si="19"/>
        <v>2.0142143755898081</v>
      </c>
      <c r="V140" s="24">
        <f t="shared" si="20"/>
        <v>0.51980754530329609</v>
      </c>
      <c r="W140" s="4"/>
      <c r="X140" s="54"/>
      <c r="Y140" s="34">
        <v>0.51980754530329609</v>
      </c>
      <c r="Z140" s="54">
        <v>1.9573961937716262</v>
      </c>
      <c r="AA140" s="54" t="b">
        <f t="shared" si="14"/>
        <v>1</v>
      </c>
      <c r="AB140" s="54" t="b">
        <f t="shared" si="15"/>
        <v>1</v>
      </c>
      <c r="AC140" s="54" t="b">
        <f t="shared" si="16"/>
        <v>1</v>
      </c>
    </row>
    <row r="141" spans="1:29" x14ac:dyDescent="0.25">
      <c r="A141" s="1" t="s">
        <v>1461</v>
      </c>
      <c r="B141" s="1" t="s">
        <v>1695</v>
      </c>
      <c r="C141" s="23">
        <v>0.42430939226519337</v>
      </c>
      <c r="D141" s="11">
        <v>3.2</v>
      </c>
      <c r="E141" s="1"/>
      <c r="F141" s="1"/>
      <c r="G141" s="1"/>
      <c r="H141" s="1"/>
      <c r="I141" s="1"/>
      <c r="J141" s="1"/>
      <c r="K141" s="23">
        <v>1</v>
      </c>
      <c r="L141" s="11">
        <f t="shared" si="17"/>
        <v>3.2</v>
      </c>
      <c r="M141" s="23">
        <f t="shared" si="18"/>
        <v>0.42430939226519337</v>
      </c>
      <c r="N141" s="1" t="s">
        <v>1696</v>
      </c>
      <c r="O141" s="1" t="s">
        <v>1696</v>
      </c>
      <c r="P141" s="1"/>
      <c r="Q141" s="1"/>
      <c r="R141" s="1" t="s">
        <v>1700</v>
      </c>
      <c r="S141" s="11">
        <v>0.15277777777777776</v>
      </c>
      <c r="T141" s="23">
        <v>1</v>
      </c>
      <c r="U141" s="11">
        <f t="shared" si="19"/>
        <v>3.3527777777777779</v>
      </c>
      <c r="V141" s="24">
        <f t="shared" si="20"/>
        <v>0.42430939226519337</v>
      </c>
      <c r="W141" s="4"/>
      <c r="X141" s="54"/>
      <c r="Y141" s="34">
        <v>0.42430939226519337</v>
      </c>
      <c r="Z141" s="54">
        <v>2.7126736111111112</v>
      </c>
      <c r="AA141" s="54" t="b">
        <f t="shared" si="14"/>
        <v>1</v>
      </c>
      <c r="AB141" s="54" t="b">
        <f t="shared" si="15"/>
        <v>0</v>
      </c>
      <c r="AC141" s="54" t="b">
        <f t="shared" si="16"/>
        <v>1</v>
      </c>
    </row>
    <row r="142" spans="1:29" x14ac:dyDescent="0.25">
      <c r="A142" s="1" t="s">
        <v>1387</v>
      </c>
      <c r="B142" s="1" t="s">
        <v>1695</v>
      </c>
      <c r="C142" s="23">
        <v>0.43438914027149322</v>
      </c>
      <c r="D142" s="11">
        <v>2.604166666666667</v>
      </c>
      <c r="E142" s="1"/>
      <c r="F142" s="1"/>
      <c r="G142" s="1"/>
      <c r="H142" s="1"/>
      <c r="I142" s="1"/>
      <c r="J142" s="1"/>
      <c r="K142" s="23">
        <v>1</v>
      </c>
      <c r="L142" s="11">
        <f t="shared" si="17"/>
        <v>2.604166666666667</v>
      </c>
      <c r="M142" s="23">
        <f t="shared" si="18"/>
        <v>0.43438914027149322</v>
      </c>
      <c r="N142" s="1" t="s">
        <v>1696</v>
      </c>
      <c r="O142" s="1" t="s">
        <v>1696</v>
      </c>
      <c r="P142" s="1"/>
      <c r="Q142" s="1"/>
      <c r="R142" s="1" t="s">
        <v>1700</v>
      </c>
      <c r="S142" s="11">
        <v>0.15277777777777776</v>
      </c>
      <c r="T142" s="23">
        <v>1</v>
      </c>
      <c r="U142" s="11">
        <f t="shared" si="19"/>
        <v>2.7569444444444446</v>
      </c>
      <c r="V142" s="24">
        <f t="shared" si="20"/>
        <v>0.43438914027149322</v>
      </c>
      <c r="W142" s="4"/>
      <c r="X142" s="54"/>
      <c r="Y142" s="34">
        <v>0.43438914027149322</v>
      </c>
      <c r="Z142" s="54">
        <v>2.604166666666667</v>
      </c>
      <c r="AA142" s="54" t="b">
        <f t="shared" si="14"/>
        <v>1</v>
      </c>
      <c r="AB142" s="54" t="b">
        <f t="shared" si="15"/>
        <v>1</v>
      </c>
      <c r="AC142" s="54" t="b">
        <f t="shared" si="16"/>
        <v>1</v>
      </c>
    </row>
    <row r="143" spans="1:29" x14ac:dyDescent="0.25">
      <c r="A143" s="1" t="s">
        <v>4850</v>
      </c>
      <c r="B143" s="1" t="s">
        <v>1695</v>
      </c>
      <c r="C143" s="23">
        <v>0.54941373534338356</v>
      </c>
      <c r="D143" s="36">
        <v>1.8</v>
      </c>
      <c r="E143" s="1"/>
      <c r="F143" s="1"/>
      <c r="G143" s="1"/>
      <c r="H143" s="1"/>
      <c r="I143" s="1"/>
      <c r="J143" s="1"/>
      <c r="K143" s="23">
        <v>1</v>
      </c>
      <c r="L143" s="11">
        <f t="shared" si="17"/>
        <v>1.8</v>
      </c>
      <c r="M143" s="23">
        <f t="shared" si="18"/>
        <v>0.54941373534338356</v>
      </c>
      <c r="N143" s="1" t="s">
        <v>1696</v>
      </c>
      <c r="O143" s="1" t="s">
        <v>1696</v>
      </c>
      <c r="P143" s="1"/>
      <c r="Q143" s="1"/>
      <c r="R143" s="1" t="s">
        <v>1700</v>
      </c>
      <c r="S143" s="11">
        <v>5.6818181818181816E-2</v>
      </c>
      <c r="T143" s="23">
        <v>1</v>
      </c>
      <c r="U143" s="11">
        <f t="shared" si="19"/>
        <v>1.8568181818181819</v>
      </c>
      <c r="V143" s="24">
        <f t="shared" si="20"/>
        <v>0.54941373534338356</v>
      </c>
      <c r="W143" s="4"/>
      <c r="X143" s="54"/>
      <c r="Y143" s="34">
        <v>0.54941373534338356</v>
      </c>
      <c r="Z143" s="54">
        <v>1.3719512195121952</v>
      </c>
      <c r="AA143" s="54" t="b">
        <f t="shared" si="14"/>
        <v>1</v>
      </c>
      <c r="AB143" s="54" t="b">
        <f t="shared" si="15"/>
        <v>0</v>
      </c>
      <c r="AC143" s="54" t="b">
        <f t="shared" si="16"/>
        <v>1</v>
      </c>
    </row>
    <row r="144" spans="1:29" x14ac:dyDescent="0.25">
      <c r="A144" s="99" t="s">
        <v>1466</v>
      </c>
      <c r="B144" s="1" t="s">
        <v>1695</v>
      </c>
      <c r="C144" s="23">
        <v>0.58095238095238089</v>
      </c>
      <c r="D144" s="11">
        <v>2.2999999999999998</v>
      </c>
      <c r="E144" s="1"/>
      <c r="F144" s="1"/>
      <c r="G144" s="1"/>
      <c r="H144" s="1"/>
      <c r="I144" s="1"/>
      <c r="J144" s="1"/>
      <c r="K144" s="23">
        <v>1</v>
      </c>
      <c r="L144" s="11">
        <f t="shared" si="17"/>
        <v>2.2999999999999998</v>
      </c>
      <c r="M144" s="23">
        <f t="shared" si="18"/>
        <v>0.58095238095238089</v>
      </c>
      <c r="N144" s="1" t="s">
        <v>1696</v>
      </c>
      <c r="O144" s="1" t="s">
        <v>1696</v>
      </c>
      <c r="P144" s="1"/>
      <c r="Q144" s="1"/>
      <c r="R144" s="1" t="s">
        <v>1700</v>
      </c>
      <c r="S144" s="11">
        <v>8.6805555555555552E-2</v>
      </c>
      <c r="T144" s="23">
        <v>1</v>
      </c>
      <c r="U144" s="11">
        <f t="shared" si="19"/>
        <v>2.3868055555555552</v>
      </c>
      <c r="V144" s="24">
        <f t="shared" si="20"/>
        <v>0.58095238095238089</v>
      </c>
      <c r="W144" s="4"/>
      <c r="X144" s="54"/>
      <c r="Y144" s="34">
        <v>0.58095238095238089</v>
      </c>
      <c r="Z144" s="54">
        <v>3.6065573770491803</v>
      </c>
      <c r="AA144" s="54" t="b">
        <f t="shared" si="14"/>
        <v>1</v>
      </c>
      <c r="AB144" s="54" t="b">
        <f t="shared" si="15"/>
        <v>0</v>
      </c>
      <c r="AC144" s="54" t="b">
        <f t="shared" si="16"/>
        <v>1</v>
      </c>
    </row>
    <row r="145" spans="1:29" x14ac:dyDescent="0.25">
      <c r="A145" s="99" t="s">
        <v>1380</v>
      </c>
      <c r="B145" s="1" t="s">
        <v>1695</v>
      </c>
      <c r="C145" s="23">
        <v>0.54941373534338356</v>
      </c>
      <c r="D145" s="11">
        <v>1.8</v>
      </c>
      <c r="E145" s="1"/>
      <c r="F145" s="1"/>
      <c r="G145" s="1"/>
      <c r="H145" s="1"/>
      <c r="I145" s="1"/>
      <c r="J145" s="1"/>
      <c r="K145" s="23">
        <v>1</v>
      </c>
      <c r="L145" s="11">
        <f t="shared" si="17"/>
        <v>1.8</v>
      </c>
      <c r="M145" s="23">
        <f t="shared" si="18"/>
        <v>0.54941373534338356</v>
      </c>
      <c r="N145" s="1" t="s">
        <v>1696</v>
      </c>
      <c r="O145" s="1" t="s">
        <v>1696</v>
      </c>
      <c r="P145" s="1"/>
      <c r="Q145" s="1"/>
      <c r="R145" s="1" t="s">
        <v>1700</v>
      </c>
      <c r="S145" s="11">
        <v>5.6818181818181816E-2</v>
      </c>
      <c r="T145" s="23">
        <v>1</v>
      </c>
      <c r="U145" s="11">
        <f t="shared" si="19"/>
        <v>1.8568181818181819</v>
      </c>
      <c r="V145" s="24">
        <f t="shared" si="20"/>
        <v>0.54941373534338356</v>
      </c>
      <c r="W145" s="4"/>
      <c r="X145" s="54"/>
      <c r="Y145" s="34">
        <v>0.54941373534338356</v>
      </c>
      <c r="Z145" s="54">
        <v>1.3719512195121952</v>
      </c>
      <c r="AA145" s="54" t="b">
        <f t="shared" si="14"/>
        <v>1</v>
      </c>
      <c r="AB145" s="54" t="b">
        <f t="shared" si="15"/>
        <v>0</v>
      </c>
      <c r="AC145" s="54" t="b">
        <f t="shared" si="16"/>
        <v>1</v>
      </c>
    </row>
    <row r="146" spans="1:29" x14ac:dyDescent="0.25">
      <c r="A146" s="1" t="s">
        <v>1345</v>
      </c>
      <c r="B146" s="1" t="s">
        <v>1695</v>
      </c>
      <c r="C146" s="23">
        <v>0.82</v>
      </c>
      <c r="D146" s="11">
        <v>1.3516260162601628</v>
      </c>
      <c r="E146" s="1"/>
      <c r="F146" s="1"/>
      <c r="G146" s="1"/>
      <c r="H146" s="1"/>
      <c r="I146" s="1"/>
      <c r="J146" s="1"/>
      <c r="K146" s="23">
        <v>1</v>
      </c>
      <c r="L146" s="11">
        <f t="shared" si="17"/>
        <v>1.3516260162601628</v>
      </c>
      <c r="M146" s="23">
        <f t="shared" si="18"/>
        <v>0.82</v>
      </c>
      <c r="N146" s="1" t="s">
        <v>1696</v>
      </c>
      <c r="O146" s="1"/>
      <c r="P146" s="1"/>
      <c r="Q146" s="1"/>
      <c r="R146" s="1"/>
      <c r="S146" s="1"/>
      <c r="T146" s="23">
        <v>1</v>
      </c>
      <c r="U146" s="11">
        <f t="shared" si="19"/>
        <v>1.3516260162601628</v>
      </c>
      <c r="V146" s="24">
        <f t="shared" si="20"/>
        <v>0.82</v>
      </c>
      <c r="W146" s="4"/>
      <c r="X146" s="54"/>
      <c r="Y146" s="34">
        <v>0.82</v>
      </c>
      <c r="Z146" s="54">
        <v>1.7174796747967482</v>
      </c>
      <c r="AA146" s="54" t="b">
        <f t="shared" si="14"/>
        <v>1</v>
      </c>
      <c r="AB146" s="54" t="b">
        <f t="shared" si="15"/>
        <v>0</v>
      </c>
      <c r="AC146" s="54" t="b">
        <f t="shared" si="16"/>
        <v>1</v>
      </c>
    </row>
    <row r="147" spans="1:29" x14ac:dyDescent="0.25">
      <c r="A147" s="1" t="s">
        <v>1364</v>
      </c>
      <c r="B147" s="1" t="s">
        <v>1695</v>
      </c>
      <c r="C147" s="23">
        <v>0.80849999999999989</v>
      </c>
      <c r="D147" s="11">
        <v>1.360544217687075</v>
      </c>
      <c r="E147" s="1"/>
      <c r="F147" s="1"/>
      <c r="G147" s="1"/>
      <c r="H147" s="1"/>
      <c r="I147" s="1"/>
      <c r="J147" s="1"/>
      <c r="K147" s="23">
        <v>1</v>
      </c>
      <c r="L147" s="11">
        <f t="shared" si="17"/>
        <v>1.360544217687075</v>
      </c>
      <c r="M147" s="23">
        <f t="shared" si="18"/>
        <v>0.80849999999999989</v>
      </c>
      <c r="N147" s="1" t="s">
        <v>1696</v>
      </c>
      <c r="O147" s="1"/>
      <c r="P147" s="1" t="s">
        <v>1703</v>
      </c>
      <c r="Q147" s="1"/>
      <c r="R147" s="1" t="s">
        <v>1700</v>
      </c>
      <c r="S147" s="1">
        <v>0.1</v>
      </c>
      <c r="T147" s="23">
        <v>0.96</v>
      </c>
      <c r="U147" s="11">
        <f t="shared" si="19"/>
        <v>1.4605442176870751</v>
      </c>
      <c r="V147" s="24">
        <f t="shared" si="20"/>
        <v>0.77615999999999985</v>
      </c>
      <c r="W147" s="4"/>
      <c r="X147" s="54"/>
      <c r="Y147" s="34">
        <v>0.80849999999999989</v>
      </c>
      <c r="Z147" s="54">
        <v>1.7316017316017318</v>
      </c>
      <c r="AA147" s="54" t="b">
        <f t="shared" si="14"/>
        <v>1</v>
      </c>
      <c r="AB147" s="54" t="b">
        <f t="shared" si="15"/>
        <v>0</v>
      </c>
      <c r="AC147" s="54" t="b">
        <f t="shared" si="16"/>
        <v>0</v>
      </c>
    </row>
    <row r="148" spans="1:29" x14ac:dyDescent="0.25">
      <c r="A148" s="1" t="s">
        <v>1404</v>
      </c>
      <c r="B148" s="1" t="s">
        <v>1695</v>
      </c>
      <c r="C148" s="23">
        <v>0.80849999999999989</v>
      </c>
      <c r="D148" s="11">
        <v>1.4223871366728511</v>
      </c>
      <c r="E148" s="1"/>
      <c r="F148" s="1"/>
      <c r="G148" s="1"/>
      <c r="H148" s="1"/>
      <c r="I148" s="1"/>
      <c r="J148" s="1"/>
      <c r="K148" s="23">
        <v>1</v>
      </c>
      <c r="L148" s="11">
        <f t="shared" si="17"/>
        <v>1.4223871366728511</v>
      </c>
      <c r="M148" s="23">
        <f t="shared" si="18"/>
        <v>0.80849999999999989</v>
      </c>
      <c r="N148" s="1" t="s">
        <v>1696</v>
      </c>
      <c r="O148" s="1"/>
      <c r="P148" s="1" t="s">
        <v>1703</v>
      </c>
      <c r="Q148" s="1"/>
      <c r="R148" s="1" t="s">
        <v>1700</v>
      </c>
      <c r="S148" s="1">
        <v>0.1</v>
      </c>
      <c r="T148" s="23">
        <v>1</v>
      </c>
      <c r="U148" s="11">
        <f t="shared" si="19"/>
        <v>1.5223871366728512</v>
      </c>
      <c r="V148" s="24">
        <f t="shared" si="20"/>
        <v>0.80849999999999989</v>
      </c>
      <c r="W148" s="4"/>
      <c r="X148" s="54"/>
      <c r="Y148" s="34">
        <v>0.80849999999999989</v>
      </c>
      <c r="Z148" s="54">
        <v>1.7934446505875079</v>
      </c>
      <c r="AA148" s="54" t="b">
        <f t="shared" si="14"/>
        <v>1</v>
      </c>
      <c r="AB148" s="54" t="b">
        <f t="shared" si="15"/>
        <v>0</v>
      </c>
      <c r="AC148" s="54" t="b">
        <f t="shared" si="16"/>
        <v>1</v>
      </c>
    </row>
    <row r="149" spans="1:29" x14ac:dyDescent="0.25">
      <c r="A149" s="1" t="s">
        <v>1528</v>
      </c>
      <c r="B149" s="1" t="s">
        <v>1695</v>
      </c>
      <c r="C149" s="23">
        <v>0.82499999999999996</v>
      </c>
      <c r="D149" s="11">
        <v>1.2121212121212122</v>
      </c>
      <c r="E149" s="1" t="s">
        <v>1696</v>
      </c>
      <c r="F149" s="1"/>
      <c r="G149" s="1" t="s">
        <v>1696</v>
      </c>
      <c r="H149" s="1"/>
      <c r="I149" s="1" t="s">
        <v>1700</v>
      </c>
      <c r="J149" s="1">
        <v>0.1</v>
      </c>
      <c r="K149" s="23">
        <v>1</v>
      </c>
      <c r="L149" s="11">
        <f t="shared" si="17"/>
        <v>1.3121212121212122</v>
      </c>
      <c r="M149" s="23">
        <f t="shared" si="18"/>
        <v>0.82499999999999996</v>
      </c>
      <c r="N149" s="1"/>
      <c r="O149" s="1"/>
      <c r="P149" s="1"/>
      <c r="Q149" s="1"/>
      <c r="R149" s="1"/>
      <c r="S149" s="1"/>
      <c r="T149" s="23">
        <v>1</v>
      </c>
      <c r="U149" s="11">
        <f t="shared" si="19"/>
        <v>1.2121212121212122</v>
      </c>
      <c r="V149" s="24">
        <f t="shared" si="20"/>
        <v>0.82499999999999996</v>
      </c>
      <c r="W149" s="4"/>
      <c r="X149" s="54"/>
      <c r="Y149" s="34">
        <v>0.82499999999999996</v>
      </c>
      <c r="Z149" s="54">
        <v>1.5757575757575757</v>
      </c>
      <c r="AA149" s="54" t="b">
        <f t="shared" si="14"/>
        <v>1</v>
      </c>
      <c r="AB149" s="54" t="b">
        <f t="shared" si="15"/>
        <v>0</v>
      </c>
      <c r="AC149" s="54" t="b">
        <f t="shared" si="16"/>
        <v>1</v>
      </c>
    </row>
    <row r="150" spans="1:29" x14ac:dyDescent="0.25">
      <c r="A150" s="1" t="s">
        <v>1529</v>
      </c>
      <c r="B150" s="1" t="s">
        <v>1695</v>
      </c>
      <c r="C150" s="23">
        <v>0.96666666666666667</v>
      </c>
      <c r="D150" s="11">
        <v>3.0172413793103452</v>
      </c>
      <c r="E150" s="1" t="s">
        <v>1696</v>
      </c>
      <c r="F150" s="1"/>
      <c r="G150" s="1"/>
      <c r="H150" s="1"/>
      <c r="I150" s="1"/>
      <c r="J150" s="1"/>
      <c r="K150" s="23">
        <v>1</v>
      </c>
      <c r="L150" s="11">
        <f t="shared" si="17"/>
        <v>3.0172413793103452</v>
      </c>
      <c r="M150" s="23">
        <f t="shared" si="18"/>
        <v>0.96666666666666667</v>
      </c>
      <c r="N150" s="1"/>
      <c r="O150" s="1"/>
      <c r="P150" s="1"/>
      <c r="Q150" s="1"/>
      <c r="R150" s="1"/>
      <c r="S150" s="1"/>
      <c r="T150" s="23">
        <v>1</v>
      </c>
      <c r="U150" s="11">
        <f t="shared" si="19"/>
        <v>3.0172413793103452</v>
      </c>
      <c r="V150" s="24">
        <f t="shared" si="20"/>
        <v>0.96666666666666667</v>
      </c>
      <c r="W150" s="4"/>
      <c r="X150" s="54"/>
      <c r="Y150" s="34">
        <v>0.96666666666666667</v>
      </c>
      <c r="Z150" s="54">
        <v>3.0172413793103452</v>
      </c>
      <c r="AA150" s="54" t="b">
        <f t="shared" si="14"/>
        <v>1</v>
      </c>
      <c r="AB150" s="54" t="b">
        <f t="shared" si="15"/>
        <v>1</v>
      </c>
      <c r="AC150" s="54" t="b">
        <f t="shared" si="16"/>
        <v>1</v>
      </c>
    </row>
    <row r="151" spans="1:29" x14ac:dyDescent="0.25">
      <c r="A151" s="1" t="s">
        <v>1530</v>
      </c>
      <c r="B151" s="1" t="s">
        <v>1695</v>
      </c>
      <c r="C151" s="23">
        <v>0.88</v>
      </c>
      <c r="D151" s="11">
        <v>5.6818181818181817</v>
      </c>
      <c r="E151" s="1" t="s">
        <v>1696</v>
      </c>
      <c r="F151" s="1"/>
      <c r="G151" s="1"/>
      <c r="H151" s="1"/>
      <c r="I151" s="1"/>
      <c r="J151" s="1"/>
      <c r="K151" s="23">
        <v>1</v>
      </c>
      <c r="L151" s="11">
        <f t="shared" si="17"/>
        <v>5.6818181818181817</v>
      </c>
      <c r="M151" s="23">
        <f t="shared" si="18"/>
        <v>0.88</v>
      </c>
      <c r="N151" s="1"/>
      <c r="O151" s="1"/>
      <c r="P151" s="1"/>
      <c r="Q151" s="1"/>
      <c r="R151" s="1"/>
      <c r="S151" s="1"/>
      <c r="T151" s="23">
        <v>1</v>
      </c>
      <c r="U151" s="11">
        <f t="shared" si="19"/>
        <v>5.6818181818181817</v>
      </c>
      <c r="V151" s="24">
        <f t="shared" si="20"/>
        <v>0.88</v>
      </c>
      <c r="W151" s="4"/>
      <c r="X151" s="54"/>
      <c r="Y151" s="34">
        <v>0.88</v>
      </c>
      <c r="Z151" s="54">
        <v>5.6818181818181817</v>
      </c>
      <c r="AA151" s="54" t="b">
        <f t="shared" si="14"/>
        <v>1</v>
      </c>
      <c r="AB151" s="54" t="b">
        <f t="shared" si="15"/>
        <v>1</v>
      </c>
      <c r="AC151" s="54" t="b">
        <f t="shared" si="16"/>
        <v>1</v>
      </c>
    </row>
    <row r="152" spans="1:29" x14ac:dyDescent="0.25">
      <c r="A152" s="1" t="s">
        <v>1531</v>
      </c>
      <c r="B152" s="1" t="s">
        <v>1695</v>
      </c>
      <c r="C152" s="23">
        <v>0.9943661971830986</v>
      </c>
      <c r="D152" s="11">
        <v>6.5155807365439093</v>
      </c>
      <c r="E152" s="1" t="s">
        <v>1696</v>
      </c>
      <c r="F152" s="1"/>
      <c r="G152" s="1"/>
      <c r="H152" s="1"/>
      <c r="I152" s="1"/>
      <c r="J152" s="1"/>
      <c r="K152" s="23">
        <v>1</v>
      </c>
      <c r="L152" s="11">
        <f t="shared" si="17"/>
        <v>6.5155807365439093</v>
      </c>
      <c r="M152" s="23">
        <f t="shared" si="18"/>
        <v>0.9943661971830986</v>
      </c>
      <c r="N152" s="1"/>
      <c r="O152" s="1"/>
      <c r="P152" s="1"/>
      <c r="Q152" s="1"/>
      <c r="R152" s="1"/>
      <c r="S152" s="1"/>
      <c r="T152" s="23">
        <v>1</v>
      </c>
      <c r="U152" s="11">
        <f t="shared" si="19"/>
        <v>6.5155807365439093</v>
      </c>
      <c r="V152" s="24">
        <f t="shared" si="20"/>
        <v>0.9943661971830986</v>
      </c>
      <c r="W152" s="4"/>
      <c r="X152" s="54"/>
      <c r="Y152" s="34">
        <v>0.9943661971830986</v>
      </c>
      <c r="Z152" s="54">
        <v>6.5155807365439093</v>
      </c>
      <c r="AA152" s="54" t="b">
        <f t="shared" si="14"/>
        <v>1</v>
      </c>
      <c r="AB152" s="54" t="b">
        <f t="shared" si="15"/>
        <v>1</v>
      </c>
      <c r="AC152" s="54" t="b">
        <f t="shared" si="16"/>
        <v>1</v>
      </c>
    </row>
    <row r="153" spans="1:29" x14ac:dyDescent="0.25">
      <c r="A153" s="1" t="s">
        <v>1532</v>
      </c>
      <c r="B153" s="1" t="s">
        <v>1695</v>
      </c>
      <c r="C153" s="23">
        <v>1</v>
      </c>
      <c r="D153" s="11">
        <v>0.15</v>
      </c>
      <c r="E153" s="1" t="s">
        <v>1696</v>
      </c>
      <c r="F153" s="1"/>
      <c r="G153" s="1"/>
      <c r="H153" s="1"/>
      <c r="I153" s="1"/>
      <c r="J153" s="1"/>
      <c r="K153" s="23">
        <v>1</v>
      </c>
      <c r="L153" s="11">
        <f t="shared" si="17"/>
        <v>0.15</v>
      </c>
      <c r="M153" s="23">
        <f t="shared" si="18"/>
        <v>1</v>
      </c>
      <c r="N153" s="1"/>
      <c r="O153" s="1"/>
      <c r="P153" s="1"/>
      <c r="Q153" s="1"/>
      <c r="R153" s="1"/>
      <c r="S153" s="1"/>
      <c r="T153" s="23">
        <v>1</v>
      </c>
      <c r="U153" s="11">
        <f t="shared" si="19"/>
        <v>0.15</v>
      </c>
      <c r="V153" s="24">
        <f t="shared" si="20"/>
        <v>1</v>
      </c>
      <c r="W153" s="4"/>
      <c r="X153" s="54"/>
      <c r="Y153" s="34">
        <v>1</v>
      </c>
      <c r="Z153" s="54">
        <v>0.1</v>
      </c>
      <c r="AA153" s="54" t="b">
        <f t="shared" si="14"/>
        <v>1</v>
      </c>
      <c r="AB153" s="54" t="b">
        <f t="shared" si="15"/>
        <v>0</v>
      </c>
      <c r="AC153" s="54" t="b">
        <f t="shared" si="16"/>
        <v>1</v>
      </c>
    </row>
    <row r="154" spans="1:29" x14ac:dyDescent="0.25">
      <c r="A154" s="1" t="s">
        <v>1533</v>
      </c>
      <c r="B154" s="1" t="s">
        <v>1695</v>
      </c>
      <c r="C154" s="23">
        <v>0.98872180451127811</v>
      </c>
      <c r="D154" s="11">
        <v>5.5133079847908748</v>
      </c>
      <c r="E154" s="1" t="s">
        <v>1696</v>
      </c>
      <c r="F154" s="1"/>
      <c r="G154" s="1"/>
      <c r="H154" s="1"/>
      <c r="I154" s="1"/>
      <c r="J154" s="1"/>
      <c r="K154" s="23">
        <v>1</v>
      </c>
      <c r="L154" s="11">
        <f t="shared" si="17"/>
        <v>5.5133079847908748</v>
      </c>
      <c r="M154" s="23">
        <f t="shared" si="18"/>
        <v>0.98872180451127811</v>
      </c>
      <c r="N154" s="1"/>
      <c r="O154" s="1"/>
      <c r="P154" s="1"/>
      <c r="Q154" s="1"/>
      <c r="R154" s="1"/>
      <c r="S154" s="1"/>
      <c r="T154" s="23">
        <v>1</v>
      </c>
      <c r="U154" s="11">
        <f t="shared" si="19"/>
        <v>5.5133079847908748</v>
      </c>
      <c r="V154" s="24">
        <f t="shared" si="20"/>
        <v>0.98872180451127811</v>
      </c>
      <c r="W154" s="4"/>
      <c r="X154" s="54"/>
      <c r="Y154" s="34">
        <v>0.98872180451127811</v>
      </c>
      <c r="Z154" s="54">
        <v>5.5133079847908748</v>
      </c>
      <c r="AA154" s="54" t="b">
        <f t="shared" si="14"/>
        <v>1</v>
      </c>
      <c r="AB154" s="54" t="b">
        <f t="shared" si="15"/>
        <v>1</v>
      </c>
      <c r="AC154" s="54" t="b">
        <f t="shared" si="16"/>
        <v>1</v>
      </c>
    </row>
    <row r="155" spans="1:29" x14ac:dyDescent="0.25">
      <c r="A155" s="1" t="s">
        <v>1534</v>
      </c>
      <c r="B155" s="1" t="s">
        <v>1695</v>
      </c>
      <c r="C155" s="23">
        <v>0.9</v>
      </c>
      <c r="D155" s="11">
        <v>3.7037037037037037</v>
      </c>
      <c r="E155" s="1" t="s">
        <v>1696</v>
      </c>
      <c r="F155" s="1"/>
      <c r="G155" s="1"/>
      <c r="H155" s="1"/>
      <c r="I155" s="1"/>
      <c r="J155" s="1"/>
      <c r="K155" s="23">
        <v>1</v>
      </c>
      <c r="L155" s="11">
        <f t="shared" si="17"/>
        <v>3.7037037037037037</v>
      </c>
      <c r="M155" s="23">
        <f t="shared" si="18"/>
        <v>0.9</v>
      </c>
      <c r="N155" s="1"/>
      <c r="O155" s="1"/>
      <c r="P155" s="1"/>
      <c r="Q155" s="1"/>
      <c r="R155" s="1"/>
      <c r="S155" s="1"/>
      <c r="T155" s="23">
        <v>1</v>
      </c>
      <c r="U155" s="11">
        <f t="shared" si="19"/>
        <v>3.7037037037037037</v>
      </c>
      <c r="V155" s="24">
        <f t="shared" si="20"/>
        <v>0.9</v>
      </c>
      <c r="W155" s="4"/>
      <c r="X155" s="54"/>
      <c r="Y155" s="34">
        <v>0.9</v>
      </c>
      <c r="Z155" s="54">
        <v>3.7037037037037037</v>
      </c>
      <c r="AA155" s="54" t="b">
        <f t="shared" si="14"/>
        <v>1</v>
      </c>
      <c r="AB155" s="54" t="b">
        <f t="shared" si="15"/>
        <v>1</v>
      </c>
      <c r="AC155" s="54" t="b">
        <f t="shared" si="16"/>
        <v>1</v>
      </c>
    </row>
    <row r="156" spans="1:29" x14ac:dyDescent="0.25">
      <c r="A156" s="1" t="s">
        <v>1535</v>
      </c>
      <c r="B156" s="1" t="s">
        <v>1695</v>
      </c>
      <c r="C156" s="23">
        <v>0.86890399320305867</v>
      </c>
      <c r="D156" s="11">
        <v>7.8461774853678632</v>
      </c>
      <c r="E156" s="1" t="s">
        <v>1696</v>
      </c>
      <c r="F156" s="1"/>
      <c r="G156" s="1"/>
      <c r="H156" s="1"/>
      <c r="I156" s="1"/>
      <c r="J156" s="1"/>
      <c r="K156" s="23">
        <v>1</v>
      </c>
      <c r="L156" s="11">
        <f t="shared" si="17"/>
        <v>7.8461774853678632</v>
      </c>
      <c r="M156" s="23">
        <f t="shared" si="18"/>
        <v>0.86890399320305867</v>
      </c>
      <c r="N156" s="1"/>
      <c r="O156" s="1"/>
      <c r="P156" s="1"/>
      <c r="Q156" s="1"/>
      <c r="R156" s="1"/>
      <c r="S156" s="1"/>
      <c r="T156" s="23">
        <v>1</v>
      </c>
      <c r="U156" s="11">
        <f t="shared" si="19"/>
        <v>7.8461774853678632</v>
      </c>
      <c r="V156" s="24">
        <f t="shared" si="20"/>
        <v>0.86890399320305867</v>
      </c>
      <c r="W156" s="4"/>
      <c r="X156" s="54"/>
      <c r="Y156" s="34">
        <v>0.86890399320305867</v>
      </c>
      <c r="Z156" s="54">
        <v>7.8461774853678632</v>
      </c>
      <c r="AA156" s="54" t="b">
        <f t="shared" si="14"/>
        <v>1</v>
      </c>
      <c r="AB156" s="54" t="b">
        <f t="shared" si="15"/>
        <v>1</v>
      </c>
      <c r="AC156" s="54" t="b">
        <f t="shared" si="16"/>
        <v>1</v>
      </c>
    </row>
    <row r="157" spans="1:29" x14ac:dyDescent="0.25">
      <c r="A157" s="1" t="s">
        <v>1536</v>
      </c>
      <c r="B157" s="1" t="s">
        <v>1695</v>
      </c>
      <c r="C157" s="23">
        <v>0.91028037383177574</v>
      </c>
      <c r="D157" s="11">
        <v>3.593429158110883</v>
      </c>
      <c r="E157" s="1" t="s">
        <v>1696</v>
      </c>
      <c r="F157" s="1"/>
      <c r="G157" s="1"/>
      <c r="H157" s="1"/>
      <c r="I157" s="1"/>
      <c r="J157" s="1"/>
      <c r="K157" s="23">
        <v>1</v>
      </c>
      <c r="L157" s="11">
        <f t="shared" si="17"/>
        <v>3.593429158110883</v>
      </c>
      <c r="M157" s="23">
        <f t="shared" si="18"/>
        <v>0.91028037383177574</v>
      </c>
      <c r="N157" s="1"/>
      <c r="O157" s="1"/>
      <c r="P157" s="1"/>
      <c r="Q157" s="1"/>
      <c r="R157" s="1"/>
      <c r="S157" s="1"/>
      <c r="T157" s="23">
        <v>1</v>
      </c>
      <c r="U157" s="11">
        <f t="shared" si="19"/>
        <v>3.593429158110883</v>
      </c>
      <c r="V157" s="24">
        <f t="shared" si="20"/>
        <v>0.91028037383177574</v>
      </c>
      <c r="W157" s="4"/>
      <c r="X157" s="54"/>
      <c r="Y157" s="34">
        <v>0.91028037383177574</v>
      </c>
      <c r="Z157" s="54">
        <v>3.593429158110883</v>
      </c>
      <c r="AA157" s="54" t="b">
        <f t="shared" si="14"/>
        <v>1</v>
      </c>
      <c r="AB157" s="54" t="b">
        <f t="shared" si="15"/>
        <v>1</v>
      </c>
      <c r="AC157" s="54" t="b">
        <f t="shared" si="16"/>
        <v>1</v>
      </c>
    </row>
    <row r="158" spans="1:29" x14ac:dyDescent="0.25">
      <c r="A158" s="1" t="s">
        <v>1537</v>
      </c>
      <c r="B158" s="1" t="s">
        <v>1695</v>
      </c>
      <c r="C158" s="23">
        <v>0.91028037383177574</v>
      </c>
      <c r="D158" s="11">
        <v>3.593429158110883</v>
      </c>
      <c r="E158" s="1" t="s">
        <v>1696</v>
      </c>
      <c r="F158" s="1"/>
      <c r="G158" s="1"/>
      <c r="H158" s="1"/>
      <c r="I158" s="1"/>
      <c r="J158" s="1"/>
      <c r="K158" s="23">
        <v>1</v>
      </c>
      <c r="L158" s="11">
        <f t="shared" si="17"/>
        <v>3.593429158110883</v>
      </c>
      <c r="M158" s="23">
        <f t="shared" si="18"/>
        <v>0.91028037383177574</v>
      </c>
      <c r="N158" s="1"/>
      <c r="O158" s="1"/>
      <c r="P158" s="1"/>
      <c r="Q158" s="1"/>
      <c r="R158" s="1"/>
      <c r="S158" s="1"/>
      <c r="T158" s="23">
        <v>1</v>
      </c>
      <c r="U158" s="11">
        <f t="shared" si="19"/>
        <v>3.593429158110883</v>
      </c>
      <c r="V158" s="24">
        <f t="shared" si="20"/>
        <v>0.91028037383177574</v>
      </c>
      <c r="W158" s="4"/>
      <c r="X158" s="54"/>
      <c r="Y158" s="34">
        <v>0.91028037383177574</v>
      </c>
      <c r="Z158" s="54">
        <v>3.593429158110883</v>
      </c>
      <c r="AA158" s="54" t="b">
        <f t="shared" si="14"/>
        <v>1</v>
      </c>
      <c r="AB158" s="54" t="b">
        <f t="shared" si="15"/>
        <v>1</v>
      </c>
      <c r="AC158" s="54" t="b">
        <f t="shared" si="16"/>
        <v>1</v>
      </c>
    </row>
    <row r="159" spans="1:29" x14ac:dyDescent="0.25">
      <c r="A159" s="1" t="s">
        <v>1538</v>
      </c>
      <c r="B159" s="1" t="s">
        <v>1695</v>
      </c>
      <c r="C159" s="23">
        <v>0.91028037383177574</v>
      </c>
      <c r="D159" s="11">
        <v>3.593429158110883</v>
      </c>
      <c r="E159" s="1" t="s">
        <v>1696</v>
      </c>
      <c r="F159" s="1"/>
      <c r="G159" s="1"/>
      <c r="H159" s="1"/>
      <c r="I159" s="1"/>
      <c r="J159" s="1"/>
      <c r="K159" s="23">
        <v>1</v>
      </c>
      <c r="L159" s="11">
        <f t="shared" si="17"/>
        <v>3.593429158110883</v>
      </c>
      <c r="M159" s="23">
        <f t="shared" si="18"/>
        <v>0.91028037383177574</v>
      </c>
      <c r="N159" s="1"/>
      <c r="O159" s="1"/>
      <c r="P159" s="1"/>
      <c r="Q159" s="1"/>
      <c r="R159" s="1"/>
      <c r="S159" s="1"/>
      <c r="T159" s="23">
        <v>1</v>
      </c>
      <c r="U159" s="11">
        <f t="shared" si="19"/>
        <v>3.593429158110883</v>
      </c>
      <c r="V159" s="24">
        <f t="shared" si="20"/>
        <v>0.91028037383177574</v>
      </c>
      <c r="W159" s="4"/>
      <c r="X159" s="54"/>
      <c r="Y159" s="34">
        <v>0.91028037383177574</v>
      </c>
      <c r="Z159" s="54">
        <v>3.593429158110883</v>
      </c>
      <c r="AA159" s="54" t="b">
        <f t="shared" si="14"/>
        <v>1</v>
      </c>
      <c r="AB159" s="54" t="b">
        <f t="shared" si="15"/>
        <v>1</v>
      </c>
      <c r="AC159" s="54" t="b">
        <f t="shared" si="16"/>
        <v>1</v>
      </c>
    </row>
    <row r="160" spans="1:29" x14ac:dyDescent="0.25">
      <c r="A160" s="1" t="s">
        <v>1406</v>
      </c>
      <c r="B160" s="1" t="s">
        <v>1695</v>
      </c>
      <c r="C160" s="23">
        <v>0.9840075258701787</v>
      </c>
      <c r="D160" s="11">
        <v>0.5</v>
      </c>
      <c r="E160" s="1" t="s">
        <v>1696</v>
      </c>
      <c r="F160" s="1" t="s">
        <v>1696</v>
      </c>
      <c r="G160" s="1"/>
      <c r="H160" s="1" t="s">
        <v>1696</v>
      </c>
      <c r="I160" s="1" t="s">
        <v>1700</v>
      </c>
      <c r="J160" s="11">
        <v>0.75</v>
      </c>
      <c r="K160" s="23">
        <v>0.92281879194630867</v>
      </c>
      <c r="L160" s="11">
        <f t="shared" si="17"/>
        <v>1.25</v>
      </c>
      <c r="M160" s="23">
        <f t="shared" si="18"/>
        <v>0.90806063628959444</v>
      </c>
      <c r="N160" s="1" t="s">
        <v>1696</v>
      </c>
      <c r="O160" s="1" t="s">
        <v>1696</v>
      </c>
      <c r="P160" s="1"/>
      <c r="Q160" s="1" t="s">
        <v>1696</v>
      </c>
      <c r="R160" s="1" t="s">
        <v>1700</v>
      </c>
      <c r="S160" s="11">
        <v>0.8</v>
      </c>
      <c r="T160" s="23">
        <v>0.92281879194630867</v>
      </c>
      <c r="U160" s="11">
        <f t="shared" si="19"/>
        <v>1.3</v>
      </c>
      <c r="V160" s="24">
        <f t="shared" si="20"/>
        <v>0.90806063628959444</v>
      </c>
      <c r="W160" s="4"/>
      <c r="X160" s="54"/>
      <c r="Y160" s="34">
        <v>0.9840075258701787</v>
      </c>
      <c r="Z160" s="54">
        <v>7.6481835564053538E-2</v>
      </c>
      <c r="AA160" s="54" t="b">
        <f t="shared" si="14"/>
        <v>1</v>
      </c>
      <c r="AB160" s="54" t="b">
        <f t="shared" si="15"/>
        <v>0</v>
      </c>
      <c r="AC160" s="54" t="b">
        <f t="shared" si="16"/>
        <v>1</v>
      </c>
    </row>
    <row r="161" spans="1:29" x14ac:dyDescent="0.25">
      <c r="A161" s="100" t="s">
        <v>1367</v>
      </c>
      <c r="B161" s="1" t="s">
        <v>1695</v>
      </c>
      <c r="C161" s="23">
        <v>0.9840075258701787</v>
      </c>
      <c r="D161" s="33">
        <v>0.2</v>
      </c>
      <c r="E161" s="1" t="s">
        <v>1696</v>
      </c>
      <c r="F161" s="1" t="s">
        <v>1696</v>
      </c>
      <c r="G161" s="1"/>
      <c r="H161" s="1" t="s">
        <v>1696</v>
      </c>
      <c r="I161" s="1" t="s">
        <v>1700</v>
      </c>
      <c r="J161" s="11">
        <v>0.34782608695652173</v>
      </c>
      <c r="K161" s="24">
        <v>0.90196078431372551</v>
      </c>
      <c r="L161" s="11">
        <f t="shared" si="17"/>
        <v>0.54782608695652169</v>
      </c>
      <c r="M161" s="23">
        <f t="shared" si="18"/>
        <v>0.88753619980447496</v>
      </c>
      <c r="N161" s="1" t="s">
        <v>1696</v>
      </c>
      <c r="O161" s="1" t="s">
        <v>1696</v>
      </c>
      <c r="P161" s="1"/>
      <c r="Q161" s="1" t="s">
        <v>1696</v>
      </c>
      <c r="R161" s="1" t="s">
        <v>1700</v>
      </c>
      <c r="S161" s="11">
        <v>0.45</v>
      </c>
      <c r="T161" s="23">
        <v>0.90196078431372551</v>
      </c>
      <c r="U161" s="11">
        <f t="shared" si="19"/>
        <v>0.65</v>
      </c>
      <c r="V161" s="24">
        <f t="shared" si="20"/>
        <v>0.88753619980447496</v>
      </c>
      <c r="W161" s="4">
        <f>U161</f>
        <v>0.65</v>
      </c>
      <c r="X161" s="54">
        <f>V161</f>
        <v>0.88753619980447496</v>
      </c>
      <c r="Y161" s="34">
        <v>0.9840075258701787</v>
      </c>
      <c r="Z161" s="54">
        <v>7.6481835564053538E-2</v>
      </c>
      <c r="AA161" s="54" t="b">
        <f t="shared" si="14"/>
        <v>1</v>
      </c>
      <c r="AB161" s="54" t="b">
        <f t="shared" si="15"/>
        <v>0</v>
      </c>
      <c r="AC161" s="54" t="b">
        <f t="shared" si="16"/>
        <v>1</v>
      </c>
    </row>
    <row r="162" spans="1:29" x14ac:dyDescent="0.25">
      <c r="A162" s="1" t="s">
        <v>1435</v>
      </c>
      <c r="B162" s="1" t="s">
        <v>1695</v>
      </c>
      <c r="C162" s="23">
        <v>0.96</v>
      </c>
      <c r="D162" s="33">
        <v>0.2</v>
      </c>
      <c r="E162" s="1" t="s">
        <v>1696</v>
      </c>
      <c r="F162" s="1" t="s">
        <v>1696</v>
      </c>
      <c r="G162" s="1"/>
      <c r="H162" s="1" t="s">
        <v>1696</v>
      </c>
      <c r="I162" s="1" t="s">
        <v>1700</v>
      </c>
      <c r="J162" s="11">
        <v>0.32</v>
      </c>
      <c r="K162" s="24">
        <v>0.87</v>
      </c>
      <c r="L162" s="11">
        <f t="shared" si="17"/>
        <v>0.52</v>
      </c>
      <c r="M162" s="23">
        <f t="shared" si="18"/>
        <v>0.83519999999999994</v>
      </c>
      <c r="N162" s="1" t="s">
        <v>1696</v>
      </c>
      <c r="O162" s="1" t="s">
        <v>1696</v>
      </c>
      <c r="P162" s="1"/>
      <c r="Q162" s="1" t="s">
        <v>1696</v>
      </c>
      <c r="R162" s="1" t="s">
        <v>1700</v>
      </c>
      <c r="S162" s="11">
        <v>0.45</v>
      </c>
      <c r="T162" s="23">
        <v>0.8556220075833525</v>
      </c>
      <c r="U162" s="11">
        <f t="shared" si="19"/>
        <v>0.65</v>
      </c>
      <c r="V162" s="24">
        <f t="shared" si="20"/>
        <v>0.82139712728001835</v>
      </c>
      <c r="W162" s="4">
        <v>0.56999999999999995</v>
      </c>
      <c r="X162" s="54">
        <v>0.84</v>
      </c>
      <c r="Y162" s="34">
        <v>0.96</v>
      </c>
      <c r="Z162" s="54">
        <v>2.0837500833500031E-2</v>
      </c>
      <c r="AA162" s="54" t="b">
        <f t="shared" si="14"/>
        <v>1</v>
      </c>
      <c r="AB162" s="54" t="b">
        <f t="shared" si="15"/>
        <v>0</v>
      </c>
      <c r="AC162" s="54" t="b">
        <f t="shared" si="16"/>
        <v>0</v>
      </c>
    </row>
    <row r="163" spans="1:29" x14ac:dyDescent="0.25">
      <c r="A163" s="100" t="s">
        <v>1403</v>
      </c>
      <c r="B163" s="1" t="s">
        <v>1695</v>
      </c>
      <c r="C163" s="23">
        <v>0.97142857142857142</v>
      </c>
      <c r="D163" s="11">
        <v>0.25</v>
      </c>
      <c r="E163" s="1"/>
      <c r="F163" s="1"/>
      <c r="G163" s="1"/>
      <c r="H163" s="1"/>
      <c r="I163" s="1"/>
      <c r="J163" s="1"/>
      <c r="K163" s="23">
        <v>1</v>
      </c>
      <c r="L163" s="11">
        <f t="shared" si="17"/>
        <v>0.25</v>
      </c>
      <c r="M163" s="23">
        <f t="shared" si="18"/>
        <v>0.97142857142857142</v>
      </c>
      <c r="N163" s="1" t="s">
        <v>1696</v>
      </c>
      <c r="O163" s="1"/>
      <c r="P163" s="1" t="s">
        <v>1696</v>
      </c>
      <c r="Q163" s="1" t="s">
        <v>1696</v>
      </c>
      <c r="R163" s="1" t="s">
        <v>1700</v>
      </c>
      <c r="S163" s="1">
        <v>0.25</v>
      </c>
      <c r="T163" s="23">
        <v>0.92</v>
      </c>
      <c r="U163" s="11">
        <f t="shared" si="19"/>
        <v>0.5</v>
      </c>
      <c r="V163" s="24">
        <f t="shared" si="20"/>
        <v>0.89371428571428579</v>
      </c>
      <c r="W163" s="4">
        <v>0.39</v>
      </c>
      <c r="X163" s="54">
        <f>V163</f>
        <v>0.89371428571428579</v>
      </c>
      <c r="Y163" s="34">
        <v>0.97142857142857142</v>
      </c>
      <c r="Z163" s="54">
        <v>0.11029411764705882</v>
      </c>
      <c r="AA163" s="54" t="b">
        <f t="shared" si="14"/>
        <v>1</v>
      </c>
      <c r="AB163" s="54" t="b">
        <f t="shared" si="15"/>
        <v>0</v>
      </c>
      <c r="AC163" s="54" t="b">
        <f t="shared" si="16"/>
        <v>0</v>
      </c>
    </row>
    <row r="164" spans="1:29" x14ac:dyDescent="0.25">
      <c r="A164" s="1" t="s">
        <v>1410</v>
      </c>
      <c r="B164" s="1" t="s">
        <v>1695</v>
      </c>
      <c r="C164" s="23">
        <v>0.85</v>
      </c>
      <c r="D164" s="11">
        <v>2.84</v>
      </c>
      <c r="E164" s="1"/>
      <c r="F164" s="1"/>
      <c r="G164" s="1"/>
      <c r="H164" s="1"/>
      <c r="I164" s="1"/>
      <c r="J164" s="1"/>
      <c r="K164" s="23">
        <v>1</v>
      </c>
      <c r="L164" s="11">
        <f t="shared" si="17"/>
        <v>2.84</v>
      </c>
      <c r="M164" s="23">
        <f t="shared" si="18"/>
        <v>0.85</v>
      </c>
      <c r="N164" s="1" t="s">
        <v>1696</v>
      </c>
      <c r="O164" s="1"/>
      <c r="P164" s="1"/>
      <c r="Q164" s="1"/>
      <c r="R164" s="1"/>
      <c r="S164" s="1"/>
      <c r="T164" s="23">
        <v>1</v>
      </c>
      <c r="U164" s="11">
        <f t="shared" si="19"/>
        <v>2.84</v>
      </c>
      <c r="V164" s="24">
        <f t="shared" si="20"/>
        <v>0.85</v>
      </c>
      <c r="W164" s="4"/>
      <c r="X164" s="54"/>
      <c r="Y164" s="34">
        <v>0.97571428571428565</v>
      </c>
      <c r="Z164" s="54">
        <v>0.10980966325036604</v>
      </c>
      <c r="AA164" s="54" t="b">
        <f t="shared" si="14"/>
        <v>0</v>
      </c>
      <c r="AB164" s="54" t="b">
        <f t="shared" si="15"/>
        <v>0</v>
      </c>
      <c r="AC164" s="54" t="b">
        <f t="shared" si="16"/>
        <v>1</v>
      </c>
    </row>
    <row r="165" spans="1:29" x14ac:dyDescent="0.25">
      <c r="A165" s="1" t="s">
        <v>1422</v>
      </c>
      <c r="B165" s="1" t="s">
        <v>1695</v>
      </c>
      <c r="C165" s="23">
        <v>0.9840075258701787</v>
      </c>
      <c r="D165" s="33">
        <v>0.25</v>
      </c>
      <c r="E165" s="1" t="s">
        <v>1696</v>
      </c>
      <c r="F165" s="1" t="s">
        <v>1696</v>
      </c>
      <c r="G165" s="1"/>
      <c r="H165" s="1" t="s">
        <v>1696</v>
      </c>
      <c r="I165" s="1" t="s">
        <v>1700</v>
      </c>
      <c r="J165" s="11">
        <v>0.51797752808988762</v>
      </c>
      <c r="K165" s="24">
        <v>0.86966627670709928</v>
      </c>
      <c r="L165" s="11">
        <f t="shared" si="17"/>
        <v>0.76797752808988762</v>
      </c>
      <c r="M165" s="23">
        <f t="shared" si="18"/>
        <v>0.85575816127528304</v>
      </c>
      <c r="N165" s="1" t="s">
        <v>1696</v>
      </c>
      <c r="O165" s="1" t="s">
        <v>1696</v>
      </c>
      <c r="P165" s="1"/>
      <c r="Q165" s="1" t="s">
        <v>1696</v>
      </c>
      <c r="R165" s="1" t="s">
        <v>1700</v>
      </c>
      <c r="S165" s="11">
        <v>0.51797752808988762</v>
      </c>
      <c r="T165" s="23">
        <v>0.86966627670709928</v>
      </c>
      <c r="U165" s="11">
        <f t="shared" si="19"/>
        <v>0.76797752808988762</v>
      </c>
      <c r="V165" s="24">
        <f t="shared" si="20"/>
        <v>0.85575816127528304</v>
      </c>
      <c r="W165" s="4"/>
      <c r="X165" s="54"/>
      <c r="Y165" s="34">
        <v>0.9840075258701787</v>
      </c>
      <c r="Z165" s="54">
        <v>7.6481835564053538E-2</v>
      </c>
      <c r="AA165" s="54" t="b">
        <f t="shared" si="14"/>
        <v>1</v>
      </c>
      <c r="AB165" s="54" t="b">
        <f t="shared" si="15"/>
        <v>0</v>
      </c>
      <c r="AC165" s="54" t="b">
        <f t="shared" si="16"/>
        <v>1</v>
      </c>
    </row>
    <row r="166" spans="1:29" x14ac:dyDescent="0.25">
      <c r="A166" s="1" t="s">
        <v>1539</v>
      </c>
      <c r="B166" s="1" t="s">
        <v>1695</v>
      </c>
      <c r="C166" s="23">
        <v>0.98799999999999999</v>
      </c>
      <c r="D166" s="33">
        <v>0.25</v>
      </c>
      <c r="E166" s="1" t="s">
        <v>1696</v>
      </c>
      <c r="F166" s="1"/>
      <c r="G166" s="1" t="s">
        <v>1696</v>
      </c>
      <c r="H166" s="1"/>
      <c r="I166" s="1" t="s">
        <v>1700</v>
      </c>
      <c r="J166" s="1">
        <v>0.1</v>
      </c>
      <c r="K166" s="23">
        <v>0.86966627670709928</v>
      </c>
      <c r="L166" s="11">
        <f t="shared" si="17"/>
        <v>0.35</v>
      </c>
      <c r="M166" s="23">
        <f t="shared" si="18"/>
        <v>0.85923028138661406</v>
      </c>
      <c r="N166" s="1"/>
      <c r="O166" s="1"/>
      <c r="P166" s="1"/>
      <c r="Q166" s="1"/>
      <c r="R166" s="1"/>
      <c r="S166" s="1"/>
      <c r="T166" s="23">
        <v>1</v>
      </c>
      <c r="U166" s="11">
        <f t="shared" si="19"/>
        <v>0.25</v>
      </c>
      <c r="V166" s="24">
        <f t="shared" si="20"/>
        <v>0.98799999999999999</v>
      </c>
      <c r="W166" s="4"/>
      <c r="X166" s="54"/>
      <c r="Y166" s="34">
        <v>0.98799999999999999</v>
      </c>
      <c r="Z166" s="54">
        <v>9.1093117408906882E-2</v>
      </c>
      <c r="AA166" s="54" t="b">
        <f t="shared" si="14"/>
        <v>1</v>
      </c>
      <c r="AB166" s="54" t="b">
        <f t="shared" si="15"/>
        <v>0</v>
      </c>
      <c r="AC166" s="54" t="b">
        <f t="shared" si="16"/>
        <v>0</v>
      </c>
    </row>
    <row r="167" spans="1:29" x14ac:dyDescent="0.25">
      <c r="A167" s="1" t="s">
        <v>1540</v>
      </c>
      <c r="B167" s="1" t="s">
        <v>1695</v>
      </c>
      <c r="C167" s="23">
        <v>0.52</v>
      </c>
      <c r="D167" s="11">
        <v>2.3076923076923075</v>
      </c>
      <c r="E167" s="1" t="s">
        <v>1696</v>
      </c>
      <c r="F167" s="1"/>
      <c r="G167" s="1" t="s">
        <v>1696</v>
      </c>
      <c r="H167" s="1"/>
      <c r="I167" s="1" t="s">
        <v>1700</v>
      </c>
      <c r="J167" s="1">
        <v>0.1</v>
      </c>
      <c r="K167" s="23">
        <v>0.85</v>
      </c>
      <c r="L167" s="11">
        <f t="shared" si="17"/>
        <v>2.4076923076923076</v>
      </c>
      <c r="M167" s="23">
        <f t="shared" si="18"/>
        <v>0.442</v>
      </c>
      <c r="N167" s="1"/>
      <c r="O167" s="1"/>
      <c r="P167" s="1"/>
      <c r="Q167" s="1"/>
      <c r="R167" s="1"/>
      <c r="S167" s="1"/>
      <c r="T167" s="23">
        <v>1</v>
      </c>
      <c r="U167" s="11">
        <f t="shared" si="19"/>
        <v>2.3076923076923075</v>
      </c>
      <c r="V167" s="24">
        <f t="shared" si="20"/>
        <v>0.52</v>
      </c>
      <c r="W167" s="4"/>
      <c r="X167" s="54"/>
      <c r="Y167" s="34">
        <v>0.52</v>
      </c>
      <c r="Z167" s="54">
        <v>2.3076923076923075</v>
      </c>
      <c r="AA167" s="54" t="b">
        <f t="shared" si="14"/>
        <v>1</v>
      </c>
      <c r="AB167" s="54" t="b">
        <f t="shared" si="15"/>
        <v>1</v>
      </c>
      <c r="AC167" s="54" t="b">
        <f t="shared" si="16"/>
        <v>0</v>
      </c>
    </row>
    <row r="168" spans="1:29" x14ac:dyDescent="0.25">
      <c r="A168" s="1" t="s">
        <v>1541</v>
      </c>
      <c r="B168" s="1" t="s">
        <v>1695</v>
      </c>
      <c r="C168" s="23">
        <v>0.91823899371069173</v>
      </c>
      <c r="D168" s="113">
        <v>0.5</v>
      </c>
      <c r="E168" s="1" t="s">
        <v>1696</v>
      </c>
      <c r="F168" s="1"/>
      <c r="G168" s="1" t="s">
        <v>1696</v>
      </c>
      <c r="H168" s="1"/>
      <c r="I168" s="1" t="s">
        <v>1700</v>
      </c>
      <c r="J168" s="1">
        <v>0.1</v>
      </c>
      <c r="K168" s="23">
        <v>1</v>
      </c>
      <c r="L168" s="11">
        <f t="shared" si="17"/>
        <v>0.6</v>
      </c>
      <c r="M168" s="23">
        <f t="shared" si="18"/>
        <v>0.91823899371069173</v>
      </c>
      <c r="N168" s="1"/>
      <c r="O168" s="1"/>
      <c r="P168" s="1"/>
      <c r="Q168" s="1"/>
      <c r="R168" s="1"/>
      <c r="S168" s="1"/>
      <c r="T168" s="23">
        <v>1</v>
      </c>
      <c r="U168" s="11">
        <f t="shared" si="19"/>
        <v>0.5</v>
      </c>
      <c r="V168" s="24">
        <f t="shared" si="20"/>
        <v>0.91823899371069173</v>
      </c>
      <c r="W168" s="4"/>
      <c r="X168" s="54"/>
      <c r="Y168" s="34">
        <v>0.91823899371069173</v>
      </c>
      <c r="Z168" s="54">
        <v>1.1986301369863015</v>
      </c>
      <c r="AA168" s="54" t="b">
        <f t="shared" si="14"/>
        <v>1</v>
      </c>
      <c r="AB168" s="54" t="b">
        <f t="shared" si="15"/>
        <v>0</v>
      </c>
      <c r="AC168" s="54" t="b">
        <f t="shared" si="16"/>
        <v>1</v>
      </c>
    </row>
    <row r="169" spans="1:29" x14ac:dyDescent="0.25">
      <c r="A169" s="1" t="s">
        <v>1409</v>
      </c>
      <c r="B169" s="1" t="s">
        <v>1695</v>
      </c>
      <c r="C169" s="23">
        <v>0.8367952522255192</v>
      </c>
      <c r="D169" s="11">
        <v>2.8368794326241136</v>
      </c>
      <c r="E169" s="1" t="s">
        <v>1696</v>
      </c>
      <c r="F169" s="1"/>
      <c r="G169" s="1"/>
      <c r="H169" s="1"/>
      <c r="I169" s="1"/>
      <c r="J169" s="1"/>
      <c r="K169" s="23">
        <v>1</v>
      </c>
      <c r="L169" s="11">
        <f t="shared" si="17"/>
        <v>2.8368794326241136</v>
      </c>
      <c r="M169" s="23">
        <f t="shared" si="18"/>
        <v>0.8367952522255192</v>
      </c>
      <c r="N169" s="1" t="s">
        <v>1696</v>
      </c>
      <c r="O169" s="1"/>
      <c r="P169" s="1"/>
      <c r="Q169" s="1"/>
      <c r="R169" s="1"/>
      <c r="S169" s="1"/>
      <c r="T169" s="23">
        <v>1</v>
      </c>
      <c r="U169" s="11">
        <f t="shared" si="19"/>
        <v>2.8368794326241136</v>
      </c>
      <c r="V169" s="24">
        <f t="shared" si="20"/>
        <v>0.8367952522255192</v>
      </c>
      <c r="W169" s="4"/>
      <c r="X169" s="54"/>
      <c r="Y169" s="34">
        <v>0.8367952522255192</v>
      </c>
      <c r="Z169" s="54">
        <v>2.8368794326241136</v>
      </c>
      <c r="AA169" s="54" t="b">
        <f t="shared" si="14"/>
        <v>1</v>
      </c>
      <c r="AB169" s="54" t="b">
        <f t="shared" si="15"/>
        <v>1</v>
      </c>
      <c r="AC169" s="54" t="b">
        <f t="shared" si="16"/>
        <v>1</v>
      </c>
    </row>
    <row r="170" spans="1:29" x14ac:dyDescent="0.25">
      <c r="A170" s="1" t="s">
        <v>1402</v>
      </c>
      <c r="B170" s="1" t="s">
        <v>1695</v>
      </c>
      <c r="C170" s="23">
        <v>0.72169099144438853</v>
      </c>
      <c r="D170" s="11">
        <v>5.6485355648535567</v>
      </c>
      <c r="E170" s="1"/>
      <c r="F170" s="1"/>
      <c r="G170" s="1"/>
      <c r="H170" s="1"/>
      <c r="I170" s="1"/>
      <c r="J170" s="1"/>
      <c r="K170" s="23">
        <v>1</v>
      </c>
      <c r="L170" s="11">
        <f t="shared" si="17"/>
        <v>5.6485355648535567</v>
      </c>
      <c r="M170" s="23">
        <f t="shared" si="18"/>
        <v>0.72169099144438853</v>
      </c>
      <c r="N170" s="1" t="s">
        <v>1696</v>
      </c>
      <c r="O170" s="1"/>
      <c r="P170" s="1"/>
      <c r="Q170" s="1"/>
      <c r="R170" s="1"/>
      <c r="S170" s="1"/>
      <c r="T170" s="23">
        <v>1</v>
      </c>
      <c r="U170" s="11">
        <f t="shared" si="19"/>
        <v>5.6485355648535567</v>
      </c>
      <c r="V170" s="24">
        <f t="shared" si="20"/>
        <v>0.72169099144438853</v>
      </c>
      <c r="W170" s="4"/>
      <c r="X170" s="54"/>
      <c r="Y170" s="34">
        <v>0.72169099144438853</v>
      </c>
      <c r="Z170" s="54">
        <v>5.6485355648535567</v>
      </c>
      <c r="AA170" s="54" t="b">
        <f t="shared" si="14"/>
        <v>1</v>
      </c>
      <c r="AB170" s="54" t="b">
        <f t="shared" si="15"/>
        <v>1</v>
      </c>
      <c r="AC170" s="54" t="b">
        <f t="shared" si="16"/>
        <v>1</v>
      </c>
    </row>
    <row r="171" spans="1:29" x14ac:dyDescent="0.25">
      <c r="A171" s="1" t="s">
        <v>1464</v>
      </c>
      <c r="B171" s="1" t="s">
        <v>1695</v>
      </c>
      <c r="C171" s="23">
        <v>0.82335178661298436</v>
      </c>
      <c r="D171" s="113">
        <v>0.5</v>
      </c>
      <c r="E171" s="1"/>
      <c r="F171" s="1"/>
      <c r="G171" s="1"/>
      <c r="H171" s="1"/>
      <c r="I171" s="1"/>
      <c r="J171" s="1"/>
      <c r="K171" s="23">
        <v>1</v>
      </c>
      <c r="L171" s="11">
        <f t="shared" si="17"/>
        <v>0.5</v>
      </c>
      <c r="M171" s="23">
        <f t="shared" si="18"/>
        <v>0.82335178661298436</v>
      </c>
      <c r="N171" s="1" t="s">
        <v>1696</v>
      </c>
      <c r="O171" s="1"/>
      <c r="P171" s="1"/>
      <c r="Q171" s="1"/>
      <c r="R171" s="1"/>
      <c r="S171" s="1"/>
      <c r="T171" s="23">
        <v>1</v>
      </c>
      <c r="U171" s="11">
        <f t="shared" si="19"/>
        <v>0.5</v>
      </c>
      <c r="V171" s="24">
        <f t="shared" si="20"/>
        <v>0.82335178661298436</v>
      </c>
      <c r="W171" s="4"/>
      <c r="X171" s="54"/>
      <c r="Y171" s="34">
        <v>0.82335178661298436</v>
      </c>
      <c r="Z171" s="54">
        <v>1.5281173594132029</v>
      </c>
      <c r="AA171" s="54" t="b">
        <f t="shared" si="14"/>
        <v>1</v>
      </c>
      <c r="AB171" s="54" t="b">
        <f t="shared" si="15"/>
        <v>0</v>
      </c>
      <c r="AC171" s="54" t="b">
        <f t="shared" si="16"/>
        <v>1</v>
      </c>
    </row>
    <row r="172" spans="1:29" x14ac:dyDescent="0.25">
      <c r="A172" s="1" t="s">
        <v>1365</v>
      </c>
      <c r="B172" s="1" t="s">
        <v>1695</v>
      </c>
      <c r="C172" s="23">
        <v>0.98799999999999999</v>
      </c>
      <c r="D172" s="11">
        <v>0.2</v>
      </c>
      <c r="E172" s="1"/>
      <c r="F172" s="1"/>
      <c r="G172" s="1"/>
      <c r="H172" s="1"/>
      <c r="I172" s="1"/>
      <c r="J172" s="1"/>
      <c r="K172" s="23">
        <v>1</v>
      </c>
      <c r="L172" s="11">
        <f t="shared" si="17"/>
        <v>0.2</v>
      </c>
      <c r="M172" s="23">
        <f t="shared" si="18"/>
        <v>0.98799999999999999</v>
      </c>
      <c r="N172" s="1" t="s">
        <v>1696</v>
      </c>
      <c r="O172" s="1" t="s">
        <v>1696</v>
      </c>
      <c r="P172" s="1"/>
      <c r="Q172" s="1" t="s">
        <v>1696</v>
      </c>
      <c r="R172" s="1" t="s">
        <v>1700</v>
      </c>
      <c r="S172" s="11">
        <v>0.72</v>
      </c>
      <c r="T172" s="23">
        <v>0.88</v>
      </c>
      <c r="U172" s="11">
        <f t="shared" si="19"/>
        <v>0.91999999999999993</v>
      </c>
      <c r="V172" s="24">
        <f t="shared" si="20"/>
        <v>0.86943999999999999</v>
      </c>
      <c r="W172" s="4"/>
      <c r="X172" s="54"/>
      <c r="Y172" s="34">
        <v>0.98799999999999999</v>
      </c>
      <c r="Z172" s="54">
        <v>9.1093117408906882E-2</v>
      </c>
      <c r="AA172" s="54" t="b">
        <f t="shared" si="14"/>
        <v>1</v>
      </c>
      <c r="AB172" s="54" t="b">
        <f t="shared" si="15"/>
        <v>0</v>
      </c>
      <c r="AC172" s="54" t="b">
        <f t="shared" si="16"/>
        <v>0</v>
      </c>
    </row>
    <row r="173" spans="1:29" x14ac:dyDescent="0.25">
      <c r="A173" s="1" t="s">
        <v>1444</v>
      </c>
      <c r="B173" s="1" t="s">
        <v>1695</v>
      </c>
      <c r="C173" s="23">
        <v>0.9840075258701787</v>
      </c>
      <c r="D173" s="11">
        <v>0.18</v>
      </c>
      <c r="E173" s="1"/>
      <c r="F173" s="1"/>
      <c r="G173" s="1"/>
      <c r="H173" s="1"/>
      <c r="I173" s="1"/>
      <c r="J173" s="1"/>
      <c r="K173" s="23">
        <v>1</v>
      </c>
      <c r="L173" s="11">
        <f t="shared" si="17"/>
        <v>0.18</v>
      </c>
      <c r="M173" s="23">
        <f t="shared" si="18"/>
        <v>0.9840075258701787</v>
      </c>
      <c r="N173" s="1" t="s">
        <v>1696</v>
      </c>
      <c r="O173" s="1" t="s">
        <v>1696</v>
      </c>
      <c r="P173" s="1"/>
      <c r="Q173" s="1" t="s">
        <v>1696</v>
      </c>
      <c r="R173" s="1" t="s">
        <v>1700</v>
      </c>
      <c r="S173" s="11">
        <v>0.55000000000000004</v>
      </c>
      <c r="T173" s="23">
        <v>0.860759493670886</v>
      </c>
      <c r="U173" s="11">
        <f t="shared" si="19"/>
        <v>0.73</v>
      </c>
      <c r="V173" s="24">
        <f t="shared" si="20"/>
        <v>0.84699381973635623</v>
      </c>
      <c r="W173" s="4"/>
      <c r="X173" s="54"/>
      <c r="Y173" s="34">
        <v>0.9840075258701787</v>
      </c>
      <c r="Z173" s="54">
        <v>7.6481835564053538E-2</v>
      </c>
      <c r="AA173" s="54" t="b">
        <f t="shared" si="14"/>
        <v>1</v>
      </c>
      <c r="AB173" s="54" t="b">
        <f t="shared" si="15"/>
        <v>0</v>
      </c>
      <c r="AC173" s="54" t="b">
        <f t="shared" si="16"/>
        <v>0</v>
      </c>
    </row>
    <row r="174" spans="1:29" x14ac:dyDescent="0.25">
      <c r="A174" s="1" t="s">
        <v>1393</v>
      </c>
      <c r="B174" s="1" t="s">
        <v>1695</v>
      </c>
      <c r="C174" s="23">
        <v>0.97142857142857142</v>
      </c>
      <c r="D174" s="11">
        <f>52/60</f>
        <v>0.8666666666666667</v>
      </c>
      <c r="E174" s="1" t="s">
        <v>1696</v>
      </c>
      <c r="F174" s="1" t="s">
        <v>1696</v>
      </c>
      <c r="G174" s="1"/>
      <c r="H174" s="1" t="s">
        <v>1696</v>
      </c>
      <c r="I174" s="1" t="s">
        <v>1700</v>
      </c>
      <c r="J174" s="11">
        <v>0.75</v>
      </c>
      <c r="K174" s="24">
        <v>0.92281879194630867</v>
      </c>
      <c r="L174" s="11">
        <f t="shared" si="17"/>
        <v>1.6166666666666667</v>
      </c>
      <c r="M174" s="23">
        <f t="shared" si="18"/>
        <v>0.89645254074784275</v>
      </c>
      <c r="N174" s="1" t="s">
        <v>1696</v>
      </c>
      <c r="O174" s="1" t="s">
        <v>1696</v>
      </c>
      <c r="P174" s="1"/>
      <c r="Q174" s="1" t="s">
        <v>1696</v>
      </c>
      <c r="R174" s="1" t="s">
        <v>1700</v>
      </c>
      <c r="S174" s="11">
        <v>0.8</v>
      </c>
      <c r="T174" s="23">
        <v>0.92281879194630867</v>
      </c>
      <c r="U174" s="11">
        <f t="shared" si="19"/>
        <v>1.6666666666666667</v>
      </c>
      <c r="V174" s="24">
        <f t="shared" si="20"/>
        <v>0.89645254074784275</v>
      </c>
      <c r="W174" s="4"/>
      <c r="X174" s="54"/>
      <c r="Y174" s="34">
        <v>0.97142857142857142</v>
      </c>
      <c r="Z174" s="54">
        <v>0.11029411764705882</v>
      </c>
      <c r="AA174" s="54" t="b">
        <f t="shared" si="14"/>
        <v>1</v>
      </c>
      <c r="AB174" s="54" t="b">
        <f t="shared" si="15"/>
        <v>0</v>
      </c>
      <c r="AC174" s="54" t="b">
        <f t="shared" si="16"/>
        <v>1</v>
      </c>
    </row>
    <row r="175" spans="1:29" x14ac:dyDescent="0.25">
      <c r="A175" s="1" t="s">
        <v>1440</v>
      </c>
      <c r="B175" s="1" t="s">
        <v>1695</v>
      </c>
      <c r="C175" s="23">
        <v>0.9840075258701787</v>
      </c>
      <c r="D175" s="11">
        <v>0.18</v>
      </c>
      <c r="E175" s="1"/>
      <c r="F175" s="1"/>
      <c r="G175" s="1"/>
      <c r="H175" s="1"/>
      <c r="I175" s="1"/>
      <c r="J175" s="1"/>
      <c r="K175" s="23">
        <v>1</v>
      </c>
      <c r="L175" s="11">
        <f t="shared" si="17"/>
        <v>0.18</v>
      </c>
      <c r="M175" s="23">
        <f t="shared" si="18"/>
        <v>0.9840075258701787</v>
      </c>
      <c r="N175" s="1" t="s">
        <v>1696</v>
      </c>
      <c r="O175" s="1" t="s">
        <v>1696</v>
      </c>
      <c r="P175" s="1"/>
      <c r="Q175" s="1" t="s">
        <v>1696</v>
      </c>
      <c r="R175" s="1" t="s">
        <v>1700</v>
      </c>
      <c r="S175" s="11">
        <v>0.55000000000000004</v>
      </c>
      <c r="T175" s="23">
        <v>0.90701219512195119</v>
      </c>
      <c r="U175" s="11">
        <f t="shared" si="19"/>
        <v>0.73</v>
      </c>
      <c r="V175" s="24">
        <f t="shared" si="20"/>
        <v>0.89250682605603093</v>
      </c>
      <c r="W175" s="4"/>
      <c r="X175" s="54"/>
      <c r="Y175" s="34">
        <v>0.9840075258701787</v>
      </c>
      <c r="Z175" s="54">
        <v>7.6481835564053538E-2</v>
      </c>
      <c r="AA175" s="54" t="b">
        <f t="shared" si="14"/>
        <v>1</v>
      </c>
      <c r="AB175" s="54" t="b">
        <f t="shared" si="15"/>
        <v>0</v>
      </c>
      <c r="AC175" s="54" t="b">
        <f t="shared" si="16"/>
        <v>0</v>
      </c>
    </row>
    <row r="176" spans="1:29" x14ac:dyDescent="0.25">
      <c r="A176" s="1" t="s">
        <v>1542</v>
      </c>
      <c r="B176" s="1" t="s">
        <v>1695</v>
      </c>
      <c r="C176" s="29">
        <v>0.49375000000000002</v>
      </c>
      <c r="D176" s="11">
        <v>10.021097046413502</v>
      </c>
      <c r="E176" s="1" t="s">
        <v>1696</v>
      </c>
      <c r="F176" s="1"/>
      <c r="G176" s="1"/>
      <c r="H176" s="1"/>
      <c r="I176" s="1"/>
      <c r="J176" s="1"/>
      <c r="K176" s="23">
        <v>1</v>
      </c>
      <c r="L176" s="11">
        <f t="shared" si="17"/>
        <v>10.021097046413502</v>
      </c>
      <c r="M176" s="23">
        <f t="shared" si="18"/>
        <v>0.49375000000000002</v>
      </c>
      <c r="N176" s="1"/>
      <c r="O176" s="1"/>
      <c r="P176" s="1"/>
      <c r="Q176" s="1"/>
      <c r="R176" s="1"/>
      <c r="S176" s="1"/>
      <c r="T176" s="23">
        <v>1</v>
      </c>
      <c r="U176" s="11">
        <f t="shared" si="19"/>
        <v>10.021097046413502</v>
      </c>
      <c r="V176" s="24">
        <f t="shared" si="20"/>
        <v>0.49375000000000002</v>
      </c>
      <c r="W176" s="4"/>
      <c r="X176" s="54"/>
      <c r="Y176" s="34">
        <v>0.49375000000000002</v>
      </c>
      <c r="Z176" s="54">
        <v>10.021097046413502</v>
      </c>
      <c r="AA176" s="54" t="b">
        <f t="shared" si="14"/>
        <v>1</v>
      </c>
      <c r="AB176" s="54" t="b">
        <f t="shared" si="15"/>
        <v>1</v>
      </c>
      <c r="AC176" s="54" t="b">
        <f t="shared" si="16"/>
        <v>1</v>
      </c>
    </row>
    <row r="177" spans="1:29" x14ac:dyDescent="0.25">
      <c r="A177" s="1" t="s">
        <v>1381</v>
      </c>
      <c r="B177" s="1" t="s">
        <v>1695</v>
      </c>
      <c r="C177" s="23">
        <v>0.46641791044776115</v>
      </c>
      <c r="D177" s="11">
        <v>4.8666666666666663</v>
      </c>
      <c r="E177" s="1"/>
      <c r="F177" s="1"/>
      <c r="G177" s="1"/>
      <c r="H177" s="1"/>
      <c r="I177" s="1"/>
      <c r="J177" s="1"/>
      <c r="K177" s="23">
        <v>1</v>
      </c>
      <c r="L177" s="11">
        <f t="shared" si="17"/>
        <v>4.8666666666666663</v>
      </c>
      <c r="M177" s="23">
        <f t="shared" si="18"/>
        <v>0.46641791044776115</v>
      </c>
      <c r="N177" s="1" t="s">
        <v>1696</v>
      </c>
      <c r="O177" s="1" t="s">
        <v>1696</v>
      </c>
      <c r="P177" s="1"/>
      <c r="Q177" s="1"/>
      <c r="R177" s="1" t="s">
        <v>1700</v>
      </c>
      <c r="S177" s="11">
        <v>5.5555555555555559E-2</v>
      </c>
      <c r="T177" s="23">
        <v>1</v>
      </c>
      <c r="U177" s="11">
        <f t="shared" si="19"/>
        <v>4.9222222222222216</v>
      </c>
      <c r="V177" s="24">
        <f t="shared" si="20"/>
        <v>0.46641791044776115</v>
      </c>
      <c r="W177" s="4">
        <v>4.92</v>
      </c>
      <c r="X177" s="54">
        <v>0.47</v>
      </c>
      <c r="Y177" s="34">
        <v>0.46641791044776115</v>
      </c>
      <c r="Z177" s="54">
        <v>4.8666666666666663</v>
      </c>
      <c r="AA177" s="54" t="b">
        <f t="shared" si="14"/>
        <v>1</v>
      </c>
      <c r="AB177" s="54" t="b">
        <f t="shared" si="15"/>
        <v>1</v>
      </c>
      <c r="AC177" s="54" t="b">
        <f t="shared" si="16"/>
        <v>1</v>
      </c>
    </row>
    <row r="178" spans="1:29" x14ac:dyDescent="0.25">
      <c r="A178" s="25" t="s">
        <v>1377</v>
      </c>
      <c r="B178" s="25" t="s">
        <v>1879</v>
      </c>
      <c r="C178" s="26">
        <v>0.75</v>
      </c>
      <c r="D178" s="33">
        <v>3</v>
      </c>
      <c r="E178" s="1"/>
      <c r="F178" s="1"/>
      <c r="G178" s="1"/>
      <c r="H178" s="1"/>
      <c r="I178" s="1"/>
      <c r="J178" s="1"/>
      <c r="K178" s="23">
        <v>1</v>
      </c>
      <c r="L178" s="11">
        <f t="shared" si="17"/>
        <v>3</v>
      </c>
      <c r="M178" s="23">
        <f t="shared" si="18"/>
        <v>0.75</v>
      </c>
      <c r="N178" s="1" t="s">
        <v>1696</v>
      </c>
      <c r="O178" s="1"/>
      <c r="P178" s="1" t="s">
        <v>1703</v>
      </c>
      <c r="Q178" s="1"/>
      <c r="R178" s="1" t="s">
        <v>1700</v>
      </c>
      <c r="S178" s="1">
        <v>0.1</v>
      </c>
      <c r="T178" s="23">
        <v>1</v>
      </c>
      <c r="U178" s="11">
        <f t="shared" si="19"/>
        <v>3.1</v>
      </c>
      <c r="V178" s="24">
        <f t="shared" si="20"/>
        <v>0.75</v>
      </c>
      <c r="W178" s="4"/>
      <c r="X178" s="54"/>
      <c r="Y178" s="34">
        <v>0</v>
      </c>
      <c r="Z178" s="54">
        <v>0</v>
      </c>
      <c r="AA178" s="54" t="b">
        <f t="shared" si="14"/>
        <v>0</v>
      </c>
      <c r="AB178" s="54" t="b">
        <f t="shared" si="15"/>
        <v>0</v>
      </c>
      <c r="AC178" s="54" t="b">
        <f t="shared" si="16"/>
        <v>1</v>
      </c>
    </row>
    <row r="179" spans="1:29" x14ac:dyDescent="0.25">
      <c r="A179" s="1" t="s">
        <v>1470</v>
      </c>
      <c r="B179" s="1" t="s">
        <v>1695</v>
      </c>
      <c r="C179" s="23">
        <v>0.67272727272727262</v>
      </c>
      <c r="D179" s="11">
        <v>3.5360360360360361</v>
      </c>
      <c r="E179" s="1" t="s">
        <v>1696</v>
      </c>
      <c r="F179" s="1"/>
      <c r="G179" s="1"/>
      <c r="H179" s="1"/>
      <c r="I179" s="1"/>
      <c r="J179" s="1"/>
      <c r="K179" s="23">
        <v>1</v>
      </c>
      <c r="L179" s="11">
        <f t="shared" si="17"/>
        <v>3.5360360360360361</v>
      </c>
      <c r="M179" s="23">
        <f t="shared" si="18"/>
        <v>0.67272727272727262</v>
      </c>
      <c r="N179" s="1"/>
      <c r="O179" s="1"/>
      <c r="P179" s="1"/>
      <c r="Q179" s="1"/>
      <c r="R179" s="1"/>
      <c r="S179" s="1"/>
      <c r="T179" s="23">
        <v>1</v>
      </c>
      <c r="U179" s="11">
        <f t="shared" si="19"/>
        <v>3.5360360360360361</v>
      </c>
      <c r="V179" s="24">
        <f t="shared" si="20"/>
        <v>0.67272727272727262</v>
      </c>
      <c r="W179" s="4"/>
      <c r="X179" s="54"/>
      <c r="Y179" s="34">
        <v>0.67272727272727262</v>
      </c>
      <c r="Z179" s="54">
        <v>3.5360360360360361</v>
      </c>
      <c r="AA179" s="54" t="b">
        <f t="shared" si="14"/>
        <v>1</v>
      </c>
      <c r="AB179" s="54" t="b">
        <f t="shared" si="15"/>
        <v>1</v>
      </c>
      <c r="AC179" s="54" t="b">
        <f t="shared" si="16"/>
        <v>1</v>
      </c>
    </row>
    <row r="180" spans="1:29" x14ac:dyDescent="0.25">
      <c r="A180" s="1" t="s">
        <v>1392</v>
      </c>
      <c r="B180" s="1" t="s">
        <v>1695</v>
      </c>
      <c r="C180" s="23">
        <v>0.61352890089742362</v>
      </c>
      <c r="D180" s="11">
        <v>5.6</v>
      </c>
      <c r="E180" s="1"/>
      <c r="F180" s="1"/>
      <c r="G180" s="1"/>
      <c r="H180" s="1"/>
      <c r="I180" s="1"/>
      <c r="J180" s="1"/>
      <c r="K180" s="23">
        <v>1</v>
      </c>
      <c r="L180" s="11">
        <f t="shared" si="17"/>
        <v>5.6</v>
      </c>
      <c r="M180" s="23">
        <f t="shared" si="18"/>
        <v>0.61352890089742362</v>
      </c>
      <c r="N180" s="1" t="s">
        <v>1696</v>
      </c>
      <c r="O180" s="1" t="s">
        <v>1696</v>
      </c>
      <c r="P180" s="1"/>
      <c r="Q180" s="1"/>
      <c r="R180" s="1" t="s">
        <v>1700</v>
      </c>
      <c r="S180" s="11">
        <v>6.0975609756097567E-2</v>
      </c>
      <c r="T180" s="23">
        <v>1</v>
      </c>
      <c r="U180" s="11">
        <f t="shared" si="19"/>
        <v>5.6609756097560968</v>
      </c>
      <c r="V180" s="24">
        <f t="shared" si="20"/>
        <v>0.61352890089742362</v>
      </c>
      <c r="W180" s="4"/>
      <c r="X180" s="54"/>
      <c r="Y180" s="34">
        <v>0.61352890089742362</v>
      </c>
      <c r="Z180" s="54">
        <v>6.880570409982175</v>
      </c>
      <c r="AA180" s="54" t="b">
        <f t="shared" si="14"/>
        <v>1</v>
      </c>
      <c r="AB180" s="54" t="b">
        <f t="shared" si="15"/>
        <v>0</v>
      </c>
      <c r="AC180" s="54" t="b">
        <f t="shared" si="16"/>
        <v>1</v>
      </c>
    </row>
    <row r="181" spans="1:29" x14ac:dyDescent="0.25">
      <c r="A181" s="1" t="s">
        <v>1376</v>
      </c>
      <c r="B181" s="1" t="s">
        <v>1695</v>
      </c>
      <c r="C181" s="23">
        <v>0.56310679611650483</v>
      </c>
      <c r="D181" s="11">
        <v>7.5344827586206904</v>
      </c>
      <c r="E181" s="1" t="s">
        <v>1696</v>
      </c>
      <c r="F181" s="1"/>
      <c r="G181" s="1" t="s">
        <v>1696</v>
      </c>
      <c r="H181" s="1"/>
      <c r="I181" s="1" t="s">
        <v>1698</v>
      </c>
      <c r="J181" s="1">
        <v>0.1</v>
      </c>
      <c r="K181" s="23">
        <v>1</v>
      </c>
      <c r="L181" s="11">
        <f t="shared" si="17"/>
        <v>7.63448275862069</v>
      </c>
      <c r="M181" s="23">
        <f t="shared" si="18"/>
        <v>0.56310679611650483</v>
      </c>
      <c r="N181" s="1" t="s">
        <v>1696</v>
      </c>
      <c r="O181" s="1"/>
      <c r="P181" s="1" t="s">
        <v>1696</v>
      </c>
      <c r="Q181" s="1"/>
      <c r="R181" s="1" t="s">
        <v>1698</v>
      </c>
      <c r="S181" s="1">
        <v>0.1</v>
      </c>
      <c r="T181" s="23">
        <v>1</v>
      </c>
      <c r="U181" s="11">
        <f t="shared" si="19"/>
        <v>7.63448275862069</v>
      </c>
      <c r="V181" s="24">
        <f t="shared" si="20"/>
        <v>0.56310679611650483</v>
      </c>
      <c r="W181" s="4">
        <v>7.63</v>
      </c>
      <c r="X181" s="54">
        <v>0.56000000000000005</v>
      </c>
      <c r="Y181" s="34">
        <v>0.56310679611650483</v>
      </c>
      <c r="Z181" s="54">
        <v>7.5344827586206904</v>
      </c>
      <c r="AA181" s="54" t="b">
        <f t="shared" si="14"/>
        <v>1</v>
      </c>
      <c r="AB181" s="54" t="b">
        <f t="shared" si="15"/>
        <v>1</v>
      </c>
      <c r="AC181" s="54" t="b">
        <f t="shared" si="16"/>
        <v>1</v>
      </c>
    </row>
    <row r="182" spans="1:29" x14ac:dyDescent="0.25">
      <c r="A182" s="1" t="s">
        <v>1670</v>
      </c>
      <c r="B182" s="1" t="s">
        <v>1695</v>
      </c>
      <c r="C182" s="23">
        <v>0.55242718446601946</v>
      </c>
      <c r="D182" s="11">
        <v>7.6801405975395429</v>
      </c>
      <c r="E182" s="1"/>
      <c r="F182" s="1"/>
      <c r="G182" s="1"/>
      <c r="H182" s="1"/>
      <c r="I182" s="1"/>
      <c r="J182" s="1"/>
      <c r="K182" s="23">
        <v>1</v>
      </c>
      <c r="L182" s="11">
        <f t="shared" si="17"/>
        <v>7.6801405975395429</v>
      </c>
      <c r="M182" s="23">
        <f t="shared" si="18"/>
        <v>0.55242718446601946</v>
      </c>
      <c r="N182" s="1" t="s">
        <v>1696</v>
      </c>
      <c r="O182" s="1"/>
      <c r="P182" s="1" t="s">
        <v>1703</v>
      </c>
      <c r="Q182" s="1"/>
      <c r="R182" s="1" t="s">
        <v>1698</v>
      </c>
      <c r="S182" s="1">
        <v>0.1</v>
      </c>
      <c r="T182" s="23">
        <v>1</v>
      </c>
      <c r="U182" s="11">
        <f t="shared" si="19"/>
        <v>7.7801405975395426</v>
      </c>
      <c r="V182" s="24">
        <f t="shared" si="20"/>
        <v>0.55242718446601946</v>
      </c>
      <c r="W182" s="4"/>
      <c r="X182" s="54"/>
      <c r="Y182" s="34">
        <v>0.55242718446601946</v>
      </c>
      <c r="Z182" s="54">
        <v>7.6801405975395429</v>
      </c>
      <c r="AA182" s="54" t="b">
        <f t="shared" si="14"/>
        <v>1</v>
      </c>
      <c r="AB182" s="54" t="b">
        <f t="shared" si="15"/>
        <v>1</v>
      </c>
      <c r="AC182" s="54" t="b">
        <f t="shared" si="16"/>
        <v>1</v>
      </c>
    </row>
    <row r="183" spans="1:29" x14ac:dyDescent="0.25">
      <c r="A183" s="1" t="s">
        <v>1346</v>
      </c>
      <c r="B183" s="1" t="s">
        <v>1695</v>
      </c>
      <c r="C183" s="23">
        <v>0.66601941747572801</v>
      </c>
      <c r="D183" s="11">
        <v>2.806122448979592</v>
      </c>
      <c r="E183" s="1"/>
      <c r="F183" s="1"/>
      <c r="G183" s="1"/>
      <c r="H183" s="1"/>
      <c r="I183" s="1"/>
      <c r="J183" s="1"/>
      <c r="K183" s="23">
        <v>1</v>
      </c>
      <c r="L183" s="11">
        <f t="shared" si="17"/>
        <v>2.806122448979592</v>
      </c>
      <c r="M183" s="23">
        <f t="shared" si="18"/>
        <v>0.66601941747572801</v>
      </c>
      <c r="N183" s="1" t="s">
        <v>1696</v>
      </c>
      <c r="O183" s="1"/>
      <c r="P183" s="1" t="s">
        <v>1696</v>
      </c>
      <c r="Q183" s="1"/>
      <c r="R183" s="1" t="s">
        <v>1698</v>
      </c>
      <c r="S183" s="1">
        <v>0.1</v>
      </c>
      <c r="T183" s="23">
        <v>1</v>
      </c>
      <c r="U183" s="11">
        <f t="shared" si="19"/>
        <v>2.906122448979592</v>
      </c>
      <c r="V183" s="24">
        <f t="shared" si="20"/>
        <v>0.66601941747572801</v>
      </c>
      <c r="W183" s="4"/>
      <c r="X183" s="54"/>
      <c r="Y183" s="34">
        <v>0.66601941747572801</v>
      </c>
      <c r="Z183" s="54">
        <v>2.806122448979592</v>
      </c>
      <c r="AA183" s="54" t="b">
        <f t="shared" si="14"/>
        <v>1</v>
      </c>
      <c r="AB183" s="54" t="b">
        <f t="shared" si="15"/>
        <v>1</v>
      </c>
      <c r="AC183" s="54" t="b">
        <f t="shared" si="16"/>
        <v>1</v>
      </c>
    </row>
    <row r="184" spans="1:29" x14ac:dyDescent="0.25">
      <c r="A184" s="1" t="s">
        <v>1454</v>
      </c>
      <c r="B184" s="1" t="s">
        <v>1695</v>
      </c>
      <c r="C184" s="23">
        <v>0.67961165048543681</v>
      </c>
      <c r="D184" s="11">
        <v>2.6071428571428572</v>
      </c>
      <c r="E184" s="1"/>
      <c r="F184" s="1"/>
      <c r="G184" s="1"/>
      <c r="H184" s="1"/>
      <c r="I184" s="1"/>
      <c r="J184" s="1"/>
      <c r="K184" s="23">
        <v>1</v>
      </c>
      <c r="L184" s="11">
        <f t="shared" si="17"/>
        <v>2.6071428571428572</v>
      </c>
      <c r="M184" s="23">
        <f t="shared" si="18"/>
        <v>0.67961165048543681</v>
      </c>
      <c r="N184" s="1" t="s">
        <v>1696</v>
      </c>
      <c r="O184" s="1"/>
      <c r="P184" s="1" t="s">
        <v>1696</v>
      </c>
      <c r="Q184" s="1"/>
      <c r="R184" s="1" t="s">
        <v>1698</v>
      </c>
      <c r="S184" s="1">
        <v>0.1</v>
      </c>
      <c r="T184" s="23">
        <v>1</v>
      </c>
      <c r="U184" s="11">
        <f t="shared" si="19"/>
        <v>2.7071428571428573</v>
      </c>
      <c r="V184" s="24">
        <f t="shared" si="20"/>
        <v>0.67961165048543681</v>
      </c>
      <c r="W184" s="4"/>
      <c r="X184" s="54"/>
      <c r="Y184" s="34">
        <v>0.67961165048543681</v>
      </c>
      <c r="Z184" s="54">
        <v>2.6071428571428572</v>
      </c>
      <c r="AA184" s="54" t="b">
        <f t="shared" si="14"/>
        <v>1</v>
      </c>
      <c r="AB184" s="54" t="b">
        <f t="shared" si="15"/>
        <v>1</v>
      </c>
      <c r="AC184" s="54" t="b">
        <f t="shared" si="16"/>
        <v>1</v>
      </c>
    </row>
    <row r="185" spans="1:29" x14ac:dyDescent="0.25">
      <c r="A185" s="1" t="s">
        <v>1457</v>
      </c>
      <c r="B185" s="1" t="s">
        <v>1695</v>
      </c>
      <c r="C185" s="23">
        <v>0.67961165048543681</v>
      </c>
      <c r="D185" s="11">
        <v>2.833333333333333</v>
      </c>
      <c r="E185" s="1"/>
      <c r="F185" s="1"/>
      <c r="G185" s="1"/>
      <c r="H185" s="1"/>
      <c r="I185" s="1"/>
      <c r="J185" s="1"/>
      <c r="K185" s="23">
        <v>1</v>
      </c>
      <c r="L185" s="11">
        <f t="shared" si="17"/>
        <v>2.833333333333333</v>
      </c>
      <c r="M185" s="23">
        <f t="shared" si="18"/>
        <v>0.67961165048543681</v>
      </c>
      <c r="N185" s="1" t="s">
        <v>1696</v>
      </c>
      <c r="O185" s="1"/>
      <c r="P185" s="1" t="s">
        <v>1696</v>
      </c>
      <c r="Q185" s="1"/>
      <c r="R185" s="1" t="s">
        <v>1698</v>
      </c>
      <c r="S185" s="1">
        <v>0.1</v>
      </c>
      <c r="T185" s="23">
        <v>1</v>
      </c>
      <c r="U185" s="11">
        <f t="shared" si="19"/>
        <v>2.9333333333333331</v>
      </c>
      <c r="V185" s="24">
        <f t="shared" si="20"/>
        <v>0.67961165048543681</v>
      </c>
      <c r="W185" s="4"/>
      <c r="X185" s="54"/>
      <c r="Y185" s="34">
        <v>0.67961165048543681</v>
      </c>
      <c r="Z185" s="54">
        <v>2.833333333333333</v>
      </c>
      <c r="AA185" s="54" t="b">
        <f t="shared" si="14"/>
        <v>1</v>
      </c>
      <c r="AB185" s="54" t="b">
        <f t="shared" si="15"/>
        <v>1</v>
      </c>
      <c r="AC185" s="54" t="b">
        <f t="shared" si="16"/>
        <v>1</v>
      </c>
    </row>
    <row r="186" spans="1:29" x14ac:dyDescent="0.25">
      <c r="A186" s="1" t="s">
        <v>1628</v>
      </c>
      <c r="B186" s="1" t="s">
        <v>1695</v>
      </c>
      <c r="C186" s="29">
        <v>0.59</v>
      </c>
      <c r="D186" s="11">
        <v>6.3841807909604524</v>
      </c>
      <c r="E186" s="1" t="s">
        <v>1696</v>
      </c>
      <c r="F186" s="1"/>
      <c r="G186" s="1" t="s">
        <v>1696</v>
      </c>
      <c r="H186" s="1"/>
      <c r="I186" s="1" t="s">
        <v>1698</v>
      </c>
      <c r="J186" s="1">
        <v>0.1</v>
      </c>
      <c r="K186" s="23">
        <v>1</v>
      </c>
      <c r="L186" s="11">
        <f t="shared" si="17"/>
        <v>6.4841807909604521</v>
      </c>
      <c r="M186" s="23">
        <f t="shared" si="18"/>
        <v>0.59</v>
      </c>
      <c r="N186" s="1"/>
      <c r="O186" s="1"/>
      <c r="P186" s="1"/>
      <c r="Q186" s="1"/>
      <c r="R186" s="1"/>
      <c r="S186" s="1"/>
      <c r="T186" s="23">
        <v>1</v>
      </c>
      <c r="U186" s="11">
        <f t="shared" si="19"/>
        <v>6.3841807909604524</v>
      </c>
      <c r="V186" s="24">
        <f t="shared" si="20"/>
        <v>0.59</v>
      </c>
      <c r="W186" s="4"/>
      <c r="X186" s="54"/>
      <c r="Y186" s="34">
        <v>0.59</v>
      </c>
      <c r="Z186" s="54">
        <v>6.3841807909604524</v>
      </c>
      <c r="AA186" s="54" t="b">
        <f t="shared" si="14"/>
        <v>1</v>
      </c>
      <c r="AB186" s="54" t="b">
        <f t="shared" si="15"/>
        <v>1</v>
      </c>
      <c r="AC186" s="54" t="b">
        <f t="shared" si="16"/>
        <v>1</v>
      </c>
    </row>
    <row r="187" spans="1:29" x14ac:dyDescent="0.25">
      <c r="A187" s="1" t="s">
        <v>1543</v>
      </c>
      <c r="B187" s="1" t="s">
        <v>1695</v>
      </c>
      <c r="C187" s="23">
        <v>0.67961165048543681</v>
      </c>
      <c r="D187" s="11">
        <v>2.6071428571428572</v>
      </c>
      <c r="E187" s="1" t="s">
        <v>1696</v>
      </c>
      <c r="F187" s="1"/>
      <c r="G187" s="1" t="s">
        <v>1696</v>
      </c>
      <c r="H187" s="1"/>
      <c r="I187" s="1" t="s">
        <v>1698</v>
      </c>
      <c r="J187" s="1">
        <v>0.1</v>
      </c>
      <c r="K187" s="23">
        <v>1</v>
      </c>
      <c r="L187" s="11">
        <f t="shared" si="17"/>
        <v>2.7071428571428573</v>
      </c>
      <c r="M187" s="23">
        <f t="shared" si="18"/>
        <v>0.67961165048543681</v>
      </c>
      <c r="N187" s="1"/>
      <c r="O187" s="1"/>
      <c r="P187" s="1"/>
      <c r="Q187" s="1"/>
      <c r="R187" s="1"/>
      <c r="S187" s="1"/>
      <c r="T187" s="23">
        <v>1</v>
      </c>
      <c r="U187" s="11">
        <f t="shared" si="19"/>
        <v>2.6071428571428572</v>
      </c>
      <c r="V187" s="24">
        <f t="shared" si="20"/>
        <v>0.67961165048543681</v>
      </c>
      <c r="W187" s="4"/>
      <c r="X187" s="54"/>
      <c r="Y187" s="34">
        <v>0.67961165048543681</v>
      </c>
      <c r="Z187" s="54">
        <v>2.6071428571428572</v>
      </c>
      <c r="AA187" s="54" t="b">
        <f t="shared" si="14"/>
        <v>1</v>
      </c>
      <c r="AB187" s="54" t="b">
        <f t="shared" si="15"/>
        <v>1</v>
      </c>
      <c r="AC187" s="54" t="b">
        <f t="shared" si="16"/>
        <v>1</v>
      </c>
    </row>
    <row r="188" spans="1:29" x14ac:dyDescent="0.25">
      <c r="A188" s="1" t="s">
        <v>1609</v>
      </c>
      <c r="B188" s="1" t="s">
        <v>1695</v>
      </c>
      <c r="C188" s="23">
        <v>0.73404255319148937</v>
      </c>
      <c r="D188" s="11">
        <v>12.318840579710146</v>
      </c>
      <c r="E188" s="1"/>
      <c r="F188" s="1"/>
      <c r="G188" s="1"/>
      <c r="H188" s="1"/>
      <c r="I188" s="1"/>
      <c r="J188" s="1"/>
      <c r="K188" s="23">
        <v>1</v>
      </c>
      <c r="L188" s="11">
        <f t="shared" si="17"/>
        <v>12.318840579710146</v>
      </c>
      <c r="M188" s="23">
        <f t="shared" si="18"/>
        <v>0.73404255319148937</v>
      </c>
      <c r="N188" s="1" t="s">
        <v>1696</v>
      </c>
      <c r="O188" s="1"/>
      <c r="P188" s="1"/>
      <c r="Q188" s="1"/>
      <c r="R188" s="1"/>
      <c r="S188" s="1"/>
      <c r="T188" s="23">
        <v>1</v>
      </c>
      <c r="U188" s="11">
        <f t="shared" si="19"/>
        <v>12.318840579710146</v>
      </c>
      <c r="V188" s="24">
        <f t="shared" si="20"/>
        <v>0.73404255319148937</v>
      </c>
      <c r="W188" s="4"/>
      <c r="X188" s="54"/>
      <c r="Y188" s="34">
        <v>0.73404255319148937</v>
      </c>
      <c r="Z188" s="54">
        <v>12.318840579710146</v>
      </c>
      <c r="AA188" s="54" t="b">
        <f t="shared" si="14"/>
        <v>1</v>
      </c>
      <c r="AB188" s="54" t="b">
        <f t="shared" si="15"/>
        <v>1</v>
      </c>
      <c r="AC188" s="54" t="b">
        <f t="shared" si="16"/>
        <v>1</v>
      </c>
    </row>
    <row r="189" spans="1:29" x14ac:dyDescent="0.25">
      <c r="A189" s="1" t="s">
        <v>1655</v>
      </c>
      <c r="B189" s="1" t="s">
        <v>1695</v>
      </c>
      <c r="C189" s="23">
        <v>0.7069767441860465</v>
      </c>
      <c r="D189" s="11">
        <v>12.171052631578947</v>
      </c>
      <c r="E189" s="1" t="s">
        <v>1696</v>
      </c>
      <c r="F189" s="1"/>
      <c r="G189" s="1"/>
      <c r="H189" s="1"/>
      <c r="I189" s="1"/>
      <c r="J189" s="1"/>
      <c r="K189" s="23">
        <v>1</v>
      </c>
      <c r="L189" s="11">
        <f t="shared" si="17"/>
        <v>12.171052631578947</v>
      </c>
      <c r="M189" s="23">
        <f t="shared" si="18"/>
        <v>0.7069767441860465</v>
      </c>
      <c r="N189" s="1"/>
      <c r="O189" s="1"/>
      <c r="P189" s="1"/>
      <c r="Q189" s="1"/>
      <c r="R189" s="1"/>
      <c r="S189" s="1"/>
      <c r="T189" s="23">
        <v>1</v>
      </c>
      <c r="U189" s="11">
        <f t="shared" si="19"/>
        <v>12.171052631578947</v>
      </c>
      <c r="V189" s="24">
        <f t="shared" si="20"/>
        <v>0.7069767441860465</v>
      </c>
      <c r="W189" s="4"/>
      <c r="X189" s="54"/>
      <c r="Y189" s="34">
        <v>0.7069767441860465</v>
      </c>
      <c r="Z189" s="54">
        <v>12.171052631578947</v>
      </c>
      <c r="AA189" s="54" t="b">
        <f t="shared" si="14"/>
        <v>1</v>
      </c>
      <c r="AB189" s="54" t="b">
        <f t="shared" si="15"/>
        <v>1</v>
      </c>
      <c r="AC189" s="54" t="b">
        <f t="shared" si="16"/>
        <v>1</v>
      </c>
    </row>
    <row r="190" spans="1:29" x14ac:dyDescent="0.25">
      <c r="A190" s="1" t="s">
        <v>1544</v>
      </c>
      <c r="B190" s="1" t="s">
        <v>1695</v>
      </c>
      <c r="C190" s="23">
        <v>0.8059468822170901</v>
      </c>
      <c r="D190" s="11">
        <v>1.0228961960025789</v>
      </c>
      <c r="E190" s="1" t="s">
        <v>1696</v>
      </c>
      <c r="F190" s="1"/>
      <c r="G190" s="1" t="s">
        <v>1696</v>
      </c>
      <c r="H190" s="1" t="s">
        <v>1696</v>
      </c>
      <c r="I190" s="1" t="s">
        <v>1700</v>
      </c>
      <c r="J190" s="1">
        <v>0.25</v>
      </c>
      <c r="K190" s="30">
        <v>0.95</v>
      </c>
      <c r="L190" s="11">
        <f t="shared" si="17"/>
        <v>1.2728961960025789</v>
      </c>
      <c r="M190" s="23">
        <f t="shared" si="18"/>
        <v>0.76564953810623559</v>
      </c>
      <c r="N190" s="1"/>
      <c r="O190" s="1"/>
      <c r="P190" s="1"/>
      <c r="Q190" s="1"/>
      <c r="R190" s="1"/>
      <c r="S190" s="1"/>
      <c r="T190" s="23">
        <v>1</v>
      </c>
      <c r="U190" s="11">
        <f t="shared" si="19"/>
        <v>1.0228961960025789</v>
      </c>
      <c r="V190" s="24">
        <f t="shared" si="20"/>
        <v>0.8059468822170901</v>
      </c>
      <c r="W190" s="4"/>
      <c r="X190" s="54"/>
      <c r="Y190" s="34">
        <v>0.8059468822170901</v>
      </c>
      <c r="Z190" s="54">
        <v>1.0228961960025789</v>
      </c>
      <c r="AA190" s="54" t="b">
        <f t="shared" si="14"/>
        <v>1</v>
      </c>
      <c r="AB190" s="54" t="b">
        <f t="shared" si="15"/>
        <v>1</v>
      </c>
      <c r="AC190" s="54" t="b">
        <f t="shared" si="16"/>
        <v>0</v>
      </c>
    </row>
    <row r="191" spans="1:29" x14ac:dyDescent="0.25">
      <c r="A191" s="1" t="s">
        <v>1412</v>
      </c>
      <c r="B191" s="1" t="s">
        <v>1695</v>
      </c>
      <c r="C191" s="23">
        <v>0.44</v>
      </c>
      <c r="D191" s="33">
        <v>6.25</v>
      </c>
      <c r="E191" s="1" t="s">
        <v>1696</v>
      </c>
      <c r="F191" s="1"/>
      <c r="G191" s="1"/>
      <c r="H191" s="1"/>
      <c r="I191" s="1"/>
      <c r="J191" s="1"/>
      <c r="K191" s="23">
        <v>1</v>
      </c>
      <c r="L191" s="11">
        <f t="shared" si="17"/>
        <v>6.25</v>
      </c>
      <c r="M191" s="23">
        <f t="shared" si="18"/>
        <v>0.44</v>
      </c>
      <c r="N191" s="1" t="s">
        <v>1696</v>
      </c>
      <c r="O191" s="1"/>
      <c r="P191" s="1"/>
      <c r="Q191" s="1"/>
      <c r="R191" s="1"/>
      <c r="S191" s="1"/>
      <c r="T191" s="23">
        <v>1</v>
      </c>
      <c r="U191" s="11">
        <f t="shared" si="19"/>
        <v>6.25</v>
      </c>
      <c r="V191" s="24">
        <f t="shared" si="20"/>
        <v>0.44</v>
      </c>
      <c r="W191" s="4"/>
      <c r="X191" s="54"/>
      <c r="Y191" s="34">
        <v>0.40822610294117645</v>
      </c>
      <c r="Z191" s="54">
        <v>8.7486531255528206</v>
      </c>
      <c r="AA191" s="54" t="b">
        <f t="shared" si="14"/>
        <v>0</v>
      </c>
      <c r="AB191" s="54" t="b">
        <f t="shared" si="15"/>
        <v>0</v>
      </c>
      <c r="AC191" s="54" t="b">
        <f t="shared" si="16"/>
        <v>1</v>
      </c>
    </row>
    <row r="192" spans="1:29" x14ac:dyDescent="0.25">
      <c r="A192" s="1" t="s">
        <v>1398</v>
      </c>
      <c r="B192" s="1" t="s">
        <v>1695</v>
      </c>
      <c r="C192" s="23">
        <v>0.45454545454545459</v>
      </c>
      <c r="D192" s="33">
        <v>6.75</v>
      </c>
      <c r="E192" s="1" t="s">
        <v>1696</v>
      </c>
      <c r="F192" s="1"/>
      <c r="G192" s="1"/>
      <c r="H192" s="1"/>
      <c r="I192" s="1"/>
      <c r="J192" s="1"/>
      <c r="K192" s="23">
        <v>1</v>
      </c>
      <c r="L192" s="11">
        <f t="shared" si="17"/>
        <v>6.75</v>
      </c>
      <c r="M192" s="23">
        <f t="shared" si="18"/>
        <v>0.45454545454545459</v>
      </c>
      <c r="N192" s="1" t="s">
        <v>1696</v>
      </c>
      <c r="O192" s="1"/>
      <c r="P192" s="1"/>
      <c r="Q192" s="1"/>
      <c r="R192" s="1"/>
      <c r="S192" s="1"/>
      <c r="T192" s="23">
        <v>1</v>
      </c>
      <c r="U192" s="11">
        <f t="shared" si="19"/>
        <v>6.75</v>
      </c>
      <c r="V192" s="24">
        <f t="shared" si="20"/>
        <v>0.45454545454545459</v>
      </c>
      <c r="W192" s="4">
        <f>L192</f>
        <v>6.75</v>
      </c>
      <c r="X192" s="54">
        <f>M192</f>
        <v>0.45454545454545459</v>
      </c>
      <c r="Y192" s="34">
        <v>0.45454545454545459</v>
      </c>
      <c r="Z192" s="54">
        <v>6.25</v>
      </c>
      <c r="AA192" s="54" t="b">
        <f t="shared" si="14"/>
        <v>1</v>
      </c>
      <c r="AB192" s="54" t="b">
        <f t="shared" si="15"/>
        <v>0</v>
      </c>
      <c r="AC192" s="54" t="b">
        <f t="shared" si="16"/>
        <v>1</v>
      </c>
    </row>
    <row r="193" spans="1:29" x14ac:dyDescent="0.25">
      <c r="A193" s="1" t="s">
        <v>1545</v>
      </c>
      <c r="B193" s="1" t="s">
        <v>1695</v>
      </c>
      <c r="C193" s="23">
        <v>0.51060661764705872</v>
      </c>
      <c r="D193" s="11">
        <v>4.6981315476833352</v>
      </c>
      <c r="E193" s="1" t="s">
        <v>1696</v>
      </c>
      <c r="F193" s="1"/>
      <c r="G193" s="1" t="s">
        <v>1696</v>
      </c>
      <c r="H193" s="1" t="s">
        <v>1696</v>
      </c>
      <c r="I193" s="1" t="s">
        <v>1700</v>
      </c>
      <c r="J193" s="1">
        <v>0.25</v>
      </c>
      <c r="K193" s="30">
        <v>0.95</v>
      </c>
      <c r="L193" s="11">
        <f t="shared" si="17"/>
        <v>4.9481315476833352</v>
      </c>
      <c r="M193" s="23">
        <f t="shared" si="18"/>
        <v>0.48507628676470577</v>
      </c>
      <c r="N193" s="1"/>
      <c r="O193" s="1"/>
      <c r="P193" s="1"/>
      <c r="Q193" s="1"/>
      <c r="R193" s="1"/>
      <c r="S193" s="1"/>
      <c r="T193" s="23">
        <v>1</v>
      </c>
      <c r="U193" s="11">
        <f t="shared" si="19"/>
        <v>4.6981315476833352</v>
      </c>
      <c r="V193" s="24">
        <f t="shared" si="20"/>
        <v>0.51060661764705872</v>
      </c>
      <c r="W193" s="4"/>
      <c r="X193" s="54"/>
      <c r="Y193" s="34">
        <v>0.51060661764705872</v>
      </c>
      <c r="Z193" s="54">
        <v>4.6981315476833352</v>
      </c>
      <c r="AA193" s="54" t="b">
        <f t="shared" si="14"/>
        <v>1</v>
      </c>
      <c r="AB193" s="54" t="b">
        <f t="shared" si="15"/>
        <v>1</v>
      </c>
      <c r="AC193" s="54" t="b">
        <f t="shared" si="16"/>
        <v>0</v>
      </c>
    </row>
    <row r="194" spans="1:29" x14ac:dyDescent="0.25">
      <c r="A194" s="1" t="s">
        <v>1546</v>
      </c>
      <c r="B194" s="1" t="s">
        <v>1695</v>
      </c>
      <c r="C194" s="23">
        <v>0.51060661764705872</v>
      </c>
      <c r="D194" s="11">
        <v>4.6981315476833352</v>
      </c>
      <c r="E194" s="1" t="s">
        <v>1696</v>
      </c>
      <c r="F194" s="1"/>
      <c r="G194" s="1"/>
      <c r="H194" s="1"/>
      <c r="I194" s="1"/>
      <c r="J194" s="1"/>
      <c r="K194" s="23">
        <v>1</v>
      </c>
      <c r="L194" s="11">
        <f t="shared" si="17"/>
        <v>4.6981315476833352</v>
      </c>
      <c r="M194" s="23">
        <f t="shared" si="18"/>
        <v>0.51060661764705872</v>
      </c>
      <c r="N194" s="1"/>
      <c r="O194" s="1"/>
      <c r="P194" s="1"/>
      <c r="Q194" s="1"/>
      <c r="R194" s="1"/>
      <c r="S194" s="1"/>
      <c r="T194" s="23">
        <v>1</v>
      </c>
      <c r="U194" s="11">
        <f t="shared" si="19"/>
        <v>4.6981315476833352</v>
      </c>
      <c r="V194" s="24">
        <f t="shared" si="20"/>
        <v>0.51060661764705872</v>
      </c>
      <c r="W194" s="4"/>
      <c r="X194" s="54"/>
      <c r="Y194" s="34">
        <v>0.51060661764705872</v>
      </c>
      <c r="Z194" s="54">
        <v>4.6981315476833352</v>
      </c>
      <c r="AA194" s="54" t="b">
        <f t="shared" ref="AA194:AA257" si="21">C194=Y194</f>
        <v>1</v>
      </c>
      <c r="AB194" s="54" t="b">
        <f t="shared" ref="AB194:AB257" si="22">D194=Z194</f>
        <v>1</v>
      </c>
      <c r="AC194" s="54" t="b">
        <f t="shared" ref="AC194:AC258" si="23">V194=M194</f>
        <v>1</v>
      </c>
    </row>
    <row r="195" spans="1:29" x14ac:dyDescent="0.25">
      <c r="A195" s="1" t="s">
        <v>1436</v>
      </c>
      <c r="B195" s="1" t="s">
        <v>1695</v>
      </c>
      <c r="C195" s="23">
        <v>0.82</v>
      </c>
      <c r="D195" s="11">
        <v>0.75934959349593512</v>
      </c>
      <c r="E195" s="1" t="s">
        <v>1696</v>
      </c>
      <c r="F195" s="1" t="s">
        <v>1696</v>
      </c>
      <c r="G195" s="1"/>
      <c r="H195" s="1" t="s">
        <v>1696</v>
      </c>
      <c r="I195" s="1" t="s">
        <v>1700</v>
      </c>
      <c r="J195" s="11">
        <v>0.27169149868536374</v>
      </c>
      <c r="K195" s="24">
        <v>0.92</v>
      </c>
      <c r="L195" s="11">
        <f t="shared" ref="L195:L258" si="24">D195+J195</f>
        <v>1.0310410921812989</v>
      </c>
      <c r="M195" s="23">
        <f t="shared" ref="M195:M258" si="25">C195*K195</f>
        <v>0.75439999999999996</v>
      </c>
      <c r="N195" s="1" t="s">
        <v>1696</v>
      </c>
      <c r="O195" s="1" t="s">
        <v>1696</v>
      </c>
      <c r="P195" s="1"/>
      <c r="Q195" s="1" t="s">
        <v>1696</v>
      </c>
      <c r="R195" s="1" t="s">
        <v>1700</v>
      </c>
      <c r="S195" s="11">
        <v>0.27169149868536374</v>
      </c>
      <c r="T195" s="23">
        <v>0.84959046909903191</v>
      </c>
      <c r="U195" s="11">
        <f t="shared" ref="U195:U258" si="26">S195+D195</f>
        <v>1.0310410921812989</v>
      </c>
      <c r="V195" s="24">
        <f t="shared" ref="V195:V258" si="27">T195*C195</f>
        <v>0.69666418466120617</v>
      </c>
      <c r="W195" s="4">
        <v>1.03</v>
      </c>
      <c r="X195" s="54">
        <v>0.7</v>
      </c>
      <c r="Y195" s="34">
        <v>0.82</v>
      </c>
      <c r="Z195" s="54">
        <v>0.75934959349593512</v>
      </c>
      <c r="AA195" s="54" t="b">
        <f t="shared" si="21"/>
        <v>1</v>
      </c>
      <c r="AB195" s="54" t="b">
        <f t="shared" si="22"/>
        <v>1</v>
      </c>
      <c r="AC195" s="54" t="b">
        <f t="shared" si="23"/>
        <v>0</v>
      </c>
    </row>
    <row r="196" spans="1:29" x14ac:dyDescent="0.25">
      <c r="A196" s="1" t="s">
        <v>1397</v>
      </c>
      <c r="B196" s="1" t="s">
        <v>1695</v>
      </c>
      <c r="C196" s="23">
        <v>0.45454545454545459</v>
      </c>
      <c r="D196" s="33">
        <v>6.75</v>
      </c>
      <c r="E196" s="1" t="s">
        <v>1696</v>
      </c>
      <c r="F196" s="1"/>
      <c r="G196" s="1"/>
      <c r="H196" s="1"/>
      <c r="I196" s="1"/>
      <c r="J196" s="1"/>
      <c r="K196" s="23">
        <v>1</v>
      </c>
      <c r="L196" s="11">
        <f t="shared" si="24"/>
        <v>6.75</v>
      </c>
      <c r="M196" s="23">
        <f t="shared" si="25"/>
        <v>0.45454545454545459</v>
      </c>
      <c r="N196" s="1" t="s">
        <v>1696</v>
      </c>
      <c r="O196" s="1"/>
      <c r="P196" s="1"/>
      <c r="Q196" s="1"/>
      <c r="R196" s="1"/>
      <c r="S196" s="1"/>
      <c r="T196" s="23">
        <v>1</v>
      </c>
      <c r="U196" s="11">
        <f t="shared" si="26"/>
        <v>6.75</v>
      </c>
      <c r="V196" s="24">
        <f t="shared" si="27"/>
        <v>0.45454545454545459</v>
      </c>
      <c r="W196" s="4">
        <f>L196</f>
        <v>6.75</v>
      </c>
      <c r="X196" s="54">
        <f>M196</f>
        <v>0.45454545454545459</v>
      </c>
      <c r="Y196" s="34">
        <v>0.45454545454545459</v>
      </c>
      <c r="Z196" s="54">
        <v>5.4166666666666661</v>
      </c>
      <c r="AA196" s="54" t="b">
        <f t="shared" si="21"/>
        <v>1</v>
      </c>
      <c r="AB196" s="54" t="b">
        <f t="shared" si="22"/>
        <v>0</v>
      </c>
      <c r="AC196" s="54" t="b">
        <f t="shared" si="23"/>
        <v>1</v>
      </c>
    </row>
    <row r="197" spans="1:29" x14ac:dyDescent="0.25">
      <c r="A197" s="1" t="s">
        <v>1411</v>
      </c>
      <c r="B197" s="1" t="s">
        <v>1695</v>
      </c>
      <c r="C197" s="23">
        <v>0.44</v>
      </c>
      <c r="D197" s="33">
        <v>6</v>
      </c>
      <c r="E197" s="1" t="s">
        <v>1696</v>
      </c>
      <c r="F197" s="1"/>
      <c r="G197" s="1"/>
      <c r="H197" s="1"/>
      <c r="I197" s="1"/>
      <c r="J197" s="1"/>
      <c r="K197" s="23">
        <v>1</v>
      </c>
      <c r="L197" s="11">
        <f t="shared" si="24"/>
        <v>6</v>
      </c>
      <c r="M197" s="23">
        <f t="shared" si="25"/>
        <v>0.44</v>
      </c>
      <c r="N197" s="1" t="s">
        <v>1696</v>
      </c>
      <c r="O197" s="1"/>
      <c r="P197" s="1"/>
      <c r="Q197" s="1"/>
      <c r="R197" s="1"/>
      <c r="S197" s="1"/>
      <c r="T197" s="23">
        <v>1</v>
      </c>
      <c r="U197" s="11">
        <f t="shared" si="26"/>
        <v>6</v>
      </c>
      <c r="V197" s="24">
        <f t="shared" si="27"/>
        <v>0.44</v>
      </c>
      <c r="W197" s="11">
        <f>U197+F197</f>
        <v>6</v>
      </c>
      <c r="X197" s="24">
        <v>0.44</v>
      </c>
      <c r="Y197" s="34">
        <v>0.40822610294117645</v>
      </c>
      <c r="Z197" s="54">
        <v>9.5045110242678614</v>
      </c>
      <c r="AA197" s="54" t="b">
        <f t="shared" si="21"/>
        <v>0</v>
      </c>
      <c r="AB197" s="54" t="b">
        <f t="shared" si="22"/>
        <v>0</v>
      </c>
      <c r="AC197" s="54" t="b">
        <f t="shared" si="23"/>
        <v>1</v>
      </c>
    </row>
    <row r="198" spans="1:29" x14ac:dyDescent="0.25">
      <c r="A198" s="1" t="s">
        <v>1415</v>
      </c>
      <c r="B198" s="1" t="s">
        <v>1695</v>
      </c>
      <c r="C198" s="23">
        <v>0.80399999999999994</v>
      </c>
      <c r="D198" s="11">
        <v>0.77114427860696533</v>
      </c>
      <c r="E198" s="1" t="s">
        <v>1696</v>
      </c>
      <c r="F198" s="1"/>
      <c r="G198" s="1" t="s">
        <v>1696</v>
      </c>
      <c r="H198" s="1" t="s">
        <v>1696</v>
      </c>
      <c r="I198" s="1" t="s">
        <v>1700</v>
      </c>
      <c r="J198" s="1">
        <v>0.25</v>
      </c>
      <c r="K198" s="30">
        <v>0.9</v>
      </c>
      <c r="L198" s="11">
        <f t="shared" si="24"/>
        <v>1.0211442786069653</v>
      </c>
      <c r="M198" s="23">
        <f t="shared" si="25"/>
        <v>0.72359999999999991</v>
      </c>
      <c r="N198" s="1"/>
      <c r="O198" s="1"/>
      <c r="P198" s="1"/>
      <c r="Q198" s="1"/>
      <c r="R198" s="1"/>
      <c r="S198" s="1"/>
      <c r="T198" s="23">
        <v>1</v>
      </c>
      <c r="U198" s="11">
        <f t="shared" si="26"/>
        <v>0.77114427860696533</v>
      </c>
      <c r="V198" s="24">
        <f t="shared" si="27"/>
        <v>0.80399999999999994</v>
      </c>
      <c r="W198" s="4"/>
      <c r="X198" s="54"/>
      <c r="Y198" s="34">
        <v>0.84453781512605042</v>
      </c>
      <c r="Z198" s="54">
        <v>0.64676616915422891</v>
      </c>
      <c r="AA198" s="54" t="b">
        <f t="shared" si="21"/>
        <v>0</v>
      </c>
      <c r="AB198" s="54" t="b">
        <f t="shared" si="22"/>
        <v>0</v>
      </c>
      <c r="AC198" s="54" t="b">
        <f t="shared" si="23"/>
        <v>0</v>
      </c>
    </row>
    <row r="199" spans="1:29" x14ac:dyDescent="0.25">
      <c r="A199" s="1" t="s">
        <v>1418</v>
      </c>
      <c r="B199" s="1" t="s">
        <v>1695</v>
      </c>
      <c r="C199" s="23">
        <v>0.50283088235294104</v>
      </c>
      <c r="D199" s="11">
        <v>4.255319148936171</v>
      </c>
      <c r="E199" s="1" t="s">
        <v>1696</v>
      </c>
      <c r="F199" s="1"/>
      <c r="G199" s="1" t="s">
        <v>1696</v>
      </c>
      <c r="H199" s="1" t="s">
        <v>1696</v>
      </c>
      <c r="I199" s="1" t="s">
        <v>1700</v>
      </c>
      <c r="J199" s="1">
        <v>0.25</v>
      </c>
      <c r="K199" s="30">
        <v>0.9</v>
      </c>
      <c r="L199" s="11">
        <f t="shared" si="24"/>
        <v>4.505319148936171</v>
      </c>
      <c r="M199" s="23">
        <f t="shared" si="25"/>
        <v>0.45254779411764695</v>
      </c>
      <c r="N199" s="1"/>
      <c r="O199" s="1"/>
      <c r="P199" s="1"/>
      <c r="Q199" s="1"/>
      <c r="R199" s="1"/>
      <c r="S199" s="1"/>
      <c r="T199" s="23">
        <v>1</v>
      </c>
      <c r="U199" s="11">
        <f t="shared" si="26"/>
        <v>4.255319148936171</v>
      </c>
      <c r="V199" s="24">
        <f t="shared" si="27"/>
        <v>0.50283088235294104</v>
      </c>
      <c r="W199" s="4"/>
      <c r="X199" s="54"/>
      <c r="Y199" s="34">
        <v>0.50283088235294104</v>
      </c>
      <c r="Z199" s="54">
        <v>4.255319148936171</v>
      </c>
      <c r="AA199" s="54" t="b">
        <f t="shared" si="21"/>
        <v>1</v>
      </c>
      <c r="AB199" s="54" t="b">
        <f t="shared" si="22"/>
        <v>1</v>
      </c>
      <c r="AC199" s="54" t="b">
        <f t="shared" si="23"/>
        <v>0</v>
      </c>
    </row>
    <row r="200" spans="1:29" x14ac:dyDescent="0.25">
      <c r="A200" s="1" t="s">
        <v>1419</v>
      </c>
      <c r="B200" s="1" t="s">
        <v>1695</v>
      </c>
      <c r="C200" s="23">
        <v>0.50283088235294104</v>
      </c>
      <c r="D200" s="11">
        <v>4.255319148936171</v>
      </c>
      <c r="E200" s="1" t="s">
        <v>1696</v>
      </c>
      <c r="F200" s="1"/>
      <c r="G200" s="1" t="s">
        <v>1696</v>
      </c>
      <c r="H200" s="1" t="s">
        <v>1696</v>
      </c>
      <c r="I200" s="1" t="s">
        <v>1700</v>
      </c>
      <c r="J200" s="1">
        <v>0.25</v>
      </c>
      <c r="K200" s="30">
        <v>0.9</v>
      </c>
      <c r="L200" s="11">
        <f t="shared" si="24"/>
        <v>4.505319148936171</v>
      </c>
      <c r="M200" s="23">
        <f t="shared" si="25"/>
        <v>0.45254779411764695</v>
      </c>
      <c r="N200" s="1"/>
      <c r="O200" s="1"/>
      <c r="P200" s="1"/>
      <c r="Q200" s="1"/>
      <c r="R200" s="1"/>
      <c r="S200" s="1"/>
      <c r="T200" s="23">
        <v>1</v>
      </c>
      <c r="U200" s="11">
        <f t="shared" si="26"/>
        <v>4.255319148936171</v>
      </c>
      <c r="V200" s="24">
        <f t="shared" si="27"/>
        <v>0.50283088235294104</v>
      </c>
      <c r="W200" s="4"/>
      <c r="X200" s="54"/>
      <c r="Y200" s="34">
        <v>0.50283088235294104</v>
      </c>
      <c r="Z200" s="54">
        <v>4.255319148936171</v>
      </c>
      <c r="AA200" s="54" t="b">
        <f t="shared" si="21"/>
        <v>1</v>
      </c>
      <c r="AB200" s="54" t="b">
        <f t="shared" si="22"/>
        <v>1</v>
      </c>
      <c r="AC200" s="54" t="b">
        <f t="shared" si="23"/>
        <v>0</v>
      </c>
    </row>
    <row r="201" spans="1:29" x14ac:dyDescent="0.25">
      <c r="A201" s="1" t="s">
        <v>1547</v>
      </c>
      <c r="B201" s="1" t="s">
        <v>1695</v>
      </c>
      <c r="C201" s="23">
        <v>0.51060661764705872</v>
      </c>
      <c r="D201" s="11">
        <v>4.6981315476833352</v>
      </c>
      <c r="E201" s="1" t="s">
        <v>1696</v>
      </c>
      <c r="F201" s="1"/>
      <c r="G201" s="1" t="s">
        <v>1696</v>
      </c>
      <c r="H201" s="1"/>
      <c r="I201" s="1" t="s">
        <v>1700</v>
      </c>
      <c r="J201" s="1">
        <v>0.25</v>
      </c>
      <c r="K201" s="23">
        <v>0.95</v>
      </c>
      <c r="L201" s="11">
        <f t="shared" si="24"/>
        <v>4.9481315476833352</v>
      </c>
      <c r="M201" s="23">
        <f t="shared" si="25"/>
        <v>0.48507628676470577</v>
      </c>
      <c r="N201" s="1"/>
      <c r="O201" s="1"/>
      <c r="P201" s="1"/>
      <c r="Q201" s="1"/>
      <c r="R201" s="1"/>
      <c r="S201" s="1"/>
      <c r="T201" s="23">
        <v>1</v>
      </c>
      <c r="U201" s="11">
        <f t="shared" si="26"/>
        <v>4.6981315476833352</v>
      </c>
      <c r="V201" s="24">
        <f t="shared" si="27"/>
        <v>0.51060661764705872</v>
      </c>
      <c r="W201" s="4"/>
      <c r="X201" s="54"/>
      <c r="Y201" s="34">
        <v>0.51060661764705872</v>
      </c>
      <c r="Z201" s="54">
        <v>4.6981315476833352</v>
      </c>
      <c r="AA201" s="54" t="b">
        <f t="shared" si="21"/>
        <v>1</v>
      </c>
      <c r="AB201" s="54" t="b">
        <f t="shared" si="22"/>
        <v>1</v>
      </c>
      <c r="AC201" s="54" t="b">
        <f t="shared" si="23"/>
        <v>0</v>
      </c>
    </row>
    <row r="202" spans="1:29" x14ac:dyDescent="0.25">
      <c r="A202" s="1" t="s">
        <v>1399</v>
      </c>
      <c r="B202" s="1" t="s">
        <v>1695</v>
      </c>
      <c r="C202" s="23">
        <v>0.45454545454545459</v>
      </c>
      <c r="D202" s="11">
        <v>6.75</v>
      </c>
      <c r="E202" s="1" t="s">
        <v>1696</v>
      </c>
      <c r="F202" s="1"/>
      <c r="G202" s="1"/>
      <c r="H202" s="1"/>
      <c r="I202" s="1"/>
      <c r="J202" s="1"/>
      <c r="K202" s="23">
        <v>1</v>
      </c>
      <c r="L202" s="11">
        <f t="shared" si="24"/>
        <v>6.75</v>
      </c>
      <c r="M202" s="23">
        <f t="shared" si="25"/>
        <v>0.45454545454545459</v>
      </c>
      <c r="N202" s="1" t="s">
        <v>1696</v>
      </c>
      <c r="O202" s="1"/>
      <c r="P202" s="1"/>
      <c r="Q202" s="1"/>
      <c r="R202" s="1"/>
      <c r="S202" s="1"/>
      <c r="T202" s="23">
        <v>1</v>
      </c>
      <c r="U202" s="11">
        <f t="shared" si="26"/>
        <v>6.75</v>
      </c>
      <c r="V202" s="24">
        <f t="shared" si="27"/>
        <v>0.45454545454545459</v>
      </c>
      <c r="W202" s="4">
        <f>L202</f>
        <v>6.75</v>
      </c>
      <c r="X202" s="54">
        <f>M202</f>
        <v>0.45454545454545459</v>
      </c>
      <c r="Y202" s="34">
        <v>0.45454545454545459</v>
      </c>
      <c r="Z202" s="54">
        <v>6.25</v>
      </c>
      <c r="AA202" s="54" t="b">
        <f t="shared" si="21"/>
        <v>1</v>
      </c>
      <c r="AB202" s="54" t="b">
        <f t="shared" si="22"/>
        <v>0</v>
      </c>
      <c r="AC202" s="54" t="b">
        <f t="shared" si="23"/>
        <v>1</v>
      </c>
    </row>
    <row r="203" spans="1:29" x14ac:dyDescent="0.25">
      <c r="A203" s="1" t="s">
        <v>1417</v>
      </c>
      <c r="B203" s="1" t="s">
        <v>1695</v>
      </c>
      <c r="C203" s="23">
        <v>0.50283088235294104</v>
      </c>
      <c r="D203" s="11">
        <v>4.255319148936171</v>
      </c>
      <c r="E203" s="1" t="s">
        <v>1696</v>
      </c>
      <c r="F203" s="1"/>
      <c r="G203" s="1" t="s">
        <v>1696</v>
      </c>
      <c r="H203" s="1" t="s">
        <v>1696</v>
      </c>
      <c r="I203" s="1" t="s">
        <v>1700</v>
      </c>
      <c r="J203" s="1">
        <v>0.25</v>
      </c>
      <c r="K203" s="30">
        <v>0.9</v>
      </c>
      <c r="L203" s="11">
        <f t="shared" si="24"/>
        <v>4.505319148936171</v>
      </c>
      <c r="M203" s="23">
        <f t="shared" si="25"/>
        <v>0.45254779411764695</v>
      </c>
      <c r="N203" s="1"/>
      <c r="O203" s="1"/>
      <c r="P203" s="1"/>
      <c r="Q203" s="1"/>
      <c r="R203" s="1"/>
      <c r="S203" s="1"/>
      <c r="T203" s="23">
        <v>1</v>
      </c>
      <c r="U203" s="11">
        <f t="shared" si="26"/>
        <v>4.255319148936171</v>
      </c>
      <c r="V203" s="24">
        <f t="shared" si="27"/>
        <v>0.50283088235294104</v>
      </c>
      <c r="W203" s="4"/>
      <c r="X203" s="54"/>
      <c r="Y203" s="34">
        <v>0.50283088235294104</v>
      </c>
      <c r="Z203" s="54">
        <v>4.255319148936171</v>
      </c>
      <c r="AA203" s="54" t="b">
        <f t="shared" si="21"/>
        <v>1</v>
      </c>
      <c r="AB203" s="54" t="b">
        <f t="shared" si="22"/>
        <v>1</v>
      </c>
      <c r="AC203" s="54" t="b">
        <f t="shared" si="23"/>
        <v>0</v>
      </c>
    </row>
    <row r="204" spans="1:29" x14ac:dyDescent="0.25">
      <c r="A204" s="1" t="s">
        <v>1629</v>
      </c>
      <c r="B204" s="1" t="s">
        <v>1695</v>
      </c>
      <c r="C204" s="23">
        <v>0.374</v>
      </c>
      <c r="D204" s="11">
        <v>13.90374331550802</v>
      </c>
      <c r="E204" s="1" t="s">
        <v>1696</v>
      </c>
      <c r="F204" s="1"/>
      <c r="G204" s="1"/>
      <c r="H204" s="1"/>
      <c r="I204" s="1"/>
      <c r="J204" s="1"/>
      <c r="K204" s="23">
        <v>1</v>
      </c>
      <c r="L204" s="11">
        <f t="shared" si="24"/>
        <v>13.90374331550802</v>
      </c>
      <c r="M204" s="23">
        <f t="shared" si="25"/>
        <v>0.374</v>
      </c>
      <c r="N204" s="1"/>
      <c r="O204" s="1"/>
      <c r="P204" s="1"/>
      <c r="Q204" s="1"/>
      <c r="R204" s="1"/>
      <c r="S204" s="1"/>
      <c r="T204" s="23">
        <v>1</v>
      </c>
      <c r="U204" s="11">
        <f t="shared" si="26"/>
        <v>13.90374331550802</v>
      </c>
      <c r="V204" s="24">
        <f t="shared" si="27"/>
        <v>0.374</v>
      </c>
      <c r="W204" s="4"/>
      <c r="X204" s="54"/>
      <c r="Y204" s="34">
        <v>0.374</v>
      </c>
      <c r="Z204" s="54">
        <v>13.90374331550802</v>
      </c>
      <c r="AA204" s="54" t="b">
        <f t="shared" si="21"/>
        <v>1</v>
      </c>
      <c r="AB204" s="54" t="b">
        <f t="shared" si="22"/>
        <v>1</v>
      </c>
      <c r="AC204" s="54" t="b">
        <f t="shared" si="23"/>
        <v>1</v>
      </c>
    </row>
    <row r="205" spans="1:29" x14ac:dyDescent="0.25">
      <c r="A205" s="1" t="s">
        <v>1618</v>
      </c>
      <c r="B205" s="1" t="s">
        <v>1695</v>
      </c>
      <c r="C205" s="23">
        <v>0.374</v>
      </c>
      <c r="D205" s="11">
        <v>13.90374331550802</v>
      </c>
      <c r="E205" s="1" t="s">
        <v>1696</v>
      </c>
      <c r="F205" s="1"/>
      <c r="G205" s="1"/>
      <c r="H205" s="1"/>
      <c r="I205" s="1"/>
      <c r="J205" s="1"/>
      <c r="K205" s="23">
        <v>1</v>
      </c>
      <c r="L205" s="11">
        <f t="shared" si="24"/>
        <v>13.90374331550802</v>
      </c>
      <c r="M205" s="23">
        <f t="shared" si="25"/>
        <v>0.374</v>
      </c>
      <c r="N205" s="1"/>
      <c r="O205" s="1"/>
      <c r="P205" s="1"/>
      <c r="Q205" s="1"/>
      <c r="R205" s="1"/>
      <c r="S205" s="1"/>
      <c r="T205" s="23">
        <v>1</v>
      </c>
      <c r="U205" s="11">
        <f t="shared" si="26"/>
        <v>13.90374331550802</v>
      </c>
      <c r="V205" s="24">
        <f t="shared" si="27"/>
        <v>0.374</v>
      </c>
      <c r="W205" s="4"/>
      <c r="X205" s="54"/>
      <c r="Y205" s="34">
        <v>0.374</v>
      </c>
      <c r="Z205" s="54">
        <v>13.90374331550802</v>
      </c>
      <c r="AA205" s="54" t="b">
        <f t="shared" si="21"/>
        <v>1</v>
      </c>
      <c r="AB205" s="54" t="b">
        <f t="shared" si="22"/>
        <v>1</v>
      </c>
      <c r="AC205" s="54" t="b">
        <f t="shared" si="23"/>
        <v>1</v>
      </c>
    </row>
    <row r="206" spans="1:29" x14ac:dyDescent="0.25">
      <c r="A206" s="1" t="s">
        <v>1630</v>
      </c>
      <c r="B206" s="1" t="s">
        <v>1695</v>
      </c>
      <c r="C206" s="23">
        <v>0.374</v>
      </c>
      <c r="D206" s="11">
        <v>13.90374331550802</v>
      </c>
      <c r="E206" s="1" t="s">
        <v>1696</v>
      </c>
      <c r="F206" s="1"/>
      <c r="G206" s="1"/>
      <c r="H206" s="1"/>
      <c r="I206" s="1"/>
      <c r="J206" s="1"/>
      <c r="K206" s="23">
        <v>1</v>
      </c>
      <c r="L206" s="11">
        <f t="shared" si="24"/>
        <v>13.90374331550802</v>
      </c>
      <c r="M206" s="23">
        <f t="shared" si="25"/>
        <v>0.374</v>
      </c>
      <c r="N206" s="1"/>
      <c r="O206" s="1"/>
      <c r="P206" s="1"/>
      <c r="Q206" s="1"/>
      <c r="R206" s="1"/>
      <c r="S206" s="1"/>
      <c r="T206" s="23">
        <v>1</v>
      </c>
      <c r="U206" s="11">
        <f t="shared" si="26"/>
        <v>13.90374331550802</v>
      </c>
      <c r="V206" s="24">
        <f t="shared" si="27"/>
        <v>0.374</v>
      </c>
      <c r="W206" s="4"/>
      <c r="X206" s="54"/>
      <c r="Y206" s="34">
        <v>0.374</v>
      </c>
      <c r="Z206" s="54">
        <v>13.90374331550802</v>
      </c>
      <c r="AA206" s="54" t="b">
        <f t="shared" si="21"/>
        <v>1</v>
      </c>
      <c r="AB206" s="54" t="b">
        <f t="shared" si="22"/>
        <v>1</v>
      </c>
      <c r="AC206" s="54" t="b">
        <f t="shared" si="23"/>
        <v>1</v>
      </c>
    </row>
    <row r="207" spans="1:29" x14ac:dyDescent="0.25">
      <c r="A207" s="1" t="s">
        <v>1428</v>
      </c>
      <c r="B207" s="1" t="s">
        <v>1695</v>
      </c>
      <c r="C207" s="23">
        <v>0.77267677919154776</v>
      </c>
      <c r="D207" s="11">
        <v>1.2164882652687532</v>
      </c>
      <c r="E207" s="1" t="s">
        <v>1696</v>
      </c>
      <c r="F207" s="1"/>
      <c r="G207" s="1" t="s">
        <v>1696</v>
      </c>
      <c r="H207" s="1" t="s">
        <v>1696</v>
      </c>
      <c r="I207" s="1" t="s">
        <v>1700</v>
      </c>
      <c r="J207" s="1">
        <v>0.25</v>
      </c>
      <c r="K207" s="30">
        <v>0.95</v>
      </c>
      <c r="L207" s="11">
        <f t="shared" si="24"/>
        <v>1.4664882652687532</v>
      </c>
      <c r="M207" s="23">
        <f t="shared" si="25"/>
        <v>0.73404294023197036</v>
      </c>
      <c r="N207" s="1" t="s">
        <v>1696</v>
      </c>
      <c r="O207" s="1"/>
      <c r="P207" s="1" t="s">
        <v>1696</v>
      </c>
      <c r="Q207" s="1" t="s">
        <v>1696</v>
      </c>
      <c r="R207" s="1" t="s">
        <v>1700</v>
      </c>
      <c r="S207" s="1">
        <v>0.25</v>
      </c>
      <c r="T207" s="23">
        <v>0.92</v>
      </c>
      <c r="U207" s="11">
        <f t="shared" si="26"/>
        <v>1.4664882652687532</v>
      </c>
      <c r="V207" s="24">
        <f t="shared" si="27"/>
        <v>0.71086263685622397</v>
      </c>
      <c r="W207" s="4"/>
      <c r="X207" s="54"/>
      <c r="Y207" s="34">
        <v>0.77267677919154776</v>
      </c>
      <c r="Z207" s="54">
        <v>1.2164882652687532</v>
      </c>
      <c r="AA207" s="54" t="b">
        <f t="shared" si="21"/>
        <v>1</v>
      </c>
      <c r="AB207" s="54" t="b">
        <f t="shared" si="22"/>
        <v>1</v>
      </c>
      <c r="AC207" s="54" t="b">
        <f t="shared" si="23"/>
        <v>0</v>
      </c>
    </row>
    <row r="208" spans="1:29" x14ac:dyDescent="0.25">
      <c r="A208" s="1" t="s">
        <v>1413</v>
      </c>
      <c r="B208" s="1" t="s">
        <v>1695</v>
      </c>
      <c r="C208" s="23">
        <v>0.44</v>
      </c>
      <c r="D208" s="11">
        <v>6.25</v>
      </c>
      <c r="E208" s="1" t="s">
        <v>1696</v>
      </c>
      <c r="F208" s="1"/>
      <c r="G208" s="1"/>
      <c r="H208" s="1"/>
      <c r="I208" s="1"/>
      <c r="J208" s="1"/>
      <c r="K208" s="23">
        <v>1</v>
      </c>
      <c r="L208" s="11">
        <f t="shared" si="24"/>
        <v>6.25</v>
      </c>
      <c r="M208" s="23">
        <f t="shared" si="25"/>
        <v>0.44</v>
      </c>
      <c r="N208" s="1" t="s">
        <v>1696</v>
      </c>
      <c r="O208" s="1"/>
      <c r="P208" s="1"/>
      <c r="Q208" s="1"/>
      <c r="R208" s="1"/>
      <c r="S208" s="1"/>
      <c r="T208" s="23">
        <v>1</v>
      </c>
      <c r="U208" s="11">
        <f t="shared" si="26"/>
        <v>6.25</v>
      </c>
      <c r="V208" s="24">
        <f t="shared" si="27"/>
        <v>0.44</v>
      </c>
      <c r="W208" s="4"/>
      <c r="X208" s="54"/>
      <c r="Y208" s="34">
        <v>0.40822610294117645</v>
      </c>
      <c r="Z208" s="54">
        <v>9.5045110242678614</v>
      </c>
      <c r="AA208" s="54" t="b">
        <f t="shared" si="21"/>
        <v>0</v>
      </c>
      <c r="AB208" s="54" t="b">
        <f t="shared" si="22"/>
        <v>0</v>
      </c>
      <c r="AC208" s="54" t="b">
        <f t="shared" si="23"/>
        <v>1</v>
      </c>
    </row>
    <row r="209" spans="1:29" x14ac:dyDescent="0.25">
      <c r="A209" s="1" t="s">
        <v>1619</v>
      </c>
      <c r="B209" s="1" t="s">
        <v>1695</v>
      </c>
      <c r="C209" s="23">
        <v>0.374</v>
      </c>
      <c r="D209" s="11">
        <v>13.90374331550802</v>
      </c>
      <c r="E209" s="1" t="s">
        <v>1696</v>
      </c>
      <c r="F209" s="1"/>
      <c r="G209" s="1"/>
      <c r="H209" s="1"/>
      <c r="I209" s="1"/>
      <c r="J209" s="1"/>
      <c r="K209" s="23">
        <v>1</v>
      </c>
      <c r="L209" s="11">
        <f t="shared" si="24"/>
        <v>13.90374331550802</v>
      </c>
      <c r="M209" s="23">
        <f t="shared" si="25"/>
        <v>0.374</v>
      </c>
      <c r="N209" s="1"/>
      <c r="O209" s="1"/>
      <c r="P209" s="1"/>
      <c r="Q209" s="1"/>
      <c r="R209" s="1"/>
      <c r="S209" s="1"/>
      <c r="T209" s="23">
        <v>1</v>
      </c>
      <c r="U209" s="11">
        <f t="shared" si="26"/>
        <v>13.90374331550802</v>
      </c>
      <c r="V209" s="24">
        <f t="shared" si="27"/>
        <v>0.374</v>
      </c>
      <c r="W209" s="4"/>
      <c r="X209" s="54"/>
      <c r="Y209" s="34">
        <v>0.374</v>
      </c>
      <c r="Z209" s="54">
        <v>13.90374331550802</v>
      </c>
      <c r="AA209" s="54" t="b">
        <f t="shared" si="21"/>
        <v>1</v>
      </c>
      <c r="AB209" s="54" t="b">
        <f t="shared" si="22"/>
        <v>1</v>
      </c>
      <c r="AC209" s="54" t="b">
        <f t="shared" si="23"/>
        <v>1</v>
      </c>
    </row>
    <row r="210" spans="1:29" x14ac:dyDescent="0.25">
      <c r="A210" s="1" t="s">
        <v>1355</v>
      </c>
      <c r="B210" s="1" t="s">
        <v>1695</v>
      </c>
      <c r="C210" s="23">
        <v>0.73347360367253267</v>
      </c>
      <c r="D210" s="11">
        <v>1.3647664250073888</v>
      </c>
      <c r="E210" s="1"/>
      <c r="F210" s="1"/>
      <c r="G210" s="1"/>
      <c r="H210" s="1"/>
      <c r="I210" s="1"/>
      <c r="J210" s="1"/>
      <c r="K210" s="23">
        <v>1</v>
      </c>
      <c r="L210" s="11">
        <f t="shared" si="24"/>
        <v>1.3647664250073888</v>
      </c>
      <c r="M210" s="23">
        <f t="shared" si="25"/>
        <v>0.73347360367253267</v>
      </c>
      <c r="N210" s="1" t="s">
        <v>1696</v>
      </c>
      <c r="O210" s="1"/>
      <c r="P210" s="1" t="s">
        <v>1696</v>
      </c>
      <c r="Q210" s="1"/>
      <c r="R210" s="1" t="s">
        <v>1700</v>
      </c>
      <c r="S210" s="1">
        <v>0.1</v>
      </c>
      <c r="T210" s="23">
        <v>0.95</v>
      </c>
      <c r="U210" s="11">
        <f t="shared" si="26"/>
        <v>1.4647664250073889</v>
      </c>
      <c r="V210" s="24">
        <f t="shared" si="27"/>
        <v>0.69679992348890596</v>
      </c>
      <c r="W210" s="4"/>
      <c r="X210" s="54"/>
      <c r="Y210" s="34">
        <v>0.73347360367253267</v>
      </c>
      <c r="Z210" s="54">
        <v>1.3647664250073888</v>
      </c>
      <c r="AA210" s="54" t="b">
        <f t="shared" si="21"/>
        <v>1</v>
      </c>
      <c r="AB210" s="54" t="b">
        <f t="shared" si="22"/>
        <v>1</v>
      </c>
      <c r="AC210" s="54" t="b">
        <f t="shared" si="23"/>
        <v>0</v>
      </c>
    </row>
    <row r="211" spans="1:29" x14ac:dyDescent="0.25">
      <c r="A211" s="99" t="s">
        <v>1443</v>
      </c>
      <c r="B211" s="1" t="s">
        <v>1695</v>
      </c>
      <c r="C211" s="23">
        <v>0.4</v>
      </c>
      <c r="D211" s="11">
        <v>1.5123456790123455</v>
      </c>
      <c r="E211" s="1"/>
      <c r="F211" s="1"/>
      <c r="G211" s="1"/>
      <c r="H211" s="1"/>
      <c r="I211" s="1"/>
      <c r="J211" s="1"/>
      <c r="K211" s="23">
        <v>1</v>
      </c>
      <c r="L211" s="11">
        <f t="shared" si="24"/>
        <v>1.5123456790123455</v>
      </c>
      <c r="M211" s="23">
        <f t="shared" si="25"/>
        <v>0.4</v>
      </c>
      <c r="N211" s="1" t="s">
        <v>1696</v>
      </c>
      <c r="O211" s="1" t="s">
        <v>1696</v>
      </c>
      <c r="P211" s="1"/>
      <c r="Q211" s="1"/>
      <c r="R211" s="1" t="s">
        <v>1700</v>
      </c>
      <c r="S211" s="11">
        <v>5.1229508196721313E-2</v>
      </c>
      <c r="T211" s="23">
        <v>1</v>
      </c>
      <c r="U211" s="11">
        <f t="shared" si="26"/>
        <v>1.5635751872090669</v>
      </c>
      <c r="V211" s="24">
        <f t="shared" si="27"/>
        <v>0.4</v>
      </c>
      <c r="W211" s="4">
        <v>1.5640000000000001</v>
      </c>
      <c r="X211" s="54">
        <v>0.4</v>
      </c>
      <c r="Y211" s="34">
        <v>0.4</v>
      </c>
      <c r="Z211" s="54">
        <v>1.5123456790123455</v>
      </c>
      <c r="AA211" s="54" t="b">
        <f t="shared" si="21"/>
        <v>1</v>
      </c>
      <c r="AB211" s="54" t="b">
        <f t="shared" si="22"/>
        <v>1</v>
      </c>
      <c r="AC211" s="54" t="b">
        <f t="shared" si="23"/>
        <v>1</v>
      </c>
    </row>
    <row r="212" spans="1:29" x14ac:dyDescent="0.25">
      <c r="A212" s="99" t="s">
        <v>1379</v>
      </c>
      <c r="B212" s="1" t="s">
        <v>1695</v>
      </c>
      <c r="C212" s="23">
        <v>0.35230352303523038</v>
      </c>
      <c r="D212" s="11">
        <v>1.346153846153846</v>
      </c>
      <c r="E212" s="1"/>
      <c r="F212" s="1"/>
      <c r="G212" s="1"/>
      <c r="H212" s="1"/>
      <c r="I212" s="1"/>
      <c r="J212" s="1"/>
      <c r="K212" s="23">
        <v>1</v>
      </c>
      <c r="L212" s="11">
        <f t="shared" si="24"/>
        <v>1.346153846153846</v>
      </c>
      <c r="M212" s="23">
        <f t="shared" si="25"/>
        <v>0.35230352303523038</v>
      </c>
      <c r="N212" s="1" t="s">
        <v>1696</v>
      </c>
      <c r="O212" s="1" t="s">
        <v>1696</v>
      </c>
      <c r="P212" s="1"/>
      <c r="Q212" s="1"/>
      <c r="R212" s="1" t="s">
        <v>1700</v>
      </c>
      <c r="S212" s="11">
        <v>5.1229508196721313E-2</v>
      </c>
      <c r="T212" s="23">
        <v>1</v>
      </c>
      <c r="U212" s="11">
        <f t="shared" si="26"/>
        <v>1.3973833543505674</v>
      </c>
      <c r="V212" s="24">
        <f t="shared" si="27"/>
        <v>0.35230352303523038</v>
      </c>
      <c r="W212" s="4"/>
      <c r="X212" s="54"/>
      <c r="Y212" s="34">
        <v>0.32926829268292684</v>
      </c>
      <c r="Z212" s="54">
        <v>1.0288065843621399</v>
      </c>
      <c r="AA212" s="54" t="b">
        <f t="shared" si="21"/>
        <v>0</v>
      </c>
      <c r="AB212" s="54" t="b">
        <f t="shared" si="22"/>
        <v>0</v>
      </c>
      <c r="AC212" s="54" t="b">
        <f t="shared" si="23"/>
        <v>1</v>
      </c>
    </row>
    <row r="213" spans="1:29" x14ac:dyDescent="0.25">
      <c r="A213" s="1" t="s">
        <v>1388</v>
      </c>
      <c r="B213" s="1" t="s">
        <v>1695</v>
      </c>
      <c r="C213" s="23">
        <v>0.3143631436314363</v>
      </c>
      <c r="D213" s="11">
        <v>1.5804597701149425</v>
      </c>
      <c r="E213" s="1"/>
      <c r="F213" s="1"/>
      <c r="G213" s="1"/>
      <c r="H213" s="1"/>
      <c r="I213" s="1"/>
      <c r="J213" s="1"/>
      <c r="K213" s="23">
        <v>1</v>
      </c>
      <c r="L213" s="11">
        <f t="shared" si="24"/>
        <v>1.5804597701149425</v>
      </c>
      <c r="M213" s="23">
        <f t="shared" si="25"/>
        <v>0.3143631436314363</v>
      </c>
      <c r="N213" s="1" t="s">
        <v>1696</v>
      </c>
      <c r="O213" s="1" t="s">
        <v>1696</v>
      </c>
      <c r="P213" s="1"/>
      <c r="Q213" s="1"/>
      <c r="R213" s="1" t="s">
        <v>1700</v>
      </c>
      <c r="S213" s="11">
        <v>5.1229508196721313E-2</v>
      </c>
      <c r="T213" s="23">
        <v>1</v>
      </c>
      <c r="U213" s="11">
        <f t="shared" si="26"/>
        <v>1.6316892783116639</v>
      </c>
      <c r="V213" s="24">
        <f t="shared" si="27"/>
        <v>0.3143631436314363</v>
      </c>
      <c r="W213" s="4">
        <v>1.58</v>
      </c>
      <c r="X213" s="54">
        <v>0.3143631436314363</v>
      </c>
      <c r="Y213" s="34">
        <v>0.27371273712737126</v>
      </c>
      <c r="Z213" s="54">
        <v>1.4851485148514851</v>
      </c>
      <c r="AA213" s="54" t="b">
        <f t="shared" si="21"/>
        <v>0</v>
      </c>
      <c r="AB213" s="54" t="b">
        <f t="shared" si="22"/>
        <v>0</v>
      </c>
      <c r="AC213" s="54" t="b">
        <f t="shared" si="23"/>
        <v>1</v>
      </c>
    </row>
    <row r="214" spans="1:29" x14ac:dyDescent="0.25">
      <c r="A214" s="1" t="s">
        <v>1441</v>
      </c>
      <c r="B214" s="1" t="s">
        <v>1695</v>
      </c>
      <c r="C214" s="23">
        <v>0.43333333333333335</v>
      </c>
      <c r="D214" s="11">
        <v>4.615384615384615</v>
      </c>
      <c r="E214" s="1"/>
      <c r="F214" s="1"/>
      <c r="G214" s="1"/>
      <c r="H214" s="1"/>
      <c r="I214" s="1"/>
      <c r="J214" s="1"/>
      <c r="K214" s="23">
        <v>1</v>
      </c>
      <c r="L214" s="11">
        <f t="shared" si="24"/>
        <v>4.615384615384615</v>
      </c>
      <c r="M214" s="23">
        <f t="shared" si="25"/>
        <v>0.43333333333333335</v>
      </c>
      <c r="N214" s="1" t="s">
        <v>1696</v>
      </c>
      <c r="O214" s="1" t="s">
        <v>1696</v>
      </c>
      <c r="P214" s="1"/>
      <c r="Q214" s="1"/>
      <c r="R214" s="1" t="s">
        <v>1700</v>
      </c>
      <c r="S214" s="11">
        <v>5.63063063063063E-2</v>
      </c>
      <c r="T214" s="23">
        <v>1</v>
      </c>
      <c r="U214" s="11">
        <f t="shared" si="26"/>
        <v>4.6716909216909217</v>
      </c>
      <c r="V214" s="24">
        <f t="shared" si="27"/>
        <v>0.43333333333333335</v>
      </c>
      <c r="W214" s="4"/>
      <c r="X214" s="54"/>
      <c r="Y214" s="34">
        <v>0.43333333333333335</v>
      </c>
      <c r="Z214" s="54">
        <v>4.615384615384615</v>
      </c>
      <c r="AA214" s="54" t="b">
        <f t="shared" si="21"/>
        <v>1</v>
      </c>
      <c r="AB214" s="54" t="b">
        <f t="shared" si="22"/>
        <v>1</v>
      </c>
      <c r="AC214" s="54" t="b">
        <f t="shared" si="23"/>
        <v>1</v>
      </c>
    </row>
    <row r="215" spans="1:29" x14ac:dyDescent="0.25">
      <c r="A215" s="1" t="s">
        <v>1654</v>
      </c>
      <c r="B215" s="1" t="s">
        <v>1695</v>
      </c>
      <c r="C215" s="23">
        <v>0.61874999999999991</v>
      </c>
      <c r="D215" s="11">
        <v>13.939393939393939</v>
      </c>
      <c r="E215" s="1"/>
      <c r="F215" s="1"/>
      <c r="G215" s="1"/>
      <c r="H215" s="1"/>
      <c r="I215" s="1"/>
      <c r="J215" s="1"/>
      <c r="K215" s="23">
        <v>1</v>
      </c>
      <c r="L215" s="11">
        <f t="shared" si="24"/>
        <v>13.939393939393939</v>
      </c>
      <c r="M215" s="23">
        <f t="shared" si="25"/>
        <v>0.61874999999999991</v>
      </c>
      <c r="N215" s="1" t="s">
        <v>1696</v>
      </c>
      <c r="O215" s="1"/>
      <c r="P215" s="1"/>
      <c r="Q215" s="1"/>
      <c r="R215" s="1"/>
      <c r="S215" s="1"/>
      <c r="T215" s="23">
        <v>1</v>
      </c>
      <c r="U215" s="11">
        <f t="shared" si="26"/>
        <v>13.939393939393939</v>
      </c>
      <c r="V215" s="24">
        <f t="shared" si="27"/>
        <v>0.61874999999999991</v>
      </c>
      <c r="W215" s="4"/>
      <c r="X215" s="54"/>
      <c r="Y215" s="34">
        <v>0.61874999999999991</v>
      </c>
      <c r="Z215" s="54">
        <v>13.939393939393939</v>
      </c>
      <c r="AA215" s="54" t="b">
        <f t="shared" si="21"/>
        <v>1</v>
      </c>
      <c r="AB215" s="54" t="b">
        <f t="shared" si="22"/>
        <v>1</v>
      </c>
      <c r="AC215" s="54" t="b">
        <f t="shared" si="23"/>
        <v>1</v>
      </c>
    </row>
    <row r="216" spans="1:29" x14ac:dyDescent="0.25">
      <c r="A216" s="25" t="s">
        <v>1631</v>
      </c>
      <c r="B216" s="25" t="s">
        <v>1879</v>
      </c>
      <c r="C216" s="23"/>
      <c r="D216" s="11"/>
      <c r="E216" s="1" t="s">
        <v>1696</v>
      </c>
      <c r="F216" s="1"/>
      <c r="G216" s="1"/>
      <c r="H216" s="1"/>
      <c r="I216" s="1"/>
      <c r="J216" s="1"/>
      <c r="K216" s="23">
        <v>1</v>
      </c>
      <c r="L216" s="11">
        <f t="shared" si="24"/>
        <v>0</v>
      </c>
      <c r="M216" s="23">
        <f t="shared" si="25"/>
        <v>0</v>
      </c>
      <c r="N216" s="1"/>
      <c r="O216" s="1"/>
      <c r="P216" s="1"/>
      <c r="Q216" s="1"/>
      <c r="R216" s="1"/>
      <c r="S216" s="1"/>
      <c r="T216" s="23">
        <v>1</v>
      </c>
      <c r="U216" s="11">
        <f t="shared" si="26"/>
        <v>0</v>
      </c>
      <c r="V216" s="24">
        <f t="shared" si="27"/>
        <v>0</v>
      </c>
      <c r="W216" s="4"/>
      <c r="X216" s="54"/>
      <c r="Y216" s="34">
        <v>0</v>
      </c>
      <c r="Z216" s="54">
        <v>0</v>
      </c>
      <c r="AA216" s="54" t="b">
        <f t="shared" si="21"/>
        <v>1</v>
      </c>
      <c r="AB216" s="54" t="b">
        <f t="shared" si="22"/>
        <v>1</v>
      </c>
      <c r="AC216" s="54" t="b">
        <f t="shared" si="23"/>
        <v>1</v>
      </c>
    </row>
    <row r="217" spans="1:29" x14ac:dyDescent="0.25">
      <c r="A217" s="1" t="s">
        <v>1467</v>
      </c>
      <c r="B217" s="1" t="s">
        <v>1695</v>
      </c>
      <c r="C217" s="23">
        <v>0.30683760683760686</v>
      </c>
      <c r="D217" s="79">
        <v>2.785515320334262</v>
      </c>
      <c r="E217" s="1"/>
      <c r="F217" s="1"/>
      <c r="G217" s="1"/>
      <c r="H217" s="1"/>
      <c r="I217" s="1"/>
      <c r="J217" s="1"/>
      <c r="K217" s="23">
        <v>1</v>
      </c>
      <c r="L217" s="11">
        <f t="shared" si="24"/>
        <v>2.785515320334262</v>
      </c>
      <c r="M217" s="23">
        <f t="shared" si="25"/>
        <v>0.30683760683760686</v>
      </c>
      <c r="N217" s="1" t="s">
        <v>1696</v>
      </c>
      <c r="O217" s="1"/>
      <c r="P217" s="1" t="s">
        <v>1696</v>
      </c>
      <c r="Q217" s="1"/>
      <c r="R217" s="1" t="s">
        <v>1698</v>
      </c>
      <c r="S217" s="1">
        <v>0.1</v>
      </c>
      <c r="T217" s="23">
        <v>1</v>
      </c>
      <c r="U217" s="11">
        <f t="shared" si="26"/>
        <v>2.8855153203342621</v>
      </c>
      <c r="V217" s="24">
        <f t="shared" si="27"/>
        <v>0.30683760683760686</v>
      </c>
      <c r="W217" s="4"/>
      <c r="X217" s="54"/>
      <c r="Y217" s="34">
        <v>0.30683760683760686</v>
      </c>
      <c r="Z217" s="54">
        <v>2.785515320334262</v>
      </c>
      <c r="AA217" s="54" t="b">
        <f t="shared" si="21"/>
        <v>1</v>
      </c>
      <c r="AB217" s="54" t="b">
        <f t="shared" si="22"/>
        <v>1</v>
      </c>
      <c r="AC217" s="54" t="b">
        <f t="shared" si="23"/>
        <v>1</v>
      </c>
    </row>
    <row r="218" spans="1:29" x14ac:dyDescent="0.25">
      <c r="A218" s="1" t="s">
        <v>1452</v>
      </c>
      <c r="B218" s="1" t="s">
        <v>1695</v>
      </c>
      <c r="C218" s="23">
        <v>0.27129094412331406</v>
      </c>
      <c r="D218" s="79">
        <v>2.5568181818181817</v>
      </c>
      <c r="E218" s="1"/>
      <c r="F218" s="1"/>
      <c r="G218" s="1"/>
      <c r="H218" s="1"/>
      <c r="I218" s="1"/>
      <c r="J218" s="1"/>
      <c r="K218" s="23">
        <v>1</v>
      </c>
      <c r="L218" s="11">
        <f t="shared" si="24"/>
        <v>2.5568181818181817</v>
      </c>
      <c r="M218" s="23">
        <f t="shared" si="25"/>
        <v>0.27129094412331406</v>
      </c>
      <c r="N218" s="1" t="s">
        <v>1696</v>
      </c>
      <c r="O218" s="1"/>
      <c r="P218" s="1" t="s">
        <v>1696</v>
      </c>
      <c r="Q218" s="1"/>
      <c r="R218" s="1" t="s">
        <v>1698</v>
      </c>
      <c r="S218" s="1">
        <v>0.1</v>
      </c>
      <c r="T218" s="23">
        <v>1</v>
      </c>
      <c r="U218" s="11">
        <f t="shared" si="26"/>
        <v>2.6568181818181817</v>
      </c>
      <c r="V218" s="24">
        <f t="shared" si="27"/>
        <v>0.27129094412331406</v>
      </c>
      <c r="W218" s="4"/>
      <c r="X218" s="54"/>
      <c r="Y218" s="34">
        <v>0.27129094412331406</v>
      </c>
      <c r="Z218" s="54">
        <v>2.5568181818181817</v>
      </c>
      <c r="AA218" s="54" t="b">
        <f t="shared" si="21"/>
        <v>1</v>
      </c>
      <c r="AB218" s="54" t="b">
        <f t="shared" si="22"/>
        <v>1</v>
      </c>
      <c r="AC218" s="54" t="b">
        <f t="shared" si="23"/>
        <v>1</v>
      </c>
    </row>
    <row r="219" spans="1:29" x14ac:dyDescent="0.25">
      <c r="A219" s="1" t="s">
        <v>1548</v>
      </c>
      <c r="B219" s="1" t="s">
        <v>1695</v>
      </c>
      <c r="C219" s="23">
        <v>0.7</v>
      </c>
      <c r="D219" s="79">
        <v>3.035714285714286</v>
      </c>
      <c r="E219" s="1" t="s">
        <v>1696</v>
      </c>
      <c r="F219" s="1"/>
      <c r="G219" s="1" t="s">
        <v>1696</v>
      </c>
      <c r="H219" s="1" t="s">
        <v>1696</v>
      </c>
      <c r="I219" s="1" t="s">
        <v>1698</v>
      </c>
      <c r="J219" s="1">
        <v>0.25</v>
      </c>
      <c r="K219" s="28">
        <v>0.95</v>
      </c>
      <c r="L219" s="11">
        <f t="shared" si="24"/>
        <v>3.285714285714286</v>
      </c>
      <c r="M219" s="23">
        <f t="shared" si="25"/>
        <v>0.66499999999999992</v>
      </c>
      <c r="N219" s="1"/>
      <c r="O219" s="1"/>
      <c r="P219" s="1"/>
      <c r="Q219" s="1"/>
      <c r="R219" s="1"/>
      <c r="S219" s="1"/>
      <c r="T219" s="23">
        <v>1</v>
      </c>
      <c r="U219" s="11">
        <f t="shared" si="26"/>
        <v>3.035714285714286</v>
      </c>
      <c r="V219" s="24">
        <f t="shared" si="27"/>
        <v>0.7</v>
      </c>
      <c r="W219" s="4"/>
      <c r="X219" s="54"/>
      <c r="Y219" s="34">
        <v>0</v>
      </c>
      <c r="Z219" s="54">
        <v>0</v>
      </c>
      <c r="AA219" s="54" t="b">
        <f t="shared" si="21"/>
        <v>0</v>
      </c>
      <c r="AB219" s="54" t="b">
        <f t="shared" si="22"/>
        <v>0</v>
      </c>
      <c r="AC219" s="54" t="b">
        <f t="shared" si="23"/>
        <v>0</v>
      </c>
    </row>
    <row r="220" spans="1:29" x14ac:dyDescent="0.25">
      <c r="A220" s="1" t="s">
        <v>1632</v>
      </c>
      <c r="B220" s="1" t="s">
        <v>1695</v>
      </c>
      <c r="C220" s="23">
        <v>0.33870967741935487</v>
      </c>
      <c r="D220" s="79">
        <v>7.9682539682539684</v>
      </c>
      <c r="E220" s="1" t="s">
        <v>1696</v>
      </c>
      <c r="F220" s="1"/>
      <c r="G220" s="1"/>
      <c r="H220" s="1"/>
      <c r="I220" s="1"/>
      <c r="J220" s="1"/>
      <c r="K220" s="23">
        <v>1</v>
      </c>
      <c r="L220" s="11">
        <f t="shared" si="24"/>
        <v>7.9682539682539684</v>
      </c>
      <c r="M220" s="23">
        <f t="shared" si="25"/>
        <v>0.33870967741935487</v>
      </c>
      <c r="N220" s="1"/>
      <c r="O220" s="1"/>
      <c r="P220" s="1"/>
      <c r="Q220" s="1"/>
      <c r="R220" s="1"/>
      <c r="S220" s="1"/>
      <c r="T220" s="23">
        <v>1</v>
      </c>
      <c r="U220" s="11">
        <f t="shared" si="26"/>
        <v>7.9682539682539684</v>
      </c>
      <c r="V220" s="24">
        <f t="shared" si="27"/>
        <v>0.33870967741935487</v>
      </c>
      <c r="W220" s="4"/>
      <c r="X220" s="54"/>
      <c r="Y220" s="34">
        <v>0.30645161290322576</v>
      </c>
      <c r="Z220" s="54">
        <v>8.8070175438596507</v>
      </c>
      <c r="AA220" s="54" t="b">
        <f t="shared" si="21"/>
        <v>0</v>
      </c>
      <c r="AB220" s="54" t="b">
        <f t="shared" si="22"/>
        <v>0</v>
      </c>
      <c r="AC220" s="54" t="b">
        <f t="shared" si="23"/>
        <v>1</v>
      </c>
    </row>
    <row r="221" spans="1:29" x14ac:dyDescent="0.25">
      <c r="A221" s="1" t="s">
        <v>1468</v>
      </c>
      <c r="B221" s="1" t="s">
        <v>1695</v>
      </c>
      <c r="C221" s="23">
        <v>0.57108055009823178</v>
      </c>
      <c r="D221" s="79">
        <v>0.72626637921807868</v>
      </c>
      <c r="E221" s="1"/>
      <c r="F221" s="1"/>
      <c r="G221" s="1"/>
      <c r="H221" s="1"/>
      <c r="I221" s="1"/>
      <c r="J221" s="1"/>
      <c r="K221" s="23">
        <v>1</v>
      </c>
      <c r="L221" s="11">
        <f t="shared" si="24"/>
        <v>0.72626637921807868</v>
      </c>
      <c r="M221" s="23">
        <f t="shared" si="25"/>
        <v>0.57108055009823178</v>
      </c>
      <c r="N221" s="1" t="s">
        <v>1696</v>
      </c>
      <c r="O221" s="1"/>
      <c r="P221" s="1" t="s">
        <v>1696</v>
      </c>
      <c r="Q221" s="1"/>
      <c r="R221" s="1" t="s">
        <v>1698</v>
      </c>
      <c r="S221" s="1">
        <v>0.1</v>
      </c>
      <c r="T221" s="23">
        <v>1</v>
      </c>
      <c r="U221" s="11">
        <f t="shared" si="26"/>
        <v>0.82626637921807866</v>
      </c>
      <c r="V221" s="24">
        <f t="shared" si="27"/>
        <v>0.57108055009823178</v>
      </c>
      <c r="W221" s="4"/>
      <c r="X221" s="54"/>
      <c r="Y221" s="34">
        <v>0.57108055009823178</v>
      </c>
      <c r="Z221" s="54">
        <v>0.72626637921807868</v>
      </c>
      <c r="AA221" s="54" t="b">
        <f t="shared" si="21"/>
        <v>1</v>
      </c>
      <c r="AB221" s="54" t="b">
        <f t="shared" si="22"/>
        <v>1</v>
      </c>
      <c r="AC221" s="54" t="b">
        <f t="shared" si="23"/>
        <v>1</v>
      </c>
    </row>
    <row r="222" spans="1:29" x14ac:dyDescent="0.25">
      <c r="A222" s="1" t="s">
        <v>1449</v>
      </c>
      <c r="B222" s="1" t="s">
        <v>1695</v>
      </c>
      <c r="C222" s="23">
        <v>0.64133884297520671</v>
      </c>
      <c r="D222" s="79">
        <v>2.5695214040875234</v>
      </c>
      <c r="E222" s="1"/>
      <c r="F222" s="1"/>
      <c r="G222" s="1"/>
      <c r="H222" s="1"/>
      <c r="I222" s="1"/>
      <c r="J222" s="1"/>
      <c r="K222" s="23">
        <v>1</v>
      </c>
      <c r="L222" s="11">
        <f t="shared" si="24"/>
        <v>2.5695214040875234</v>
      </c>
      <c r="M222" s="23">
        <f t="shared" si="25"/>
        <v>0.64133884297520671</v>
      </c>
      <c r="N222" s="1" t="s">
        <v>1696</v>
      </c>
      <c r="O222" s="1"/>
      <c r="P222" s="1" t="s">
        <v>1696</v>
      </c>
      <c r="Q222" s="1"/>
      <c r="R222" s="1" t="s">
        <v>1698</v>
      </c>
      <c r="S222" s="1">
        <v>0.1</v>
      </c>
      <c r="T222" s="23">
        <v>1</v>
      </c>
      <c r="U222" s="11">
        <f t="shared" si="26"/>
        <v>2.6695214040875235</v>
      </c>
      <c r="V222" s="24">
        <f t="shared" si="27"/>
        <v>0.64133884297520671</v>
      </c>
      <c r="W222" s="4"/>
      <c r="X222" s="54"/>
      <c r="Y222" s="34">
        <v>0.60626562500000003</v>
      </c>
      <c r="Z222" s="54">
        <v>5.2112058967552377</v>
      </c>
      <c r="AA222" s="54" t="b">
        <f t="shared" si="21"/>
        <v>0</v>
      </c>
      <c r="AB222" s="54" t="b">
        <f t="shared" si="22"/>
        <v>0</v>
      </c>
      <c r="AC222" s="54" t="b">
        <f t="shared" si="23"/>
        <v>1</v>
      </c>
    </row>
    <row r="223" spans="1:29" x14ac:dyDescent="0.25">
      <c r="A223" s="1" t="s">
        <v>1455</v>
      </c>
      <c r="B223" s="1" t="s">
        <v>1695</v>
      </c>
      <c r="C223" s="23">
        <v>0.63894116684395719</v>
      </c>
      <c r="D223" s="79">
        <v>2.536263900450364</v>
      </c>
      <c r="E223" s="1"/>
      <c r="F223" s="1"/>
      <c r="G223" s="1"/>
      <c r="H223" s="1"/>
      <c r="I223" s="1"/>
      <c r="J223" s="1"/>
      <c r="K223" s="23">
        <v>1</v>
      </c>
      <c r="L223" s="11">
        <f t="shared" si="24"/>
        <v>2.536263900450364</v>
      </c>
      <c r="M223" s="23">
        <f t="shared" si="25"/>
        <v>0.63894116684395719</v>
      </c>
      <c r="N223" s="1" t="s">
        <v>1696</v>
      </c>
      <c r="O223" s="1"/>
      <c r="P223" s="1" t="s">
        <v>1696</v>
      </c>
      <c r="Q223" s="1"/>
      <c r="R223" s="1" t="s">
        <v>1698</v>
      </c>
      <c r="S223" s="1">
        <v>0.1</v>
      </c>
      <c r="T223" s="23">
        <v>1</v>
      </c>
      <c r="U223" s="11">
        <f t="shared" si="26"/>
        <v>2.6362639004503641</v>
      </c>
      <c r="V223" s="24">
        <f t="shared" si="27"/>
        <v>0.63894116684395719</v>
      </c>
      <c r="W223" s="4"/>
      <c r="X223" s="54"/>
      <c r="Y223" s="34">
        <v>0.60399907178217827</v>
      </c>
      <c r="Z223" s="54">
        <v>5.1878615184307701</v>
      </c>
      <c r="AA223" s="54" t="b">
        <f t="shared" si="21"/>
        <v>0</v>
      </c>
      <c r="AB223" s="54" t="b">
        <f t="shared" si="22"/>
        <v>0</v>
      </c>
      <c r="AC223" s="54" t="b">
        <f t="shared" si="23"/>
        <v>1</v>
      </c>
    </row>
    <row r="224" spans="1:29" x14ac:dyDescent="0.25">
      <c r="A224" s="1" t="s">
        <v>1463</v>
      </c>
      <c r="B224" s="1" t="s">
        <v>1695</v>
      </c>
      <c r="C224" s="23">
        <v>0.53546453546453554</v>
      </c>
      <c r="D224" s="11">
        <v>3.6069651741293529</v>
      </c>
      <c r="E224" s="1"/>
      <c r="F224" s="1"/>
      <c r="G224" s="1"/>
      <c r="H224" s="1"/>
      <c r="I224" s="1"/>
      <c r="J224" s="1"/>
      <c r="K224" s="23">
        <v>1</v>
      </c>
      <c r="L224" s="11">
        <f t="shared" si="24"/>
        <v>3.6069651741293529</v>
      </c>
      <c r="M224" s="23">
        <f t="shared" si="25"/>
        <v>0.53546453546453554</v>
      </c>
      <c r="N224" s="1" t="s">
        <v>1696</v>
      </c>
      <c r="O224" s="1"/>
      <c r="P224" s="1"/>
      <c r="Q224" s="1"/>
      <c r="R224" s="1"/>
      <c r="S224" s="1"/>
      <c r="T224" s="23">
        <v>1</v>
      </c>
      <c r="U224" s="11">
        <f t="shared" si="26"/>
        <v>3.6069651741293529</v>
      </c>
      <c r="V224" s="24">
        <f t="shared" si="27"/>
        <v>0.53546453546453554</v>
      </c>
      <c r="W224" s="4"/>
      <c r="X224" s="54"/>
      <c r="Y224" s="34">
        <v>0.41665703609538129</v>
      </c>
      <c r="Z224" s="54">
        <v>4.9077755177514781</v>
      </c>
      <c r="AA224" s="54" t="b">
        <f t="shared" si="21"/>
        <v>0</v>
      </c>
      <c r="AB224" s="54" t="b">
        <f t="shared" si="22"/>
        <v>0</v>
      </c>
      <c r="AC224" s="54" t="b">
        <f t="shared" si="23"/>
        <v>1</v>
      </c>
    </row>
    <row r="225" spans="1:29" x14ac:dyDescent="0.25">
      <c r="A225" s="25" t="s">
        <v>1633</v>
      </c>
      <c r="B225" s="25" t="s">
        <v>1879</v>
      </c>
      <c r="C225" s="23"/>
      <c r="D225" s="11"/>
      <c r="E225" s="1" t="s">
        <v>1696</v>
      </c>
      <c r="F225" s="1"/>
      <c r="G225" s="1" t="s">
        <v>1696</v>
      </c>
      <c r="H225" s="1"/>
      <c r="I225" s="1" t="s">
        <v>1698</v>
      </c>
      <c r="J225" s="1">
        <v>0.1</v>
      </c>
      <c r="K225" s="23">
        <v>1</v>
      </c>
      <c r="L225" s="11">
        <f t="shared" si="24"/>
        <v>0.1</v>
      </c>
      <c r="M225" s="23">
        <f t="shared" si="25"/>
        <v>0</v>
      </c>
      <c r="N225" s="1"/>
      <c r="O225" s="1"/>
      <c r="P225" s="1"/>
      <c r="Q225" s="1"/>
      <c r="R225" s="1"/>
      <c r="S225" s="1"/>
      <c r="T225" s="23">
        <v>1</v>
      </c>
      <c r="U225" s="11">
        <f t="shared" si="26"/>
        <v>0</v>
      </c>
      <c r="V225" s="24">
        <f t="shared" si="27"/>
        <v>0</v>
      </c>
      <c r="W225" s="4"/>
      <c r="X225" s="54"/>
      <c r="Y225" s="34">
        <v>0</v>
      </c>
      <c r="Z225" s="54">
        <v>0</v>
      </c>
      <c r="AA225" s="54" t="b">
        <f t="shared" si="21"/>
        <v>1</v>
      </c>
      <c r="AB225" s="54" t="b">
        <f t="shared" si="22"/>
        <v>1</v>
      </c>
      <c r="AC225" s="54" t="b">
        <f t="shared" si="23"/>
        <v>1</v>
      </c>
    </row>
    <row r="226" spans="1:29" x14ac:dyDescent="0.25">
      <c r="A226" s="27" t="s">
        <v>1471</v>
      </c>
      <c r="B226" s="27" t="s">
        <v>1701</v>
      </c>
      <c r="C226" s="28"/>
      <c r="D226" s="11"/>
      <c r="E226" s="1" t="s">
        <v>1696</v>
      </c>
      <c r="F226" s="1"/>
      <c r="G226" s="1" t="s">
        <v>1696</v>
      </c>
      <c r="H226" s="1"/>
      <c r="I226" s="1" t="s">
        <v>1698</v>
      </c>
      <c r="J226" s="1">
        <v>0.1</v>
      </c>
      <c r="K226" s="23">
        <v>1</v>
      </c>
      <c r="L226" s="11">
        <f t="shared" si="24"/>
        <v>0.1</v>
      </c>
      <c r="M226" s="23">
        <f t="shared" si="25"/>
        <v>0</v>
      </c>
      <c r="N226" s="1"/>
      <c r="O226" s="1"/>
      <c r="P226" s="1"/>
      <c r="Q226" s="1"/>
      <c r="R226" s="1"/>
      <c r="S226" s="1"/>
      <c r="T226" s="23">
        <v>1</v>
      </c>
      <c r="U226" s="11">
        <f t="shared" si="26"/>
        <v>0</v>
      </c>
      <c r="V226" s="24">
        <f t="shared" si="27"/>
        <v>0</v>
      </c>
      <c r="W226" s="4"/>
      <c r="X226" s="54"/>
      <c r="Y226" s="34">
        <v>0</v>
      </c>
      <c r="Z226" s="54">
        <v>0</v>
      </c>
      <c r="AA226" s="54" t="b">
        <f t="shared" si="21"/>
        <v>1</v>
      </c>
      <c r="AB226" s="54" t="b">
        <f t="shared" si="22"/>
        <v>1</v>
      </c>
      <c r="AC226" s="54" t="b">
        <f t="shared" si="23"/>
        <v>1</v>
      </c>
    </row>
    <row r="227" spans="1:29" x14ac:dyDescent="0.25">
      <c r="A227" s="1" t="s">
        <v>1549</v>
      </c>
      <c r="B227" s="1" t="s">
        <v>1695</v>
      </c>
      <c r="C227" s="23">
        <v>0.2</v>
      </c>
      <c r="D227" s="11">
        <v>10</v>
      </c>
      <c r="E227" s="1" t="s">
        <v>1696</v>
      </c>
      <c r="F227" s="1"/>
      <c r="G227" s="1" t="s">
        <v>1696</v>
      </c>
      <c r="H227" s="1"/>
      <c r="I227" s="1" t="s">
        <v>1698</v>
      </c>
      <c r="J227" s="1">
        <v>0.1</v>
      </c>
      <c r="K227" s="23">
        <v>1</v>
      </c>
      <c r="L227" s="11">
        <f t="shared" si="24"/>
        <v>10.1</v>
      </c>
      <c r="M227" s="23">
        <f t="shared" si="25"/>
        <v>0.2</v>
      </c>
      <c r="N227" s="1"/>
      <c r="O227" s="1"/>
      <c r="P227" s="1"/>
      <c r="Q227" s="1"/>
      <c r="R227" s="1"/>
      <c r="S227" s="1"/>
      <c r="T227" s="23">
        <v>1</v>
      </c>
      <c r="U227" s="11">
        <f t="shared" si="26"/>
        <v>10</v>
      </c>
      <c r="V227" s="24">
        <f t="shared" si="27"/>
        <v>0.2</v>
      </c>
      <c r="W227" s="4"/>
      <c r="X227" s="54"/>
      <c r="Y227" s="34">
        <v>0.16438356164383561</v>
      </c>
      <c r="Z227" s="54">
        <v>10</v>
      </c>
      <c r="AA227" s="54" t="b">
        <f t="shared" si="21"/>
        <v>0</v>
      </c>
      <c r="AB227" s="54" t="b">
        <f t="shared" si="22"/>
        <v>1</v>
      </c>
      <c r="AC227" s="54" t="b">
        <f t="shared" si="23"/>
        <v>1</v>
      </c>
    </row>
    <row r="228" spans="1:29" x14ac:dyDescent="0.25">
      <c r="A228" s="1" t="s">
        <v>1634</v>
      </c>
      <c r="B228" s="1" t="s">
        <v>1695</v>
      </c>
      <c r="C228" s="23">
        <v>0.10800000000000001</v>
      </c>
      <c r="D228" s="11">
        <v>21.604938271604937</v>
      </c>
      <c r="E228" s="1" t="s">
        <v>1696</v>
      </c>
      <c r="F228" s="1"/>
      <c r="G228" s="1" t="s">
        <v>1696</v>
      </c>
      <c r="H228" s="1"/>
      <c r="I228" s="1" t="s">
        <v>1698</v>
      </c>
      <c r="J228" s="1">
        <v>0.1</v>
      </c>
      <c r="K228" s="23">
        <v>1</v>
      </c>
      <c r="L228" s="11">
        <f t="shared" si="24"/>
        <v>21.704938271604938</v>
      </c>
      <c r="M228" s="23">
        <f t="shared" si="25"/>
        <v>0.10800000000000001</v>
      </c>
      <c r="N228" s="1"/>
      <c r="O228" s="1"/>
      <c r="P228" s="1"/>
      <c r="Q228" s="1"/>
      <c r="R228" s="1"/>
      <c r="S228" s="1"/>
      <c r="T228" s="23">
        <v>1</v>
      </c>
      <c r="U228" s="11">
        <f t="shared" si="26"/>
        <v>21.604938271604937</v>
      </c>
      <c r="V228" s="24">
        <f t="shared" si="27"/>
        <v>0.10800000000000001</v>
      </c>
      <c r="W228" s="4"/>
      <c r="X228" s="54"/>
      <c r="Y228" s="34">
        <v>0</v>
      </c>
      <c r="Z228" s="54">
        <v>0</v>
      </c>
      <c r="AA228" s="54" t="b">
        <f t="shared" si="21"/>
        <v>0</v>
      </c>
      <c r="AB228" s="54" t="b">
        <f t="shared" si="22"/>
        <v>0</v>
      </c>
      <c r="AC228" s="54" t="b">
        <f t="shared" si="23"/>
        <v>1</v>
      </c>
    </row>
    <row r="229" spans="1:29" x14ac:dyDescent="0.25">
      <c r="A229" s="1" t="s">
        <v>1550</v>
      </c>
      <c r="B229" s="1" t="s">
        <v>1695</v>
      </c>
      <c r="C229" s="23">
        <v>0.51224328593996837</v>
      </c>
      <c r="D229" s="11">
        <v>2.8784374196864562</v>
      </c>
      <c r="E229" s="1" t="s">
        <v>1696</v>
      </c>
      <c r="F229" s="1"/>
      <c r="G229" s="1" t="s">
        <v>1696</v>
      </c>
      <c r="H229" s="1"/>
      <c r="I229" s="1" t="s">
        <v>1698</v>
      </c>
      <c r="J229" s="1">
        <v>0.1</v>
      </c>
      <c r="K229" s="23">
        <v>1</v>
      </c>
      <c r="L229" s="11">
        <f t="shared" si="24"/>
        <v>2.9784374196864563</v>
      </c>
      <c r="M229" s="23">
        <f t="shared" si="25"/>
        <v>0.51224328593996837</v>
      </c>
      <c r="N229" s="1"/>
      <c r="O229" s="1"/>
      <c r="P229" s="1"/>
      <c r="Q229" s="1"/>
      <c r="R229" s="1"/>
      <c r="S229" s="1"/>
      <c r="T229" s="23">
        <v>1</v>
      </c>
      <c r="U229" s="11">
        <f t="shared" si="26"/>
        <v>2.8784374196864562</v>
      </c>
      <c r="V229" s="24">
        <f t="shared" si="27"/>
        <v>0.51224328593996837</v>
      </c>
      <c r="W229" s="4">
        <v>1.85</v>
      </c>
      <c r="X229" s="54">
        <v>0.63</v>
      </c>
      <c r="Y229" s="34">
        <v>0.46879936808846756</v>
      </c>
      <c r="Z229" s="54">
        <v>4.8160629036787421</v>
      </c>
      <c r="AA229" s="54" t="b">
        <f t="shared" si="21"/>
        <v>0</v>
      </c>
      <c r="AB229" s="54" t="b">
        <f t="shared" si="22"/>
        <v>0</v>
      </c>
      <c r="AC229" s="54" t="b">
        <f t="shared" si="23"/>
        <v>1</v>
      </c>
    </row>
    <row r="230" spans="1:29" x14ac:dyDescent="0.25">
      <c r="A230" s="1" t="s">
        <v>1661</v>
      </c>
      <c r="B230" s="1" t="s">
        <v>1695</v>
      </c>
      <c r="C230" s="23">
        <v>0.61216429699842023</v>
      </c>
      <c r="D230" s="11">
        <v>1.9569892473118278</v>
      </c>
      <c r="E230" s="1"/>
      <c r="F230" s="1"/>
      <c r="G230" s="1"/>
      <c r="H230" s="1"/>
      <c r="I230" s="1"/>
      <c r="J230" s="1"/>
      <c r="K230" s="23">
        <v>1</v>
      </c>
      <c r="L230" s="11">
        <f t="shared" si="24"/>
        <v>1.9569892473118278</v>
      </c>
      <c r="M230" s="23">
        <f t="shared" si="25"/>
        <v>0.61216429699842023</v>
      </c>
      <c r="N230" s="1" t="s">
        <v>1696</v>
      </c>
      <c r="O230" s="1"/>
      <c r="P230" s="1" t="s">
        <v>1696</v>
      </c>
      <c r="Q230" s="1"/>
      <c r="R230" s="1" t="s">
        <v>1698</v>
      </c>
      <c r="S230" s="1">
        <v>0.1</v>
      </c>
      <c r="T230" s="23">
        <v>1</v>
      </c>
      <c r="U230" s="11">
        <f t="shared" si="26"/>
        <v>2.0569892473118276</v>
      </c>
      <c r="V230" s="24">
        <f t="shared" si="27"/>
        <v>0.61216429699842023</v>
      </c>
      <c r="W230" s="4"/>
      <c r="X230" s="54"/>
      <c r="Y230" s="34">
        <v>0.5726698262243286</v>
      </c>
      <c r="Z230" s="54">
        <v>2.5057471264367819</v>
      </c>
      <c r="AA230" s="54" t="b">
        <f t="shared" si="21"/>
        <v>0</v>
      </c>
      <c r="AB230" s="54" t="b">
        <f t="shared" si="22"/>
        <v>0</v>
      </c>
      <c r="AC230" s="54" t="b">
        <f t="shared" si="23"/>
        <v>1</v>
      </c>
    </row>
    <row r="231" spans="1:29" x14ac:dyDescent="0.25">
      <c r="A231" s="1" t="s">
        <v>1451</v>
      </c>
      <c r="B231" s="1" t="s">
        <v>1695</v>
      </c>
      <c r="C231" s="23">
        <v>0.49644549763033174</v>
      </c>
      <c r="D231" s="11">
        <v>2.9037390612569611</v>
      </c>
      <c r="E231" s="1" t="s">
        <v>1696</v>
      </c>
      <c r="F231" s="1"/>
      <c r="G231" s="1" t="s">
        <v>1696</v>
      </c>
      <c r="H231" s="1"/>
      <c r="I231" s="1" t="s">
        <v>1698</v>
      </c>
      <c r="J231" s="1">
        <v>0.1</v>
      </c>
      <c r="K231" s="23">
        <v>1</v>
      </c>
      <c r="L231" s="11">
        <f t="shared" si="24"/>
        <v>3.0037390612569612</v>
      </c>
      <c r="M231" s="23">
        <f t="shared" si="25"/>
        <v>0.49644549763033174</v>
      </c>
      <c r="N231" s="1"/>
      <c r="O231" s="1"/>
      <c r="P231" s="1"/>
      <c r="Q231" s="1"/>
      <c r="R231" s="1"/>
      <c r="S231" s="1"/>
      <c r="T231" s="23">
        <v>1</v>
      </c>
      <c r="U231" s="11">
        <f t="shared" si="26"/>
        <v>2.9037390612569611</v>
      </c>
      <c r="V231" s="24">
        <f t="shared" si="27"/>
        <v>0.49644549763033174</v>
      </c>
      <c r="W231" s="4"/>
      <c r="X231" s="54"/>
      <c r="Y231" s="34">
        <v>0.45308329247698265</v>
      </c>
      <c r="Z231" s="54">
        <v>4.5647098900878857</v>
      </c>
      <c r="AA231" s="54" t="b">
        <f t="shared" si="21"/>
        <v>0</v>
      </c>
      <c r="AB231" s="54" t="b">
        <f t="shared" si="22"/>
        <v>0</v>
      </c>
      <c r="AC231" s="54" t="b">
        <f t="shared" si="23"/>
        <v>1</v>
      </c>
    </row>
    <row r="232" spans="1:29" x14ac:dyDescent="0.25">
      <c r="A232" s="25" t="s">
        <v>1613</v>
      </c>
      <c r="B232" s="25" t="s">
        <v>1879</v>
      </c>
      <c r="C232" s="23"/>
      <c r="D232" s="11"/>
      <c r="E232" s="1" t="s">
        <v>1696</v>
      </c>
      <c r="F232" s="1"/>
      <c r="G232" s="1"/>
      <c r="H232" s="1"/>
      <c r="I232" s="1"/>
      <c r="J232" s="1"/>
      <c r="K232" s="23">
        <v>1</v>
      </c>
      <c r="L232" s="11">
        <f t="shared" si="24"/>
        <v>0</v>
      </c>
      <c r="M232" s="23">
        <f t="shared" si="25"/>
        <v>0</v>
      </c>
      <c r="N232" s="1"/>
      <c r="O232" s="1"/>
      <c r="P232" s="1"/>
      <c r="Q232" s="1"/>
      <c r="R232" s="1"/>
      <c r="S232" s="1"/>
      <c r="T232" s="23">
        <v>1</v>
      </c>
      <c r="U232" s="11">
        <f t="shared" si="26"/>
        <v>0</v>
      </c>
      <c r="V232" s="24">
        <f t="shared" si="27"/>
        <v>0</v>
      </c>
      <c r="W232" s="4"/>
      <c r="X232" s="54"/>
      <c r="Y232" s="34">
        <v>0</v>
      </c>
      <c r="Z232" s="54">
        <v>0</v>
      </c>
      <c r="AA232" s="54" t="b">
        <f t="shared" si="21"/>
        <v>1</v>
      </c>
      <c r="AB232" s="54" t="b">
        <f t="shared" si="22"/>
        <v>1</v>
      </c>
      <c r="AC232" s="54" t="b">
        <f t="shared" si="23"/>
        <v>1</v>
      </c>
    </row>
    <row r="233" spans="1:29" x14ac:dyDescent="0.25">
      <c r="A233" s="1" t="s">
        <v>1614</v>
      </c>
      <c r="B233" s="1" t="s">
        <v>1695</v>
      </c>
      <c r="C233" s="23">
        <v>0.22</v>
      </c>
      <c r="D233" s="79">
        <v>4.4393939393939394</v>
      </c>
      <c r="E233" s="1" t="s">
        <v>1696</v>
      </c>
      <c r="F233" s="1"/>
      <c r="G233" s="1" t="s">
        <v>1696</v>
      </c>
      <c r="H233" s="1"/>
      <c r="I233" s="1" t="s">
        <v>1698</v>
      </c>
      <c r="J233" s="1">
        <v>0.1</v>
      </c>
      <c r="K233" s="23">
        <v>1</v>
      </c>
      <c r="L233" s="11">
        <f t="shared" si="24"/>
        <v>4.5393939393939391</v>
      </c>
      <c r="M233" s="23">
        <f t="shared" si="25"/>
        <v>0.22</v>
      </c>
      <c r="N233" s="1"/>
      <c r="O233" s="1"/>
      <c r="P233" s="1"/>
      <c r="Q233" s="1"/>
      <c r="R233" s="1"/>
      <c r="S233" s="1"/>
      <c r="T233" s="23">
        <v>1</v>
      </c>
      <c r="U233" s="11">
        <f t="shared" si="26"/>
        <v>4.4393939393939394</v>
      </c>
      <c r="V233" s="24">
        <f t="shared" si="27"/>
        <v>0.22</v>
      </c>
      <c r="W233" s="4"/>
      <c r="X233" s="54"/>
      <c r="Y233" s="34">
        <v>0.22</v>
      </c>
      <c r="Z233" s="54">
        <v>4.4393939393939394</v>
      </c>
      <c r="AA233" s="54" t="b">
        <f t="shared" si="21"/>
        <v>1</v>
      </c>
      <c r="AB233" s="54" t="b">
        <f t="shared" si="22"/>
        <v>1</v>
      </c>
      <c r="AC233" s="54" t="b">
        <f t="shared" si="23"/>
        <v>1</v>
      </c>
    </row>
    <row r="234" spans="1:29" x14ac:dyDescent="0.25">
      <c r="A234" s="1" t="s">
        <v>1614</v>
      </c>
      <c r="B234" s="1" t="s">
        <v>1695</v>
      </c>
      <c r="C234" s="23">
        <v>0.22</v>
      </c>
      <c r="D234" s="79">
        <v>4.4393939393939394</v>
      </c>
      <c r="E234" s="1" t="s">
        <v>1696</v>
      </c>
      <c r="F234" s="1"/>
      <c r="G234" s="1" t="s">
        <v>1696</v>
      </c>
      <c r="H234" s="1"/>
      <c r="I234" s="1" t="s">
        <v>1698</v>
      </c>
      <c r="J234" s="1">
        <v>0.1</v>
      </c>
      <c r="K234" s="23">
        <v>1</v>
      </c>
      <c r="L234" s="11">
        <f t="shared" si="24"/>
        <v>4.5393939393939391</v>
      </c>
      <c r="M234" s="23">
        <f t="shared" si="25"/>
        <v>0.22</v>
      </c>
      <c r="N234" s="1"/>
      <c r="O234" s="1"/>
      <c r="P234" s="1"/>
      <c r="Q234" s="1"/>
      <c r="R234" s="1"/>
      <c r="S234" s="1"/>
      <c r="T234" s="23">
        <v>1</v>
      </c>
      <c r="U234" s="11">
        <f t="shared" si="26"/>
        <v>4.4393939393939394</v>
      </c>
      <c r="V234" s="24">
        <f t="shared" si="27"/>
        <v>0.22</v>
      </c>
      <c r="W234" s="4"/>
      <c r="X234" s="54"/>
      <c r="Y234" s="34">
        <v>0.22</v>
      </c>
      <c r="Z234" s="54">
        <v>4.4393939393939394</v>
      </c>
      <c r="AA234" s="54" t="b">
        <f t="shared" si="21"/>
        <v>1</v>
      </c>
      <c r="AB234" s="54" t="b">
        <f t="shared" si="22"/>
        <v>1</v>
      </c>
      <c r="AC234" s="54" t="b">
        <f t="shared" si="23"/>
        <v>1</v>
      </c>
    </row>
    <row r="235" spans="1:29" x14ac:dyDescent="0.25">
      <c r="A235" s="1" t="s">
        <v>1552</v>
      </c>
      <c r="B235" s="1" t="s">
        <v>1695</v>
      </c>
      <c r="C235" s="23">
        <v>0.67796610169491522</v>
      </c>
      <c r="D235" s="79">
        <v>3.4333333333333331</v>
      </c>
      <c r="E235" s="1" t="s">
        <v>1696</v>
      </c>
      <c r="F235" s="1"/>
      <c r="G235" s="1" t="s">
        <v>1696</v>
      </c>
      <c r="H235" s="1"/>
      <c r="I235" s="1" t="s">
        <v>1698</v>
      </c>
      <c r="J235" s="1">
        <v>0.1</v>
      </c>
      <c r="K235" s="23">
        <v>1</v>
      </c>
      <c r="L235" s="11">
        <f t="shared" si="24"/>
        <v>3.5333333333333332</v>
      </c>
      <c r="M235" s="23">
        <f t="shared" si="25"/>
        <v>0.67796610169491522</v>
      </c>
      <c r="N235" s="1"/>
      <c r="O235" s="1"/>
      <c r="P235" s="1"/>
      <c r="Q235" s="1"/>
      <c r="R235" s="1"/>
      <c r="S235" s="1"/>
      <c r="T235" s="23">
        <v>1</v>
      </c>
      <c r="U235" s="11">
        <f t="shared" si="26"/>
        <v>3.4333333333333331</v>
      </c>
      <c r="V235" s="24">
        <f t="shared" si="27"/>
        <v>0.67796610169491522</v>
      </c>
      <c r="W235" s="4"/>
      <c r="X235" s="54"/>
      <c r="Y235" s="34">
        <v>0.625</v>
      </c>
      <c r="Z235" s="54">
        <v>5.8708333333333336</v>
      </c>
      <c r="AA235" s="54" t="b">
        <f t="shared" si="21"/>
        <v>0</v>
      </c>
      <c r="AB235" s="54" t="b">
        <f t="shared" si="22"/>
        <v>0</v>
      </c>
      <c r="AC235" s="54" t="b">
        <f t="shared" si="23"/>
        <v>1</v>
      </c>
    </row>
    <row r="236" spans="1:29" x14ac:dyDescent="0.25">
      <c r="A236" s="25" t="s">
        <v>1553</v>
      </c>
      <c r="B236" s="25" t="s">
        <v>1879</v>
      </c>
      <c r="C236" s="23"/>
      <c r="D236" s="11"/>
      <c r="E236" s="1" t="s">
        <v>1696</v>
      </c>
      <c r="F236" s="1"/>
      <c r="G236" s="1"/>
      <c r="H236" s="1"/>
      <c r="I236" s="1"/>
      <c r="J236" s="1"/>
      <c r="K236" s="23">
        <v>1</v>
      </c>
      <c r="L236" s="11">
        <f t="shared" si="24"/>
        <v>0</v>
      </c>
      <c r="M236" s="23">
        <f t="shared" si="25"/>
        <v>0</v>
      </c>
      <c r="N236" s="1"/>
      <c r="O236" s="1"/>
      <c r="P236" s="1"/>
      <c r="Q236" s="1"/>
      <c r="R236" s="1"/>
      <c r="S236" s="1"/>
      <c r="T236" s="23">
        <v>1</v>
      </c>
      <c r="U236" s="11">
        <f t="shared" si="26"/>
        <v>0</v>
      </c>
      <c r="V236" s="24">
        <f t="shared" si="27"/>
        <v>0</v>
      </c>
      <c r="W236" s="4"/>
      <c r="X236" s="54"/>
      <c r="Y236" s="34">
        <v>0</v>
      </c>
      <c r="Z236" s="54">
        <v>0</v>
      </c>
      <c r="AA236" s="54" t="b">
        <f t="shared" si="21"/>
        <v>1</v>
      </c>
      <c r="AB236" s="54" t="b">
        <f t="shared" si="22"/>
        <v>1</v>
      </c>
      <c r="AC236" s="54" t="b">
        <f t="shared" si="23"/>
        <v>1</v>
      </c>
    </row>
    <row r="237" spans="1:29" x14ac:dyDescent="0.25">
      <c r="A237" s="1" t="s">
        <v>1555</v>
      </c>
      <c r="B237" s="1" t="s">
        <v>1695</v>
      </c>
      <c r="C237" s="23">
        <v>0.69871058760266325</v>
      </c>
      <c r="D237" s="79">
        <v>1.5466136237783306</v>
      </c>
      <c r="E237" s="1" t="s">
        <v>1696</v>
      </c>
      <c r="F237" s="1"/>
      <c r="G237" s="1" t="s">
        <v>1696</v>
      </c>
      <c r="H237" s="1"/>
      <c r="I237" s="1" t="s">
        <v>1698</v>
      </c>
      <c r="J237" s="1">
        <v>0.1</v>
      </c>
      <c r="K237" s="23">
        <v>1</v>
      </c>
      <c r="L237" s="11">
        <f t="shared" si="24"/>
        <v>1.6466136237783306</v>
      </c>
      <c r="M237" s="23">
        <f t="shared" si="25"/>
        <v>0.69871058760266325</v>
      </c>
      <c r="N237" s="1"/>
      <c r="O237" s="1"/>
      <c r="P237" s="1"/>
      <c r="Q237" s="1"/>
      <c r="R237" s="1"/>
      <c r="S237" s="1"/>
      <c r="T237" s="23">
        <v>1</v>
      </c>
      <c r="U237" s="11">
        <f t="shared" si="26"/>
        <v>1.5466136237783306</v>
      </c>
      <c r="V237" s="24">
        <f t="shared" si="27"/>
        <v>0.69871058760266325</v>
      </c>
      <c r="W237" s="4"/>
      <c r="X237" s="54"/>
      <c r="Y237" s="34">
        <v>0.60387326260659369</v>
      </c>
      <c r="Z237" s="54">
        <v>3.656309928222667</v>
      </c>
      <c r="AA237" s="54" t="b">
        <f t="shared" si="21"/>
        <v>0</v>
      </c>
      <c r="AB237" s="54" t="b">
        <f t="shared" si="22"/>
        <v>0</v>
      </c>
      <c r="AC237" s="54" t="b">
        <f t="shared" si="23"/>
        <v>1</v>
      </c>
    </row>
    <row r="238" spans="1:29" x14ac:dyDescent="0.25">
      <c r="A238" s="1" t="s">
        <v>1556</v>
      </c>
      <c r="B238" s="1" t="s">
        <v>1695</v>
      </c>
      <c r="C238" s="23">
        <v>0.59610004936646377</v>
      </c>
      <c r="D238" s="79">
        <v>2.5554520358868182</v>
      </c>
      <c r="E238" s="1" t="s">
        <v>1696</v>
      </c>
      <c r="F238" s="1"/>
      <c r="G238" s="1" t="s">
        <v>1696</v>
      </c>
      <c r="H238" s="1" t="s">
        <v>1696</v>
      </c>
      <c r="I238" s="1" t="s">
        <v>1698</v>
      </c>
      <c r="J238" s="1">
        <v>0.25</v>
      </c>
      <c r="K238" s="30">
        <v>0.9</v>
      </c>
      <c r="L238" s="11">
        <f t="shared" si="24"/>
        <v>2.8054520358868182</v>
      </c>
      <c r="M238" s="23">
        <f t="shared" si="25"/>
        <v>0.5364900444298174</v>
      </c>
      <c r="N238" s="1"/>
      <c r="O238" s="1"/>
      <c r="P238" s="1"/>
      <c r="Q238" s="1"/>
      <c r="R238" s="1"/>
      <c r="S238" s="1"/>
      <c r="T238" s="23">
        <v>1</v>
      </c>
      <c r="U238" s="11">
        <f t="shared" si="26"/>
        <v>2.5554520358868182</v>
      </c>
      <c r="V238" s="24">
        <f t="shared" si="27"/>
        <v>0.59610004936646377</v>
      </c>
      <c r="W238" s="4"/>
      <c r="X238" s="54"/>
      <c r="Y238" s="34">
        <v>0.54952973300970875</v>
      </c>
      <c r="Z238" s="54">
        <v>5.3277087646652861</v>
      </c>
      <c r="AA238" s="54" t="b">
        <f t="shared" si="21"/>
        <v>0</v>
      </c>
      <c r="AB238" s="54" t="b">
        <f t="shared" si="22"/>
        <v>0</v>
      </c>
      <c r="AC238" s="54" t="b">
        <f t="shared" si="23"/>
        <v>0</v>
      </c>
    </row>
    <row r="239" spans="1:29" x14ac:dyDescent="0.25">
      <c r="A239" s="1" t="s">
        <v>1557</v>
      </c>
      <c r="B239" s="1" t="s">
        <v>1695</v>
      </c>
      <c r="C239" s="23">
        <v>0.74716981132075477</v>
      </c>
      <c r="D239" s="79">
        <v>4.8382575757575745</v>
      </c>
      <c r="E239" s="1" t="s">
        <v>1696</v>
      </c>
      <c r="F239" s="1"/>
      <c r="G239" s="1" t="s">
        <v>1696</v>
      </c>
      <c r="H239" s="1"/>
      <c r="I239" s="1" t="s">
        <v>1698</v>
      </c>
      <c r="J239" s="1">
        <v>0.1</v>
      </c>
      <c r="K239" s="23">
        <v>1</v>
      </c>
      <c r="L239" s="11">
        <f t="shared" si="24"/>
        <v>4.9382575757575742</v>
      </c>
      <c r="M239" s="23">
        <f t="shared" si="25"/>
        <v>0.74716981132075477</v>
      </c>
      <c r="N239" s="1"/>
      <c r="O239" s="1"/>
      <c r="P239" s="1"/>
      <c r="Q239" s="1"/>
      <c r="R239" s="1"/>
      <c r="S239" s="1"/>
      <c r="T239" s="23">
        <v>1</v>
      </c>
      <c r="U239" s="11">
        <f t="shared" si="26"/>
        <v>4.8382575757575745</v>
      </c>
      <c r="V239" s="24">
        <f t="shared" si="27"/>
        <v>0.74716981132075477</v>
      </c>
      <c r="W239" s="4">
        <v>4.9400000000000004</v>
      </c>
      <c r="X239" s="54">
        <v>0.75</v>
      </c>
      <c r="Y239" s="34">
        <v>0.74716981132075477</v>
      </c>
      <c r="Z239" s="54">
        <v>4.8382575757575745</v>
      </c>
      <c r="AA239" s="54" t="b">
        <f t="shared" si="21"/>
        <v>1</v>
      </c>
      <c r="AB239" s="54" t="b">
        <f t="shared" si="22"/>
        <v>1</v>
      </c>
      <c r="AC239" s="54" t="b">
        <f t="shared" si="23"/>
        <v>1</v>
      </c>
    </row>
    <row r="240" spans="1:29" x14ac:dyDescent="0.25">
      <c r="A240" s="1" t="s">
        <v>1558</v>
      </c>
      <c r="B240" s="1" t="s">
        <v>1695</v>
      </c>
      <c r="C240" s="23">
        <v>1</v>
      </c>
      <c r="D240" s="79">
        <v>0.1</v>
      </c>
      <c r="E240" s="1" t="s">
        <v>1696</v>
      </c>
      <c r="F240" s="1"/>
      <c r="G240" s="1"/>
      <c r="H240" s="1"/>
      <c r="I240" s="1"/>
      <c r="J240" s="1"/>
      <c r="K240" s="23">
        <v>1</v>
      </c>
      <c r="L240" s="11">
        <f t="shared" si="24"/>
        <v>0.1</v>
      </c>
      <c r="M240" s="23">
        <f t="shared" si="25"/>
        <v>1</v>
      </c>
      <c r="N240" s="1"/>
      <c r="O240" s="1"/>
      <c r="P240" s="1"/>
      <c r="Q240" s="1"/>
      <c r="R240" s="1"/>
      <c r="S240" s="1"/>
      <c r="T240" s="23">
        <v>1</v>
      </c>
      <c r="U240" s="11">
        <f t="shared" si="26"/>
        <v>0.1</v>
      </c>
      <c r="V240" s="24">
        <f t="shared" si="27"/>
        <v>1</v>
      </c>
      <c r="W240" s="4"/>
      <c r="X240" s="54"/>
      <c r="Y240" s="34">
        <v>1</v>
      </c>
      <c r="Z240" s="54">
        <v>0.1</v>
      </c>
      <c r="AA240" s="54" t="b">
        <f t="shared" si="21"/>
        <v>1</v>
      </c>
      <c r="AB240" s="54" t="b">
        <f t="shared" si="22"/>
        <v>1</v>
      </c>
      <c r="AC240" s="54" t="b">
        <f t="shared" si="23"/>
        <v>1</v>
      </c>
    </row>
    <row r="241" spans="1:29" x14ac:dyDescent="0.25">
      <c r="A241" s="1" t="s">
        <v>1559</v>
      </c>
      <c r="B241" s="1" t="s">
        <v>1695</v>
      </c>
      <c r="C241" s="23">
        <v>1</v>
      </c>
      <c r="D241" s="79">
        <v>1</v>
      </c>
      <c r="E241" s="1" t="s">
        <v>1696</v>
      </c>
      <c r="F241" s="1"/>
      <c r="G241" s="1" t="s">
        <v>1696</v>
      </c>
      <c r="H241" s="1"/>
      <c r="I241" s="1" t="s">
        <v>1698</v>
      </c>
      <c r="J241" s="1">
        <v>0.1</v>
      </c>
      <c r="K241" s="23">
        <v>1</v>
      </c>
      <c r="L241" s="11">
        <f t="shared" si="24"/>
        <v>1.1000000000000001</v>
      </c>
      <c r="M241" s="23">
        <f t="shared" si="25"/>
        <v>1</v>
      </c>
      <c r="N241" s="1"/>
      <c r="O241" s="1"/>
      <c r="P241" s="1"/>
      <c r="Q241" s="1"/>
      <c r="R241" s="1"/>
      <c r="S241" s="1"/>
      <c r="T241" s="23">
        <v>1</v>
      </c>
      <c r="U241" s="11">
        <f t="shared" si="26"/>
        <v>1</v>
      </c>
      <c r="V241" s="24">
        <f t="shared" si="27"/>
        <v>1</v>
      </c>
      <c r="W241" s="4">
        <v>1.1000000000000001</v>
      </c>
      <c r="X241" s="54">
        <v>1</v>
      </c>
      <c r="Y241" s="34">
        <v>1</v>
      </c>
      <c r="Z241" s="54">
        <v>1</v>
      </c>
      <c r="AA241" s="54" t="b">
        <f t="shared" si="21"/>
        <v>1</v>
      </c>
      <c r="AB241" s="54" t="b">
        <f t="shared" si="22"/>
        <v>1</v>
      </c>
      <c r="AC241" s="54" t="b">
        <f t="shared" si="23"/>
        <v>1</v>
      </c>
    </row>
    <row r="242" spans="1:29" x14ac:dyDescent="0.25">
      <c r="A242" s="1" t="s">
        <v>1560</v>
      </c>
      <c r="B242" s="1" t="s">
        <v>1695</v>
      </c>
      <c r="C242" s="23">
        <v>1</v>
      </c>
      <c r="D242" s="79">
        <v>1.4</v>
      </c>
      <c r="E242" s="1" t="s">
        <v>1696</v>
      </c>
      <c r="F242" s="1"/>
      <c r="G242" s="1" t="s">
        <v>1696</v>
      </c>
      <c r="H242" s="1"/>
      <c r="I242" s="1" t="s">
        <v>1698</v>
      </c>
      <c r="J242" s="1">
        <v>0.1</v>
      </c>
      <c r="K242" s="23">
        <v>1</v>
      </c>
      <c r="L242" s="11">
        <f t="shared" si="24"/>
        <v>1.5</v>
      </c>
      <c r="M242" s="23">
        <f t="shared" si="25"/>
        <v>1</v>
      </c>
      <c r="N242" s="1"/>
      <c r="O242" s="1"/>
      <c r="P242" s="1"/>
      <c r="Q242" s="1"/>
      <c r="R242" s="1"/>
      <c r="S242" s="1"/>
      <c r="T242" s="23">
        <v>1</v>
      </c>
      <c r="U242" s="11">
        <f t="shared" si="26"/>
        <v>1.4</v>
      </c>
      <c r="V242" s="24">
        <f t="shared" si="27"/>
        <v>1</v>
      </c>
      <c r="W242" s="4">
        <v>1.5</v>
      </c>
      <c r="X242" s="54">
        <v>0.98</v>
      </c>
      <c r="Y242" s="34">
        <v>1</v>
      </c>
      <c r="Z242" s="54">
        <v>1.4</v>
      </c>
      <c r="AA242" s="54" t="b">
        <f t="shared" si="21"/>
        <v>1</v>
      </c>
      <c r="AB242" s="54" t="b">
        <f t="shared" si="22"/>
        <v>1</v>
      </c>
      <c r="AC242" s="54" t="b">
        <f t="shared" si="23"/>
        <v>1</v>
      </c>
    </row>
    <row r="243" spans="1:29" x14ac:dyDescent="0.25">
      <c r="A243" s="1" t="s">
        <v>1561</v>
      </c>
      <c r="B243" s="1" t="s">
        <v>1695</v>
      </c>
      <c r="C243" s="23">
        <v>0.6962162162162161</v>
      </c>
      <c r="D243" s="79">
        <v>6.8115942028985508</v>
      </c>
      <c r="E243" s="1" t="s">
        <v>1696</v>
      </c>
      <c r="F243" s="1"/>
      <c r="G243" s="1" t="s">
        <v>1696</v>
      </c>
      <c r="H243" s="1"/>
      <c r="I243" s="1" t="s">
        <v>1698</v>
      </c>
      <c r="J243" s="1">
        <v>0.1</v>
      </c>
      <c r="K243" s="23">
        <v>1</v>
      </c>
      <c r="L243" s="11">
        <f t="shared" si="24"/>
        <v>6.9115942028985504</v>
      </c>
      <c r="M243" s="23">
        <f t="shared" si="25"/>
        <v>0.6962162162162161</v>
      </c>
      <c r="N243" s="1"/>
      <c r="O243" s="1"/>
      <c r="P243" s="1"/>
      <c r="Q243" s="1"/>
      <c r="R243" s="1"/>
      <c r="S243" s="1"/>
      <c r="T243" s="23">
        <v>1</v>
      </c>
      <c r="U243" s="11">
        <f t="shared" si="26"/>
        <v>6.8115942028985508</v>
      </c>
      <c r="V243" s="24">
        <f t="shared" si="27"/>
        <v>0.6962162162162161</v>
      </c>
      <c r="W243" s="4"/>
      <c r="X243" s="54"/>
      <c r="Y243" s="34">
        <v>0.6962162162162161</v>
      </c>
      <c r="Z243" s="54">
        <v>6.8115942028985508</v>
      </c>
      <c r="AA243" s="54" t="b">
        <f t="shared" si="21"/>
        <v>1</v>
      </c>
      <c r="AB243" s="54" t="b">
        <f t="shared" si="22"/>
        <v>1</v>
      </c>
      <c r="AC243" s="54" t="b">
        <f t="shared" si="23"/>
        <v>1</v>
      </c>
    </row>
    <row r="244" spans="1:29" x14ac:dyDescent="0.25">
      <c r="A244" s="1" t="s">
        <v>1562</v>
      </c>
      <c r="B244" s="1" t="s">
        <v>1695</v>
      </c>
      <c r="C244" s="23">
        <v>0.7465408805031446</v>
      </c>
      <c r="D244" s="79">
        <v>1.6315641673687169</v>
      </c>
      <c r="E244" s="1" t="s">
        <v>1696</v>
      </c>
      <c r="F244" s="1"/>
      <c r="G244" s="1" t="s">
        <v>1696</v>
      </c>
      <c r="H244" s="1"/>
      <c r="I244" s="1" t="s">
        <v>1698</v>
      </c>
      <c r="J244" s="1">
        <v>0.1</v>
      </c>
      <c r="K244" s="23">
        <v>1</v>
      </c>
      <c r="L244" s="11">
        <f t="shared" si="24"/>
        <v>1.731564167368717</v>
      </c>
      <c r="M244" s="23">
        <f t="shared" si="25"/>
        <v>0.7465408805031446</v>
      </c>
      <c r="N244" s="1"/>
      <c r="O244" s="1"/>
      <c r="P244" s="1"/>
      <c r="Q244" s="1"/>
      <c r="R244" s="1"/>
      <c r="S244" s="1"/>
      <c r="T244" s="23">
        <v>1</v>
      </c>
      <c r="U244" s="11">
        <f t="shared" si="26"/>
        <v>1.6315641673687169</v>
      </c>
      <c r="V244" s="24">
        <f t="shared" si="27"/>
        <v>0.7465408805031446</v>
      </c>
      <c r="W244" s="4">
        <v>1.73</v>
      </c>
      <c r="X244" s="54">
        <v>0.75</v>
      </c>
      <c r="Y244" s="34">
        <v>0.7465408805031446</v>
      </c>
      <c r="Z244" s="54">
        <v>1.6315641673687169</v>
      </c>
      <c r="AA244" s="54" t="b">
        <f t="shared" si="21"/>
        <v>1</v>
      </c>
      <c r="AB244" s="54" t="b">
        <f t="shared" si="22"/>
        <v>1</v>
      </c>
      <c r="AC244" s="54" t="b">
        <f t="shared" si="23"/>
        <v>1</v>
      </c>
    </row>
    <row r="245" spans="1:29" x14ac:dyDescent="0.25">
      <c r="A245" s="1" t="s">
        <v>1600</v>
      </c>
      <c r="B245" s="1" t="s">
        <v>1695</v>
      </c>
      <c r="C245" s="23">
        <v>0.29416666666666669</v>
      </c>
      <c r="D245" s="79">
        <v>8.5</v>
      </c>
      <c r="E245" s="1" t="s">
        <v>1696</v>
      </c>
      <c r="F245" s="1"/>
      <c r="G245" s="1" t="s">
        <v>1696</v>
      </c>
      <c r="H245" s="1"/>
      <c r="I245" s="1" t="s">
        <v>1698</v>
      </c>
      <c r="J245" s="1">
        <v>0.1</v>
      </c>
      <c r="K245" s="23">
        <v>1</v>
      </c>
      <c r="L245" s="11">
        <f t="shared" si="24"/>
        <v>8.6</v>
      </c>
      <c r="M245" s="23">
        <f t="shared" si="25"/>
        <v>0.29416666666666669</v>
      </c>
      <c r="N245" s="1"/>
      <c r="O245" s="1"/>
      <c r="P245" s="1"/>
      <c r="Q245" s="1"/>
      <c r="R245" s="1"/>
      <c r="S245" s="1"/>
      <c r="T245" s="23">
        <v>1</v>
      </c>
      <c r="U245" s="11">
        <f t="shared" si="26"/>
        <v>8.5</v>
      </c>
      <c r="V245" s="24">
        <f t="shared" si="27"/>
        <v>0.29416666666666669</v>
      </c>
      <c r="W245" s="4"/>
      <c r="X245" s="54"/>
      <c r="Y245" s="34">
        <v>0.28000498877525565</v>
      </c>
      <c r="Z245" s="54">
        <v>15.513923779998933</v>
      </c>
      <c r="AA245" s="54" t="b">
        <f t="shared" si="21"/>
        <v>0</v>
      </c>
      <c r="AB245" s="54" t="b">
        <f t="shared" si="22"/>
        <v>0</v>
      </c>
      <c r="AC245" s="54" t="b">
        <f t="shared" si="23"/>
        <v>1</v>
      </c>
    </row>
    <row r="246" spans="1:29" x14ac:dyDescent="0.25">
      <c r="A246" s="1" t="s">
        <v>1554</v>
      </c>
      <c r="B246" s="1" t="s">
        <v>1695</v>
      </c>
      <c r="C246" s="23">
        <v>1</v>
      </c>
      <c r="D246" s="79">
        <v>0.1</v>
      </c>
      <c r="E246" s="1" t="s">
        <v>1696</v>
      </c>
      <c r="F246" s="1"/>
      <c r="G246" s="1"/>
      <c r="H246" s="1"/>
      <c r="I246" s="1"/>
      <c r="J246" s="1"/>
      <c r="K246" s="23">
        <v>1</v>
      </c>
      <c r="L246" s="11">
        <f t="shared" si="24"/>
        <v>0.1</v>
      </c>
      <c r="M246" s="23">
        <f t="shared" si="25"/>
        <v>1</v>
      </c>
      <c r="N246" s="1"/>
      <c r="O246" s="1"/>
      <c r="P246" s="1"/>
      <c r="Q246" s="1"/>
      <c r="R246" s="1"/>
      <c r="S246" s="1"/>
      <c r="T246" s="23">
        <v>1</v>
      </c>
      <c r="U246" s="11">
        <f t="shared" si="26"/>
        <v>0.1</v>
      </c>
      <c r="V246" s="24">
        <f t="shared" si="27"/>
        <v>1</v>
      </c>
      <c r="W246" s="4"/>
      <c r="X246" s="54"/>
      <c r="Y246" s="34">
        <v>1</v>
      </c>
      <c r="Z246" s="54">
        <v>0.1</v>
      </c>
      <c r="AA246" s="54" t="b">
        <f t="shared" si="21"/>
        <v>1</v>
      </c>
      <c r="AB246" s="54" t="b">
        <f t="shared" si="22"/>
        <v>1</v>
      </c>
      <c r="AC246" s="54" t="b">
        <f t="shared" si="23"/>
        <v>1</v>
      </c>
    </row>
    <row r="247" spans="1:29" x14ac:dyDescent="0.25">
      <c r="A247" s="1" t="s">
        <v>1551</v>
      </c>
      <c r="B247" s="1" t="s">
        <v>1695</v>
      </c>
      <c r="C247" s="23">
        <v>0.97</v>
      </c>
      <c r="D247" s="79">
        <v>2.061855670103093</v>
      </c>
      <c r="E247" s="1" t="s">
        <v>1696</v>
      </c>
      <c r="F247" s="1"/>
      <c r="G247" s="1"/>
      <c r="H247" s="1"/>
      <c r="I247" s="1"/>
      <c r="J247" s="1"/>
      <c r="K247" s="23">
        <v>1</v>
      </c>
      <c r="L247" s="11">
        <f t="shared" si="24"/>
        <v>2.061855670103093</v>
      </c>
      <c r="M247" s="23">
        <f t="shared" si="25"/>
        <v>0.97</v>
      </c>
      <c r="N247" s="1"/>
      <c r="O247" s="1"/>
      <c r="P247" s="1"/>
      <c r="Q247" s="1"/>
      <c r="R247" s="1"/>
      <c r="S247" s="1"/>
      <c r="T247" s="23">
        <v>1</v>
      </c>
      <c r="U247" s="11">
        <f t="shared" si="26"/>
        <v>2.061855670103093</v>
      </c>
      <c r="V247" s="24">
        <f t="shared" si="27"/>
        <v>0.97</v>
      </c>
      <c r="W247" s="4"/>
      <c r="X247" s="54"/>
      <c r="Y247" s="34">
        <v>0.97</v>
      </c>
      <c r="Z247" s="54">
        <v>2.061855670103093</v>
      </c>
      <c r="AA247" s="54" t="b">
        <f t="shared" si="21"/>
        <v>1</v>
      </c>
      <c r="AB247" s="54" t="b">
        <f t="shared" si="22"/>
        <v>1</v>
      </c>
      <c r="AC247" s="54" t="b">
        <f t="shared" si="23"/>
        <v>1</v>
      </c>
    </row>
    <row r="248" spans="1:29" x14ac:dyDescent="0.25">
      <c r="A248" s="1" t="s">
        <v>1563</v>
      </c>
      <c r="B248" s="1" t="s">
        <v>1695</v>
      </c>
      <c r="C248" s="23">
        <v>0.98235294117647054</v>
      </c>
      <c r="D248" s="79">
        <v>0.39920159680638728</v>
      </c>
      <c r="E248" s="1" t="s">
        <v>1696</v>
      </c>
      <c r="F248" s="1"/>
      <c r="G248" s="1" t="s">
        <v>1696</v>
      </c>
      <c r="H248" s="1"/>
      <c r="I248" s="1" t="s">
        <v>1698</v>
      </c>
      <c r="J248" s="1">
        <v>0.1</v>
      </c>
      <c r="K248" s="23">
        <v>1</v>
      </c>
      <c r="L248" s="11">
        <f t="shared" si="24"/>
        <v>0.49920159680638732</v>
      </c>
      <c r="M248" s="23">
        <f t="shared" si="25"/>
        <v>0.98235294117647054</v>
      </c>
      <c r="N248" s="1"/>
      <c r="O248" s="1"/>
      <c r="P248" s="1"/>
      <c r="Q248" s="1"/>
      <c r="R248" s="1"/>
      <c r="S248" s="1"/>
      <c r="T248" s="23">
        <v>1</v>
      </c>
      <c r="U248" s="11">
        <f t="shared" si="26"/>
        <v>0.39920159680638728</v>
      </c>
      <c r="V248" s="24">
        <f t="shared" si="27"/>
        <v>0.98235294117647054</v>
      </c>
      <c r="W248" s="4"/>
      <c r="X248" s="54"/>
      <c r="Y248" s="34">
        <v>0.98235294117647054</v>
      </c>
      <c r="Z248" s="54">
        <v>0.39920159680638728</v>
      </c>
      <c r="AA248" s="54" t="b">
        <f t="shared" si="21"/>
        <v>1</v>
      </c>
      <c r="AB248" s="54" t="b">
        <f t="shared" si="22"/>
        <v>1</v>
      </c>
      <c r="AC248" s="54" t="b">
        <f t="shared" si="23"/>
        <v>1</v>
      </c>
    </row>
    <row r="249" spans="1:29" x14ac:dyDescent="0.25">
      <c r="A249" s="1" t="s">
        <v>1564</v>
      </c>
      <c r="B249" s="1" t="s">
        <v>1695</v>
      </c>
      <c r="C249" s="23">
        <v>0.98</v>
      </c>
      <c r="D249" s="79">
        <v>2.0408163265306123</v>
      </c>
      <c r="E249" s="1" t="s">
        <v>1696</v>
      </c>
      <c r="F249" s="1"/>
      <c r="G249" s="1"/>
      <c r="H249" s="1"/>
      <c r="I249" s="1"/>
      <c r="J249" s="1"/>
      <c r="K249" s="23">
        <v>1</v>
      </c>
      <c r="L249" s="11">
        <f t="shared" si="24"/>
        <v>2.0408163265306123</v>
      </c>
      <c r="M249" s="23">
        <f t="shared" si="25"/>
        <v>0.98</v>
      </c>
      <c r="N249" s="1"/>
      <c r="O249" s="1"/>
      <c r="P249" s="1"/>
      <c r="Q249" s="1"/>
      <c r="R249" s="1"/>
      <c r="S249" s="1"/>
      <c r="T249" s="23">
        <v>1</v>
      </c>
      <c r="U249" s="11">
        <f t="shared" si="26"/>
        <v>2.0408163265306123</v>
      </c>
      <c r="V249" s="24">
        <f t="shared" si="27"/>
        <v>0.98</v>
      </c>
      <c r="W249" s="4"/>
      <c r="X249" s="54"/>
      <c r="Y249" s="34">
        <v>0.98</v>
      </c>
      <c r="Z249" s="54">
        <v>2.0408163265306123</v>
      </c>
      <c r="AA249" s="54" t="b">
        <f t="shared" si="21"/>
        <v>1</v>
      </c>
      <c r="AB249" s="54" t="b">
        <f t="shared" si="22"/>
        <v>1</v>
      </c>
      <c r="AC249" s="54" t="b">
        <f t="shared" si="23"/>
        <v>1</v>
      </c>
    </row>
    <row r="250" spans="1:29" x14ac:dyDescent="0.25">
      <c r="A250" s="1" t="s">
        <v>1565</v>
      </c>
      <c r="B250" s="1" t="s">
        <v>1695</v>
      </c>
      <c r="C250" s="23">
        <v>0.73584905660377364</v>
      </c>
      <c r="D250" s="79">
        <v>1.358974358974359</v>
      </c>
      <c r="E250" s="1" t="s">
        <v>1696</v>
      </c>
      <c r="F250" s="1"/>
      <c r="G250" s="1" t="s">
        <v>1696</v>
      </c>
      <c r="H250" s="1"/>
      <c r="I250" s="1" t="s">
        <v>1698</v>
      </c>
      <c r="J250" s="1">
        <v>0.1</v>
      </c>
      <c r="K250" s="23">
        <v>1</v>
      </c>
      <c r="L250" s="11">
        <f t="shared" si="24"/>
        <v>1.4589743589743591</v>
      </c>
      <c r="M250" s="23">
        <f t="shared" si="25"/>
        <v>0.73584905660377364</v>
      </c>
      <c r="N250" s="1"/>
      <c r="O250" s="1"/>
      <c r="P250" s="1"/>
      <c r="Q250" s="1"/>
      <c r="R250" s="1"/>
      <c r="S250" s="1"/>
      <c r="T250" s="23">
        <v>1</v>
      </c>
      <c r="U250" s="11">
        <f t="shared" si="26"/>
        <v>1.358974358974359</v>
      </c>
      <c r="V250" s="24">
        <f t="shared" si="27"/>
        <v>0.73584905660377364</v>
      </c>
      <c r="W250" s="4"/>
      <c r="X250" s="54"/>
      <c r="Y250" s="34">
        <v>0.73584905660377364</v>
      </c>
      <c r="Z250" s="54">
        <v>1.358974358974359</v>
      </c>
      <c r="AA250" s="54" t="b">
        <f t="shared" si="21"/>
        <v>1</v>
      </c>
      <c r="AB250" s="54" t="b">
        <f t="shared" si="22"/>
        <v>1</v>
      </c>
      <c r="AC250" s="54" t="b">
        <f t="shared" si="23"/>
        <v>1</v>
      </c>
    </row>
    <row r="251" spans="1:29" x14ac:dyDescent="0.25">
      <c r="A251" s="1" t="s">
        <v>1566</v>
      </c>
      <c r="B251" s="1" t="s">
        <v>1695</v>
      </c>
      <c r="C251" s="23">
        <v>0.88000000000000012</v>
      </c>
      <c r="D251" s="79">
        <v>3.6363636363636362</v>
      </c>
      <c r="E251" s="1" t="s">
        <v>1696</v>
      </c>
      <c r="F251" s="1"/>
      <c r="G251" s="1" t="s">
        <v>1696</v>
      </c>
      <c r="H251" s="1"/>
      <c r="I251" s="1" t="s">
        <v>1698</v>
      </c>
      <c r="J251" s="1">
        <v>0.1</v>
      </c>
      <c r="K251" s="23">
        <v>1</v>
      </c>
      <c r="L251" s="11">
        <f t="shared" si="24"/>
        <v>3.7363636363636363</v>
      </c>
      <c r="M251" s="23">
        <f t="shared" si="25"/>
        <v>0.88000000000000012</v>
      </c>
      <c r="N251" s="1"/>
      <c r="O251" s="1"/>
      <c r="P251" s="1"/>
      <c r="Q251" s="1"/>
      <c r="R251" s="1"/>
      <c r="S251" s="1"/>
      <c r="T251" s="23">
        <v>1</v>
      </c>
      <c r="U251" s="11">
        <f t="shared" si="26"/>
        <v>3.6363636363636362</v>
      </c>
      <c r="V251" s="24">
        <f t="shared" si="27"/>
        <v>0.88000000000000012</v>
      </c>
      <c r="W251" s="4"/>
      <c r="X251" s="54"/>
      <c r="Y251" s="34">
        <v>0.88000000000000012</v>
      </c>
      <c r="Z251" s="54">
        <v>3.6363636363636362</v>
      </c>
      <c r="AA251" s="54" t="b">
        <f t="shared" si="21"/>
        <v>1</v>
      </c>
      <c r="AB251" s="54" t="b">
        <f t="shared" si="22"/>
        <v>1</v>
      </c>
      <c r="AC251" s="54" t="b">
        <f t="shared" si="23"/>
        <v>1</v>
      </c>
    </row>
    <row r="252" spans="1:29" x14ac:dyDescent="0.25">
      <c r="A252" s="1" t="s">
        <v>1567</v>
      </c>
      <c r="B252" s="1" t="s">
        <v>1695</v>
      </c>
      <c r="C252" s="23">
        <v>0.65518543379761707</v>
      </c>
      <c r="D252" s="79">
        <v>2.6656101257177007</v>
      </c>
      <c r="E252" s="1" t="s">
        <v>1696</v>
      </c>
      <c r="F252" s="1"/>
      <c r="G252" s="1" t="s">
        <v>1696</v>
      </c>
      <c r="H252" s="1"/>
      <c r="I252" s="1" t="s">
        <v>1698</v>
      </c>
      <c r="J252" s="1">
        <v>0.1</v>
      </c>
      <c r="K252" s="23">
        <v>1</v>
      </c>
      <c r="L252" s="11">
        <f t="shared" si="24"/>
        <v>2.7656101257177008</v>
      </c>
      <c r="M252" s="23">
        <f t="shared" si="25"/>
        <v>0.65518543379761707</v>
      </c>
      <c r="N252" s="1"/>
      <c r="O252" s="1"/>
      <c r="P252" s="1"/>
      <c r="Q252" s="1"/>
      <c r="R252" s="1"/>
      <c r="S252" s="1"/>
      <c r="T252" s="23">
        <v>1</v>
      </c>
      <c r="U252" s="11">
        <f t="shared" si="26"/>
        <v>2.6656101257177007</v>
      </c>
      <c r="V252" s="24">
        <f t="shared" si="27"/>
        <v>0.65518543379761707</v>
      </c>
      <c r="W252" s="4"/>
      <c r="X252" s="54"/>
      <c r="Y252" s="34">
        <v>0.60399907178217827</v>
      </c>
      <c r="Z252" s="54">
        <v>5.1878615184307701</v>
      </c>
      <c r="AA252" s="54" t="b">
        <f t="shared" si="21"/>
        <v>0</v>
      </c>
      <c r="AB252" s="54" t="b">
        <f t="shared" si="22"/>
        <v>0</v>
      </c>
      <c r="AC252" s="54" t="b">
        <f t="shared" si="23"/>
        <v>1</v>
      </c>
    </row>
    <row r="253" spans="1:29" x14ac:dyDescent="0.25">
      <c r="A253" s="134" t="s">
        <v>1599</v>
      </c>
      <c r="B253" s="1" t="s">
        <v>1695</v>
      </c>
      <c r="C253" s="23">
        <v>0.73097574243462149</v>
      </c>
      <c r="D253" s="11">
        <v>3.68</v>
      </c>
      <c r="E253" s="1" t="s">
        <v>1696</v>
      </c>
      <c r="F253" s="1"/>
      <c r="G253" s="1"/>
      <c r="H253" s="1"/>
      <c r="I253" s="1"/>
      <c r="J253" s="1"/>
      <c r="K253" s="23">
        <v>1</v>
      </c>
      <c r="L253" s="11">
        <f t="shared" si="24"/>
        <v>3.68</v>
      </c>
      <c r="M253" s="23">
        <v>0.82</v>
      </c>
      <c r="N253" s="1"/>
      <c r="O253" s="1"/>
      <c r="P253" s="1"/>
      <c r="Q253" s="1"/>
      <c r="R253" s="1"/>
      <c r="S253" s="1"/>
      <c r="T253" s="23">
        <v>1</v>
      </c>
      <c r="U253" s="11">
        <f t="shared" si="26"/>
        <v>3.68</v>
      </c>
      <c r="V253" s="24">
        <f t="shared" si="27"/>
        <v>0.73097574243462149</v>
      </c>
      <c r="W253" s="4"/>
      <c r="X253" s="54"/>
      <c r="Y253" s="34">
        <v>0.64115541835032441</v>
      </c>
      <c r="Z253" s="54">
        <v>1.8152951393335679</v>
      </c>
      <c r="AA253" s="54" t="b">
        <f t="shared" si="21"/>
        <v>0</v>
      </c>
      <c r="AB253" s="54" t="b">
        <f t="shared" si="22"/>
        <v>0</v>
      </c>
      <c r="AC253" s="54" t="b">
        <f t="shared" si="23"/>
        <v>0</v>
      </c>
    </row>
    <row r="254" spans="1:29" x14ac:dyDescent="0.25">
      <c r="A254" s="25" t="s">
        <v>1644</v>
      </c>
      <c r="B254" s="25" t="s">
        <v>1879</v>
      </c>
      <c r="C254" s="23"/>
      <c r="D254" s="11"/>
      <c r="E254" s="1"/>
      <c r="F254" s="1"/>
      <c r="G254" s="1"/>
      <c r="H254" s="1"/>
      <c r="I254" s="1"/>
      <c r="J254" s="1"/>
      <c r="K254" s="23">
        <v>1</v>
      </c>
      <c r="L254" s="11">
        <f t="shared" si="24"/>
        <v>0</v>
      </c>
      <c r="M254" s="23">
        <f t="shared" si="25"/>
        <v>0</v>
      </c>
      <c r="N254" s="1" t="s">
        <v>1696</v>
      </c>
      <c r="O254" s="1"/>
      <c r="P254" s="1"/>
      <c r="Q254" s="1"/>
      <c r="R254" s="1"/>
      <c r="S254" s="1"/>
      <c r="T254" s="23">
        <v>1</v>
      </c>
      <c r="U254" s="11">
        <f t="shared" si="26"/>
        <v>0</v>
      </c>
      <c r="V254" s="24">
        <f t="shared" si="27"/>
        <v>0</v>
      </c>
      <c r="W254" s="4"/>
      <c r="X254" s="54"/>
      <c r="Y254" s="34">
        <v>0</v>
      </c>
      <c r="Z254" s="54">
        <v>0</v>
      </c>
      <c r="AA254" s="54" t="b">
        <f t="shared" si="21"/>
        <v>1</v>
      </c>
      <c r="AB254" s="54" t="b">
        <f t="shared" si="22"/>
        <v>1</v>
      </c>
      <c r="AC254" s="54" t="b">
        <f t="shared" si="23"/>
        <v>1</v>
      </c>
    </row>
    <row r="255" spans="1:29" x14ac:dyDescent="0.25">
      <c r="A255" s="1" t="s">
        <v>1647</v>
      </c>
      <c r="B255" s="1" t="s">
        <v>1695</v>
      </c>
      <c r="C255" s="29">
        <v>0.24010070493454178</v>
      </c>
      <c r="D255" s="11">
        <v>3.1876520426138746</v>
      </c>
      <c r="E255" s="1"/>
      <c r="F255" s="1"/>
      <c r="G255" s="1"/>
      <c r="H255" s="1"/>
      <c r="I255" s="1"/>
      <c r="J255" s="1"/>
      <c r="K255" s="23">
        <v>1</v>
      </c>
      <c r="L255" s="11">
        <f t="shared" si="24"/>
        <v>3.1876520426138746</v>
      </c>
      <c r="M255" s="23">
        <f t="shared" si="25"/>
        <v>0.24010070493454178</v>
      </c>
      <c r="N255" s="1" t="s">
        <v>1696</v>
      </c>
      <c r="O255" s="1"/>
      <c r="P255" s="1"/>
      <c r="Q255" s="1"/>
      <c r="R255" s="1"/>
      <c r="S255" s="1"/>
      <c r="T255" s="23">
        <v>1</v>
      </c>
      <c r="U255" s="11">
        <f t="shared" si="26"/>
        <v>3.1876520426138746</v>
      </c>
      <c r="V255" s="24">
        <f t="shared" si="27"/>
        <v>0.24010070493454178</v>
      </c>
      <c r="W255" s="4"/>
      <c r="X255" s="54"/>
      <c r="Y255" s="34">
        <v>0.24010070493454178</v>
      </c>
      <c r="Z255" s="54">
        <v>3.1876520426138746</v>
      </c>
      <c r="AA255" s="54" t="b">
        <f t="shared" si="21"/>
        <v>1</v>
      </c>
      <c r="AB255" s="54" t="b">
        <f t="shared" si="22"/>
        <v>1</v>
      </c>
      <c r="AC255" s="54" t="b">
        <f t="shared" si="23"/>
        <v>1</v>
      </c>
    </row>
    <row r="256" spans="1:29" x14ac:dyDescent="0.25">
      <c r="A256" s="1" t="s">
        <v>580</v>
      </c>
      <c r="B256" s="1" t="s">
        <v>1695</v>
      </c>
      <c r="C256" s="23">
        <v>0.7250254610509328</v>
      </c>
      <c r="D256" s="11">
        <v>1.6898598766255342</v>
      </c>
      <c r="E256" s="1"/>
      <c r="F256" s="1"/>
      <c r="G256" s="1"/>
      <c r="H256" s="1"/>
      <c r="I256" s="1"/>
      <c r="J256" s="1"/>
      <c r="K256" s="23">
        <v>1</v>
      </c>
      <c r="L256" s="11">
        <f t="shared" si="24"/>
        <v>1.6898598766255342</v>
      </c>
      <c r="M256" s="23">
        <f t="shared" si="25"/>
        <v>0.7250254610509328</v>
      </c>
      <c r="N256" s="1"/>
      <c r="O256" s="1"/>
      <c r="P256" s="1"/>
      <c r="Q256" s="1"/>
      <c r="R256" s="1"/>
      <c r="S256" s="1"/>
      <c r="T256" s="23">
        <v>1</v>
      </c>
      <c r="U256" s="11">
        <f t="shared" si="26"/>
        <v>1.6898598766255342</v>
      </c>
      <c r="V256" s="24">
        <f t="shared" si="27"/>
        <v>0.7250254610509328</v>
      </c>
      <c r="W256" s="4"/>
      <c r="X256" s="54"/>
      <c r="Y256" s="34">
        <v>0.7250254610509328</v>
      </c>
      <c r="Z256" s="54">
        <v>1.6898598766255342</v>
      </c>
      <c r="AA256" s="54" t="b">
        <f t="shared" si="21"/>
        <v>1</v>
      </c>
      <c r="AB256" s="54" t="b">
        <f t="shared" si="22"/>
        <v>1</v>
      </c>
      <c r="AC256" s="54" t="b">
        <f t="shared" si="23"/>
        <v>1</v>
      </c>
    </row>
    <row r="257" spans="1:29" x14ac:dyDescent="0.25">
      <c r="A257" s="1" t="s">
        <v>1642</v>
      </c>
      <c r="B257" s="1" t="s">
        <v>1695</v>
      </c>
      <c r="C257" s="29">
        <v>0.59374999999999989</v>
      </c>
      <c r="D257" s="11">
        <v>3.6842105263157898</v>
      </c>
      <c r="E257" s="1" t="s">
        <v>1696</v>
      </c>
      <c r="F257" s="1"/>
      <c r="G257" s="1"/>
      <c r="H257" s="1"/>
      <c r="I257" s="1"/>
      <c r="J257" s="1"/>
      <c r="K257" s="23">
        <v>1</v>
      </c>
      <c r="L257" s="11">
        <f t="shared" si="24"/>
        <v>3.6842105263157898</v>
      </c>
      <c r="M257" s="23">
        <f t="shared" si="25"/>
        <v>0.59374999999999989</v>
      </c>
      <c r="N257" s="1"/>
      <c r="O257" s="1"/>
      <c r="P257" s="1"/>
      <c r="Q257" s="1"/>
      <c r="R257" s="1"/>
      <c r="S257" s="1"/>
      <c r="T257" s="23">
        <v>1</v>
      </c>
      <c r="U257" s="11">
        <f t="shared" si="26"/>
        <v>3.6842105263157898</v>
      </c>
      <c r="V257" s="24">
        <f t="shared" si="27"/>
        <v>0.59374999999999989</v>
      </c>
      <c r="W257" s="4"/>
      <c r="X257" s="54"/>
      <c r="Y257" s="34">
        <v>0.59374999999999989</v>
      </c>
      <c r="Z257" s="54">
        <v>3.6842105263157898</v>
      </c>
      <c r="AA257" s="54" t="b">
        <f t="shared" si="21"/>
        <v>1</v>
      </c>
      <c r="AB257" s="54" t="b">
        <f t="shared" si="22"/>
        <v>1</v>
      </c>
      <c r="AC257" s="54" t="b">
        <f t="shared" si="23"/>
        <v>1</v>
      </c>
    </row>
    <row r="258" spans="1:29" x14ac:dyDescent="0.25">
      <c r="A258" s="1" t="s">
        <v>1650</v>
      </c>
      <c r="B258" s="1" t="s">
        <v>1695</v>
      </c>
      <c r="C258" s="23">
        <v>0.91823899371069173</v>
      </c>
      <c r="D258" s="33">
        <v>0.2</v>
      </c>
      <c r="E258" s="1"/>
      <c r="F258" s="1"/>
      <c r="G258" s="1"/>
      <c r="H258" s="1"/>
      <c r="I258" s="1"/>
      <c r="J258" s="1"/>
      <c r="K258" s="23">
        <v>1</v>
      </c>
      <c r="L258" s="11">
        <f t="shared" si="24"/>
        <v>0.2</v>
      </c>
      <c r="M258" s="23">
        <f t="shared" si="25"/>
        <v>0.91823899371069173</v>
      </c>
      <c r="N258" s="1" t="s">
        <v>1696</v>
      </c>
      <c r="O258" s="1"/>
      <c r="P258" s="1"/>
      <c r="Q258" s="1"/>
      <c r="R258" s="1"/>
      <c r="S258" s="1"/>
      <c r="T258" s="23">
        <v>1</v>
      </c>
      <c r="U258" s="11">
        <f t="shared" si="26"/>
        <v>0.2</v>
      </c>
      <c r="V258" s="24">
        <f t="shared" si="27"/>
        <v>0.91823899371069173</v>
      </c>
      <c r="W258" s="4"/>
      <c r="X258" s="54"/>
      <c r="Y258" s="34">
        <v>0.91823899371069173</v>
      </c>
      <c r="Z258" s="54">
        <v>1.1986301369863015</v>
      </c>
      <c r="AA258" s="54" t="b">
        <f t="shared" ref="AA258:AA321" si="28">C258=Y258</f>
        <v>1</v>
      </c>
      <c r="AB258" s="54" t="b">
        <f t="shared" ref="AB258:AB321" si="29">D258=Z258</f>
        <v>0</v>
      </c>
      <c r="AC258" s="54" t="b">
        <f t="shared" si="23"/>
        <v>1</v>
      </c>
    </row>
    <row r="259" spans="1:29" x14ac:dyDescent="0.25">
      <c r="A259" s="1" t="s">
        <v>1639</v>
      </c>
      <c r="B259" s="1" t="s">
        <v>1695</v>
      </c>
      <c r="C259" s="23">
        <v>0.65764406779661022</v>
      </c>
      <c r="D259" s="79">
        <v>2.6983840622664363</v>
      </c>
      <c r="E259" s="1"/>
      <c r="F259" s="1"/>
      <c r="G259" s="1"/>
      <c r="H259" s="1"/>
      <c r="I259" s="1"/>
      <c r="J259" s="1"/>
      <c r="K259" s="23">
        <v>1</v>
      </c>
      <c r="L259" s="11">
        <f t="shared" ref="L259:L321" si="30">D259+J259</f>
        <v>2.6983840622664363</v>
      </c>
      <c r="M259" s="23">
        <f t="shared" ref="M259:M321" si="31">C259*K259</f>
        <v>0.65764406779661022</v>
      </c>
      <c r="N259" s="1" t="s">
        <v>1696</v>
      </c>
      <c r="O259" s="1"/>
      <c r="P259" s="1" t="s">
        <v>1696</v>
      </c>
      <c r="Q259" s="1"/>
      <c r="R259" s="1" t="s">
        <v>1698</v>
      </c>
      <c r="S259" s="1">
        <v>0.1</v>
      </c>
      <c r="T259" s="23">
        <v>1</v>
      </c>
      <c r="U259" s="11">
        <f t="shared" ref="U259:U322" si="32">S259+D259</f>
        <v>2.7983840622664364</v>
      </c>
      <c r="V259" s="24">
        <f t="shared" ref="V259:V323" si="33">T259*C259</f>
        <v>0.65764406779661022</v>
      </c>
      <c r="W259" s="4"/>
      <c r="X259" s="54"/>
      <c r="Y259" s="34">
        <v>0.60626562500000003</v>
      </c>
      <c r="Z259" s="54">
        <v>5.2112058967552377</v>
      </c>
      <c r="AA259" s="54" t="b">
        <f t="shared" si="28"/>
        <v>0</v>
      </c>
      <c r="AB259" s="54" t="b">
        <f t="shared" si="29"/>
        <v>0</v>
      </c>
      <c r="AC259" s="54" t="b">
        <f t="shared" ref="AC259:AC322" si="34">V259=M259</f>
        <v>1</v>
      </c>
    </row>
    <row r="260" spans="1:29" x14ac:dyDescent="0.25">
      <c r="A260" s="1" t="s">
        <v>1640</v>
      </c>
      <c r="B260" s="1" t="s">
        <v>1695</v>
      </c>
      <c r="C260" s="23">
        <v>0.65254237288135597</v>
      </c>
      <c r="D260" s="79">
        <v>2.6406926406926403</v>
      </c>
      <c r="E260" s="1"/>
      <c r="F260" s="1"/>
      <c r="G260" s="1"/>
      <c r="H260" s="1"/>
      <c r="I260" s="1"/>
      <c r="J260" s="1"/>
      <c r="K260" s="23">
        <v>1</v>
      </c>
      <c r="L260" s="11">
        <f t="shared" si="30"/>
        <v>2.6406926406926403</v>
      </c>
      <c r="M260" s="23">
        <f t="shared" si="31"/>
        <v>0.65254237288135597</v>
      </c>
      <c r="N260" s="1" t="s">
        <v>1696</v>
      </c>
      <c r="O260" s="1"/>
      <c r="P260" s="1" t="s">
        <v>1696</v>
      </c>
      <c r="Q260" s="1"/>
      <c r="R260" s="1" t="s">
        <v>1698</v>
      </c>
      <c r="S260" s="1">
        <v>0.1</v>
      </c>
      <c r="T260" s="23">
        <v>1</v>
      </c>
      <c r="U260" s="11">
        <f t="shared" si="32"/>
        <v>2.7406926406926404</v>
      </c>
      <c r="V260" s="24">
        <f t="shared" si="33"/>
        <v>0.65254237288135597</v>
      </c>
      <c r="W260" s="4"/>
      <c r="X260" s="54"/>
      <c r="Y260" s="34">
        <v>0.6015625</v>
      </c>
      <c r="Z260" s="54">
        <v>5.1731601731601726</v>
      </c>
      <c r="AA260" s="54" t="b">
        <f t="shared" si="28"/>
        <v>0</v>
      </c>
      <c r="AB260" s="54" t="b">
        <f t="shared" si="29"/>
        <v>0</v>
      </c>
      <c r="AC260" s="54" t="b">
        <f t="shared" si="34"/>
        <v>1</v>
      </c>
    </row>
    <row r="261" spans="1:29" x14ac:dyDescent="0.25">
      <c r="A261" s="1" t="s">
        <v>1615</v>
      </c>
      <c r="B261" s="1" t="s">
        <v>1701</v>
      </c>
      <c r="C261" s="23">
        <v>0.7</v>
      </c>
      <c r="D261" s="11">
        <v>1.8</v>
      </c>
      <c r="E261" s="1"/>
      <c r="F261" s="1"/>
      <c r="G261" s="1"/>
      <c r="H261" s="1"/>
      <c r="I261" s="1"/>
      <c r="J261" s="1"/>
      <c r="K261" s="23">
        <v>1</v>
      </c>
      <c r="L261" s="11">
        <f t="shared" si="30"/>
        <v>1.8</v>
      </c>
      <c r="M261" s="23">
        <f t="shared" si="31"/>
        <v>0.7</v>
      </c>
      <c r="N261" s="1" t="s">
        <v>1696</v>
      </c>
      <c r="O261" s="1"/>
      <c r="P261" s="1"/>
      <c r="Q261" s="1"/>
      <c r="R261" s="1"/>
      <c r="S261" s="1"/>
      <c r="T261" s="23">
        <v>1</v>
      </c>
      <c r="U261" s="11">
        <f t="shared" si="32"/>
        <v>1.8</v>
      </c>
      <c r="V261" s="24">
        <f t="shared" si="33"/>
        <v>0.7</v>
      </c>
      <c r="W261" s="4"/>
      <c r="X261" s="54"/>
      <c r="Y261" s="34">
        <v>0</v>
      </c>
      <c r="Z261" s="54">
        <v>0</v>
      </c>
      <c r="AA261" s="54" t="b">
        <f t="shared" si="28"/>
        <v>0</v>
      </c>
      <c r="AB261" s="54" t="b">
        <f t="shared" si="29"/>
        <v>0</v>
      </c>
      <c r="AC261" s="54" t="b">
        <f t="shared" si="34"/>
        <v>1</v>
      </c>
    </row>
    <row r="262" spans="1:29" x14ac:dyDescent="0.25">
      <c r="A262" s="1" t="s">
        <v>1649</v>
      </c>
      <c r="B262" s="1" t="s">
        <v>1695</v>
      </c>
      <c r="C262" s="23">
        <v>0.81408450704225344</v>
      </c>
      <c r="D262" s="11">
        <v>4.1522491349480974</v>
      </c>
      <c r="E262" s="1"/>
      <c r="F262" s="1"/>
      <c r="G262" s="1"/>
      <c r="H262" s="1"/>
      <c r="I262" s="1"/>
      <c r="J262" s="1"/>
      <c r="K262" s="23">
        <v>1</v>
      </c>
      <c r="L262" s="11">
        <f t="shared" si="30"/>
        <v>4.1522491349480974</v>
      </c>
      <c r="M262" s="23">
        <f t="shared" si="31"/>
        <v>0.81408450704225344</v>
      </c>
      <c r="N262" s="1" t="s">
        <v>1696</v>
      </c>
      <c r="O262" s="1"/>
      <c r="P262" s="1"/>
      <c r="Q262" s="1"/>
      <c r="R262" s="1"/>
      <c r="S262" s="1"/>
      <c r="T262" s="23">
        <v>1</v>
      </c>
      <c r="U262" s="11">
        <f t="shared" si="32"/>
        <v>4.1522491349480974</v>
      </c>
      <c r="V262" s="24">
        <f t="shared" si="33"/>
        <v>0.81408450704225344</v>
      </c>
      <c r="W262" s="4"/>
      <c r="X262" s="54"/>
      <c r="Y262" s="34">
        <v>0.81408450704225344</v>
      </c>
      <c r="Z262" s="54">
        <v>4.1522491349480974</v>
      </c>
      <c r="AA262" s="54" t="b">
        <f t="shared" si="28"/>
        <v>1</v>
      </c>
      <c r="AB262" s="54" t="b">
        <f t="shared" si="29"/>
        <v>1</v>
      </c>
      <c r="AC262" s="54" t="b">
        <f t="shared" si="34"/>
        <v>1</v>
      </c>
    </row>
    <row r="263" spans="1:29" x14ac:dyDescent="0.25">
      <c r="A263" s="1" t="s">
        <v>1568</v>
      </c>
      <c r="B263" s="1" t="s">
        <v>1695</v>
      </c>
      <c r="C263" s="23">
        <v>0.47032752341701012</v>
      </c>
      <c r="D263" s="33">
        <v>4.8</v>
      </c>
      <c r="E263" s="1" t="s">
        <v>1696</v>
      </c>
      <c r="F263" s="1"/>
      <c r="G263" s="1"/>
      <c r="H263" s="1"/>
      <c r="I263" s="1"/>
      <c r="J263" s="1"/>
      <c r="K263" s="23">
        <v>1</v>
      </c>
      <c r="L263" s="11">
        <f t="shared" si="30"/>
        <v>4.8</v>
      </c>
      <c r="M263" s="23">
        <f t="shared" si="31"/>
        <v>0.47032752341701012</v>
      </c>
      <c r="N263" s="1"/>
      <c r="O263" s="1"/>
      <c r="P263" s="1"/>
      <c r="Q263" s="1"/>
      <c r="R263" s="1"/>
      <c r="S263" s="1"/>
      <c r="T263" s="23">
        <v>1</v>
      </c>
      <c r="U263" s="11">
        <f t="shared" si="32"/>
        <v>4.8</v>
      </c>
      <c r="V263" s="24">
        <f t="shared" si="33"/>
        <v>0.47032752341701012</v>
      </c>
      <c r="W263" s="4"/>
      <c r="X263" s="54"/>
      <c r="Y263" s="34">
        <v>0.47032752341701012</v>
      </c>
      <c r="Z263" s="54">
        <v>7.4300148670172277</v>
      </c>
      <c r="AA263" s="54" t="b">
        <f t="shared" si="28"/>
        <v>1</v>
      </c>
      <c r="AB263" s="54" t="b">
        <f t="shared" si="29"/>
        <v>0</v>
      </c>
      <c r="AC263" s="54" t="b">
        <f t="shared" si="34"/>
        <v>1</v>
      </c>
    </row>
    <row r="264" spans="1:29" x14ac:dyDescent="0.25">
      <c r="A264" s="1" t="s">
        <v>1569</v>
      </c>
      <c r="B264" s="1" t="s">
        <v>1695</v>
      </c>
      <c r="C264" s="23">
        <v>0.46557268307390803</v>
      </c>
      <c r="D264" s="33">
        <v>12.49</v>
      </c>
      <c r="E264" s="1" t="s">
        <v>1696</v>
      </c>
      <c r="F264" s="1"/>
      <c r="G264" s="1"/>
      <c r="H264" s="1"/>
      <c r="I264" s="1"/>
      <c r="J264" s="1"/>
      <c r="K264" s="23">
        <v>1</v>
      </c>
      <c r="L264" s="11">
        <f t="shared" si="30"/>
        <v>12.49</v>
      </c>
      <c r="M264" s="23">
        <f t="shared" si="31"/>
        <v>0.46557268307390803</v>
      </c>
      <c r="N264" s="1"/>
      <c r="O264" s="1"/>
      <c r="P264" s="1"/>
      <c r="Q264" s="1"/>
      <c r="R264" s="1"/>
      <c r="S264" s="1"/>
      <c r="T264" s="23">
        <v>1</v>
      </c>
      <c r="U264" s="11">
        <f t="shared" si="32"/>
        <v>12.49</v>
      </c>
      <c r="V264" s="24">
        <f t="shared" si="33"/>
        <v>0.46557268307390803</v>
      </c>
      <c r="W264" s="4"/>
      <c r="X264" s="54"/>
      <c r="Y264" s="34">
        <v>0.46557268307390803</v>
      </c>
      <c r="Z264" s="54">
        <v>17.48531162922276</v>
      </c>
      <c r="AA264" s="54" t="b">
        <f t="shared" si="28"/>
        <v>1</v>
      </c>
      <c r="AB264" s="54" t="b">
        <f t="shared" si="29"/>
        <v>0</v>
      </c>
      <c r="AC264" s="54" t="b">
        <f t="shared" si="34"/>
        <v>1</v>
      </c>
    </row>
    <row r="265" spans="1:29" x14ac:dyDescent="0.25">
      <c r="A265" s="1" t="s">
        <v>1570</v>
      </c>
      <c r="B265" s="1" t="s">
        <v>1695</v>
      </c>
      <c r="C265" s="23">
        <v>0.5732484076433122</v>
      </c>
      <c r="D265" s="11">
        <v>5.2</v>
      </c>
      <c r="E265" s="1" t="s">
        <v>1696</v>
      </c>
      <c r="F265" s="1"/>
      <c r="G265" s="1"/>
      <c r="H265" s="1"/>
      <c r="I265" s="1"/>
      <c r="J265" s="1"/>
      <c r="K265" s="23">
        <v>1</v>
      </c>
      <c r="L265" s="11">
        <f t="shared" si="30"/>
        <v>5.2</v>
      </c>
      <c r="M265" s="23">
        <f t="shared" si="31"/>
        <v>0.5732484076433122</v>
      </c>
      <c r="N265" s="1"/>
      <c r="O265" s="1"/>
      <c r="P265" s="1"/>
      <c r="Q265" s="1"/>
      <c r="R265" s="1"/>
      <c r="S265" s="1"/>
      <c r="T265" s="23">
        <v>1</v>
      </c>
      <c r="U265" s="11">
        <f t="shared" si="32"/>
        <v>5.2</v>
      </c>
      <c r="V265" s="24">
        <f t="shared" si="33"/>
        <v>0.5732484076433122</v>
      </c>
      <c r="W265" s="4"/>
      <c r="X265" s="54"/>
      <c r="Y265" s="34">
        <v>0.5732484076433122</v>
      </c>
      <c r="Z265" s="54">
        <v>7.7441798941798945</v>
      </c>
      <c r="AA265" s="54" t="b">
        <f t="shared" si="28"/>
        <v>1</v>
      </c>
      <c r="AB265" s="54" t="b">
        <f t="shared" si="29"/>
        <v>0</v>
      </c>
      <c r="AC265" s="54" t="b">
        <f t="shared" si="34"/>
        <v>1</v>
      </c>
    </row>
    <row r="266" spans="1:29" x14ac:dyDescent="0.25">
      <c r="A266" s="1" t="s">
        <v>1571</v>
      </c>
      <c r="B266" s="1" t="s">
        <v>1695</v>
      </c>
      <c r="C266" s="23">
        <v>0.92902208201892755</v>
      </c>
      <c r="D266" s="11">
        <v>5.8335509990858023</v>
      </c>
      <c r="E266" s="1" t="s">
        <v>1696</v>
      </c>
      <c r="F266" s="1"/>
      <c r="G266" s="1" t="s">
        <v>1696</v>
      </c>
      <c r="H266" s="1" t="s">
        <v>1696</v>
      </c>
      <c r="I266" s="1" t="s">
        <v>1700</v>
      </c>
      <c r="J266" s="1">
        <v>0.25</v>
      </c>
      <c r="K266" s="23">
        <v>0.98805309734513291</v>
      </c>
      <c r="L266" s="11">
        <f t="shared" si="30"/>
        <v>6.0835509990858023</v>
      </c>
      <c r="M266" s="23">
        <f t="shared" si="31"/>
        <v>0.91792314564082544</v>
      </c>
      <c r="N266" s="1"/>
      <c r="O266" s="1"/>
      <c r="P266" s="1"/>
      <c r="Q266" s="1"/>
      <c r="R266" s="1"/>
      <c r="S266" s="1"/>
      <c r="T266" s="23">
        <v>1</v>
      </c>
      <c r="U266" s="11">
        <f t="shared" si="32"/>
        <v>5.8335509990858023</v>
      </c>
      <c r="V266" s="24">
        <f t="shared" si="33"/>
        <v>0.92902208201892755</v>
      </c>
      <c r="W266" s="4"/>
      <c r="X266" s="54"/>
      <c r="Y266" s="34">
        <v>0.92902208201892755</v>
      </c>
      <c r="Z266" s="54">
        <v>5.8335509990858023</v>
      </c>
      <c r="AA266" s="54" t="b">
        <f t="shared" si="28"/>
        <v>1</v>
      </c>
      <c r="AB266" s="54" t="b">
        <f t="shared" si="29"/>
        <v>1</v>
      </c>
      <c r="AC266" s="54" t="b">
        <f t="shared" si="34"/>
        <v>0</v>
      </c>
    </row>
    <row r="267" spans="1:29" x14ac:dyDescent="0.25">
      <c r="A267" s="1" t="s">
        <v>1653</v>
      </c>
      <c r="B267" s="1" t="s">
        <v>1695</v>
      </c>
      <c r="C267" s="23">
        <v>1</v>
      </c>
      <c r="D267" s="11">
        <v>0</v>
      </c>
      <c r="E267" s="1" t="s">
        <v>1696</v>
      </c>
      <c r="F267" s="1"/>
      <c r="G267" s="1" t="s">
        <v>1696</v>
      </c>
      <c r="H267" s="1"/>
      <c r="I267" s="1" t="s">
        <v>1700</v>
      </c>
      <c r="J267" s="1">
        <v>0.05</v>
      </c>
      <c r="K267" s="23">
        <v>1</v>
      </c>
      <c r="L267" s="11">
        <f t="shared" si="30"/>
        <v>0.05</v>
      </c>
      <c r="M267" s="23">
        <f t="shared" si="31"/>
        <v>1</v>
      </c>
      <c r="N267" s="1"/>
      <c r="O267" s="1"/>
      <c r="P267" s="1"/>
      <c r="Q267" s="1"/>
      <c r="R267" s="1"/>
      <c r="S267" s="1"/>
      <c r="T267" s="23">
        <v>1</v>
      </c>
      <c r="U267" s="11">
        <f t="shared" si="32"/>
        <v>0</v>
      </c>
      <c r="V267" s="24">
        <f t="shared" si="33"/>
        <v>1</v>
      </c>
      <c r="W267" s="4"/>
      <c r="X267" s="54"/>
      <c r="Y267" s="34">
        <v>1</v>
      </c>
      <c r="Z267" s="54">
        <v>0</v>
      </c>
      <c r="AA267" s="54" t="b">
        <f t="shared" si="28"/>
        <v>1</v>
      </c>
      <c r="AB267" s="54" t="b">
        <f t="shared" si="29"/>
        <v>1</v>
      </c>
      <c r="AC267" s="54" t="b">
        <f t="shared" si="34"/>
        <v>1</v>
      </c>
    </row>
    <row r="268" spans="1:29" x14ac:dyDescent="0.25">
      <c r="A268" s="1" t="s">
        <v>1572</v>
      </c>
      <c r="B268" s="1" t="s">
        <v>1695</v>
      </c>
      <c r="C268" s="23">
        <v>0.82335178661298436</v>
      </c>
      <c r="D268" s="113">
        <v>0.5</v>
      </c>
      <c r="E268" s="1" t="s">
        <v>1696</v>
      </c>
      <c r="F268" s="1"/>
      <c r="G268" s="1" t="s">
        <v>1696</v>
      </c>
      <c r="H268" s="1"/>
      <c r="I268" s="1" t="s">
        <v>1700</v>
      </c>
      <c r="J268" s="1">
        <v>0.1</v>
      </c>
      <c r="K268" s="23">
        <v>1</v>
      </c>
      <c r="L268" s="11">
        <f t="shared" si="30"/>
        <v>0.6</v>
      </c>
      <c r="M268" s="23">
        <f t="shared" si="31"/>
        <v>0.82335178661298436</v>
      </c>
      <c r="N268" s="1"/>
      <c r="O268" s="1"/>
      <c r="P268" s="1"/>
      <c r="Q268" s="1"/>
      <c r="R268" s="1"/>
      <c r="S268" s="1"/>
      <c r="T268" s="23">
        <v>1</v>
      </c>
      <c r="U268" s="11">
        <f t="shared" si="32"/>
        <v>0.5</v>
      </c>
      <c r="V268" s="24">
        <f t="shared" si="33"/>
        <v>0.82335178661298436</v>
      </c>
      <c r="W268" s="4"/>
      <c r="X268" s="54"/>
      <c r="Y268" s="34">
        <v>0.82335178661298436</v>
      </c>
      <c r="Z268" s="54">
        <v>1.5281173594132029</v>
      </c>
      <c r="AA268" s="54" t="b">
        <f t="shared" si="28"/>
        <v>1</v>
      </c>
      <c r="AB268" s="54" t="b">
        <f t="shared" si="29"/>
        <v>0</v>
      </c>
      <c r="AC268" s="54" t="b">
        <f t="shared" si="34"/>
        <v>1</v>
      </c>
    </row>
    <row r="269" spans="1:29" x14ac:dyDescent="0.25">
      <c r="A269" s="1" t="s">
        <v>1429</v>
      </c>
      <c r="B269" s="1" t="s">
        <v>1695</v>
      </c>
      <c r="C269" s="23">
        <v>0.77267677919154776</v>
      </c>
      <c r="D269" s="11">
        <v>1.2164882652687532</v>
      </c>
      <c r="E269" s="1"/>
      <c r="F269" s="1"/>
      <c r="G269" s="1"/>
      <c r="H269" s="1"/>
      <c r="I269" s="1"/>
      <c r="J269" s="1"/>
      <c r="K269" s="23">
        <v>1</v>
      </c>
      <c r="L269" s="11">
        <f t="shared" si="30"/>
        <v>1.2164882652687532</v>
      </c>
      <c r="M269" s="23">
        <f t="shared" si="31"/>
        <v>0.77267677919154776</v>
      </c>
      <c r="N269" s="1" t="s">
        <v>1696</v>
      </c>
      <c r="O269" s="1" t="s">
        <v>1696</v>
      </c>
      <c r="P269" s="1"/>
      <c r="Q269" s="1" t="s">
        <v>1696</v>
      </c>
      <c r="R269" s="1" t="s">
        <v>1700</v>
      </c>
      <c r="S269" s="11">
        <v>0.27169149868536374</v>
      </c>
      <c r="T269" s="23">
        <v>0.84959046909903191</v>
      </c>
      <c r="U269" s="11">
        <f t="shared" si="32"/>
        <v>1.488179763954117</v>
      </c>
      <c r="V269" s="24">
        <f t="shared" si="33"/>
        <v>0.65645882729527616</v>
      </c>
      <c r="W269" s="4"/>
      <c r="X269" s="54"/>
      <c r="Y269" s="34">
        <v>0.77267677919154776</v>
      </c>
      <c r="Z269" s="54">
        <v>1.2164882652687532</v>
      </c>
      <c r="AA269" s="54" t="b">
        <f t="shared" si="28"/>
        <v>1</v>
      </c>
      <c r="AB269" s="54" t="b">
        <f t="shared" si="29"/>
        <v>1</v>
      </c>
      <c r="AC269" s="54" t="b">
        <f t="shared" si="34"/>
        <v>0</v>
      </c>
    </row>
    <row r="270" spans="1:29" x14ac:dyDescent="0.25">
      <c r="A270" s="1" t="s">
        <v>1423</v>
      </c>
      <c r="B270" s="1" t="s">
        <v>1695</v>
      </c>
      <c r="C270" s="23">
        <v>0.74712643678160917</v>
      </c>
      <c r="D270" s="11">
        <v>4.615384615384615</v>
      </c>
      <c r="E270" s="1" t="s">
        <v>1696</v>
      </c>
      <c r="F270" s="1"/>
      <c r="G270" s="1"/>
      <c r="H270" s="1"/>
      <c r="I270" s="1"/>
      <c r="J270" s="1"/>
      <c r="K270" s="23">
        <v>1</v>
      </c>
      <c r="L270" s="11">
        <f t="shared" si="30"/>
        <v>4.615384615384615</v>
      </c>
      <c r="M270" s="23">
        <f t="shared" si="31"/>
        <v>0.74712643678160917</v>
      </c>
      <c r="N270" s="1"/>
      <c r="O270" s="1"/>
      <c r="P270" s="1"/>
      <c r="Q270" s="1"/>
      <c r="R270" s="1"/>
      <c r="S270" s="1"/>
      <c r="T270" s="23">
        <v>1</v>
      </c>
      <c r="U270" s="11">
        <f t="shared" si="32"/>
        <v>4.615384615384615</v>
      </c>
      <c r="V270" s="24">
        <f t="shared" si="33"/>
        <v>0.74712643678160917</v>
      </c>
      <c r="W270" s="4">
        <v>5</v>
      </c>
      <c r="X270" s="54">
        <v>0.79</v>
      </c>
      <c r="Y270" s="34">
        <v>0.74712643678160917</v>
      </c>
      <c r="Z270" s="54">
        <v>4.615384615384615</v>
      </c>
      <c r="AA270" s="54" t="b">
        <f t="shared" si="28"/>
        <v>1</v>
      </c>
      <c r="AB270" s="54" t="b">
        <f t="shared" si="29"/>
        <v>1</v>
      </c>
      <c r="AC270" s="54" t="b">
        <f t="shared" si="34"/>
        <v>1</v>
      </c>
    </row>
    <row r="271" spans="1:29" x14ac:dyDescent="0.25">
      <c r="A271" s="100" t="s">
        <v>1453</v>
      </c>
      <c r="B271" s="1" t="s">
        <v>1695</v>
      </c>
      <c r="C271" s="23">
        <v>0.97142857142857142</v>
      </c>
      <c r="D271" s="11">
        <v>0.25</v>
      </c>
      <c r="E271" s="1" t="s">
        <v>1696</v>
      </c>
      <c r="F271" s="1" t="s">
        <v>1696</v>
      </c>
      <c r="G271" s="1"/>
      <c r="H271" s="1" t="s">
        <v>1696</v>
      </c>
      <c r="I271" s="1" t="s">
        <v>1700</v>
      </c>
      <c r="J271" s="11">
        <v>0.62753036437246967</v>
      </c>
      <c r="K271" s="24">
        <v>0.83657917019475025</v>
      </c>
      <c r="L271" s="11">
        <f t="shared" si="30"/>
        <v>0.87753036437246967</v>
      </c>
      <c r="M271" s="23">
        <f t="shared" si="31"/>
        <v>0.81267690818918592</v>
      </c>
      <c r="N271" s="1" t="s">
        <v>1696</v>
      </c>
      <c r="O271" s="1" t="s">
        <v>1696</v>
      </c>
      <c r="P271" s="1"/>
      <c r="Q271" s="1" t="s">
        <v>1696</v>
      </c>
      <c r="R271" s="1" t="s">
        <v>1700</v>
      </c>
      <c r="S271" s="11">
        <v>0.62753036437246967</v>
      </c>
      <c r="T271" s="23">
        <v>0.83657917019475025</v>
      </c>
      <c r="U271" s="11">
        <f t="shared" si="32"/>
        <v>0.87753036437246967</v>
      </c>
      <c r="V271" s="24">
        <f t="shared" si="33"/>
        <v>0.81267690818918592</v>
      </c>
      <c r="W271" s="4">
        <v>0.74</v>
      </c>
      <c r="X271" s="54">
        <v>0.81</v>
      </c>
      <c r="Y271" s="34">
        <v>0.97142857142857142</v>
      </c>
      <c r="Z271" s="54">
        <v>0.11029411764705882</v>
      </c>
      <c r="AA271" s="54" t="b">
        <f t="shared" si="28"/>
        <v>1</v>
      </c>
      <c r="AB271" s="54" t="b">
        <f t="shared" si="29"/>
        <v>0</v>
      </c>
      <c r="AC271" s="54" t="b">
        <f t="shared" si="34"/>
        <v>1</v>
      </c>
    </row>
    <row r="272" spans="1:29" x14ac:dyDescent="0.25">
      <c r="A272" s="1" t="s">
        <v>1573</v>
      </c>
      <c r="B272" s="1" t="s">
        <v>1695</v>
      </c>
      <c r="C272" s="23">
        <v>0.98</v>
      </c>
      <c r="D272" s="11">
        <f>38/60</f>
        <v>0.6333333333333333</v>
      </c>
      <c r="E272" s="1" t="s">
        <v>1696</v>
      </c>
      <c r="F272" s="1"/>
      <c r="G272" s="1" t="s">
        <v>1696</v>
      </c>
      <c r="H272" s="1" t="s">
        <v>1696</v>
      </c>
      <c r="I272" s="1" t="s">
        <v>1700</v>
      </c>
      <c r="J272" s="1">
        <v>0.25</v>
      </c>
      <c r="K272" s="30">
        <v>0.89</v>
      </c>
      <c r="L272" s="11">
        <f t="shared" si="30"/>
        <v>0.8833333333333333</v>
      </c>
      <c r="M272" s="23">
        <f t="shared" si="31"/>
        <v>0.87219999999999998</v>
      </c>
      <c r="N272" s="1"/>
      <c r="O272" s="1"/>
      <c r="P272" s="1"/>
      <c r="Q272" s="1"/>
      <c r="R272" s="1"/>
      <c r="S272" s="1"/>
      <c r="T272" s="23">
        <v>1</v>
      </c>
      <c r="U272" s="11">
        <f t="shared" si="32"/>
        <v>0.6333333333333333</v>
      </c>
      <c r="V272" s="24">
        <f t="shared" si="33"/>
        <v>0.98</v>
      </c>
      <c r="W272" s="4"/>
      <c r="X272" s="54"/>
      <c r="Y272" s="34">
        <v>0.98</v>
      </c>
      <c r="Z272" s="54">
        <v>7.7220077220077218E-2</v>
      </c>
      <c r="AA272" s="54" t="b">
        <f t="shared" si="28"/>
        <v>1</v>
      </c>
      <c r="AB272" s="54" t="b">
        <f t="shared" si="29"/>
        <v>0</v>
      </c>
      <c r="AC272" s="54" t="b">
        <f t="shared" si="34"/>
        <v>0</v>
      </c>
    </row>
    <row r="273" spans="1:29" x14ac:dyDescent="0.25">
      <c r="A273" s="1" t="s">
        <v>1574</v>
      </c>
      <c r="B273" s="1" t="s">
        <v>1695</v>
      </c>
      <c r="C273" s="23">
        <v>0.98</v>
      </c>
      <c r="D273" s="11">
        <f>52/60</f>
        <v>0.8666666666666667</v>
      </c>
      <c r="E273" s="1" t="s">
        <v>1696</v>
      </c>
      <c r="F273" s="1"/>
      <c r="G273" s="1" t="s">
        <v>1696</v>
      </c>
      <c r="H273" s="1" t="s">
        <v>1696</v>
      </c>
      <c r="I273" s="1" t="s">
        <v>1700</v>
      </c>
      <c r="J273" s="1">
        <v>0.25</v>
      </c>
      <c r="K273" s="30">
        <v>0.89</v>
      </c>
      <c r="L273" s="11">
        <f t="shared" si="30"/>
        <v>1.1166666666666667</v>
      </c>
      <c r="M273" s="23">
        <f t="shared" si="31"/>
        <v>0.87219999999999998</v>
      </c>
      <c r="N273" s="1"/>
      <c r="O273" s="1"/>
      <c r="P273" s="1"/>
      <c r="Q273" s="1"/>
      <c r="R273" s="1"/>
      <c r="S273" s="1"/>
      <c r="T273" s="23">
        <v>1</v>
      </c>
      <c r="U273" s="11">
        <f t="shared" si="32"/>
        <v>0.8666666666666667</v>
      </c>
      <c r="V273" s="24">
        <f t="shared" si="33"/>
        <v>0.98</v>
      </c>
      <c r="W273" s="4"/>
      <c r="X273" s="54"/>
      <c r="Y273" s="34">
        <v>0.98</v>
      </c>
      <c r="Z273" s="54">
        <v>0.10617760617760619</v>
      </c>
      <c r="AA273" s="54" t="b">
        <f t="shared" si="28"/>
        <v>1</v>
      </c>
      <c r="AB273" s="54" t="b">
        <f t="shared" si="29"/>
        <v>0</v>
      </c>
      <c r="AC273" s="54" t="b">
        <f t="shared" si="34"/>
        <v>0</v>
      </c>
    </row>
    <row r="274" spans="1:29" x14ac:dyDescent="0.25">
      <c r="A274" s="1" t="s">
        <v>1645</v>
      </c>
      <c r="B274" s="1" t="s">
        <v>1695</v>
      </c>
      <c r="C274" s="23">
        <v>1</v>
      </c>
      <c r="D274" s="11"/>
      <c r="E274" s="1"/>
      <c r="F274" s="1"/>
      <c r="G274" s="1"/>
      <c r="H274" s="1"/>
      <c r="I274" s="1"/>
      <c r="J274" s="1"/>
      <c r="K274" s="23">
        <v>1</v>
      </c>
      <c r="L274" s="11">
        <f t="shared" si="30"/>
        <v>0</v>
      </c>
      <c r="M274" s="23">
        <f t="shared" si="31"/>
        <v>1</v>
      </c>
      <c r="N274" s="1" t="s">
        <v>1696</v>
      </c>
      <c r="O274" s="1"/>
      <c r="P274" s="1"/>
      <c r="Q274" s="1"/>
      <c r="R274" s="1"/>
      <c r="S274" s="1"/>
      <c r="T274" s="23">
        <v>1</v>
      </c>
      <c r="U274" s="11">
        <f t="shared" si="32"/>
        <v>0</v>
      </c>
      <c r="V274" s="24">
        <f t="shared" si="33"/>
        <v>1</v>
      </c>
      <c r="W274" s="4"/>
      <c r="X274" s="54"/>
      <c r="Y274" s="34">
        <v>0</v>
      </c>
      <c r="Z274" s="54">
        <v>0</v>
      </c>
      <c r="AA274" s="54" t="b">
        <f t="shared" si="28"/>
        <v>0</v>
      </c>
      <c r="AB274" s="54" t="b">
        <f t="shared" si="29"/>
        <v>1</v>
      </c>
      <c r="AC274" s="54" t="b">
        <f t="shared" si="34"/>
        <v>1</v>
      </c>
    </row>
    <row r="275" spans="1:29" x14ac:dyDescent="0.25">
      <c r="A275" s="1" t="s">
        <v>1643</v>
      </c>
      <c r="B275" s="1" t="s">
        <v>1695</v>
      </c>
      <c r="C275" s="23">
        <v>0.7727272727272726</v>
      </c>
      <c r="D275" s="11">
        <v>5.4313725490196072</v>
      </c>
      <c r="E275" s="1" t="s">
        <v>1696</v>
      </c>
      <c r="F275" s="1"/>
      <c r="G275" s="1"/>
      <c r="H275" s="1"/>
      <c r="I275" s="1"/>
      <c r="J275" s="1"/>
      <c r="K275" s="23">
        <v>1</v>
      </c>
      <c r="L275" s="11">
        <f t="shared" si="30"/>
        <v>5.4313725490196072</v>
      </c>
      <c r="M275" s="23">
        <f t="shared" si="31"/>
        <v>0.7727272727272726</v>
      </c>
      <c r="N275" s="1"/>
      <c r="O275" s="1"/>
      <c r="P275" s="1"/>
      <c r="Q275" s="1"/>
      <c r="R275" s="1"/>
      <c r="S275" s="1"/>
      <c r="T275" s="23">
        <v>1</v>
      </c>
      <c r="U275" s="11">
        <f t="shared" si="32"/>
        <v>5.4313725490196072</v>
      </c>
      <c r="V275" s="24">
        <f t="shared" si="33"/>
        <v>0.7727272727272726</v>
      </c>
      <c r="W275" s="4"/>
      <c r="X275" s="54"/>
      <c r="Y275" s="34">
        <v>0.7727272727272726</v>
      </c>
      <c r="Z275" s="54">
        <v>5.4313725490196072</v>
      </c>
      <c r="AA275" s="54" t="b">
        <f t="shared" si="28"/>
        <v>1</v>
      </c>
      <c r="AB275" s="54" t="b">
        <f t="shared" si="29"/>
        <v>1</v>
      </c>
      <c r="AC275" s="54" t="b">
        <f t="shared" si="34"/>
        <v>1</v>
      </c>
    </row>
    <row r="276" spans="1:29" x14ac:dyDescent="0.25">
      <c r="A276" s="1" t="s">
        <v>1472</v>
      </c>
      <c r="B276" s="1" t="s">
        <v>1695</v>
      </c>
      <c r="C276" s="23">
        <v>0.67687588174008007</v>
      </c>
      <c r="D276" s="79">
        <v>2.1879022352980617</v>
      </c>
      <c r="E276" s="1" t="s">
        <v>1696</v>
      </c>
      <c r="F276" s="1"/>
      <c r="G276" s="1" t="s">
        <v>1696</v>
      </c>
      <c r="H276" s="1"/>
      <c r="I276" s="1" t="s">
        <v>1698</v>
      </c>
      <c r="J276" s="1">
        <v>0.1</v>
      </c>
      <c r="K276" s="23">
        <v>1</v>
      </c>
      <c r="L276" s="11">
        <f t="shared" si="30"/>
        <v>2.2879022352980618</v>
      </c>
      <c r="M276" s="23">
        <f t="shared" si="31"/>
        <v>0.67687588174008007</v>
      </c>
      <c r="N276" s="1"/>
      <c r="O276" s="1"/>
      <c r="P276" s="1"/>
      <c r="Q276" s="1"/>
      <c r="R276" s="1"/>
      <c r="S276" s="1"/>
      <c r="T276" s="23">
        <v>1</v>
      </c>
      <c r="U276" s="11">
        <f t="shared" si="32"/>
        <v>2.1879022352980617</v>
      </c>
      <c r="V276" s="24">
        <f t="shared" si="33"/>
        <v>0.67687588174008007</v>
      </c>
      <c r="W276" s="4"/>
      <c r="X276" s="54"/>
      <c r="Y276" s="34">
        <v>0.62</v>
      </c>
      <c r="Z276" s="54">
        <v>4.1526039872957563</v>
      </c>
      <c r="AA276" s="54" t="b">
        <f t="shared" si="28"/>
        <v>0</v>
      </c>
      <c r="AB276" s="54" t="b">
        <f t="shared" si="29"/>
        <v>0</v>
      </c>
      <c r="AC276" s="54" t="b">
        <f t="shared" si="34"/>
        <v>1</v>
      </c>
    </row>
    <row r="277" spans="1:29" x14ac:dyDescent="0.25">
      <c r="A277" s="1" t="s">
        <v>1595</v>
      </c>
      <c r="B277" s="1" t="s">
        <v>1695</v>
      </c>
      <c r="C277" s="23">
        <v>0.33999999999999997</v>
      </c>
      <c r="D277" s="11">
        <v>21.666666666666668</v>
      </c>
      <c r="E277" s="1" t="s">
        <v>1696</v>
      </c>
      <c r="F277" s="1"/>
      <c r="G277" s="1" t="s">
        <v>1696</v>
      </c>
      <c r="H277" s="1"/>
      <c r="I277" s="1" t="s">
        <v>1698</v>
      </c>
      <c r="J277" s="1">
        <v>0.1</v>
      </c>
      <c r="K277" s="23">
        <v>1</v>
      </c>
      <c r="L277" s="11">
        <f t="shared" si="30"/>
        <v>21.766666666666669</v>
      </c>
      <c r="M277" s="23">
        <f t="shared" si="31"/>
        <v>0.33999999999999997</v>
      </c>
      <c r="N277" s="1"/>
      <c r="O277" s="1"/>
      <c r="P277" s="1"/>
      <c r="Q277" s="1"/>
      <c r="R277" s="1"/>
      <c r="S277" s="1"/>
      <c r="T277" s="23">
        <v>1</v>
      </c>
      <c r="U277" s="11">
        <f t="shared" si="32"/>
        <v>21.666666666666668</v>
      </c>
      <c r="V277" s="24">
        <f t="shared" si="33"/>
        <v>0.33999999999999997</v>
      </c>
      <c r="W277" s="4"/>
      <c r="X277" s="54"/>
      <c r="Y277" s="34">
        <v>0.33999999999999997</v>
      </c>
      <c r="Z277" s="54">
        <v>21.666666666666668</v>
      </c>
      <c r="AA277" s="54" t="b">
        <f t="shared" si="28"/>
        <v>1</v>
      </c>
      <c r="AB277" s="54" t="b">
        <f t="shared" si="29"/>
        <v>1</v>
      </c>
      <c r="AC277" s="54" t="b">
        <f t="shared" si="34"/>
        <v>1</v>
      </c>
    </row>
    <row r="278" spans="1:29" x14ac:dyDescent="0.25">
      <c r="A278" s="1" t="s">
        <v>1641</v>
      </c>
      <c r="B278" s="1" t="s">
        <v>1695</v>
      </c>
      <c r="C278" s="29">
        <v>0.65384615384615385</v>
      </c>
      <c r="D278" s="11">
        <v>2.1176470588235294</v>
      </c>
      <c r="E278" s="1" t="s">
        <v>1696</v>
      </c>
      <c r="F278" s="1"/>
      <c r="G278" s="1"/>
      <c r="H278" s="1"/>
      <c r="I278" s="1"/>
      <c r="J278" s="1"/>
      <c r="K278" s="23">
        <v>1</v>
      </c>
      <c r="L278" s="11">
        <f t="shared" si="30"/>
        <v>2.1176470588235294</v>
      </c>
      <c r="M278" s="23">
        <f t="shared" si="31"/>
        <v>0.65384615384615385</v>
      </c>
      <c r="N278" s="1"/>
      <c r="O278" s="1"/>
      <c r="P278" s="1"/>
      <c r="Q278" s="1"/>
      <c r="R278" s="1"/>
      <c r="S278" s="1"/>
      <c r="T278" s="23">
        <v>1</v>
      </c>
      <c r="U278" s="11">
        <f t="shared" si="32"/>
        <v>2.1176470588235294</v>
      </c>
      <c r="V278" s="24">
        <f t="shared" si="33"/>
        <v>0.65384615384615385</v>
      </c>
      <c r="W278" s="4"/>
      <c r="X278" s="54"/>
      <c r="Y278" s="34">
        <v>0.65384615384615385</v>
      </c>
      <c r="Z278" s="54">
        <v>2.1176470588235294</v>
      </c>
      <c r="AA278" s="54" t="b">
        <f t="shared" si="28"/>
        <v>1</v>
      </c>
      <c r="AB278" s="54" t="b">
        <f t="shared" si="29"/>
        <v>1</v>
      </c>
      <c r="AC278" s="54" t="b">
        <f t="shared" si="34"/>
        <v>1</v>
      </c>
    </row>
    <row r="279" spans="1:29" x14ac:dyDescent="0.25">
      <c r="A279" s="1" t="s">
        <v>1469</v>
      </c>
      <c r="B279" s="1" t="s">
        <v>1695</v>
      </c>
      <c r="C279" s="29">
        <v>0.65384615384615385</v>
      </c>
      <c r="D279" s="11">
        <v>2.1176470588235294</v>
      </c>
      <c r="E279" s="1" t="s">
        <v>1696</v>
      </c>
      <c r="F279" s="1"/>
      <c r="G279" s="1" t="s">
        <v>1696</v>
      </c>
      <c r="H279" s="1"/>
      <c r="I279" s="1" t="s">
        <v>1700</v>
      </c>
      <c r="J279" s="1">
        <v>0.1</v>
      </c>
      <c r="K279" s="23">
        <v>1</v>
      </c>
      <c r="L279" s="11">
        <f t="shared" si="30"/>
        <v>2.2176470588235295</v>
      </c>
      <c r="M279" s="23">
        <f t="shared" si="31"/>
        <v>0.65384615384615385</v>
      </c>
      <c r="N279" s="1"/>
      <c r="O279" s="1"/>
      <c r="P279" s="1"/>
      <c r="Q279" s="1"/>
      <c r="R279" s="1"/>
      <c r="S279" s="1"/>
      <c r="T279" s="23">
        <v>1</v>
      </c>
      <c r="U279" s="11">
        <f t="shared" si="32"/>
        <v>2.1176470588235294</v>
      </c>
      <c r="V279" s="24">
        <f t="shared" si="33"/>
        <v>0.65384615384615385</v>
      </c>
      <c r="W279" s="4"/>
      <c r="X279" s="54"/>
      <c r="Y279" s="34">
        <v>0.65384615384615385</v>
      </c>
      <c r="Z279" s="54">
        <v>2.1176470588235294</v>
      </c>
      <c r="AA279" s="54" t="b">
        <f t="shared" si="28"/>
        <v>1</v>
      </c>
      <c r="AB279" s="54" t="b">
        <f t="shared" si="29"/>
        <v>1</v>
      </c>
      <c r="AC279" s="54" t="b">
        <f t="shared" si="34"/>
        <v>1</v>
      </c>
    </row>
    <row r="280" spans="1:29" x14ac:dyDescent="0.25">
      <c r="A280" s="1" t="s">
        <v>1353</v>
      </c>
      <c r="B280" s="1" t="s">
        <v>1695</v>
      </c>
      <c r="C280" s="23">
        <v>0.8</v>
      </c>
      <c r="D280" s="11">
        <v>0.45833333333333331</v>
      </c>
      <c r="E280" s="1" t="s">
        <v>1696</v>
      </c>
      <c r="F280" s="1" t="s">
        <v>1696</v>
      </c>
      <c r="G280" s="1"/>
      <c r="H280" s="1" t="s">
        <v>1696</v>
      </c>
      <c r="I280" s="1" t="s">
        <v>1700</v>
      </c>
      <c r="J280" s="11">
        <v>0.41198501872659177</v>
      </c>
      <c r="K280" s="23">
        <v>0.9</v>
      </c>
      <c r="L280" s="11">
        <f t="shared" si="30"/>
        <v>0.87031835205992514</v>
      </c>
      <c r="M280" s="23">
        <f t="shared" si="31"/>
        <v>0.72000000000000008</v>
      </c>
      <c r="N280" s="1" t="s">
        <v>1696</v>
      </c>
      <c r="O280" s="1" t="s">
        <v>1696</v>
      </c>
      <c r="P280" s="1"/>
      <c r="Q280" s="1" t="s">
        <v>1696</v>
      </c>
      <c r="R280" s="1" t="s">
        <v>1700</v>
      </c>
      <c r="S280" s="11">
        <v>0.41198501872659177</v>
      </c>
      <c r="T280" s="23">
        <v>0.9</v>
      </c>
      <c r="U280" s="11">
        <f t="shared" si="32"/>
        <v>0.87031835205992514</v>
      </c>
      <c r="V280" s="24">
        <f t="shared" si="33"/>
        <v>0.72000000000000008</v>
      </c>
      <c r="W280" s="4"/>
      <c r="X280" s="54"/>
      <c r="Y280" s="34">
        <v>0.8</v>
      </c>
      <c r="Z280" s="54">
        <v>0.45833333333333331</v>
      </c>
      <c r="AA280" s="54" t="b">
        <f t="shared" si="28"/>
        <v>1</v>
      </c>
      <c r="AB280" s="54" t="b">
        <f t="shared" si="29"/>
        <v>1</v>
      </c>
      <c r="AC280" s="54" t="b">
        <f t="shared" si="34"/>
        <v>1</v>
      </c>
    </row>
    <row r="281" spans="1:29" x14ac:dyDescent="0.25">
      <c r="A281" s="1" t="s">
        <v>1575</v>
      </c>
      <c r="B281" s="1" t="s">
        <v>1695</v>
      </c>
      <c r="C281" s="23">
        <v>0.77</v>
      </c>
      <c r="D281" s="11">
        <v>7.7922077922077921</v>
      </c>
      <c r="E281" s="1" t="s">
        <v>1696</v>
      </c>
      <c r="F281" s="1"/>
      <c r="G281" s="1"/>
      <c r="H281" s="1"/>
      <c r="I281" s="1"/>
      <c r="J281" s="1"/>
      <c r="K281" s="23">
        <v>1</v>
      </c>
      <c r="L281" s="11">
        <f t="shared" si="30"/>
        <v>7.7922077922077921</v>
      </c>
      <c r="M281" s="23">
        <f t="shared" si="31"/>
        <v>0.77</v>
      </c>
      <c r="N281" s="1"/>
      <c r="O281" s="1"/>
      <c r="P281" s="1"/>
      <c r="Q281" s="1"/>
      <c r="R281" s="1"/>
      <c r="S281" s="1"/>
      <c r="T281" s="23">
        <v>1</v>
      </c>
      <c r="U281" s="11">
        <f t="shared" si="32"/>
        <v>7.7922077922077921</v>
      </c>
      <c r="V281" s="24">
        <f t="shared" si="33"/>
        <v>0.77</v>
      </c>
      <c r="W281" s="4"/>
      <c r="X281" s="54"/>
      <c r="Y281" s="34">
        <v>0.77</v>
      </c>
      <c r="Z281" s="54">
        <v>7.7922077922077921</v>
      </c>
      <c r="AA281" s="54" t="b">
        <f t="shared" si="28"/>
        <v>1</v>
      </c>
      <c r="AB281" s="54" t="b">
        <f t="shared" si="29"/>
        <v>1</v>
      </c>
      <c r="AC281" s="54" t="b">
        <f t="shared" si="34"/>
        <v>1</v>
      </c>
    </row>
    <row r="282" spans="1:29" x14ac:dyDescent="0.25">
      <c r="A282" s="1" t="s">
        <v>1576</v>
      </c>
      <c r="B282" s="1" t="s">
        <v>1695</v>
      </c>
      <c r="C282" s="23">
        <v>0.81408450704225344</v>
      </c>
      <c r="D282" s="11">
        <v>4.1522491349480974</v>
      </c>
      <c r="E282" s="1" t="s">
        <v>1696</v>
      </c>
      <c r="F282" s="1"/>
      <c r="G282" s="1"/>
      <c r="H282" s="1"/>
      <c r="I282" s="1"/>
      <c r="J282" s="1"/>
      <c r="K282" s="23">
        <v>1</v>
      </c>
      <c r="L282" s="11">
        <f t="shared" si="30"/>
        <v>4.1522491349480974</v>
      </c>
      <c r="M282" s="23">
        <f t="shared" si="31"/>
        <v>0.81408450704225344</v>
      </c>
      <c r="N282" s="1"/>
      <c r="O282" s="1"/>
      <c r="P282" s="1"/>
      <c r="Q282" s="1"/>
      <c r="R282" s="1"/>
      <c r="S282" s="1"/>
      <c r="T282" s="23">
        <v>1</v>
      </c>
      <c r="U282" s="11">
        <f t="shared" si="32"/>
        <v>4.1522491349480974</v>
      </c>
      <c r="V282" s="24">
        <f t="shared" si="33"/>
        <v>0.81408450704225344</v>
      </c>
      <c r="W282" s="4"/>
      <c r="X282" s="54"/>
      <c r="Y282" s="34">
        <v>0.81408450704225344</v>
      </c>
      <c r="Z282" s="54">
        <v>4.1522491349480974</v>
      </c>
      <c r="AA282" s="54" t="b">
        <f t="shared" si="28"/>
        <v>1</v>
      </c>
      <c r="AB282" s="54" t="b">
        <f t="shared" si="29"/>
        <v>1</v>
      </c>
      <c r="AC282" s="54" t="b">
        <f t="shared" si="34"/>
        <v>1</v>
      </c>
    </row>
    <row r="283" spans="1:29" x14ac:dyDescent="0.25">
      <c r="A283" s="1" t="s">
        <v>1577</v>
      </c>
      <c r="B283" s="1" t="s">
        <v>1695</v>
      </c>
      <c r="C283" s="23">
        <v>0.73267605633802813</v>
      </c>
      <c r="D283" s="11">
        <v>4.728950403690888</v>
      </c>
      <c r="E283" s="1" t="s">
        <v>1696</v>
      </c>
      <c r="F283" s="1"/>
      <c r="G283" s="1"/>
      <c r="H283" s="1"/>
      <c r="I283" s="1"/>
      <c r="J283" s="1"/>
      <c r="K283" s="23">
        <v>1</v>
      </c>
      <c r="L283" s="11">
        <f t="shared" si="30"/>
        <v>4.728950403690888</v>
      </c>
      <c r="M283" s="23">
        <f t="shared" si="31"/>
        <v>0.73267605633802813</v>
      </c>
      <c r="N283" s="1"/>
      <c r="O283" s="1"/>
      <c r="P283" s="1"/>
      <c r="Q283" s="1"/>
      <c r="R283" s="1"/>
      <c r="S283" s="1"/>
      <c r="T283" s="23">
        <v>1</v>
      </c>
      <c r="U283" s="11">
        <f t="shared" si="32"/>
        <v>4.728950403690888</v>
      </c>
      <c r="V283" s="24">
        <f t="shared" si="33"/>
        <v>0.73267605633802813</v>
      </c>
      <c r="W283" s="4"/>
      <c r="X283" s="54"/>
      <c r="Y283" s="34">
        <v>0.73267605633802813</v>
      </c>
      <c r="Z283" s="54">
        <v>4.728950403690888</v>
      </c>
      <c r="AA283" s="54" t="b">
        <f t="shared" si="28"/>
        <v>1</v>
      </c>
      <c r="AB283" s="54" t="b">
        <f t="shared" si="29"/>
        <v>1</v>
      </c>
      <c r="AC283" s="54" t="b">
        <f t="shared" si="34"/>
        <v>1</v>
      </c>
    </row>
    <row r="284" spans="1:29" x14ac:dyDescent="0.25">
      <c r="A284" s="1" t="s">
        <v>1578</v>
      </c>
      <c r="B284" s="1" t="s">
        <v>1695</v>
      </c>
      <c r="C284" s="23">
        <v>0.76167150570285258</v>
      </c>
      <c r="D284" s="11">
        <v>5.8901835541108909</v>
      </c>
      <c r="E284" s="1" t="s">
        <v>1696</v>
      </c>
      <c r="F284" s="1"/>
      <c r="G284" s="1"/>
      <c r="H284" s="1" t="s">
        <v>1696</v>
      </c>
      <c r="I284" s="1"/>
      <c r="J284" s="1">
        <v>0.1</v>
      </c>
      <c r="K284" s="30">
        <v>0.85</v>
      </c>
      <c r="L284" s="11">
        <f t="shared" si="30"/>
        <v>5.9901835541108905</v>
      </c>
      <c r="M284" s="23">
        <f t="shared" si="31"/>
        <v>0.64742077984742463</v>
      </c>
      <c r="N284" s="1"/>
      <c r="O284" s="1"/>
      <c r="P284" s="1"/>
      <c r="Q284" s="1"/>
      <c r="R284" s="1"/>
      <c r="S284" s="1"/>
      <c r="T284" s="23">
        <v>1</v>
      </c>
      <c r="U284" s="11">
        <f t="shared" si="32"/>
        <v>5.8901835541108909</v>
      </c>
      <c r="V284" s="24">
        <f t="shared" si="33"/>
        <v>0.76167150570285258</v>
      </c>
      <c r="W284" s="4"/>
      <c r="X284" s="54"/>
      <c r="Y284" s="34">
        <v>0.76167150570285258</v>
      </c>
      <c r="Z284" s="54">
        <v>5.8901835541108909</v>
      </c>
      <c r="AA284" s="54" t="b">
        <f t="shared" si="28"/>
        <v>1</v>
      </c>
      <c r="AB284" s="54" t="b">
        <f t="shared" si="29"/>
        <v>1</v>
      </c>
      <c r="AC284" s="54" t="b">
        <f t="shared" si="34"/>
        <v>0</v>
      </c>
    </row>
    <row r="285" spans="1:29" x14ac:dyDescent="0.25">
      <c r="A285" s="1" t="s">
        <v>1579</v>
      </c>
      <c r="B285" s="1" t="s">
        <v>1695</v>
      </c>
      <c r="C285" s="23">
        <v>0.77</v>
      </c>
      <c r="D285" s="11">
        <v>7.7922077922077921</v>
      </c>
      <c r="E285" s="1" t="s">
        <v>1696</v>
      </c>
      <c r="F285" s="1"/>
      <c r="G285" s="1"/>
      <c r="H285" s="1"/>
      <c r="I285" s="1"/>
      <c r="J285" s="1"/>
      <c r="K285" s="23">
        <v>1</v>
      </c>
      <c r="L285" s="11">
        <f t="shared" si="30"/>
        <v>7.7922077922077921</v>
      </c>
      <c r="M285" s="23">
        <f t="shared" si="31"/>
        <v>0.77</v>
      </c>
      <c r="N285" s="1"/>
      <c r="O285" s="1"/>
      <c r="P285" s="1"/>
      <c r="Q285" s="1"/>
      <c r="R285" s="1"/>
      <c r="S285" s="1"/>
      <c r="T285" s="23">
        <v>1</v>
      </c>
      <c r="U285" s="11">
        <f t="shared" si="32"/>
        <v>7.7922077922077921</v>
      </c>
      <c r="V285" s="24">
        <f t="shared" si="33"/>
        <v>0.77</v>
      </c>
      <c r="W285" s="4"/>
      <c r="X285" s="54"/>
      <c r="Y285" s="34">
        <v>0.77</v>
      </c>
      <c r="Z285" s="54">
        <v>7.7922077922077921</v>
      </c>
      <c r="AA285" s="54" t="b">
        <f t="shared" si="28"/>
        <v>1</v>
      </c>
      <c r="AB285" s="54" t="b">
        <f t="shared" si="29"/>
        <v>1</v>
      </c>
      <c r="AC285" s="54" t="b">
        <f t="shared" si="34"/>
        <v>1</v>
      </c>
    </row>
    <row r="286" spans="1:29" x14ac:dyDescent="0.25">
      <c r="A286" s="1" t="s">
        <v>1608</v>
      </c>
      <c r="B286" s="1" t="s">
        <v>1695</v>
      </c>
      <c r="C286" s="23">
        <v>0.88</v>
      </c>
      <c r="D286" s="11">
        <v>11.666666666666668</v>
      </c>
      <c r="E286" s="1"/>
      <c r="F286" s="1"/>
      <c r="G286" s="1"/>
      <c r="H286" s="1"/>
      <c r="I286" s="1"/>
      <c r="J286" s="1"/>
      <c r="K286" s="23">
        <v>1</v>
      </c>
      <c r="L286" s="11">
        <f t="shared" si="30"/>
        <v>11.666666666666668</v>
      </c>
      <c r="M286" s="23">
        <f t="shared" si="31"/>
        <v>0.88</v>
      </c>
      <c r="N286" s="1" t="s">
        <v>1696</v>
      </c>
      <c r="O286" s="1"/>
      <c r="P286" s="1"/>
      <c r="Q286" s="1"/>
      <c r="R286" s="1"/>
      <c r="S286" s="1"/>
      <c r="T286" s="23">
        <v>1</v>
      </c>
      <c r="U286" s="11">
        <f t="shared" si="32"/>
        <v>11.666666666666668</v>
      </c>
      <c r="V286" s="24">
        <f t="shared" si="33"/>
        <v>0.88</v>
      </c>
      <c r="W286" s="4"/>
      <c r="X286" s="54"/>
      <c r="Y286" s="34">
        <v>0.88</v>
      </c>
      <c r="Z286" s="54">
        <v>11.666666666666668</v>
      </c>
      <c r="AA286" s="54" t="b">
        <f t="shared" si="28"/>
        <v>1</v>
      </c>
      <c r="AB286" s="54" t="b">
        <f t="shared" si="29"/>
        <v>1</v>
      </c>
      <c r="AC286" s="54" t="b">
        <f t="shared" si="34"/>
        <v>1</v>
      </c>
    </row>
    <row r="287" spans="1:29" x14ac:dyDescent="0.25">
      <c r="A287" s="1" t="s">
        <v>1638</v>
      </c>
      <c r="B287" s="1" t="s">
        <v>1695</v>
      </c>
      <c r="C287" s="23">
        <v>0.61290322580645162</v>
      </c>
      <c r="D287" s="11">
        <v>3.9473684210526314</v>
      </c>
      <c r="E287" s="1"/>
      <c r="F287" s="1"/>
      <c r="G287" s="1"/>
      <c r="H287" s="1"/>
      <c r="I287" s="1"/>
      <c r="J287" s="1"/>
      <c r="K287" s="23">
        <v>1</v>
      </c>
      <c r="L287" s="11">
        <f t="shared" si="30"/>
        <v>3.9473684210526314</v>
      </c>
      <c r="M287" s="23">
        <f t="shared" si="31"/>
        <v>0.61290322580645162</v>
      </c>
      <c r="N287" s="1" t="s">
        <v>1696</v>
      </c>
      <c r="O287" s="1"/>
      <c r="P287" s="1"/>
      <c r="Q287" s="1"/>
      <c r="R287" s="1"/>
      <c r="S287" s="1"/>
      <c r="T287" s="23">
        <v>1</v>
      </c>
      <c r="U287" s="11">
        <f t="shared" si="32"/>
        <v>3.9473684210526314</v>
      </c>
      <c r="V287" s="24">
        <f t="shared" si="33"/>
        <v>0.61290322580645162</v>
      </c>
      <c r="W287" s="4"/>
      <c r="X287" s="54"/>
      <c r="Y287" s="34">
        <v>0.61290322580645162</v>
      </c>
      <c r="Z287" s="54">
        <v>3.9473684210526314</v>
      </c>
      <c r="AA287" s="54" t="b">
        <f t="shared" si="28"/>
        <v>1</v>
      </c>
      <c r="AB287" s="54" t="b">
        <f t="shared" si="29"/>
        <v>1</v>
      </c>
      <c r="AC287" s="54" t="b">
        <f t="shared" si="34"/>
        <v>1</v>
      </c>
    </row>
    <row r="288" spans="1:29" x14ac:dyDescent="0.25">
      <c r="A288" s="1" t="s">
        <v>1646</v>
      </c>
      <c r="B288" s="1" t="s">
        <v>1695</v>
      </c>
      <c r="C288" s="23">
        <v>0.57305084745762713</v>
      </c>
      <c r="D288" s="79">
        <v>3.3348121857438628</v>
      </c>
      <c r="E288" s="1" t="s">
        <v>1696</v>
      </c>
      <c r="F288" s="1"/>
      <c r="G288" s="1" t="s">
        <v>1696</v>
      </c>
      <c r="H288" s="1"/>
      <c r="I288" s="1" t="s">
        <v>1698</v>
      </c>
      <c r="J288" s="1">
        <v>0.1</v>
      </c>
      <c r="K288" s="23">
        <v>1</v>
      </c>
      <c r="L288" s="11">
        <f t="shared" si="30"/>
        <v>3.4348121857438629</v>
      </c>
      <c r="M288" s="23">
        <f t="shared" si="31"/>
        <v>0.57305084745762713</v>
      </c>
      <c r="N288" s="1" t="s">
        <v>1696</v>
      </c>
      <c r="O288" s="1"/>
      <c r="P288" s="1" t="s">
        <v>1696</v>
      </c>
      <c r="Q288" s="1"/>
      <c r="R288" s="1" t="s">
        <v>1698</v>
      </c>
      <c r="S288" s="1">
        <v>0.1</v>
      </c>
      <c r="T288" s="23">
        <v>1</v>
      </c>
      <c r="U288" s="11">
        <f t="shared" si="32"/>
        <v>3.4348121857438629</v>
      </c>
      <c r="V288" s="24">
        <f t="shared" si="33"/>
        <v>0.57305084745762713</v>
      </c>
      <c r="W288" s="4">
        <v>3.43</v>
      </c>
      <c r="X288" s="54">
        <v>0.56999999999999995</v>
      </c>
      <c r="Y288" s="34">
        <v>0.52828125000000004</v>
      </c>
      <c r="Z288" s="54">
        <v>6.2185743862762486</v>
      </c>
      <c r="AA288" s="54" t="b">
        <f t="shared" si="28"/>
        <v>0</v>
      </c>
      <c r="AB288" s="54" t="b">
        <f t="shared" si="29"/>
        <v>0</v>
      </c>
      <c r="AC288" s="54" t="b">
        <f t="shared" si="34"/>
        <v>1</v>
      </c>
    </row>
    <row r="289" spans="1:29" x14ac:dyDescent="0.25">
      <c r="A289" s="1" t="s">
        <v>1651</v>
      </c>
      <c r="B289" s="1" t="s">
        <v>1695</v>
      </c>
      <c r="C289" s="23">
        <v>0.65518543379761707</v>
      </c>
      <c r="D289" s="79">
        <v>2.6656101257177007</v>
      </c>
      <c r="E289" s="1"/>
      <c r="F289" s="1"/>
      <c r="G289" s="1"/>
      <c r="H289" s="1"/>
      <c r="I289" s="1"/>
      <c r="J289" s="1"/>
      <c r="K289" s="23">
        <v>1</v>
      </c>
      <c r="L289" s="11">
        <f t="shared" si="30"/>
        <v>2.6656101257177007</v>
      </c>
      <c r="M289" s="23">
        <f t="shared" si="31"/>
        <v>0.65518543379761707</v>
      </c>
      <c r="N289" s="1" t="s">
        <v>1696</v>
      </c>
      <c r="O289" s="1"/>
      <c r="P289" s="1"/>
      <c r="Q289" s="1"/>
      <c r="R289" s="1"/>
      <c r="S289" s="1"/>
      <c r="T289" s="23">
        <v>1</v>
      </c>
      <c r="U289" s="11">
        <f t="shared" si="32"/>
        <v>2.6656101257177007</v>
      </c>
      <c r="V289" s="24">
        <f t="shared" si="33"/>
        <v>0.65518543379761707</v>
      </c>
      <c r="W289" s="4"/>
      <c r="X289" s="54"/>
      <c r="Y289" s="34">
        <v>0.60399907178217827</v>
      </c>
      <c r="Z289" s="54">
        <v>5.1878615184307701</v>
      </c>
      <c r="AA289" s="54" t="b">
        <f t="shared" si="28"/>
        <v>0</v>
      </c>
      <c r="AB289" s="54" t="b">
        <f t="shared" si="29"/>
        <v>0</v>
      </c>
      <c r="AC289" s="54" t="b">
        <f t="shared" si="34"/>
        <v>1</v>
      </c>
    </row>
    <row r="290" spans="1:29" x14ac:dyDescent="0.25">
      <c r="A290" s="1" t="s">
        <v>1607</v>
      </c>
      <c r="B290" s="1" t="s">
        <v>1695</v>
      </c>
      <c r="C290" s="23">
        <v>0.2524835726235764</v>
      </c>
      <c r="D290" s="11">
        <v>9.6822627333725446</v>
      </c>
      <c r="E290" s="1" t="s">
        <v>1696</v>
      </c>
      <c r="F290" s="1"/>
      <c r="G290" s="1" t="s">
        <v>1696</v>
      </c>
      <c r="H290" s="1"/>
      <c r="I290" s="1" t="s">
        <v>1700</v>
      </c>
      <c r="J290" s="1">
        <v>0.1</v>
      </c>
      <c r="K290" s="23">
        <v>1</v>
      </c>
      <c r="L290" s="11">
        <f t="shared" si="30"/>
        <v>9.7822627333725443</v>
      </c>
      <c r="M290" s="23">
        <f t="shared" si="31"/>
        <v>0.2524835726235764</v>
      </c>
      <c r="N290" s="1" t="s">
        <v>1696</v>
      </c>
      <c r="O290" s="1"/>
      <c r="P290" s="1" t="s">
        <v>1696</v>
      </c>
      <c r="Q290" s="1"/>
      <c r="R290" s="1" t="s">
        <v>1700</v>
      </c>
      <c r="S290" s="1">
        <v>0.1</v>
      </c>
      <c r="T290" s="23">
        <v>0.94</v>
      </c>
      <c r="U290" s="11">
        <f t="shared" si="32"/>
        <v>9.7822627333725443</v>
      </c>
      <c r="V290" s="24">
        <f t="shared" si="33"/>
        <v>0.23733455826616182</v>
      </c>
      <c r="W290" s="4"/>
      <c r="X290" s="54"/>
      <c r="Y290" s="34">
        <v>0.2524835726235764</v>
      </c>
      <c r="Z290" s="54">
        <v>9.6822627333725446</v>
      </c>
      <c r="AA290" s="54" t="b">
        <f t="shared" si="28"/>
        <v>1</v>
      </c>
      <c r="AB290" s="54" t="b">
        <f t="shared" si="29"/>
        <v>1</v>
      </c>
      <c r="AC290" s="54" t="b">
        <f t="shared" si="34"/>
        <v>0</v>
      </c>
    </row>
    <row r="291" spans="1:29" x14ac:dyDescent="0.25">
      <c r="A291" s="1" t="s">
        <v>1580</v>
      </c>
      <c r="B291" s="1" t="s">
        <v>1695</v>
      </c>
      <c r="C291" s="23">
        <v>0.76</v>
      </c>
      <c r="D291" s="11">
        <v>9.4298245614035086</v>
      </c>
      <c r="E291" s="1" t="s">
        <v>1696</v>
      </c>
      <c r="F291" s="1"/>
      <c r="G291" s="1" t="s">
        <v>1696</v>
      </c>
      <c r="H291" s="1" t="s">
        <v>1696</v>
      </c>
      <c r="I291" s="1" t="s">
        <v>1700</v>
      </c>
      <c r="J291" s="1">
        <v>0.25</v>
      </c>
      <c r="K291" s="23">
        <v>0.92016129032258065</v>
      </c>
      <c r="L291" s="11">
        <f t="shared" si="30"/>
        <v>9.6798245614035086</v>
      </c>
      <c r="M291" s="23">
        <f t="shared" si="31"/>
        <v>0.69932258064516128</v>
      </c>
      <c r="N291" s="1"/>
      <c r="O291" s="1"/>
      <c r="P291" s="1"/>
      <c r="Q291" s="1"/>
      <c r="R291" s="1"/>
      <c r="S291" s="1"/>
      <c r="T291" s="23">
        <v>1</v>
      </c>
      <c r="U291" s="11">
        <f t="shared" si="32"/>
        <v>9.4298245614035086</v>
      </c>
      <c r="V291" s="24">
        <f t="shared" si="33"/>
        <v>0.76</v>
      </c>
      <c r="W291" s="4"/>
      <c r="X291" s="54"/>
      <c r="Y291" s="34">
        <v>0.76</v>
      </c>
      <c r="Z291" s="54">
        <v>9.4298245614035086</v>
      </c>
      <c r="AA291" s="54" t="b">
        <f t="shared" si="28"/>
        <v>1</v>
      </c>
      <c r="AB291" s="54" t="b">
        <f t="shared" si="29"/>
        <v>1</v>
      </c>
      <c r="AC291" s="54" t="b">
        <f t="shared" si="34"/>
        <v>0</v>
      </c>
    </row>
    <row r="292" spans="1:29" x14ac:dyDescent="0.25">
      <c r="A292" s="1" t="s">
        <v>1581</v>
      </c>
      <c r="B292" s="1" t="s">
        <v>1695</v>
      </c>
      <c r="C292" s="23">
        <v>0.74</v>
      </c>
      <c r="D292" s="11">
        <v>10.585585585585585</v>
      </c>
      <c r="E292" s="1" t="s">
        <v>1696</v>
      </c>
      <c r="F292" s="1"/>
      <c r="G292" s="1" t="s">
        <v>1696</v>
      </c>
      <c r="H292" s="1" t="s">
        <v>1696</v>
      </c>
      <c r="I292" s="1" t="s">
        <v>1700</v>
      </c>
      <c r="J292" s="1">
        <v>0.25</v>
      </c>
      <c r="K292" s="23">
        <v>0.88944365192582031</v>
      </c>
      <c r="L292" s="11">
        <f t="shared" si="30"/>
        <v>10.835585585585585</v>
      </c>
      <c r="M292" s="23">
        <f t="shared" si="31"/>
        <v>0.65818830242510706</v>
      </c>
      <c r="N292" s="1"/>
      <c r="O292" s="1"/>
      <c r="P292" s="1"/>
      <c r="Q292" s="1"/>
      <c r="R292" s="1"/>
      <c r="S292" s="1"/>
      <c r="T292" s="23">
        <v>1</v>
      </c>
      <c r="U292" s="11">
        <f t="shared" si="32"/>
        <v>10.585585585585585</v>
      </c>
      <c r="V292" s="24">
        <f t="shared" si="33"/>
        <v>0.74</v>
      </c>
      <c r="W292" s="4">
        <v>10.84</v>
      </c>
      <c r="X292" s="54">
        <v>0.66</v>
      </c>
      <c r="Y292" s="34">
        <v>0.74</v>
      </c>
      <c r="Z292" s="54">
        <v>10.585585585585585</v>
      </c>
      <c r="AA292" s="54" t="b">
        <f t="shared" si="28"/>
        <v>1</v>
      </c>
      <c r="AB292" s="54" t="b">
        <f t="shared" si="29"/>
        <v>1</v>
      </c>
      <c r="AC292" s="54" t="b">
        <f t="shared" si="34"/>
        <v>0</v>
      </c>
    </row>
    <row r="293" spans="1:29" x14ac:dyDescent="0.25">
      <c r="A293" s="1" t="s">
        <v>1582</v>
      </c>
      <c r="B293" s="1" t="s">
        <v>1695</v>
      </c>
      <c r="C293" s="26">
        <v>0.74</v>
      </c>
      <c r="D293" s="33">
        <v>10.585585585585585</v>
      </c>
      <c r="E293" s="1" t="s">
        <v>1696</v>
      </c>
      <c r="F293" s="1"/>
      <c r="G293" s="1" t="s">
        <v>1696</v>
      </c>
      <c r="H293" s="1" t="s">
        <v>1696</v>
      </c>
      <c r="I293" s="1" t="s">
        <v>1700</v>
      </c>
      <c r="J293" s="1">
        <v>0.25</v>
      </c>
      <c r="K293" s="23">
        <v>0.88944365192582031</v>
      </c>
      <c r="L293" s="11">
        <f t="shared" si="30"/>
        <v>10.835585585585585</v>
      </c>
      <c r="M293" s="23">
        <f t="shared" si="31"/>
        <v>0.65818830242510706</v>
      </c>
      <c r="N293" s="1"/>
      <c r="O293" s="1"/>
      <c r="P293" s="1"/>
      <c r="Q293" s="1"/>
      <c r="R293" s="1"/>
      <c r="S293" s="1"/>
      <c r="T293" s="23">
        <v>1</v>
      </c>
      <c r="U293" s="11">
        <f t="shared" si="32"/>
        <v>10.585585585585585</v>
      </c>
      <c r="V293" s="24">
        <f t="shared" si="33"/>
        <v>0.74</v>
      </c>
      <c r="W293" s="4"/>
      <c r="X293" s="54"/>
      <c r="Y293" s="34">
        <v>0.28387096774193549</v>
      </c>
      <c r="Z293" s="54">
        <v>7.291666666666667</v>
      </c>
      <c r="AA293" s="54" t="b">
        <f t="shared" si="28"/>
        <v>0</v>
      </c>
      <c r="AB293" s="54" t="b">
        <f t="shared" si="29"/>
        <v>0</v>
      </c>
      <c r="AC293" s="54" t="b">
        <f t="shared" si="34"/>
        <v>0</v>
      </c>
    </row>
    <row r="294" spans="1:29" x14ac:dyDescent="0.25">
      <c r="A294" s="1" t="s">
        <v>1635</v>
      </c>
      <c r="B294" s="1" t="s">
        <v>1695</v>
      </c>
      <c r="C294" s="23">
        <v>0.78548110440989316</v>
      </c>
      <c r="D294" s="11">
        <v>18.258664412510566</v>
      </c>
      <c r="E294" s="1" t="s">
        <v>1696</v>
      </c>
      <c r="F294" s="1"/>
      <c r="G294" s="1" t="s">
        <v>1696</v>
      </c>
      <c r="H294" s="1" t="s">
        <v>1696</v>
      </c>
      <c r="I294" s="1" t="s">
        <v>1700</v>
      </c>
      <c r="J294" s="1">
        <v>0.25</v>
      </c>
      <c r="K294" s="30">
        <v>0.86</v>
      </c>
      <c r="L294" s="11">
        <f t="shared" si="30"/>
        <v>18.508664412510566</v>
      </c>
      <c r="M294" s="23">
        <f t="shared" si="31"/>
        <v>0.67551374979250811</v>
      </c>
      <c r="N294" s="1"/>
      <c r="O294" s="1"/>
      <c r="P294" s="1"/>
      <c r="Q294" s="1"/>
      <c r="R294" s="1"/>
      <c r="S294" s="1"/>
      <c r="T294" s="23">
        <v>1</v>
      </c>
      <c r="U294" s="11">
        <f t="shared" si="32"/>
        <v>18.258664412510566</v>
      </c>
      <c r="V294" s="24">
        <f t="shared" si="33"/>
        <v>0.78548110440989316</v>
      </c>
      <c r="W294" s="4"/>
      <c r="X294" s="54"/>
      <c r="Y294" s="34">
        <v>0.78548110440989316</v>
      </c>
      <c r="Z294" s="54">
        <v>18.258664412510566</v>
      </c>
      <c r="AA294" s="54" t="b">
        <f t="shared" si="28"/>
        <v>1</v>
      </c>
      <c r="AB294" s="54" t="b">
        <f t="shared" si="29"/>
        <v>1</v>
      </c>
      <c r="AC294" s="54" t="b">
        <f t="shared" si="34"/>
        <v>0</v>
      </c>
    </row>
    <row r="295" spans="1:29" x14ac:dyDescent="0.25">
      <c r="A295" s="1" t="s">
        <v>1462</v>
      </c>
      <c r="B295" s="1" t="s">
        <v>1695</v>
      </c>
      <c r="C295" s="23">
        <v>0.72041166380789012</v>
      </c>
      <c r="D295" s="11">
        <v>15.714285714285714</v>
      </c>
      <c r="E295" s="1"/>
      <c r="F295" s="1"/>
      <c r="G295" s="1"/>
      <c r="H295" s="1"/>
      <c r="I295" s="1"/>
      <c r="J295" s="1"/>
      <c r="K295" s="23">
        <v>1</v>
      </c>
      <c r="L295" s="11">
        <f t="shared" si="30"/>
        <v>15.714285714285714</v>
      </c>
      <c r="M295" s="23">
        <f t="shared" si="31"/>
        <v>0.72041166380789012</v>
      </c>
      <c r="N295" s="1" t="s">
        <v>1696</v>
      </c>
      <c r="O295" s="1"/>
      <c r="P295" s="1"/>
      <c r="Q295" s="1"/>
      <c r="R295" s="1" t="s">
        <v>1700</v>
      </c>
      <c r="S295" s="1"/>
      <c r="T295" s="23">
        <v>1</v>
      </c>
      <c r="U295" s="11">
        <f t="shared" si="32"/>
        <v>15.714285714285714</v>
      </c>
      <c r="V295" s="24">
        <f t="shared" si="33"/>
        <v>0.72041166380789012</v>
      </c>
      <c r="W295" s="4"/>
      <c r="X295" s="54"/>
      <c r="Y295" s="34">
        <v>0.78548110440989316</v>
      </c>
      <c r="Z295" s="54">
        <v>18.258664412510566</v>
      </c>
      <c r="AA295" s="54" t="b">
        <f t="shared" si="28"/>
        <v>0</v>
      </c>
      <c r="AB295" s="54" t="b">
        <f t="shared" si="29"/>
        <v>0</v>
      </c>
      <c r="AC295" s="54" t="b">
        <f t="shared" si="34"/>
        <v>1</v>
      </c>
    </row>
    <row r="296" spans="1:29" x14ac:dyDescent="0.25">
      <c r="A296" s="1" t="s">
        <v>1378</v>
      </c>
      <c r="B296" s="1" t="s">
        <v>1695</v>
      </c>
      <c r="C296" s="23">
        <v>0.67500000000000004</v>
      </c>
      <c r="D296" s="33">
        <v>3.7037037037037033</v>
      </c>
      <c r="E296" s="1"/>
      <c r="F296" s="1"/>
      <c r="G296" s="1"/>
      <c r="H296" s="1"/>
      <c r="I296" s="1"/>
      <c r="J296" s="1"/>
      <c r="K296" s="23">
        <v>1</v>
      </c>
      <c r="L296" s="11">
        <f t="shared" si="30"/>
        <v>3.7037037037037033</v>
      </c>
      <c r="M296" s="23">
        <f t="shared" si="31"/>
        <v>0.67500000000000004</v>
      </c>
      <c r="N296" s="1" t="s">
        <v>1696</v>
      </c>
      <c r="O296" s="1"/>
      <c r="P296" s="1" t="s">
        <v>1703</v>
      </c>
      <c r="Q296" s="1"/>
      <c r="R296" s="1" t="s">
        <v>1700</v>
      </c>
      <c r="S296" s="1">
        <v>0.1</v>
      </c>
      <c r="T296" s="23">
        <v>0.9</v>
      </c>
      <c r="U296" s="11">
        <f t="shared" si="32"/>
        <v>3.8037037037037034</v>
      </c>
      <c r="V296" s="24">
        <f t="shared" si="33"/>
        <v>0.60750000000000004</v>
      </c>
      <c r="W296" s="4"/>
      <c r="X296" s="54"/>
      <c r="Y296" s="34">
        <v>0.67500000000000004</v>
      </c>
      <c r="Z296" s="54">
        <v>3.7037037037037033</v>
      </c>
      <c r="AA296" s="54" t="b">
        <f t="shared" si="28"/>
        <v>1</v>
      </c>
      <c r="AB296" s="54" t="b">
        <f t="shared" si="29"/>
        <v>1</v>
      </c>
      <c r="AC296" s="54" t="b">
        <f t="shared" si="34"/>
        <v>0</v>
      </c>
    </row>
    <row r="297" spans="1:29" x14ac:dyDescent="0.25">
      <c r="A297" s="1" t="s">
        <v>1583</v>
      </c>
      <c r="B297" s="1" t="s">
        <v>1695</v>
      </c>
      <c r="C297" s="23">
        <v>0.63291139240506333</v>
      </c>
      <c r="D297" s="11">
        <v>6.6358024691358022</v>
      </c>
      <c r="E297" s="1" t="s">
        <v>1696</v>
      </c>
      <c r="F297" s="1"/>
      <c r="G297" s="1"/>
      <c r="H297" s="1"/>
      <c r="I297" s="1"/>
      <c r="J297" s="1"/>
      <c r="K297" s="23">
        <v>1</v>
      </c>
      <c r="L297" s="11">
        <f t="shared" si="30"/>
        <v>6.6358024691358022</v>
      </c>
      <c r="M297" s="23">
        <f t="shared" si="31"/>
        <v>0.63291139240506333</v>
      </c>
      <c r="N297" s="1"/>
      <c r="O297" s="1"/>
      <c r="P297" s="1"/>
      <c r="Q297" s="1"/>
      <c r="R297" s="1"/>
      <c r="S297" s="1"/>
      <c r="T297" s="23">
        <v>1</v>
      </c>
      <c r="U297" s="11">
        <f t="shared" si="32"/>
        <v>6.6358024691358022</v>
      </c>
      <c r="V297" s="24">
        <f t="shared" si="33"/>
        <v>0.63291139240506333</v>
      </c>
      <c r="W297" s="4"/>
      <c r="X297" s="54"/>
      <c r="Y297" s="34">
        <v>0.63291139240506333</v>
      </c>
      <c r="Z297" s="54">
        <v>6.6358024691358022</v>
      </c>
      <c r="AA297" s="54" t="b">
        <f t="shared" si="28"/>
        <v>1</v>
      </c>
      <c r="AB297" s="54" t="b">
        <f t="shared" si="29"/>
        <v>1</v>
      </c>
      <c r="AC297" s="54" t="b">
        <f t="shared" si="34"/>
        <v>1</v>
      </c>
    </row>
    <row r="298" spans="1:29" x14ac:dyDescent="0.25">
      <c r="A298" s="1" t="s">
        <v>1590</v>
      </c>
      <c r="B298" s="1" t="s">
        <v>1695</v>
      </c>
      <c r="C298" s="26">
        <v>0.85</v>
      </c>
      <c r="D298" s="33">
        <v>13.5</v>
      </c>
      <c r="E298" s="1" t="s">
        <v>1696</v>
      </c>
      <c r="F298" s="1"/>
      <c r="G298" s="1" t="s">
        <v>1696</v>
      </c>
      <c r="H298" s="1"/>
      <c r="I298" s="1" t="s">
        <v>1700</v>
      </c>
      <c r="J298" s="1">
        <v>0.1</v>
      </c>
      <c r="K298" s="23">
        <v>1</v>
      </c>
      <c r="L298" s="11">
        <f t="shared" si="30"/>
        <v>13.6</v>
      </c>
      <c r="M298" s="23">
        <f t="shared" si="31"/>
        <v>0.85</v>
      </c>
      <c r="N298" s="1"/>
      <c r="O298" s="1"/>
      <c r="P298" s="1"/>
      <c r="Q298" s="1"/>
      <c r="R298" s="1"/>
      <c r="S298" s="1"/>
      <c r="T298" s="23">
        <v>1</v>
      </c>
      <c r="U298" s="11">
        <f t="shared" si="32"/>
        <v>13.5</v>
      </c>
      <c r="V298" s="24">
        <f t="shared" si="33"/>
        <v>0.85</v>
      </c>
      <c r="W298" s="4">
        <v>13.5</v>
      </c>
      <c r="X298" s="54">
        <v>0.85</v>
      </c>
      <c r="Y298" s="34">
        <v>0.9275147928994083</v>
      </c>
      <c r="Z298" s="54">
        <v>19.138755980861244</v>
      </c>
      <c r="AA298" s="54" t="b">
        <f t="shared" si="28"/>
        <v>0</v>
      </c>
      <c r="AB298" s="54" t="b">
        <f t="shared" si="29"/>
        <v>0</v>
      </c>
      <c r="AC298" s="54" t="b">
        <f t="shared" si="34"/>
        <v>1</v>
      </c>
    </row>
    <row r="299" spans="1:29" x14ac:dyDescent="0.25">
      <c r="A299" s="1" t="s">
        <v>1374</v>
      </c>
      <c r="B299" s="1" t="s">
        <v>1695</v>
      </c>
      <c r="C299" s="23">
        <v>0.82764227642276411</v>
      </c>
      <c r="D299" s="11">
        <v>1.9511118703909343</v>
      </c>
      <c r="E299" s="1" t="s">
        <v>1696</v>
      </c>
      <c r="F299" s="1"/>
      <c r="G299" s="1"/>
      <c r="H299" s="1"/>
      <c r="I299" s="1"/>
      <c r="J299" s="1"/>
      <c r="K299" s="23">
        <v>1</v>
      </c>
      <c r="L299" s="11">
        <f t="shared" si="30"/>
        <v>1.9511118703909343</v>
      </c>
      <c r="M299" s="23">
        <f t="shared" si="31"/>
        <v>0.82764227642276411</v>
      </c>
      <c r="N299" s="1" t="s">
        <v>1696</v>
      </c>
      <c r="O299" s="1"/>
      <c r="P299" s="1"/>
      <c r="Q299" s="1"/>
      <c r="R299" s="1"/>
      <c r="S299" s="1"/>
      <c r="T299" s="23">
        <v>1</v>
      </c>
      <c r="U299" s="11">
        <f t="shared" si="32"/>
        <v>1.9511118703909343</v>
      </c>
      <c r="V299" s="24">
        <f t="shared" si="33"/>
        <v>0.82764227642276411</v>
      </c>
      <c r="W299" s="4">
        <v>1.95</v>
      </c>
      <c r="X299" s="54">
        <v>0.83</v>
      </c>
      <c r="Y299" s="34">
        <v>0.82764227642276411</v>
      </c>
      <c r="Z299" s="54">
        <v>1.9511118703909343</v>
      </c>
      <c r="AA299" s="54" t="b">
        <f t="shared" si="28"/>
        <v>1</v>
      </c>
      <c r="AB299" s="54" t="b">
        <f t="shared" si="29"/>
        <v>1</v>
      </c>
      <c r="AC299" s="54" t="b">
        <f t="shared" si="34"/>
        <v>1</v>
      </c>
    </row>
    <row r="300" spans="1:29" x14ac:dyDescent="0.25">
      <c r="A300" s="1" t="s">
        <v>1344</v>
      </c>
      <c r="B300" s="1" t="s">
        <v>1695</v>
      </c>
      <c r="C300" s="23">
        <v>0.82357723577235775</v>
      </c>
      <c r="D300" s="11">
        <v>1.9442894544830251</v>
      </c>
      <c r="E300" s="1"/>
      <c r="F300" s="1"/>
      <c r="G300" s="1"/>
      <c r="H300" s="1"/>
      <c r="I300" s="1"/>
      <c r="J300" s="1"/>
      <c r="K300" s="23">
        <v>1</v>
      </c>
      <c r="L300" s="11">
        <f t="shared" si="30"/>
        <v>1.9442894544830251</v>
      </c>
      <c r="M300" s="23">
        <f t="shared" si="31"/>
        <v>0.82357723577235775</v>
      </c>
      <c r="N300" s="1" t="s">
        <v>1696</v>
      </c>
      <c r="O300" s="1"/>
      <c r="P300" s="1"/>
      <c r="Q300" s="1"/>
      <c r="R300" s="1"/>
      <c r="S300" s="1"/>
      <c r="T300" s="23">
        <v>1</v>
      </c>
      <c r="U300" s="11">
        <f t="shared" si="32"/>
        <v>1.9442894544830251</v>
      </c>
      <c r="V300" s="24">
        <f t="shared" si="33"/>
        <v>0.82357723577235775</v>
      </c>
      <c r="W300" s="4"/>
      <c r="X300" s="54"/>
      <c r="Y300" s="34">
        <v>0.82357723577235775</v>
      </c>
      <c r="Z300" s="54">
        <v>1.9442894544830251</v>
      </c>
      <c r="AA300" s="54" t="b">
        <f t="shared" si="28"/>
        <v>1</v>
      </c>
      <c r="AB300" s="54" t="b">
        <f t="shared" si="29"/>
        <v>1</v>
      </c>
      <c r="AC300" s="54" t="b">
        <f t="shared" si="34"/>
        <v>1</v>
      </c>
    </row>
    <row r="301" spans="1:29" x14ac:dyDescent="0.25">
      <c r="A301" s="1" t="s">
        <v>1657</v>
      </c>
      <c r="B301" s="1" t="s">
        <v>1695</v>
      </c>
      <c r="C301" s="23">
        <v>0.82926829268292668</v>
      </c>
      <c r="D301" s="11">
        <v>1.8982665529980109</v>
      </c>
      <c r="E301" s="1"/>
      <c r="F301" s="1"/>
      <c r="G301" s="1"/>
      <c r="H301" s="1"/>
      <c r="I301" s="1"/>
      <c r="J301" s="1"/>
      <c r="K301" s="23">
        <v>1</v>
      </c>
      <c r="L301" s="11">
        <f t="shared" si="30"/>
        <v>1.8982665529980109</v>
      </c>
      <c r="M301" s="23">
        <f t="shared" si="31"/>
        <v>0.82926829268292668</v>
      </c>
      <c r="N301" s="1" t="s">
        <v>1696</v>
      </c>
      <c r="O301" s="1"/>
      <c r="P301" s="1"/>
      <c r="Q301" s="1"/>
      <c r="R301" s="1"/>
      <c r="S301" s="1"/>
      <c r="T301" s="23">
        <v>1</v>
      </c>
      <c r="U301" s="11">
        <f t="shared" si="32"/>
        <v>1.8982665529980109</v>
      </c>
      <c r="V301" s="24">
        <f t="shared" si="33"/>
        <v>0.82926829268292668</v>
      </c>
      <c r="W301" s="4">
        <v>1.9</v>
      </c>
      <c r="X301" s="54">
        <v>0.83</v>
      </c>
      <c r="Y301" s="34">
        <v>0.82926829268292668</v>
      </c>
      <c r="Z301" s="54">
        <v>1.8982665529980109</v>
      </c>
      <c r="AA301" s="54" t="b">
        <f t="shared" si="28"/>
        <v>1</v>
      </c>
      <c r="AB301" s="54" t="b">
        <f t="shared" si="29"/>
        <v>1</v>
      </c>
      <c r="AC301" s="54" t="b">
        <f t="shared" si="34"/>
        <v>1</v>
      </c>
    </row>
    <row r="302" spans="1:29" x14ac:dyDescent="0.25">
      <c r="A302" s="1" t="s">
        <v>1368</v>
      </c>
      <c r="B302" s="1" t="s">
        <v>1695</v>
      </c>
      <c r="C302" s="23">
        <v>0.64390243902439015</v>
      </c>
      <c r="D302" s="11">
        <v>2.7056799882886842</v>
      </c>
      <c r="E302" s="1" t="s">
        <v>1696</v>
      </c>
      <c r="F302" s="1"/>
      <c r="G302" s="1"/>
      <c r="H302" s="1"/>
      <c r="I302" s="1"/>
      <c r="J302" s="1"/>
      <c r="K302" s="23">
        <v>1</v>
      </c>
      <c r="L302" s="11">
        <f t="shared" si="30"/>
        <v>2.7056799882886842</v>
      </c>
      <c r="M302" s="23">
        <f t="shared" si="31"/>
        <v>0.64390243902439015</v>
      </c>
      <c r="N302" s="1"/>
      <c r="O302" s="1"/>
      <c r="P302" s="1"/>
      <c r="Q302" s="1"/>
      <c r="R302" s="1"/>
      <c r="S302" s="1"/>
      <c r="T302" s="23">
        <v>1</v>
      </c>
      <c r="U302" s="11">
        <f t="shared" si="32"/>
        <v>2.7056799882886842</v>
      </c>
      <c r="V302" s="24">
        <f t="shared" si="33"/>
        <v>0.64390243902439015</v>
      </c>
      <c r="W302" s="4"/>
      <c r="X302" s="54"/>
      <c r="Y302" s="34">
        <v>0.64390243902439015</v>
      </c>
      <c r="Z302" s="54">
        <v>2.7056799882886842</v>
      </c>
      <c r="AA302" s="54" t="b">
        <f t="shared" si="28"/>
        <v>1</v>
      </c>
      <c r="AB302" s="54" t="b">
        <f t="shared" si="29"/>
        <v>1</v>
      </c>
      <c r="AC302" s="54" t="b">
        <f t="shared" si="34"/>
        <v>1</v>
      </c>
    </row>
    <row r="303" spans="1:29" x14ac:dyDescent="0.25">
      <c r="A303" s="1" t="s">
        <v>1450</v>
      </c>
      <c r="B303" s="1" t="s">
        <v>1695</v>
      </c>
      <c r="C303" s="23">
        <v>0.82247918069622161</v>
      </c>
      <c r="D303" s="79">
        <v>1.2113289760348582</v>
      </c>
      <c r="E303" s="1"/>
      <c r="F303" s="1"/>
      <c r="G303" s="1"/>
      <c r="H303" s="1"/>
      <c r="I303" s="1"/>
      <c r="J303" s="1"/>
      <c r="K303" s="23">
        <v>1</v>
      </c>
      <c r="L303" s="11">
        <f t="shared" si="30"/>
        <v>1.2113289760348582</v>
      </c>
      <c r="M303" s="23">
        <f t="shared" si="31"/>
        <v>0.82247918069622161</v>
      </c>
      <c r="N303" s="1" t="s">
        <v>1696</v>
      </c>
      <c r="O303" s="1"/>
      <c r="P303" s="1"/>
      <c r="Q303" s="1"/>
      <c r="R303" s="1"/>
      <c r="S303" s="1"/>
      <c r="T303" s="23">
        <v>1</v>
      </c>
      <c r="U303" s="11">
        <f t="shared" si="32"/>
        <v>1.2113289760348582</v>
      </c>
      <c r="V303" s="24">
        <f t="shared" si="33"/>
        <v>0.82247918069622161</v>
      </c>
      <c r="W303" s="4"/>
      <c r="X303" s="54"/>
      <c r="Y303" s="34">
        <v>0.82247918069622161</v>
      </c>
      <c r="Z303" s="54">
        <v>1.2113289760348582</v>
      </c>
      <c r="AA303" s="54" t="b">
        <f t="shared" si="28"/>
        <v>1</v>
      </c>
      <c r="AB303" s="54" t="b">
        <f t="shared" si="29"/>
        <v>1</v>
      </c>
      <c r="AC303" s="54" t="b">
        <f t="shared" si="34"/>
        <v>1</v>
      </c>
    </row>
    <row r="304" spans="1:29" x14ac:dyDescent="0.25">
      <c r="A304" s="134" t="s">
        <v>1448</v>
      </c>
      <c r="B304" s="1" t="s">
        <v>1695</v>
      </c>
      <c r="C304" s="23">
        <v>0.81530446803991419</v>
      </c>
      <c r="D304" s="79">
        <v>1.3025073571805521</v>
      </c>
      <c r="E304" s="1"/>
      <c r="F304" s="1"/>
      <c r="G304" s="1"/>
      <c r="H304" s="1"/>
      <c r="I304" s="1"/>
      <c r="J304" s="1"/>
      <c r="K304" s="23">
        <v>1</v>
      </c>
      <c r="L304" s="11">
        <f t="shared" si="30"/>
        <v>1.3025073571805521</v>
      </c>
      <c r="M304" s="23">
        <f t="shared" si="31"/>
        <v>0.81530446803991419</v>
      </c>
      <c r="N304" s="1" t="s">
        <v>1696</v>
      </c>
      <c r="O304" s="1"/>
      <c r="P304" s="1"/>
      <c r="Q304" s="1"/>
      <c r="R304" s="1"/>
      <c r="S304" s="1"/>
      <c r="T304" s="23">
        <v>1</v>
      </c>
      <c r="U304" s="11">
        <f t="shared" si="32"/>
        <v>1.3025073571805521</v>
      </c>
      <c r="V304" s="24">
        <f t="shared" si="33"/>
        <v>0.81530446803991419</v>
      </c>
      <c r="W304" s="4">
        <v>3.68</v>
      </c>
      <c r="X304" s="54">
        <v>0.82</v>
      </c>
      <c r="Y304" s="34">
        <v>0.81530446803991419</v>
      </c>
      <c r="Z304" s="54">
        <v>1.3025073571805521</v>
      </c>
      <c r="AA304" s="54" t="b">
        <f t="shared" si="28"/>
        <v>1</v>
      </c>
      <c r="AB304" s="54" t="b">
        <f t="shared" si="29"/>
        <v>1</v>
      </c>
      <c r="AC304" s="54" t="b">
        <f t="shared" si="34"/>
        <v>1</v>
      </c>
    </row>
    <row r="305" spans="1:29" x14ac:dyDescent="0.25">
      <c r="A305" s="25" t="s">
        <v>1584</v>
      </c>
      <c r="B305" s="25" t="s">
        <v>1879</v>
      </c>
      <c r="C305" s="23"/>
      <c r="D305" s="11"/>
      <c r="E305" s="1" t="s">
        <v>1696</v>
      </c>
      <c r="F305" s="1"/>
      <c r="G305" s="1"/>
      <c r="H305" s="1"/>
      <c r="I305" s="1"/>
      <c r="J305" s="1"/>
      <c r="K305" s="23">
        <v>1</v>
      </c>
      <c r="L305" s="11">
        <f t="shared" si="30"/>
        <v>0</v>
      </c>
      <c r="M305" s="23">
        <f t="shared" si="31"/>
        <v>0</v>
      </c>
      <c r="N305" s="1"/>
      <c r="O305" s="1"/>
      <c r="P305" s="1"/>
      <c r="Q305" s="1"/>
      <c r="R305" s="1"/>
      <c r="S305" s="1"/>
      <c r="T305" s="23">
        <v>1</v>
      </c>
      <c r="U305" s="11">
        <f t="shared" si="32"/>
        <v>0</v>
      </c>
      <c r="V305" s="24">
        <f t="shared" si="33"/>
        <v>0</v>
      </c>
      <c r="W305" s="4"/>
      <c r="X305" s="54"/>
      <c r="Y305" s="34">
        <v>0</v>
      </c>
      <c r="Z305" s="54">
        <v>0</v>
      </c>
      <c r="AA305" s="54" t="b">
        <f t="shared" si="28"/>
        <v>1</v>
      </c>
      <c r="AB305" s="54" t="b">
        <f t="shared" si="29"/>
        <v>1</v>
      </c>
      <c r="AC305" s="54" t="b">
        <f t="shared" si="34"/>
        <v>1</v>
      </c>
    </row>
    <row r="306" spans="1:29" x14ac:dyDescent="0.25">
      <c r="A306" s="1" t="s">
        <v>1636</v>
      </c>
      <c r="B306" s="1" t="s">
        <v>1695</v>
      </c>
      <c r="C306" s="23">
        <v>0.4950859950859951</v>
      </c>
      <c r="D306" s="11">
        <v>2.6862026862026864</v>
      </c>
      <c r="E306" s="1" t="s">
        <v>1696</v>
      </c>
      <c r="F306" s="1"/>
      <c r="G306" s="1" t="s">
        <v>1696</v>
      </c>
      <c r="H306" s="1" t="s">
        <v>1696</v>
      </c>
      <c r="I306" s="1" t="s">
        <v>1700</v>
      </c>
      <c r="J306" s="1">
        <v>0.25</v>
      </c>
      <c r="K306" s="30">
        <v>0.9</v>
      </c>
      <c r="L306" s="11">
        <f t="shared" si="30"/>
        <v>2.9362026862026864</v>
      </c>
      <c r="M306" s="23">
        <f t="shared" si="31"/>
        <v>0.44557739557739562</v>
      </c>
      <c r="N306" s="1"/>
      <c r="O306" s="1"/>
      <c r="P306" s="1"/>
      <c r="Q306" s="1"/>
      <c r="R306" s="1"/>
      <c r="S306" s="1"/>
      <c r="T306" s="23">
        <v>1</v>
      </c>
      <c r="U306" s="11">
        <f t="shared" si="32"/>
        <v>2.6862026862026864</v>
      </c>
      <c r="V306" s="24">
        <f t="shared" si="33"/>
        <v>0.4950859950859951</v>
      </c>
      <c r="W306" s="4"/>
      <c r="X306" s="54"/>
      <c r="Y306" s="34">
        <v>0.4950859950859951</v>
      </c>
      <c r="Z306" s="54">
        <v>2.6862026862026864</v>
      </c>
      <c r="AA306" s="54" t="b">
        <f t="shared" si="28"/>
        <v>1</v>
      </c>
      <c r="AB306" s="54" t="b">
        <f t="shared" si="29"/>
        <v>1</v>
      </c>
      <c r="AC306" s="54" t="b">
        <f t="shared" si="34"/>
        <v>0</v>
      </c>
    </row>
    <row r="307" spans="1:29" x14ac:dyDescent="0.25">
      <c r="A307" s="25" t="s">
        <v>1637</v>
      </c>
      <c r="B307" s="25" t="s">
        <v>1879</v>
      </c>
      <c r="C307" s="23"/>
      <c r="D307" s="11"/>
      <c r="E307" s="1" t="s">
        <v>1696</v>
      </c>
      <c r="F307" s="1"/>
      <c r="G307" s="1"/>
      <c r="H307" s="1"/>
      <c r="I307" s="1"/>
      <c r="J307" s="1"/>
      <c r="K307" s="23">
        <v>1</v>
      </c>
      <c r="L307" s="11">
        <f t="shared" si="30"/>
        <v>0</v>
      </c>
      <c r="M307" s="23">
        <f t="shared" si="31"/>
        <v>0</v>
      </c>
      <c r="N307" s="1"/>
      <c r="O307" s="1"/>
      <c r="P307" s="1"/>
      <c r="Q307" s="1"/>
      <c r="R307" s="1"/>
      <c r="S307" s="1"/>
      <c r="T307" s="23">
        <v>1</v>
      </c>
      <c r="U307" s="11">
        <f t="shared" si="32"/>
        <v>0</v>
      </c>
      <c r="V307" s="24">
        <f t="shared" si="33"/>
        <v>0</v>
      </c>
      <c r="W307" s="4"/>
      <c r="X307" s="54"/>
      <c r="Y307" s="34">
        <v>0</v>
      </c>
      <c r="Z307" s="54">
        <v>0</v>
      </c>
      <c r="AA307" s="54" t="b">
        <f t="shared" si="28"/>
        <v>1</v>
      </c>
      <c r="AB307" s="54" t="b">
        <f t="shared" si="29"/>
        <v>1</v>
      </c>
      <c r="AC307" s="54" t="b">
        <f t="shared" si="34"/>
        <v>1</v>
      </c>
    </row>
    <row r="308" spans="1:29" x14ac:dyDescent="0.25">
      <c r="A308" s="1" t="s">
        <v>1585</v>
      </c>
      <c r="B308" s="1" t="s">
        <v>1695</v>
      </c>
      <c r="C308" s="23">
        <v>0.4962025316455696</v>
      </c>
      <c r="D308" s="11">
        <v>5.8673469387755102</v>
      </c>
      <c r="E308" s="1" t="s">
        <v>1696</v>
      </c>
      <c r="F308" s="1"/>
      <c r="G308" s="1" t="s">
        <v>1696</v>
      </c>
      <c r="H308" s="1" t="s">
        <v>1696</v>
      </c>
      <c r="I308" s="1" t="s">
        <v>1700</v>
      </c>
      <c r="J308" s="1">
        <v>0.25</v>
      </c>
      <c r="K308" s="30">
        <v>0.9</v>
      </c>
      <c r="L308" s="11">
        <f t="shared" si="30"/>
        <v>6.1173469387755102</v>
      </c>
      <c r="M308" s="23">
        <f t="shared" si="31"/>
        <v>0.44658227848101267</v>
      </c>
      <c r="N308" s="1"/>
      <c r="O308" s="1"/>
      <c r="P308" s="1"/>
      <c r="Q308" s="1"/>
      <c r="R308" s="1"/>
      <c r="S308" s="1"/>
      <c r="T308" s="23">
        <v>1</v>
      </c>
      <c r="U308" s="11">
        <f t="shared" si="32"/>
        <v>5.8673469387755102</v>
      </c>
      <c r="V308" s="24">
        <f t="shared" si="33"/>
        <v>0.4962025316455696</v>
      </c>
      <c r="W308" s="4"/>
      <c r="X308" s="54"/>
      <c r="Y308" s="34">
        <v>0.4962025316455696</v>
      </c>
      <c r="Z308" s="54">
        <v>5.8673469387755102</v>
      </c>
      <c r="AA308" s="54" t="b">
        <f t="shared" si="28"/>
        <v>1</v>
      </c>
      <c r="AB308" s="54" t="b">
        <f t="shared" si="29"/>
        <v>1</v>
      </c>
      <c r="AC308" s="54" t="b">
        <f t="shared" si="34"/>
        <v>0</v>
      </c>
    </row>
    <row r="309" spans="1:29" x14ac:dyDescent="0.25">
      <c r="A309" s="1" t="s">
        <v>1586</v>
      </c>
      <c r="B309" s="1" t="s">
        <v>1695</v>
      </c>
      <c r="C309" s="23">
        <v>0.59805907172995787</v>
      </c>
      <c r="D309" s="11">
        <v>4.8563096749917678</v>
      </c>
      <c r="E309" s="1" t="s">
        <v>1696</v>
      </c>
      <c r="F309" s="1"/>
      <c r="G309" s="1" t="s">
        <v>1696</v>
      </c>
      <c r="H309" s="1" t="s">
        <v>1696</v>
      </c>
      <c r="I309" s="1" t="s">
        <v>1700</v>
      </c>
      <c r="J309" s="1">
        <v>0.25</v>
      </c>
      <c r="K309" s="30">
        <v>0.85</v>
      </c>
      <c r="L309" s="11">
        <f t="shared" si="30"/>
        <v>5.1063096749917678</v>
      </c>
      <c r="M309" s="23">
        <f t="shared" si="31"/>
        <v>0.50835021097046418</v>
      </c>
      <c r="N309" s="1"/>
      <c r="O309" s="1"/>
      <c r="P309" s="1"/>
      <c r="Q309" s="1"/>
      <c r="R309" s="1"/>
      <c r="S309" s="1"/>
      <c r="T309" s="23">
        <v>1</v>
      </c>
      <c r="U309" s="11">
        <f t="shared" si="32"/>
        <v>4.8563096749917678</v>
      </c>
      <c r="V309" s="24">
        <f t="shared" si="33"/>
        <v>0.59805907172995787</v>
      </c>
      <c r="W309" s="4"/>
      <c r="X309" s="54"/>
      <c r="Y309" s="34">
        <v>0.59805907172995787</v>
      </c>
      <c r="Z309" s="54">
        <v>4.8563096749917678</v>
      </c>
      <c r="AA309" s="54" t="b">
        <f t="shared" si="28"/>
        <v>1</v>
      </c>
      <c r="AB309" s="54" t="b">
        <f t="shared" si="29"/>
        <v>1</v>
      </c>
      <c r="AC309" s="54" t="b">
        <f t="shared" si="34"/>
        <v>0</v>
      </c>
    </row>
    <row r="310" spans="1:29" x14ac:dyDescent="0.25">
      <c r="A310" s="1" t="s">
        <v>1587</v>
      </c>
      <c r="B310" s="1" t="s">
        <v>1695</v>
      </c>
      <c r="C310" s="23">
        <v>1</v>
      </c>
      <c r="D310" s="11">
        <v>0</v>
      </c>
      <c r="E310" s="1" t="s">
        <v>1696</v>
      </c>
      <c r="F310" s="1"/>
      <c r="G310" s="1" t="s">
        <v>1696</v>
      </c>
      <c r="H310" s="1"/>
      <c r="I310" s="1" t="s">
        <v>1700</v>
      </c>
      <c r="J310" s="1">
        <v>0.1</v>
      </c>
      <c r="K310" s="23">
        <v>1</v>
      </c>
      <c r="L310" s="11">
        <f t="shared" si="30"/>
        <v>0.1</v>
      </c>
      <c r="M310" s="23">
        <f t="shared" si="31"/>
        <v>1</v>
      </c>
      <c r="N310" s="1"/>
      <c r="O310" s="1"/>
      <c r="P310" s="1"/>
      <c r="Q310" s="1"/>
      <c r="R310" s="1"/>
      <c r="S310" s="1"/>
      <c r="T310" s="23">
        <v>1</v>
      </c>
      <c r="U310" s="11">
        <f t="shared" si="32"/>
        <v>0</v>
      </c>
      <c r="V310" s="24">
        <f t="shared" si="33"/>
        <v>1</v>
      </c>
      <c r="W310" s="4"/>
      <c r="X310" s="54"/>
      <c r="Y310" s="34">
        <v>1</v>
      </c>
      <c r="Z310" s="54">
        <v>0</v>
      </c>
      <c r="AA310" s="54" t="b">
        <f t="shared" si="28"/>
        <v>1</v>
      </c>
      <c r="AB310" s="54" t="b">
        <f t="shared" si="29"/>
        <v>1</v>
      </c>
      <c r="AC310" s="54" t="b">
        <f t="shared" si="34"/>
        <v>1</v>
      </c>
    </row>
    <row r="311" spans="1:29" x14ac:dyDescent="0.25">
      <c r="A311" s="1" t="s">
        <v>1588</v>
      </c>
      <c r="B311" s="1" t="s">
        <v>1695</v>
      </c>
      <c r="C311" s="23">
        <v>0.6</v>
      </c>
      <c r="D311" s="11">
        <v>3.5</v>
      </c>
      <c r="E311" s="1" t="s">
        <v>1696</v>
      </c>
      <c r="F311" s="1"/>
      <c r="G311" s="1" t="s">
        <v>1696</v>
      </c>
      <c r="H311" s="1" t="s">
        <v>1696</v>
      </c>
      <c r="I311" s="1" t="s">
        <v>1700</v>
      </c>
      <c r="J311" s="1">
        <v>0.25</v>
      </c>
      <c r="K311" s="30">
        <v>0.88</v>
      </c>
      <c r="L311" s="11">
        <f t="shared" si="30"/>
        <v>3.75</v>
      </c>
      <c r="M311" s="23">
        <f t="shared" si="31"/>
        <v>0.52800000000000002</v>
      </c>
      <c r="N311" s="1"/>
      <c r="O311" s="1"/>
      <c r="P311" s="1"/>
      <c r="Q311" s="1"/>
      <c r="R311" s="1"/>
      <c r="S311" s="1"/>
      <c r="T311" s="23">
        <v>1</v>
      </c>
      <c r="U311" s="11">
        <f t="shared" si="32"/>
        <v>3.5</v>
      </c>
      <c r="V311" s="24">
        <f t="shared" si="33"/>
        <v>0.6</v>
      </c>
      <c r="W311" s="4"/>
      <c r="X311" s="54"/>
      <c r="Y311" s="34">
        <v>0.6</v>
      </c>
      <c r="Z311" s="54">
        <v>3.5</v>
      </c>
      <c r="AA311" s="54" t="b">
        <f t="shared" si="28"/>
        <v>1</v>
      </c>
      <c r="AB311" s="54" t="b">
        <f t="shared" si="29"/>
        <v>1</v>
      </c>
      <c r="AC311" s="54" t="b">
        <f t="shared" si="34"/>
        <v>0</v>
      </c>
    </row>
    <row r="312" spans="1:29" x14ac:dyDescent="0.25">
      <c r="A312" s="1" t="s">
        <v>1458</v>
      </c>
      <c r="B312" s="1" t="s">
        <v>1695</v>
      </c>
      <c r="C312" s="23">
        <v>0.76</v>
      </c>
      <c r="D312" s="11">
        <v>1.362683438155136</v>
      </c>
      <c r="E312" s="1"/>
      <c r="F312" s="1"/>
      <c r="G312" s="1"/>
      <c r="H312" s="1"/>
      <c r="I312" s="1"/>
      <c r="J312" s="1"/>
      <c r="K312" s="23">
        <v>1</v>
      </c>
      <c r="L312" s="11">
        <f t="shared" si="30"/>
        <v>1.362683438155136</v>
      </c>
      <c r="M312" s="23">
        <f t="shared" si="31"/>
        <v>0.76</v>
      </c>
      <c r="N312" s="1" t="s">
        <v>1696</v>
      </c>
      <c r="O312" s="1"/>
      <c r="P312" s="1" t="s">
        <v>1696</v>
      </c>
      <c r="Q312" s="1"/>
      <c r="R312" s="1" t="s">
        <v>1700</v>
      </c>
      <c r="S312" s="1">
        <v>0.1</v>
      </c>
      <c r="T312" s="23">
        <v>1</v>
      </c>
      <c r="U312" s="11">
        <f t="shared" si="32"/>
        <v>1.4626834381551361</v>
      </c>
      <c r="V312" s="24">
        <f t="shared" si="33"/>
        <v>0.76</v>
      </c>
      <c r="W312" s="4"/>
      <c r="X312" s="54"/>
      <c r="Y312" s="34">
        <v>0.58241758241758246</v>
      </c>
      <c r="Z312" s="54">
        <v>1.362683438155136</v>
      </c>
      <c r="AA312" s="54" t="b">
        <f t="shared" si="28"/>
        <v>0</v>
      </c>
      <c r="AB312" s="54" t="b">
        <f t="shared" si="29"/>
        <v>1</v>
      </c>
      <c r="AC312" s="54" t="b">
        <f t="shared" si="34"/>
        <v>1</v>
      </c>
    </row>
    <row r="313" spans="1:29" x14ac:dyDescent="0.25">
      <c r="A313" s="1" t="s">
        <v>1375</v>
      </c>
      <c r="B313" s="1" t="s">
        <v>1695</v>
      </c>
      <c r="C313" s="23">
        <v>0.85333333333333339</v>
      </c>
      <c r="D313" s="11">
        <v>1.171875</v>
      </c>
      <c r="E313" s="1"/>
      <c r="F313" s="1"/>
      <c r="G313" s="1"/>
      <c r="H313" s="1"/>
      <c r="I313" s="1"/>
      <c r="J313" s="1"/>
      <c r="K313" s="23">
        <v>1</v>
      </c>
      <c r="L313" s="11">
        <f t="shared" si="30"/>
        <v>1.171875</v>
      </c>
      <c r="M313" s="23">
        <f t="shared" si="31"/>
        <v>0.85333333333333339</v>
      </c>
      <c r="N313" s="1" t="s">
        <v>1696</v>
      </c>
      <c r="O313" s="1"/>
      <c r="P313" s="1"/>
      <c r="Q313" s="1"/>
      <c r="R313" s="1"/>
      <c r="S313" s="1"/>
      <c r="T313" s="23">
        <v>1</v>
      </c>
      <c r="U313" s="11">
        <f t="shared" si="32"/>
        <v>1.171875</v>
      </c>
      <c r="V313" s="24">
        <f t="shared" si="33"/>
        <v>0.85333333333333339</v>
      </c>
      <c r="W313" s="4"/>
      <c r="X313" s="54"/>
      <c r="Y313" s="34">
        <v>0.85333333333333339</v>
      </c>
      <c r="Z313" s="54">
        <v>1.171875</v>
      </c>
      <c r="AA313" s="54" t="b">
        <f t="shared" si="28"/>
        <v>1</v>
      </c>
      <c r="AB313" s="54" t="b">
        <f t="shared" si="29"/>
        <v>1</v>
      </c>
      <c r="AC313" s="54" t="b">
        <f t="shared" si="34"/>
        <v>1</v>
      </c>
    </row>
    <row r="314" spans="1:29" x14ac:dyDescent="0.25">
      <c r="A314" s="1" t="s">
        <v>1361</v>
      </c>
      <c r="B314" s="1" t="s">
        <v>1695</v>
      </c>
      <c r="C314" s="23">
        <v>0.76295420289855076</v>
      </c>
      <c r="D314" s="11">
        <v>2.3746747957595802</v>
      </c>
      <c r="E314" s="1"/>
      <c r="F314" s="1"/>
      <c r="G314" s="1"/>
      <c r="H314" s="1"/>
      <c r="I314" s="1"/>
      <c r="J314" s="1"/>
      <c r="K314" s="23">
        <v>1</v>
      </c>
      <c r="L314" s="11">
        <f t="shared" si="30"/>
        <v>2.3746747957595802</v>
      </c>
      <c r="M314" s="23">
        <f t="shared" si="31"/>
        <v>0.76295420289855076</v>
      </c>
      <c r="N314" s="1" t="s">
        <v>1696</v>
      </c>
      <c r="O314" s="1"/>
      <c r="P314" s="1"/>
      <c r="Q314" s="1"/>
      <c r="R314" s="1"/>
      <c r="S314" s="1"/>
      <c r="T314" s="23">
        <v>1</v>
      </c>
      <c r="U314" s="11">
        <f t="shared" si="32"/>
        <v>2.3746747957595802</v>
      </c>
      <c r="V314" s="24">
        <f t="shared" si="33"/>
        <v>0.76295420289855076</v>
      </c>
      <c r="W314" s="4"/>
      <c r="X314" s="54"/>
      <c r="Y314" s="34">
        <v>0.76295420289855076</v>
      </c>
      <c r="Z314" s="54">
        <v>2.3746747957595802</v>
      </c>
      <c r="AA314" s="54" t="b">
        <f t="shared" si="28"/>
        <v>1</v>
      </c>
      <c r="AB314" s="54" t="b">
        <f t="shared" si="29"/>
        <v>1</v>
      </c>
      <c r="AC314" s="54" t="b">
        <f t="shared" si="34"/>
        <v>1</v>
      </c>
    </row>
    <row r="315" spans="1:29" x14ac:dyDescent="0.25">
      <c r="A315" s="1" t="s">
        <v>1591</v>
      </c>
      <c r="B315" s="1" t="s">
        <v>1695</v>
      </c>
      <c r="C315" s="23">
        <v>0.84677419354838712</v>
      </c>
      <c r="D315" s="11">
        <v>11.428571428571429</v>
      </c>
      <c r="E315" s="1" t="s">
        <v>1696</v>
      </c>
      <c r="F315" s="1"/>
      <c r="G315" s="1"/>
      <c r="H315" s="1"/>
      <c r="I315" s="1"/>
      <c r="J315" s="1"/>
      <c r="K315" s="23">
        <v>1</v>
      </c>
      <c r="L315" s="11">
        <f t="shared" si="30"/>
        <v>11.428571428571429</v>
      </c>
      <c r="M315" s="23">
        <f t="shared" si="31"/>
        <v>0.84677419354838712</v>
      </c>
      <c r="N315" s="1"/>
      <c r="O315" s="1"/>
      <c r="P315" s="1"/>
      <c r="Q315" s="1"/>
      <c r="R315" s="1"/>
      <c r="S315" s="1"/>
      <c r="T315" s="23">
        <v>1</v>
      </c>
      <c r="U315" s="11">
        <f t="shared" si="32"/>
        <v>11.428571428571429</v>
      </c>
      <c r="V315" s="24">
        <f t="shared" si="33"/>
        <v>0.84677419354838712</v>
      </c>
      <c r="W315" s="4"/>
      <c r="X315" s="54"/>
      <c r="Y315" s="34">
        <v>0.84677419354838712</v>
      </c>
      <c r="Z315" s="54">
        <v>11.428571428571429</v>
      </c>
      <c r="AA315" s="54" t="b">
        <f t="shared" si="28"/>
        <v>1</v>
      </c>
      <c r="AB315" s="54" t="b">
        <f t="shared" si="29"/>
        <v>1</v>
      </c>
      <c r="AC315" s="54" t="b">
        <f t="shared" si="34"/>
        <v>1</v>
      </c>
    </row>
    <row r="316" spans="1:29" x14ac:dyDescent="0.25">
      <c r="A316" s="1" t="s">
        <v>1662</v>
      </c>
      <c r="B316" s="1" t="s">
        <v>1695</v>
      </c>
      <c r="C316" s="23">
        <v>0.88462571888658847</v>
      </c>
      <c r="D316" s="11">
        <v>1.2757380896161403</v>
      </c>
      <c r="E316" s="1"/>
      <c r="F316" s="1"/>
      <c r="G316" s="1"/>
      <c r="H316" s="1"/>
      <c r="I316" s="1"/>
      <c r="J316" s="1"/>
      <c r="K316" s="23">
        <v>1</v>
      </c>
      <c r="L316" s="11">
        <f t="shared" si="30"/>
        <v>1.2757380896161403</v>
      </c>
      <c r="M316" s="23">
        <f t="shared" si="31"/>
        <v>0.88462571888658847</v>
      </c>
      <c r="N316" s="1" t="s">
        <v>1696</v>
      </c>
      <c r="O316" s="1"/>
      <c r="P316" s="1"/>
      <c r="Q316" s="1"/>
      <c r="R316" s="1"/>
      <c r="S316" s="1"/>
      <c r="T316" s="23">
        <v>1</v>
      </c>
      <c r="U316" s="11">
        <f t="shared" si="32"/>
        <v>1.2757380896161403</v>
      </c>
      <c r="V316" s="24">
        <f t="shared" si="33"/>
        <v>0.88462571888658847</v>
      </c>
      <c r="W316" s="4"/>
      <c r="X316" s="54"/>
      <c r="Y316" s="34">
        <v>0.88462571888658847</v>
      </c>
      <c r="Z316" s="54">
        <v>1.2757380896161403</v>
      </c>
      <c r="AA316" s="54" t="b">
        <f t="shared" si="28"/>
        <v>1</v>
      </c>
      <c r="AB316" s="54" t="b">
        <f t="shared" si="29"/>
        <v>1</v>
      </c>
      <c r="AC316" s="54" t="b">
        <f t="shared" si="34"/>
        <v>1</v>
      </c>
    </row>
    <row r="317" spans="1:29" x14ac:dyDescent="0.25">
      <c r="A317" s="1" t="s">
        <v>1371</v>
      </c>
      <c r="B317" s="1" t="s">
        <v>1695</v>
      </c>
      <c r="C317" s="23">
        <v>0.68688585231193933</v>
      </c>
      <c r="D317" s="11">
        <v>1.90291727820905</v>
      </c>
      <c r="E317" s="1" t="s">
        <v>1696</v>
      </c>
      <c r="F317" s="1"/>
      <c r="G317" s="1"/>
      <c r="H317" s="1"/>
      <c r="I317" s="1"/>
      <c r="J317" s="1"/>
      <c r="K317" s="23">
        <v>1</v>
      </c>
      <c r="L317" s="11">
        <f t="shared" si="30"/>
        <v>1.90291727820905</v>
      </c>
      <c r="M317" s="23">
        <f t="shared" si="31"/>
        <v>0.68688585231193933</v>
      </c>
      <c r="N317" s="1"/>
      <c r="O317" s="1"/>
      <c r="P317" s="1"/>
      <c r="Q317" s="1"/>
      <c r="R317" s="1"/>
      <c r="S317" s="1"/>
      <c r="T317" s="23">
        <v>1</v>
      </c>
      <c r="U317" s="11">
        <f t="shared" si="32"/>
        <v>1.90291727820905</v>
      </c>
      <c r="V317" s="24">
        <f t="shared" si="33"/>
        <v>0.68688585231193933</v>
      </c>
      <c r="W317" s="4"/>
      <c r="X317" s="54"/>
      <c r="Y317" s="34">
        <v>0.68688585231193933</v>
      </c>
      <c r="Z317" s="54">
        <v>1.90291727820905</v>
      </c>
      <c r="AA317" s="54" t="b">
        <f t="shared" si="28"/>
        <v>1</v>
      </c>
      <c r="AB317" s="54" t="b">
        <f t="shared" si="29"/>
        <v>1</v>
      </c>
      <c r="AC317" s="54" t="b">
        <f t="shared" si="34"/>
        <v>1</v>
      </c>
    </row>
    <row r="318" spans="1:29" x14ac:dyDescent="0.25">
      <c r="A318" s="1" t="s">
        <v>1589</v>
      </c>
      <c r="B318" s="1" t="s">
        <v>1695</v>
      </c>
      <c r="C318" s="29">
        <v>0.7911111111111111</v>
      </c>
      <c r="D318" s="11">
        <v>3.3707865168539324</v>
      </c>
      <c r="E318" s="1" t="s">
        <v>1696</v>
      </c>
      <c r="F318" s="1"/>
      <c r="G318" s="1"/>
      <c r="H318" s="1"/>
      <c r="I318" s="1"/>
      <c r="J318" s="1"/>
      <c r="K318" s="23">
        <v>1</v>
      </c>
      <c r="L318" s="11">
        <f t="shared" si="30"/>
        <v>3.3707865168539324</v>
      </c>
      <c r="M318" s="23">
        <f t="shared" si="31"/>
        <v>0.7911111111111111</v>
      </c>
      <c r="N318" s="1"/>
      <c r="O318" s="1"/>
      <c r="P318" s="1"/>
      <c r="Q318" s="1"/>
      <c r="R318" s="1"/>
      <c r="S318" s="1"/>
      <c r="T318" s="23">
        <v>1</v>
      </c>
      <c r="U318" s="11">
        <f t="shared" si="32"/>
        <v>3.3707865168539324</v>
      </c>
      <c r="V318" s="24">
        <f t="shared" si="33"/>
        <v>0.7911111111111111</v>
      </c>
      <c r="W318" s="4"/>
      <c r="X318" s="54"/>
      <c r="Y318" s="34">
        <v>0.7911111111111111</v>
      </c>
      <c r="Z318" s="54">
        <v>3.3707865168539324</v>
      </c>
      <c r="AA318" s="54" t="b">
        <f t="shared" si="28"/>
        <v>1</v>
      </c>
      <c r="AB318" s="54" t="b">
        <f t="shared" si="29"/>
        <v>1</v>
      </c>
      <c r="AC318" s="54" t="b">
        <f t="shared" si="34"/>
        <v>1</v>
      </c>
    </row>
    <row r="319" spans="1:29" x14ac:dyDescent="0.25">
      <c r="A319" s="1" t="s">
        <v>1386</v>
      </c>
      <c r="B319" s="1" t="s">
        <v>1695</v>
      </c>
      <c r="C319" s="23">
        <v>1</v>
      </c>
      <c r="D319" s="11">
        <v>0</v>
      </c>
      <c r="E319" s="1"/>
      <c r="F319" s="1"/>
      <c r="G319" s="1"/>
      <c r="H319" s="1"/>
      <c r="I319" s="1"/>
      <c r="J319" s="1"/>
      <c r="K319" s="23">
        <v>1</v>
      </c>
      <c r="L319" s="11">
        <f t="shared" si="30"/>
        <v>0</v>
      </c>
      <c r="M319" s="23">
        <f t="shared" si="31"/>
        <v>1</v>
      </c>
      <c r="N319" s="1" t="s">
        <v>1696</v>
      </c>
      <c r="O319" s="1"/>
      <c r="P319" s="1"/>
      <c r="Q319" s="1"/>
      <c r="R319" s="1"/>
      <c r="S319" s="1"/>
      <c r="T319" s="23">
        <v>1</v>
      </c>
      <c r="U319" s="11">
        <f t="shared" si="32"/>
        <v>0</v>
      </c>
      <c r="V319" s="24">
        <f t="shared" si="33"/>
        <v>1</v>
      </c>
      <c r="W319" s="4"/>
      <c r="X319" s="54"/>
      <c r="Y319" s="34">
        <v>1</v>
      </c>
      <c r="Z319" s="54">
        <v>0</v>
      </c>
      <c r="AA319" s="54" t="b">
        <f t="shared" si="28"/>
        <v>1</v>
      </c>
      <c r="AB319" s="54" t="b">
        <f t="shared" si="29"/>
        <v>1</v>
      </c>
      <c r="AC319" s="54" t="b">
        <f t="shared" si="34"/>
        <v>1</v>
      </c>
    </row>
    <row r="320" spans="1:29" x14ac:dyDescent="0.25">
      <c r="A320" s="1" t="s">
        <v>1465</v>
      </c>
      <c r="B320" s="1" t="s">
        <v>1695</v>
      </c>
      <c r="C320" s="23">
        <v>0.43333333333333335</v>
      </c>
      <c r="D320" s="11">
        <v>4.615384615384615</v>
      </c>
      <c r="E320" s="1"/>
      <c r="F320" s="1"/>
      <c r="G320" s="1"/>
      <c r="H320" s="1"/>
      <c r="I320" s="1"/>
      <c r="J320" s="1"/>
      <c r="K320" s="23">
        <v>1</v>
      </c>
      <c r="L320" s="11">
        <f t="shared" si="30"/>
        <v>4.615384615384615</v>
      </c>
      <c r="M320" s="23">
        <f t="shared" si="31"/>
        <v>0.43333333333333335</v>
      </c>
      <c r="N320" s="1" t="s">
        <v>1696</v>
      </c>
      <c r="O320" s="1" t="s">
        <v>1696</v>
      </c>
      <c r="P320" s="1"/>
      <c r="Q320" s="1"/>
      <c r="R320" s="1" t="s">
        <v>1700</v>
      </c>
      <c r="S320" s="11">
        <v>5.63063063063063E-2</v>
      </c>
      <c r="T320" s="23">
        <v>1</v>
      </c>
      <c r="U320" s="11">
        <f t="shared" si="32"/>
        <v>4.6716909216909217</v>
      </c>
      <c r="V320" s="24">
        <f t="shared" si="33"/>
        <v>0.43333333333333335</v>
      </c>
      <c r="W320" s="4"/>
      <c r="X320" s="54"/>
      <c r="Y320" s="34">
        <v>0.43333333333333335</v>
      </c>
      <c r="Z320" s="54">
        <v>4.615384615384615</v>
      </c>
      <c r="AA320" s="54" t="b">
        <f t="shared" si="28"/>
        <v>1</v>
      </c>
      <c r="AB320" s="54" t="b">
        <f t="shared" si="29"/>
        <v>1</v>
      </c>
      <c r="AC320" s="54" t="b">
        <f t="shared" si="34"/>
        <v>1</v>
      </c>
    </row>
    <row r="321" spans="1:29" x14ac:dyDescent="0.25">
      <c r="A321" s="1" t="s">
        <v>1416</v>
      </c>
      <c r="B321" s="1" t="s">
        <v>1695</v>
      </c>
      <c r="C321" s="23">
        <v>0.84453781512605042</v>
      </c>
      <c r="D321" s="11">
        <v>0.64676616915422891</v>
      </c>
      <c r="E321" s="1" t="s">
        <v>1696</v>
      </c>
      <c r="F321" s="1"/>
      <c r="G321" s="1" t="s">
        <v>1696</v>
      </c>
      <c r="H321" s="1" t="s">
        <v>1696</v>
      </c>
      <c r="I321" s="1" t="s">
        <v>1700</v>
      </c>
      <c r="J321" s="1">
        <v>0.25</v>
      </c>
      <c r="K321" s="30">
        <v>0.92</v>
      </c>
      <c r="L321" s="11">
        <f t="shared" si="30"/>
        <v>0.89676616915422891</v>
      </c>
      <c r="M321" s="23">
        <f t="shared" si="31"/>
        <v>0.77697478991596647</v>
      </c>
      <c r="N321" s="1"/>
      <c r="O321" s="1"/>
      <c r="P321" s="1"/>
      <c r="Q321" s="1"/>
      <c r="R321" s="1"/>
      <c r="S321" s="1"/>
      <c r="T321" s="23">
        <v>1</v>
      </c>
      <c r="U321" s="11">
        <f t="shared" si="32"/>
        <v>0.64676616915422891</v>
      </c>
      <c r="V321" s="24">
        <f t="shared" si="33"/>
        <v>0.84453781512605042</v>
      </c>
      <c r="W321" s="4"/>
      <c r="X321" s="54"/>
      <c r="Y321" s="34">
        <v>0.84453781512605042</v>
      </c>
      <c r="Z321" s="54">
        <v>0.64676616915422891</v>
      </c>
      <c r="AA321" s="54" t="b">
        <f t="shared" si="28"/>
        <v>1</v>
      </c>
      <c r="AB321" s="54" t="b">
        <f t="shared" si="29"/>
        <v>1</v>
      </c>
      <c r="AC321" s="54" t="b">
        <f t="shared" si="34"/>
        <v>0</v>
      </c>
    </row>
    <row r="322" spans="1:29" x14ac:dyDescent="0.25">
      <c r="A322" s="1" t="s">
        <v>1894</v>
      </c>
      <c r="B322" s="1" t="s">
        <v>1695</v>
      </c>
      <c r="C322" s="23">
        <v>0.72626953182953835</v>
      </c>
      <c r="D322" s="11">
        <v>1.7256965581671522</v>
      </c>
      <c r="E322" s="1"/>
      <c r="F322" s="1"/>
      <c r="G322" s="1"/>
      <c r="H322" s="1"/>
      <c r="I322" s="1"/>
      <c r="J322" s="1"/>
      <c r="K322" s="23">
        <v>1</v>
      </c>
      <c r="L322" s="11">
        <f t="shared" ref="L322:L328" si="35">D322+J322</f>
        <v>1.7256965581671522</v>
      </c>
      <c r="M322" s="23">
        <f t="shared" ref="M322:M330" si="36">C322*K322</f>
        <v>0.72626953182953835</v>
      </c>
      <c r="N322" s="1" t="s">
        <v>1696</v>
      </c>
      <c r="O322" s="1"/>
      <c r="P322" s="1"/>
      <c r="Q322" s="1"/>
      <c r="R322" s="1"/>
      <c r="S322" s="1"/>
      <c r="T322" s="23">
        <v>1</v>
      </c>
      <c r="U322" s="11">
        <f t="shared" si="32"/>
        <v>1.7256965581671522</v>
      </c>
      <c r="V322" s="24">
        <f t="shared" si="33"/>
        <v>0.72626953182953835</v>
      </c>
      <c r="W322" s="4"/>
      <c r="X322" s="54"/>
      <c r="Y322" s="34">
        <v>0.72626953182953835</v>
      </c>
      <c r="Z322" s="54">
        <v>1.7256965581671522</v>
      </c>
      <c r="AA322" s="54" t="b">
        <f>C322=Y322</f>
        <v>1</v>
      </c>
      <c r="AB322" s="54"/>
      <c r="AC322" s="54" t="b">
        <f t="shared" si="34"/>
        <v>1</v>
      </c>
    </row>
    <row r="323" spans="1:29" x14ac:dyDescent="0.25">
      <c r="A323" s="1" t="s">
        <v>1899</v>
      </c>
      <c r="B323" s="1" t="s">
        <v>1695</v>
      </c>
      <c r="C323" s="24">
        <v>0.54</v>
      </c>
      <c r="D323" s="11">
        <v>3.61</v>
      </c>
      <c r="E323" s="1"/>
      <c r="F323" s="1"/>
      <c r="G323" s="1"/>
      <c r="H323" s="1"/>
      <c r="I323" s="1"/>
      <c r="J323" s="1"/>
      <c r="K323" s="23">
        <v>1</v>
      </c>
      <c r="L323" s="11">
        <f t="shared" si="35"/>
        <v>3.61</v>
      </c>
      <c r="M323" s="23">
        <f t="shared" si="36"/>
        <v>0.54</v>
      </c>
      <c r="N323" s="1" t="s">
        <v>1696</v>
      </c>
      <c r="O323" s="1"/>
      <c r="P323" s="1"/>
      <c r="Q323" s="1"/>
      <c r="R323" s="1"/>
      <c r="S323" s="1"/>
      <c r="T323" s="23">
        <v>1</v>
      </c>
      <c r="U323" s="11">
        <f t="shared" ref="U323:U328" si="37">S323+D323</f>
        <v>3.61</v>
      </c>
      <c r="V323" s="24">
        <f t="shared" si="33"/>
        <v>0.54</v>
      </c>
      <c r="W323" s="4"/>
      <c r="X323" s="54"/>
      <c r="Y323" s="54"/>
      <c r="Z323" s="54"/>
      <c r="AA323" s="54"/>
      <c r="AB323" s="54"/>
      <c r="AC323" s="54" t="b">
        <f>V323=M323</f>
        <v>1</v>
      </c>
    </row>
    <row r="324" spans="1:29" x14ac:dyDescent="0.25">
      <c r="A324" s="1" t="s">
        <v>1902</v>
      </c>
      <c r="B324" s="1" t="s">
        <v>1695</v>
      </c>
      <c r="C324" s="24">
        <v>0.50893081761006287</v>
      </c>
      <c r="D324" s="11">
        <v>3.3730845279288189</v>
      </c>
      <c r="E324" s="1"/>
      <c r="F324" s="1"/>
      <c r="G324" s="1"/>
      <c r="H324" s="1"/>
      <c r="I324" s="1"/>
      <c r="J324" s="1"/>
      <c r="K324" s="23">
        <v>1</v>
      </c>
      <c r="L324" s="11">
        <f t="shared" si="35"/>
        <v>3.3730845279288189</v>
      </c>
      <c r="M324" s="23">
        <f t="shared" si="36"/>
        <v>0.50893081761006287</v>
      </c>
      <c r="N324" s="1" t="s">
        <v>1696</v>
      </c>
      <c r="O324" s="1"/>
      <c r="P324" s="1"/>
      <c r="Q324" s="1"/>
      <c r="R324" s="1"/>
      <c r="S324" s="1"/>
      <c r="T324" s="23">
        <v>1</v>
      </c>
      <c r="U324" s="11">
        <f t="shared" si="37"/>
        <v>3.3730845279288189</v>
      </c>
      <c r="V324" s="24">
        <f t="shared" ref="V324:V334" si="38">T324*C324</f>
        <v>0.50893081761006287</v>
      </c>
      <c r="W324" s="4"/>
      <c r="X324" s="54"/>
      <c r="Y324" s="54"/>
      <c r="Z324" s="54"/>
      <c r="AA324" s="54"/>
      <c r="AB324" s="54"/>
      <c r="AC324" s="54" t="b">
        <f>V324=M324</f>
        <v>1</v>
      </c>
    </row>
    <row r="325" spans="1:29" x14ac:dyDescent="0.25">
      <c r="A325" s="1" t="s">
        <v>4311</v>
      </c>
      <c r="B325" s="1" t="s">
        <v>1695</v>
      </c>
      <c r="C325" s="24">
        <v>0.69</v>
      </c>
      <c r="D325" s="11">
        <v>4.1900000000000004</v>
      </c>
      <c r="E325" s="1" t="s">
        <v>1696</v>
      </c>
      <c r="F325" s="1"/>
      <c r="G325" s="1"/>
      <c r="H325" s="1"/>
      <c r="I325" s="1"/>
      <c r="J325" s="1"/>
      <c r="K325" s="23">
        <v>1</v>
      </c>
      <c r="L325" s="11">
        <f t="shared" si="35"/>
        <v>4.1900000000000004</v>
      </c>
      <c r="M325" s="23">
        <f t="shared" si="36"/>
        <v>0.69</v>
      </c>
      <c r="N325" s="1"/>
      <c r="O325" s="1"/>
      <c r="P325" s="1"/>
      <c r="Q325" s="1"/>
      <c r="R325" s="1"/>
      <c r="S325" s="1"/>
      <c r="T325" s="23">
        <v>1</v>
      </c>
      <c r="U325" s="11">
        <f t="shared" si="37"/>
        <v>4.1900000000000004</v>
      </c>
      <c r="V325" s="24">
        <f t="shared" si="38"/>
        <v>0.69</v>
      </c>
      <c r="W325" s="4"/>
      <c r="X325" s="54"/>
      <c r="Y325" s="54"/>
      <c r="Z325" s="54"/>
      <c r="AA325" s="54"/>
      <c r="AB325" s="54"/>
      <c r="AC325" s="54" t="b">
        <f>V325=M325</f>
        <v>1</v>
      </c>
    </row>
    <row r="326" spans="1:29" x14ac:dyDescent="0.25">
      <c r="A326" s="1" t="s">
        <v>4316</v>
      </c>
      <c r="B326" s="1" t="s">
        <v>1695</v>
      </c>
      <c r="C326" s="23">
        <v>0.6598561061450775</v>
      </c>
      <c r="D326" s="11">
        <v>4.2385826069626686</v>
      </c>
      <c r="E326" s="1" t="s">
        <v>1696</v>
      </c>
      <c r="F326" s="1"/>
      <c r="G326" s="1"/>
      <c r="H326" s="1"/>
      <c r="I326" s="1"/>
      <c r="J326" s="1"/>
      <c r="K326" s="23">
        <v>1</v>
      </c>
      <c r="L326" s="11">
        <f t="shared" si="35"/>
        <v>4.2385826069626686</v>
      </c>
      <c r="M326" s="23">
        <f t="shared" si="36"/>
        <v>0.6598561061450775</v>
      </c>
      <c r="N326" s="1"/>
      <c r="O326" s="1"/>
      <c r="P326" s="1"/>
      <c r="Q326" s="1"/>
      <c r="R326" s="1"/>
      <c r="S326" s="1"/>
      <c r="T326" s="23">
        <v>1</v>
      </c>
      <c r="U326" s="11">
        <f t="shared" si="37"/>
        <v>4.2385826069626686</v>
      </c>
      <c r="V326" s="24">
        <f t="shared" si="38"/>
        <v>0.6598561061450775</v>
      </c>
      <c r="W326" s="4"/>
      <c r="X326" s="54"/>
      <c r="Y326" s="54"/>
      <c r="Z326" s="54"/>
      <c r="AA326" s="54"/>
      <c r="AB326" s="54"/>
      <c r="AC326" s="54"/>
    </row>
    <row r="327" spans="1:29" x14ac:dyDescent="0.25">
      <c r="A327" s="1" t="s">
        <v>4317</v>
      </c>
      <c r="B327" s="1" t="s">
        <v>1695</v>
      </c>
      <c r="C327" s="23">
        <v>0.81</v>
      </c>
      <c r="D327" s="33">
        <v>2.5</v>
      </c>
      <c r="E327" s="1" t="s">
        <v>1696</v>
      </c>
      <c r="F327" s="1"/>
      <c r="G327" s="1"/>
      <c r="H327" s="1"/>
      <c r="I327" s="1"/>
      <c r="J327" s="11">
        <v>0.25531914893617019</v>
      </c>
      <c r="K327" s="29">
        <v>0.93</v>
      </c>
      <c r="L327" s="11">
        <f t="shared" si="35"/>
        <v>2.7553191489361701</v>
      </c>
      <c r="M327" s="29">
        <f t="shared" si="36"/>
        <v>0.75330000000000008</v>
      </c>
      <c r="N327" s="1"/>
      <c r="O327" s="1"/>
      <c r="P327" s="1"/>
      <c r="Q327" s="1"/>
      <c r="R327" s="1"/>
      <c r="S327" s="1"/>
      <c r="T327" s="23">
        <v>1</v>
      </c>
      <c r="U327" s="11">
        <f t="shared" si="37"/>
        <v>2.5</v>
      </c>
      <c r="V327" s="24">
        <f t="shared" si="38"/>
        <v>0.81</v>
      </c>
      <c r="W327" s="4"/>
      <c r="X327" s="54"/>
      <c r="Y327" s="54"/>
      <c r="Z327" s="54"/>
      <c r="AA327" s="54"/>
      <c r="AB327" s="54"/>
      <c r="AC327" s="54"/>
    </row>
    <row r="328" spans="1:29" x14ac:dyDescent="0.25">
      <c r="A328" s="1" t="s">
        <v>4318</v>
      </c>
      <c r="B328" s="1" t="s">
        <v>1695</v>
      </c>
      <c r="C328" s="23">
        <v>0.40849673202614378</v>
      </c>
      <c r="D328" s="11">
        <v>27.226666666666667</v>
      </c>
      <c r="E328" s="1" t="s">
        <v>1696</v>
      </c>
      <c r="F328" s="1"/>
      <c r="G328" s="1"/>
      <c r="H328" s="1"/>
      <c r="I328" s="1"/>
      <c r="J328" s="11">
        <v>0.25531914893617019</v>
      </c>
      <c r="K328" s="29">
        <v>0.93</v>
      </c>
      <c r="L328" s="11">
        <f t="shared" si="35"/>
        <v>27.481985815602837</v>
      </c>
      <c r="M328" s="29">
        <f t="shared" si="36"/>
        <v>0.37990196078431376</v>
      </c>
      <c r="N328" s="1"/>
      <c r="O328" s="1"/>
      <c r="P328" s="1"/>
      <c r="Q328" s="1"/>
      <c r="R328" s="1"/>
      <c r="S328" s="1"/>
      <c r="T328" s="23">
        <v>1</v>
      </c>
      <c r="U328" s="11">
        <f t="shared" si="37"/>
        <v>27.226666666666667</v>
      </c>
      <c r="V328" s="24">
        <f t="shared" si="38"/>
        <v>0.40849673202614378</v>
      </c>
      <c r="W328" s="4"/>
      <c r="X328" s="54"/>
      <c r="Y328" s="54"/>
      <c r="Z328" s="54"/>
      <c r="AA328" s="54"/>
      <c r="AB328" s="54"/>
      <c r="AC328" s="54"/>
    </row>
    <row r="329" spans="1:29" x14ac:dyDescent="0.25">
      <c r="A329" s="1" t="s">
        <v>1757</v>
      </c>
      <c r="B329" s="1"/>
      <c r="C329" s="29">
        <v>1</v>
      </c>
      <c r="D329" s="1"/>
      <c r="E329" s="1"/>
      <c r="F329" s="1"/>
      <c r="G329" s="1"/>
      <c r="H329" s="1"/>
      <c r="I329" s="1"/>
      <c r="J329" s="1"/>
      <c r="K329" s="23">
        <v>1</v>
      </c>
      <c r="L329" s="11">
        <f>10/60</f>
        <v>0.16666666666666666</v>
      </c>
      <c r="M329" s="29">
        <f t="shared" si="36"/>
        <v>1</v>
      </c>
      <c r="N329" s="1"/>
      <c r="O329" s="1"/>
      <c r="P329" s="1"/>
      <c r="Q329" s="1"/>
      <c r="R329" s="1"/>
      <c r="S329" s="1"/>
      <c r="T329" s="23">
        <v>1</v>
      </c>
      <c r="U329" s="11">
        <f>10/60</f>
        <v>0.16666666666666666</v>
      </c>
      <c r="V329" s="24">
        <f t="shared" si="38"/>
        <v>1</v>
      </c>
      <c r="W329" s="4"/>
      <c r="X329" s="54"/>
      <c r="Y329" s="54"/>
      <c r="Z329" s="54"/>
      <c r="AA329" s="54"/>
      <c r="AB329" s="54"/>
      <c r="AC329" s="54"/>
    </row>
    <row r="330" spans="1:29" x14ac:dyDescent="0.25">
      <c r="A330" s="2" t="s">
        <v>4353</v>
      </c>
      <c r="B330" s="1" t="s">
        <v>1695</v>
      </c>
      <c r="C330" s="23">
        <v>0.51060661764705872</v>
      </c>
      <c r="D330" s="11">
        <v>4.6981315476833352</v>
      </c>
      <c r="E330" s="1" t="s">
        <v>1696</v>
      </c>
      <c r="F330" s="1"/>
      <c r="G330" s="1" t="s">
        <v>1696</v>
      </c>
      <c r="H330" s="1"/>
      <c r="I330" s="1" t="s">
        <v>1700</v>
      </c>
      <c r="J330" s="1">
        <v>0.25</v>
      </c>
      <c r="K330" s="23">
        <v>0.95</v>
      </c>
      <c r="L330" s="11">
        <f>D330+J330</f>
        <v>4.9481315476833352</v>
      </c>
      <c r="M330" s="23">
        <f t="shared" si="36"/>
        <v>0.48507628676470577</v>
      </c>
      <c r="N330" s="1"/>
      <c r="O330" s="1"/>
      <c r="P330" s="1"/>
      <c r="Q330" s="1"/>
      <c r="R330" s="1"/>
      <c r="S330" s="1"/>
      <c r="T330" s="23">
        <v>1</v>
      </c>
      <c r="U330" s="11">
        <f>S330+D330</f>
        <v>4.6981315476833352</v>
      </c>
      <c r="V330" s="24">
        <f t="shared" si="38"/>
        <v>0.51060661764705872</v>
      </c>
      <c r="W330" s="4"/>
      <c r="X330" s="54"/>
      <c r="Y330" s="54"/>
      <c r="Z330" s="54"/>
      <c r="AA330" s="54"/>
      <c r="AB330" s="54"/>
      <c r="AC330" s="54"/>
    </row>
    <row r="331" spans="1:29" x14ac:dyDescent="0.25">
      <c r="A331" s="1" t="s">
        <v>4355</v>
      </c>
      <c r="B331" s="1" t="s">
        <v>1695</v>
      </c>
      <c r="C331" s="23">
        <v>0.55941591137965763</v>
      </c>
      <c r="D331" s="11">
        <v>1.9051905190519054</v>
      </c>
      <c r="E331" s="1" t="s">
        <v>1696</v>
      </c>
      <c r="G331" s="1"/>
      <c r="K331" s="23">
        <v>1</v>
      </c>
      <c r="L331" s="11">
        <f>D331+J331</f>
        <v>1.9051905190519054</v>
      </c>
      <c r="M331" s="23">
        <f>C331*K331</f>
        <v>0.55941591137965763</v>
      </c>
      <c r="T331" s="23">
        <v>1</v>
      </c>
      <c r="U331" s="11">
        <f>S331+D331</f>
        <v>1.9051905190519054</v>
      </c>
      <c r="V331" s="24">
        <f t="shared" si="38"/>
        <v>0.55941591137965763</v>
      </c>
      <c r="W331" s="4"/>
      <c r="X331" s="54"/>
      <c r="Y331" s="54"/>
      <c r="Z331" s="54"/>
      <c r="AA331" s="54"/>
      <c r="AB331" s="54"/>
      <c r="AC331" s="54"/>
    </row>
    <row r="332" spans="1:29" x14ac:dyDescent="0.25">
      <c r="A332" s="1" t="s">
        <v>4354</v>
      </c>
      <c r="B332" s="1" t="s">
        <v>1695</v>
      </c>
      <c r="C332" s="23">
        <v>0.80258620689655169</v>
      </c>
      <c r="D332" s="11">
        <v>1.5216612960973865</v>
      </c>
      <c r="E332" s="1" t="s">
        <v>1696</v>
      </c>
      <c r="G332" s="1"/>
      <c r="K332" s="23">
        <v>1</v>
      </c>
      <c r="L332" s="11">
        <f>D332+J332</f>
        <v>1.5216612960973865</v>
      </c>
      <c r="M332" s="23">
        <f>C332*K332</f>
        <v>0.80258620689655169</v>
      </c>
      <c r="T332" s="23">
        <v>1</v>
      </c>
      <c r="U332" s="11">
        <f>S332+D332</f>
        <v>1.5216612960973865</v>
      </c>
      <c r="V332" s="24">
        <f t="shared" si="38"/>
        <v>0.80258620689655169</v>
      </c>
      <c r="W332" s="4"/>
      <c r="X332" s="54"/>
      <c r="Y332" s="54"/>
      <c r="Z332" s="54"/>
      <c r="AA332" s="54"/>
      <c r="AB332" s="54"/>
      <c r="AC332" s="54"/>
    </row>
    <row r="333" spans="1:29" x14ac:dyDescent="0.25">
      <c r="A333" s="1" t="s">
        <v>4356</v>
      </c>
      <c r="B333" s="1" t="s">
        <v>1695</v>
      </c>
      <c r="C333" s="23">
        <v>0.54975609756097565</v>
      </c>
      <c r="D333" s="11">
        <v>0.96125406684412884</v>
      </c>
      <c r="E333" s="1" t="s">
        <v>1696</v>
      </c>
      <c r="G333" s="1"/>
      <c r="K333" s="23">
        <v>1</v>
      </c>
      <c r="L333" s="11">
        <f>D333+J333</f>
        <v>0.96125406684412884</v>
      </c>
      <c r="M333" s="23">
        <f>C333*K333</f>
        <v>0.54975609756097565</v>
      </c>
      <c r="T333" s="23">
        <v>1</v>
      </c>
      <c r="U333" s="11">
        <f>S333+D333</f>
        <v>0.96125406684412884</v>
      </c>
      <c r="V333" s="24">
        <f t="shared" si="38"/>
        <v>0.54975609756097565</v>
      </c>
      <c r="W333" s="11">
        <f>U333+F333</f>
        <v>0.96125406684412884</v>
      </c>
      <c r="X333" s="24">
        <v>0.54975609756097565</v>
      </c>
      <c r="Y333" s="54"/>
      <c r="Z333" s="54"/>
      <c r="AA333" s="54"/>
      <c r="AB333" s="54"/>
      <c r="AC333" s="54"/>
    </row>
    <row r="334" spans="1:29" x14ac:dyDescent="0.25">
      <c r="A334" s="1" t="s">
        <v>4357</v>
      </c>
      <c r="B334" s="1" t="s">
        <v>1695</v>
      </c>
      <c r="C334" s="23">
        <v>0.95283018867924529</v>
      </c>
      <c r="D334" s="11">
        <v>0.25</v>
      </c>
      <c r="E334" s="1" t="s">
        <v>1696</v>
      </c>
      <c r="G334" s="1"/>
      <c r="K334" s="23">
        <v>1</v>
      </c>
      <c r="L334" s="11">
        <f>D334+J334</f>
        <v>0.25</v>
      </c>
      <c r="M334" s="23">
        <f>C334*K334</f>
        <v>0.95283018867924529</v>
      </c>
      <c r="T334" s="23">
        <v>1</v>
      </c>
      <c r="U334" s="11">
        <f>S334+D334</f>
        <v>0.25</v>
      </c>
      <c r="V334" s="24">
        <f t="shared" si="38"/>
        <v>0.95283018867924529</v>
      </c>
      <c r="W334" s="4"/>
      <c r="X334" s="54"/>
      <c r="Y334" s="54"/>
      <c r="Z334" s="54"/>
      <c r="AA334" s="54"/>
      <c r="AB334" s="54"/>
      <c r="AC334" s="54"/>
    </row>
    <row r="335" spans="1:29" x14ac:dyDescent="0.25">
      <c r="A335" t="s">
        <v>4475</v>
      </c>
      <c r="B335" s="1" t="s">
        <v>1695</v>
      </c>
      <c r="W335" s="4">
        <v>1.86</v>
      </c>
      <c r="X335" s="54">
        <v>0.83410565338276188</v>
      </c>
      <c r="Y335" s="54"/>
      <c r="Z335" s="54"/>
      <c r="AA335" s="54"/>
      <c r="AB335" s="54"/>
      <c r="AC335" s="54"/>
    </row>
    <row r="336" spans="1:29" x14ac:dyDescent="0.25">
      <c r="A336" t="s">
        <v>4476</v>
      </c>
      <c r="B336" s="1" t="s">
        <v>1695</v>
      </c>
      <c r="W336" s="4">
        <v>1.6</v>
      </c>
      <c r="X336" s="54">
        <v>0.75</v>
      </c>
      <c r="Y336" s="54"/>
      <c r="Z336" s="54"/>
      <c r="AA336" s="54"/>
      <c r="AB336" s="54"/>
      <c r="AC336" s="54"/>
    </row>
    <row r="337" spans="1:29" x14ac:dyDescent="0.25">
      <c r="A337" t="s">
        <v>4477</v>
      </c>
      <c r="B337" s="1" t="s">
        <v>1695</v>
      </c>
      <c r="W337" s="4">
        <v>2.61</v>
      </c>
      <c r="X337" s="34">
        <v>0.48</v>
      </c>
      <c r="Y337" s="54"/>
      <c r="Z337" s="54"/>
      <c r="AA337" s="54"/>
      <c r="AB337" s="54"/>
      <c r="AC337" s="54"/>
    </row>
    <row r="338" spans="1:29" x14ac:dyDescent="0.25">
      <c r="A338" t="s">
        <v>4478</v>
      </c>
      <c r="B338" s="1" t="s">
        <v>1695</v>
      </c>
      <c r="W338" s="4">
        <v>1.82</v>
      </c>
      <c r="X338" s="34">
        <v>0.73</v>
      </c>
      <c r="Y338" s="54"/>
      <c r="Z338" s="54"/>
      <c r="AA338" s="54"/>
      <c r="AB338" s="54"/>
      <c r="AC338" s="54"/>
    </row>
    <row r="339" spans="1:29" x14ac:dyDescent="0.25">
      <c r="A339" t="s">
        <v>4479</v>
      </c>
      <c r="B339" s="1" t="s">
        <v>1695</v>
      </c>
      <c r="W339" s="4">
        <v>0.11</v>
      </c>
      <c r="X339" s="54">
        <v>0.98</v>
      </c>
      <c r="Y339" s="54"/>
      <c r="Z339" s="54"/>
      <c r="AA339" s="54"/>
      <c r="AB339" s="54"/>
      <c r="AC339" s="54"/>
    </row>
    <row r="340" spans="1:29" x14ac:dyDescent="0.25">
      <c r="A340" t="s">
        <v>4480</v>
      </c>
      <c r="B340" s="1" t="s">
        <v>1695</v>
      </c>
      <c r="W340" s="4">
        <v>2.41</v>
      </c>
      <c r="X340" s="34">
        <v>0.57538461538461538</v>
      </c>
      <c r="Y340" s="54"/>
      <c r="Z340" s="54"/>
      <c r="AA340" s="54"/>
      <c r="AB340" s="54"/>
      <c r="AC340" s="54"/>
    </row>
    <row r="341" spans="1:29" x14ac:dyDescent="0.25">
      <c r="A341" t="s">
        <v>4481</v>
      </c>
      <c r="B341" s="1" t="s">
        <v>1695</v>
      </c>
      <c r="W341">
        <v>0.98</v>
      </c>
      <c r="X341" s="54">
        <v>0.57999999999999996</v>
      </c>
    </row>
    <row r="342" spans="1:29" x14ac:dyDescent="0.25">
      <c r="A342" s="2" t="s">
        <v>4482</v>
      </c>
      <c r="B342" s="1" t="s">
        <v>1695</v>
      </c>
      <c r="W342">
        <v>6.64</v>
      </c>
      <c r="X342" s="34">
        <v>0.63291139240506333</v>
      </c>
    </row>
    <row r="343" spans="1:29" x14ac:dyDescent="0.25">
      <c r="A343" s="7" t="s">
        <v>4483</v>
      </c>
      <c r="B343" s="1" t="s">
        <v>1695</v>
      </c>
      <c r="W343">
        <v>1.1399999999999999</v>
      </c>
      <c r="X343" s="34">
        <v>0.94</v>
      </c>
    </row>
    <row r="344" spans="1:29" x14ac:dyDescent="0.25">
      <c r="A344" t="s">
        <v>4484</v>
      </c>
      <c r="B344" s="1" t="s">
        <v>1695</v>
      </c>
      <c r="W344" s="4">
        <v>0.2</v>
      </c>
      <c r="X344" s="54">
        <v>0.82</v>
      </c>
    </row>
    <row r="345" spans="1:29" x14ac:dyDescent="0.25">
      <c r="A345" s="7" t="s">
        <v>4485</v>
      </c>
      <c r="B345" s="1" t="s">
        <v>1695</v>
      </c>
      <c r="W345">
        <v>1.53</v>
      </c>
      <c r="X345" s="54">
        <v>0.4</v>
      </c>
    </row>
    <row r="346" spans="1:29" x14ac:dyDescent="0.25">
      <c r="A346" t="s">
        <v>4486</v>
      </c>
      <c r="B346" s="1" t="s">
        <v>1695</v>
      </c>
      <c r="W346" s="4">
        <v>4.17</v>
      </c>
      <c r="X346" s="54">
        <v>0.7</v>
      </c>
    </row>
    <row r="347" spans="1:29" x14ac:dyDescent="0.25">
      <c r="A347" s="7" t="s">
        <v>4487</v>
      </c>
      <c r="B347" s="1" t="s">
        <v>1695</v>
      </c>
      <c r="W347">
        <v>2.46</v>
      </c>
      <c r="X347" s="54">
        <v>0.63</v>
      </c>
    </row>
    <row r="348" spans="1:29" x14ac:dyDescent="0.25">
      <c r="A348" t="s">
        <v>4488</v>
      </c>
      <c r="B348" s="1" t="s">
        <v>1695</v>
      </c>
      <c r="W348">
        <v>8.9</v>
      </c>
      <c r="X348" s="54">
        <v>0.54</v>
      </c>
    </row>
    <row r="349" spans="1:29" x14ac:dyDescent="0.25">
      <c r="A349" t="s">
        <v>4489</v>
      </c>
      <c r="B349" s="1" t="s">
        <v>1695</v>
      </c>
      <c r="W349">
        <v>0.5</v>
      </c>
      <c r="X349" s="54">
        <v>0.88</v>
      </c>
    </row>
    <row r="350" spans="1:29" x14ac:dyDescent="0.25">
      <c r="A350" t="s">
        <v>4495</v>
      </c>
      <c r="B350" s="1" t="s">
        <v>1695</v>
      </c>
      <c r="C350" s="34">
        <v>0.70000000000000007</v>
      </c>
      <c r="D350" s="4">
        <v>12.030075187969924</v>
      </c>
      <c r="K350" s="23">
        <v>1</v>
      </c>
      <c r="L350" s="11">
        <f>D350+J350</f>
        <v>12.030075187969924</v>
      </c>
      <c r="M350" s="23">
        <f>C350*K350</f>
        <v>0.70000000000000007</v>
      </c>
    </row>
    <row r="351" spans="1:29" x14ac:dyDescent="0.25">
      <c r="A351" t="s">
        <v>4498</v>
      </c>
      <c r="B351" s="1" t="s">
        <v>1695</v>
      </c>
      <c r="C351" s="54">
        <v>0.2</v>
      </c>
      <c r="D351">
        <v>13.22</v>
      </c>
      <c r="K351" s="23">
        <v>1</v>
      </c>
      <c r="L351" s="11">
        <f>D351+J351</f>
        <v>13.22</v>
      </c>
      <c r="M351" s="23">
        <f>C351*K351</f>
        <v>0.2</v>
      </c>
    </row>
    <row r="352" spans="1:29" x14ac:dyDescent="0.25">
      <c r="A352" t="s">
        <v>4510</v>
      </c>
      <c r="B352" s="1" t="s">
        <v>1695</v>
      </c>
      <c r="C352" s="34">
        <v>0.32666666666666666</v>
      </c>
      <c r="D352" s="4">
        <v>4.591836734693878</v>
      </c>
      <c r="E352" s="1" t="s">
        <v>1696</v>
      </c>
      <c r="G352" s="1" t="s">
        <v>1696</v>
      </c>
      <c r="H352" s="1"/>
      <c r="I352" s="1" t="s">
        <v>1700</v>
      </c>
      <c r="J352" s="1">
        <v>0.25</v>
      </c>
      <c r="K352" s="23">
        <v>1</v>
      </c>
      <c r="L352" s="11">
        <f>D352+J352</f>
        <v>4.841836734693878</v>
      </c>
      <c r="M352" s="23">
        <f>C352*K352</f>
        <v>0.32666666666666666</v>
      </c>
    </row>
    <row r="353" spans="1:24" x14ac:dyDescent="0.25">
      <c r="A353" t="s">
        <v>4513</v>
      </c>
      <c r="B353" s="1" t="s">
        <v>1695</v>
      </c>
      <c r="C353" s="23">
        <f>0.5/0.88</f>
        <v>0.56818181818181823</v>
      </c>
      <c r="D353" s="11">
        <f>11.25/0.48</f>
        <v>23.4375</v>
      </c>
      <c r="K353" s="23">
        <v>1</v>
      </c>
      <c r="L353" s="11">
        <f>D353+J353</f>
        <v>23.4375</v>
      </c>
      <c r="M353" s="23">
        <f>C353*K353</f>
        <v>0.56818181818181823</v>
      </c>
      <c r="T353" s="23">
        <v>1</v>
      </c>
      <c r="U353" s="11">
        <f>S353+D353</f>
        <v>23.4375</v>
      </c>
      <c r="V353" s="24">
        <f>T353*C353</f>
        <v>0.56818181818181823</v>
      </c>
    </row>
    <row r="354" spans="1:24" x14ac:dyDescent="0.25">
      <c r="A354" t="s">
        <v>4539</v>
      </c>
      <c r="B354" s="1" t="s">
        <v>1695</v>
      </c>
      <c r="C354" s="34">
        <v>0.64307692307692299</v>
      </c>
      <c r="D354" s="4">
        <v>9.0909090909090917</v>
      </c>
      <c r="T354" s="23">
        <v>1</v>
      </c>
      <c r="U354" s="11">
        <f>S354+D354</f>
        <v>9.0909090909090917</v>
      </c>
      <c r="V354" s="24">
        <f>T354*C354</f>
        <v>0.64307692307692299</v>
      </c>
    </row>
    <row r="355" spans="1:24" x14ac:dyDescent="0.25">
      <c r="A355" t="s">
        <v>4540</v>
      </c>
      <c r="B355" s="1" t="s">
        <v>1695</v>
      </c>
      <c r="C355" s="54">
        <v>1</v>
      </c>
      <c r="D355" s="4">
        <v>0.5</v>
      </c>
      <c r="T355" s="23">
        <v>1</v>
      </c>
      <c r="U355" s="11">
        <f>S355+D355</f>
        <v>0.5</v>
      </c>
      <c r="V355" s="24">
        <f>T355*C355</f>
        <v>1</v>
      </c>
    </row>
    <row r="356" spans="1:24" x14ac:dyDescent="0.25">
      <c r="A356" t="s">
        <v>4541</v>
      </c>
      <c r="B356" s="1" t="s">
        <v>1695</v>
      </c>
      <c r="C356" s="54">
        <v>0.96</v>
      </c>
      <c r="D356" s="4">
        <v>0.75231481481481477</v>
      </c>
      <c r="T356" s="23">
        <v>1</v>
      </c>
      <c r="U356" s="11">
        <f>S356+D356</f>
        <v>0.75231481481481477</v>
      </c>
      <c r="V356" s="24">
        <f>T356*C356</f>
        <v>0.96</v>
      </c>
    </row>
    <row r="357" spans="1:24" x14ac:dyDescent="0.25">
      <c r="A357" t="s">
        <v>4572</v>
      </c>
      <c r="B357" s="1" t="s">
        <v>1695</v>
      </c>
      <c r="C357" s="54">
        <v>0.97</v>
      </c>
      <c r="D357">
        <v>0.25</v>
      </c>
      <c r="N357" s="1" t="s">
        <v>1696</v>
      </c>
      <c r="O357" s="1" t="s">
        <v>1696</v>
      </c>
      <c r="P357" s="1"/>
      <c r="Q357" s="1" t="s">
        <v>1696</v>
      </c>
      <c r="S357">
        <v>0.5</v>
      </c>
      <c r="T357" s="54">
        <v>0.9</v>
      </c>
      <c r="U357" s="11">
        <f>S357+D357</f>
        <v>0.75</v>
      </c>
      <c r="V357" s="24">
        <f>T357*C357</f>
        <v>0.873</v>
      </c>
    </row>
    <row r="358" spans="1:24" x14ac:dyDescent="0.25">
      <c r="A358" t="s">
        <v>4625</v>
      </c>
      <c r="B358" s="1" t="s">
        <v>1695</v>
      </c>
      <c r="C358" s="54">
        <v>0.87804878048780499</v>
      </c>
      <c r="D358" s="4">
        <v>1.3</v>
      </c>
      <c r="W358" s="4">
        <v>1.3</v>
      </c>
      <c r="X358" s="54">
        <v>0.87804878048780499</v>
      </c>
    </row>
    <row r="359" spans="1:24" x14ac:dyDescent="0.25">
      <c r="A359" t="s">
        <v>4631</v>
      </c>
      <c r="B359" s="1" t="s">
        <v>1695</v>
      </c>
      <c r="C359" s="54">
        <v>0.73</v>
      </c>
      <c r="D359" s="4">
        <v>2.19</v>
      </c>
      <c r="P359" s="1" t="s">
        <v>1696</v>
      </c>
      <c r="Q359" s="1"/>
      <c r="R359" s="1" t="s">
        <v>1698</v>
      </c>
      <c r="S359" s="1">
        <v>0.1</v>
      </c>
      <c r="T359" s="23">
        <v>1</v>
      </c>
      <c r="W359" s="4">
        <f>D359+S359</f>
        <v>2.29</v>
      </c>
      <c r="X359" s="54">
        <f>C359*T359</f>
        <v>0.73</v>
      </c>
    </row>
    <row r="360" spans="1:24" x14ac:dyDescent="0.25">
      <c r="A360" t="s">
        <v>4636</v>
      </c>
      <c r="B360" s="1" t="s">
        <v>1695</v>
      </c>
      <c r="C360" s="54">
        <v>0.66</v>
      </c>
      <c r="D360">
        <v>6.41</v>
      </c>
      <c r="E360" s="1" t="s">
        <v>1696</v>
      </c>
      <c r="F360" s="1"/>
      <c r="G360" s="1" t="s">
        <v>1696</v>
      </c>
      <c r="H360" s="1"/>
      <c r="I360" s="1" t="s">
        <v>1699</v>
      </c>
      <c r="J360" s="1">
        <v>0.1</v>
      </c>
      <c r="K360" s="23">
        <v>1</v>
      </c>
      <c r="L360" s="11">
        <f>D360+J360</f>
        <v>6.51</v>
      </c>
      <c r="M360" s="23">
        <f>C360*K360</f>
        <v>0.66</v>
      </c>
    </row>
    <row r="361" spans="1:24" x14ac:dyDescent="0.25">
      <c r="A361" t="s">
        <v>4647</v>
      </c>
      <c r="B361" s="1" t="s">
        <v>1695</v>
      </c>
      <c r="C361" s="54">
        <v>0.26</v>
      </c>
      <c r="D361" s="4">
        <v>3.5185185185185182</v>
      </c>
      <c r="E361" s="1" t="s">
        <v>1696</v>
      </c>
      <c r="K361" s="23">
        <v>1</v>
      </c>
      <c r="L361" s="11">
        <f t="shared" ref="L361:L366" si="39">D361+J361</f>
        <v>3.5185185185185182</v>
      </c>
      <c r="M361" s="23">
        <f t="shared" ref="M361:M366" si="40">C361*K361</f>
        <v>0.26</v>
      </c>
    </row>
    <row r="362" spans="1:24" x14ac:dyDescent="0.25">
      <c r="A362" t="s">
        <v>4656</v>
      </c>
      <c r="B362" s="1" t="s">
        <v>1695</v>
      </c>
      <c r="C362" s="34">
        <v>0.77852348993288589</v>
      </c>
      <c r="D362" s="4">
        <v>1.5086206896551726</v>
      </c>
      <c r="E362" s="1" t="s">
        <v>1696</v>
      </c>
      <c r="F362" s="1"/>
      <c r="G362" s="1" t="s">
        <v>1696</v>
      </c>
      <c r="H362" s="1"/>
      <c r="I362" s="1" t="s">
        <v>1698</v>
      </c>
      <c r="J362" s="1">
        <v>0.1</v>
      </c>
      <c r="K362" s="23">
        <v>1</v>
      </c>
      <c r="L362" s="11">
        <f t="shared" si="39"/>
        <v>1.6086206896551727</v>
      </c>
      <c r="M362" s="23">
        <f t="shared" si="40"/>
        <v>0.77852348993288589</v>
      </c>
    </row>
    <row r="363" spans="1:24" x14ac:dyDescent="0.25">
      <c r="A363" t="s">
        <v>4657</v>
      </c>
      <c r="B363" s="1" t="s">
        <v>1695</v>
      </c>
      <c r="C363" s="34">
        <v>0.56122448979591844</v>
      </c>
      <c r="D363" s="4">
        <v>3.6363636363636362</v>
      </c>
      <c r="E363" s="1" t="s">
        <v>1696</v>
      </c>
      <c r="F363" s="1"/>
      <c r="G363" s="1" t="s">
        <v>1696</v>
      </c>
      <c r="H363" s="1"/>
      <c r="I363" s="1" t="s">
        <v>1698</v>
      </c>
      <c r="J363" s="1">
        <v>0.1</v>
      </c>
      <c r="K363" s="23">
        <v>1</v>
      </c>
      <c r="L363" s="11">
        <f t="shared" si="39"/>
        <v>3.7363636363636363</v>
      </c>
      <c r="M363" s="23">
        <f t="shared" si="40"/>
        <v>0.56122448979591844</v>
      </c>
    </row>
    <row r="364" spans="1:24" x14ac:dyDescent="0.25">
      <c r="A364" t="s">
        <v>4658</v>
      </c>
      <c r="B364" s="1" t="s">
        <v>1695</v>
      </c>
      <c r="C364" s="34">
        <v>0.34246575342465752</v>
      </c>
      <c r="D364" s="4">
        <v>8</v>
      </c>
      <c r="E364" s="1" t="s">
        <v>1696</v>
      </c>
      <c r="F364" s="1"/>
      <c r="G364" s="1"/>
      <c r="H364" s="1"/>
      <c r="I364" s="1"/>
      <c r="J364" s="1"/>
      <c r="K364" s="23">
        <v>1</v>
      </c>
      <c r="L364" s="11">
        <f t="shared" si="39"/>
        <v>8</v>
      </c>
      <c r="M364" s="23">
        <f t="shared" si="40"/>
        <v>0.34246575342465752</v>
      </c>
    </row>
    <row r="365" spans="1:24" x14ac:dyDescent="0.25">
      <c r="A365" t="s">
        <v>4659</v>
      </c>
      <c r="B365" s="1" t="s">
        <v>1695</v>
      </c>
      <c r="C365" s="34">
        <v>0.5780346820809249</v>
      </c>
      <c r="D365" s="4">
        <v>2.25</v>
      </c>
      <c r="E365" s="1" t="s">
        <v>1696</v>
      </c>
      <c r="F365" s="1"/>
      <c r="G365" s="1" t="s">
        <v>1696</v>
      </c>
      <c r="H365" s="1" t="s">
        <v>1696</v>
      </c>
      <c r="I365" s="1" t="s">
        <v>1700</v>
      </c>
      <c r="J365" s="1">
        <v>0.25</v>
      </c>
      <c r="K365" s="23">
        <v>1</v>
      </c>
      <c r="L365" s="11">
        <f t="shared" si="39"/>
        <v>2.5</v>
      </c>
      <c r="M365" s="23">
        <f t="shared" si="40"/>
        <v>0.5780346820809249</v>
      </c>
    </row>
    <row r="366" spans="1:24" x14ac:dyDescent="0.25">
      <c r="A366" t="s">
        <v>4698</v>
      </c>
      <c r="B366" s="1" t="s">
        <v>1695</v>
      </c>
      <c r="C366" s="54">
        <v>0.79</v>
      </c>
      <c r="D366">
        <v>4.71</v>
      </c>
      <c r="J366" s="1"/>
      <c r="K366" s="23">
        <v>1</v>
      </c>
      <c r="L366" s="11">
        <f t="shared" si="39"/>
        <v>4.71</v>
      </c>
      <c r="M366" s="23">
        <f t="shared" si="40"/>
        <v>0.79</v>
      </c>
      <c r="S366" s="1"/>
      <c r="T366" s="23">
        <v>1</v>
      </c>
      <c r="U366" s="11">
        <f>S366+D366</f>
        <v>4.71</v>
      </c>
      <c r="V366" s="24">
        <f>T366*C366</f>
        <v>0.79</v>
      </c>
    </row>
    <row r="367" spans="1:24" x14ac:dyDescent="0.25">
      <c r="A367" t="s">
        <v>4699</v>
      </c>
      <c r="B367" s="1" t="s">
        <v>1695</v>
      </c>
      <c r="C367" s="54">
        <v>0.92</v>
      </c>
      <c r="D367">
        <v>1</v>
      </c>
      <c r="K367" s="23">
        <v>1</v>
      </c>
      <c r="L367" s="11">
        <f>D367+J367</f>
        <v>1</v>
      </c>
      <c r="M367" s="23">
        <f>C367*K367</f>
        <v>0.92</v>
      </c>
      <c r="T367" s="23">
        <v>1</v>
      </c>
      <c r="U367" s="11">
        <f t="shared" ref="U367:U380" si="41">S367+D367</f>
        <v>1</v>
      </c>
      <c r="V367" s="24">
        <f t="shared" ref="V367:V381" si="42">T367*C367</f>
        <v>0.92</v>
      </c>
    </row>
    <row r="368" spans="1:24" x14ac:dyDescent="0.25">
      <c r="A368" t="s">
        <v>4710</v>
      </c>
      <c r="B368" s="1" t="s">
        <v>1695</v>
      </c>
      <c r="C368" s="54">
        <v>0.62</v>
      </c>
      <c r="D368" s="125">
        <v>3.8</v>
      </c>
      <c r="L368" s="125">
        <f>D368+J368</f>
        <v>3.8</v>
      </c>
      <c r="M368" s="23">
        <f>C368*K368</f>
        <v>0</v>
      </c>
      <c r="N368" s="1" t="s">
        <v>1696</v>
      </c>
      <c r="O368" s="1"/>
      <c r="P368" s="1" t="s">
        <v>1696</v>
      </c>
      <c r="Q368" s="1"/>
      <c r="R368" s="1" t="s">
        <v>1698</v>
      </c>
      <c r="S368" s="1">
        <v>0.1</v>
      </c>
      <c r="T368" s="23">
        <v>1</v>
      </c>
      <c r="U368" s="11">
        <f t="shared" si="41"/>
        <v>3.9</v>
      </c>
      <c r="V368" s="24">
        <f t="shared" si="42"/>
        <v>0.62</v>
      </c>
    </row>
    <row r="369" spans="1:24" x14ac:dyDescent="0.25">
      <c r="A369" t="s">
        <v>4714</v>
      </c>
      <c r="B369" s="1" t="s">
        <v>1695</v>
      </c>
      <c r="C369" s="54">
        <v>0.91</v>
      </c>
      <c r="D369" s="4">
        <v>1.5</v>
      </c>
      <c r="L369" s="125">
        <f>D369+J369</f>
        <v>1.5</v>
      </c>
      <c r="M369" s="23">
        <f>C369*K369</f>
        <v>0</v>
      </c>
      <c r="N369" s="1" t="s">
        <v>1696</v>
      </c>
      <c r="S369" s="1">
        <v>0.1</v>
      </c>
      <c r="T369" s="23">
        <v>1</v>
      </c>
      <c r="U369" s="11">
        <f t="shared" si="41"/>
        <v>1.6</v>
      </c>
      <c r="V369" s="24">
        <f t="shared" si="42"/>
        <v>0.91</v>
      </c>
    </row>
    <row r="370" spans="1:24" x14ac:dyDescent="0.25">
      <c r="A370" t="s">
        <v>4716</v>
      </c>
      <c r="B370" s="1" t="s">
        <v>1695</v>
      </c>
      <c r="C370" s="54">
        <v>0.95</v>
      </c>
      <c r="D370">
        <v>0.83</v>
      </c>
      <c r="N370" s="1" t="s">
        <v>1696</v>
      </c>
      <c r="T370" s="23">
        <v>1</v>
      </c>
      <c r="U370" s="11">
        <f t="shared" si="41"/>
        <v>0.83</v>
      </c>
      <c r="V370" s="24">
        <f t="shared" si="42"/>
        <v>0.95</v>
      </c>
    </row>
    <row r="371" spans="1:24" x14ac:dyDescent="0.25">
      <c r="A371" t="s">
        <v>4717</v>
      </c>
      <c r="B371" s="1" t="s">
        <v>1695</v>
      </c>
      <c r="C371" s="54">
        <v>0.94</v>
      </c>
      <c r="D371">
        <v>0.71</v>
      </c>
      <c r="N371" s="1" t="s">
        <v>1696</v>
      </c>
      <c r="T371" s="23">
        <v>1</v>
      </c>
      <c r="U371" s="11">
        <f t="shared" si="41"/>
        <v>0.71</v>
      </c>
      <c r="V371" s="24">
        <f t="shared" si="42"/>
        <v>0.94</v>
      </c>
    </row>
    <row r="372" spans="1:24" x14ac:dyDescent="0.25">
      <c r="A372" t="s">
        <v>4725</v>
      </c>
      <c r="B372" s="1" t="s">
        <v>1695</v>
      </c>
      <c r="C372" s="54">
        <v>0.35</v>
      </c>
      <c r="D372">
        <v>9.58</v>
      </c>
      <c r="N372" s="1" t="s">
        <v>1696</v>
      </c>
      <c r="T372" s="23">
        <v>1</v>
      </c>
      <c r="U372" s="125">
        <f t="shared" si="41"/>
        <v>9.58</v>
      </c>
      <c r="V372" s="24">
        <f t="shared" si="42"/>
        <v>0.35</v>
      </c>
    </row>
    <row r="373" spans="1:24" x14ac:dyDescent="0.25">
      <c r="A373" t="s">
        <v>4722</v>
      </c>
      <c r="B373" s="1" t="s">
        <v>1695</v>
      </c>
      <c r="C373" s="54">
        <v>0.77</v>
      </c>
      <c r="D373">
        <v>3.56</v>
      </c>
      <c r="N373" s="1" t="s">
        <v>1696</v>
      </c>
      <c r="P373" s="1" t="s">
        <v>1696</v>
      </c>
      <c r="Q373" s="1" t="s">
        <v>1696</v>
      </c>
      <c r="R373" s="1" t="s">
        <v>1698</v>
      </c>
      <c r="S373">
        <v>0.25</v>
      </c>
      <c r="T373" s="23">
        <v>1</v>
      </c>
      <c r="U373" s="125">
        <f t="shared" si="41"/>
        <v>3.81</v>
      </c>
      <c r="V373" s="24">
        <f t="shared" si="42"/>
        <v>0.77</v>
      </c>
    </row>
    <row r="374" spans="1:24" x14ac:dyDescent="0.25">
      <c r="A374" t="s">
        <v>4754</v>
      </c>
      <c r="B374" s="1" t="s">
        <v>1695</v>
      </c>
      <c r="C374" s="54">
        <v>0.68</v>
      </c>
      <c r="D374">
        <v>3.5</v>
      </c>
      <c r="N374" s="1" t="s">
        <v>1696</v>
      </c>
      <c r="T374" s="23">
        <v>1</v>
      </c>
      <c r="U374" s="125">
        <f t="shared" si="41"/>
        <v>3.5</v>
      </c>
      <c r="V374" s="24">
        <f t="shared" si="42"/>
        <v>0.68</v>
      </c>
    </row>
    <row r="375" spans="1:24" x14ac:dyDescent="0.25">
      <c r="A375" s="142" t="s">
        <v>4770</v>
      </c>
      <c r="B375" s="1" t="s">
        <v>1695</v>
      </c>
      <c r="C375" s="29">
        <v>0.73</v>
      </c>
      <c r="D375" s="11">
        <v>3.75</v>
      </c>
      <c r="E375" s="1"/>
      <c r="F375" s="1"/>
      <c r="G375" s="1"/>
      <c r="H375" s="1"/>
      <c r="I375" s="1"/>
      <c r="J375" s="1"/>
      <c r="K375" s="1"/>
      <c r="L375" s="1"/>
      <c r="M375" s="1"/>
      <c r="N375" s="1" t="s">
        <v>1696</v>
      </c>
      <c r="O375" s="1" t="s">
        <v>1696</v>
      </c>
      <c r="P375" s="1"/>
      <c r="Q375" s="1"/>
      <c r="R375" s="1" t="s">
        <v>1697</v>
      </c>
      <c r="S375" s="11">
        <v>0.6</v>
      </c>
      <c r="T375" s="23">
        <v>1</v>
      </c>
      <c r="U375" s="11">
        <f t="shared" si="41"/>
        <v>4.3499999999999996</v>
      </c>
      <c r="V375" s="24">
        <f t="shared" si="42"/>
        <v>0.73</v>
      </c>
    </row>
    <row r="376" spans="1:24" x14ac:dyDescent="0.25">
      <c r="A376" s="1" t="s">
        <v>4771</v>
      </c>
      <c r="B376" s="1" t="s">
        <v>1695</v>
      </c>
      <c r="C376" s="29">
        <v>0.73</v>
      </c>
      <c r="D376" s="11">
        <v>3.75</v>
      </c>
      <c r="E376" s="1"/>
      <c r="F376" s="1"/>
      <c r="G376" s="1"/>
      <c r="H376" s="1"/>
      <c r="I376" s="1"/>
      <c r="J376" s="1"/>
      <c r="K376" s="1"/>
      <c r="L376" s="1"/>
      <c r="M376" s="1"/>
      <c r="N376" s="1" t="s">
        <v>1696</v>
      </c>
      <c r="O376" s="1" t="s">
        <v>1696</v>
      </c>
      <c r="P376" s="1"/>
      <c r="Q376" s="1"/>
      <c r="R376" s="1" t="s">
        <v>1697</v>
      </c>
      <c r="S376" s="11">
        <v>0.6</v>
      </c>
      <c r="T376" s="23">
        <v>1</v>
      </c>
      <c r="U376" s="11">
        <f t="shared" si="41"/>
        <v>4.3499999999999996</v>
      </c>
      <c r="V376" s="24">
        <f t="shared" si="42"/>
        <v>0.73</v>
      </c>
    </row>
    <row r="377" spans="1:24" x14ac:dyDescent="0.25">
      <c r="A377" s="143" t="s">
        <v>4772</v>
      </c>
      <c r="B377" s="1" t="s">
        <v>1695</v>
      </c>
      <c r="C377" s="144">
        <v>0.3</v>
      </c>
      <c r="D377" s="125">
        <v>25</v>
      </c>
      <c r="N377" s="1" t="s">
        <v>1696</v>
      </c>
      <c r="O377" s="1" t="s">
        <v>1696</v>
      </c>
      <c r="S377" s="125">
        <v>2</v>
      </c>
      <c r="T377" s="23">
        <v>1</v>
      </c>
      <c r="U377" s="125">
        <f t="shared" si="41"/>
        <v>27</v>
      </c>
      <c r="V377" s="24">
        <f t="shared" si="42"/>
        <v>0.3</v>
      </c>
    </row>
    <row r="378" spans="1:24" x14ac:dyDescent="0.25">
      <c r="A378" s="143" t="s">
        <v>4773</v>
      </c>
      <c r="B378" s="1" t="s">
        <v>1695</v>
      </c>
      <c r="C378" s="144">
        <v>0.35</v>
      </c>
      <c r="D378" s="125">
        <v>8.57</v>
      </c>
      <c r="N378" s="1" t="s">
        <v>1696</v>
      </c>
      <c r="O378" s="1" t="s">
        <v>1696</v>
      </c>
      <c r="S378" s="125">
        <v>2</v>
      </c>
      <c r="T378" s="23">
        <v>1</v>
      </c>
      <c r="U378" s="125">
        <f t="shared" si="41"/>
        <v>10.57</v>
      </c>
      <c r="V378" s="24">
        <f t="shared" si="42"/>
        <v>0.35</v>
      </c>
    </row>
    <row r="379" spans="1:24" x14ac:dyDescent="0.25">
      <c r="A379" s="143" t="s">
        <v>4774</v>
      </c>
      <c r="B379" s="1" t="s">
        <v>1695</v>
      </c>
      <c r="C379" s="144">
        <v>0.87</v>
      </c>
      <c r="D379" s="125">
        <v>1.1200000000000001</v>
      </c>
      <c r="N379" s="1" t="s">
        <v>1696</v>
      </c>
      <c r="O379" s="1" t="s">
        <v>1696</v>
      </c>
      <c r="S379" s="125"/>
      <c r="T379" s="23">
        <v>1</v>
      </c>
      <c r="U379" s="125">
        <f t="shared" si="41"/>
        <v>1.1200000000000001</v>
      </c>
      <c r="V379" s="24">
        <f t="shared" si="42"/>
        <v>0.87</v>
      </c>
    </row>
    <row r="380" spans="1:24" x14ac:dyDescent="0.25">
      <c r="A380" s="143" t="s">
        <v>4775</v>
      </c>
      <c r="B380" s="1" t="s">
        <v>1695</v>
      </c>
      <c r="C380" s="144">
        <v>1</v>
      </c>
      <c r="D380" s="125">
        <v>0.75</v>
      </c>
      <c r="N380" s="1" t="s">
        <v>1696</v>
      </c>
      <c r="O380" s="1" t="s">
        <v>1696</v>
      </c>
      <c r="T380" s="23">
        <v>1</v>
      </c>
      <c r="U380" s="125">
        <f t="shared" si="41"/>
        <v>0.75</v>
      </c>
      <c r="V380" s="24">
        <f t="shared" si="42"/>
        <v>1</v>
      </c>
    </row>
    <row r="381" spans="1:24" x14ac:dyDescent="0.25">
      <c r="A381" t="s">
        <v>4784</v>
      </c>
      <c r="C381" s="54">
        <v>0.8</v>
      </c>
      <c r="D381">
        <v>0.5</v>
      </c>
      <c r="N381" s="1" t="s">
        <v>1696</v>
      </c>
      <c r="O381" s="1" t="s">
        <v>1696</v>
      </c>
      <c r="P381" s="1" t="s">
        <v>1696</v>
      </c>
      <c r="Q381" s="1"/>
      <c r="R381" s="1" t="s">
        <v>1698</v>
      </c>
      <c r="S381" s="1">
        <v>0.1</v>
      </c>
      <c r="T381" s="23">
        <v>1</v>
      </c>
      <c r="U381" s="11">
        <f>S381+D381</f>
        <v>0.6</v>
      </c>
      <c r="V381" s="24">
        <f t="shared" si="42"/>
        <v>0.8</v>
      </c>
    </row>
    <row r="382" spans="1:24" x14ac:dyDescent="0.25">
      <c r="A382" s="101" t="s">
        <v>4793</v>
      </c>
      <c r="C382" s="144">
        <v>0.75</v>
      </c>
      <c r="D382" s="149">
        <v>1.9</v>
      </c>
      <c r="W382" s="4">
        <f>D382</f>
        <v>1.9</v>
      </c>
      <c r="X382" s="54">
        <v>0.75</v>
      </c>
    </row>
    <row r="383" spans="1:24" x14ac:dyDescent="0.25">
      <c r="A383" s="101" t="s">
        <v>4794</v>
      </c>
      <c r="C383" s="144">
        <v>0.3</v>
      </c>
      <c r="D383" s="125">
        <v>3.88</v>
      </c>
      <c r="W383" s="4">
        <f>D383</f>
        <v>3.88</v>
      </c>
      <c r="X383" s="54">
        <f>C383</f>
        <v>0.3</v>
      </c>
    </row>
    <row r="384" spans="1:24" x14ac:dyDescent="0.25">
      <c r="A384" t="s">
        <v>4799</v>
      </c>
      <c r="B384" s="1" t="s">
        <v>1695</v>
      </c>
      <c r="C384" s="54">
        <v>0.48</v>
      </c>
      <c r="D384">
        <v>5.03</v>
      </c>
      <c r="N384" s="1" t="s">
        <v>1696</v>
      </c>
      <c r="O384" s="1" t="s">
        <v>1696</v>
      </c>
      <c r="P384" s="1" t="s">
        <v>1696</v>
      </c>
      <c r="Q384" s="1"/>
      <c r="R384" s="1" t="s">
        <v>1700</v>
      </c>
      <c r="T384" s="23">
        <v>1</v>
      </c>
      <c r="U384" s="11">
        <f>S384+D384</f>
        <v>5.03</v>
      </c>
      <c r="V384" s="24">
        <f>T384*C384</f>
        <v>0.48</v>
      </c>
    </row>
    <row r="385" spans="1:22" x14ac:dyDescent="0.25">
      <c r="A385" t="s">
        <v>4800</v>
      </c>
      <c r="B385" s="1" t="s">
        <v>1695</v>
      </c>
      <c r="C385" s="54">
        <v>0.87</v>
      </c>
      <c r="D385">
        <v>4.57</v>
      </c>
      <c r="N385" s="1" t="s">
        <v>1696</v>
      </c>
      <c r="O385" s="1" t="s">
        <v>1696</v>
      </c>
      <c r="P385" s="1" t="s">
        <v>1696</v>
      </c>
      <c r="R385" s="1" t="s">
        <v>1700</v>
      </c>
      <c r="T385" s="23">
        <v>1</v>
      </c>
      <c r="U385" s="11">
        <f>S385+D385</f>
        <v>4.57</v>
      </c>
      <c r="V385" s="24">
        <f>T385*C385</f>
        <v>0.87</v>
      </c>
    </row>
    <row r="386" spans="1:22" x14ac:dyDescent="0.25">
      <c r="A386" t="s">
        <v>4801</v>
      </c>
      <c r="C386" s="54">
        <v>0.38</v>
      </c>
      <c r="D386" s="125">
        <v>2.14</v>
      </c>
      <c r="N386" s="1" t="s">
        <v>1696</v>
      </c>
      <c r="O386" s="1" t="s">
        <v>1696</v>
      </c>
      <c r="P386" s="1" t="s">
        <v>1696</v>
      </c>
      <c r="R386" s="1" t="s">
        <v>1700</v>
      </c>
      <c r="T386" s="23">
        <v>1</v>
      </c>
      <c r="U386" s="11">
        <f>S386+D386</f>
        <v>2.14</v>
      </c>
      <c r="V386" s="24">
        <f>T386*C386</f>
        <v>0.38</v>
      </c>
    </row>
    <row r="387" spans="1:22" x14ac:dyDescent="0.25">
      <c r="A387" s="1" t="s">
        <v>4802</v>
      </c>
      <c r="C387" s="54">
        <v>0.56000000000000005</v>
      </c>
      <c r="D387">
        <v>4.62</v>
      </c>
      <c r="N387" s="1" t="s">
        <v>1696</v>
      </c>
      <c r="O387" s="1" t="s">
        <v>1696</v>
      </c>
      <c r="P387" s="1" t="s">
        <v>1696</v>
      </c>
      <c r="R387" s="1" t="s">
        <v>1700</v>
      </c>
      <c r="T387" s="23">
        <v>1</v>
      </c>
      <c r="U387" s="11">
        <f t="shared" ref="U387:U393" si="43">S387+D387</f>
        <v>4.62</v>
      </c>
      <c r="V387" s="24">
        <f t="shared" ref="V387:V393" si="44">T387*C387</f>
        <v>0.56000000000000005</v>
      </c>
    </row>
    <row r="388" spans="1:22" x14ac:dyDescent="0.25">
      <c r="A388" t="s">
        <v>4818</v>
      </c>
      <c r="C388" s="54">
        <v>0.68</v>
      </c>
      <c r="D388">
        <v>0.83</v>
      </c>
      <c r="N388" s="1" t="s">
        <v>1696</v>
      </c>
      <c r="O388" s="1" t="s">
        <v>1696</v>
      </c>
      <c r="P388" s="1" t="s">
        <v>1696</v>
      </c>
      <c r="S388">
        <v>0.3</v>
      </c>
      <c r="T388" s="23">
        <v>1</v>
      </c>
      <c r="U388" s="4">
        <f t="shared" si="43"/>
        <v>1.1299999999999999</v>
      </c>
      <c r="V388" s="24">
        <f t="shared" si="44"/>
        <v>0.68</v>
      </c>
    </row>
    <row r="389" spans="1:22" x14ac:dyDescent="0.25">
      <c r="A389" t="s">
        <v>4819</v>
      </c>
      <c r="C389" s="54">
        <v>0.7</v>
      </c>
      <c r="D389">
        <v>2.73</v>
      </c>
      <c r="N389" s="1" t="s">
        <v>1696</v>
      </c>
      <c r="O389" s="1" t="s">
        <v>1696</v>
      </c>
      <c r="P389" s="1" t="s">
        <v>1696</v>
      </c>
      <c r="S389">
        <v>0.3</v>
      </c>
      <c r="T389" s="23">
        <v>1</v>
      </c>
      <c r="U389" s="4">
        <f t="shared" si="43"/>
        <v>3.03</v>
      </c>
      <c r="V389" s="24">
        <f t="shared" si="44"/>
        <v>0.7</v>
      </c>
    </row>
    <row r="390" spans="1:22" x14ac:dyDescent="0.25">
      <c r="A390" t="s">
        <v>4820</v>
      </c>
      <c r="C390" s="54">
        <v>0.94</v>
      </c>
      <c r="D390">
        <v>1.5</v>
      </c>
      <c r="S390">
        <v>0.3</v>
      </c>
      <c r="T390" s="23">
        <v>1</v>
      </c>
      <c r="U390" s="4">
        <f t="shared" si="43"/>
        <v>1.8</v>
      </c>
      <c r="V390" s="24">
        <f t="shared" si="44"/>
        <v>0.94</v>
      </c>
    </row>
    <row r="391" spans="1:22" x14ac:dyDescent="0.25">
      <c r="A391" t="s">
        <v>4821</v>
      </c>
      <c r="C391" s="54">
        <v>0.63</v>
      </c>
      <c r="D391">
        <v>4.4400000000000004</v>
      </c>
      <c r="N391" s="1" t="s">
        <v>1696</v>
      </c>
      <c r="O391" s="1" t="s">
        <v>1696</v>
      </c>
      <c r="P391" s="1" t="s">
        <v>1696</v>
      </c>
      <c r="S391">
        <v>0.3</v>
      </c>
      <c r="T391" s="23">
        <v>1</v>
      </c>
      <c r="U391" s="4">
        <f t="shared" si="43"/>
        <v>4.74</v>
      </c>
      <c r="V391" s="24">
        <f t="shared" si="44"/>
        <v>0.63</v>
      </c>
    </row>
    <row r="392" spans="1:22" x14ac:dyDescent="0.25">
      <c r="A392" t="s">
        <v>4822</v>
      </c>
      <c r="C392" s="54">
        <v>0.7</v>
      </c>
      <c r="D392">
        <v>1.81</v>
      </c>
      <c r="N392" s="1" t="s">
        <v>1696</v>
      </c>
      <c r="O392" s="1" t="s">
        <v>1696</v>
      </c>
      <c r="P392" s="1" t="s">
        <v>1696</v>
      </c>
      <c r="S392">
        <v>0.3</v>
      </c>
      <c r="T392" s="23">
        <v>1</v>
      </c>
      <c r="U392" s="4">
        <f t="shared" si="43"/>
        <v>2.11</v>
      </c>
      <c r="V392" s="24">
        <f t="shared" si="44"/>
        <v>0.7</v>
      </c>
    </row>
    <row r="393" spans="1:22" x14ac:dyDescent="0.25">
      <c r="A393" t="s">
        <v>4827</v>
      </c>
      <c r="C393" s="54">
        <v>0.49</v>
      </c>
      <c r="D393">
        <v>3.8</v>
      </c>
      <c r="N393" s="1" t="s">
        <v>1696</v>
      </c>
      <c r="O393" s="1" t="s">
        <v>1696</v>
      </c>
      <c r="P393" s="1" t="s">
        <v>1696</v>
      </c>
      <c r="S393">
        <v>0.4</v>
      </c>
      <c r="T393" s="23">
        <v>1</v>
      </c>
      <c r="U393" s="4">
        <f t="shared" si="43"/>
        <v>4.2</v>
      </c>
      <c r="V393" s="24">
        <f t="shared" si="44"/>
        <v>0.49</v>
      </c>
    </row>
    <row r="394" spans="1:22" x14ac:dyDescent="0.25">
      <c r="A394" t="s">
        <v>4828</v>
      </c>
      <c r="C394" s="54">
        <v>0.46</v>
      </c>
      <c r="D394">
        <v>4.12</v>
      </c>
      <c r="N394" s="1" t="s">
        <v>1696</v>
      </c>
      <c r="O394" s="1" t="s">
        <v>1696</v>
      </c>
      <c r="P394" s="1" t="s">
        <v>1696</v>
      </c>
      <c r="S394">
        <v>0.4</v>
      </c>
      <c r="T394" s="23">
        <v>1</v>
      </c>
      <c r="U394" s="4">
        <f>S394+D394</f>
        <v>4.5200000000000005</v>
      </c>
      <c r="V394" s="24">
        <f>T394*C394</f>
        <v>0.46</v>
      </c>
    </row>
    <row r="395" spans="1:22" x14ac:dyDescent="0.25">
      <c r="A395" t="s">
        <v>4845</v>
      </c>
      <c r="C395" s="54">
        <v>0.73</v>
      </c>
      <c r="D395">
        <v>0.87</v>
      </c>
      <c r="S395">
        <v>0</v>
      </c>
      <c r="T395" s="23">
        <v>1</v>
      </c>
      <c r="U395" s="4">
        <f>S395+D395</f>
        <v>0.87</v>
      </c>
      <c r="V395" s="24">
        <f>T395*C395</f>
        <v>0.73</v>
      </c>
    </row>
    <row r="396" spans="1:22" x14ac:dyDescent="0.25">
      <c r="A396" t="s">
        <v>4894</v>
      </c>
      <c r="C396" s="54">
        <v>0.82</v>
      </c>
      <c r="D396">
        <v>0.57999999999999996</v>
      </c>
      <c r="S396">
        <v>0</v>
      </c>
      <c r="T396" s="23">
        <v>1</v>
      </c>
      <c r="U396" s="4">
        <f>S396+D396</f>
        <v>0.57999999999999996</v>
      </c>
      <c r="V396" s="24">
        <f>T396*C396</f>
        <v>0.82</v>
      </c>
    </row>
    <row r="397" spans="1:22" x14ac:dyDescent="0.25">
      <c r="A397" t="s">
        <v>4907</v>
      </c>
      <c r="C397" s="54">
        <v>0.75</v>
      </c>
      <c r="D397">
        <v>0.45</v>
      </c>
      <c r="S397">
        <v>0</v>
      </c>
      <c r="T397" s="23">
        <v>1</v>
      </c>
      <c r="U397" s="4">
        <f>S397+D397</f>
        <v>0.45</v>
      </c>
      <c r="V397" s="24">
        <f>T397*C397</f>
        <v>0.75</v>
      </c>
    </row>
  </sheetData>
  <autoFilter ref="A1:AB397" xr:uid="{E3D0116E-694B-44E3-915B-C4B252091159}"/>
  <conditionalFormatting sqref="A1:A321 A382:A383">
    <cfRule type="duplicateValues" dxfId="45" priority="6"/>
  </conditionalFormatting>
  <conditionalFormatting sqref="A342">
    <cfRule type="duplicateValues" dxfId="44" priority="3"/>
  </conditionalFormatting>
  <conditionalFormatting sqref="A377:A380">
    <cfRule type="duplicateValues" dxfId="43" priority="2"/>
  </conditionalFormatting>
  <conditionalFormatting sqref="A387">
    <cfRule type="duplicateValues" dxfId="42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63A0-1902-49D7-8B9C-542954A195E2}">
  <sheetPr codeName="Sheet9">
    <tabColor rgb="FF00B0F0"/>
  </sheetPr>
  <dimension ref="A1:AA19"/>
  <sheetViews>
    <sheetView workbookViewId="0">
      <selection activeCell="F24" sqref="F24"/>
    </sheetView>
  </sheetViews>
  <sheetFormatPr defaultRowHeight="15" x14ac:dyDescent="0.25"/>
  <cols>
    <col min="1" max="1" width="25.85546875" bestFit="1" customWidth="1"/>
    <col min="2" max="2" width="11.85546875" bestFit="1" customWidth="1"/>
    <col min="3" max="3" width="11" bestFit="1" customWidth="1"/>
    <col min="4" max="4" width="7.42578125" customWidth="1"/>
    <col min="5" max="5" width="10.140625" customWidth="1"/>
    <col min="6" max="6" width="28.85546875" bestFit="1" customWidth="1"/>
    <col min="7" max="7" width="16" bestFit="1" customWidth="1"/>
    <col min="8" max="8" width="7.7109375" customWidth="1"/>
    <col min="9" max="9" width="7.42578125" customWidth="1"/>
    <col min="10" max="10" width="6.42578125" bestFit="1" customWidth="1"/>
    <col min="11" max="11" width="6.28515625" bestFit="1" customWidth="1"/>
    <col min="12" max="12" width="11.85546875" customWidth="1"/>
    <col min="13" max="13" width="11.85546875" bestFit="1" customWidth="1"/>
    <col min="26" max="26" width="6.42578125" customWidth="1"/>
  </cols>
  <sheetData>
    <row r="1" spans="1:27" x14ac:dyDescent="0.25">
      <c r="A1" t="s">
        <v>1689</v>
      </c>
      <c r="I1">
        <v>7</v>
      </c>
      <c r="J1">
        <v>61</v>
      </c>
    </row>
    <row r="2" spans="1:27" ht="29.45" customHeight="1" x14ac:dyDescent="0.25">
      <c r="A2" s="14" t="s">
        <v>1722</v>
      </c>
      <c r="B2" s="3" t="s">
        <v>1736</v>
      </c>
      <c r="C2" s="1" t="s">
        <v>1723</v>
      </c>
      <c r="D2" s="3" t="s">
        <v>1735</v>
      </c>
      <c r="F2" s="1" t="s">
        <v>1724</v>
      </c>
      <c r="G2" s="1"/>
      <c r="H2" s="1" t="s">
        <v>1725</v>
      </c>
      <c r="I2" s="1" t="s">
        <v>1746</v>
      </c>
      <c r="J2" s="1" t="s">
        <v>1663</v>
      </c>
      <c r="K2" t="s">
        <v>1726</v>
      </c>
      <c r="L2" s="38" t="s">
        <v>1747</v>
      </c>
      <c r="M2" s="38" t="s">
        <v>1734</v>
      </c>
    </row>
    <row r="3" spans="1:27" x14ac:dyDescent="0.25">
      <c r="A3" s="36" t="s">
        <v>1700</v>
      </c>
      <c r="B3" s="37">
        <f>SUMIF(BOM!AE:AE,'Chemical Cost'!A3,BOM!AA:AA)</f>
        <v>681.9628095342872</v>
      </c>
      <c r="C3" s="1">
        <f>M3+M4</f>
        <v>18.928913043478261</v>
      </c>
      <c r="D3" s="32">
        <f>C3/B3</f>
        <v>2.7756518066439469E-2</v>
      </c>
      <c r="F3" s="40" t="s">
        <v>1727</v>
      </c>
      <c r="G3" s="40" t="s">
        <v>1728</v>
      </c>
      <c r="H3" s="40">
        <v>25</v>
      </c>
      <c r="I3" s="40" t="s">
        <v>981</v>
      </c>
      <c r="J3" s="41">
        <v>27.63</v>
      </c>
      <c r="K3" s="42">
        <f>J3/H3</f>
        <v>1.1052</v>
      </c>
      <c r="L3">
        <v>12.5</v>
      </c>
      <c r="M3">
        <f>L3*K3</f>
        <v>13.815</v>
      </c>
      <c r="O3" s="75"/>
    </row>
    <row r="4" spans="1:27" x14ac:dyDescent="0.25">
      <c r="A4" s="36" t="s">
        <v>1698</v>
      </c>
      <c r="B4" s="37">
        <f>SUMIF(BOM!AE:AE,'Chemical Cost'!A4,BOM!AA:AA)</f>
        <v>335.70311636666793</v>
      </c>
      <c r="C4" s="1">
        <f>M5</f>
        <v>3.2760000000000002</v>
      </c>
      <c r="D4" s="32">
        <f>C4/B4</f>
        <v>9.7586225455882462E-3</v>
      </c>
      <c r="F4" s="40" t="s">
        <v>1729</v>
      </c>
      <c r="G4" s="40" t="s">
        <v>1728</v>
      </c>
      <c r="H4" s="40">
        <v>23</v>
      </c>
      <c r="I4" s="40" t="s">
        <v>554</v>
      </c>
      <c r="J4" s="41">
        <v>117.62</v>
      </c>
      <c r="K4" s="42">
        <f>J4/H4</f>
        <v>5.1139130434782611</v>
      </c>
      <c r="L4">
        <v>1</v>
      </c>
      <c r="M4">
        <f>L4*K4</f>
        <v>5.1139130434782611</v>
      </c>
      <c r="AA4" s="6"/>
    </row>
    <row r="5" spans="1:27" x14ac:dyDescent="0.25">
      <c r="A5" s="36" t="s">
        <v>1697</v>
      </c>
      <c r="B5" s="37">
        <f>SUMIF(BOM!AE:AE,'Chemical Cost'!A5,BOM!AA:AA)</f>
        <v>5.890140585671312</v>
      </c>
      <c r="C5" s="11">
        <f>M6*B5/SUM(B5:B7)</f>
        <v>3.0086380617053723</v>
      </c>
      <c r="D5" s="32">
        <f>C5/B5</f>
        <v>0.51079223287545206</v>
      </c>
      <c r="F5" s="40" t="s">
        <v>1730</v>
      </c>
      <c r="G5" s="40" t="s">
        <v>1731</v>
      </c>
      <c r="H5" s="40">
        <v>25</v>
      </c>
      <c r="I5" s="40" t="s">
        <v>554</v>
      </c>
      <c r="J5" s="41">
        <v>21</v>
      </c>
      <c r="K5" s="42">
        <f>J5/H5</f>
        <v>0.84</v>
      </c>
      <c r="L5">
        <f>0.65*6</f>
        <v>3.9000000000000004</v>
      </c>
      <c r="M5">
        <f>L5*K5</f>
        <v>3.2760000000000002</v>
      </c>
      <c r="R5" s="6"/>
    </row>
    <row r="6" spans="1:27" ht="30" x14ac:dyDescent="0.25">
      <c r="A6" s="36" t="s">
        <v>1704</v>
      </c>
      <c r="B6" s="37">
        <f>SUMIF(BOM!AE:AE,'Chemical Cost'!A6,BOM!AA:AA)</f>
        <v>11.637403897729303</v>
      </c>
      <c r="C6" s="11">
        <f>M6*B6/SUM(B5:B7)</f>
        <v>5.9442955217946398</v>
      </c>
      <c r="D6" s="32">
        <f>C6/B6</f>
        <v>0.51079223287545206</v>
      </c>
      <c r="F6" s="40" t="s">
        <v>1732</v>
      </c>
      <c r="G6" s="40" t="s">
        <v>1733</v>
      </c>
      <c r="H6" s="40">
        <v>1</v>
      </c>
      <c r="I6" s="40" t="s">
        <v>554</v>
      </c>
      <c r="J6" s="41">
        <v>14.5</v>
      </c>
      <c r="K6" s="42">
        <f>J6/H6</f>
        <v>14.5</v>
      </c>
      <c r="L6">
        <v>1</v>
      </c>
      <c r="M6">
        <f>L6*K6</f>
        <v>14.5</v>
      </c>
    </row>
    <row r="7" spans="1:27" x14ac:dyDescent="0.25">
      <c r="A7" s="36" t="s">
        <v>1699</v>
      </c>
      <c r="B7" s="37">
        <f>SUMIF(BOM!AE:AE,'Chemical Cost'!A7,BOM!AA:AA)</f>
        <v>10.859731333958138</v>
      </c>
      <c r="C7" s="11">
        <f>M6*B7/SUM(B5:B7)</f>
        <v>5.5470664164999892</v>
      </c>
      <c r="D7" s="32">
        <f>C7/B7</f>
        <v>0.51079223287545206</v>
      </c>
      <c r="M7" s="43">
        <f>SUM(M3:M6)</f>
        <v>36.704913043478257</v>
      </c>
    </row>
    <row r="8" spans="1:27" x14ac:dyDescent="0.25">
      <c r="C8" s="43">
        <f>SUM(C3:C7)</f>
        <v>36.704913043478264</v>
      </c>
      <c r="D8" s="5"/>
    </row>
    <row r="11" spans="1:27" x14ac:dyDescent="0.25">
      <c r="A11" s="1"/>
      <c r="B11" s="1"/>
      <c r="C11" s="7" t="s">
        <v>1741</v>
      </c>
      <c r="M11">
        <v>3290</v>
      </c>
    </row>
    <row r="12" spans="1:27" x14ac:dyDescent="0.25">
      <c r="A12" s="7" t="s">
        <v>1688</v>
      </c>
      <c r="B12" s="1"/>
      <c r="C12" s="53">
        <f>B15</f>
        <v>0.25</v>
      </c>
      <c r="M12">
        <f>1-0.038</f>
        <v>0.96199999999999997</v>
      </c>
      <c r="O12" s="76"/>
    </row>
    <row r="13" spans="1:27" x14ac:dyDescent="0.25">
      <c r="A13" s="1" t="s">
        <v>1737</v>
      </c>
      <c r="B13" s="1">
        <v>1</v>
      </c>
      <c r="C13" s="7"/>
      <c r="M13">
        <f>M11*M12</f>
        <v>3164.98</v>
      </c>
    </row>
    <row r="14" spans="1:27" x14ac:dyDescent="0.25">
      <c r="A14" s="1" t="s">
        <v>1738</v>
      </c>
      <c r="B14" s="1">
        <v>4</v>
      </c>
      <c r="C14" s="7"/>
    </row>
    <row r="15" spans="1:27" x14ac:dyDescent="0.25">
      <c r="A15" s="1" t="s">
        <v>1739</v>
      </c>
      <c r="B15" s="1">
        <f>B13/B14</f>
        <v>0.25</v>
      </c>
      <c r="C15" s="7"/>
    </row>
    <row r="16" spans="1:27" x14ac:dyDescent="0.25">
      <c r="A16" s="7" t="s">
        <v>1731</v>
      </c>
      <c r="B16" s="1"/>
      <c r="C16" s="53">
        <f>B19</f>
        <v>0.1</v>
      </c>
    </row>
    <row r="17" spans="1:3" x14ac:dyDescent="0.25">
      <c r="A17" s="1" t="s">
        <v>1740</v>
      </c>
      <c r="B17" s="1">
        <v>0.5</v>
      </c>
      <c r="C17" s="1"/>
    </row>
    <row r="18" spans="1:3" x14ac:dyDescent="0.25">
      <c r="A18" s="1" t="s">
        <v>1738</v>
      </c>
      <c r="B18" s="1">
        <v>5</v>
      </c>
      <c r="C18" s="1"/>
    </row>
    <row r="19" spans="1:3" x14ac:dyDescent="0.25">
      <c r="A19" s="1" t="s">
        <v>1739</v>
      </c>
      <c r="B19" s="1">
        <f>B17/B18</f>
        <v>0.1</v>
      </c>
      <c r="C1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48DA-7299-470C-A311-3E712E93F3C3}">
  <sheetPr codeName="Sheet10" filterMode="1">
    <tabColor rgb="FF00B0F0"/>
  </sheetPr>
  <dimension ref="A1:L784"/>
  <sheetViews>
    <sheetView workbookViewId="0">
      <pane ySplit="1" topLeftCell="A4" activePane="bottomLeft" state="frozen"/>
      <selection pane="bottomLeft" activeCell="G791" sqref="G791"/>
    </sheetView>
  </sheetViews>
  <sheetFormatPr defaultRowHeight="15" x14ac:dyDescent="0.25"/>
  <cols>
    <col min="2" max="2" width="8.42578125" bestFit="1" customWidth="1"/>
    <col min="3" max="3" width="42.5703125" bestFit="1" customWidth="1"/>
    <col min="9" max="9" width="14" bestFit="1" customWidth="1"/>
  </cols>
  <sheetData>
    <row r="1" spans="1:12" ht="45" x14ac:dyDescent="0.25">
      <c r="A1" s="14" t="s">
        <v>1666</v>
      </c>
      <c r="B1" s="14" t="s">
        <v>547</v>
      </c>
      <c r="C1" s="14" t="s">
        <v>1667</v>
      </c>
      <c r="D1" s="14" t="s">
        <v>550</v>
      </c>
      <c r="E1" s="14" t="s">
        <v>551</v>
      </c>
      <c r="F1" s="14" t="s">
        <v>4343</v>
      </c>
      <c r="G1" s="14" t="s">
        <v>4342</v>
      </c>
      <c r="H1" s="14" t="s">
        <v>4344</v>
      </c>
    </row>
    <row r="2" spans="1:12" hidden="1" x14ac:dyDescent="0.25">
      <c r="A2" s="61" t="s">
        <v>122</v>
      </c>
      <c r="B2" s="62" t="s">
        <v>552</v>
      </c>
      <c r="C2" s="62" t="s">
        <v>553</v>
      </c>
      <c r="D2" s="1" t="s">
        <v>554</v>
      </c>
      <c r="E2" s="2">
        <v>1</v>
      </c>
      <c r="F2" s="1">
        <f>G2+H2</f>
        <v>0.55000000000000004</v>
      </c>
      <c r="G2" s="1">
        <v>0.30000000000000004</v>
      </c>
      <c r="H2" s="1">
        <v>0.25</v>
      </c>
      <c r="L2" s="63"/>
    </row>
    <row r="3" spans="1:12" hidden="1" x14ac:dyDescent="0.25">
      <c r="A3" s="2" t="s">
        <v>90</v>
      </c>
      <c r="B3" s="1" t="s">
        <v>552</v>
      </c>
      <c r="C3" s="1" t="s">
        <v>568</v>
      </c>
      <c r="D3" s="1" t="s">
        <v>554</v>
      </c>
      <c r="E3" s="2">
        <v>2.5</v>
      </c>
      <c r="F3" s="1">
        <f t="shared" ref="F3:F66" si="0">G3+H3</f>
        <v>0.875</v>
      </c>
      <c r="G3" s="1">
        <v>0.375</v>
      </c>
      <c r="H3" s="1">
        <v>0.5</v>
      </c>
      <c r="L3" s="63"/>
    </row>
    <row r="4" spans="1:12" x14ac:dyDescent="0.25">
      <c r="A4" s="61" t="s">
        <v>289</v>
      </c>
      <c r="B4" s="62" t="s">
        <v>552</v>
      </c>
      <c r="C4" s="62" t="s">
        <v>290</v>
      </c>
      <c r="D4" s="1" t="s">
        <v>554</v>
      </c>
      <c r="E4" s="2">
        <v>4</v>
      </c>
      <c r="F4" s="1">
        <f t="shared" si="0"/>
        <v>2.2999999999999998</v>
      </c>
      <c r="G4" s="1">
        <v>0.8</v>
      </c>
      <c r="H4" s="1">
        <v>1.5</v>
      </c>
      <c r="L4" s="63"/>
    </row>
    <row r="5" spans="1:12" hidden="1" x14ac:dyDescent="0.25">
      <c r="A5" s="61" t="s">
        <v>291</v>
      </c>
      <c r="B5" s="62" t="s">
        <v>552</v>
      </c>
      <c r="C5" s="62" t="s">
        <v>557</v>
      </c>
      <c r="D5" s="1" t="s">
        <v>554</v>
      </c>
      <c r="E5" s="2">
        <v>1</v>
      </c>
      <c r="F5" s="1">
        <f t="shared" si="0"/>
        <v>0.55000000000000004</v>
      </c>
      <c r="G5" s="1">
        <v>0.30000000000000004</v>
      </c>
      <c r="H5" s="1">
        <v>0.25</v>
      </c>
      <c r="L5" s="63"/>
    </row>
    <row r="6" spans="1:12" hidden="1" x14ac:dyDescent="0.25">
      <c r="A6" s="2" t="s">
        <v>118</v>
      </c>
      <c r="B6" s="1" t="s">
        <v>552</v>
      </c>
      <c r="C6" s="1" t="s">
        <v>559</v>
      </c>
      <c r="D6" s="1" t="s">
        <v>554</v>
      </c>
      <c r="E6" s="2">
        <v>2.5</v>
      </c>
      <c r="F6" s="1">
        <f t="shared" si="0"/>
        <v>0.875</v>
      </c>
      <c r="G6" s="1">
        <v>0.375</v>
      </c>
      <c r="H6" s="1">
        <v>0.5</v>
      </c>
      <c r="L6" s="63"/>
    </row>
    <row r="7" spans="1:12" hidden="1" x14ac:dyDescent="0.25">
      <c r="A7" s="61" t="s">
        <v>562</v>
      </c>
      <c r="B7" s="62" t="s">
        <v>552</v>
      </c>
      <c r="C7" s="62" t="s">
        <v>563</v>
      </c>
      <c r="D7" s="1" t="s">
        <v>554</v>
      </c>
      <c r="E7" s="2">
        <v>3</v>
      </c>
      <c r="F7" s="1">
        <f t="shared" si="0"/>
        <v>2.4</v>
      </c>
      <c r="G7" s="1">
        <v>0.89999999999999991</v>
      </c>
      <c r="H7" s="1">
        <v>1.5</v>
      </c>
      <c r="L7" s="63"/>
    </row>
    <row r="8" spans="1:12" hidden="1" x14ac:dyDescent="0.25">
      <c r="A8" s="2" t="s">
        <v>27</v>
      </c>
      <c r="B8" s="1" t="s">
        <v>552</v>
      </c>
      <c r="C8" s="1" t="s">
        <v>28</v>
      </c>
      <c r="D8" s="1" t="s">
        <v>554</v>
      </c>
      <c r="E8" s="2">
        <v>1.5</v>
      </c>
      <c r="F8" s="1">
        <f t="shared" si="0"/>
        <v>0.64500000000000002</v>
      </c>
      <c r="G8" s="1">
        <v>0.22499999999999998</v>
      </c>
      <c r="H8" s="1">
        <v>0.42</v>
      </c>
      <c r="L8" s="63"/>
    </row>
    <row r="9" spans="1:12" hidden="1" x14ac:dyDescent="0.25">
      <c r="A9" s="2" t="s">
        <v>75</v>
      </c>
      <c r="B9" s="1" t="s">
        <v>552</v>
      </c>
      <c r="C9" s="62" t="s">
        <v>570</v>
      </c>
      <c r="D9" s="1" t="s">
        <v>554</v>
      </c>
      <c r="E9" s="2">
        <v>2</v>
      </c>
      <c r="F9" s="1">
        <f t="shared" si="0"/>
        <v>0.875</v>
      </c>
      <c r="G9" s="1">
        <v>0.375</v>
      </c>
      <c r="H9" s="1">
        <v>0.5</v>
      </c>
      <c r="L9" s="63"/>
    </row>
    <row r="10" spans="1:12" x14ac:dyDescent="0.25">
      <c r="A10" s="61" t="s">
        <v>123</v>
      </c>
      <c r="B10" s="62" t="s">
        <v>552</v>
      </c>
      <c r="C10" s="62" t="s">
        <v>571</v>
      </c>
      <c r="D10" s="1" t="s">
        <v>554</v>
      </c>
      <c r="E10" s="2">
        <v>4</v>
      </c>
      <c r="F10" s="1">
        <f t="shared" si="0"/>
        <v>1.75</v>
      </c>
      <c r="G10" s="1">
        <v>0.75</v>
      </c>
      <c r="H10" s="1">
        <v>1</v>
      </c>
      <c r="L10" s="63"/>
    </row>
    <row r="11" spans="1:12" hidden="1" x14ac:dyDescent="0.25">
      <c r="A11" s="2" t="s">
        <v>224</v>
      </c>
      <c r="B11" s="1" t="s">
        <v>552</v>
      </c>
      <c r="C11" s="1" t="s">
        <v>572</v>
      </c>
      <c r="D11" s="1" t="s">
        <v>554</v>
      </c>
      <c r="E11" s="2">
        <v>2.5</v>
      </c>
      <c r="F11" s="1">
        <f t="shared" si="0"/>
        <v>0.875</v>
      </c>
      <c r="G11" s="1">
        <v>0.375</v>
      </c>
      <c r="H11" s="1">
        <v>0.5</v>
      </c>
    </row>
    <row r="12" spans="1:12" hidden="1" x14ac:dyDescent="0.25">
      <c r="A12" s="2" t="s">
        <v>576</v>
      </c>
      <c r="B12" s="1" t="s">
        <v>552</v>
      </c>
      <c r="C12" s="1" t="s">
        <v>577</v>
      </c>
      <c r="D12" s="1" t="s">
        <v>554</v>
      </c>
      <c r="E12" s="2">
        <v>2</v>
      </c>
      <c r="F12" s="1">
        <f t="shared" si="0"/>
        <v>1.44</v>
      </c>
      <c r="G12" s="1">
        <v>0.60000000000000009</v>
      </c>
      <c r="H12" s="1">
        <v>0.84</v>
      </c>
    </row>
    <row r="13" spans="1:12" hidden="1" x14ac:dyDescent="0.25">
      <c r="A13" s="2" t="s">
        <v>225</v>
      </c>
      <c r="B13" s="1" t="s">
        <v>552</v>
      </c>
      <c r="C13" s="1" t="s">
        <v>587</v>
      </c>
      <c r="D13" s="1" t="s">
        <v>554</v>
      </c>
      <c r="E13" s="2">
        <v>2.5</v>
      </c>
      <c r="F13" s="1">
        <f t="shared" si="0"/>
        <v>0.875</v>
      </c>
      <c r="G13" s="1">
        <v>0.375</v>
      </c>
      <c r="H13" s="1">
        <v>0.5</v>
      </c>
    </row>
    <row r="14" spans="1:12" hidden="1" x14ac:dyDescent="0.25">
      <c r="A14" s="61" t="s">
        <v>232</v>
      </c>
      <c r="B14" s="62" t="s">
        <v>552</v>
      </c>
      <c r="C14" s="62" t="s">
        <v>591</v>
      </c>
      <c r="D14" s="1" t="s">
        <v>554</v>
      </c>
      <c r="E14" s="2">
        <v>1</v>
      </c>
      <c r="F14" s="1">
        <f t="shared" si="0"/>
        <v>0.55000000000000004</v>
      </c>
      <c r="G14" s="1">
        <v>0.30000000000000004</v>
      </c>
      <c r="H14" s="1">
        <v>0.25</v>
      </c>
      <c r="L14" s="63"/>
    </row>
    <row r="15" spans="1:12" hidden="1" x14ac:dyDescent="0.25">
      <c r="A15" s="2" t="s">
        <v>229</v>
      </c>
      <c r="B15" s="1" t="s">
        <v>552</v>
      </c>
      <c r="C15" s="1" t="s">
        <v>592</v>
      </c>
      <c r="D15" s="1" t="s">
        <v>554</v>
      </c>
      <c r="E15" s="2">
        <v>2.5</v>
      </c>
      <c r="F15" s="1">
        <f t="shared" si="0"/>
        <v>0.875</v>
      </c>
      <c r="G15" s="1">
        <v>0.375</v>
      </c>
      <c r="H15" s="1">
        <v>0.5</v>
      </c>
    </row>
    <row r="16" spans="1:12" x14ac:dyDescent="0.25">
      <c r="A16" s="2" t="s">
        <v>84</v>
      </c>
      <c r="B16" s="1" t="s">
        <v>552</v>
      </c>
      <c r="C16" s="1" t="s">
        <v>605</v>
      </c>
      <c r="D16" s="1" t="s">
        <v>554</v>
      </c>
      <c r="E16" s="2">
        <v>4</v>
      </c>
      <c r="F16" s="1">
        <f t="shared" si="0"/>
        <v>2.58</v>
      </c>
      <c r="G16" s="1">
        <v>0.89999999999999991</v>
      </c>
      <c r="H16" s="1">
        <v>1.68</v>
      </c>
    </row>
    <row r="17" spans="1:8" hidden="1" x14ac:dyDescent="0.25">
      <c r="A17" s="2" t="s">
        <v>227</v>
      </c>
      <c r="B17" s="1" t="s">
        <v>552</v>
      </c>
      <c r="C17" s="1" t="s">
        <v>606</v>
      </c>
      <c r="D17" s="1" t="s">
        <v>554</v>
      </c>
      <c r="E17" s="2">
        <v>2.5</v>
      </c>
      <c r="F17" s="1">
        <f t="shared" si="0"/>
        <v>0.875</v>
      </c>
      <c r="G17" s="1">
        <v>0.375</v>
      </c>
      <c r="H17" s="1">
        <v>0.5</v>
      </c>
    </row>
    <row r="18" spans="1:8" hidden="1" x14ac:dyDescent="0.25">
      <c r="A18" s="2" t="s">
        <v>231</v>
      </c>
      <c r="B18" s="1" t="s">
        <v>552</v>
      </c>
      <c r="C18" s="1" t="s">
        <v>610</v>
      </c>
      <c r="D18" s="1" t="s">
        <v>554</v>
      </c>
      <c r="E18" s="2">
        <v>2.5</v>
      </c>
      <c r="F18" s="1">
        <f t="shared" si="0"/>
        <v>0.875</v>
      </c>
      <c r="G18" s="1">
        <v>0.375</v>
      </c>
      <c r="H18" s="1">
        <v>0.5</v>
      </c>
    </row>
    <row r="19" spans="1:8" hidden="1" x14ac:dyDescent="0.25">
      <c r="A19" s="2" t="s">
        <v>453</v>
      </c>
      <c r="B19" s="1" t="s">
        <v>552</v>
      </c>
      <c r="C19" s="1" t="s">
        <v>611</v>
      </c>
      <c r="D19" s="1" t="s">
        <v>554</v>
      </c>
      <c r="E19" s="2">
        <v>2.5</v>
      </c>
      <c r="F19" s="1">
        <f t="shared" si="0"/>
        <v>0.875</v>
      </c>
      <c r="G19" s="1">
        <v>0.375</v>
      </c>
      <c r="H19" s="1">
        <v>0.5</v>
      </c>
    </row>
    <row r="20" spans="1:8" hidden="1" x14ac:dyDescent="0.25">
      <c r="A20" s="2" t="s">
        <v>223</v>
      </c>
      <c r="B20" s="1" t="s">
        <v>552</v>
      </c>
      <c r="C20" s="1" t="s">
        <v>613</v>
      </c>
      <c r="D20" s="1" t="s">
        <v>554</v>
      </c>
      <c r="E20" s="2">
        <v>2.5</v>
      </c>
      <c r="F20" s="1">
        <f t="shared" si="0"/>
        <v>0.875</v>
      </c>
      <c r="G20" s="1">
        <v>0.375</v>
      </c>
      <c r="H20" s="1">
        <v>0.5</v>
      </c>
    </row>
    <row r="21" spans="1:8" hidden="1" x14ac:dyDescent="0.25">
      <c r="A21" s="2" t="s">
        <v>619</v>
      </c>
      <c r="B21" s="1" t="s">
        <v>552</v>
      </c>
      <c r="C21" s="1" t="s">
        <v>620</v>
      </c>
      <c r="D21" s="1" t="s">
        <v>554</v>
      </c>
      <c r="E21" s="2">
        <v>1</v>
      </c>
      <c r="F21" s="1">
        <f t="shared" si="0"/>
        <v>1.75</v>
      </c>
      <c r="G21" s="1">
        <v>0.75</v>
      </c>
      <c r="H21" s="1">
        <v>1</v>
      </c>
    </row>
    <row r="22" spans="1:8" hidden="1" x14ac:dyDescent="0.25">
      <c r="A22" s="2" t="s">
        <v>402</v>
      </c>
      <c r="B22" s="1" t="s">
        <v>552</v>
      </c>
      <c r="C22" s="1" t="s">
        <v>622</v>
      </c>
      <c r="D22" s="1" t="s">
        <v>554</v>
      </c>
      <c r="E22" s="2">
        <v>2</v>
      </c>
      <c r="F22" s="1">
        <f t="shared" si="0"/>
        <v>1.44</v>
      </c>
      <c r="G22" s="1">
        <v>0.60000000000000009</v>
      </c>
      <c r="H22" s="1">
        <v>0.84</v>
      </c>
    </row>
    <row r="23" spans="1:8" hidden="1" x14ac:dyDescent="0.25">
      <c r="A23" s="2" t="s">
        <v>440</v>
      </c>
      <c r="B23" s="1" t="s">
        <v>552</v>
      </c>
      <c r="C23" s="1" t="s">
        <v>637</v>
      </c>
      <c r="D23" s="1" t="s">
        <v>554</v>
      </c>
      <c r="E23" s="2">
        <v>5</v>
      </c>
      <c r="F23" s="1">
        <f t="shared" si="0"/>
        <v>1.1850000000000001</v>
      </c>
      <c r="G23" s="1">
        <v>0.52499999999999991</v>
      </c>
      <c r="H23" s="1">
        <v>0.66</v>
      </c>
    </row>
    <row r="24" spans="1:8" hidden="1" x14ac:dyDescent="0.25">
      <c r="A24" s="2" t="s">
        <v>638</v>
      </c>
      <c r="B24" s="1" t="s">
        <v>552</v>
      </c>
      <c r="C24" s="1" t="s">
        <v>639</v>
      </c>
      <c r="D24" s="1" t="s">
        <v>554</v>
      </c>
      <c r="E24" s="2">
        <v>1</v>
      </c>
      <c r="F24" s="1">
        <f t="shared" si="0"/>
        <v>0.64500000000000002</v>
      </c>
      <c r="G24" s="1">
        <v>0.22499999999999998</v>
      </c>
      <c r="H24" s="1">
        <v>0.42</v>
      </c>
    </row>
    <row r="25" spans="1:8" hidden="1" x14ac:dyDescent="0.25">
      <c r="A25" s="48" t="s">
        <v>646</v>
      </c>
      <c r="B25" s="12" t="s">
        <v>552</v>
      </c>
      <c r="C25" s="12" t="s">
        <v>647</v>
      </c>
      <c r="D25" s="1" t="s">
        <v>554</v>
      </c>
      <c r="E25" s="2">
        <v>2.4</v>
      </c>
      <c r="F25" s="1">
        <f t="shared" si="0"/>
        <v>1.75</v>
      </c>
      <c r="G25" s="1">
        <v>0.75</v>
      </c>
      <c r="H25" s="1">
        <v>1</v>
      </c>
    </row>
    <row r="26" spans="1:8" hidden="1" x14ac:dyDescent="0.25">
      <c r="A26" s="2" t="s">
        <v>543</v>
      </c>
      <c r="B26" s="1" t="s">
        <v>552</v>
      </c>
      <c r="C26" s="1" t="s">
        <v>648</v>
      </c>
      <c r="D26" s="1" t="s">
        <v>554</v>
      </c>
      <c r="E26" s="2">
        <v>1.5</v>
      </c>
      <c r="F26" s="1">
        <f t="shared" si="0"/>
        <v>0.8</v>
      </c>
      <c r="G26" s="1">
        <v>0.30000000000000004</v>
      </c>
      <c r="H26" s="1">
        <v>0.5</v>
      </c>
    </row>
    <row r="27" spans="1:8" hidden="1" x14ac:dyDescent="0.25">
      <c r="A27" s="2" t="s">
        <v>650</v>
      </c>
      <c r="B27" s="1" t="s">
        <v>552</v>
      </c>
      <c r="C27" s="1" t="s">
        <v>651</v>
      </c>
      <c r="D27" s="1" t="s">
        <v>554</v>
      </c>
      <c r="E27" s="2">
        <v>2.5</v>
      </c>
      <c r="F27" s="1">
        <f t="shared" si="0"/>
        <v>0.875</v>
      </c>
      <c r="G27" s="1">
        <v>0.375</v>
      </c>
      <c r="H27" s="1">
        <v>0.5</v>
      </c>
    </row>
    <row r="28" spans="1:8" hidden="1" x14ac:dyDescent="0.25">
      <c r="A28" s="2" t="s">
        <v>126</v>
      </c>
      <c r="B28" s="1" t="s">
        <v>552</v>
      </c>
      <c r="C28" s="1" t="s">
        <v>127</v>
      </c>
      <c r="D28" s="1" t="s">
        <v>554</v>
      </c>
      <c r="E28" s="2">
        <v>1</v>
      </c>
      <c r="F28" s="1">
        <f t="shared" si="0"/>
        <v>0.64500000000000002</v>
      </c>
      <c r="G28" s="1">
        <v>0.22499999999999998</v>
      </c>
      <c r="H28" s="1">
        <v>0.42</v>
      </c>
    </row>
    <row r="29" spans="1:8" hidden="1" x14ac:dyDescent="0.25">
      <c r="A29" s="2" t="s">
        <v>124</v>
      </c>
      <c r="B29" s="1" t="s">
        <v>552</v>
      </c>
      <c r="C29" s="1" t="s">
        <v>125</v>
      </c>
      <c r="D29" s="1" t="s">
        <v>554</v>
      </c>
      <c r="E29" s="2">
        <v>2.5</v>
      </c>
      <c r="F29" s="1">
        <f t="shared" si="0"/>
        <v>0.875</v>
      </c>
      <c r="G29" s="1">
        <v>0.375</v>
      </c>
      <c r="H29" s="1">
        <v>0.5</v>
      </c>
    </row>
    <row r="30" spans="1:8" hidden="1" x14ac:dyDescent="0.25">
      <c r="A30" s="2" t="s">
        <v>454</v>
      </c>
      <c r="B30" s="1" t="s">
        <v>552</v>
      </c>
      <c r="C30" s="1" t="s">
        <v>455</v>
      </c>
      <c r="D30" s="1" t="s">
        <v>554</v>
      </c>
      <c r="E30" s="2">
        <v>2.5</v>
      </c>
      <c r="F30" s="1">
        <f t="shared" si="0"/>
        <v>0.875</v>
      </c>
      <c r="G30" s="1">
        <v>0.375</v>
      </c>
      <c r="H30" s="1">
        <v>0.5</v>
      </c>
    </row>
    <row r="31" spans="1:8" hidden="1" x14ac:dyDescent="0.25">
      <c r="A31" s="2" t="s">
        <v>120</v>
      </c>
      <c r="B31" s="1" t="s">
        <v>552</v>
      </c>
      <c r="C31" s="1" t="s">
        <v>121</v>
      </c>
      <c r="D31" s="1" t="s">
        <v>554</v>
      </c>
      <c r="E31" s="2">
        <v>2.5</v>
      </c>
      <c r="F31" s="1">
        <f t="shared" si="0"/>
        <v>0.875</v>
      </c>
      <c r="G31" s="1">
        <v>0.375</v>
      </c>
      <c r="H31" s="1">
        <v>0.5</v>
      </c>
    </row>
    <row r="32" spans="1:8" hidden="1" x14ac:dyDescent="0.25">
      <c r="A32" s="61" t="s">
        <v>555</v>
      </c>
      <c r="B32" s="62" t="s">
        <v>552</v>
      </c>
      <c r="C32" s="62" t="s">
        <v>556</v>
      </c>
      <c r="D32" s="1" t="s">
        <v>554</v>
      </c>
      <c r="E32" s="2">
        <v>0.2</v>
      </c>
      <c r="F32" s="1">
        <f t="shared" si="0"/>
        <v>0.70000000000000007</v>
      </c>
      <c r="G32" s="1">
        <v>0.45000000000000007</v>
      </c>
      <c r="H32" s="1">
        <v>0.25</v>
      </c>
    </row>
    <row r="33" spans="1:8" hidden="1" x14ac:dyDescent="0.25">
      <c r="A33" s="2" t="s">
        <v>116</v>
      </c>
      <c r="B33" s="1" t="s">
        <v>552</v>
      </c>
      <c r="C33" s="1" t="s">
        <v>117</v>
      </c>
      <c r="D33" s="1" t="s">
        <v>554</v>
      </c>
      <c r="E33" s="2">
        <v>2</v>
      </c>
      <c r="F33" s="1">
        <f t="shared" si="0"/>
        <v>2.375</v>
      </c>
      <c r="G33" s="1">
        <v>0.375</v>
      </c>
      <c r="H33" s="1">
        <v>2</v>
      </c>
    </row>
    <row r="34" spans="1:8" hidden="1" x14ac:dyDescent="0.25">
      <c r="A34" s="1" t="s">
        <v>102</v>
      </c>
      <c r="B34" s="1" t="s">
        <v>552</v>
      </c>
      <c r="C34" s="1" t="s">
        <v>558</v>
      </c>
      <c r="D34" s="1" t="s">
        <v>554</v>
      </c>
      <c r="E34" s="2">
        <v>2.5</v>
      </c>
      <c r="F34" s="1">
        <f t="shared" si="0"/>
        <v>0.875</v>
      </c>
      <c r="G34" s="1">
        <v>0.375</v>
      </c>
      <c r="H34" s="1">
        <v>0.5</v>
      </c>
    </row>
    <row r="35" spans="1:8" hidden="1" x14ac:dyDescent="0.25">
      <c r="A35" s="62" t="s">
        <v>276</v>
      </c>
      <c r="B35" s="62" t="s">
        <v>552</v>
      </c>
      <c r="C35" s="62" t="s">
        <v>560</v>
      </c>
      <c r="D35" s="1" t="s">
        <v>554</v>
      </c>
      <c r="E35" s="2">
        <v>3</v>
      </c>
      <c r="F35" s="1">
        <f t="shared" si="0"/>
        <v>1.75</v>
      </c>
      <c r="G35" s="1">
        <v>0.75</v>
      </c>
      <c r="H35" s="1">
        <v>1</v>
      </c>
    </row>
    <row r="36" spans="1:8" hidden="1" x14ac:dyDescent="0.25">
      <c r="A36" s="1" t="s">
        <v>403</v>
      </c>
      <c r="B36" s="1" t="s">
        <v>552</v>
      </c>
      <c r="C36" s="1" t="s">
        <v>404</v>
      </c>
      <c r="D36" s="1" t="s">
        <v>554</v>
      </c>
      <c r="E36" s="2">
        <v>1.3</v>
      </c>
      <c r="F36" s="1">
        <f t="shared" si="0"/>
        <v>0.64500000000000002</v>
      </c>
      <c r="G36" s="1">
        <v>0.22499999999999998</v>
      </c>
      <c r="H36" s="1">
        <v>0.42</v>
      </c>
    </row>
    <row r="37" spans="1:8" hidden="1" x14ac:dyDescent="0.25">
      <c r="A37" s="2" t="s">
        <v>270</v>
      </c>
      <c r="B37" s="1" t="s">
        <v>552</v>
      </c>
      <c r="C37" s="1" t="s">
        <v>271</v>
      </c>
      <c r="D37" s="1" t="s">
        <v>554</v>
      </c>
      <c r="E37" s="2">
        <v>1.2</v>
      </c>
      <c r="F37" s="1">
        <f t="shared" si="0"/>
        <v>2.4</v>
      </c>
      <c r="G37" s="1">
        <v>0.89999999999999991</v>
      </c>
      <c r="H37" s="1">
        <v>1.5</v>
      </c>
    </row>
    <row r="38" spans="1:8" x14ac:dyDescent="0.25">
      <c r="A38" s="62" t="s">
        <v>68</v>
      </c>
      <c r="B38" s="62" t="s">
        <v>552</v>
      </c>
      <c r="C38" s="62" t="s">
        <v>69</v>
      </c>
      <c r="D38" s="1" t="s">
        <v>554</v>
      </c>
      <c r="E38" s="2">
        <v>4</v>
      </c>
      <c r="F38" s="1">
        <f t="shared" si="0"/>
        <v>1.75</v>
      </c>
      <c r="G38" s="1">
        <v>0.75</v>
      </c>
      <c r="H38" s="1">
        <v>1</v>
      </c>
    </row>
    <row r="39" spans="1:8" hidden="1" x14ac:dyDescent="0.25">
      <c r="A39" s="62" t="s">
        <v>42</v>
      </c>
      <c r="B39" s="62" t="s">
        <v>552</v>
      </c>
      <c r="C39" s="62" t="s">
        <v>561</v>
      </c>
      <c r="D39" s="1" t="s">
        <v>554</v>
      </c>
      <c r="E39" s="2">
        <v>2.4</v>
      </c>
      <c r="F39" s="1">
        <f t="shared" si="0"/>
        <v>1.75</v>
      </c>
      <c r="G39" s="1">
        <v>0.75</v>
      </c>
      <c r="H39" s="1">
        <v>1</v>
      </c>
    </row>
    <row r="40" spans="1:8" hidden="1" x14ac:dyDescent="0.25">
      <c r="A40" s="1" t="s">
        <v>97</v>
      </c>
      <c r="B40" s="1" t="s">
        <v>552</v>
      </c>
      <c r="C40" s="1" t="s">
        <v>98</v>
      </c>
      <c r="D40" s="1" t="s">
        <v>554</v>
      </c>
      <c r="E40" s="2">
        <v>2</v>
      </c>
      <c r="F40" s="1">
        <f t="shared" si="0"/>
        <v>0.8</v>
      </c>
      <c r="G40" s="1">
        <v>0.30000000000000004</v>
      </c>
      <c r="H40" s="1">
        <v>0.5</v>
      </c>
    </row>
    <row r="41" spans="1:8" hidden="1" x14ac:dyDescent="0.25">
      <c r="A41" s="1" t="s">
        <v>129</v>
      </c>
      <c r="B41" s="1" t="s">
        <v>552</v>
      </c>
      <c r="C41" s="1" t="s">
        <v>564</v>
      </c>
      <c r="D41" s="1" t="s">
        <v>554</v>
      </c>
      <c r="E41" s="2">
        <v>2.5</v>
      </c>
      <c r="F41" s="1">
        <f t="shared" si="0"/>
        <v>0.875</v>
      </c>
      <c r="G41" s="1">
        <v>0.375</v>
      </c>
      <c r="H41" s="1">
        <v>0.5</v>
      </c>
    </row>
    <row r="42" spans="1:8" hidden="1" x14ac:dyDescent="0.25">
      <c r="A42" s="1" t="s">
        <v>277</v>
      </c>
      <c r="B42" s="1" t="s">
        <v>552</v>
      </c>
      <c r="C42" s="1" t="s">
        <v>565</v>
      </c>
      <c r="D42" s="1" t="s">
        <v>554</v>
      </c>
      <c r="E42" s="2">
        <v>2.5</v>
      </c>
      <c r="F42" s="1">
        <f t="shared" si="0"/>
        <v>0.875</v>
      </c>
      <c r="G42" s="1">
        <v>0.375</v>
      </c>
      <c r="H42" s="1">
        <v>0.5</v>
      </c>
    </row>
    <row r="43" spans="1:8" hidden="1" x14ac:dyDescent="0.25">
      <c r="A43" s="1" t="s">
        <v>566</v>
      </c>
      <c r="B43" s="1" t="s">
        <v>552</v>
      </c>
      <c r="C43" s="1" t="s">
        <v>567</v>
      </c>
      <c r="D43" s="1" t="s">
        <v>554</v>
      </c>
      <c r="E43" s="2">
        <v>1</v>
      </c>
      <c r="F43" s="1">
        <f t="shared" si="0"/>
        <v>1.0499999999999998</v>
      </c>
      <c r="G43" s="1">
        <v>0.44999999999999996</v>
      </c>
      <c r="H43" s="1">
        <v>0.6</v>
      </c>
    </row>
    <row r="44" spans="1:8" hidden="1" x14ac:dyDescent="0.25">
      <c r="A44" s="1" t="s">
        <v>99</v>
      </c>
      <c r="B44" s="1" t="s">
        <v>552</v>
      </c>
      <c r="C44" s="1" t="s">
        <v>569</v>
      </c>
      <c r="D44" s="1" t="s">
        <v>554</v>
      </c>
      <c r="E44" s="2">
        <v>2.5</v>
      </c>
      <c r="F44" s="1">
        <f t="shared" si="0"/>
        <v>0.875</v>
      </c>
      <c r="G44" s="1">
        <v>0.375</v>
      </c>
      <c r="H44" s="1">
        <v>0.5</v>
      </c>
    </row>
    <row r="45" spans="1:8" hidden="1" x14ac:dyDescent="0.25">
      <c r="A45" s="1" t="s">
        <v>112</v>
      </c>
      <c r="B45" s="1" t="s">
        <v>552</v>
      </c>
      <c r="C45" s="1" t="s">
        <v>113</v>
      </c>
      <c r="D45" s="1" t="s">
        <v>554</v>
      </c>
      <c r="E45" s="2">
        <v>2</v>
      </c>
      <c r="F45" s="1">
        <f t="shared" si="0"/>
        <v>0.8</v>
      </c>
      <c r="G45" s="1">
        <v>0.30000000000000004</v>
      </c>
      <c r="H45" s="1">
        <v>0.5</v>
      </c>
    </row>
    <row r="46" spans="1:8" hidden="1" x14ac:dyDescent="0.25">
      <c r="A46" s="1" t="s">
        <v>253</v>
      </c>
      <c r="B46" s="1" t="s">
        <v>552</v>
      </c>
      <c r="C46" s="1" t="s">
        <v>254</v>
      </c>
      <c r="D46" s="1" t="s">
        <v>554</v>
      </c>
      <c r="E46" s="2">
        <v>2</v>
      </c>
      <c r="F46" s="1">
        <f t="shared" si="0"/>
        <v>0.8</v>
      </c>
      <c r="G46" s="1">
        <v>0.30000000000000004</v>
      </c>
      <c r="H46" s="1">
        <v>0.5</v>
      </c>
    </row>
    <row r="47" spans="1:8" hidden="1" x14ac:dyDescent="0.25">
      <c r="A47" s="1" t="s">
        <v>367</v>
      </c>
      <c r="B47" s="1" t="s">
        <v>552</v>
      </c>
      <c r="C47" s="1" t="s">
        <v>368</v>
      </c>
      <c r="D47" s="1" t="s">
        <v>554</v>
      </c>
      <c r="E47" s="2">
        <v>2</v>
      </c>
      <c r="F47" s="1">
        <f t="shared" si="0"/>
        <v>0.8</v>
      </c>
      <c r="G47" s="1">
        <v>0.30000000000000004</v>
      </c>
      <c r="H47" s="1">
        <v>0.5</v>
      </c>
    </row>
    <row r="48" spans="1:8" hidden="1" x14ac:dyDescent="0.25">
      <c r="A48" s="15" t="s">
        <v>114</v>
      </c>
      <c r="B48" s="1" t="s">
        <v>552</v>
      </c>
      <c r="C48" s="1" t="s">
        <v>115</v>
      </c>
      <c r="D48" s="1" t="s">
        <v>554</v>
      </c>
      <c r="E48" s="2">
        <v>2</v>
      </c>
      <c r="F48" s="1">
        <f t="shared" si="0"/>
        <v>1.8</v>
      </c>
      <c r="G48" s="1">
        <v>0.30000000000000004</v>
      </c>
      <c r="H48" s="1">
        <v>1.5</v>
      </c>
    </row>
    <row r="49" spans="1:8" hidden="1" x14ac:dyDescent="0.25">
      <c r="A49" s="1" t="s">
        <v>100</v>
      </c>
      <c r="B49" s="1" t="s">
        <v>552</v>
      </c>
      <c r="C49" s="1" t="s">
        <v>573</v>
      </c>
      <c r="D49" s="1" t="s">
        <v>554</v>
      </c>
      <c r="E49" s="2">
        <v>2.5</v>
      </c>
      <c r="F49" s="1">
        <f t="shared" si="0"/>
        <v>0.875</v>
      </c>
      <c r="G49" s="1">
        <v>0.375</v>
      </c>
      <c r="H49" s="1">
        <v>0.5</v>
      </c>
    </row>
    <row r="50" spans="1:8" hidden="1" x14ac:dyDescent="0.25">
      <c r="A50" s="1" t="s">
        <v>228</v>
      </c>
      <c r="B50" s="1" t="s">
        <v>552</v>
      </c>
      <c r="C50" s="1" t="s">
        <v>574</v>
      </c>
      <c r="D50" s="1" t="s">
        <v>554</v>
      </c>
      <c r="E50" s="2">
        <v>2.5</v>
      </c>
      <c r="F50" s="1">
        <f t="shared" si="0"/>
        <v>0.875</v>
      </c>
      <c r="G50" s="1">
        <v>0.375</v>
      </c>
      <c r="H50" s="1">
        <v>0.5</v>
      </c>
    </row>
    <row r="51" spans="1:8" hidden="1" x14ac:dyDescent="0.25">
      <c r="A51" s="1" t="s">
        <v>369</v>
      </c>
      <c r="B51" s="1" t="s">
        <v>552</v>
      </c>
      <c r="C51" s="1" t="s">
        <v>370</v>
      </c>
      <c r="D51" s="1" t="s">
        <v>554</v>
      </c>
      <c r="E51" s="2">
        <v>2</v>
      </c>
      <c r="F51" s="1">
        <f t="shared" si="0"/>
        <v>0.8</v>
      </c>
      <c r="G51" s="1">
        <v>0.30000000000000004</v>
      </c>
      <c r="H51" s="1">
        <v>0.5</v>
      </c>
    </row>
    <row r="52" spans="1:8" hidden="1" x14ac:dyDescent="0.25">
      <c r="A52" s="1" t="s">
        <v>130</v>
      </c>
      <c r="B52" s="1" t="s">
        <v>552</v>
      </c>
      <c r="C52" s="1" t="s">
        <v>575</v>
      </c>
      <c r="D52" s="1" t="s">
        <v>554</v>
      </c>
      <c r="E52" s="2">
        <v>2.5</v>
      </c>
      <c r="F52" s="1">
        <f t="shared" si="0"/>
        <v>0.875</v>
      </c>
      <c r="G52" s="1">
        <v>0.375</v>
      </c>
      <c r="H52" s="1">
        <v>0.5</v>
      </c>
    </row>
    <row r="53" spans="1:8" hidden="1" x14ac:dyDescent="0.25">
      <c r="A53" s="1" t="s">
        <v>88</v>
      </c>
      <c r="B53" s="1" t="s">
        <v>552</v>
      </c>
      <c r="C53" s="1" t="s">
        <v>578</v>
      </c>
      <c r="D53" s="1" t="s">
        <v>554</v>
      </c>
      <c r="E53" s="2">
        <v>2.5</v>
      </c>
      <c r="F53" s="1">
        <f t="shared" si="0"/>
        <v>0.875</v>
      </c>
      <c r="G53" s="1">
        <v>0.375</v>
      </c>
      <c r="H53" s="1">
        <v>0.5</v>
      </c>
    </row>
    <row r="54" spans="1:8" hidden="1" x14ac:dyDescent="0.25">
      <c r="A54" s="1" t="s">
        <v>131</v>
      </c>
      <c r="B54" s="1" t="s">
        <v>552</v>
      </c>
      <c r="C54" s="1" t="s">
        <v>579</v>
      </c>
      <c r="D54" s="1" t="s">
        <v>554</v>
      </c>
      <c r="E54" s="2">
        <v>0.5</v>
      </c>
      <c r="F54" s="1">
        <f t="shared" si="0"/>
        <v>0.55499999999999994</v>
      </c>
      <c r="G54" s="1">
        <v>0.22499999999999998</v>
      </c>
      <c r="H54" s="62">
        <v>0.33</v>
      </c>
    </row>
    <row r="55" spans="1:8" hidden="1" x14ac:dyDescent="0.25">
      <c r="A55" s="1" t="s">
        <v>395</v>
      </c>
      <c r="B55" s="1" t="s">
        <v>552</v>
      </c>
      <c r="C55" s="1" t="s">
        <v>580</v>
      </c>
      <c r="D55" s="1" t="s">
        <v>554</v>
      </c>
      <c r="E55" s="2">
        <v>1</v>
      </c>
      <c r="F55" s="1">
        <f t="shared" si="0"/>
        <v>0.64500000000000002</v>
      </c>
      <c r="G55" s="1">
        <v>0.22499999999999998</v>
      </c>
      <c r="H55" s="1">
        <v>0.42</v>
      </c>
    </row>
    <row r="56" spans="1:8" hidden="1" x14ac:dyDescent="0.25">
      <c r="A56" s="1" t="s">
        <v>86</v>
      </c>
      <c r="B56" s="1" t="s">
        <v>552</v>
      </c>
      <c r="C56" s="1" t="s">
        <v>581</v>
      </c>
      <c r="D56" s="1" t="s">
        <v>554</v>
      </c>
      <c r="E56" s="2">
        <v>2.5</v>
      </c>
      <c r="F56" s="1">
        <f t="shared" si="0"/>
        <v>0.875</v>
      </c>
      <c r="G56" s="1">
        <v>0.375</v>
      </c>
      <c r="H56" s="1">
        <v>0.5</v>
      </c>
    </row>
    <row r="57" spans="1:8" hidden="1" x14ac:dyDescent="0.25">
      <c r="A57" s="15" t="s">
        <v>91</v>
      </c>
      <c r="B57" s="1" t="s">
        <v>552</v>
      </c>
      <c r="C57" s="1" t="s">
        <v>582</v>
      </c>
      <c r="D57" s="1" t="s">
        <v>554</v>
      </c>
      <c r="E57" s="2">
        <v>1</v>
      </c>
      <c r="F57" s="1">
        <f t="shared" si="0"/>
        <v>0.64500000000000002</v>
      </c>
      <c r="G57" s="1">
        <v>0.22499999999999998</v>
      </c>
      <c r="H57" s="1">
        <v>0.42</v>
      </c>
    </row>
    <row r="58" spans="1:8" hidden="1" x14ac:dyDescent="0.25">
      <c r="A58" s="1" t="s">
        <v>103</v>
      </c>
      <c r="B58" s="1" t="s">
        <v>552</v>
      </c>
      <c r="C58" s="1" t="s">
        <v>583</v>
      </c>
      <c r="D58" s="1" t="s">
        <v>554</v>
      </c>
      <c r="E58" s="2">
        <v>1</v>
      </c>
      <c r="F58" s="1">
        <f t="shared" si="0"/>
        <v>0.64500000000000002</v>
      </c>
      <c r="G58" s="1">
        <v>0.22499999999999998</v>
      </c>
      <c r="H58" s="1">
        <v>0.42</v>
      </c>
    </row>
    <row r="59" spans="1:8" hidden="1" x14ac:dyDescent="0.25">
      <c r="A59" s="1" t="s">
        <v>128</v>
      </c>
      <c r="B59" s="1" t="s">
        <v>552</v>
      </c>
      <c r="C59" s="1" t="s">
        <v>584</v>
      </c>
      <c r="D59" s="1" t="s">
        <v>554</v>
      </c>
      <c r="E59" s="2">
        <v>2.5</v>
      </c>
      <c r="F59" s="1">
        <f t="shared" si="0"/>
        <v>0.875</v>
      </c>
      <c r="G59" s="1">
        <v>0.375</v>
      </c>
      <c r="H59" s="1">
        <v>0.5</v>
      </c>
    </row>
    <row r="60" spans="1:8" hidden="1" x14ac:dyDescent="0.25">
      <c r="A60" s="1" t="s">
        <v>226</v>
      </c>
      <c r="B60" s="1" t="s">
        <v>552</v>
      </c>
      <c r="C60" s="1" t="s">
        <v>585</v>
      </c>
      <c r="D60" s="1" t="s">
        <v>554</v>
      </c>
      <c r="E60" s="2">
        <v>5</v>
      </c>
      <c r="F60" s="1">
        <f t="shared" si="0"/>
        <v>1.1850000000000001</v>
      </c>
      <c r="G60" s="1">
        <v>0.52499999999999991</v>
      </c>
      <c r="H60" s="1">
        <v>0.66</v>
      </c>
    </row>
    <row r="61" spans="1:8" hidden="1" x14ac:dyDescent="0.25">
      <c r="A61" s="1" t="s">
        <v>85</v>
      </c>
      <c r="B61" s="1" t="s">
        <v>552</v>
      </c>
      <c r="C61" s="1" t="s">
        <v>586</v>
      </c>
      <c r="D61" s="1" t="s">
        <v>554</v>
      </c>
      <c r="E61" s="2">
        <v>2.5</v>
      </c>
      <c r="F61" s="1">
        <f t="shared" si="0"/>
        <v>0.875</v>
      </c>
      <c r="G61" s="1">
        <v>0.375</v>
      </c>
      <c r="H61" s="1">
        <v>0.5</v>
      </c>
    </row>
    <row r="62" spans="1:8" hidden="1" x14ac:dyDescent="0.25">
      <c r="A62" s="1" t="s">
        <v>230</v>
      </c>
      <c r="B62" s="1" t="s">
        <v>552</v>
      </c>
      <c r="C62" s="1" t="s">
        <v>588</v>
      </c>
      <c r="D62" s="1" t="s">
        <v>554</v>
      </c>
      <c r="E62" s="2">
        <v>1</v>
      </c>
      <c r="F62" s="1">
        <f t="shared" si="0"/>
        <v>0.64500000000000002</v>
      </c>
      <c r="G62" s="1">
        <v>0.22499999999999998</v>
      </c>
      <c r="H62" s="1">
        <v>0.42</v>
      </c>
    </row>
    <row r="63" spans="1:8" hidden="1" x14ac:dyDescent="0.25">
      <c r="A63" s="1" t="s">
        <v>445</v>
      </c>
      <c r="B63" s="1" t="s">
        <v>552</v>
      </c>
      <c r="C63" s="1" t="s">
        <v>589</v>
      </c>
      <c r="D63" s="1" t="s">
        <v>554</v>
      </c>
      <c r="E63" s="2">
        <v>5</v>
      </c>
      <c r="F63" s="1">
        <f t="shared" si="0"/>
        <v>1.1850000000000001</v>
      </c>
      <c r="G63" s="1">
        <v>0.52499999999999991</v>
      </c>
      <c r="H63" s="1">
        <v>0.66</v>
      </c>
    </row>
    <row r="64" spans="1:8" hidden="1" x14ac:dyDescent="0.25">
      <c r="A64" s="1" t="s">
        <v>173</v>
      </c>
      <c r="B64" s="1" t="s">
        <v>552</v>
      </c>
      <c r="C64" s="1" t="s">
        <v>174</v>
      </c>
      <c r="D64" s="1" t="s">
        <v>554</v>
      </c>
      <c r="E64" s="2">
        <v>5.2</v>
      </c>
      <c r="F64" s="1">
        <f t="shared" si="0"/>
        <v>2.4299999999999997</v>
      </c>
      <c r="G64" s="1">
        <v>0.75</v>
      </c>
      <c r="H64" s="1">
        <v>1.68</v>
      </c>
    </row>
    <row r="65" spans="1:8" hidden="1" x14ac:dyDescent="0.25">
      <c r="A65" s="1" t="s">
        <v>446</v>
      </c>
      <c r="B65" s="1" t="s">
        <v>552</v>
      </c>
      <c r="C65" s="1" t="s">
        <v>590</v>
      </c>
      <c r="D65" s="1" t="s">
        <v>554</v>
      </c>
      <c r="E65" s="2">
        <v>2.5</v>
      </c>
      <c r="F65" s="1">
        <f t="shared" si="0"/>
        <v>0.875</v>
      </c>
      <c r="G65" s="1">
        <v>0.375</v>
      </c>
      <c r="H65" s="1">
        <v>0.5</v>
      </c>
    </row>
    <row r="66" spans="1:8" hidden="1" x14ac:dyDescent="0.25">
      <c r="A66" s="1" t="s">
        <v>495</v>
      </c>
      <c r="B66" s="1" t="s">
        <v>552</v>
      </c>
      <c r="C66" s="1" t="s">
        <v>593</v>
      </c>
      <c r="D66" s="1" t="s">
        <v>554</v>
      </c>
      <c r="E66" s="2">
        <v>1</v>
      </c>
      <c r="F66" s="1">
        <f t="shared" si="0"/>
        <v>0.64500000000000002</v>
      </c>
      <c r="G66" s="1">
        <v>0.22499999999999998</v>
      </c>
      <c r="H66" s="1">
        <v>0.42</v>
      </c>
    </row>
    <row r="67" spans="1:8" hidden="1" x14ac:dyDescent="0.25">
      <c r="A67" s="1" t="s">
        <v>94</v>
      </c>
      <c r="B67" s="1" t="s">
        <v>552</v>
      </c>
      <c r="C67" s="1" t="s">
        <v>594</v>
      </c>
      <c r="D67" s="1" t="s">
        <v>595</v>
      </c>
      <c r="E67" s="2">
        <v>20</v>
      </c>
      <c r="F67" s="1">
        <f t="shared" ref="F67:F130" si="1">G67+H67</f>
        <v>0.8</v>
      </c>
      <c r="G67" s="1">
        <v>0.30000000000000004</v>
      </c>
      <c r="H67" s="1">
        <v>0.5</v>
      </c>
    </row>
    <row r="68" spans="1:8" hidden="1" x14ac:dyDescent="0.25">
      <c r="A68" s="1" t="s">
        <v>101</v>
      </c>
      <c r="B68" s="1" t="s">
        <v>552</v>
      </c>
      <c r="C68" s="1" t="s">
        <v>596</v>
      </c>
      <c r="D68" s="1" t="s">
        <v>554</v>
      </c>
      <c r="E68" s="2">
        <v>2.5</v>
      </c>
      <c r="F68" s="1">
        <f t="shared" si="1"/>
        <v>0.875</v>
      </c>
      <c r="G68" s="1">
        <v>0.375</v>
      </c>
      <c r="H68" s="1">
        <v>0.5</v>
      </c>
    </row>
    <row r="69" spans="1:8" hidden="1" x14ac:dyDescent="0.25">
      <c r="A69" s="1" t="s">
        <v>234</v>
      </c>
      <c r="B69" s="1" t="s">
        <v>552</v>
      </c>
      <c r="C69" s="1" t="s">
        <v>597</v>
      </c>
      <c r="D69" s="1" t="s">
        <v>554</v>
      </c>
      <c r="E69" s="2">
        <v>2.5</v>
      </c>
      <c r="F69" s="1">
        <f t="shared" si="1"/>
        <v>0.875</v>
      </c>
      <c r="G69" s="1">
        <v>0.375</v>
      </c>
      <c r="H69" s="1">
        <v>0.5</v>
      </c>
    </row>
    <row r="70" spans="1:8" hidden="1" x14ac:dyDescent="0.25">
      <c r="A70" s="1" t="s">
        <v>95</v>
      </c>
      <c r="B70" s="1" t="s">
        <v>552</v>
      </c>
      <c r="C70" s="1" t="s">
        <v>96</v>
      </c>
      <c r="D70" s="1" t="s">
        <v>554</v>
      </c>
      <c r="E70" s="2">
        <v>2</v>
      </c>
      <c r="F70" s="1">
        <f t="shared" si="1"/>
        <v>0.8</v>
      </c>
      <c r="G70" s="1">
        <v>0.30000000000000004</v>
      </c>
      <c r="H70" s="1">
        <v>0.5</v>
      </c>
    </row>
    <row r="71" spans="1:8" hidden="1" x14ac:dyDescent="0.25">
      <c r="A71" s="1" t="s">
        <v>89</v>
      </c>
      <c r="B71" s="1" t="s">
        <v>552</v>
      </c>
      <c r="C71" s="1" t="s">
        <v>598</v>
      </c>
      <c r="D71" s="1" t="s">
        <v>554</v>
      </c>
      <c r="E71" s="2">
        <v>2.5</v>
      </c>
      <c r="F71" s="1">
        <f t="shared" si="1"/>
        <v>0.875</v>
      </c>
      <c r="G71" s="1">
        <v>0.375</v>
      </c>
      <c r="H71" s="1">
        <v>0.5</v>
      </c>
    </row>
    <row r="72" spans="1:8" hidden="1" x14ac:dyDescent="0.25">
      <c r="A72" s="1" t="s">
        <v>599</v>
      </c>
      <c r="B72" s="1" t="s">
        <v>552</v>
      </c>
      <c r="C72" s="1" t="s">
        <v>600</v>
      </c>
      <c r="D72" s="1" t="s">
        <v>554</v>
      </c>
      <c r="E72" s="2">
        <v>2.5</v>
      </c>
      <c r="F72" s="1">
        <f t="shared" si="1"/>
        <v>0.875</v>
      </c>
      <c r="G72" s="1">
        <v>0.375</v>
      </c>
      <c r="H72" s="1">
        <v>0.5</v>
      </c>
    </row>
    <row r="73" spans="1:8" hidden="1" x14ac:dyDescent="0.25">
      <c r="A73" s="1" t="s">
        <v>452</v>
      </c>
      <c r="B73" s="1" t="s">
        <v>552</v>
      </c>
      <c r="C73" s="1" t="s">
        <v>601</v>
      </c>
      <c r="D73" s="1" t="s">
        <v>554</v>
      </c>
      <c r="E73" s="2">
        <v>2.5</v>
      </c>
      <c r="F73" s="1">
        <f t="shared" si="1"/>
        <v>0.875</v>
      </c>
      <c r="G73" s="1">
        <v>0.375</v>
      </c>
      <c r="H73" s="1">
        <v>0.5</v>
      </c>
    </row>
    <row r="74" spans="1:8" hidden="1" x14ac:dyDescent="0.25">
      <c r="A74" s="15" t="s">
        <v>535</v>
      </c>
      <c r="B74" s="1" t="s">
        <v>552</v>
      </c>
      <c r="C74" s="1" t="s">
        <v>602</v>
      </c>
      <c r="D74" s="1" t="s">
        <v>554</v>
      </c>
      <c r="E74" s="2">
        <v>2.5</v>
      </c>
      <c r="F74" s="1">
        <f t="shared" si="1"/>
        <v>0.875</v>
      </c>
      <c r="G74" s="1">
        <v>0.375</v>
      </c>
      <c r="H74" s="1">
        <v>0.5</v>
      </c>
    </row>
    <row r="75" spans="1:8" hidden="1" x14ac:dyDescent="0.25">
      <c r="A75" s="1" t="s">
        <v>542</v>
      </c>
      <c r="B75" s="1" t="s">
        <v>552</v>
      </c>
      <c r="C75" s="1" t="s">
        <v>603</v>
      </c>
      <c r="D75" s="1" t="s">
        <v>554</v>
      </c>
      <c r="E75" s="2">
        <v>1</v>
      </c>
      <c r="F75" s="1">
        <f t="shared" si="1"/>
        <v>0.64500000000000002</v>
      </c>
      <c r="G75" s="1">
        <v>0.22499999999999998</v>
      </c>
      <c r="H75" s="1">
        <v>0.42</v>
      </c>
    </row>
    <row r="76" spans="1:8" hidden="1" x14ac:dyDescent="0.25">
      <c r="A76" s="1" t="s">
        <v>496</v>
      </c>
      <c r="B76" s="1" t="s">
        <v>552</v>
      </c>
      <c r="C76" s="1" t="s">
        <v>604</v>
      </c>
      <c r="D76" s="1" t="s">
        <v>554</v>
      </c>
      <c r="E76" s="2">
        <v>2.5</v>
      </c>
      <c r="F76" s="1">
        <f t="shared" si="1"/>
        <v>0.875</v>
      </c>
      <c r="G76" s="1">
        <v>0.375</v>
      </c>
      <c r="H76" s="1">
        <v>0.5</v>
      </c>
    </row>
    <row r="77" spans="1:8" hidden="1" x14ac:dyDescent="0.25">
      <c r="A77" s="1" t="s">
        <v>442</v>
      </c>
      <c r="B77" s="1" t="s">
        <v>552</v>
      </c>
      <c r="C77" s="1" t="s">
        <v>607</v>
      </c>
      <c r="D77" s="1" t="s">
        <v>554</v>
      </c>
      <c r="E77" s="2">
        <v>2.5</v>
      </c>
      <c r="F77" s="1">
        <f t="shared" si="1"/>
        <v>0.875</v>
      </c>
      <c r="G77" s="1">
        <v>0.375</v>
      </c>
      <c r="H77" s="1">
        <v>0.5</v>
      </c>
    </row>
    <row r="78" spans="1:8" hidden="1" x14ac:dyDescent="0.25">
      <c r="A78" s="1" t="s">
        <v>74</v>
      </c>
      <c r="B78" s="1" t="s">
        <v>552</v>
      </c>
      <c r="C78" s="1" t="s">
        <v>608</v>
      </c>
      <c r="D78" s="1" t="s">
        <v>554</v>
      </c>
      <c r="E78" s="2">
        <v>1</v>
      </c>
      <c r="F78" s="1">
        <f t="shared" si="1"/>
        <v>1.75</v>
      </c>
      <c r="G78" s="1">
        <v>0.75</v>
      </c>
      <c r="H78" s="1">
        <v>1</v>
      </c>
    </row>
    <row r="79" spans="1:8" hidden="1" x14ac:dyDescent="0.25">
      <c r="A79" s="1" t="s">
        <v>87</v>
      </c>
      <c r="B79" s="1" t="s">
        <v>552</v>
      </c>
      <c r="C79" s="1" t="s">
        <v>609</v>
      </c>
      <c r="D79" s="1" t="s">
        <v>554</v>
      </c>
      <c r="E79" s="2">
        <v>2.5</v>
      </c>
      <c r="F79" s="1">
        <f t="shared" si="1"/>
        <v>0.875</v>
      </c>
      <c r="G79" s="1">
        <v>0.375</v>
      </c>
      <c r="H79" s="1">
        <v>0.5</v>
      </c>
    </row>
    <row r="80" spans="1:8" hidden="1" x14ac:dyDescent="0.25">
      <c r="A80" s="1" t="s">
        <v>514</v>
      </c>
      <c r="B80" s="1" t="s">
        <v>552</v>
      </c>
      <c r="C80" s="1" t="s">
        <v>612</v>
      </c>
      <c r="D80" s="1" t="s">
        <v>554</v>
      </c>
      <c r="E80" s="2">
        <v>2</v>
      </c>
      <c r="F80" s="1">
        <f t="shared" si="1"/>
        <v>0.8</v>
      </c>
      <c r="G80" s="1">
        <v>0.30000000000000004</v>
      </c>
      <c r="H80" s="1">
        <v>0.5</v>
      </c>
    </row>
    <row r="81" spans="1:8" hidden="1" x14ac:dyDescent="0.25">
      <c r="A81" s="1" t="s">
        <v>376</v>
      </c>
      <c r="B81" s="1" t="s">
        <v>552</v>
      </c>
      <c r="C81" s="1" t="s">
        <v>614</v>
      </c>
      <c r="D81" s="1" t="s">
        <v>554</v>
      </c>
      <c r="E81" s="2">
        <v>1</v>
      </c>
      <c r="F81" s="1">
        <f t="shared" si="1"/>
        <v>0.64500000000000002</v>
      </c>
      <c r="G81" s="1">
        <v>0.22499999999999998</v>
      </c>
      <c r="H81" s="1">
        <v>0.42</v>
      </c>
    </row>
    <row r="82" spans="1:8" hidden="1" x14ac:dyDescent="0.25">
      <c r="A82" s="1" t="s">
        <v>296</v>
      </c>
      <c r="B82" s="1" t="s">
        <v>552</v>
      </c>
      <c r="C82" s="1" t="s">
        <v>615</v>
      </c>
      <c r="D82" s="1" t="s">
        <v>554</v>
      </c>
      <c r="E82" s="2">
        <v>1</v>
      </c>
      <c r="F82" s="1">
        <f t="shared" si="1"/>
        <v>0.64500000000000002</v>
      </c>
      <c r="G82" s="1">
        <v>0.22499999999999998</v>
      </c>
      <c r="H82" s="1">
        <v>0.42</v>
      </c>
    </row>
    <row r="83" spans="1:8" hidden="1" x14ac:dyDescent="0.25">
      <c r="A83" s="1" t="s">
        <v>119</v>
      </c>
      <c r="B83" s="1" t="s">
        <v>552</v>
      </c>
      <c r="C83" s="1" t="s">
        <v>616</v>
      </c>
      <c r="D83" s="1" t="s">
        <v>554</v>
      </c>
      <c r="E83" s="2">
        <v>2.5</v>
      </c>
      <c r="F83" s="1">
        <f t="shared" si="1"/>
        <v>0.875</v>
      </c>
      <c r="G83" s="1">
        <v>0.375</v>
      </c>
      <c r="H83" s="1">
        <v>0.5</v>
      </c>
    </row>
    <row r="84" spans="1:8" hidden="1" x14ac:dyDescent="0.25">
      <c r="A84" s="1" t="s">
        <v>617</v>
      </c>
      <c r="B84" s="1" t="s">
        <v>552</v>
      </c>
      <c r="C84" s="1" t="s">
        <v>618</v>
      </c>
      <c r="D84" s="1" t="s">
        <v>554</v>
      </c>
      <c r="E84" s="2">
        <v>2.5</v>
      </c>
      <c r="F84" s="1">
        <f t="shared" si="1"/>
        <v>0.875</v>
      </c>
      <c r="G84" s="1">
        <v>0.375</v>
      </c>
      <c r="H84" s="1">
        <v>0.5</v>
      </c>
    </row>
    <row r="85" spans="1:8" hidden="1" x14ac:dyDescent="0.25">
      <c r="A85" s="1" t="s">
        <v>104</v>
      </c>
      <c r="B85" s="1" t="s">
        <v>552</v>
      </c>
      <c r="C85" s="1" t="s">
        <v>105</v>
      </c>
      <c r="D85" s="1" t="s">
        <v>554</v>
      </c>
      <c r="E85" s="2">
        <v>2</v>
      </c>
      <c r="F85" s="1">
        <f t="shared" si="1"/>
        <v>0.8</v>
      </c>
      <c r="G85" s="1">
        <v>0.30000000000000004</v>
      </c>
      <c r="H85" s="1">
        <v>0.5</v>
      </c>
    </row>
    <row r="86" spans="1:8" hidden="1" x14ac:dyDescent="0.25">
      <c r="A86" s="1" t="s">
        <v>29</v>
      </c>
      <c r="B86" s="1" t="s">
        <v>552</v>
      </c>
      <c r="C86" s="1" t="s">
        <v>621</v>
      </c>
      <c r="D86" s="1" t="s">
        <v>554</v>
      </c>
      <c r="E86" s="2">
        <v>1</v>
      </c>
      <c r="F86" s="1">
        <f t="shared" si="1"/>
        <v>1.75</v>
      </c>
      <c r="G86" s="1">
        <v>0.75</v>
      </c>
      <c r="H86" s="1">
        <v>1</v>
      </c>
    </row>
    <row r="87" spans="1:8" hidden="1" x14ac:dyDescent="0.25">
      <c r="A87" s="1" t="s">
        <v>393</v>
      </c>
      <c r="B87" s="1" t="s">
        <v>552</v>
      </c>
      <c r="C87" s="1" t="s">
        <v>394</v>
      </c>
      <c r="D87" s="1" t="s">
        <v>554</v>
      </c>
      <c r="E87" s="2">
        <v>1</v>
      </c>
      <c r="F87" s="1">
        <f t="shared" si="1"/>
        <v>0.64500000000000002</v>
      </c>
      <c r="G87" s="1">
        <v>0.22499999999999998</v>
      </c>
      <c r="H87" s="1">
        <v>0.42</v>
      </c>
    </row>
    <row r="88" spans="1:8" hidden="1" x14ac:dyDescent="0.25">
      <c r="A88" s="1" t="s">
        <v>623</v>
      </c>
      <c r="B88" s="1" t="s">
        <v>552</v>
      </c>
      <c r="C88" s="1" t="s">
        <v>624</v>
      </c>
      <c r="D88" s="1" t="s">
        <v>554</v>
      </c>
      <c r="E88" s="2">
        <v>3</v>
      </c>
      <c r="F88" s="1">
        <f t="shared" si="1"/>
        <v>0.8</v>
      </c>
      <c r="G88" s="1">
        <v>0.30000000000000004</v>
      </c>
      <c r="H88" s="1">
        <v>0.5</v>
      </c>
    </row>
    <row r="89" spans="1:8" hidden="1" x14ac:dyDescent="0.25">
      <c r="A89" s="1" t="s">
        <v>625</v>
      </c>
      <c r="B89" s="1" t="s">
        <v>552</v>
      </c>
      <c r="C89" s="1" t="s">
        <v>626</v>
      </c>
      <c r="D89" s="1" t="s">
        <v>554</v>
      </c>
      <c r="E89" s="2">
        <v>1</v>
      </c>
      <c r="F89" s="1">
        <f t="shared" si="1"/>
        <v>0.64500000000000002</v>
      </c>
      <c r="G89" s="1">
        <v>0.22499999999999998</v>
      </c>
      <c r="H89" s="1">
        <v>0.42</v>
      </c>
    </row>
    <row r="90" spans="1:8" hidden="1" x14ac:dyDescent="0.25">
      <c r="A90" s="1" t="s">
        <v>627</v>
      </c>
      <c r="B90" s="1" t="s">
        <v>552</v>
      </c>
      <c r="C90" s="1" t="s">
        <v>628</v>
      </c>
      <c r="D90" s="1" t="s">
        <v>554</v>
      </c>
      <c r="E90" s="2">
        <v>1</v>
      </c>
      <c r="F90" s="1">
        <f t="shared" si="1"/>
        <v>1.75</v>
      </c>
      <c r="G90" s="1">
        <v>0.75</v>
      </c>
      <c r="H90" s="1">
        <v>1</v>
      </c>
    </row>
    <row r="91" spans="1:8" hidden="1" x14ac:dyDescent="0.25">
      <c r="A91" s="1" t="s">
        <v>233</v>
      </c>
      <c r="B91" s="1" t="s">
        <v>552</v>
      </c>
      <c r="C91" s="1" t="s">
        <v>629</v>
      </c>
      <c r="D91" s="1" t="s">
        <v>554</v>
      </c>
      <c r="E91" s="2">
        <v>2.5</v>
      </c>
      <c r="F91" s="1">
        <f t="shared" si="1"/>
        <v>0.875</v>
      </c>
      <c r="G91" s="1">
        <v>0.375</v>
      </c>
      <c r="H91" s="1">
        <v>0.5</v>
      </c>
    </row>
    <row r="92" spans="1:8" hidden="1" x14ac:dyDescent="0.25">
      <c r="A92" s="1" t="s">
        <v>630</v>
      </c>
      <c r="B92" s="1" t="s">
        <v>552</v>
      </c>
      <c r="C92" s="1" t="s">
        <v>631</v>
      </c>
      <c r="D92" s="1" t="s">
        <v>554</v>
      </c>
      <c r="E92" s="2">
        <v>2.5</v>
      </c>
      <c r="F92" s="1">
        <f t="shared" si="1"/>
        <v>0.875</v>
      </c>
      <c r="G92" s="1">
        <v>0.375</v>
      </c>
      <c r="H92" s="1">
        <v>0.5</v>
      </c>
    </row>
    <row r="93" spans="1:8" hidden="1" x14ac:dyDescent="0.25">
      <c r="A93" s="1" t="s">
        <v>632</v>
      </c>
      <c r="B93" s="1" t="s">
        <v>552</v>
      </c>
      <c r="C93" s="1" t="s">
        <v>633</v>
      </c>
      <c r="D93" s="1" t="s">
        <v>554</v>
      </c>
      <c r="E93" s="2">
        <v>5</v>
      </c>
      <c r="F93" s="1">
        <f t="shared" si="1"/>
        <v>1.1850000000000001</v>
      </c>
      <c r="G93" s="1">
        <v>0.52499999999999991</v>
      </c>
      <c r="H93" s="1">
        <v>0.66</v>
      </c>
    </row>
    <row r="94" spans="1:8" hidden="1" x14ac:dyDescent="0.25">
      <c r="A94" s="1" t="s">
        <v>634</v>
      </c>
      <c r="B94" s="1" t="s">
        <v>552</v>
      </c>
      <c r="C94" s="1" t="s">
        <v>635</v>
      </c>
      <c r="D94" s="1" t="s">
        <v>554</v>
      </c>
      <c r="E94" s="2">
        <v>2.5</v>
      </c>
      <c r="F94" s="1">
        <f t="shared" si="1"/>
        <v>0.875</v>
      </c>
      <c r="G94" s="1">
        <v>0.375</v>
      </c>
      <c r="H94" s="1">
        <v>0.5</v>
      </c>
    </row>
    <row r="95" spans="1:8" hidden="1" x14ac:dyDescent="0.25">
      <c r="A95" s="1" t="s">
        <v>371</v>
      </c>
      <c r="B95" s="1" t="s">
        <v>552</v>
      </c>
      <c r="C95" s="1" t="s">
        <v>636</v>
      </c>
      <c r="D95" s="1" t="s">
        <v>554</v>
      </c>
      <c r="E95" s="2">
        <v>1</v>
      </c>
      <c r="F95" s="1">
        <f t="shared" si="1"/>
        <v>0.64500000000000002</v>
      </c>
      <c r="G95" s="1">
        <v>0.22499999999999998</v>
      </c>
      <c r="H95" s="1">
        <v>0.42</v>
      </c>
    </row>
    <row r="96" spans="1:8" hidden="1" x14ac:dyDescent="0.25">
      <c r="A96" s="1" t="s">
        <v>640</v>
      </c>
      <c r="B96" s="1" t="s">
        <v>552</v>
      </c>
      <c r="C96" s="1" t="s">
        <v>641</v>
      </c>
      <c r="D96" s="1" t="s">
        <v>554</v>
      </c>
      <c r="E96" s="2">
        <v>5</v>
      </c>
      <c r="F96" s="1">
        <f t="shared" si="1"/>
        <v>1.1850000000000001</v>
      </c>
      <c r="G96" s="1">
        <v>0.52499999999999991</v>
      </c>
      <c r="H96" s="1">
        <v>0.66</v>
      </c>
    </row>
    <row r="97" spans="1:8" hidden="1" x14ac:dyDescent="0.25">
      <c r="A97" s="1" t="s">
        <v>110</v>
      </c>
      <c r="B97" s="1" t="s">
        <v>552</v>
      </c>
      <c r="C97" s="1" t="s">
        <v>111</v>
      </c>
      <c r="D97" s="1" t="s">
        <v>554</v>
      </c>
      <c r="E97" s="2">
        <v>2</v>
      </c>
      <c r="F97" s="1">
        <f t="shared" si="1"/>
        <v>0.8</v>
      </c>
      <c r="G97" s="1">
        <v>0.30000000000000004</v>
      </c>
      <c r="H97" s="1">
        <v>0.5</v>
      </c>
    </row>
    <row r="98" spans="1:8" hidden="1" x14ac:dyDescent="0.25">
      <c r="A98" s="1" t="s">
        <v>642</v>
      </c>
      <c r="B98" s="1" t="s">
        <v>552</v>
      </c>
      <c r="C98" s="1" t="s">
        <v>643</v>
      </c>
      <c r="D98" s="1" t="s">
        <v>554</v>
      </c>
      <c r="E98" s="2">
        <v>2</v>
      </c>
      <c r="F98" s="1">
        <f t="shared" si="1"/>
        <v>0.8</v>
      </c>
      <c r="G98" s="1">
        <v>0.30000000000000004</v>
      </c>
      <c r="H98" s="1">
        <v>0.5</v>
      </c>
    </row>
    <row r="99" spans="1:8" hidden="1" x14ac:dyDescent="0.25">
      <c r="A99" s="1" t="s">
        <v>644</v>
      </c>
      <c r="B99" s="1" t="s">
        <v>552</v>
      </c>
      <c r="C99" s="1" t="s">
        <v>645</v>
      </c>
      <c r="D99" s="1" t="s">
        <v>554</v>
      </c>
      <c r="E99" s="2">
        <v>2</v>
      </c>
      <c r="F99" s="1">
        <f t="shared" si="1"/>
        <v>2.4299999999999997</v>
      </c>
      <c r="G99" s="1">
        <v>0.75</v>
      </c>
      <c r="H99" s="1">
        <v>1.68</v>
      </c>
    </row>
    <row r="100" spans="1:8" hidden="1" x14ac:dyDescent="0.25">
      <c r="A100" s="1" t="s">
        <v>441</v>
      </c>
      <c r="B100" s="1" t="s">
        <v>552</v>
      </c>
      <c r="C100" s="1" t="s">
        <v>649</v>
      </c>
      <c r="D100" s="1" t="s">
        <v>595</v>
      </c>
      <c r="E100" s="2">
        <v>20</v>
      </c>
      <c r="F100" s="1">
        <f t="shared" si="1"/>
        <v>0.8</v>
      </c>
      <c r="G100" s="1">
        <v>0.30000000000000004</v>
      </c>
      <c r="H100" s="1">
        <v>0.5</v>
      </c>
    </row>
    <row r="101" spans="1:8" hidden="1" x14ac:dyDescent="0.25">
      <c r="A101" s="1" t="s">
        <v>262</v>
      </c>
      <c r="B101" s="1" t="s">
        <v>552</v>
      </c>
      <c r="C101" s="1" t="s">
        <v>652</v>
      </c>
      <c r="D101" s="1" t="s">
        <v>554</v>
      </c>
      <c r="E101" s="2">
        <v>0.3</v>
      </c>
      <c r="F101" s="1">
        <f t="shared" si="1"/>
        <v>0.47499999999999998</v>
      </c>
      <c r="G101" s="1">
        <v>0.22499999999999998</v>
      </c>
      <c r="H101" s="62">
        <v>0.25</v>
      </c>
    </row>
    <row r="102" spans="1:8" hidden="1" x14ac:dyDescent="0.25">
      <c r="A102" s="1" t="s">
        <v>653</v>
      </c>
      <c r="B102" s="1" t="s">
        <v>552</v>
      </c>
      <c r="C102" s="1" t="s">
        <v>654</v>
      </c>
      <c r="D102" s="1" t="s">
        <v>554</v>
      </c>
      <c r="E102" s="2">
        <v>5</v>
      </c>
      <c r="F102" s="1">
        <f t="shared" si="1"/>
        <v>1.1850000000000001</v>
      </c>
      <c r="G102" s="1">
        <v>0.52499999999999991</v>
      </c>
      <c r="H102" s="1">
        <v>0.66</v>
      </c>
    </row>
    <row r="103" spans="1:8" hidden="1" x14ac:dyDescent="0.25">
      <c r="A103" s="1" t="s">
        <v>432</v>
      </c>
      <c r="B103" s="1" t="s">
        <v>552</v>
      </c>
      <c r="C103" s="1" t="s">
        <v>433</v>
      </c>
      <c r="D103" s="1" t="s">
        <v>554</v>
      </c>
      <c r="E103" s="2">
        <v>2</v>
      </c>
      <c r="F103" s="1">
        <f t="shared" si="1"/>
        <v>1.44</v>
      </c>
      <c r="G103" s="1">
        <v>0.60000000000000009</v>
      </c>
      <c r="H103" s="1">
        <v>0.84</v>
      </c>
    </row>
    <row r="104" spans="1:8" hidden="1" x14ac:dyDescent="0.25">
      <c r="A104" s="15" t="s">
        <v>279</v>
      </c>
      <c r="B104" s="1" t="s">
        <v>552</v>
      </c>
      <c r="C104" s="1" t="s">
        <v>655</v>
      </c>
      <c r="D104" s="1" t="s">
        <v>554</v>
      </c>
      <c r="E104" s="2">
        <v>1</v>
      </c>
      <c r="F104" s="1">
        <f t="shared" si="1"/>
        <v>1.0499999999999998</v>
      </c>
      <c r="G104" s="1">
        <v>0.44999999999999996</v>
      </c>
      <c r="H104" s="1">
        <v>0.6</v>
      </c>
    </row>
    <row r="105" spans="1:8" hidden="1" x14ac:dyDescent="0.25">
      <c r="A105" s="2" t="s">
        <v>657</v>
      </c>
      <c r="B105" s="1" t="s">
        <v>656</v>
      </c>
      <c r="C105" s="1" t="s">
        <v>658</v>
      </c>
      <c r="D105" s="1" t="s">
        <v>554</v>
      </c>
      <c r="E105" s="2">
        <v>1</v>
      </c>
      <c r="F105" s="1">
        <f t="shared" si="1"/>
        <v>0.64166666666666661</v>
      </c>
      <c r="G105" s="1">
        <v>0.22499999999999998</v>
      </c>
      <c r="H105" s="1">
        <v>0.41666666666666669</v>
      </c>
    </row>
    <row r="106" spans="1:8" hidden="1" x14ac:dyDescent="0.25">
      <c r="A106" s="2" t="s">
        <v>201</v>
      </c>
      <c r="B106" s="1" t="s">
        <v>656</v>
      </c>
      <c r="C106" s="1" t="s">
        <v>659</v>
      </c>
      <c r="D106" s="1" t="s">
        <v>554</v>
      </c>
      <c r="E106" s="2">
        <v>1</v>
      </c>
      <c r="F106" s="1">
        <f t="shared" si="1"/>
        <v>0.64166666666666661</v>
      </c>
      <c r="G106" s="1">
        <v>0.22499999999999998</v>
      </c>
      <c r="H106" s="1">
        <v>0.41666666666666669</v>
      </c>
    </row>
    <row r="107" spans="1:8" hidden="1" x14ac:dyDescent="0.25">
      <c r="A107" s="2" t="s">
        <v>660</v>
      </c>
      <c r="B107" s="1" t="s">
        <v>656</v>
      </c>
      <c r="C107" s="1" t="s">
        <v>661</v>
      </c>
      <c r="D107" s="1" t="s">
        <v>554</v>
      </c>
      <c r="E107" s="2">
        <v>1</v>
      </c>
      <c r="F107" s="1">
        <f t="shared" si="1"/>
        <v>0.64166666666666661</v>
      </c>
      <c r="G107" s="1">
        <v>0.22499999999999998</v>
      </c>
      <c r="H107" s="1">
        <v>0.41666666666666669</v>
      </c>
    </row>
    <row r="108" spans="1:8" hidden="1" x14ac:dyDescent="0.25">
      <c r="A108" s="2" t="s">
        <v>662</v>
      </c>
      <c r="B108" s="1" t="s">
        <v>656</v>
      </c>
      <c r="C108" s="1" t="s">
        <v>663</v>
      </c>
      <c r="D108" s="1" t="s">
        <v>554</v>
      </c>
      <c r="E108" s="2">
        <v>1</v>
      </c>
      <c r="F108" s="1">
        <f t="shared" si="1"/>
        <v>0.64166666666666661</v>
      </c>
      <c r="G108" s="1">
        <v>0.22499999999999998</v>
      </c>
      <c r="H108" s="1">
        <v>0.41666666666666669</v>
      </c>
    </row>
    <row r="109" spans="1:8" hidden="1" x14ac:dyDescent="0.25">
      <c r="A109" s="2" t="s">
        <v>664</v>
      </c>
      <c r="B109" s="1" t="s">
        <v>656</v>
      </c>
      <c r="C109" s="1" t="s">
        <v>665</v>
      </c>
      <c r="D109" s="1" t="s">
        <v>554</v>
      </c>
      <c r="E109" s="2">
        <v>2.5</v>
      </c>
      <c r="F109" s="1">
        <f t="shared" si="1"/>
        <v>0.875</v>
      </c>
      <c r="G109" s="1">
        <v>0.375</v>
      </c>
      <c r="H109" s="1">
        <v>0.5</v>
      </c>
    </row>
    <row r="110" spans="1:8" hidden="1" x14ac:dyDescent="0.25">
      <c r="A110" s="2" t="s">
        <v>533</v>
      </c>
      <c r="B110" s="1" t="s">
        <v>656</v>
      </c>
      <c r="C110" s="1" t="s">
        <v>534</v>
      </c>
      <c r="D110" s="1" t="s">
        <v>554</v>
      </c>
      <c r="E110" s="2">
        <v>2.5</v>
      </c>
      <c r="F110" s="1">
        <f t="shared" si="1"/>
        <v>0.875</v>
      </c>
      <c r="G110" s="1">
        <v>0.375</v>
      </c>
      <c r="H110" s="1">
        <v>0.5</v>
      </c>
    </row>
    <row r="111" spans="1:8" hidden="1" x14ac:dyDescent="0.25">
      <c r="A111" s="2" t="s">
        <v>666</v>
      </c>
      <c r="B111" s="1" t="s">
        <v>656</v>
      </c>
      <c r="C111" s="1" t="s">
        <v>667</v>
      </c>
      <c r="D111" s="1" t="s">
        <v>554</v>
      </c>
      <c r="E111" s="2">
        <v>1</v>
      </c>
      <c r="F111" s="1">
        <f t="shared" si="1"/>
        <v>0.64166666666666661</v>
      </c>
      <c r="G111" s="1">
        <v>0.22499999999999998</v>
      </c>
      <c r="H111" s="1">
        <v>0.41666666666666669</v>
      </c>
    </row>
    <row r="112" spans="1:8" hidden="1" x14ac:dyDescent="0.25">
      <c r="A112" s="2" t="s">
        <v>668</v>
      </c>
      <c r="B112" s="1" t="s">
        <v>656</v>
      </c>
      <c r="C112" s="1" t="s">
        <v>669</v>
      </c>
      <c r="D112" s="1" t="s">
        <v>554</v>
      </c>
      <c r="E112" s="2">
        <v>2.5</v>
      </c>
      <c r="F112" s="1">
        <f t="shared" si="1"/>
        <v>0.875</v>
      </c>
      <c r="G112" s="1">
        <v>0.375</v>
      </c>
      <c r="H112" s="1">
        <v>0.5</v>
      </c>
    </row>
    <row r="113" spans="1:8" hidden="1" x14ac:dyDescent="0.25">
      <c r="A113" s="2" t="s">
        <v>320</v>
      </c>
      <c r="B113" s="1" t="s">
        <v>656</v>
      </c>
      <c r="C113" s="1" t="s">
        <v>670</v>
      </c>
      <c r="D113" s="1" t="s">
        <v>554</v>
      </c>
      <c r="E113" s="2">
        <v>1</v>
      </c>
      <c r="F113" s="1">
        <f t="shared" si="1"/>
        <v>0.64166666666666661</v>
      </c>
      <c r="G113" s="1">
        <v>0.22499999999999998</v>
      </c>
      <c r="H113" s="1">
        <v>0.41666666666666669</v>
      </c>
    </row>
    <row r="114" spans="1:8" hidden="1" x14ac:dyDescent="0.25">
      <c r="A114" s="2" t="s">
        <v>671</v>
      </c>
      <c r="B114" s="1" t="s">
        <v>656</v>
      </c>
      <c r="C114" s="1" t="s">
        <v>672</v>
      </c>
      <c r="D114" s="1" t="s">
        <v>554</v>
      </c>
      <c r="E114" s="2">
        <v>2.5</v>
      </c>
      <c r="F114" s="1">
        <f t="shared" si="1"/>
        <v>0.875</v>
      </c>
      <c r="G114" s="1">
        <v>0.375</v>
      </c>
      <c r="H114" s="1">
        <v>0.5</v>
      </c>
    </row>
    <row r="115" spans="1:8" hidden="1" x14ac:dyDescent="0.25">
      <c r="A115" s="2" t="s">
        <v>319</v>
      </c>
      <c r="B115" s="1" t="s">
        <v>656</v>
      </c>
      <c r="C115" s="1" t="s">
        <v>673</v>
      </c>
      <c r="D115" s="1" t="s">
        <v>554</v>
      </c>
      <c r="E115" s="2">
        <v>0.25</v>
      </c>
      <c r="F115" s="1">
        <f t="shared" si="1"/>
        <v>0.47499999999999998</v>
      </c>
      <c r="G115" s="1">
        <v>0.22499999999999998</v>
      </c>
      <c r="H115" s="62">
        <v>0.25</v>
      </c>
    </row>
    <row r="116" spans="1:8" hidden="1" x14ac:dyDescent="0.25">
      <c r="A116" s="2" t="s">
        <v>292</v>
      </c>
      <c r="B116" s="1" t="s">
        <v>656</v>
      </c>
      <c r="C116" s="1" t="s">
        <v>674</v>
      </c>
      <c r="D116" s="1" t="s">
        <v>554</v>
      </c>
      <c r="E116" s="2">
        <v>1</v>
      </c>
      <c r="F116" s="1">
        <f t="shared" si="1"/>
        <v>0.64166666666666661</v>
      </c>
      <c r="G116" s="1">
        <v>0.22499999999999998</v>
      </c>
      <c r="H116" s="1">
        <v>0.41666666666666669</v>
      </c>
    </row>
    <row r="117" spans="1:8" hidden="1" x14ac:dyDescent="0.25">
      <c r="A117" s="2" t="s">
        <v>675</v>
      </c>
      <c r="B117" s="1" t="s">
        <v>656</v>
      </c>
      <c r="C117" s="1" t="s">
        <v>676</v>
      </c>
      <c r="D117" s="1" t="s">
        <v>554</v>
      </c>
      <c r="E117" s="2">
        <v>2.5</v>
      </c>
      <c r="F117" s="1">
        <f t="shared" si="1"/>
        <v>0.875</v>
      </c>
      <c r="G117" s="1">
        <v>0.375</v>
      </c>
      <c r="H117" s="1">
        <v>0.5</v>
      </c>
    </row>
    <row r="118" spans="1:8" hidden="1" x14ac:dyDescent="0.25">
      <c r="A118" s="2" t="s">
        <v>677</v>
      </c>
      <c r="B118" s="1" t="s">
        <v>656</v>
      </c>
      <c r="C118" s="1" t="s">
        <v>678</v>
      </c>
      <c r="D118" s="1" t="s">
        <v>554</v>
      </c>
      <c r="E118" s="2">
        <v>1</v>
      </c>
      <c r="F118" s="1">
        <f t="shared" si="1"/>
        <v>0.64166666666666661</v>
      </c>
      <c r="G118" s="1">
        <v>0.22499999999999998</v>
      </c>
      <c r="H118" s="1">
        <v>0.41666666666666669</v>
      </c>
    </row>
    <row r="119" spans="1:8" hidden="1" x14ac:dyDescent="0.25">
      <c r="A119" s="2" t="s">
        <v>679</v>
      </c>
      <c r="B119" s="1" t="s">
        <v>656</v>
      </c>
      <c r="C119" s="1" t="s">
        <v>680</v>
      </c>
      <c r="D119" s="1" t="s">
        <v>554</v>
      </c>
      <c r="E119" s="2">
        <v>2.5</v>
      </c>
      <c r="F119" s="1">
        <f t="shared" si="1"/>
        <v>0.875</v>
      </c>
      <c r="G119" s="1">
        <v>0.375</v>
      </c>
      <c r="H119" s="1">
        <v>0.5</v>
      </c>
    </row>
    <row r="120" spans="1:8" hidden="1" x14ac:dyDescent="0.25">
      <c r="A120" s="2" t="s">
        <v>681</v>
      </c>
      <c r="B120" s="1" t="s">
        <v>656</v>
      </c>
      <c r="C120" s="1" t="s">
        <v>682</v>
      </c>
      <c r="D120" s="1" t="s">
        <v>554</v>
      </c>
      <c r="E120" s="2">
        <v>2.5</v>
      </c>
      <c r="F120" s="1">
        <f t="shared" si="1"/>
        <v>0.875</v>
      </c>
      <c r="G120" s="1">
        <v>0.375</v>
      </c>
      <c r="H120" s="1">
        <v>0.5</v>
      </c>
    </row>
    <row r="121" spans="1:8" hidden="1" x14ac:dyDescent="0.25">
      <c r="A121" s="2" t="s">
        <v>683</v>
      </c>
      <c r="B121" s="1" t="s">
        <v>656</v>
      </c>
      <c r="C121" s="1" t="s">
        <v>684</v>
      </c>
      <c r="D121" s="1" t="s">
        <v>554</v>
      </c>
      <c r="E121" s="2">
        <v>1</v>
      </c>
      <c r="F121" s="1">
        <f t="shared" si="1"/>
        <v>0.64166666666666661</v>
      </c>
      <c r="G121" s="1">
        <v>0.22499999999999998</v>
      </c>
      <c r="H121" s="1">
        <v>0.41666666666666669</v>
      </c>
    </row>
    <row r="122" spans="1:8" hidden="1" x14ac:dyDescent="0.25">
      <c r="A122" s="2" t="s">
        <v>685</v>
      </c>
      <c r="B122" s="1" t="s">
        <v>656</v>
      </c>
      <c r="C122" s="1" t="s">
        <v>686</v>
      </c>
      <c r="D122" s="1" t="s">
        <v>554</v>
      </c>
      <c r="E122" s="2">
        <v>2.5</v>
      </c>
      <c r="F122" s="1">
        <f t="shared" si="1"/>
        <v>0.875</v>
      </c>
      <c r="G122" s="1">
        <v>0.375</v>
      </c>
      <c r="H122" s="1">
        <v>0.5</v>
      </c>
    </row>
    <row r="123" spans="1:8" hidden="1" x14ac:dyDescent="0.25">
      <c r="A123" s="2" t="s">
        <v>493</v>
      </c>
      <c r="B123" s="1" t="s">
        <v>656</v>
      </c>
      <c r="C123" s="1" t="s">
        <v>494</v>
      </c>
      <c r="D123" s="1" t="s">
        <v>554</v>
      </c>
      <c r="E123" s="2">
        <v>1</v>
      </c>
      <c r="F123" s="1">
        <f t="shared" si="1"/>
        <v>0.64166666666666661</v>
      </c>
      <c r="G123" s="1">
        <v>0.22499999999999998</v>
      </c>
      <c r="H123" s="1">
        <v>0.41666666666666669</v>
      </c>
    </row>
    <row r="124" spans="1:8" hidden="1" x14ac:dyDescent="0.25">
      <c r="A124" s="2" t="s">
        <v>687</v>
      </c>
      <c r="B124" s="1" t="s">
        <v>656</v>
      </c>
      <c r="C124" s="1" t="s">
        <v>688</v>
      </c>
      <c r="D124" s="1" t="s">
        <v>554</v>
      </c>
      <c r="E124" s="2">
        <v>2.5</v>
      </c>
      <c r="F124" s="1">
        <f t="shared" si="1"/>
        <v>0.875</v>
      </c>
      <c r="G124" s="1">
        <v>0.375</v>
      </c>
      <c r="H124" s="1">
        <v>0.5</v>
      </c>
    </row>
    <row r="125" spans="1:8" hidden="1" x14ac:dyDescent="0.25">
      <c r="A125" s="2" t="s">
        <v>689</v>
      </c>
      <c r="B125" s="1" t="s">
        <v>656</v>
      </c>
      <c r="C125" s="1" t="s">
        <v>690</v>
      </c>
      <c r="D125" s="1" t="s">
        <v>554</v>
      </c>
      <c r="E125" s="2">
        <v>1</v>
      </c>
      <c r="F125" s="1">
        <f t="shared" si="1"/>
        <v>0.64166666666666661</v>
      </c>
      <c r="G125" s="1">
        <v>0.22499999999999998</v>
      </c>
      <c r="H125" s="1">
        <v>0.41666666666666669</v>
      </c>
    </row>
    <row r="126" spans="1:8" hidden="1" x14ac:dyDescent="0.25">
      <c r="A126" s="2" t="s">
        <v>381</v>
      </c>
      <c r="B126" s="1" t="s">
        <v>656</v>
      </c>
      <c r="C126" s="1" t="s">
        <v>382</v>
      </c>
      <c r="D126" s="1" t="s">
        <v>554</v>
      </c>
      <c r="E126" s="2">
        <v>2.5</v>
      </c>
      <c r="F126" s="1">
        <f t="shared" si="1"/>
        <v>0.875</v>
      </c>
      <c r="G126" s="1">
        <v>0.375</v>
      </c>
      <c r="H126" s="1">
        <v>0.5</v>
      </c>
    </row>
    <row r="127" spans="1:8" hidden="1" x14ac:dyDescent="0.25">
      <c r="A127" s="2" t="s">
        <v>691</v>
      </c>
      <c r="B127" s="1" t="s">
        <v>656</v>
      </c>
      <c r="C127" s="1" t="s">
        <v>692</v>
      </c>
      <c r="D127" s="1" t="s">
        <v>554</v>
      </c>
      <c r="E127" s="2">
        <v>1</v>
      </c>
      <c r="F127" s="1">
        <f t="shared" si="1"/>
        <v>0.64166666666666661</v>
      </c>
      <c r="G127" s="1">
        <v>0.22499999999999998</v>
      </c>
      <c r="H127" s="1">
        <v>0.41666666666666669</v>
      </c>
    </row>
    <row r="128" spans="1:8" hidden="1" x14ac:dyDescent="0.25">
      <c r="A128" s="2" t="s">
        <v>693</v>
      </c>
      <c r="B128" s="1" t="s">
        <v>656</v>
      </c>
      <c r="C128" s="1" t="s">
        <v>694</v>
      </c>
      <c r="D128" s="1" t="s">
        <v>554</v>
      </c>
      <c r="E128" s="2">
        <v>2.5</v>
      </c>
      <c r="F128" s="1">
        <f t="shared" si="1"/>
        <v>0.875</v>
      </c>
      <c r="G128" s="1">
        <v>0.375</v>
      </c>
      <c r="H128" s="1">
        <v>0.5</v>
      </c>
    </row>
    <row r="129" spans="1:8" hidden="1" x14ac:dyDescent="0.25">
      <c r="A129" s="2" t="s">
        <v>363</v>
      </c>
      <c r="B129" s="1" t="s">
        <v>656</v>
      </c>
      <c r="C129" s="1" t="s">
        <v>364</v>
      </c>
      <c r="D129" s="1" t="s">
        <v>554</v>
      </c>
      <c r="E129" s="2">
        <v>1</v>
      </c>
      <c r="F129" s="1">
        <f t="shared" si="1"/>
        <v>0.64166666666666661</v>
      </c>
      <c r="G129" s="1">
        <v>0.22499999999999998</v>
      </c>
      <c r="H129" s="1">
        <v>0.41666666666666669</v>
      </c>
    </row>
    <row r="130" spans="1:8" hidden="1" x14ac:dyDescent="0.25">
      <c r="A130" s="2" t="s">
        <v>361</v>
      </c>
      <c r="B130" s="1" t="s">
        <v>656</v>
      </c>
      <c r="C130" s="1" t="s">
        <v>362</v>
      </c>
      <c r="D130" s="1" t="s">
        <v>554</v>
      </c>
      <c r="E130" s="2">
        <v>2.5</v>
      </c>
      <c r="F130" s="1">
        <f t="shared" si="1"/>
        <v>0.875</v>
      </c>
      <c r="G130" s="1">
        <v>0.375</v>
      </c>
      <c r="H130" s="1">
        <v>0.5</v>
      </c>
    </row>
    <row r="131" spans="1:8" hidden="1" x14ac:dyDescent="0.25">
      <c r="A131" s="2" t="s">
        <v>695</v>
      </c>
      <c r="B131" s="1" t="s">
        <v>656</v>
      </c>
      <c r="C131" s="1" t="s">
        <v>696</v>
      </c>
      <c r="D131" s="1" t="s">
        <v>554</v>
      </c>
      <c r="E131" s="2">
        <v>1</v>
      </c>
      <c r="F131" s="1">
        <f t="shared" ref="F131:F194" si="2">G131+H131</f>
        <v>0.64166666666666661</v>
      </c>
      <c r="G131" s="1">
        <v>0.22499999999999998</v>
      </c>
      <c r="H131" s="1">
        <v>0.41666666666666669</v>
      </c>
    </row>
    <row r="132" spans="1:8" hidden="1" x14ac:dyDescent="0.25">
      <c r="A132" s="2" t="s">
        <v>697</v>
      </c>
      <c r="B132" s="1" t="s">
        <v>656</v>
      </c>
      <c r="C132" s="1" t="s">
        <v>698</v>
      </c>
      <c r="D132" s="1" t="s">
        <v>554</v>
      </c>
      <c r="E132" s="2">
        <v>2.5</v>
      </c>
      <c r="F132" s="1">
        <f t="shared" si="2"/>
        <v>0.875</v>
      </c>
      <c r="G132" s="1">
        <v>0.375</v>
      </c>
      <c r="H132" s="1">
        <v>0.5</v>
      </c>
    </row>
    <row r="133" spans="1:8" hidden="1" x14ac:dyDescent="0.25">
      <c r="A133" s="2" t="s">
        <v>359</v>
      </c>
      <c r="B133" s="1" t="s">
        <v>656</v>
      </c>
      <c r="C133" s="1" t="s">
        <v>360</v>
      </c>
      <c r="D133" s="1" t="s">
        <v>554</v>
      </c>
      <c r="E133" s="2">
        <v>1</v>
      </c>
      <c r="F133" s="1">
        <f t="shared" si="2"/>
        <v>0.64166666666666661</v>
      </c>
      <c r="G133" s="1">
        <v>0.22499999999999998</v>
      </c>
      <c r="H133" s="1">
        <v>0.41666666666666669</v>
      </c>
    </row>
    <row r="134" spans="1:8" hidden="1" x14ac:dyDescent="0.25">
      <c r="A134" s="2" t="s">
        <v>357</v>
      </c>
      <c r="B134" s="1" t="s">
        <v>656</v>
      </c>
      <c r="C134" s="1" t="s">
        <v>358</v>
      </c>
      <c r="D134" s="1" t="s">
        <v>554</v>
      </c>
      <c r="E134" s="2">
        <v>2.5</v>
      </c>
      <c r="F134" s="1">
        <f t="shared" si="2"/>
        <v>0.875</v>
      </c>
      <c r="G134" s="1">
        <v>0.375</v>
      </c>
      <c r="H134" s="1">
        <v>0.5</v>
      </c>
    </row>
    <row r="135" spans="1:8" hidden="1" x14ac:dyDescent="0.25">
      <c r="A135" s="2" t="s">
        <v>699</v>
      </c>
      <c r="B135" s="1" t="s">
        <v>656</v>
      </c>
      <c r="C135" s="1" t="s">
        <v>700</v>
      </c>
      <c r="D135" s="1" t="s">
        <v>554</v>
      </c>
      <c r="E135" s="2">
        <v>1</v>
      </c>
      <c r="F135" s="1">
        <f t="shared" si="2"/>
        <v>0.64166666666666661</v>
      </c>
      <c r="G135" s="1">
        <v>0.22499999999999998</v>
      </c>
      <c r="H135" s="1">
        <v>0.41666666666666669</v>
      </c>
    </row>
    <row r="136" spans="1:8" hidden="1" x14ac:dyDescent="0.25">
      <c r="A136" s="2" t="s">
        <v>355</v>
      </c>
      <c r="B136" s="1" t="s">
        <v>656</v>
      </c>
      <c r="C136" s="1" t="s">
        <v>356</v>
      </c>
      <c r="D136" s="1" t="s">
        <v>554</v>
      </c>
      <c r="E136" s="2">
        <v>2.5</v>
      </c>
      <c r="F136" s="1">
        <f t="shared" si="2"/>
        <v>0.875</v>
      </c>
      <c r="G136" s="1">
        <v>0.375</v>
      </c>
      <c r="H136" s="1">
        <v>0.5</v>
      </c>
    </row>
    <row r="137" spans="1:8" hidden="1" x14ac:dyDescent="0.25">
      <c r="A137" s="2" t="s">
        <v>491</v>
      </c>
      <c r="B137" s="1" t="s">
        <v>656</v>
      </c>
      <c r="C137" s="1" t="s">
        <v>492</v>
      </c>
      <c r="D137" s="1" t="s">
        <v>554</v>
      </c>
      <c r="E137" s="2">
        <v>1</v>
      </c>
      <c r="F137" s="1">
        <f t="shared" si="2"/>
        <v>0.64166666666666661</v>
      </c>
      <c r="G137" s="1">
        <v>0.22499999999999998</v>
      </c>
      <c r="H137" s="1">
        <v>0.41666666666666669</v>
      </c>
    </row>
    <row r="138" spans="1:8" hidden="1" x14ac:dyDescent="0.25">
      <c r="A138" s="2" t="s">
        <v>701</v>
      </c>
      <c r="B138" s="1" t="s">
        <v>656</v>
      </c>
      <c r="C138" s="1" t="s">
        <v>702</v>
      </c>
      <c r="D138" s="1" t="s">
        <v>554</v>
      </c>
      <c r="E138" s="2">
        <v>2.5</v>
      </c>
      <c r="F138" s="1">
        <f t="shared" si="2"/>
        <v>0.875</v>
      </c>
      <c r="G138" s="1">
        <v>0.375</v>
      </c>
      <c r="H138" s="1">
        <v>0.5</v>
      </c>
    </row>
    <row r="139" spans="1:8" hidden="1" x14ac:dyDescent="0.25">
      <c r="A139" s="2" t="s">
        <v>427</v>
      </c>
      <c r="B139" s="1" t="s">
        <v>656</v>
      </c>
      <c r="C139" s="1" t="s">
        <v>428</v>
      </c>
      <c r="D139" s="1" t="s">
        <v>554</v>
      </c>
      <c r="E139" s="2">
        <v>1</v>
      </c>
      <c r="F139" s="1">
        <f t="shared" si="2"/>
        <v>0.64166666666666661</v>
      </c>
      <c r="G139" s="1">
        <v>0.22499999999999998</v>
      </c>
      <c r="H139" s="1">
        <v>0.41666666666666669</v>
      </c>
    </row>
    <row r="140" spans="1:8" hidden="1" x14ac:dyDescent="0.25">
      <c r="A140" s="2" t="s">
        <v>351</v>
      </c>
      <c r="B140" s="1" t="s">
        <v>656</v>
      </c>
      <c r="C140" s="1" t="s">
        <v>352</v>
      </c>
      <c r="D140" s="1" t="s">
        <v>554</v>
      </c>
      <c r="E140" s="2">
        <v>2.5</v>
      </c>
      <c r="F140" s="1">
        <f t="shared" si="2"/>
        <v>0.875</v>
      </c>
      <c r="G140" s="1">
        <v>0.375</v>
      </c>
      <c r="H140" s="1">
        <v>0.5</v>
      </c>
    </row>
    <row r="141" spans="1:8" hidden="1" x14ac:dyDescent="0.25">
      <c r="A141" s="2" t="s">
        <v>703</v>
      </c>
      <c r="B141" s="1" t="s">
        <v>656</v>
      </c>
      <c r="C141" s="1" t="s">
        <v>704</v>
      </c>
      <c r="D141" s="1" t="s">
        <v>554</v>
      </c>
      <c r="E141" s="2">
        <v>1</v>
      </c>
      <c r="F141" s="1">
        <f t="shared" si="2"/>
        <v>0.64166666666666661</v>
      </c>
      <c r="G141" s="1">
        <v>0.22499999999999998</v>
      </c>
      <c r="H141" s="1">
        <v>0.41666666666666669</v>
      </c>
    </row>
    <row r="142" spans="1:8" hidden="1" x14ac:dyDescent="0.25">
      <c r="A142" s="2" t="s">
        <v>705</v>
      </c>
      <c r="B142" s="1" t="s">
        <v>656</v>
      </c>
      <c r="C142" s="1" t="s">
        <v>706</v>
      </c>
      <c r="D142" s="1" t="s">
        <v>554</v>
      </c>
      <c r="E142" s="2">
        <v>2.5</v>
      </c>
      <c r="F142" s="1">
        <f t="shared" si="2"/>
        <v>0.875</v>
      </c>
      <c r="G142" s="1">
        <v>0.375</v>
      </c>
      <c r="H142" s="1">
        <v>0.5</v>
      </c>
    </row>
    <row r="143" spans="1:8" hidden="1" x14ac:dyDescent="0.25">
      <c r="A143" s="2" t="s">
        <v>707</v>
      </c>
      <c r="B143" s="1" t="s">
        <v>656</v>
      </c>
      <c r="C143" s="1" t="s">
        <v>708</v>
      </c>
      <c r="D143" s="1" t="s">
        <v>554</v>
      </c>
      <c r="E143" s="2">
        <v>1</v>
      </c>
      <c r="F143" s="1">
        <f t="shared" si="2"/>
        <v>0.64166666666666661</v>
      </c>
      <c r="G143" s="1">
        <v>0.22499999999999998</v>
      </c>
      <c r="H143" s="1">
        <v>0.41666666666666669</v>
      </c>
    </row>
    <row r="144" spans="1:8" hidden="1" x14ac:dyDescent="0.25">
      <c r="A144" s="2" t="s">
        <v>349</v>
      </c>
      <c r="B144" s="1" t="s">
        <v>656</v>
      </c>
      <c r="C144" s="1" t="s">
        <v>350</v>
      </c>
      <c r="D144" s="1" t="s">
        <v>554</v>
      </c>
      <c r="E144" s="2">
        <v>2.5</v>
      </c>
      <c r="F144" s="1">
        <f t="shared" si="2"/>
        <v>0.875</v>
      </c>
      <c r="G144" s="1">
        <v>0.375</v>
      </c>
      <c r="H144" s="1">
        <v>0.5</v>
      </c>
    </row>
    <row r="145" spans="1:8" hidden="1" x14ac:dyDescent="0.25">
      <c r="A145" s="2" t="s">
        <v>425</v>
      </c>
      <c r="B145" s="1" t="s">
        <v>656</v>
      </c>
      <c r="C145" s="1" t="s">
        <v>426</v>
      </c>
      <c r="D145" s="1" t="s">
        <v>554</v>
      </c>
      <c r="E145" s="2">
        <v>1</v>
      </c>
      <c r="F145" s="1">
        <f t="shared" si="2"/>
        <v>0.64166666666666661</v>
      </c>
      <c r="G145" s="1">
        <v>0.22499999999999998</v>
      </c>
      <c r="H145" s="1">
        <v>0.41666666666666669</v>
      </c>
    </row>
    <row r="146" spans="1:8" hidden="1" x14ac:dyDescent="0.25">
      <c r="A146" s="2" t="s">
        <v>345</v>
      </c>
      <c r="B146" s="1" t="s">
        <v>656</v>
      </c>
      <c r="C146" s="1" t="s">
        <v>346</v>
      </c>
      <c r="D146" s="1" t="s">
        <v>554</v>
      </c>
      <c r="E146" s="2">
        <v>2.5</v>
      </c>
      <c r="F146" s="1">
        <f t="shared" si="2"/>
        <v>0.875</v>
      </c>
      <c r="G146" s="1">
        <v>0.375</v>
      </c>
      <c r="H146" s="1">
        <v>0.5</v>
      </c>
    </row>
    <row r="147" spans="1:8" hidden="1" x14ac:dyDescent="0.25">
      <c r="A147" s="2" t="s">
        <v>423</v>
      </c>
      <c r="B147" s="1" t="s">
        <v>656</v>
      </c>
      <c r="C147" s="1" t="s">
        <v>424</v>
      </c>
      <c r="D147" s="1" t="s">
        <v>554</v>
      </c>
      <c r="E147" s="2">
        <v>1</v>
      </c>
      <c r="F147" s="1">
        <f t="shared" si="2"/>
        <v>0.64166666666666661</v>
      </c>
      <c r="G147" s="1">
        <v>0.22499999999999998</v>
      </c>
      <c r="H147" s="1">
        <v>0.41666666666666669</v>
      </c>
    </row>
    <row r="148" spans="1:8" hidden="1" x14ac:dyDescent="0.25">
      <c r="A148" s="2" t="s">
        <v>343</v>
      </c>
      <c r="B148" s="1" t="s">
        <v>656</v>
      </c>
      <c r="C148" s="1" t="s">
        <v>344</v>
      </c>
      <c r="D148" s="1" t="s">
        <v>554</v>
      </c>
      <c r="E148" s="2">
        <v>2.5</v>
      </c>
      <c r="F148" s="1">
        <f t="shared" si="2"/>
        <v>0.875</v>
      </c>
      <c r="G148" s="1">
        <v>0.375</v>
      </c>
      <c r="H148" s="1">
        <v>0.5</v>
      </c>
    </row>
    <row r="149" spans="1:8" hidden="1" x14ac:dyDescent="0.25">
      <c r="A149" s="2" t="s">
        <v>709</v>
      </c>
      <c r="B149" s="1" t="s">
        <v>656</v>
      </c>
      <c r="C149" s="1" t="s">
        <v>710</v>
      </c>
      <c r="D149" s="1" t="s">
        <v>554</v>
      </c>
      <c r="E149" s="2">
        <v>1</v>
      </c>
      <c r="F149" s="1">
        <f t="shared" si="2"/>
        <v>0.64166666666666661</v>
      </c>
      <c r="G149" s="1">
        <v>0.22499999999999998</v>
      </c>
      <c r="H149" s="1">
        <v>0.41666666666666669</v>
      </c>
    </row>
    <row r="150" spans="1:8" hidden="1" x14ac:dyDescent="0.25">
      <c r="A150" s="2" t="s">
        <v>711</v>
      </c>
      <c r="B150" s="1" t="s">
        <v>656</v>
      </c>
      <c r="C150" s="1" t="s">
        <v>712</v>
      </c>
      <c r="D150" s="1" t="s">
        <v>554</v>
      </c>
      <c r="E150" s="2">
        <v>2.5</v>
      </c>
      <c r="F150" s="1">
        <f t="shared" si="2"/>
        <v>0.875</v>
      </c>
      <c r="G150" s="1">
        <v>0.375</v>
      </c>
      <c r="H150" s="1">
        <v>0.5</v>
      </c>
    </row>
    <row r="151" spans="1:8" hidden="1" x14ac:dyDescent="0.25">
      <c r="A151" s="2" t="s">
        <v>713</v>
      </c>
      <c r="B151" s="1" t="s">
        <v>656</v>
      </c>
      <c r="C151" s="1" t="s">
        <v>714</v>
      </c>
      <c r="D151" s="1" t="s">
        <v>554</v>
      </c>
      <c r="E151" s="2">
        <v>1</v>
      </c>
      <c r="F151" s="1">
        <f t="shared" si="2"/>
        <v>0.64166666666666661</v>
      </c>
      <c r="G151" s="1">
        <v>0.22499999999999998</v>
      </c>
      <c r="H151" s="1">
        <v>0.41666666666666669</v>
      </c>
    </row>
    <row r="152" spans="1:8" hidden="1" x14ac:dyDescent="0.25">
      <c r="A152" s="2" t="s">
        <v>341</v>
      </c>
      <c r="B152" s="1" t="s">
        <v>656</v>
      </c>
      <c r="C152" s="1" t="s">
        <v>342</v>
      </c>
      <c r="D152" s="1" t="s">
        <v>554</v>
      </c>
      <c r="E152" s="2">
        <v>2.5</v>
      </c>
      <c r="F152" s="1">
        <f t="shared" si="2"/>
        <v>0.875</v>
      </c>
      <c r="G152" s="1">
        <v>0.375</v>
      </c>
      <c r="H152" s="1">
        <v>0.5</v>
      </c>
    </row>
    <row r="153" spans="1:8" hidden="1" x14ac:dyDescent="0.25">
      <c r="A153" s="2" t="s">
        <v>715</v>
      </c>
      <c r="B153" s="1" t="s">
        <v>656</v>
      </c>
      <c r="C153" s="1" t="s">
        <v>716</v>
      </c>
      <c r="D153" s="1" t="s">
        <v>554</v>
      </c>
      <c r="E153" s="2">
        <v>1</v>
      </c>
      <c r="F153" s="1">
        <f t="shared" si="2"/>
        <v>0.64166666666666661</v>
      </c>
      <c r="G153" s="1">
        <v>0.22499999999999998</v>
      </c>
      <c r="H153" s="1">
        <v>0.41666666666666669</v>
      </c>
    </row>
    <row r="154" spans="1:8" hidden="1" x14ac:dyDescent="0.25">
      <c r="A154" s="2" t="s">
        <v>717</v>
      </c>
      <c r="B154" s="1" t="s">
        <v>656</v>
      </c>
      <c r="C154" s="1" t="s">
        <v>718</v>
      </c>
      <c r="D154" s="1" t="s">
        <v>554</v>
      </c>
      <c r="E154" s="2">
        <v>2.5</v>
      </c>
      <c r="F154" s="1">
        <f t="shared" si="2"/>
        <v>0.875</v>
      </c>
      <c r="G154" s="1">
        <v>0.375</v>
      </c>
      <c r="H154" s="1">
        <v>0.5</v>
      </c>
    </row>
    <row r="155" spans="1:8" hidden="1" x14ac:dyDescent="0.25">
      <c r="A155" s="2" t="s">
        <v>719</v>
      </c>
      <c r="B155" s="1" t="s">
        <v>656</v>
      </c>
      <c r="C155" s="1" t="s">
        <v>720</v>
      </c>
      <c r="D155" s="1" t="s">
        <v>554</v>
      </c>
      <c r="E155" s="2">
        <v>1</v>
      </c>
      <c r="F155" s="1">
        <f t="shared" si="2"/>
        <v>0.64166666666666661</v>
      </c>
      <c r="G155" s="1">
        <v>0.22499999999999998</v>
      </c>
      <c r="H155" s="1">
        <v>0.41666666666666669</v>
      </c>
    </row>
    <row r="156" spans="1:8" hidden="1" x14ac:dyDescent="0.25">
      <c r="A156" s="2" t="s">
        <v>721</v>
      </c>
      <c r="B156" s="1" t="s">
        <v>656</v>
      </c>
      <c r="C156" s="1" t="s">
        <v>722</v>
      </c>
      <c r="D156" s="1" t="s">
        <v>554</v>
      </c>
      <c r="E156" s="2">
        <v>2.5</v>
      </c>
      <c r="F156" s="1">
        <f t="shared" si="2"/>
        <v>0.875</v>
      </c>
      <c r="G156" s="1">
        <v>0.375</v>
      </c>
      <c r="H156" s="1">
        <v>0.5</v>
      </c>
    </row>
    <row r="157" spans="1:8" hidden="1" x14ac:dyDescent="0.25">
      <c r="A157" s="2" t="s">
        <v>337</v>
      </c>
      <c r="B157" s="1" t="s">
        <v>656</v>
      </c>
      <c r="C157" s="1" t="s">
        <v>338</v>
      </c>
      <c r="D157" s="1" t="s">
        <v>554</v>
      </c>
      <c r="E157" s="2">
        <v>1</v>
      </c>
      <c r="F157" s="1">
        <f t="shared" si="2"/>
        <v>0.64166666666666661</v>
      </c>
      <c r="G157" s="1">
        <v>0.22499999999999998</v>
      </c>
      <c r="H157" s="1">
        <v>0.41666666666666669</v>
      </c>
    </row>
    <row r="158" spans="1:8" hidden="1" x14ac:dyDescent="0.25">
      <c r="A158" s="2" t="s">
        <v>335</v>
      </c>
      <c r="B158" s="1" t="s">
        <v>656</v>
      </c>
      <c r="C158" s="1" t="s">
        <v>336</v>
      </c>
      <c r="D158" s="1" t="s">
        <v>554</v>
      </c>
      <c r="E158" s="2">
        <v>2.5</v>
      </c>
      <c r="F158" s="1">
        <f t="shared" si="2"/>
        <v>0.875</v>
      </c>
      <c r="G158" s="1">
        <v>0.375</v>
      </c>
      <c r="H158" s="1">
        <v>0.5</v>
      </c>
    </row>
    <row r="159" spans="1:8" hidden="1" x14ac:dyDescent="0.25">
      <c r="A159" s="2" t="s">
        <v>334</v>
      </c>
      <c r="B159" s="1" t="s">
        <v>656</v>
      </c>
      <c r="C159" s="1" t="s">
        <v>723</v>
      </c>
      <c r="D159" s="1" t="s">
        <v>554</v>
      </c>
      <c r="E159" s="2">
        <v>1</v>
      </c>
      <c r="F159" s="1">
        <f t="shared" si="2"/>
        <v>0.64166666666666661</v>
      </c>
      <c r="G159" s="1">
        <v>0.22499999999999998</v>
      </c>
      <c r="H159" s="1">
        <v>0.41666666666666669</v>
      </c>
    </row>
    <row r="160" spans="1:8" hidden="1" x14ac:dyDescent="0.25">
      <c r="A160" s="2" t="s">
        <v>333</v>
      </c>
      <c r="B160" s="1" t="s">
        <v>656</v>
      </c>
      <c r="C160" s="1" t="s">
        <v>724</v>
      </c>
      <c r="D160" s="1" t="s">
        <v>554</v>
      </c>
      <c r="E160" s="2">
        <v>2.5</v>
      </c>
      <c r="F160" s="1">
        <f t="shared" si="2"/>
        <v>0.875</v>
      </c>
      <c r="G160" s="1">
        <v>0.375</v>
      </c>
      <c r="H160" s="1">
        <v>0.5</v>
      </c>
    </row>
    <row r="161" spans="1:8" hidden="1" x14ac:dyDescent="0.25">
      <c r="A161" s="2" t="s">
        <v>725</v>
      </c>
      <c r="B161" s="1" t="s">
        <v>656</v>
      </c>
      <c r="C161" s="1" t="s">
        <v>726</v>
      </c>
      <c r="D161" s="1" t="s">
        <v>554</v>
      </c>
      <c r="E161" s="2">
        <v>1</v>
      </c>
      <c r="F161" s="1">
        <f t="shared" si="2"/>
        <v>0.64166666666666661</v>
      </c>
      <c r="G161" s="1">
        <v>0.22499999999999998</v>
      </c>
      <c r="H161" s="1">
        <v>0.41666666666666669</v>
      </c>
    </row>
    <row r="162" spans="1:8" hidden="1" x14ac:dyDescent="0.25">
      <c r="A162" s="2" t="s">
        <v>727</v>
      </c>
      <c r="B162" s="1" t="s">
        <v>656</v>
      </c>
      <c r="C162" s="1" t="s">
        <v>728</v>
      </c>
      <c r="D162" s="1" t="s">
        <v>554</v>
      </c>
      <c r="E162" s="2">
        <v>2.5</v>
      </c>
      <c r="F162" s="1">
        <f t="shared" si="2"/>
        <v>0.875</v>
      </c>
      <c r="G162" s="1">
        <v>0.375</v>
      </c>
      <c r="H162" s="1">
        <v>0.5</v>
      </c>
    </row>
    <row r="163" spans="1:8" hidden="1" x14ac:dyDescent="0.25">
      <c r="A163" s="2" t="s">
        <v>327</v>
      </c>
      <c r="B163" s="1" t="s">
        <v>656</v>
      </c>
      <c r="C163" s="1" t="s">
        <v>328</v>
      </c>
      <c r="D163" s="1" t="s">
        <v>554</v>
      </c>
      <c r="E163" s="2">
        <v>1</v>
      </c>
      <c r="F163" s="1">
        <f t="shared" si="2"/>
        <v>0.64166666666666661</v>
      </c>
      <c r="G163" s="1">
        <v>0.22499999999999998</v>
      </c>
      <c r="H163" s="1">
        <v>0.41666666666666669</v>
      </c>
    </row>
    <row r="164" spans="1:8" hidden="1" x14ac:dyDescent="0.25">
      <c r="A164" s="2" t="s">
        <v>325</v>
      </c>
      <c r="B164" s="1" t="s">
        <v>656</v>
      </c>
      <c r="C164" s="1" t="s">
        <v>326</v>
      </c>
      <c r="D164" s="1" t="s">
        <v>554</v>
      </c>
      <c r="E164" s="2">
        <v>2.5</v>
      </c>
      <c r="F164" s="1">
        <f t="shared" si="2"/>
        <v>0.875</v>
      </c>
      <c r="G164" s="1">
        <v>0.375</v>
      </c>
      <c r="H164" s="1">
        <v>0.5</v>
      </c>
    </row>
    <row r="165" spans="1:8" hidden="1" x14ac:dyDescent="0.25">
      <c r="A165" s="2" t="s">
        <v>729</v>
      </c>
      <c r="B165" s="1" t="s">
        <v>656</v>
      </c>
      <c r="C165" s="1" t="s">
        <v>730</v>
      </c>
      <c r="D165" s="1" t="s">
        <v>554</v>
      </c>
      <c r="E165" s="2">
        <v>1</v>
      </c>
      <c r="F165" s="1">
        <f t="shared" si="2"/>
        <v>0.64166666666666661</v>
      </c>
      <c r="G165" s="1">
        <v>0.22499999999999998</v>
      </c>
      <c r="H165" s="1">
        <v>0.41666666666666669</v>
      </c>
    </row>
    <row r="166" spans="1:8" hidden="1" x14ac:dyDescent="0.25">
      <c r="A166" s="2" t="s">
        <v>321</v>
      </c>
      <c r="B166" s="1" t="s">
        <v>656</v>
      </c>
      <c r="C166" s="1" t="s">
        <v>322</v>
      </c>
      <c r="D166" s="1" t="s">
        <v>554</v>
      </c>
      <c r="E166" s="2">
        <v>2.5</v>
      </c>
      <c r="F166" s="1">
        <f t="shared" si="2"/>
        <v>0.875</v>
      </c>
      <c r="G166" s="1">
        <v>0.375</v>
      </c>
      <c r="H166" s="1">
        <v>0.5</v>
      </c>
    </row>
    <row r="167" spans="1:8" hidden="1" x14ac:dyDescent="0.25">
      <c r="A167" s="2" t="s">
        <v>490</v>
      </c>
      <c r="B167" s="1" t="s">
        <v>656</v>
      </c>
      <c r="C167" s="1" t="s">
        <v>731</v>
      </c>
      <c r="D167" s="1" t="s">
        <v>554</v>
      </c>
      <c r="E167" s="2">
        <v>1</v>
      </c>
      <c r="F167" s="1">
        <f t="shared" si="2"/>
        <v>0.64166666666666661</v>
      </c>
      <c r="G167" s="1">
        <v>0.22499999999999998</v>
      </c>
      <c r="H167" s="1">
        <v>0.41666666666666669</v>
      </c>
    </row>
    <row r="168" spans="1:8" hidden="1" x14ac:dyDescent="0.25">
      <c r="A168" s="2" t="s">
        <v>489</v>
      </c>
      <c r="B168" s="1" t="s">
        <v>656</v>
      </c>
      <c r="C168" s="1" t="s">
        <v>732</v>
      </c>
      <c r="D168" s="1" t="s">
        <v>554</v>
      </c>
      <c r="E168" s="2">
        <v>2.5</v>
      </c>
      <c r="F168" s="1">
        <f t="shared" si="2"/>
        <v>0.875</v>
      </c>
      <c r="G168" s="1">
        <v>0.375</v>
      </c>
      <c r="H168" s="1">
        <v>0.5</v>
      </c>
    </row>
    <row r="169" spans="1:8" hidden="1" x14ac:dyDescent="0.25">
      <c r="A169" s="2" t="s">
        <v>733</v>
      </c>
      <c r="B169" s="1" t="s">
        <v>656</v>
      </c>
      <c r="C169" s="1" t="s">
        <v>734</v>
      </c>
      <c r="D169" s="1" t="s">
        <v>554</v>
      </c>
      <c r="E169" s="2">
        <v>2.5</v>
      </c>
      <c r="F169" s="1">
        <f t="shared" si="2"/>
        <v>0.875</v>
      </c>
      <c r="G169" s="1">
        <v>0.375</v>
      </c>
      <c r="H169" s="1">
        <v>0.5</v>
      </c>
    </row>
    <row r="170" spans="1:8" hidden="1" x14ac:dyDescent="0.25">
      <c r="A170" s="2" t="s">
        <v>487</v>
      </c>
      <c r="B170" s="1" t="s">
        <v>656</v>
      </c>
      <c r="C170" s="1" t="s">
        <v>488</v>
      </c>
      <c r="D170" s="1" t="s">
        <v>554</v>
      </c>
      <c r="E170" s="2">
        <v>1</v>
      </c>
      <c r="F170" s="1">
        <f t="shared" si="2"/>
        <v>0.64166666666666661</v>
      </c>
      <c r="G170" s="1">
        <v>0.22499999999999998</v>
      </c>
      <c r="H170" s="1">
        <v>0.41666666666666669</v>
      </c>
    </row>
    <row r="171" spans="1:8" hidden="1" x14ac:dyDescent="0.25">
      <c r="A171" s="2" t="s">
        <v>317</v>
      </c>
      <c r="B171" s="1" t="s">
        <v>656</v>
      </c>
      <c r="C171" s="1" t="s">
        <v>318</v>
      </c>
      <c r="D171" s="1" t="s">
        <v>554</v>
      </c>
      <c r="E171" s="2">
        <v>2.5</v>
      </c>
      <c r="F171" s="1">
        <f t="shared" si="2"/>
        <v>0.875</v>
      </c>
      <c r="G171" s="1">
        <v>0.375</v>
      </c>
      <c r="H171" s="1">
        <v>0.5</v>
      </c>
    </row>
    <row r="172" spans="1:8" hidden="1" x14ac:dyDescent="0.25">
      <c r="A172" s="2" t="s">
        <v>315</v>
      </c>
      <c r="B172" s="1" t="s">
        <v>656</v>
      </c>
      <c r="C172" s="1" t="s">
        <v>316</v>
      </c>
      <c r="D172" s="1" t="s">
        <v>554</v>
      </c>
      <c r="E172" s="2">
        <v>1</v>
      </c>
      <c r="F172" s="1">
        <f t="shared" si="2"/>
        <v>0.64166666666666661</v>
      </c>
      <c r="G172" s="1">
        <v>0.22499999999999998</v>
      </c>
      <c r="H172" s="1">
        <v>0.41666666666666669</v>
      </c>
    </row>
    <row r="173" spans="1:8" hidden="1" x14ac:dyDescent="0.25">
      <c r="A173" s="2" t="s">
        <v>313</v>
      </c>
      <c r="B173" s="1" t="s">
        <v>656</v>
      </c>
      <c r="C173" s="1" t="s">
        <v>314</v>
      </c>
      <c r="D173" s="1" t="s">
        <v>554</v>
      </c>
      <c r="E173" s="2">
        <v>2.5</v>
      </c>
      <c r="F173" s="1">
        <f t="shared" si="2"/>
        <v>0.875</v>
      </c>
      <c r="G173" s="1">
        <v>0.375</v>
      </c>
      <c r="H173" s="1">
        <v>0.5</v>
      </c>
    </row>
    <row r="174" spans="1:8" hidden="1" x14ac:dyDescent="0.25">
      <c r="A174" s="2" t="s">
        <v>419</v>
      </c>
      <c r="B174" s="1" t="s">
        <v>656</v>
      </c>
      <c r="C174" s="1" t="s">
        <v>420</v>
      </c>
      <c r="D174" s="1" t="s">
        <v>554</v>
      </c>
      <c r="E174" s="2">
        <v>1</v>
      </c>
      <c r="F174" s="1">
        <f t="shared" si="2"/>
        <v>0.64166666666666661</v>
      </c>
      <c r="G174" s="1">
        <v>0.22499999999999998</v>
      </c>
      <c r="H174" s="1">
        <v>0.41666666666666669</v>
      </c>
    </row>
    <row r="175" spans="1:8" hidden="1" x14ac:dyDescent="0.25">
      <c r="A175" s="2" t="s">
        <v>418</v>
      </c>
      <c r="B175" s="1" t="s">
        <v>656</v>
      </c>
      <c r="C175" s="1" t="s">
        <v>735</v>
      </c>
      <c r="D175" s="1" t="s">
        <v>554</v>
      </c>
      <c r="E175" s="2">
        <v>2.5</v>
      </c>
      <c r="F175" s="1">
        <f t="shared" si="2"/>
        <v>0.875</v>
      </c>
      <c r="G175" s="1">
        <v>0.375</v>
      </c>
      <c r="H175" s="1">
        <v>0.5</v>
      </c>
    </row>
    <row r="176" spans="1:8" hidden="1" x14ac:dyDescent="0.25">
      <c r="A176" s="2" t="s">
        <v>311</v>
      </c>
      <c r="B176" s="1" t="s">
        <v>656</v>
      </c>
      <c r="C176" s="1" t="s">
        <v>312</v>
      </c>
      <c r="D176" s="1" t="s">
        <v>554</v>
      </c>
      <c r="E176" s="2">
        <v>1</v>
      </c>
      <c r="F176" s="1">
        <f t="shared" si="2"/>
        <v>0.64166666666666661</v>
      </c>
      <c r="G176" s="1">
        <v>0.22499999999999998</v>
      </c>
      <c r="H176" s="1">
        <v>0.41666666666666669</v>
      </c>
    </row>
    <row r="177" spans="1:8" hidden="1" x14ac:dyDescent="0.25">
      <c r="A177" s="2" t="s">
        <v>309</v>
      </c>
      <c r="B177" s="1" t="s">
        <v>656</v>
      </c>
      <c r="C177" s="1" t="s">
        <v>310</v>
      </c>
      <c r="D177" s="1" t="s">
        <v>554</v>
      </c>
      <c r="E177" s="2">
        <v>2.5</v>
      </c>
      <c r="F177" s="1">
        <f t="shared" si="2"/>
        <v>0.875</v>
      </c>
      <c r="G177" s="1">
        <v>0.375</v>
      </c>
      <c r="H177" s="1">
        <v>0.5</v>
      </c>
    </row>
    <row r="178" spans="1:8" hidden="1" x14ac:dyDescent="0.25">
      <c r="A178" s="2" t="s">
        <v>305</v>
      </c>
      <c r="B178" s="1" t="s">
        <v>656</v>
      </c>
      <c r="C178" s="1" t="s">
        <v>306</v>
      </c>
      <c r="D178" s="1" t="s">
        <v>554</v>
      </c>
      <c r="E178" s="2">
        <v>1</v>
      </c>
      <c r="F178" s="1">
        <f t="shared" si="2"/>
        <v>0.64166666666666661</v>
      </c>
      <c r="G178" s="1">
        <v>0.22499999999999998</v>
      </c>
      <c r="H178" s="1">
        <v>0.41666666666666669</v>
      </c>
    </row>
    <row r="179" spans="1:8" hidden="1" x14ac:dyDescent="0.25">
      <c r="A179" s="2" t="s">
        <v>736</v>
      </c>
      <c r="B179" s="1" t="s">
        <v>656</v>
      </c>
      <c r="C179" s="1" t="s">
        <v>737</v>
      </c>
      <c r="D179" s="1" t="s">
        <v>554</v>
      </c>
      <c r="E179" s="2">
        <v>2.5</v>
      </c>
      <c r="F179" s="1">
        <f t="shared" si="2"/>
        <v>0.875</v>
      </c>
      <c r="G179" s="1">
        <v>0.375</v>
      </c>
      <c r="H179" s="1">
        <v>0.5</v>
      </c>
    </row>
    <row r="180" spans="1:8" hidden="1" x14ac:dyDescent="0.25">
      <c r="A180" s="2" t="s">
        <v>738</v>
      </c>
      <c r="B180" s="1" t="s">
        <v>656</v>
      </c>
      <c r="C180" s="1" t="s">
        <v>739</v>
      </c>
      <c r="D180" s="1" t="s">
        <v>554</v>
      </c>
      <c r="E180" s="2">
        <v>1</v>
      </c>
      <c r="F180" s="1">
        <f t="shared" si="2"/>
        <v>0.64166666666666661</v>
      </c>
      <c r="G180" s="1">
        <v>0.22499999999999998</v>
      </c>
      <c r="H180" s="1">
        <v>0.41666666666666669</v>
      </c>
    </row>
    <row r="181" spans="1:8" hidden="1" x14ac:dyDescent="0.25">
      <c r="A181" s="2" t="s">
        <v>740</v>
      </c>
      <c r="B181" s="1" t="s">
        <v>656</v>
      </c>
      <c r="C181" s="1" t="s">
        <v>741</v>
      </c>
      <c r="D181" s="1" t="s">
        <v>554</v>
      </c>
      <c r="E181" s="2">
        <v>2.5</v>
      </c>
      <c r="F181" s="1">
        <f t="shared" si="2"/>
        <v>0.875</v>
      </c>
      <c r="G181" s="1">
        <v>0.375</v>
      </c>
      <c r="H181" s="1">
        <v>0.5</v>
      </c>
    </row>
    <row r="182" spans="1:8" hidden="1" x14ac:dyDescent="0.25">
      <c r="A182" s="2" t="s">
        <v>742</v>
      </c>
      <c r="B182" s="1" t="s">
        <v>656</v>
      </c>
      <c r="C182" s="1" t="s">
        <v>743</v>
      </c>
      <c r="D182" s="1" t="s">
        <v>554</v>
      </c>
      <c r="E182" s="2">
        <v>1</v>
      </c>
      <c r="F182" s="1">
        <f t="shared" si="2"/>
        <v>0.64166666666666661</v>
      </c>
      <c r="G182" s="1">
        <v>0.22499999999999998</v>
      </c>
      <c r="H182" s="1">
        <v>0.41666666666666669</v>
      </c>
    </row>
    <row r="183" spans="1:8" hidden="1" x14ac:dyDescent="0.25">
      <c r="A183" s="2" t="s">
        <v>744</v>
      </c>
      <c r="B183" s="1" t="s">
        <v>656</v>
      </c>
      <c r="C183" s="1" t="s">
        <v>745</v>
      </c>
      <c r="D183" s="1" t="s">
        <v>554</v>
      </c>
      <c r="E183" s="2">
        <v>2.5</v>
      </c>
      <c r="F183" s="1">
        <f t="shared" si="2"/>
        <v>0.875</v>
      </c>
      <c r="G183" s="1">
        <v>0.375</v>
      </c>
      <c r="H183" s="1">
        <v>0.5</v>
      </c>
    </row>
    <row r="184" spans="1:8" hidden="1" x14ac:dyDescent="0.25">
      <c r="A184" s="2" t="s">
        <v>304</v>
      </c>
      <c r="B184" s="1" t="s">
        <v>656</v>
      </c>
      <c r="C184" s="1" t="s">
        <v>746</v>
      </c>
      <c r="D184" s="1" t="s">
        <v>554</v>
      </c>
      <c r="E184" s="2">
        <v>1</v>
      </c>
      <c r="F184" s="1">
        <f t="shared" si="2"/>
        <v>0.64166666666666661</v>
      </c>
      <c r="G184" s="1">
        <v>0.22499999999999998</v>
      </c>
      <c r="H184" s="1">
        <v>0.41666666666666669</v>
      </c>
    </row>
    <row r="185" spans="1:8" hidden="1" x14ac:dyDescent="0.25">
      <c r="A185" s="2" t="s">
        <v>303</v>
      </c>
      <c r="B185" s="1" t="s">
        <v>656</v>
      </c>
      <c r="C185" s="1" t="s">
        <v>747</v>
      </c>
      <c r="D185" s="1" t="s">
        <v>554</v>
      </c>
      <c r="E185" s="2">
        <v>2.5</v>
      </c>
      <c r="F185" s="1">
        <f t="shared" si="2"/>
        <v>0.875</v>
      </c>
      <c r="G185" s="1">
        <v>0.375</v>
      </c>
      <c r="H185" s="1">
        <v>0.5</v>
      </c>
    </row>
    <row r="186" spans="1:8" hidden="1" x14ac:dyDescent="0.25">
      <c r="A186" s="2" t="s">
        <v>748</v>
      </c>
      <c r="B186" s="1" t="s">
        <v>656</v>
      </c>
      <c r="C186" s="1" t="s">
        <v>749</v>
      </c>
      <c r="D186" s="1" t="s">
        <v>554</v>
      </c>
      <c r="E186" s="2">
        <v>0.25</v>
      </c>
      <c r="F186" s="1">
        <f t="shared" si="2"/>
        <v>0.47499999999999998</v>
      </c>
      <c r="G186" s="1">
        <v>0.22499999999999998</v>
      </c>
      <c r="H186" s="62">
        <v>0.25</v>
      </c>
    </row>
    <row r="187" spans="1:8" hidden="1" x14ac:dyDescent="0.25">
      <c r="A187" s="2" t="s">
        <v>750</v>
      </c>
      <c r="B187" s="1" t="s">
        <v>656</v>
      </c>
      <c r="C187" s="1" t="s">
        <v>751</v>
      </c>
      <c r="D187" s="1" t="s">
        <v>554</v>
      </c>
      <c r="E187" s="2">
        <v>1</v>
      </c>
      <c r="F187" s="1">
        <f t="shared" si="2"/>
        <v>0.64166666666666661</v>
      </c>
      <c r="G187" s="1">
        <v>0.22499999999999998</v>
      </c>
      <c r="H187" s="1">
        <v>0.41666666666666669</v>
      </c>
    </row>
    <row r="188" spans="1:8" hidden="1" x14ac:dyDescent="0.25">
      <c r="A188" s="2" t="s">
        <v>752</v>
      </c>
      <c r="B188" s="1" t="s">
        <v>656</v>
      </c>
      <c r="C188" s="1" t="s">
        <v>753</v>
      </c>
      <c r="D188" s="1" t="s">
        <v>554</v>
      </c>
      <c r="E188" s="2">
        <v>2.5</v>
      </c>
      <c r="F188" s="1">
        <f t="shared" si="2"/>
        <v>0.875</v>
      </c>
      <c r="G188" s="1">
        <v>0.375</v>
      </c>
      <c r="H188" s="1">
        <v>0.5</v>
      </c>
    </row>
    <row r="189" spans="1:8" hidden="1" x14ac:dyDescent="0.25">
      <c r="A189" s="2" t="s">
        <v>301</v>
      </c>
      <c r="B189" s="1" t="s">
        <v>656</v>
      </c>
      <c r="C189" s="1" t="s">
        <v>302</v>
      </c>
      <c r="D189" s="1" t="s">
        <v>554</v>
      </c>
      <c r="E189" s="2">
        <v>1</v>
      </c>
      <c r="F189" s="1">
        <f t="shared" si="2"/>
        <v>0.64166666666666661</v>
      </c>
      <c r="G189" s="1">
        <v>0.22499999999999998</v>
      </c>
      <c r="H189" s="1">
        <v>0.41666666666666669</v>
      </c>
    </row>
    <row r="190" spans="1:8" hidden="1" x14ac:dyDescent="0.25">
      <c r="A190" s="2" t="s">
        <v>299</v>
      </c>
      <c r="B190" s="1" t="s">
        <v>656</v>
      </c>
      <c r="C190" s="1" t="s">
        <v>300</v>
      </c>
      <c r="D190" s="1" t="s">
        <v>554</v>
      </c>
      <c r="E190" s="2">
        <v>2.5</v>
      </c>
      <c r="F190" s="1">
        <f t="shared" si="2"/>
        <v>0.875</v>
      </c>
      <c r="G190" s="1">
        <v>0.375</v>
      </c>
      <c r="H190" s="1">
        <v>0.5</v>
      </c>
    </row>
    <row r="191" spans="1:8" hidden="1" x14ac:dyDescent="0.25">
      <c r="A191" s="2" t="s">
        <v>754</v>
      </c>
      <c r="B191" s="1" t="s">
        <v>656</v>
      </c>
      <c r="C191" s="1" t="s">
        <v>755</v>
      </c>
      <c r="D191" s="1" t="s">
        <v>554</v>
      </c>
      <c r="E191" s="2">
        <v>0.25</v>
      </c>
      <c r="F191" s="1">
        <f t="shared" si="2"/>
        <v>0.47499999999999998</v>
      </c>
      <c r="G191" s="1">
        <v>0.22499999999999998</v>
      </c>
      <c r="H191" s="62">
        <v>0.25</v>
      </c>
    </row>
    <row r="192" spans="1:8" hidden="1" x14ac:dyDescent="0.25">
      <c r="A192" s="2" t="s">
        <v>298</v>
      </c>
      <c r="B192" s="1" t="s">
        <v>656</v>
      </c>
      <c r="C192" s="1" t="s">
        <v>756</v>
      </c>
      <c r="D192" s="1" t="s">
        <v>554</v>
      </c>
      <c r="E192" s="2">
        <v>1</v>
      </c>
      <c r="F192" s="1">
        <f t="shared" si="2"/>
        <v>0.64166666666666661</v>
      </c>
      <c r="G192" s="1">
        <v>0.22499999999999998</v>
      </c>
      <c r="H192" s="1">
        <v>0.41666666666666669</v>
      </c>
    </row>
    <row r="193" spans="1:8" hidden="1" x14ac:dyDescent="0.25">
      <c r="A193" s="2" t="s">
        <v>486</v>
      </c>
      <c r="B193" s="1" t="s">
        <v>656</v>
      </c>
      <c r="C193" s="1" t="s">
        <v>757</v>
      </c>
      <c r="D193" s="1" t="s">
        <v>554</v>
      </c>
      <c r="E193" s="2">
        <v>2.5</v>
      </c>
      <c r="F193" s="1">
        <f t="shared" si="2"/>
        <v>0.875</v>
      </c>
      <c r="G193" s="1">
        <v>0.375</v>
      </c>
      <c r="H193" s="1">
        <v>0.5</v>
      </c>
    </row>
    <row r="194" spans="1:8" hidden="1" x14ac:dyDescent="0.25">
      <c r="A194" s="2" t="s">
        <v>297</v>
      </c>
      <c r="B194" s="1" t="s">
        <v>656</v>
      </c>
      <c r="C194" s="1" t="s">
        <v>758</v>
      </c>
      <c r="D194" s="1" t="s">
        <v>554</v>
      </c>
      <c r="E194" s="2">
        <v>0.25</v>
      </c>
      <c r="F194" s="1">
        <f t="shared" si="2"/>
        <v>0.47499999999999998</v>
      </c>
      <c r="G194" s="1">
        <v>0.22499999999999998</v>
      </c>
      <c r="H194" s="62">
        <v>0.25</v>
      </c>
    </row>
    <row r="195" spans="1:8" hidden="1" x14ac:dyDescent="0.25">
      <c r="A195" s="2" t="s">
        <v>483</v>
      </c>
      <c r="B195" s="1" t="s">
        <v>656</v>
      </c>
      <c r="C195" s="1" t="s">
        <v>761</v>
      </c>
      <c r="D195" s="1" t="s">
        <v>554</v>
      </c>
      <c r="E195" s="2">
        <v>1</v>
      </c>
      <c r="F195" s="1">
        <f t="shared" ref="F195:F258" si="3">G195+H195</f>
        <v>0.64166666666666661</v>
      </c>
      <c r="G195" s="1">
        <v>0.22499999999999998</v>
      </c>
      <c r="H195" s="1">
        <v>0.41666666666666669</v>
      </c>
    </row>
    <row r="196" spans="1:8" hidden="1" x14ac:dyDescent="0.25">
      <c r="A196" s="2" t="s">
        <v>762</v>
      </c>
      <c r="B196" s="1" t="s">
        <v>656</v>
      </c>
      <c r="C196" s="1" t="s">
        <v>763</v>
      </c>
      <c r="D196" s="1" t="s">
        <v>554</v>
      </c>
      <c r="E196" s="2">
        <v>2.5</v>
      </c>
      <c r="F196" s="1">
        <f t="shared" si="3"/>
        <v>0.875</v>
      </c>
      <c r="G196" s="1">
        <v>0.375</v>
      </c>
      <c r="H196" s="1">
        <v>0.5</v>
      </c>
    </row>
    <row r="197" spans="1:8" hidden="1" x14ac:dyDescent="0.25">
      <c r="A197" s="2" t="s">
        <v>294</v>
      </c>
      <c r="B197" s="1" t="s">
        <v>656</v>
      </c>
      <c r="C197" s="1" t="s">
        <v>764</v>
      </c>
      <c r="D197" s="1" t="s">
        <v>554</v>
      </c>
      <c r="E197" s="2">
        <v>0.25</v>
      </c>
      <c r="F197" s="1">
        <f t="shared" si="3"/>
        <v>0.47499999999999998</v>
      </c>
      <c r="G197" s="1">
        <v>0.22499999999999998</v>
      </c>
      <c r="H197" s="62">
        <v>0.25</v>
      </c>
    </row>
    <row r="198" spans="1:8" hidden="1" x14ac:dyDescent="0.25">
      <c r="A198" s="2" t="s">
        <v>293</v>
      </c>
      <c r="B198" s="1" t="s">
        <v>656</v>
      </c>
      <c r="C198" s="1" t="s">
        <v>765</v>
      </c>
      <c r="D198" s="1" t="s">
        <v>554</v>
      </c>
      <c r="E198" s="2">
        <v>1</v>
      </c>
      <c r="F198" s="1">
        <f t="shared" si="3"/>
        <v>0.64166666666666661</v>
      </c>
      <c r="G198" s="1">
        <v>0.22499999999999998</v>
      </c>
      <c r="H198" s="1">
        <v>0.41666666666666669</v>
      </c>
    </row>
    <row r="199" spans="1:8" hidden="1" x14ac:dyDescent="0.25">
      <c r="A199" s="2" t="s">
        <v>538</v>
      </c>
      <c r="B199" s="1" t="s">
        <v>656</v>
      </c>
      <c r="C199" s="1" t="s">
        <v>766</v>
      </c>
      <c r="D199" s="1" t="s">
        <v>554</v>
      </c>
      <c r="E199" s="2">
        <v>2.5</v>
      </c>
      <c r="F199" s="1">
        <f t="shared" si="3"/>
        <v>0.875</v>
      </c>
      <c r="G199" s="1">
        <v>0.375</v>
      </c>
      <c r="H199" s="1">
        <v>0.5</v>
      </c>
    </row>
    <row r="200" spans="1:8" hidden="1" x14ac:dyDescent="0.25">
      <c r="A200" s="2" t="s">
        <v>484</v>
      </c>
      <c r="B200" s="1" t="s">
        <v>656</v>
      </c>
      <c r="C200" s="1" t="s">
        <v>485</v>
      </c>
      <c r="D200" s="1" t="s">
        <v>554</v>
      </c>
      <c r="E200" s="2">
        <v>1</v>
      </c>
      <c r="F200" s="1">
        <f t="shared" si="3"/>
        <v>0.64166666666666661</v>
      </c>
      <c r="G200" s="1">
        <v>0.22499999999999998</v>
      </c>
      <c r="H200" s="1">
        <v>0.41666666666666669</v>
      </c>
    </row>
    <row r="201" spans="1:8" hidden="1" x14ac:dyDescent="0.25">
      <c r="A201" s="2" t="s">
        <v>295</v>
      </c>
      <c r="B201" s="1" t="s">
        <v>656</v>
      </c>
      <c r="C201" s="1" t="s">
        <v>767</v>
      </c>
      <c r="D201" s="1" t="s">
        <v>554</v>
      </c>
      <c r="E201" s="2">
        <v>0.25</v>
      </c>
      <c r="F201" s="1">
        <f t="shared" si="3"/>
        <v>0.47499999999999998</v>
      </c>
      <c r="G201" s="1">
        <v>0.22499999999999998</v>
      </c>
      <c r="H201" s="62">
        <v>0.25</v>
      </c>
    </row>
    <row r="202" spans="1:8" hidden="1" x14ac:dyDescent="0.25">
      <c r="A202" s="2" t="s">
        <v>759</v>
      </c>
      <c r="B202" s="1" t="s">
        <v>656</v>
      </c>
      <c r="C202" s="1" t="s">
        <v>760</v>
      </c>
      <c r="D202" s="1" t="s">
        <v>554</v>
      </c>
      <c r="E202" s="2">
        <v>2.5</v>
      </c>
      <c r="F202" s="1">
        <f t="shared" si="3"/>
        <v>0.875</v>
      </c>
      <c r="G202" s="1">
        <v>0.375</v>
      </c>
      <c r="H202" s="1">
        <v>0.5</v>
      </c>
    </row>
    <row r="203" spans="1:8" hidden="1" x14ac:dyDescent="0.25">
      <c r="A203" s="2" t="s">
        <v>481</v>
      </c>
      <c r="B203" s="1" t="s">
        <v>656</v>
      </c>
      <c r="C203" s="1" t="s">
        <v>482</v>
      </c>
      <c r="D203" s="1" t="s">
        <v>554</v>
      </c>
      <c r="E203" s="2">
        <v>1</v>
      </c>
      <c r="F203" s="1">
        <f t="shared" si="3"/>
        <v>0.64166666666666661</v>
      </c>
      <c r="G203" s="1">
        <v>0.22499999999999998</v>
      </c>
      <c r="H203" s="1">
        <v>0.41666666666666669</v>
      </c>
    </row>
    <row r="204" spans="1:8" hidden="1" x14ac:dyDescent="0.25">
      <c r="A204" s="2" t="s">
        <v>287</v>
      </c>
      <c r="B204" s="1" t="s">
        <v>656</v>
      </c>
      <c r="C204" s="1" t="s">
        <v>288</v>
      </c>
      <c r="D204" s="1" t="s">
        <v>554</v>
      </c>
      <c r="E204" s="2">
        <v>2.5</v>
      </c>
      <c r="F204" s="1">
        <f t="shared" si="3"/>
        <v>0.875</v>
      </c>
      <c r="G204" s="1">
        <v>0.375</v>
      </c>
      <c r="H204" s="1">
        <v>0.5</v>
      </c>
    </row>
    <row r="205" spans="1:8" hidden="1" x14ac:dyDescent="0.25">
      <c r="A205" s="2" t="s">
        <v>768</v>
      </c>
      <c r="B205" s="1" t="s">
        <v>656</v>
      </c>
      <c r="C205" s="1" t="s">
        <v>769</v>
      </c>
      <c r="D205" s="1" t="s">
        <v>554</v>
      </c>
      <c r="E205" s="2">
        <v>1</v>
      </c>
      <c r="F205" s="1">
        <f t="shared" si="3"/>
        <v>0.64166666666666661</v>
      </c>
      <c r="G205" s="1">
        <v>0.22499999999999998</v>
      </c>
      <c r="H205" s="1">
        <v>0.41666666666666669</v>
      </c>
    </row>
    <row r="206" spans="1:8" hidden="1" x14ac:dyDescent="0.25">
      <c r="A206" s="2" t="s">
        <v>770</v>
      </c>
      <c r="B206" s="1" t="s">
        <v>656</v>
      </c>
      <c r="C206" s="1" t="s">
        <v>771</v>
      </c>
      <c r="D206" s="1" t="s">
        <v>554</v>
      </c>
      <c r="E206" s="2">
        <v>2.5</v>
      </c>
      <c r="F206" s="1">
        <f t="shared" si="3"/>
        <v>0.875</v>
      </c>
      <c r="G206" s="1">
        <v>0.375</v>
      </c>
      <c r="H206" s="1">
        <v>0.5</v>
      </c>
    </row>
    <row r="207" spans="1:8" hidden="1" x14ac:dyDescent="0.25">
      <c r="A207" s="2" t="s">
        <v>479</v>
      </c>
      <c r="B207" s="1" t="s">
        <v>656</v>
      </c>
      <c r="C207" s="1" t="s">
        <v>480</v>
      </c>
      <c r="D207" s="1" t="s">
        <v>554</v>
      </c>
      <c r="E207" s="2">
        <v>1</v>
      </c>
      <c r="F207" s="1">
        <f t="shared" si="3"/>
        <v>0.64166666666666661</v>
      </c>
      <c r="G207" s="1">
        <v>0.22499999999999998</v>
      </c>
      <c r="H207" s="1">
        <v>0.41666666666666669</v>
      </c>
    </row>
    <row r="208" spans="1:8" hidden="1" x14ac:dyDescent="0.25">
      <c r="A208" s="2" t="s">
        <v>772</v>
      </c>
      <c r="B208" s="1" t="s">
        <v>656</v>
      </c>
      <c r="C208" s="1" t="s">
        <v>773</v>
      </c>
      <c r="D208" s="1" t="s">
        <v>554</v>
      </c>
      <c r="E208" s="2">
        <v>2.5</v>
      </c>
      <c r="F208" s="1">
        <f t="shared" si="3"/>
        <v>0.875</v>
      </c>
      <c r="G208" s="1">
        <v>0.375</v>
      </c>
      <c r="H208" s="1">
        <v>0.5</v>
      </c>
    </row>
    <row r="209" spans="1:8" hidden="1" x14ac:dyDescent="0.25">
      <c r="A209" s="2" t="s">
        <v>285</v>
      </c>
      <c r="B209" s="1" t="s">
        <v>656</v>
      </c>
      <c r="C209" s="1" t="s">
        <v>286</v>
      </c>
      <c r="D209" s="1" t="s">
        <v>554</v>
      </c>
      <c r="E209" s="2">
        <v>1</v>
      </c>
      <c r="F209" s="1">
        <f t="shared" si="3"/>
        <v>0.64166666666666661</v>
      </c>
      <c r="G209" s="1">
        <v>0.22499999999999998</v>
      </c>
      <c r="H209" s="1">
        <v>0.41666666666666669</v>
      </c>
    </row>
    <row r="210" spans="1:8" hidden="1" x14ac:dyDescent="0.25">
      <c r="A210" s="2" t="s">
        <v>774</v>
      </c>
      <c r="B210" s="1" t="s">
        <v>656</v>
      </c>
      <c r="C210" s="1" t="s">
        <v>775</v>
      </c>
      <c r="D210" s="1" t="s">
        <v>554</v>
      </c>
      <c r="E210" s="2">
        <v>2.5</v>
      </c>
      <c r="F210" s="1">
        <f t="shared" si="3"/>
        <v>0.875</v>
      </c>
      <c r="G210" s="1">
        <v>0.375</v>
      </c>
      <c r="H210" s="1">
        <v>0.5</v>
      </c>
    </row>
    <row r="211" spans="1:8" hidden="1" x14ac:dyDescent="0.25">
      <c r="A211" s="2" t="s">
        <v>776</v>
      </c>
      <c r="B211" s="1" t="s">
        <v>656</v>
      </c>
      <c r="C211" s="1" t="s">
        <v>777</v>
      </c>
      <c r="D211" s="1" t="s">
        <v>554</v>
      </c>
      <c r="E211" s="2">
        <v>1</v>
      </c>
      <c r="F211" s="1">
        <f t="shared" si="3"/>
        <v>0.64166666666666661</v>
      </c>
      <c r="G211" s="1">
        <v>0.22499999999999998</v>
      </c>
      <c r="H211" s="1">
        <v>0.41666666666666669</v>
      </c>
    </row>
    <row r="212" spans="1:8" hidden="1" x14ac:dyDescent="0.25">
      <c r="A212" s="2" t="s">
        <v>283</v>
      </c>
      <c r="B212" s="1" t="s">
        <v>656</v>
      </c>
      <c r="C212" s="1" t="s">
        <v>284</v>
      </c>
      <c r="D212" s="1" t="s">
        <v>554</v>
      </c>
      <c r="E212" s="2">
        <v>2.5</v>
      </c>
      <c r="F212" s="1">
        <f t="shared" si="3"/>
        <v>0.875</v>
      </c>
      <c r="G212" s="1">
        <v>0.375</v>
      </c>
      <c r="H212" s="1">
        <v>0.5</v>
      </c>
    </row>
    <row r="213" spans="1:8" hidden="1" x14ac:dyDescent="0.25">
      <c r="A213" s="2" t="s">
        <v>778</v>
      </c>
      <c r="B213" s="1" t="s">
        <v>656</v>
      </c>
      <c r="C213" s="1" t="s">
        <v>779</v>
      </c>
      <c r="D213" s="1" t="s">
        <v>554</v>
      </c>
      <c r="E213" s="2">
        <v>1</v>
      </c>
      <c r="F213" s="1">
        <f t="shared" si="3"/>
        <v>0.64166666666666661</v>
      </c>
      <c r="G213" s="1">
        <v>0.22499999999999998</v>
      </c>
      <c r="H213" s="1">
        <v>0.41666666666666669</v>
      </c>
    </row>
    <row r="214" spans="1:8" hidden="1" x14ac:dyDescent="0.25">
      <c r="A214" s="2" t="s">
        <v>281</v>
      </c>
      <c r="B214" s="1" t="s">
        <v>656</v>
      </c>
      <c r="C214" s="1" t="s">
        <v>282</v>
      </c>
      <c r="D214" s="1" t="s">
        <v>554</v>
      </c>
      <c r="E214" s="2">
        <v>2.5</v>
      </c>
      <c r="F214" s="1">
        <f t="shared" si="3"/>
        <v>0.875</v>
      </c>
      <c r="G214" s="1">
        <v>0.375</v>
      </c>
      <c r="H214" s="1">
        <v>0.5</v>
      </c>
    </row>
    <row r="215" spans="1:8" hidden="1" x14ac:dyDescent="0.25">
      <c r="A215" s="2" t="s">
        <v>478</v>
      </c>
      <c r="B215" s="1" t="s">
        <v>656</v>
      </c>
      <c r="C215" s="1" t="s">
        <v>780</v>
      </c>
      <c r="D215" s="1" t="s">
        <v>554</v>
      </c>
      <c r="E215" s="2">
        <v>1</v>
      </c>
      <c r="F215" s="1">
        <f t="shared" si="3"/>
        <v>0.64166666666666661</v>
      </c>
      <c r="G215" s="1">
        <v>0.22499999999999998</v>
      </c>
      <c r="H215" s="1">
        <v>0.41666666666666669</v>
      </c>
    </row>
    <row r="216" spans="1:8" hidden="1" x14ac:dyDescent="0.25">
      <c r="A216" s="2" t="s">
        <v>278</v>
      </c>
      <c r="B216" s="1" t="s">
        <v>656</v>
      </c>
      <c r="C216" s="1" t="s">
        <v>781</v>
      </c>
      <c r="D216" s="1" t="s">
        <v>554</v>
      </c>
      <c r="E216" s="2">
        <v>2.5</v>
      </c>
      <c r="F216" s="1">
        <f t="shared" si="3"/>
        <v>0.875</v>
      </c>
      <c r="G216" s="1">
        <v>0.375</v>
      </c>
      <c r="H216" s="1">
        <v>0.5</v>
      </c>
    </row>
    <row r="217" spans="1:8" hidden="1" x14ac:dyDescent="0.25">
      <c r="A217" s="2" t="s">
        <v>782</v>
      </c>
      <c r="B217" s="1" t="s">
        <v>656</v>
      </c>
      <c r="C217" s="1" t="s">
        <v>783</v>
      </c>
      <c r="D217" s="1" t="s">
        <v>554</v>
      </c>
      <c r="E217" s="2">
        <v>1</v>
      </c>
      <c r="F217" s="1">
        <f t="shared" si="3"/>
        <v>0.64166666666666661</v>
      </c>
      <c r="G217" s="1">
        <v>0.22499999999999998</v>
      </c>
      <c r="H217" s="1">
        <v>0.41666666666666669</v>
      </c>
    </row>
    <row r="218" spans="1:8" hidden="1" x14ac:dyDescent="0.25">
      <c r="A218" s="2" t="s">
        <v>415</v>
      </c>
      <c r="B218" s="1" t="s">
        <v>656</v>
      </c>
      <c r="C218" s="1" t="s">
        <v>784</v>
      </c>
      <c r="D218" s="1" t="s">
        <v>554</v>
      </c>
      <c r="E218" s="2">
        <v>2.5</v>
      </c>
      <c r="F218" s="1">
        <f t="shared" si="3"/>
        <v>0.875</v>
      </c>
      <c r="G218" s="1">
        <v>0.375</v>
      </c>
      <c r="H218" s="1">
        <v>0.5</v>
      </c>
    </row>
    <row r="219" spans="1:8" hidden="1" x14ac:dyDescent="0.25">
      <c r="A219" s="2" t="s">
        <v>274</v>
      </c>
      <c r="B219" s="1" t="s">
        <v>656</v>
      </c>
      <c r="C219" s="1" t="s">
        <v>275</v>
      </c>
      <c r="D219" s="1" t="s">
        <v>554</v>
      </c>
      <c r="E219" s="2">
        <v>1</v>
      </c>
      <c r="F219" s="1">
        <f t="shared" si="3"/>
        <v>0.64166666666666661</v>
      </c>
      <c r="G219" s="1">
        <v>0.22499999999999998</v>
      </c>
      <c r="H219" s="1">
        <v>0.41666666666666669</v>
      </c>
    </row>
    <row r="220" spans="1:8" hidden="1" x14ac:dyDescent="0.25">
      <c r="A220" s="2" t="s">
        <v>785</v>
      </c>
      <c r="B220" s="1" t="s">
        <v>656</v>
      </c>
      <c r="C220" s="1" t="s">
        <v>786</v>
      </c>
      <c r="D220" s="1" t="s">
        <v>554</v>
      </c>
      <c r="E220" s="2">
        <v>2.5</v>
      </c>
      <c r="F220" s="1">
        <f t="shared" si="3"/>
        <v>0.875</v>
      </c>
      <c r="G220" s="1">
        <v>0.375</v>
      </c>
      <c r="H220" s="1">
        <v>0.5</v>
      </c>
    </row>
    <row r="221" spans="1:8" hidden="1" x14ac:dyDescent="0.25">
      <c r="A221" s="2" t="s">
        <v>787</v>
      </c>
      <c r="B221" s="1" t="s">
        <v>656</v>
      </c>
      <c r="C221" s="1" t="s">
        <v>788</v>
      </c>
      <c r="D221" s="1" t="s">
        <v>554</v>
      </c>
      <c r="E221" s="2">
        <v>1</v>
      </c>
      <c r="F221" s="1">
        <f t="shared" si="3"/>
        <v>0.64166666666666661</v>
      </c>
      <c r="G221" s="1">
        <v>0.22499999999999998</v>
      </c>
      <c r="H221" s="1">
        <v>0.41666666666666669</v>
      </c>
    </row>
    <row r="222" spans="1:8" hidden="1" x14ac:dyDescent="0.25">
      <c r="A222" s="2" t="s">
        <v>789</v>
      </c>
      <c r="B222" s="1" t="s">
        <v>656</v>
      </c>
      <c r="C222" s="1" t="s">
        <v>790</v>
      </c>
      <c r="D222" s="1" t="s">
        <v>554</v>
      </c>
      <c r="E222" s="2">
        <v>2.5</v>
      </c>
      <c r="F222" s="1">
        <f t="shared" si="3"/>
        <v>0.875</v>
      </c>
      <c r="G222" s="1">
        <v>0.375</v>
      </c>
      <c r="H222" s="1">
        <v>0.5</v>
      </c>
    </row>
    <row r="223" spans="1:8" hidden="1" x14ac:dyDescent="0.25">
      <c r="A223" s="2" t="s">
        <v>265</v>
      </c>
      <c r="B223" s="1" t="s">
        <v>656</v>
      </c>
      <c r="C223" s="1" t="s">
        <v>266</v>
      </c>
      <c r="D223" s="1" t="s">
        <v>554</v>
      </c>
      <c r="E223" s="2">
        <v>1</v>
      </c>
      <c r="F223" s="1">
        <f t="shared" si="3"/>
        <v>0.64166666666666661</v>
      </c>
      <c r="G223" s="1">
        <v>0.22499999999999998</v>
      </c>
      <c r="H223" s="1">
        <v>0.41666666666666669</v>
      </c>
    </row>
    <row r="224" spans="1:8" hidden="1" x14ac:dyDescent="0.25">
      <c r="A224" s="2" t="s">
        <v>263</v>
      </c>
      <c r="B224" s="1" t="s">
        <v>656</v>
      </c>
      <c r="C224" s="1" t="s">
        <v>264</v>
      </c>
      <c r="D224" s="1" t="s">
        <v>554</v>
      </c>
      <c r="E224" s="2">
        <v>2.5</v>
      </c>
      <c r="F224" s="1">
        <f t="shared" si="3"/>
        <v>0.875</v>
      </c>
      <c r="G224" s="1">
        <v>0.375</v>
      </c>
      <c r="H224" s="1">
        <v>0.5</v>
      </c>
    </row>
    <row r="225" spans="1:8" hidden="1" x14ac:dyDescent="0.25">
      <c r="A225" s="2" t="s">
        <v>791</v>
      </c>
      <c r="B225" s="1" t="s">
        <v>656</v>
      </c>
      <c r="C225" s="1" t="s">
        <v>792</v>
      </c>
      <c r="D225" s="1" t="s">
        <v>554</v>
      </c>
      <c r="E225" s="2">
        <v>0.25</v>
      </c>
      <c r="F225" s="1">
        <f t="shared" si="3"/>
        <v>0.47499999999999998</v>
      </c>
      <c r="G225" s="1">
        <v>0.22499999999999998</v>
      </c>
      <c r="H225" s="62">
        <v>0.25</v>
      </c>
    </row>
    <row r="226" spans="1:8" hidden="1" x14ac:dyDescent="0.25">
      <c r="A226" s="2" t="s">
        <v>476</v>
      </c>
      <c r="B226" s="1" t="s">
        <v>656</v>
      </c>
      <c r="C226" s="1" t="s">
        <v>477</v>
      </c>
      <c r="D226" s="1" t="s">
        <v>554</v>
      </c>
      <c r="E226" s="2">
        <v>1</v>
      </c>
      <c r="F226" s="1">
        <f t="shared" si="3"/>
        <v>0.64166666666666661</v>
      </c>
      <c r="G226" s="1">
        <v>0.22499999999999998</v>
      </c>
      <c r="H226" s="1">
        <v>0.41666666666666669</v>
      </c>
    </row>
    <row r="227" spans="1:8" hidden="1" x14ac:dyDescent="0.25">
      <c r="A227" s="2" t="s">
        <v>793</v>
      </c>
      <c r="B227" s="1" t="s">
        <v>656</v>
      </c>
      <c r="C227" s="1" t="s">
        <v>794</v>
      </c>
      <c r="D227" s="1" t="s">
        <v>554</v>
      </c>
      <c r="E227" s="2">
        <v>2.5</v>
      </c>
      <c r="F227" s="1">
        <f t="shared" si="3"/>
        <v>0.875</v>
      </c>
      <c r="G227" s="1">
        <v>0.375</v>
      </c>
      <c r="H227" s="1">
        <v>0.5</v>
      </c>
    </row>
    <row r="228" spans="1:8" hidden="1" x14ac:dyDescent="0.25">
      <c r="A228" s="2" t="s">
        <v>261</v>
      </c>
      <c r="B228" s="1" t="s">
        <v>656</v>
      </c>
      <c r="C228" s="1" t="s">
        <v>795</v>
      </c>
      <c r="D228" s="1" t="s">
        <v>554</v>
      </c>
      <c r="E228" s="2">
        <v>1</v>
      </c>
      <c r="F228" s="1">
        <f t="shared" si="3"/>
        <v>0.64166666666666661</v>
      </c>
      <c r="G228" s="1">
        <v>0.22499999999999998</v>
      </c>
      <c r="H228" s="1">
        <v>0.41666666666666669</v>
      </c>
    </row>
    <row r="229" spans="1:8" hidden="1" x14ac:dyDescent="0.25">
      <c r="A229" s="2" t="s">
        <v>260</v>
      </c>
      <c r="B229" s="1" t="s">
        <v>656</v>
      </c>
      <c r="C229" s="1" t="s">
        <v>796</v>
      </c>
      <c r="D229" s="1" t="s">
        <v>554</v>
      </c>
      <c r="E229" s="2">
        <v>2.5</v>
      </c>
      <c r="F229" s="1">
        <f t="shared" si="3"/>
        <v>0.875</v>
      </c>
      <c r="G229" s="1">
        <v>0.375</v>
      </c>
      <c r="H229" s="1">
        <v>0.5</v>
      </c>
    </row>
    <row r="230" spans="1:8" hidden="1" x14ac:dyDescent="0.25">
      <c r="A230" s="2" t="s">
        <v>259</v>
      </c>
      <c r="B230" s="1" t="s">
        <v>656</v>
      </c>
      <c r="C230" s="1" t="s">
        <v>797</v>
      </c>
      <c r="D230" s="1" t="s">
        <v>554</v>
      </c>
      <c r="E230" s="2">
        <v>0.25</v>
      </c>
      <c r="F230" s="1">
        <f t="shared" si="3"/>
        <v>0.47499999999999998</v>
      </c>
      <c r="G230" s="1">
        <v>0.22499999999999998</v>
      </c>
      <c r="H230" s="62">
        <v>0.25</v>
      </c>
    </row>
    <row r="231" spans="1:8" hidden="1" x14ac:dyDescent="0.25">
      <c r="A231" s="2" t="s">
        <v>474</v>
      </c>
      <c r="B231" s="1" t="s">
        <v>656</v>
      </c>
      <c r="C231" s="1" t="s">
        <v>475</v>
      </c>
      <c r="D231" s="1" t="s">
        <v>554</v>
      </c>
      <c r="E231" s="2">
        <v>1</v>
      </c>
      <c r="F231" s="1">
        <f t="shared" si="3"/>
        <v>0.64166666666666661</v>
      </c>
      <c r="G231" s="1">
        <v>0.22499999999999998</v>
      </c>
      <c r="H231" s="1">
        <v>0.41666666666666669</v>
      </c>
    </row>
    <row r="232" spans="1:8" hidden="1" x14ac:dyDescent="0.25">
      <c r="A232" s="2" t="s">
        <v>411</v>
      </c>
      <c r="B232" s="1" t="s">
        <v>656</v>
      </c>
      <c r="C232" s="1" t="s">
        <v>412</v>
      </c>
      <c r="D232" s="1" t="s">
        <v>554</v>
      </c>
      <c r="E232" s="2">
        <v>2.5</v>
      </c>
      <c r="F232" s="1">
        <f t="shared" si="3"/>
        <v>0.875</v>
      </c>
      <c r="G232" s="1">
        <v>0.375</v>
      </c>
      <c r="H232" s="1">
        <v>0.5</v>
      </c>
    </row>
    <row r="233" spans="1:8" hidden="1" x14ac:dyDescent="0.25">
      <c r="A233" s="2" t="s">
        <v>798</v>
      </c>
      <c r="B233" s="1" t="s">
        <v>656</v>
      </c>
      <c r="C233" s="1" t="s">
        <v>799</v>
      </c>
      <c r="D233" s="1" t="s">
        <v>554</v>
      </c>
      <c r="E233" s="2">
        <v>1</v>
      </c>
      <c r="F233" s="1">
        <f t="shared" si="3"/>
        <v>0.64166666666666661</v>
      </c>
      <c r="G233" s="1">
        <v>0.22499999999999998</v>
      </c>
      <c r="H233" s="1">
        <v>0.41666666666666669</v>
      </c>
    </row>
    <row r="234" spans="1:8" hidden="1" x14ac:dyDescent="0.25">
      <c r="A234" s="2" t="s">
        <v>800</v>
      </c>
      <c r="B234" s="1" t="s">
        <v>656</v>
      </c>
      <c r="C234" s="1" t="s">
        <v>801</v>
      </c>
      <c r="D234" s="1" t="s">
        <v>554</v>
      </c>
      <c r="E234" s="2">
        <v>2.5</v>
      </c>
      <c r="F234" s="1">
        <f t="shared" si="3"/>
        <v>0.875</v>
      </c>
      <c r="G234" s="1">
        <v>0.375</v>
      </c>
      <c r="H234" s="1">
        <v>0.5</v>
      </c>
    </row>
    <row r="235" spans="1:8" hidden="1" x14ac:dyDescent="0.25">
      <c r="A235" s="2" t="s">
        <v>802</v>
      </c>
      <c r="B235" s="1" t="s">
        <v>656</v>
      </c>
      <c r="C235" s="1" t="s">
        <v>803</v>
      </c>
      <c r="D235" s="1" t="s">
        <v>554</v>
      </c>
      <c r="E235" s="2">
        <v>1</v>
      </c>
      <c r="F235" s="1">
        <f t="shared" si="3"/>
        <v>0.64166666666666661</v>
      </c>
      <c r="G235" s="1">
        <v>0.22499999999999998</v>
      </c>
      <c r="H235" s="1">
        <v>0.41666666666666669</v>
      </c>
    </row>
    <row r="236" spans="1:8" hidden="1" x14ac:dyDescent="0.25">
      <c r="A236" s="2" t="s">
        <v>507</v>
      </c>
      <c r="B236" s="1" t="s">
        <v>656</v>
      </c>
      <c r="C236" s="1" t="s">
        <v>804</v>
      </c>
      <c r="D236" s="1" t="s">
        <v>554</v>
      </c>
      <c r="E236" s="2">
        <v>2.5</v>
      </c>
      <c r="F236" s="1">
        <f t="shared" si="3"/>
        <v>0.875</v>
      </c>
      <c r="G236" s="1">
        <v>0.375</v>
      </c>
      <c r="H236" s="1">
        <v>0.5</v>
      </c>
    </row>
    <row r="237" spans="1:8" hidden="1" x14ac:dyDescent="0.25">
      <c r="A237" s="2" t="s">
        <v>472</v>
      </c>
      <c r="B237" s="1" t="s">
        <v>656</v>
      </c>
      <c r="C237" s="1" t="s">
        <v>473</v>
      </c>
      <c r="D237" s="1" t="s">
        <v>554</v>
      </c>
      <c r="E237" s="2">
        <v>1</v>
      </c>
      <c r="F237" s="1">
        <f t="shared" si="3"/>
        <v>0.64166666666666661</v>
      </c>
      <c r="G237" s="1">
        <v>0.22499999999999998</v>
      </c>
      <c r="H237" s="1">
        <v>0.41666666666666669</v>
      </c>
    </row>
    <row r="238" spans="1:8" hidden="1" x14ac:dyDescent="0.25">
      <c r="A238" s="2" t="s">
        <v>805</v>
      </c>
      <c r="B238" s="1" t="s">
        <v>656</v>
      </c>
      <c r="C238" s="1" t="s">
        <v>806</v>
      </c>
      <c r="D238" s="1" t="s">
        <v>554</v>
      </c>
      <c r="E238" s="2">
        <v>2.5</v>
      </c>
      <c r="F238" s="1">
        <f t="shared" si="3"/>
        <v>0.875</v>
      </c>
      <c r="G238" s="1">
        <v>0.375</v>
      </c>
      <c r="H238" s="1">
        <v>0.5</v>
      </c>
    </row>
    <row r="239" spans="1:8" hidden="1" x14ac:dyDescent="0.25">
      <c r="A239" s="2" t="s">
        <v>807</v>
      </c>
      <c r="B239" s="1" t="s">
        <v>656</v>
      </c>
      <c r="C239" s="1" t="s">
        <v>808</v>
      </c>
      <c r="D239" s="1" t="s">
        <v>554</v>
      </c>
      <c r="E239" s="2">
        <v>1</v>
      </c>
      <c r="F239" s="1">
        <f t="shared" si="3"/>
        <v>0.64166666666666661</v>
      </c>
      <c r="G239" s="1">
        <v>0.22499999999999998</v>
      </c>
      <c r="H239" s="1">
        <v>0.41666666666666669</v>
      </c>
    </row>
    <row r="240" spans="1:8" hidden="1" x14ac:dyDescent="0.25">
      <c r="A240" s="2" t="s">
        <v>255</v>
      </c>
      <c r="B240" s="1" t="s">
        <v>656</v>
      </c>
      <c r="C240" s="1" t="s">
        <v>256</v>
      </c>
      <c r="D240" s="1" t="s">
        <v>554</v>
      </c>
      <c r="E240" s="2">
        <v>2.5</v>
      </c>
      <c r="F240" s="1">
        <f t="shared" si="3"/>
        <v>0.875</v>
      </c>
      <c r="G240" s="1">
        <v>0.375</v>
      </c>
      <c r="H240" s="1">
        <v>0.5</v>
      </c>
    </row>
    <row r="241" spans="1:8" hidden="1" x14ac:dyDescent="0.25">
      <c r="A241" s="2" t="s">
        <v>809</v>
      </c>
      <c r="B241" s="1" t="s">
        <v>656</v>
      </c>
      <c r="C241" s="1" t="s">
        <v>810</v>
      </c>
      <c r="D241" s="1" t="s">
        <v>554</v>
      </c>
      <c r="E241" s="2">
        <v>1</v>
      </c>
      <c r="F241" s="1">
        <f t="shared" si="3"/>
        <v>0.64166666666666661</v>
      </c>
      <c r="G241" s="1">
        <v>0.22499999999999998</v>
      </c>
      <c r="H241" s="1">
        <v>0.41666666666666669</v>
      </c>
    </row>
    <row r="242" spans="1:8" hidden="1" x14ac:dyDescent="0.25">
      <c r="A242" s="2" t="s">
        <v>811</v>
      </c>
      <c r="B242" s="1" t="s">
        <v>656</v>
      </c>
      <c r="C242" s="1" t="s">
        <v>812</v>
      </c>
      <c r="D242" s="1" t="s">
        <v>554</v>
      </c>
      <c r="E242" s="2">
        <v>2.5</v>
      </c>
      <c r="F242" s="1">
        <f t="shared" si="3"/>
        <v>0.875</v>
      </c>
      <c r="G242" s="1">
        <v>0.375</v>
      </c>
      <c r="H242" s="1">
        <v>0.5</v>
      </c>
    </row>
    <row r="243" spans="1:8" hidden="1" x14ac:dyDescent="0.25">
      <c r="A243" s="2" t="s">
        <v>813</v>
      </c>
      <c r="B243" s="1" t="s">
        <v>656</v>
      </c>
      <c r="C243" s="1" t="s">
        <v>814</v>
      </c>
      <c r="D243" s="1" t="s">
        <v>554</v>
      </c>
      <c r="E243" s="2">
        <v>1</v>
      </c>
      <c r="F243" s="1">
        <f t="shared" si="3"/>
        <v>0.64166666666666661</v>
      </c>
      <c r="G243" s="1">
        <v>0.22499999999999998</v>
      </c>
      <c r="H243" s="1">
        <v>0.41666666666666669</v>
      </c>
    </row>
    <row r="244" spans="1:8" hidden="1" x14ac:dyDescent="0.25">
      <c r="A244" s="2" t="s">
        <v>815</v>
      </c>
      <c r="B244" s="1" t="s">
        <v>656</v>
      </c>
      <c r="C244" s="1" t="s">
        <v>816</v>
      </c>
      <c r="D244" s="1" t="s">
        <v>554</v>
      </c>
      <c r="E244" s="2">
        <v>2.5</v>
      </c>
      <c r="F244" s="1">
        <f t="shared" si="3"/>
        <v>0.875</v>
      </c>
      <c r="G244" s="1">
        <v>0.375</v>
      </c>
      <c r="H244" s="1">
        <v>0.5</v>
      </c>
    </row>
    <row r="245" spans="1:8" hidden="1" x14ac:dyDescent="0.25">
      <c r="A245" s="2" t="s">
        <v>817</v>
      </c>
      <c r="B245" s="1" t="s">
        <v>656</v>
      </c>
      <c r="C245" s="1" t="s">
        <v>818</v>
      </c>
      <c r="D245" s="1" t="s">
        <v>554</v>
      </c>
      <c r="E245" s="2">
        <v>1</v>
      </c>
      <c r="F245" s="1">
        <f t="shared" si="3"/>
        <v>0.64166666666666661</v>
      </c>
      <c r="G245" s="1">
        <v>0.22499999999999998</v>
      </c>
      <c r="H245" s="1">
        <v>0.41666666666666669</v>
      </c>
    </row>
    <row r="246" spans="1:8" hidden="1" x14ac:dyDescent="0.25">
      <c r="A246" s="2" t="s">
        <v>251</v>
      </c>
      <c r="B246" s="1" t="s">
        <v>656</v>
      </c>
      <c r="C246" s="1" t="s">
        <v>252</v>
      </c>
      <c r="D246" s="1" t="s">
        <v>554</v>
      </c>
      <c r="E246" s="2">
        <v>2.5</v>
      </c>
      <c r="F246" s="1">
        <f t="shared" si="3"/>
        <v>0.875</v>
      </c>
      <c r="G246" s="1">
        <v>0.375</v>
      </c>
      <c r="H246" s="1">
        <v>0.5</v>
      </c>
    </row>
    <row r="247" spans="1:8" hidden="1" x14ac:dyDescent="0.25">
      <c r="A247" s="2" t="s">
        <v>819</v>
      </c>
      <c r="B247" s="1" t="s">
        <v>656</v>
      </c>
      <c r="C247" s="1" t="s">
        <v>820</v>
      </c>
      <c r="D247" s="1" t="s">
        <v>554</v>
      </c>
      <c r="E247" s="2">
        <v>1</v>
      </c>
      <c r="F247" s="1">
        <f t="shared" si="3"/>
        <v>0.64166666666666661</v>
      </c>
      <c r="G247" s="1">
        <v>0.22499999999999998</v>
      </c>
      <c r="H247" s="1">
        <v>0.41666666666666669</v>
      </c>
    </row>
    <row r="248" spans="1:8" hidden="1" x14ac:dyDescent="0.25">
      <c r="A248" s="2" t="s">
        <v>249</v>
      </c>
      <c r="B248" s="1" t="s">
        <v>656</v>
      </c>
      <c r="C248" s="1" t="s">
        <v>250</v>
      </c>
      <c r="D248" s="1" t="s">
        <v>554</v>
      </c>
      <c r="E248" s="2">
        <v>2.5</v>
      </c>
      <c r="F248" s="1">
        <f t="shared" si="3"/>
        <v>0.875</v>
      </c>
      <c r="G248" s="1">
        <v>0.375</v>
      </c>
      <c r="H248" s="1">
        <v>0.5</v>
      </c>
    </row>
    <row r="249" spans="1:8" hidden="1" x14ac:dyDescent="0.25">
      <c r="A249" s="2" t="s">
        <v>247</v>
      </c>
      <c r="B249" s="1" t="s">
        <v>656</v>
      </c>
      <c r="C249" s="1" t="s">
        <v>248</v>
      </c>
      <c r="D249" s="1" t="s">
        <v>554</v>
      </c>
      <c r="E249" s="2">
        <v>2.5</v>
      </c>
      <c r="F249" s="1">
        <f t="shared" si="3"/>
        <v>0.875</v>
      </c>
      <c r="G249" s="1">
        <v>0.375</v>
      </c>
      <c r="H249" s="1">
        <v>0.5</v>
      </c>
    </row>
    <row r="250" spans="1:8" hidden="1" x14ac:dyDescent="0.25">
      <c r="A250" s="2" t="s">
        <v>821</v>
      </c>
      <c r="B250" s="1" t="s">
        <v>656</v>
      </c>
      <c r="C250" s="1" t="s">
        <v>822</v>
      </c>
      <c r="D250" s="1" t="s">
        <v>554</v>
      </c>
      <c r="E250" s="2">
        <v>1</v>
      </c>
      <c r="F250" s="1">
        <f t="shared" si="3"/>
        <v>0.64166666666666661</v>
      </c>
      <c r="G250" s="1">
        <v>0.22499999999999998</v>
      </c>
      <c r="H250" s="1">
        <v>0.41666666666666669</v>
      </c>
    </row>
    <row r="251" spans="1:8" hidden="1" x14ac:dyDescent="0.25">
      <c r="A251" s="2" t="s">
        <v>530</v>
      </c>
      <c r="B251" s="1" t="s">
        <v>656</v>
      </c>
      <c r="C251" s="1" t="s">
        <v>531</v>
      </c>
      <c r="D251" s="1" t="s">
        <v>554</v>
      </c>
      <c r="E251" s="2">
        <v>1</v>
      </c>
      <c r="F251" s="1">
        <f t="shared" si="3"/>
        <v>0.64166666666666661</v>
      </c>
      <c r="G251" s="1">
        <v>0.22499999999999998</v>
      </c>
      <c r="H251" s="1">
        <v>0.41666666666666669</v>
      </c>
    </row>
    <row r="252" spans="1:8" hidden="1" x14ac:dyDescent="0.25">
      <c r="A252" s="2" t="s">
        <v>528</v>
      </c>
      <c r="B252" s="1" t="s">
        <v>656</v>
      </c>
      <c r="C252" s="1" t="s">
        <v>529</v>
      </c>
      <c r="D252" s="1" t="s">
        <v>554</v>
      </c>
      <c r="E252" s="2">
        <v>2.5</v>
      </c>
      <c r="F252" s="1">
        <f t="shared" si="3"/>
        <v>0.875</v>
      </c>
      <c r="G252" s="1">
        <v>0.375</v>
      </c>
      <c r="H252" s="1">
        <v>0.5</v>
      </c>
    </row>
    <row r="253" spans="1:8" hidden="1" x14ac:dyDescent="0.25">
      <c r="A253" s="2" t="s">
        <v>245</v>
      </c>
      <c r="B253" s="1" t="s">
        <v>656</v>
      </c>
      <c r="C253" s="1" t="s">
        <v>246</v>
      </c>
      <c r="D253" s="1" t="s">
        <v>554</v>
      </c>
      <c r="E253" s="2">
        <v>1</v>
      </c>
      <c r="F253" s="1">
        <f t="shared" si="3"/>
        <v>0.64166666666666661</v>
      </c>
      <c r="G253" s="1">
        <v>0.22499999999999998</v>
      </c>
      <c r="H253" s="1">
        <v>0.41666666666666669</v>
      </c>
    </row>
    <row r="254" spans="1:8" hidden="1" x14ac:dyDescent="0.25">
      <c r="A254" s="2" t="s">
        <v>243</v>
      </c>
      <c r="B254" s="1" t="s">
        <v>656</v>
      </c>
      <c r="C254" s="1" t="s">
        <v>244</v>
      </c>
      <c r="D254" s="1" t="s">
        <v>554</v>
      </c>
      <c r="E254" s="2">
        <v>2.5</v>
      </c>
      <c r="F254" s="1">
        <f t="shared" si="3"/>
        <v>0.875</v>
      </c>
      <c r="G254" s="1">
        <v>0.375</v>
      </c>
      <c r="H254" s="1">
        <v>0.5</v>
      </c>
    </row>
    <row r="255" spans="1:8" hidden="1" x14ac:dyDescent="0.25">
      <c r="A255" s="2" t="s">
        <v>823</v>
      </c>
      <c r="B255" s="1" t="s">
        <v>656</v>
      </c>
      <c r="C255" s="1" t="s">
        <v>824</v>
      </c>
      <c r="D255" s="1" t="s">
        <v>554</v>
      </c>
      <c r="E255" s="2">
        <v>1</v>
      </c>
      <c r="F255" s="1">
        <f t="shared" si="3"/>
        <v>0.64166666666666661</v>
      </c>
      <c r="G255" s="1">
        <v>0.22499999999999998</v>
      </c>
      <c r="H255" s="1">
        <v>0.41666666666666669</v>
      </c>
    </row>
    <row r="256" spans="1:8" hidden="1" x14ac:dyDescent="0.25">
      <c r="A256" s="2" t="s">
        <v>242</v>
      </c>
      <c r="B256" s="1" t="s">
        <v>656</v>
      </c>
      <c r="C256" s="1" t="s">
        <v>825</v>
      </c>
      <c r="D256" s="1" t="s">
        <v>554</v>
      </c>
      <c r="E256" s="2">
        <v>2.5</v>
      </c>
      <c r="F256" s="1">
        <f t="shared" si="3"/>
        <v>0.875</v>
      </c>
      <c r="G256" s="1">
        <v>0.375</v>
      </c>
      <c r="H256" s="1">
        <v>0.5</v>
      </c>
    </row>
    <row r="257" spans="1:8" hidden="1" x14ac:dyDescent="0.25">
      <c r="A257" s="2" t="s">
        <v>240</v>
      </c>
      <c r="B257" s="1" t="s">
        <v>656</v>
      </c>
      <c r="C257" s="1" t="s">
        <v>241</v>
      </c>
      <c r="D257" s="1" t="s">
        <v>554</v>
      </c>
      <c r="E257" s="2">
        <v>1</v>
      </c>
      <c r="F257" s="1">
        <f t="shared" si="3"/>
        <v>0.64166666666666661</v>
      </c>
      <c r="G257" s="1">
        <v>0.22499999999999998</v>
      </c>
      <c r="H257" s="1">
        <v>0.41666666666666669</v>
      </c>
    </row>
    <row r="258" spans="1:8" hidden="1" x14ac:dyDescent="0.25">
      <c r="A258" s="2" t="s">
        <v>238</v>
      </c>
      <c r="B258" s="1" t="s">
        <v>656</v>
      </c>
      <c r="C258" s="1" t="s">
        <v>239</v>
      </c>
      <c r="D258" s="1" t="s">
        <v>554</v>
      </c>
      <c r="E258" s="2">
        <v>2.5</v>
      </c>
      <c r="F258" s="1">
        <f t="shared" si="3"/>
        <v>0.875</v>
      </c>
      <c r="G258" s="1">
        <v>0.375</v>
      </c>
      <c r="H258" s="1">
        <v>0.5</v>
      </c>
    </row>
    <row r="259" spans="1:8" hidden="1" x14ac:dyDescent="0.25">
      <c r="A259" s="2" t="s">
        <v>409</v>
      </c>
      <c r="B259" s="1" t="s">
        <v>656</v>
      </c>
      <c r="C259" s="1" t="s">
        <v>410</v>
      </c>
      <c r="D259" s="1" t="s">
        <v>554</v>
      </c>
      <c r="E259" s="2">
        <v>1</v>
      </c>
      <c r="F259" s="1">
        <f t="shared" ref="F259:F322" si="4">G259+H259</f>
        <v>0.64166666666666661</v>
      </c>
      <c r="G259" s="1">
        <v>0.22499999999999998</v>
      </c>
      <c r="H259" s="1">
        <v>0.41666666666666669</v>
      </c>
    </row>
    <row r="260" spans="1:8" hidden="1" x14ac:dyDescent="0.25">
      <c r="A260" s="2" t="s">
        <v>505</v>
      </c>
      <c r="B260" s="1" t="s">
        <v>656</v>
      </c>
      <c r="C260" s="1" t="s">
        <v>506</v>
      </c>
      <c r="D260" s="1" t="s">
        <v>554</v>
      </c>
      <c r="E260" s="2">
        <v>2.5</v>
      </c>
      <c r="F260" s="1">
        <f t="shared" si="4"/>
        <v>0.875</v>
      </c>
      <c r="G260" s="1">
        <v>0.375</v>
      </c>
      <c r="H260" s="1">
        <v>0.5</v>
      </c>
    </row>
    <row r="261" spans="1:8" hidden="1" x14ac:dyDescent="0.25">
      <c r="A261" s="2" t="s">
        <v>526</v>
      </c>
      <c r="B261" s="1" t="s">
        <v>656</v>
      </c>
      <c r="C261" s="1" t="s">
        <v>527</v>
      </c>
      <c r="D261" s="1" t="s">
        <v>554</v>
      </c>
      <c r="E261" s="2">
        <v>1</v>
      </c>
      <c r="F261" s="1">
        <f t="shared" si="4"/>
        <v>0.64166666666666661</v>
      </c>
      <c r="G261" s="1">
        <v>0.22499999999999998</v>
      </c>
      <c r="H261" s="1">
        <v>0.41666666666666669</v>
      </c>
    </row>
    <row r="262" spans="1:8" hidden="1" x14ac:dyDescent="0.25">
      <c r="A262" s="2" t="s">
        <v>236</v>
      </c>
      <c r="B262" s="1" t="s">
        <v>656</v>
      </c>
      <c r="C262" s="1" t="s">
        <v>237</v>
      </c>
      <c r="D262" s="1" t="s">
        <v>554</v>
      </c>
      <c r="E262" s="2">
        <v>2.5</v>
      </c>
      <c r="F262" s="1">
        <f t="shared" si="4"/>
        <v>0.875</v>
      </c>
      <c r="G262" s="1">
        <v>0.375</v>
      </c>
      <c r="H262" s="1">
        <v>0.5</v>
      </c>
    </row>
    <row r="263" spans="1:8" hidden="1" x14ac:dyDescent="0.25">
      <c r="A263" s="2" t="s">
        <v>826</v>
      </c>
      <c r="B263" s="1" t="s">
        <v>656</v>
      </c>
      <c r="C263" s="1" t="s">
        <v>827</v>
      </c>
      <c r="D263" s="1" t="s">
        <v>554</v>
      </c>
      <c r="E263" s="2">
        <v>1</v>
      </c>
      <c r="F263" s="1">
        <f t="shared" si="4"/>
        <v>0.64166666666666661</v>
      </c>
      <c r="G263" s="1">
        <v>0.22499999999999998</v>
      </c>
      <c r="H263" s="1">
        <v>0.41666666666666669</v>
      </c>
    </row>
    <row r="264" spans="1:8" hidden="1" x14ac:dyDescent="0.25">
      <c r="A264" s="2" t="s">
        <v>235</v>
      </c>
      <c r="B264" s="1" t="s">
        <v>656</v>
      </c>
      <c r="C264" s="1" t="s">
        <v>828</v>
      </c>
      <c r="D264" s="1" t="s">
        <v>554</v>
      </c>
      <c r="E264" s="2">
        <v>2.5</v>
      </c>
      <c r="F264" s="1">
        <f t="shared" si="4"/>
        <v>0.875</v>
      </c>
      <c r="G264" s="1">
        <v>0.375</v>
      </c>
      <c r="H264" s="1">
        <v>0.5</v>
      </c>
    </row>
    <row r="265" spans="1:8" hidden="1" x14ac:dyDescent="0.25">
      <c r="A265" s="2" t="s">
        <v>829</v>
      </c>
      <c r="B265" s="1" t="s">
        <v>656</v>
      </c>
      <c r="C265" s="1" t="s">
        <v>830</v>
      </c>
      <c r="D265" s="1" t="s">
        <v>554</v>
      </c>
      <c r="E265" s="2">
        <v>1</v>
      </c>
      <c r="F265" s="1">
        <f t="shared" si="4"/>
        <v>0.64166666666666661</v>
      </c>
      <c r="G265" s="1">
        <v>0.22499999999999998</v>
      </c>
      <c r="H265" s="1">
        <v>0.41666666666666669</v>
      </c>
    </row>
    <row r="266" spans="1:8" hidden="1" x14ac:dyDescent="0.25">
      <c r="A266" s="2" t="s">
        <v>831</v>
      </c>
      <c r="B266" s="1" t="s">
        <v>656</v>
      </c>
      <c r="C266" s="1" t="s">
        <v>832</v>
      </c>
      <c r="D266" s="1" t="s">
        <v>554</v>
      </c>
      <c r="E266" s="2">
        <v>2.5</v>
      </c>
      <c r="F266" s="1">
        <f t="shared" si="4"/>
        <v>0.875</v>
      </c>
      <c r="G266" s="1">
        <v>0.375</v>
      </c>
      <c r="H266" s="1">
        <v>0.5</v>
      </c>
    </row>
    <row r="267" spans="1:8" hidden="1" x14ac:dyDescent="0.25">
      <c r="A267" s="2" t="s">
        <v>833</v>
      </c>
      <c r="B267" s="1" t="s">
        <v>656</v>
      </c>
      <c r="C267" s="1" t="s">
        <v>834</v>
      </c>
      <c r="D267" s="1" t="s">
        <v>554</v>
      </c>
      <c r="E267" s="2">
        <v>1</v>
      </c>
      <c r="F267" s="1">
        <f t="shared" si="4"/>
        <v>0.64166666666666661</v>
      </c>
      <c r="G267" s="1">
        <v>0.22499999999999998</v>
      </c>
      <c r="H267" s="1">
        <v>0.41666666666666669</v>
      </c>
    </row>
    <row r="268" spans="1:8" hidden="1" x14ac:dyDescent="0.25">
      <c r="A268" s="2" t="s">
        <v>835</v>
      </c>
      <c r="B268" s="1" t="s">
        <v>656</v>
      </c>
      <c r="C268" s="1" t="s">
        <v>836</v>
      </c>
      <c r="D268" s="1" t="s">
        <v>554</v>
      </c>
      <c r="E268" s="2">
        <v>2.5</v>
      </c>
      <c r="F268" s="1">
        <f t="shared" si="4"/>
        <v>0.875</v>
      </c>
      <c r="G268" s="1">
        <v>0.375</v>
      </c>
      <c r="H268" s="1">
        <v>0.5</v>
      </c>
    </row>
    <row r="269" spans="1:8" hidden="1" x14ac:dyDescent="0.25">
      <c r="A269" s="2" t="s">
        <v>219</v>
      </c>
      <c r="B269" s="1" t="s">
        <v>656</v>
      </c>
      <c r="C269" s="1" t="s">
        <v>220</v>
      </c>
      <c r="D269" s="1" t="s">
        <v>554</v>
      </c>
      <c r="E269" s="2">
        <v>1</v>
      </c>
      <c r="F269" s="1">
        <f t="shared" si="4"/>
        <v>0.64166666666666661</v>
      </c>
      <c r="G269" s="1">
        <v>0.22499999999999998</v>
      </c>
      <c r="H269" s="1">
        <v>0.41666666666666669</v>
      </c>
    </row>
    <row r="270" spans="1:8" hidden="1" x14ac:dyDescent="0.25">
      <c r="A270" s="2" t="s">
        <v>216</v>
      </c>
      <c r="B270" s="1" t="s">
        <v>656</v>
      </c>
      <c r="C270" s="1" t="s">
        <v>217</v>
      </c>
      <c r="D270" s="1" t="s">
        <v>554</v>
      </c>
      <c r="E270" s="2">
        <v>2.5</v>
      </c>
      <c r="F270" s="1">
        <f t="shared" si="4"/>
        <v>0.875</v>
      </c>
      <c r="G270" s="1">
        <v>0.375</v>
      </c>
      <c r="H270" s="1">
        <v>0.5</v>
      </c>
    </row>
    <row r="271" spans="1:8" hidden="1" x14ac:dyDescent="0.25">
      <c r="A271" s="2" t="s">
        <v>837</v>
      </c>
      <c r="B271" s="1" t="s">
        <v>656</v>
      </c>
      <c r="C271" s="1" t="s">
        <v>838</v>
      </c>
      <c r="D271" s="1" t="s">
        <v>554</v>
      </c>
      <c r="E271" s="2">
        <v>1</v>
      </c>
      <c r="F271" s="1">
        <f t="shared" si="4"/>
        <v>0.64166666666666661</v>
      </c>
      <c r="G271" s="1">
        <v>0.22499999999999998</v>
      </c>
      <c r="H271" s="1">
        <v>0.41666666666666669</v>
      </c>
    </row>
    <row r="272" spans="1:8" hidden="1" x14ac:dyDescent="0.25">
      <c r="A272" s="2" t="s">
        <v>545</v>
      </c>
      <c r="B272" s="1" t="s">
        <v>656</v>
      </c>
      <c r="C272" s="1" t="s">
        <v>546</v>
      </c>
      <c r="D272" s="1" t="s">
        <v>554</v>
      </c>
      <c r="E272" s="2">
        <v>2.5</v>
      </c>
      <c r="F272" s="1">
        <f t="shared" si="4"/>
        <v>0.875</v>
      </c>
      <c r="G272" s="1">
        <v>0.375</v>
      </c>
      <c r="H272" s="1">
        <v>0.5</v>
      </c>
    </row>
    <row r="273" spans="1:8" hidden="1" x14ac:dyDescent="0.25">
      <c r="A273" s="2" t="s">
        <v>221</v>
      </c>
      <c r="B273" s="1" t="s">
        <v>656</v>
      </c>
      <c r="C273" s="1" t="s">
        <v>222</v>
      </c>
      <c r="D273" s="1" t="s">
        <v>554</v>
      </c>
      <c r="E273" s="2">
        <v>1</v>
      </c>
      <c r="F273" s="1">
        <f t="shared" si="4"/>
        <v>0.64166666666666661</v>
      </c>
      <c r="G273" s="1">
        <v>0.22499999999999998</v>
      </c>
      <c r="H273" s="1">
        <v>0.41666666666666669</v>
      </c>
    </row>
    <row r="274" spans="1:8" hidden="1" x14ac:dyDescent="0.25">
      <c r="A274" s="2" t="s">
        <v>218</v>
      </c>
      <c r="B274" s="1" t="s">
        <v>656</v>
      </c>
      <c r="C274" s="1" t="s">
        <v>839</v>
      </c>
      <c r="D274" s="1" t="s">
        <v>554</v>
      </c>
      <c r="E274" s="2">
        <v>2.5</v>
      </c>
      <c r="F274" s="1">
        <f t="shared" si="4"/>
        <v>0.875</v>
      </c>
      <c r="G274" s="1">
        <v>0.375</v>
      </c>
      <c r="H274" s="1">
        <v>0.5</v>
      </c>
    </row>
    <row r="275" spans="1:8" hidden="1" x14ac:dyDescent="0.25">
      <c r="A275" s="2" t="s">
        <v>840</v>
      </c>
      <c r="B275" s="1" t="s">
        <v>656</v>
      </c>
      <c r="C275" s="1" t="s">
        <v>841</v>
      </c>
      <c r="D275" s="1" t="s">
        <v>554</v>
      </c>
      <c r="E275" s="2">
        <v>1</v>
      </c>
      <c r="F275" s="1">
        <f t="shared" si="4"/>
        <v>0.64166666666666661</v>
      </c>
      <c r="G275" s="1">
        <v>0.22499999999999998</v>
      </c>
      <c r="H275" s="1">
        <v>0.41666666666666669</v>
      </c>
    </row>
    <row r="276" spans="1:8" hidden="1" x14ac:dyDescent="0.25">
      <c r="A276" s="2" t="s">
        <v>842</v>
      </c>
      <c r="B276" s="1" t="s">
        <v>656</v>
      </c>
      <c r="C276" s="1" t="s">
        <v>843</v>
      </c>
      <c r="D276" s="1" t="s">
        <v>554</v>
      </c>
      <c r="E276" s="2">
        <v>2.5</v>
      </c>
      <c r="F276" s="1">
        <f t="shared" si="4"/>
        <v>0.875</v>
      </c>
      <c r="G276" s="1">
        <v>0.375</v>
      </c>
      <c r="H276" s="1">
        <v>0.5</v>
      </c>
    </row>
    <row r="277" spans="1:8" hidden="1" x14ac:dyDescent="0.25">
      <c r="A277" s="2" t="s">
        <v>844</v>
      </c>
      <c r="B277" s="1" t="s">
        <v>656</v>
      </c>
      <c r="C277" s="1" t="s">
        <v>845</v>
      </c>
      <c r="D277" s="1" t="s">
        <v>554</v>
      </c>
      <c r="E277" s="2">
        <v>1</v>
      </c>
      <c r="F277" s="1">
        <f t="shared" si="4"/>
        <v>0.64166666666666661</v>
      </c>
      <c r="G277" s="1">
        <v>0.22499999999999998</v>
      </c>
      <c r="H277" s="1">
        <v>0.41666666666666669</v>
      </c>
    </row>
    <row r="278" spans="1:8" hidden="1" x14ac:dyDescent="0.25">
      <c r="A278" s="2" t="s">
        <v>525</v>
      </c>
      <c r="B278" s="1" t="s">
        <v>656</v>
      </c>
      <c r="C278" s="1" t="s">
        <v>846</v>
      </c>
      <c r="D278" s="1" t="s">
        <v>554</v>
      </c>
      <c r="E278" s="2">
        <v>2.5</v>
      </c>
      <c r="F278" s="1">
        <f t="shared" si="4"/>
        <v>0.875</v>
      </c>
      <c r="G278" s="1">
        <v>0.375</v>
      </c>
      <c r="H278" s="1">
        <v>0.5</v>
      </c>
    </row>
    <row r="279" spans="1:8" hidden="1" x14ac:dyDescent="0.25">
      <c r="A279" s="2" t="s">
        <v>215</v>
      </c>
      <c r="B279" s="1" t="s">
        <v>656</v>
      </c>
      <c r="C279" s="1" t="s">
        <v>847</v>
      </c>
      <c r="D279" s="1" t="s">
        <v>554</v>
      </c>
      <c r="E279" s="2">
        <v>1</v>
      </c>
      <c r="F279" s="1">
        <f t="shared" si="4"/>
        <v>0.64166666666666661</v>
      </c>
      <c r="G279" s="1">
        <v>0.22499999999999998</v>
      </c>
      <c r="H279" s="1">
        <v>0.41666666666666669</v>
      </c>
    </row>
    <row r="280" spans="1:8" hidden="1" x14ac:dyDescent="0.25">
      <c r="A280" s="2" t="s">
        <v>214</v>
      </c>
      <c r="B280" s="1" t="s">
        <v>656</v>
      </c>
      <c r="C280" s="1" t="s">
        <v>848</v>
      </c>
      <c r="D280" s="1" t="s">
        <v>554</v>
      </c>
      <c r="E280" s="2">
        <v>2.5</v>
      </c>
      <c r="F280" s="1">
        <f t="shared" si="4"/>
        <v>0.875</v>
      </c>
      <c r="G280" s="1">
        <v>0.375</v>
      </c>
      <c r="H280" s="1">
        <v>0.5</v>
      </c>
    </row>
    <row r="281" spans="1:8" hidden="1" x14ac:dyDescent="0.25">
      <c r="A281" s="2" t="s">
        <v>213</v>
      </c>
      <c r="B281" s="1" t="s">
        <v>656</v>
      </c>
      <c r="C281" s="1" t="s">
        <v>849</v>
      </c>
      <c r="D281" s="1" t="s">
        <v>554</v>
      </c>
      <c r="E281" s="2">
        <v>0.25</v>
      </c>
      <c r="F281" s="1">
        <f t="shared" si="4"/>
        <v>0.47499999999999998</v>
      </c>
      <c r="G281" s="1">
        <v>0.22499999999999998</v>
      </c>
      <c r="H281" s="62">
        <v>0.25</v>
      </c>
    </row>
    <row r="282" spans="1:8" hidden="1" x14ac:dyDescent="0.25">
      <c r="A282" s="2" t="s">
        <v>211</v>
      </c>
      <c r="B282" s="1" t="s">
        <v>656</v>
      </c>
      <c r="C282" s="1" t="s">
        <v>212</v>
      </c>
      <c r="D282" s="1" t="s">
        <v>554</v>
      </c>
      <c r="E282" s="2">
        <v>1</v>
      </c>
      <c r="F282" s="1">
        <f t="shared" si="4"/>
        <v>0.64166666666666661</v>
      </c>
      <c r="G282" s="1">
        <v>0.22499999999999998</v>
      </c>
      <c r="H282" s="1">
        <v>0.41666666666666669</v>
      </c>
    </row>
    <row r="283" spans="1:8" hidden="1" x14ac:dyDescent="0.25">
      <c r="A283" s="2" t="s">
        <v>209</v>
      </c>
      <c r="B283" s="1" t="s">
        <v>656</v>
      </c>
      <c r="C283" s="1" t="s">
        <v>210</v>
      </c>
      <c r="D283" s="1" t="s">
        <v>554</v>
      </c>
      <c r="E283" s="2">
        <v>2.5</v>
      </c>
      <c r="F283" s="1">
        <f t="shared" si="4"/>
        <v>0.875</v>
      </c>
      <c r="G283" s="1">
        <v>0.375</v>
      </c>
      <c r="H283" s="1">
        <v>0.5</v>
      </c>
    </row>
    <row r="284" spans="1:8" hidden="1" x14ac:dyDescent="0.25">
      <c r="A284" s="2" t="s">
        <v>207</v>
      </c>
      <c r="B284" s="1" t="s">
        <v>656</v>
      </c>
      <c r="C284" s="1" t="s">
        <v>208</v>
      </c>
      <c r="D284" s="1" t="s">
        <v>554</v>
      </c>
      <c r="E284" s="2">
        <v>1</v>
      </c>
      <c r="F284" s="1">
        <f t="shared" si="4"/>
        <v>0.64166666666666661</v>
      </c>
      <c r="G284" s="1">
        <v>0.22499999999999998</v>
      </c>
      <c r="H284" s="1">
        <v>0.41666666666666669</v>
      </c>
    </row>
    <row r="285" spans="1:8" hidden="1" x14ac:dyDescent="0.25">
      <c r="A285" s="2" t="s">
        <v>206</v>
      </c>
      <c r="B285" s="1" t="s">
        <v>656</v>
      </c>
      <c r="C285" s="1" t="s">
        <v>850</v>
      </c>
      <c r="D285" s="1" t="s">
        <v>554</v>
      </c>
      <c r="E285" s="2">
        <v>2.5</v>
      </c>
      <c r="F285" s="1">
        <f t="shared" si="4"/>
        <v>0.875</v>
      </c>
      <c r="G285" s="1">
        <v>0.375</v>
      </c>
      <c r="H285" s="1">
        <v>0.5</v>
      </c>
    </row>
    <row r="286" spans="1:8" hidden="1" x14ac:dyDescent="0.25">
      <c r="A286" s="2" t="s">
        <v>205</v>
      </c>
      <c r="B286" s="1" t="s">
        <v>656</v>
      </c>
      <c r="C286" s="1" t="s">
        <v>851</v>
      </c>
      <c r="D286" s="1" t="s">
        <v>554</v>
      </c>
      <c r="E286" s="2">
        <v>1</v>
      </c>
      <c r="F286" s="1">
        <f t="shared" si="4"/>
        <v>0.64166666666666661</v>
      </c>
      <c r="G286" s="1">
        <v>0.22499999999999998</v>
      </c>
      <c r="H286" s="1">
        <v>0.41666666666666669</v>
      </c>
    </row>
    <row r="287" spans="1:8" hidden="1" x14ac:dyDescent="0.25">
      <c r="A287" s="2" t="s">
        <v>204</v>
      </c>
      <c r="B287" s="1" t="s">
        <v>656</v>
      </c>
      <c r="C287" s="1" t="s">
        <v>852</v>
      </c>
      <c r="D287" s="1" t="s">
        <v>554</v>
      </c>
      <c r="E287" s="2">
        <v>2.5</v>
      </c>
      <c r="F287" s="1">
        <f t="shared" si="4"/>
        <v>0.875</v>
      </c>
      <c r="G287" s="1">
        <v>0.375</v>
      </c>
      <c r="H287" s="1">
        <v>0.5</v>
      </c>
    </row>
    <row r="288" spans="1:8" hidden="1" x14ac:dyDescent="0.25">
      <c r="A288" s="2" t="s">
        <v>202</v>
      </c>
      <c r="B288" s="1" t="s">
        <v>656</v>
      </c>
      <c r="C288" s="1" t="s">
        <v>203</v>
      </c>
      <c r="D288" s="1" t="s">
        <v>554</v>
      </c>
      <c r="E288" s="2">
        <v>1</v>
      </c>
      <c r="F288" s="1">
        <f t="shared" si="4"/>
        <v>0.64166666666666661</v>
      </c>
      <c r="G288" s="1">
        <v>0.22499999999999998</v>
      </c>
      <c r="H288" s="1">
        <v>0.41666666666666669</v>
      </c>
    </row>
    <row r="289" spans="1:8" hidden="1" x14ac:dyDescent="0.25">
      <c r="A289" s="2" t="s">
        <v>853</v>
      </c>
      <c r="B289" s="1" t="s">
        <v>656</v>
      </c>
      <c r="C289" s="1" t="s">
        <v>854</v>
      </c>
      <c r="D289" s="1" t="s">
        <v>554</v>
      </c>
      <c r="E289" s="2">
        <v>2.5</v>
      </c>
      <c r="F289" s="1">
        <f t="shared" si="4"/>
        <v>0.875</v>
      </c>
      <c r="G289" s="1">
        <v>0.375</v>
      </c>
      <c r="H289" s="1">
        <v>0.5</v>
      </c>
    </row>
    <row r="290" spans="1:8" hidden="1" x14ac:dyDescent="0.25">
      <c r="A290" s="2" t="s">
        <v>407</v>
      </c>
      <c r="B290" s="1" t="s">
        <v>656</v>
      </c>
      <c r="C290" s="1" t="s">
        <v>408</v>
      </c>
      <c r="D290" s="1" t="s">
        <v>554</v>
      </c>
      <c r="E290" s="2">
        <v>1</v>
      </c>
      <c r="F290" s="1">
        <f t="shared" si="4"/>
        <v>0.64166666666666661</v>
      </c>
      <c r="G290" s="1">
        <v>0.22499999999999998</v>
      </c>
      <c r="H290" s="1">
        <v>0.41666666666666669</v>
      </c>
    </row>
    <row r="291" spans="1:8" hidden="1" x14ac:dyDescent="0.25">
      <c r="A291" s="2" t="s">
        <v>198</v>
      </c>
      <c r="B291" s="1" t="s">
        <v>656</v>
      </c>
      <c r="C291" s="1" t="s">
        <v>199</v>
      </c>
      <c r="D291" s="1" t="s">
        <v>554</v>
      </c>
      <c r="E291" s="2">
        <v>2.5</v>
      </c>
      <c r="F291" s="1">
        <f t="shared" si="4"/>
        <v>0.875</v>
      </c>
      <c r="G291" s="1">
        <v>0.375</v>
      </c>
      <c r="H291" s="1">
        <v>0.5</v>
      </c>
    </row>
    <row r="292" spans="1:8" hidden="1" x14ac:dyDescent="0.25">
      <c r="A292" s="2" t="s">
        <v>196</v>
      </c>
      <c r="B292" s="1" t="s">
        <v>656</v>
      </c>
      <c r="C292" s="1" t="s">
        <v>197</v>
      </c>
      <c r="D292" s="1" t="s">
        <v>554</v>
      </c>
      <c r="E292" s="2">
        <v>1</v>
      </c>
      <c r="F292" s="1">
        <f t="shared" si="4"/>
        <v>0.64166666666666661</v>
      </c>
      <c r="G292" s="1">
        <v>0.22499999999999998</v>
      </c>
      <c r="H292" s="1">
        <v>0.41666666666666669</v>
      </c>
    </row>
    <row r="293" spans="1:8" hidden="1" x14ac:dyDescent="0.25">
      <c r="A293" s="2" t="s">
        <v>503</v>
      </c>
      <c r="B293" s="1" t="s">
        <v>656</v>
      </c>
      <c r="C293" s="1" t="s">
        <v>504</v>
      </c>
      <c r="D293" s="1" t="s">
        <v>554</v>
      </c>
      <c r="E293" s="2">
        <v>2.5</v>
      </c>
      <c r="F293" s="1">
        <f t="shared" si="4"/>
        <v>0.875</v>
      </c>
      <c r="G293" s="1">
        <v>0.375</v>
      </c>
      <c r="H293" s="1">
        <v>0.5</v>
      </c>
    </row>
    <row r="294" spans="1:8" hidden="1" x14ac:dyDescent="0.25">
      <c r="A294" s="2" t="s">
        <v>194</v>
      </c>
      <c r="B294" s="1" t="s">
        <v>656</v>
      </c>
      <c r="C294" s="1" t="s">
        <v>195</v>
      </c>
      <c r="D294" s="1" t="s">
        <v>554</v>
      </c>
      <c r="E294" s="2">
        <v>1</v>
      </c>
      <c r="F294" s="1">
        <f t="shared" si="4"/>
        <v>0.64166666666666661</v>
      </c>
      <c r="G294" s="1">
        <v>0.22499999999999998</v>
      </c>
      <c r="H294" s="1">
        <v>0.41666666666666669</v>
      </c>
    </row>
    <row r="295" spans="1:8" hidden="1" x14ac:dyDescent="0.25">
      <c r="A295" s="2" t="s">
        <v>192</v>
      </c>
      <c r="B295" s="1" t="s">
        <v>656</v>
      </c>
      <c r="C295" s="1" t="s">
        <v>193</v>
      </c>
      <c r="D295" s="1" t="s">
        <v>554</v>
      </c>
      <c r="E295" s="2">
        <v>2.5</v>
      </c>
      <c r="F295" s="1">
        <f t="shared" si="4"/>
        <v>0.875</v>
      </c>
      <c r="G295" s="1">
        <v>0.375</v>
      </c>
      <c r="H295" s="1">
        <v>0.5</v>
      </c>
    </row>
    <row r="296" spans="1:8" hidden="1" x14ac:dyDescent="0.25">
      <c r="A296" s="2" t="s">
        <v>190</v>
      </c>
      <c r="B296" s="1" t="s">
        <v>656</v>
      </c>
      <c r="C296" s="1" t="s">
        <v>191</v>
      </c>
      <c r="D296" s="1" t="s">
        <v>554</v>
      </c>
      <c r="E296" s="2">
        <v>1</v>
      </c>
      <c r="F296" s="1">
        <f t="shared" si="4"/>
        <v>0.64166666666666661</v>
      </c>
      <c r="G296" s="1">
        <v>0.22499999999999998</v>
      </c>
      <c r="H296" s="1">
        <v>0.41666666666666669</v>
      </c>
    </row>
    <row r="297" spans="1:8" hidden="1" x14ac:dyDescent="0.25">
      <c r="A297" s="2" t="s">
        <v>855</v>
      </c>
      <c r="B297" s="1" t="s">
        <v>656</v>
      </c>
      <c r="C297" s="1" t="s">
        <v>856</v>
      </c>
      <c r="D297" s="1" t="s">
        <v>554</v>
      </c>
      <c r="E297" s="2">
        <v>2.5</v>
      </c>
      <c r="F297" s="1">
        <f t="shared" si="4"/>
        <v>0.875</v>
      </c>
      <c r="G297" s="1">
        <v>0.375</v>
      </c>
      <c r="H297" s="1">
        <v>0.5</v>
      </c>
    </row>
    <row r="298" spans="1:8" hidden="1" x14ac:dyDescent="0.25">
      <c r="A298" s="2" t="s">
        <v>857</v>
      </c>
      <c r="B298" s="1" t="s">
        <v>656</v>
      </c>
      <c r="C298" s="1" t="s">
        <v>858</v>
      </c>
      <c r="D298" s="1" t="s">
        <v>554</v>
      </c>
      <c r="E298" s="2">
        <v>1</v>
      </c>
      <c r="F298" s="1">
        <f t="shared" si="4"/>
        <v>0.64166666666666661</v>
      </c>
      <c r="G298" s="1">
        <v>0.22499999999999998</v>
      </c>
      <c r="H298" s="1">
        <v>0.41666666666666669</v>
      </c>
    </row>
    <row r="299" spans="1:8" hidden="1" x14ac:dyDescent="0.25">
      <c r="A299" s="2" t="s">
        <v>859</v>
      </c>
      <c r="B299" s="1" t="s">
        <v>656</v>
      </c>
      <c r="C299" s="1" t="s">
        <v>860</v>
      </c>
      <c r="D299" s="1" t="s">
        <v>554</v>
      </c>
      <c r="E299" s="2">
        <v>2.5</v>
      </c>
      <c r="F299" s="1">
        <f t="shared" si="4"/>
        <v>0.875</v>
      </c>
      <c r="G299" s="1">
        <v>0.375</v>
      </c>
      <c r="H299" s="1">
        <v>0.5</v>
      </c>
    </row>
    <row r="300" spans="1:8" hidden="1" x14ac:dyDescent="0.25">
      <c r="A300" s="2" t="s">
        <v>861</v>
      </c>
      <c r="B300" s="1" t="s">
        <v>656</v>
      </c>
      <c r="C300" s="1" t="s">
        <v>862</v>
      </c>
      <c r="D300" s="1" t="s">
        <v>554</v>
      </c>
      <c r="E300" s="2">
        <v>1</v>
      </c>
      <c r="F300" s="1">
        <f t="shared" si="4"/>
        <v>0.64166666666666661</v>
      </c>
      <c r="G300" s="1">
        <v>0.22499999999999998</v>
      </c>
      <c r="H300" s="1">
        <v>0.41666666666666669</v>
      </c>
    </row>
    <row r="301" spans="1:8" hidden="1" x14ac:dyDescent="0.25">
      <c r="A301" s="2" t="s">
        <v>863</v>
      </c>
      <c r="B301" s="1" t="s">
        <v>656</v>
      </c>
      <c r="C301" s="1" t="s">
        <v>864</v>
      </c>
      <c r="D301" s="1" t="s">
        <v>554</v>
      </c>
      <c r="E301" s="2">
        <v>2.5</v>
      </c>
      <c r="F301" s="1">
        <f t="shared" si="4"/>
        <v>0.875</v>
      </c>
      <c r="G301" s="1">
        <v>0.375</v>
      </c>
      <c r="H301" s="1">
        <v>0.5</v>
      </c>
    </row>
    <row r="302" spans="1:8" hidden="1" x14ac:dyDescent="0.25">
      <c r="A302" s="2" t="s">
        <v>865</v>
      </c>
      <c r="B302" s="1" t="s">
        <v>656</v>
      </c>
      <c r="C302" s="1" t="s">
        <v>866</v>
      </c>
      <c r="D302" s="1" t="s">
        <v>554</v>
      </c>
      <c r="E302" s="2">
        <v>1</v>
      </c>
      <c r="F302" s="1">
        <f t="shared" si="4"/>
        <v>0.64166666666666661</v>
      </c>
      <c r="G302" s="1">
        <v>0.22499999999999998</v>
      </c>
      <c r="H302" s="1">
        <v>0.41666666666666669</v>
      </c>
    </row>
    <row r="303" spans="1:8" hidden="1" x14ac:dyDescent="0.25">
      <c r="A303" s="2" t="s">
        <v>867</v>
      </c>
      <c r="B303" s="1" t="s">
        <v>656</v>
      </c>
      <c r="C303" s="1" t="s">
        <v>868</v>
      </c>
      <c r="D303" s="1" t="s">
        <v>554</v>
      </c>
      <c r="E303" s="2">
        <v>2.5</v>
      </c>
      <c r="F303" s="1">
        <f t="shared" si="4"/>
        <v>0.875</v>
      </c>
      <c r="G303" s="1">
        <v>0.375</v>
      </c>
      <c r="H303" s="1">
        <v>0.5</v>
      </c>
    </row>
    <row r="304" spans="1:8" hidden="1" x14ac:dyDescent="0.25">
      <c r="A304" s="2" t="s">
        <v>470</v>
      </c>
      <c r="B304" s="1" t="s">
        <v>656</v>
      </c>
      <c r="C304" s="1" t="s">
        <v>471</v>
      </c>
      <c r="D304" s="1" t="s">
        <v>554</v>
      </c>
      <c r="E304" s="2">
        <v>1</v>
      </c>
      <c r="F304" s="1">
        <f t="shared" si="4"/>
        <v>0.64166666666666661</v>
      </c>
      <c r="G304" s="1">
        <v>0.22499999999999998</v>
      </c>
      <c r="H304" s="1">
        <v>0.41666666666666669</v>
      </c>
    </row>
    <row r="305" spans="1:8" hidden="1" x14ac:dyDescent="0.25">
      <c r="A305" s="2" t="s">
        <v>188</v>
      </c>
      <c r="B305" s="1" t="s">
        <v>656</v>
      </c>
      <c r="C305" s="1" t="s">
        <v>189</v>
      </c>
      <c r="D305" s="1" t="s">
        <v>554</v>
      </c>
      <c r="E305" s="2">
        <v>2.5</v>
      </c>
      <c r="F305" s="1">
        <f t="shared" si="4"/>
        <v>0.875</v>
      </c>
      <c r="G305" s="1">
        <v>0.375</v>
      </c>
      <c r="H305" s="1">
        <v>0.5</v>
      </c>
    </row>
    <row r="306" spans="1:8" hidden="1" x14ac:dyDescent="0.25">
      <c r="A306" s="2" t="s">
        <v>186</v>
      </c>
      <c r="B306" s="1" t="s">
        <v>656</v>
      </c>
      <c r="C306" s="1" t="s">
        <v>187</v>
      </c>
      <c r="D306" s="1" t="s">
        <v>554</v>
      </c>
      <c r="E306" s="2">
        <v>1</v>
      </c>
      <c r="F306" s="1">
        <f t="shared" si="4"/>
        <v>0.64166666666666661</v>
      </c>
      <c r="G306" s="1">
        <v>0.22499999999999998</v>
      </c>
      <c r="H306" s="1">
        <v>0.41666666666666669</v>
      </c>
    </row>
    <row r="307" spans="1:8" hidden="1" x14ac:dyDescent="0.25">
      <c r="A307" s="2" t="s">
        <v>184</v>
      </c>
      <c r="B307" s="1" t="s">
        <v>656</v>
      </c>
      <c r="C307" s="1" t="s">
        <v>185</v>
      </c>
      <c r="D307" s="1" t="s">
        <v>554</v>
      </c>
      <c r="E307" s="2">
        <v>2.5</v>
      </c>
      <c r="F307" s="1">
        <f t="shared" si="4"/>
        <v>0.875</v>
      </c>
      <c r="G307" s="1">
        <v>0.375</v>
      </c>
      <c r="H307" s="1">
        <v>0.5</v>
      </c>
    </row>
    <row r="308" spans="1:8" hidden="1" x14ac:dyDescent="0.25">
      <c r="A308" s="2" t="s">
        <v>523</v>
      </c>
      <c r="B308" s="1" t="s">
        <v>656</v>
      </c>
      <c r="C308" s="1" t="s">
        <v>524</v>
      </c>
      <c r="D308" s="1" t="s">
        <v>554</v>
      </c>
      <c r="E308" s="2">
        <v>1</v>
      </c>
      <c r="F308" s="1">
        <f t="shared" si="4"/>
        <v>0.64166666666666661</v>
      </c>
      <c r="G308" s="1">
        <v>0.22499999999999998</v>
      </c>
      <c r="H308" s="1">
        <v>0.41666666666666669</v>
      </c>
    </row>
    <row r="309" spans="1:8" hidden="1" x14ac:dyDescent="0.25">
      <c r="A309" s="2" t="s">
        <v>183</v>
      </c>
      <c r="B309" s="1" t="s">
        <v>656</v>
      </c>
      <c r="C309" s="1" t="s">
        <v>869</v>
      </c>
      <c r="D309" s="1" t="s">
        <v>554</v>
      </c>
      <c r="E309" s="2">
        <v>2.5</v>
      </c>
      <c r="F309" s="1">
        <f t="shared" si="4"/>
        <v>0.875</v>
      </c>
      <c r="G309" s="1">
        <v>0.375</v>
      </c>
      <c r="H309" s="1">
        <v>0.5</v>
      </c>
    </row>
    <row r="310" spans="1:8" hidden="1" x14ac:dyDescent="0.25">
      <c r="A310" s="2" t="s">
        <v>181</v>
      </c>
      <c r="B310" s="1" t="s">
        <v>656</v>
      </c>
      <c r="C310" s="1" t="s">
        <v>182</v>
      </c>
      <c r="D310" s="1" t="s">
        <v>554</v>
      </c>
      <c r="E310" s="2">
        <v>1</v>
      </c>
      <c r="F310" s="1">
        <f t="shared" si="4"/>
        <v>0.64166666666666661</v>
      </c>
      <c r="G310" s="1">
        <v>0.22499999999999998</v>
      </c>
      <c r="H310" s="1">
        <v>0.41666666666666669</v>
      </c>
    </row>
    <row r="311" spans="1:8" hidden="1" x14ac:dyDescent="0.25">
      <c r="A311" s="2" t="s">
        <v>468</v>
      </c>
      <c r="B311" s="1" t="s">
        <v>656</v>
      </c>
      <c r="C311" s="1" t="s">
        <v>469</v>
      </c>
      <c r="D311" s="1" t="s">
        <v>554</v>
      </c>
      <c r="E311" s="2">
        <v>2.5</v>
      </c>
      <c r="F311" s="1">
        <f t="shared" si="4"/>
        <v>0.875</v>
      </c>
      <c r="G311" s="1">
        <v>0.375</v>
      </c>
      <c r="H311" s="1">
        <v>0.5</v>
      </c>
    </row>
    <row r="312" spans="1:8" hidden="1" x14ac:dyDescent="0.25">
      <c r="A312" s="2" t="s">
        <v>467</v>
      </c>
      <c r="B312" s="1" t="s">
        <v>656</v>
      </c>
      <c r="C312" s="1" t="s">
        <v>870</v>
      </c>
      <c r="D312" s="1" t="s">
        <v>554</v>
      </c>
      <c r="E312" s="2">
        <v>1</v>
      </c>
      <c r="F312" s="1">
        <f t="shared" si="4"/>
        <v>0.64166666666666661</v>
      </c>
      <c r="G312" s="1">
        <v>0.22499999999999998</v>
      </c>
      <c r="H312" s="1">
        <v>0.41666666666666669</v>
      </c>
    </row>
    <row r="313" spans="1:8" hidden="1" x14ac:dyDescent="0.25">
      <c r="A313" s="2" t="s">
        <v>180</v>
      </c>
      <c r="B313" s="1" t="s">
        <v>656</v>
      </c>
      <c r="C313" s="1" t="s">
        <v>871</v>
      </c>
      <c r="D313" s="1" t="s">
        <v>554</v>
      </c>
      <c r="E313" s="2">
        <v>2.5</v>
      </c>
      <c r="F313" s="1">
        <f t="shared" si="4"/>
        <v>0.875</v>
      </c>
      <c r="G313" s="1">
        <v>0.375</v>
      </c>
      <c r="H313" s="1">
        <v>0.5</v>
      </c>
    </row>
    <row r="314" spans="1:8" hidden="1" x14ac:dyDescent="0.25">
      <c r="A314" s="2" t="s">
        <v>466</v>
      </c>
      <c r="B314" s="1" t="s">
        <v>656</v>
      </c>
      <c r="C314" s="1" t="s">
        <v>872</v>
      </c>
      <c r="D314" s="1" t="s">
        <v>554</v>
      </c>
      <c r="E314" s="2">
        <v>1</v>
      </c>
      <c r="F314" s="1">
        <f t="shared" si="4"/>
        <v>0.64166666666666661</v>
      </c>
      <c r="G314" s="1">
        <v>0.22499999999999998</v>
      </c>
      <c r="H314" s="1">
        <v>0.41666666666666669</v>
      </c>
    </row>
    <row r="315" spans="1:8" hidden="1" x14ac:dyDescent="0.25">
      <c r="A315" s="2" t="s">
        <v>522</v>
      </c>
      <c r="B315" s="1" t="s">
        <v>656</v>
      </c>
      <c r="C315" s="1" t="s">
        <v>873</v>
      </c>
      <c r="D315" s="1" t="s">
        <v>554</v>
      </c>
      <c r="E315" s="2">
        <v>2.5</v>
      </c>
      <c r="F315" s="1">
        <f t="shared" si="4"/>
        <v>0.875</v>
      </c>
      <c r="G315" s="1">
        <v>0.375</v>
      </c>
      <c r="H315" s="1">
        <v>0.5</v>
      </c>
    </row>
    <row r="316" spans="1:8" hidden="1" x14ac:dyDescent="0.25">
      <c r="A316" s="2" t="s">
        <v>464</v>
      </c>
      <c r="B316" s="1" t="s">
        <v>656</v>
      </c>
      <c r="C316" s="1" t="s">
        <v>465</v>
      </c>
      <c r="D316" s="1" t="s">
        <v>554</v>
      </c>
      <c r="E316" s="2">
        <v>1</v>
      </c>
      <c r="F316" s="1">
        <f t="shared" si="4"/>
        <v>0.64166666666666661</v>
      </c>
      <c r="G316" s="1">
        <v>0.22499999999999998</v>
      </c>
      <c r="H316" s="1">
        <v>0.41666666666666669</v>
      </c>
    </row>
    <row r="317" spans="1:8" hidden="1" x14ac:dyDescent="0.25">
      <c r="A317" s="2" t="s">
        <v>177</v>
      </c>
      <c r="B317" s="1" t="s">
        <v>656</v>
      </c>
      <c r="C317" s="1" t="s">
        <v>178</v>
      </c>
      <c r="D317" s="1" t="s">
        <v>554</v>
      </c>
      <c r="E317" s="2">
        <v>2.5</v>
      </c>
      <c r="F317" s="1">
        <f t="shared" si="4"/>
        <v>0.875</v>
      </c>
      <c r="G317" s="1">
        <v>0.375</v>
      </c>
      <c r="H317" s="1">
        <v>0.5</v>
      </c>
    </row>
    <row r="318" spans="1:8" hidden="1" x14ac:dyDescent="0.25">
      <c r="A318" s="2" t="s">
        <v>874</v>
      </c>
      <c r="B318" s="1" t="s">
        <v>656</v>
      </c>
      <c r="C318" s="1" t="s">
        <v>875</v>
      </c>
      <c r="D318" s="1" t="s">
        <v>554</v>
      </c>
      <c r="E318" s="2">
        <v>1</v>
      </c>
      <c r="F318" s="1">
        <f t="shared" si="4"/>
        <v>0.64166666666666661</v>
      </c>
      <c r="G318" s="1">
        <v>0.22499999999999998</v>
      </c>
      <c r="H318" s="1">
        <v>0.41666666666666669</v>
      </c>
    </row>
    <row r="319" spans="1:8" hidden="1" x14ac:dyDescent="0.25">
      <c r="A319" s="2" t="s">
        <v>443</v>
      </c>
      <c r="B319" s="1" t="s">
        <v>656</v>
      </c>
      <c r="C319" s="1" t="s">
        <v>444</v>
      </c>
      <c r="D319" s="1" t="s">
        <v>554</v>
      </c>
      <c r="E319" s="2">
        <v>2.5</v>
      </c>
      <c r="F319" s="1">
        <f t="shared" si="4"/>
        <v>0.875</v>
      </c>
      <c r="G319" s="1">
        <v>0.375</v>
      </c>
      <c r="H319" s="1">
        <v>0.5</v>
      </c>
    </row>
    <row r="320" spans="1:8" hidden="1" x14ac:dyDescent="0.25">
      <c r="A320" s="2" t="s">
        <v>876</v>
      </c>
      <c r="B320" s="1" t="s">
        <v>656</v>
      </c>
      <c r="C320" s="1" t="s">
        <v>877</v>
      </c>
      <c r="D320" s="1" t="s">
        <v>554</v>
      </c>
      <c r="E320" s="2">
        <v>1</v>
      </c>
      <c r="F320" s="1">
        <f t="shared" si="4"/>
        <v>0.64166666666666661</v>
      </c>
      <c r="G320" s="1">
        <v>0.22499999999999998</v>
      </c>
      <c r="H320" s="1">
        <v>0.41666666666666669</v>
      </c>
    </row>
    <row r="321" spans="1:8" hidden="1" x14ac:dyDescent="0.25">
      <c r="A321" s="2" t="s">
        <v>878</v>
      </c>
      <c r="B321" s="1" t="s">
        <v>656</v>
      </c>
      <c r="C321" s="1" t="s">
        <v>879</v>
      </c>
      <c r="D321" s="1" t="s">
        <v>554</v>
      </c>
      <c r="E321" s="2">
        <v>2.5</v>
      </c>
      <c r="F321" s="1">
        <f t="shared" si="4"/>
        <v>0.875</v>
      </c>
      <c r="G321" s="1">
        <v>0.375</v>
      </c>
      <c r="H321" s="1">
        <v>0.5</v>
      </c>
    </row>
    <row r="322" spans="1:8" hidden="1" x14ac:dyDescent="0.25">
      <c r="A322" s="2" t="s">
        <v>179</v>
      </c>
      <c r="B322" s="1" t="s">
        <v>656</v>
      </c>
      <c r="C322" s="1" t="s">
        <v>880</v>
      </c>
      <c r="D322" s="1" t="s">
        <v>554</v>
      </c>
      <c r="E322" s="2">
        <v>2.5</v>
      </c>
      <c r="F322" s="1">
        <f t="shared" si="4"/>
        <v>0.875</v>
      </c>
      <c r="G322" s="1">
        <v>0.375</v>
      </c>
      <c r="H322" s="1">
        <v>0.5</v>
      </c>
    </row>
    <row r="323" spans="1:8" hidden="1" x14ac:dyDescent="0.25">
      <c r="A323" s="2" t="s">
        <v>406</v>
      </c>
      <c r="B323" s="1" t="s">
        <v>656</v>
      </c>
      <c r="C323" s="1" t="s">
        <v>881</v>
      </c>
      <c r="D323" s="1" t="s">
        <v>554</v>
      </c>
      <c r="E323" s="2">
        <v>1</v>
      </c>
      <c r="F323" s="1">
        <f t="shared" ref="F323:F386" si="5">G323+H323</f>
        <v>0.64166666666666661</v>
      </c>
      <c r="G323" s="1">
        <v>0.22499999999999998</v>
      </c>
      <c r="H323" s="1">
        <v>0.41666666666666669</v>
      </c>
    </row>
    <row r="324" spans="1:8" hidden="1" x14ac:dyDescent="0.25">
      <c r="A324" s="2" t="s">
        <v>882</v>
      </c>
      <c r="B324" s="1" t="s">
        <v>656</v>
      </c>
      <c r="C324" s="1" t="s">
        <v>883</v>
      </c>
      <c r="D324" s="1" t="s">
        <v>554</v>
      </c>
      <c r="E324" s="2">
        <v>1</v>
      </c>
      <c r="F324" s="1">
        <f t="shared" si="5"/>
        <v>0.64166666666666661</v>
      </c>
      <c r="G324" s="1">
        <v>0.22499999999999998</v>
      </c>
      <c r="H324" s="1">
        <v>0.41666666666666669</v>
      </c>
    </row>
    <row r="325" spans="1:8" hidden="1" x14ac:dyDescent="0.25">
      <c r="A325" s="2" t="s">
        <v>884</v>
      </c>
      <c r="B325" s="1" t="s">
        <v>656</v>
      </c>
      <c r="C325" s="1" t="s">
        <v>885</v>
      </c>
      <c r="D325" s="1" t="s">
        <v>554</v>
      </c>
      <c r="E325" s="2">
        <v>2.5</v>
      </c>
      <c r="F325" s="1">
        <f t="shared" si="5"/>
        <v>0.875</v>
      </c>
      <c r="G325" s="1">
        <v>0.375</v>
      </c>
      <c r="H325" s="1">
        <v>0.5</v>
      </c>
    </row>
    <row r="326" spans="1:8" hidden="1" x14ac:dyDescent="0.25">
      <c r="A326" s="2" t="s">
        <v>886</v>
      </c>
      <c r="B326" s="1" t="s">
        <v>656</v>
      </c>
      <c r="C326" s="1" t="s">
        <v>887</v>
      </c>
      <c r="D326" s="1" t="s">
        <v>554</v>
      </c>
      <c r="E326" s="2">
        <v>1</v>
      </c>
      <c r="F326" s="1">
        <f t="shared" si="5"/>
        <v>0.64166666666666661</v>
      </c>
      <c r="G326" s="1">
        <v>0.22499999999999998</v>
      </c>
      <c r="H326" s="1">
        <v>0.41666666666666669</v>
      </c>
    </row>
    <row r="327" spans="1:8" hidden="1" x14ac:dyDescent="0.25">
      <c r="A327" s="2" t="s">
        <v>888</v>
      </c>
      <c r="B327" s="1" t="s">
        <v>656</v>
      </c>
      <c r="C327" s="1" t="s">
        <v>889</v>
      </c>
      <c r="D327" s="1" t="s">
        <v>554</v>
      </c>
      <c r="E327" s="2">
        <v>2.5</v>
      </c>
      <c r="F327" s="1">
        <f t="shared" si="5"/>
        <v>0.875</v>
      </c>
      <c r="G327" s="1">
        <v>0.375</v>
      </c>
      <c r="H327" s="1">
        <v>0.5</v>
      </c>
    </row>
    <row r="328" spans="1:8" hidden="1" x14ac:dyDescent="0.25">
      <c r="A328" s="2" t="s">
        <v>890</v>
      </c>
      <c r="B328" s="1" t="s">
        <v>656</v>
      </c>
      <c r="C328" s="1" t="s">
        <v>891</v>
      </c>
      <c r="D328" s="1" t="s">
        <v>554</v>
      </c>
      <c r="E328" s="2">
        <v>1</v>
      </c>
      <c r="F328" s="1">
        <f t="shared" si="5"/>
        <v>0.64166666666666661</v>
      </c>
      <c r="G328" s="1">
        <v>0.22499999999999998</v>
      </c>
      <c r="H328" s="1">
        <v>0.41666666666666669</v>
      </c>
    </row>
    <row r="329" spans="1:8" hidden="1" x14ac:dyDescent="0.25">
      <c r="A329" s="2" t="s">
        <v>521</v>
      </c>
      <c r="B329" s="1" t="s">
        <v>656</v>
      </c>
      <c r="C329" s="1" t="s">
        <v>892</v>
      </c>
      <c r="D329" s="1" t="s">
        <v>554</v>
      </c>
      <c r="E329" s="2">
        <v>2.5</v>
      </c>
      <c r="F329" s="1">
        <f t="shared" si="5"/>
        <v>0.875</v>
      </c>
      <c r="G329" s="1">
        <v>0.375</v>
      </c>
      <c r="H329" s="1">
        <v>0.5</v>
      </c>
    </row>
    <row r="330" spans="1:8" hidden="1" x14ac:dyDescent="0.25">
      <c r="A330" s="2" t="s">
        <v>460</v>
      </c>
      <c r="B330" s="1" t="s">
        <v>656</v>
      </c>
      <c r="C330" s="1" t="s">
        <v>461</v>
      </c>
      <c r="D330" s="1" t="s">
        <v>554</v>
      </c>
      <c r="E330" s="2">
        <v>1</v>
      </c>
      <c r="F330" s="1">
        <f t="shared" si="5"/>
        <v>0.64166666666666661</v>
      </c>
      <c r="G330" s="1">
        <v>0.22499999999999998</v>
      </c>
      <c r="H330" s="1">
        <v>0.41666666666666669</v>
      </c>
    </row>
    <row r="331" spans="1:8" hidden="1" x14ac:dyDescent="0.25">
      <c r="A331" s="2" t="s">
        <v>171</v>
      </c>
      <c r="B331" s="1" t="s">
        <v>656</v>
      </c>
      <c r="C331" s="1" t="s">
        <v>172</v>
      </c>
      <c r="D331" s="1" t="s">
        <v>554</v>
      </c>
      <c r="E331" s="2">
        <v>2.5</v>
      </c>
      <c r="F331" s="1">
        <f t="shared" si="5"/>
        <v>0.875</v>
      </c>
      <c r="G331" s="1">
        <v>0.375</v>
      </c>
      <c r="H331" s="1">
        <v>0.5</v>
      </c>
    </row>
    <row r="332" spans="1:8" hidden="1" x14ac:dyDescent="0.25">
      <c r="A332" s="2" t="s">
        <v>169</v>
      </c>
      <c r="B332" s="1" t="s">
        <v>656</v>
      </c>
      <c r="C332" s="1" t="s">
        <v>170</v>
      </c>
      <c r="D332" s="1" t="s">
        <v>554</v>
      </c>
      <c r="E332" s="2">
        <v>1</v>
      </c>
      <c r="F332" s="1">
        <f t="shared" si="5"/>
        <v>0.64166666666666661</v>
      </c>
      <c r="G332" s="1">
        <v>0.22499999999999998</v>
      </c>
      <c r="H332" s="1">
        <v>0.41666666666666669</v>
      </c>
    </row>
    <row r="333" spans="1:8" hidden="1" x14ac:dyDescent="0.25">
      <c r="A333" s="2" t="s">
        <v>167</v>
      </c>
      <c r="B333" s="1" t="s">
        <v>656</v>
      </c>
      <c r="C333" s="1" t="s">
        <v>168</v>
      </c>
      <c r="D333" s="1" t="s">
        <v>554</v>
      </c>
      <c r="E333" s="2">
        <v>2.5</v>
      </c>
      <c r="F333" s="1">
        <f t="shared" si="5"/>
        <v>0.875</v>
      </c>
      <c r="G333" s="1">
        <v>0.375</v>
      </c>
      <c r="H333" s="1">
        <v>0.5</v>
      </c>
    </row>
    <row r="334" spans="1:8" hidden="1" x14ac:dyDescent="0.25">
      <c r="A334" s="2" t="s">
        <v>893</v>
      </c>
      <c r="B334" s="1" t="s">
        <v>656</v>
      </c>
      <c r="C334" s="1" t="s">
        <v>894</v>
      </c>
      <c r="D334" s="1" t="s">
        <v>554</v>
      </c>
      <c r="E334" s="2">
        <v>1</v>
      </c>
      <c r="F334" s="1">
        <f t="shared" si="5"/>
        <v>0.64166666666666661</v>
      </c>
      <c r="G334" s="1">
        <v>0.22499999999999998</v>
      </c>
      <c r="H334" s="1">
        <v>0.41666666666666669</v>
      </c>
    </row>
    <row r="335" spans="1:8" hidden="1" x14ac:dyDescent="0.25">
      <c r="A335" s="2" t="s">
        <v>895</v>
      </c>
      <c r="B335" s="1" t="s">
        <v>656</v>
      </c>
      <c r="C335" s="1" t="s">
        <v>896</v>
      </c>
      <c r="D335" s="1" t="s">
        <v>554</v>
      </c>
      <c r="E335" s="2">
        <v>2.5</v>
      </c>
      <c r="F335" s="1">
        <f t="shared" si="5"/>
        <v>0.875</v>
      </c>
      <c r="G335" s="1">
        <v>0.375</v>
      </c>
      <c r="H335" s="1">
        <v>0.5</v>
      </c>
    </row>
    <row r="336" spans="1:8" hidden="1" x14ac:dyDescent="0.25">
      <c r="A336" s="2" t="s">
        <v>897</v>
      </c>
      <c r="B336" s="1" t="s">
        <v>656</v>
      </c>
      <c r="C336" s="1" t="s">
        <v>898</v>
      </c>
      <c r="D336" s="1" t="s">
        <v>554</v>
      </c>
      <c r="E336" s="2">
        <v>1</v>
      </c>
      <c r="F336" s="1">
        <f t="shared" si="5"/>
        <v>0.64166666666666661</v>
      </c>
      <c r="G336" s="1">
        <v>0.22499999999999998</v>
      </c>
      <c r="H336" s="1">
        <v>0.41666666666666669</v>
      </c>
    </row>
    <row r="337" spans="1:8" hidden="1" x14ac:dyDescent="0.25">
      <c r="A337" s="2" t="s">
        <v>164</v>
      </c>
      <c r="B337" s="1" t="s">
        <v>656</v>
      </c>
      <c r="C337" s="1" t="s">
        <v>165</v>
      </c>
      <c r="D337" s="1" t="s">
        <v>554</v>
      </c>
      <c r="E337" s="2">
        <v>2.5</v>
      </c>
      <c r="F337" s="1">
        <f t="shared" si="5"/>
        <v>0.875</v>
      </c>
      <c r="G337" s="1">
        <v>0.375</v>
      </c>
      <c r="H337" s="1">
        <v>0.5</v>
      </c>
    </row>
    <row r="338" spans="1:8" hidden="1" x14ac:dyDescent="0.25">
      <c r="A338" s="2" t="s">
        <v>899</v>
      </c>
      <c r="B338" s="1" t="s">
        <v>656</v>
      </c>
      <c r="C338" s="1" t="s">
        <v>900</v>
      </c>
      <c r="D338" s="1" t="s">
        <v>554</v>
      </c>
      <c r="E338" s="2">
        <v>1</v>
      </c>
      <c r="F338" s="1">
        <f t="shared" si="5"/>
        <v>0.64166666666666661</v>
      </c>
      <c r="G338" s="1">
        <v>0.22499999999999998</v>
      </c>
      <c r="H338" s="1">
        <v>0.41666666666666669</v>
      </c>
    </row>
    <row r="339" spans="1:8" hidden="1" x14ac:dyDescent="0.25">
      <c r="A339" s="2" t="s">
        <v>901</v>
      </c>
      <c r="B339" s="1" t="s">
        <v>656</v>
      </c>
      <c r="C339" s="1" t="s">
        <v>902</v>
      </c>
      <c r="D339" s="1" t="s">
        <v>554</v>
      </c>
      <c r="E339" s="2">
        <v>2.5</v>
      </c>
      <c r="F339" s="1">
        <f t="shared" si="5"/>
        <v>0.875</v>
      </c>
      <c r="G339" s="1">
        <v>0.375</v>
      </c>
      <c r="H339" s="1">
        <v>0.5</v>
      </c>
    </row>
    <row r="340" spans="1:8" hidden="1" x14ac:dyDescent="0.25">
      <c r="A340" s="2" t="s">
        <v>458</v>
      </c>
      <c r="B340" s="1" t="s">
        <v>656</v>
      </c>
      <c r="C340" s="1" t="s">
        <v>459</v>
      </c>
      <c r="D340" s="1" t="s">
        <v>554</v>
      </c>
      <c r="E340" s="2">
        <v>1</v>
      </c>
      <c r="F340" s="1">
        <f t="shared" si="5"/>
        <v>0.64166666666666661</v>
      </c>
      <c r="G340" s="1">
        <v>0.22499999999999998</v>
      </c>
      <c r="H340" s="1">
        <v>0.41666666666666669</v>
      </c>
    </row>
    <row r="341" spans="1:8" hidden="1" x14ac:dyDescent="0.25">
      <c r="A341" s="2" t="s">
        <v>162</v>
      </c>
      <c r="B341" s="1" t="s">
        <v>656</v>
      </c>
      <c r="C341" s="1" t="s">
        <v>163</v>
      </c>
      <c r="D341" s="1" t="s">
        <v>554</v>
      </c>
      <c r="E341" s="2">
        <v>2.5</v>
      </c>
      <c r="F341" s="1">
        <f t="shared" si="5"/>
        <v>0.875</v>
      </c>
      <c r="G341" s="1">
        <v>0.375</v>
      </c>
      <c r="H341" s="1">
        <v>0.5</v>
      </c>
    </row>
    <row r="342" spans="1:8" hidden="1" x14ac:dyDescent="0.25">
      <c r="A342" s="2" t="s">
        <v>160</v>
      </c>
      <c r="B342" s="1" t="s">
        <v>656</v>
      </c>
      <c r="C342" s="1" t="s">
        <v>161</v>
      </c>
      <c r="D342" s="1" t="s">
        <v>554</v>
      </c>
      <c r="E342" s="2">
        <v>1</v>
      </c>
      <c r="F342" s="1">
        <f t="shared" si="5"/>
        <v>0.64166666666666661</v>
      </c>
      <c r="G342" s="1">
        <v>0.22499999999999998</v>
      </c>
      <c r="H342" s="1">
        <v>0.41666666666666669</v>
      </c>
    </row>
    <row r="343" spans="1:8" hidden="1" x14ac:dyDescent="0.25">
      <c r="A343" s="2" t="s">
        <v>158</v>
      </c>
      <c r="B343" s="1" t="s">
        <v>656</v>
      </c>
      <c r="C343" s="1" t="s">
        <v>159</v>
      </c>
      <c r="D343" s="1" t="s">
        <v>554</v>
      </c>
      <c r="E343" s="2">
        <v>2.5</v>
      </c>
      <c r="F343" s="1">
        <f t="shared" si="5"/>
        <v>0.875</v>
      </c>
      <c r="G343" s="1">
        <v>0.375</v>
      </c>
      <c r="H343" s="1">
        <v>0.5</v>
      </c>
    </row>
    <row r="344" spans="1:8" hidden="1" x14ac:dyDescent="0.25">
      <c r="A344" s="2" t="s">
        <v>156</v>
      </c>
      <c r="B344" s="1" t="s">
        <v>656</v>
      </c>
      <c r="C344" s="1" t="s">
        <v>157</v>
      </c>
      <c r="D344" s="1" t="s">
        <v>554</v>
      </c>
      <c r="E344" s="2">
        <v>1</v>
      </c>
      <c r="F344" s="1">
        <f t="shared" si="5"/>
        <v>0.64166666666666661</v>
      </c>
      <c r="G344" s="1">
        <v>0.22499999999999998</v>
      </c>
      <c r="H344" s="1">
        <v>0.41666666666666669</v>
      </c>
    </row>
    <row r="345" spans="1:8" hidden="1" x14ac:dyDescent="0.25">
      <c r="A345" s="2" t="s">
        <v>154</v>
      </c>
      <c r="B345" s="1" t="s">
        <v>656</v>
      </c>
      <c r="C345" s="1" t="s">
        <v>155</v>
      </c>
      <c r="D345" s="1" t="s">
        <v>554</v>
      </c>
      <c r="E345" s="2">
        <v>2.5</v>
      </c>
      <c r="F345" s="1">
        <f t="shared" si="5"/>
        <v>0.875</v>
      </c>
      <c r="G345" s="1">
        <v>0.375</v>
      </c>
      <c r="H345" s="1">
        <v>0.5</v>
      </c>
    </row>
    <row r="346" spans="1:8" hidden="1" x14ac:dyDescent="0.25">
      <c r="A346" s="2" t="s">
        <v>903</v>
      </c>
      <c r="B346" s="1" t="s">
        <v>656</v>
      </c>
      <c r="C346" s="1" t="s">
        <v>904</v>
      </c>
      <c r="D346" s="1" t="s">
        <v>554</v>
      </c>
      <c r="E346" s="2">
        <v>1</v>
      </c>
      <c r="F346" s="1">
        <f t="shared" si="5"/>
        <v>0.64166666666666661</v>
      </c>
      <c r="G346" s="1">
        <v>0.22499999999999998</v>
      </c>
      <c r="H346" s="1">
        <v>0.41666666666666669</v>
      </c>
    </row>
    <row r="347" spans="1:8" hidden="1" x14ac:dyDescent="0.25">
      <c r="A347" s="2" t="s">
        <v>905</v>
      </c>
      <c r="B347" s="1" t="s">
        <v>656</v>
      </c>
      <c r="C347" s="1" t="s">
        <v>906</v>
      </c>
      <c r="D347" s="1" t="s">
        <v>554</v>
      </c>
      <c r="E347" s="2">
        <v>2.5</v>
      </c>
      <c r="F347" s="1">
        <f t="shared" si="5"/>
        <v>0.875</v>
      </c>
      <c r="G347" s="1">
        <v>0.375</v>
      </c>
      <c r="H347" s="1">
        <v>0.5</v>
      </c>
    </row>
    <row r="348" spans="1:8" hidden="1" x14ac:dyDescent="0.25">
      <c r="A348" s="2" t="s">
        <v>152</v>
      </c>
      <c r="B348" s="1" t="s">
        <v>656</v>
      </c>
      <c r="C348" s="1" t="s">
        <v>153</v>
      </c>
      <c r="D348" s="1" t="s">
        <v>554</v>
      </c>
      <c r="E348" s="2">
        <v>1</v>
      </c>
      <c r="F348" s="1">
        <f t="shared" si="5"/>
        <v>0.64166666666666661</v>
      </c>
      <c r="G348" s="1">
        <v>0.22499999999999998</v>
      </c>
      <c r="H348" s="1">
        <v>0.41666666666666669</v>
      </c>
    </row>
    <row r="349" spans="1:8" hidden="1" x14ac:dyDescent="0.25">
      <c r="A349" s="2" t="s">
        <v>150</v>
      </c>
      <c r="B349" s="1" t="s">
        <v>656</v>
      </c>
      <c r="C349" s="1" t="s">
        <v>151</v>
      </c>
      <c r="D349" s="1" t="s">
        <v>554</v>
      </c>
      <c r="E349" s="2">
        <v>2.5</v>
      </c>
      <c r="F349" s="1">
        <f t="shared" si="5"/>
        <v>0.875</v>
      </c>
      <c r="G349" s="1">
        <v>0.375</v>
      </c>
      <c r="H349" s="1">
        <v>0.5</v>
      </c>
    </row>
    <row r="350" spans="1:8" hidden="1" x14ac:dyDescent="0.25">
      <c r="A350" s="2" t="s">
        <v>148</v>
      </c>
      <c r="B350" s="1" t="s">
        <v>656</v>
      </c>
      <c r="C350" s="1" t="s">
        <v>149</v>
      </c>
      <c r="D350" s="1" t="s">
        <v>554</v>
      </c>
      <c r="E350" s="2">
        <v>1</v>
      </c>
      <c r="F350" s="1">
        <f t="shared" si="5"/>
        <v>0.64166666666666661</v>
      </c>
      <c r="G350" s="1">
        <v>0.22499999999999998</v>
      </c>
      <c r="H350" s="1">
        <v>0.41666666666666669</v>
      </c>
    </row>
    <row r="351" spans="1:8" hidden="1" x14ac:dyDescent="0.25">
      <c r="A351" s="2" t="s">
        <v>146</v>
      </c>
      <c r="B351" s="1" t="s">
        <v>656</v>
      </c>
      <c r="C351" s="1" t="s">
        <v>147</v>
      </c>
      <c r="D351" s="1" t="s">
        <v>554</v>
      </c>
      <c r="E351" s="2">
        <v>2.5</v>
      </c>
      <c r="F351" s="1">
        <f t="shared" si="5"/>
        <v>0.875</v>
      </c>
      <c r="G351" s="1">
        <v>0.375</v>
      </c>
      <c r="H351" s="1">
        <v>0.5</v>
      </c>
    </row>
    <row r="352" spans="1:8" hidden="1" x14ac:dyDescent="0.25">
      <c r="A352" s="2" t="s">
        <v>907</v>
      </c>
      <c r="B352" s="1" t="s">
        <v>656</v>
      </c>
      <c r="C352" s="1" t="s">
        <v>908</v>
      </c>
      <c r="D352" s="1" t="s">
        <v>554</v>
      </c>
      <c r="E352" s="2">
        <v>1</v>
      </c>
      <c r="F352" s="1">
        <f t="shared" si="5"/>
        <v>0.64166666666666661</v>
      </c>
      <c r="G352" s="1">
        <v>0.22499999999999998</v>
      </c>
      <c r="H352" s="1">
        <v>0.41666666666666669</v>
      </c>
    </row>
    <row r="353" spans="1:8" hidden="1" x14ac:dyDescent="0.25">
      <c r="A353" s="2" t="s">
        <v>144</v>
      </c>
      <c r="B353" s="1" t="s">
        <v>656</v>
      </c>
      <c r="C353" s="1" t="s">
        <v>145</v>
      </c>
      <c r="D353" s="1" t="s">
        <v>554</v>
      </c>
      <c r="E353" s="2">
        <v>2.5</v>
      </c>
      <c r="F353" s="1">
        <f t="shared" si="5"/>
        <v>0.875</v>
      </c>
      <c r="G353" s="1">
        <v>0.375</v>
      </c>
      <c r="H353" s="1">
        <v>0.5</v>
      </c>
    </row>
    <row r="354" spans="1:8" hidden="1" x14ac:dyDescent="0.25">
      <c r="A354" s="2" t="s">
        <v>501</v>
      </c>
      <c r="B354" s="1" t="s">
        <v>656</v>
      </c>
      <c r="C354" s="1" t="s">
        <v>502</v>
      </c>
      <c r="D354" s="1" t="s">
        <v>554</v>
      </c>
      <c r="E354" s="2">
        <v>1</v>
      </c>
      <c r="F354" s="1">
        <f t="shared" si="5"/>
        <v>0.64166666666666661</v>
      </c>
      <c r="G354" s="1">
        <v>0.22499999999999998</v>
      </c>
      <c r="H354" s="1">
        <v>0.41666666666666669</v>
      </c>
    </row>
    <row r="355" spans="1:8" hidden="1" x14ac:dyDescent="0.25">
      <c r="A355" s="2" t="s">
        <v>142</v>
      </c>
      <c r="B355" s="1" t="s">
        <v>656</v>
      </c>
      <c r="C355" s="1" t="s">
        <v>143</v>
      </c>
      <c r="D355" s="1" t="s">
        <v>554</v>
      </c>
      <c r="E355" s="2">
        <v>2.5</v>
      </c>
      <c r="F355" s="1">
        <f t="shared" si="5"/>
        <v>0.875</v>
      </c>
      <c r="G355" s="1">
        <v>0.375</v>
      </c>
      <c r="H355" s="1">
        <v>0.5</v>
      </c>
    </row>
    <row r="356" spans="1:8" hidden="1" x14ac:dyDescent="0.25">
      <c r="A356" s="2" t="s">
        <v>140</v>
      </c>
      <c r="B356" s="1" t="s">
        <v>656</v>
      </c>
      <c r="C356" s="1" t="s">
        <v>141</v>
      </c>
      <c r="D356" s="1" t="s">
        <v>554</v>
      </c>
      <c r="E356" s="2">
        <v>1</v>
      </c>
      <c r="F356" s="1">
        <f t="shared" si="5"/>
        <v>0.64166666666666661</v>
      </c>
      <c r="G356" s="1">
        <v>0.22499999999999998</v>
      </c>
      <c r="H356" s="1">
        <v>0.41666666666666669</v>
      </c>
    </row>
    <row r="357" spans="1:8" hidden="1" x14ac:dyDescent="0.25">
      <c r="A357" s="2" t="s">
        <v>520</v>
      </c>
      <c r="B357" s="1" t="s">
        <v>656</v>
      </c>
      <c r="C357" s="1" t="s">
        <v>909</v>
      </c>
      <c r="D357" s="1" t="s">
        <v>554</v>
      </c>
      <c r="E357" s="2">
        <v>2.5</v>
      </c>
      <c r="F357" s="1">
        <f t="shared" si="5"/>
        <v>0.875</v>
      </c>
      <c r="G357" s="1">
        <v>0.375</v>
      </c>
      <c r="H357" s="1">
        <v>0.5</v>
      </c>
    </row>
    <row r="358" spans="1:8" hidden="1" x14ac:dyDescent="0.25">
      <c r="A358" s="2" t="s">
        <v>910</v>
      </c>
      <c r="B358" s="1" t="s">
        <v>656</v>
      </c>
      <c r="C358" s="1" t="s">
        <v>911</v>
      </c>
      <c r="D358" s="1" t="s">
        <v>554</v>
      </c>
      <c r="E358" s="2">
        <v>1</v>
      </c>
      <c r="F358" s="1">
        <f t="shared" si="5"/>
        <v>0.64166666666666661</v>
      </c>
      <c r="G358" s="1">
        <v>0.22499999999999998</v>
      </c>
      <c r="H358" s="1">
        <v>0.41666666666666669</v>
      </c>
    </row>
    <row r="359" spans="1:8" hidden="1" x14ac:dyDescent="0.25">
      <c r="A359" s="2" t="s">
        <v>536</v>
      </c>
      <c r="B359" s="1" t="s">
        <v>656</v>
      </c>
      <c r="C359" s="1" t="s">
        <v>537</v>
      </c>
      <c r="D359" s="1" t="s">
        <v>554</v>
      </c>
      <c r="E359" s="2">
        <v>2.5</v>
      </c>
      <c r="F359" s="1">
        <f t="shared" si="5"/>
        <v>0.875</v>
      </c>
      <c r="G359" s="1">
        <v>0.375</v>
      </c>
      <c r="H359" s="1">
        <v>0.5</v>
      </c>
    </row>
    <row r="360" spans="1:8" hidden="1" x14ac:dyDescent="0.25">
      <c r="A360" s="2" t="s">
        <v>499</v>
      </c>
      <c r="B360" s="1" t="s">
        <v>656</v>
      </c>
      <c r="C360" s="1" t="s">
        <v>500</v>
      </c>
      <c r="D360" s="1" t="s">
        <v>554</v>
      </c>
      <c r="E360" s="2">
        <v>1</v>
      </c>
      <c r="F360" s="1">
        <f t="shared" si="5"/>
        <v>0.64166666666666661</v>
      </c>
      <c r="G360" s="1">
        <v>0.22499999999999998</v>
      </c>
      <c r="H360" s="1">
        <v>0.41666666666666669</v>
      </c>
    </row>
    <row r="361" spans="1:8" hidden="1" x14ac:dyDescent="0.25">
      <c r="A361" s="2" t="s">
        <v>912</v>
      </c>
      <c r="B361" s="1" t="s">
        <v>656</v>
      </c>
      <c r="C361" s="1" t="s">
        <v>913</v>
      </c>
      <c r="D361" s="1" t="s">
        <v>554</v>
      </c>
      <c r="E361" s="2">
        <v>2.5</v>
      </c>
      <c r="F361" s="1">
        <f t="shared" si="5"/>
        <v>0.875</v>
      </c>
      <c r="G361" s="1">
        <v>0.375</v>
      </c>
      <c r="H361" s="1">
        <v>0.5</v>
      </c>
    </row>
    <row r="362" spans="1:8" hidden="1" x14ac:dyDescent="0.25">
      <c r="A362" s="2" t="s">
        <v>400</v>
      </c>
      <c r="B362" s="1" t="s">
        <v>656</v>
      </c>
      <c r="C362" s="1" t="s">
        <v>401</v>
      </c>
      <c r="D362" s="1" t="s">
        <v>554</v>
      </c>
      <c r="E362" s="2">
        <v>1</v>
      </c>
      <c r="F362" s="1">
        <f t="shared" si="5"/>
        <v>0.64166666666666661</v>
      </c>
      <c r="G362" s="1">
        <v>0.22499999999999998</v>
      </c>
      <c r="H362" s="1">
        <v>0.41666666666666669</v>
      </c>
    </row>
    <row r="363" spans="1:8" hidden="1" x14ac:dyDescent="0.25">
      <c r="A363" s="2" t="s">
        <v>398</v>
      </c>
      <c r="B363" s="1" t="s">
        <v>656</v>
      </c>
      <c r="C363" s="1" t="s">
        <v>399</v>
      </c>
      <c r="D363" s="1" t="s">
        <v>554</v>
      </c>
      <c r="E363" s="2">
        <v>2.5</v>
      </c>
      <c r="F363" s="1">
        <f t="shared" si="5"/>
        <v>0.875</v>
      </c>
      <c r="G363" s="1">
        <v>0.375</v>
      </c>
      <c r="H363" s="1">
        <v>0.5</v>
      </c>
    </row>
    <row r="364" spans="1:8" hidden="1" x14ac:dyDescent="0.25">
      <c r="A364" s="2" t="s">
        <v>396</v>
      </c>
      <c r="B364" s="1" t="s">
        <v>656</v>
      </c>
      <c r="C364" s="1" t="s">
        <v>397</v>
      </c>
      <c r="D364" s="1" t="s">
        <v>554</v>
      </c>
      <c r="E364" s="2">
        <v>1</v>
      </c>
      <c r="F364" s="1">
        <f t="shared" si="5"/>
        <v>0.64166666666666661</v>
      </c>
      <c r="G364" s="1">
        <v>0.22499999999999998</v>
      </c>
      <c r="H364" s="1">
        <v>0.41666666666666669</v>
      </c>
    </row>
    <row r="365" spans="1:8" hidden="1" x14ac:dyDescent="0.25">
      <c r="A365" s="2" t="s">
        <v>138</v>
      </c>
      <c r="B365" s="1" t="s">
        <v>656</v>
      </c>
      <c r="C365" s="1" t="s">
        <v>139</v>
      </c>
      <c r="D365" s="1" t="s">
        <v>554</v>
      </c>
      <c r="E365" s="2">
        <v>2.5</v>
      </c>
      <c r="F365" s="1">
        <f t="shared" si="5"/>
        <v>0.875</v>
      </c>
      <c r="G365" s="1">
        <v>0.375</v>
      </c>
      <c r="H365" s="1">
        <v>0.5</v>
      </c>
    </row>
    <row r="366" spans="1:8" hidden="1" x14ac:dyDescent="0.25">
      <c r="A366" s="2" t="s">
        <v>136</v>
      </c>
      <c r="B366" s="1" t="s">
        <v>656</v>
      </c>
      <c r="C366" s="1" t="s">
        <v>137</v>
      </c>
      <c r="D366" s="1" t="s">
        <v>554</v>
      </c>
      <c r="E366" s="2">
        <v>1</v>
      </c>
      <c r="F366" s="1">
        <f t="shared" si="5"/>
        <v>0.64166666666666661</v>
      </c>
      <c r="G366" s="1">
        <v>0.22499999999999998</v>
      </c>
      <c r="H366" s="1">
        <v>0.41666666666666669</v>
      </c>
    </row>
    <row r="367" spans="1:8" hidden="1" x14ac:dyDescent="0.25">
      <c r="A367" s="2" t="s">
        <v>134</v>
      </c>
      <c r="B367" s="1" t="s">
        <v>656</v>
      </c>
      <c r="C367" s="1" t="s">
        <v>135</v>
      </c>
      <c r="D367" s="1" t="s">
        <v>554</v>
      </c>
      <c r="E367" s="2">
        <v>2.5</v>
      </c>
      <c r="F367" s="1">
        <f t="shared" si="5"/>
        <v>0.875</v>
      </c>
      <c r="G367" s="1">
        <v>0.375</v>
      </c>
      <c r="H367" s="1">
        <v>0.5</v>
      </c>
    </row>
    <row r="368" spans="1:8" hidden="1" x14ac:dyDescent="0.25">
      <c r="A368" s="2" t="s">
        <v>391</v>
      </c>
      <c r="B368" s="1" t="s">
        <v>656</v>
      </c>
      <c r="C368" s="1" t="s">
        <v>392</v>
      </c>
      <c r="D368" s="1" t="s">
        <v>554</v>
      </c>
      <c r="E368" s="2">
        <v>1</v>
      </c>
      <c r="F368" s="1">
        <f t="shared" si="5"/>
        <v>0.64166666666666661</v>
      </c>
      <c r="G368" s="1">
        <v>0.22499999999999998</v>
      </c>
      <c r="H368" s="1">
        <v>0.41666666666666669</v>
      </c>
    </row>
    <row r="369" spans="1:8" hidden="1" x14ac:dyDescent="0.25">
      <c r="A369" s="2" t="s">
        <v>82</v>
      </c>
      <c r="B369" s="1" t="s">
        <v>656</v>
      </c>
      <c r="C369" s="1" t="s">
        <v>83</v>
      </c>
      <c r="D369" s="1" t="s">
        <v>554</v>
      </c>
      <c r="E369" s="2">
        <v>2.5</v>
      </c>
      <c r="F369" s="1">
        <f t="shared" si="5"/>
        <v>0.875</v>
      </c>
      <c r="G369" s="1">
        <v>0.375</v>
      </c>
      <c r="H369" s="1">
        <v>0.5</v>
      </c>
    </row>
    <row r="370" spans="1:8" hidden="1" x14ac:dyDescent="0.25">
      <c r="A370" s="2" t="s">
        <v>80</v>
      </c>
      <c r="B370" s="1" t="s">
        <v>656</v>
      </c>
      <c r="C370" s="1" t="s">
        <v>81</v>
      </c>
      <c r="D370" s="1" t="s">
        <v>554</v>
      </c>
      <c r="E370" s="2">
        <v>2.5</v>
      </c>
      <c r="F370" s="1">
        <f t="shared" si="5"/>
        <v>0.875</v>
      </c>
      <c r="G370" s="1">
        <v>0.375</v>
      </c>
      <c r="H370" s="1">
        <v>0.5</v>
      </c>
    </row>
    <row r="371" spans="1:8" hidden="1" x14ac:dyDescent="0.25">
      <c r="A371" s="2" t="s">
        <v>914</v>
      </c>
      <c r="B371" s="1" t="s">
        <v>656</v>
      </c>
      <c r="C371" s="1" t="s">
        <v>390</v>
      </c>
      <c r="D371" s="1" t="s">
        <v>554</v>
      </c>
      <c r="E371" s="2">
        <v>1</v>
      </c>
      <c r="F371" s="1">
        <f t="shared" si="5"/>
        <v>0.64166666666666661</v>
      </c>
      <c r="G371" s="1">
        <v>0.22499999999999998</v>
      </c>
      <c r="H371" s="1">
        <v>0.41666666666666669</v>
      </c>
    </row>
    <row r="372" spans="1:8" hidden="1" x14ac:dyDescent="0.25">
      <c r="A372" s="2" t="s">
        <v>389</v>
      </c>
      <c r="B372" s="1" t="s">
        <v>656</v>
      </c>
      <c r="C372" s="1" t="s">
        <v>390</v>
      </c>
      <c r="D372" s="1" t="s">
        <v>554</v>
      </c>
      <c r="E372" s="2">
        <v>1</v>
      </c>
      <c r="F372" s="1">
        <f t="shared" si="5"/>
        <v>0.64166666666666661</v>
      </c>
      <c r="G372" s="1">
        <v>0.22499999999999998</v>
      </c>
      <c r="H372" s="1">
        <v>0.41666666666666669</v>
      </c>
    </row>
    <row r="373" spans="1:8" hidden="1" x14ac:dyDescent="0.25">
      <c r="A373" s="2" t="s">
        <v>915</v>
      </c>
      <c r="B373" s="1" t="s">
        <v>656</v>
      </c>
      <c r="C373" s="1" t="s">
        <v>916</v>
      </c>
      <c r="D373" s="1" t="s">
        <v>554</v>
      </c>
      <c r="E373" s="2">
        <v>2.5</v>
      </c>
      <c r="F373" s="1">
        <f t="shared" si="5"/>
        <v>0.875</v>
      </c>
      <c r="G373" s="1">
        <v>0.375</v>
      </c>
      <c r="H373" s="1">
        <v>0.5</v>
      </c>
    </row>
    <row r="374" spans="1:8" hidden="1" x14ac:dyDescent="0.25">
      <c r="A374" s="2" t="s">
        <v>917</v>
      </c>
      <c r="B374" s="1" t="s">
        <v>656</v>
      </c>
      <c r="C374" s="1" t="s">
        <v>918</v>
      </c>
      <c r="D374" s="1" t="s">
        <v>554</v>
      </c>
      <c r="E374" s="2">
        <v>1</v>
      </c>
      <c r="F374" s="1">
        <f t="shared" si="5"/>
        <v>0.64166666666666661</v>
      </c>
      <c r="G374" s="1">
        <v>0.22499999999999998</v>
      </c>
      <c r="H374" s="1">
        <v>0.41666666666666669</v>
      </c>
    </row>
    <row r="375" spans="1:8" hidden="1" x14ac:dyDescent="0.25">
      <c r="A375" s="2" t="s">
        <v>78</v>
      </c>
      <c r="B375" s="1" t="s">
        <v>656</v>
      </c>
      <c r="C375" s="1" t="s">
        <v>79</v>
      </c>
      <c r="D375" s="1" t="s">
        <v>554</v>
      </c>
      <c r="E375" s="2">
        <v>2.5</v>
      </c>
      <c r="F375" s="1">
        <f t="shared" si="5"/>
        <v>0.875</v>
      </c>
      <c r="G375" s="1">
        <v>0.375</v>
      </c>
      <c r="H375" s="1">
        <v>0.5</v>
      </c>
    </row>
    <row r="376" spans="1:8" hidden="1" x14ac:dyDescent="0.25">
      <c r="A376" s="2" t="s">
        <v>72</v>
      </c>
      <c r="B376" s="1" t="s">
        <v>656</v>
      </c>
      <c r="C376" s="1" t="s">
        <v>73</v>
      </c>
      <c r="D376" s="1" t="s">
        <v>554</v>
      </c>
      <c r="E376" s="2">
        <v>1</v>
      </c>
      <c r="F376" s="1">
        <f t="shared" si="5"/>
        <v>0.64166666666666661</v>
      </c>
      <c r="G376" s="1">
        <v>0.22499999999999998</v>
      </c>
      <c r="H376" s="1">
        <v>0.41666666666666669</v>
      </c>
    </row>
    <row r="377" spans="1:8" hidden="1" x14ac:dyDescent="0.25">
      <c r="A377" s="2" t="s">
        <v>70</v>
      </c>
      <c r="B377" s="1" t="s">
        <v>656</v>
      </c>
      <c r="C377" s="1" t="s">
        <v>71</v>
      </c>
      <c r="D377" s="1" t="s">
        <v>554</v>
      </c>
      <c r="E377" s="2">
        <v>2.5</v>
      </c>
      <c r="F377" s="1">
        <f t="shared" si="5"/>
        <v>0.875</v>
      </c>
      <c r="G377" s="1">
        <v>0.375</v>
      </c>
      <c r="H377" s="1">
        <v>0.5</v>
      </c>
    </row>
    <row r="378" spans="1:8" hidden="1" x14ac:dyDescent="0.25">
      <c r="A378" s="2" t="s">
        <v>64</v>
      </c>
      <c r="B378" s="1" t="s">
        <v>656</v>
      </c>
      <c r="C378" s="1" t="s">
        <v>65</v>
      </c>
      <c r="D378" s="1" t="s">
        <v>554</v>
      </c>
      <c r="E378" s="2">
        <v>1</v>
      </c>
      <c r="F378" s="1">
        <f t="shared" si="5"/>
        <v>0.64166666666666661</v>
      </c>
      <c r="G378" s="1">
        <v>0.22499999999999998</v>
      </c>
      <c r="H378" s="1">
        <v>0.41666666666666669</v>
      </c>
    </row>
    <row r="379" spans="1:8" hidden="1" x14ac:dyDescent="0.25">
      <c r="A379" s="2" t="s">
        <v>62</v>
      </c>
      <c r="B379" s="1" t="s">
        <v>656</v>
      </c>
      <c r="C379" s="1" t="s">
        <v>63</v>
      </c>
      <c r="D379" s="1" t="s">
        <v>554</v>
      </c>
      <c r="E379" s="2">
        <v>2.5</v>
      </c>
      <c r="F379" s="1">
        <f t="shared" si="5"/>
        <v>0.875</v>
      </c>
      <c r="G379" s="1">
        <v>0.375</v>
      </c>
      <c r="H379" s="1">
        <v>0.5</v>
      </c>
    </row>
    <row r="380" spans="1:8" hidden="1" x14ac:dyDescent="0.25">
      <c r="A380" s="2" t="s">
        <v>438</v>
      </c>
      <c r="B380" s="1" t="s">
        <v>656</v>
      </c>
      <c r="C380" s="1" t="s">
        <v>439</v>
      </c>
      <c r="D380" s="1" t="s">
        <v>554</v>
      </c>
      <c r="E380" s="2">
        <v>1</v>
      </c>
      <c r="F380" s="1">
        <f t="shared" si="5"/>
        <v>0.64166666666666661</v>
      </c>
      <c r="G380" s="1">
        <v>0.22499999999999998</v>
      </c>
      <c r="H380" s="1">
        <v>0.41666666666666669</v>
      </c>
    </row>
    <row r="381" spans="1:8" hidden="1" x14ac:dyDescent="0.25">
      <c r="A381" s="2" t="s">
        <v>919</v>
      </c>
      <c r="B381" s="1" t="s">
        <v>656</v>
      </c>
      <c r="C381" s="1" t="s">
        <v>920</v>
      </c>
      <c r="D381" s="1" t="s">
        <v>554</v>
      </c>
      <c r="E381" s="2">
        <v>2.5</v>
      </c>
      <c r="F381" s="1">
        <f t="shared" si="5"/>
        <v>0.875</v>
      </c>
      <c r="G381" s="1">
        <v>0.375</v>
      </c>
      <c r="H381" s="1">
        <v>0.5</v>
      </c>
    </row>
    <row r="382" spans="1:8" hidden="1" x14ac:dyDescent="0.25">
      <c r="A382" s="2" t="s">
        <v>921</v>
      </c>
      <c r="B382" s="1" t="s">
        <v>656</v>
      </c>
      <c r="C382" s="1" t="s">
        <v>922</v>
      </c>
      <c r="D382" s="1" t="s">
        <v>554</v>
      </c>
      <c r="E382" s="2">
        <v>1</v>
      </c>
      <c r="F382" s="1">
        <f t="shared" si="5"/>
        <v>0.64166666666666661</v>
      </c>
      <c r="G382" s="1">
        <v>0.22499999999999998</v>
      </c>
      <c r="H382" s="1">
        <v>0.41666666666666669</v>
      </c>
    </row>
    <row r="383" spans="1:8" hidden="1" x14ac:dyDescent="0.25">
      <c r="A383" s="2" t="s">
        <v>60</v>
      </c>
      <c r="B383" s="1" t="s">
        <v>656</v>
      </c>
      <c r="C383" s="1" t="s">
        <v>61</v>
      </c>
      <c r="D383" s="1" t="s">
        <v>554</v>
      </c>
      <c r="E383" s="2">
        <v>2.5</v>
      </c>
      <c r="F383" s="1">
        <f t="shared" si="5"/>
        <v>0.875</v>
      </c>
      <c r="G383" s="1">
        <v>0.375</v>
      </c>
      <c r="H383" s="1">
        <v>0.5</v>
      </c>
    </row>
    <row r="384" spans="1:8" hidden="1" x14ac:dyDescent="0.25">
      <c r="A384" s="2" t="s">
        <v>55</v>
      </c>
      <c r="B384" s="1" t="s">
        <v>656</v>
      </c>
      <c r="C384" s="1" t="s">
        <v>56</v>
      </c>
      <c r="D384" s="1" t="s">
        <v>554</v>
      </c>
      <c r="E384" s="2">
        <v>1</v>
      </c>
      <c r="F384" s="1">
        <f t="shared" si="5"/>
        <v>0.64166666666666661</v>
      </c>
      <c r="G384" s="1">
        <v>0.22499999999999998</v>
      </c>
      <c r="H384" s="1">
        <v>0.41666666666666669</v>
      </c>
    </row>
    <row r="385" spans="1:8" hidden="1" x14ac:dyDescent="0.25">
      <c r="A385" s="2" t="s">
        <v>53</v>
      </c>
      <c r="B385" s="1" t="s">
        <v>656</v>
      </c>
      <c r="C385" s="1" t="s">
        <v>54</v>
      </c>
      <c r="D385" s="1" t="s">
        <v>554</v>
      </c>
      <c r="E385" s="2">
        <v>2.5</v>
      </c>
      <c r="F385" s="1">
        <f t="shared" si="5"/>
        <v>0.875</v>
      </c>
      <c r="G385" s="1">
        <v>0.375</v>
      </c>
      <c r="H385" s="1">
        <v>0.5</v>
      </c>
    </row>
    <row r="386" spans="1:8" hidden="1" x14ac:dyDescent="0.25">
      <c r="A386" s="2" t="s">
        <v>51</v>
      </c>
      <c r="B386" s="1" t="s">
        <v>656</v>
      </c>
      <c r="C386" s="1" t="s">
        <v>52</v>
      </c>
      <c r="D386" s="1" t="s">
        <v>554</v>
      </c>
      <c r="E386" s="2">
        <v>1</v>
      </c>
      <c r="F386" s="1">
        <f t="shared" si="5"/>
        <v>0.64166666666666661</v>
      </c>
      <c r="G386" s="1">
        <v>0.22499999999999998</v>
      </c>
      <c r="H386" s="1">
        <v>0.41666666666666669</v>
      </c>
    </row>
    <row r="387" spans="1:8" hidden="1" x14ac:dyDescent="0.25">
      <c r="A387" s="2" t="s">
        <v>923</v>
      </c>
      <c r="B387" s="1" t="s">
        <v>656</v>
      </c>
      <c r="C387" s="1" t="s">
        <v>924</v>
      </c>
      <c r="D387" s="1" t="s">
        <v>554</v>
      </c>
      <c r="E387" s="2">
        <v>2.5</v>
      </c>
      <c r="F387" s="1">
        <f t="shared" ref="F387:F450" si="6">G387+H387</f>
        <v>0.875</v>
      </c>
      <c r="G387" s="1">
        <v>0.375</v>
      </c>
      <c r="H387" s="1">
        <v>0.5</v>
      </c>
    </row>
    <row r="388" spans="1:8" hidden="1" x14ac:dyDescent="0.25">
      <c r="A388" s="2" t="s">
        <v>49</v>
      </c>
      <c r="B388" s="1" t="s">
        <v>656</v>
      </c>
      <c r="C388" s="1" t="s">
        <v>50</v>
      </c>
      <c r="D388" s="1" t="s">
        <v>554</v>
      </c>
      <c r="E388" s="2">
        <v>1</v>
      </c>
      <c r="F388" s="1">
        <f t="shared" si="6"/>
        <v>0.64166666666666661</v>
      </c>
      <c r="G388" s="1">
        <v>0.22499999999999998</v>
      </c>
      <c r="H388" s="1">
        <v>0.41666666666666669</v>
      </c>
    </row>
    <row r="389" spans="1:8" hidden="1" x14ac:dyDescent="0.25">
      <c r="A389" s="2" t="s">
        <v>925</v>
      </c>
      <c r="B389" s="1" t="s">
        <v>656</v>
      </c>
      <c r="C389" s="1" t="s">
        <v>926</v>
      </c>
      <c r="D389" s="1" t="s">
        <v>554</v>
      </c>
      <c r="E389" s="2">
        <v>2.5</v>
      </c>
      <c r="F389" s="1">
        <f t="shared" si="6"/>
        <v>0.875</v>
      </c>
      <c r="G389" s="1">
        <v>0.375</v>
      </c>
      <c r="H389" s="1">
        <v>0.5</v>
      </c>
    </row>
    <row r="390" spans="1:8" hidden="1" x14ac:dyDescent="0.25">
      <c r="A390" s="2" t="s">
        <v>47</v>
      </c>
      <c r="B390" s="1" t="s">
        <v>656</v>
      </c>
      <c r="C390" s="1" t="s">
        <v>48</v>
      </c>
      <c r="D390" s="1" t="s">
        <v>554</v>
      </c>
      <c r="E390" s="2">
        <v>1</v>
      </c>
      <c r="F390" s="1">
        <f t="shared" si="6"/>
        <v>0.64166666666666661</v>
      </c>
      <c r="G390" s="1">
        <v>0.22499999999999998</v>
      </c>
      <c r="H390" s="1">
        <v>0.41666666666666669</v>
      </c>
    </row>
    <row r="391" spans="1:8" hidden="1" x14ac:dyDescent="0.25">
      <c r="A391" s="2" t="s">
        <v>45</v>
      </c>
      <c r="B391" s="1" t="s">
        <v>656</v>
      </c>
      <c r="C391" s="1" t="s">
        <v>46</v>
      </c>
      <c r="D391" s="1" t="s">
        <v>554</v>
      </c>
      <c r="E391" s="2">
        <v>2.5</v>
      </c>
      <c r="F391" s="1">
        <f t="shared" si="6"/>
        <v>0.875</v>
      </c>
      <c r="G391" s="1">
        <v>0.375</v>
      </c>
      <c r="H391" s="1">
        <v>0.5</v>
      </c>
    </row>
    <row r="392" spans="1:8" hidden="1" x14ac:dyDescent="0.25">
      <c r="A392" s="2" t="s">
        <v>927</v>
      </c>
      <c r="B392" s="1" t="s">
        <v>656</v>
      </c>
      <c r="C392" s="1" t="s">
        <v>928</v>
      </c>
      <c r="D392" s="1" t="s">
        <v>554</v>
      </c>
      <c r="E392" s="2">
        <v>1</v>
      </c>
      <c r="F392" s="1">
        <f t="shared" si="6"/>
        <v>0.64166666666666661</v>
      </c>
      <c r="G392" s="1">
        <v>0.22499999999999998</v>
      </c>
      <c r="H392" s="1">
        <v>0.41666666666666669</v>
      </c>
    </row>
    <row r="393" spans="1:8" hidden="1" x14ac:dyDescent="0.25">
      <c r="A393" s="2" t="s">
        <v>43</v>
      </c>
      <c r="B393" s="1" t="s">
        <v>656</v>
      </c>
      <c r="C393" s="1" t="s">
        <v>44</v>
      </c>
      <c r="D393" s="1" t="s">
        <v>554</v>
      </c>
      <c r="E393" s="2">
        <v>2.5</v>
      </c>
      <c r="F393" s="1">
        <f t="shared" si="6"/>
        <v>0.875</v>
      </c>
      <c r="G393" s="1">
        <v>0.375</v>
      </c>
      <c r="H393" s="1">
        <v>0.5</v>
      </c>
    </row>
    <row r="394" spans="1:8" hidden="1" x14ac:dyDescent="0.25">
      <c r="A394" s="2" t="s">
        <v>387</v>
      </c>
      <c r="B394" s="1" t="s">
        <v>656</v>
      </c>
      <c r="C394" s="1" t="s">
        <v>388</v>
      </c>
      <c r="D394" s="1" t="s">
        <v>554</v>
      </c>
      <c r="E394" s="2">
        <v>1</v>
      </c>
      <c r="F394" s="1">
        <f t="shared" si="6"/>
        <v>0.64166666666666661</v>
      </c>
      <c r="G394" s="1">
        <v>0.22499999999999998</v>
      </c>
      <c r="H394" s="1">
        <v>0.41666666666666669</v>
      </c>
    </row>
    <row r="395" spans="1:8" hidden="1" x14ac:dyDescent="0.25">
      <c r="A395" s="2" t="s">
        <v>929</v>
      </c>
      <c r="B395" s="1" t="s">
        <v>656</v>
      </c>
      <c r="C395" s="1" t="s">
        <v>930</v>
      </c>
      <c r="D395" s="1" t="s">
        <v>554</v>
      </c>
      <c r="E395" s="2">
        <v>2.5</v>
      </c>
      <c r="F395" s="1">
        <f t="shared" si="6"/>
        <v>0.875</v>
      </c>
      <c r="G395" s="1">
        <v>0.375</v>
      </c>
      <c r="H395" s="1">
        <v>0.5</v>
      </c>
    </row>
    <row r="396" spans="1:8" hidden="1" x14ac:dyDescent="0.25">
      <c r="A396" s="2" t="s">
        <v>451</v>
      </c>
      <c r="B396" s="1" t="s">
        <v>656</v>
      </c>
      <c r="C396" s="1" t="s">
        <v>931</v>
      </c>
      <c r="D396" s="1" t="s">
        <v>554</v>
      </c>
      <c r="E396" s="2">
        <v>1</v>
      </c>
      <c r="F396" s="1">
        <f t="shared" si="6"/>
        <v>0.64166666666666661</v>
      </c>
      <c r="G396" s="1">
        <v>0.22499999999999998</v>
      </c>
      <c r="H396" s="1">
        <v>0.41666666666666669</v>
      </c>
    </row>
    <row r="397" spans="1:8" hidden="1" x14ac:dyDescent="0.25">
      <c r="A397" s="2" t="s">
        <v>37</v>
      </c>
      <c r="B397" s="1" t="s">
        <v>656</v>
      </c>
      <c r="C397" s="1" t="s">
        <v>932</v>
      </c>
      <c r="D397" s="1" t="s">
        <v>554</v>
      </c>
      <c r="E397" s="2">
        <v>2.5</v>
      </c>
      <c r="F397" s="1">
        <f t="shared" si="6"/>
        <v>0.875</v>
      </c>
      <c r="G397" s="1">
        <v>0.375</v>
      </c>
      <c r="H397" s="1">
        <v>0.5</v>
      </c>
    </row>
    <row r="398" spans="1:8" hidden="1" x14ac:dyDescent="0.25">
      <c r="A398" s="2" t="s">
        <v>434</v>
      </c>
      <c r="B398" s="1" t="s">
        <v>656</v>
      </c>
      <c r="C398" s="1" t="s">
        <v>435</v>
      </c>
      <c r="D398" s="1" t="s">
        <v>554</v>
      </c>
      <c r="E398" s="2">
        <v>1</v>
      </c>
      <c r="F398" s="1">
        <f t="shared" si="6"/>
        <v>0.64166666666666661</v>
      </c>
      <c r="G398" s="1">
        <v>0.22499999999999998</v>
      </c>
      <c r="H398" s="1">
        <v>0.41666666666666669</v>
      </c>
    </row>
    <row r="399" spans="1:8" hidden="1" x14ac:dyDescent="0.25">
      <c r="A399" s="2" t="s">
        <v>35</v>
      </c>
      <c r="B399" s="1" t="s">
        <v>656</v>
      </c>
      <c r="C399" s="1" t="s">
        <v>36</v>
      </c>
      <c r="D399" s="1" t="s">
        <v>554</v>
      </c>
      <c r="E399" s="2">
        <v>2.5</v>
      </c>
      <c r="F399" s="1">
        <f t="shared" si="6"/>
        <v>0.875</v>
      </c>
      <c r="G399" s="1">
        <v>0.375</v>
      </c>
      <c r="H399" s="1">
        <v>0.5</v>
      </c>
    </row>
    <row r="400" spans="1:8" hidden="1" x14ac:dyDescent="0.25">
      <c r="A400" s="2" t="s">
        <v>33</v>
      </c>
      <c r="B400" s="1" t="s">
        <v>656</v>
      </c>
      <c r="C400" s="1" t="s">
        <v>34</v>
      </c>
      <c r="D400" s="1" t="s">
        <v>554</v>
      </c>
      <c r="E400" s="2">
        <v>1</v>
      </c>
      <c r="F400" s="1">
        <f t="shared" si="6"/>
        <v>0.64166666666666661</v>
      </c>
      <c r="G400" s="1">
        <v>0.22499999999999998</v>
      </c>
      <c r="H400" s="1">
        <v>0.41666666666666669</v>
      </c>
    </row>
    <row r="401" spans="1:8" hidden="1" x14ac:dyDescent="0.25">
      <c r="A401" s="2" t="s">
        <v>31</v>
      </c>
      <c r="B401" s="1" t="s">
        <v>656</v>
      </c>
      <c r="C401" s="1" t="s">
        <v>32</v>
      </c>
      <c r="D401" s="1" t="s">
        <v>554</v>
      </c>
      <c r="E401" s="2">
        <v>2.5</v>
      </c>
      <c r="F401" s="1">
        <f t="shared" si="6"/>
        <v>0.875</v>
      </c>
      <c r="G401" s="1">
        <v>0.375</v>
      </c>
      <c r="H401" s="1">
        <v>0.5</v>
      </c>
    </row>
    <row r="402" spans="1:8" hidden="1" x14ac:dyDescent="0.25">
      <c r="A402" s="2" t="s">
        <v>933</v>
      </c>
      <c r="B402" s="1" t="s">
        <v>656</v>
      </c>
      <c r="C402" s="1" t="s">
        <v>934</v>
      </c>
      <c r="D402" s="1" t="s">
        <v>554</v>
      </c>
      <c r="E402" s="2">
        <v>1</v>
      </c>
      <c r="F402" s="1">
        <f t="shared" si="6"/>
        <v>0.64166666666666661</v>
      </c>
      <c r="G402" s="1">
        <v>0.22499999999999998</v>
      </c>
      <c r="H402" s="1">
        <v>0.41666666666666669</v>
      </c>
    </row>
    <row r="403" spans="1:8" hidden="1" x14ac:dyDescent="0.25">
      <c r="A403" s="2" t="s">
        <v>935</v>
      </c>
      <c r="B403" s="1" t="s">
        <v>656</v>
      </c>
      <c r="C403" s="1" t="s">
        <v>936</v>
      </c>
      <c r="D403" s="1" t="s">
        <v>554</v>
      </c>
      <c r="E403" s="2">
        <v>2.5</v>
      </c>
      <c r="F403" s="1">
        <f t="shared" si="6"/>
        <v>0.875</v>
      </c>
      <c r="G403" s="1">
        <v>0.375</v>
      </c>
      <c r="H403" s="1">
        <v>0.5</v>
      </c>
    </row>
    <row r="404" spans="1:8" hidden="1" x14ac:dyDescent="0.25">
      <c r="A404" s="2" t="s">
        <v>937</v>
      </c>
      <c r="B404" s="1" t="s">
        <v>656</v>
      </c>
      <c r="C404" s="1" t="s">
        <v>938</v>
      </c>
      <c r="D404" s="1" t="s">
        <v>554</v>
      </c>
      <c r="E404" s="2">
        <v>1</v>
      </c>
      <c r="F404" s="1">
        <f t="shared" si="6"/>
        <v>0.64166666666666661</v>
      </c>
      <c r="G404" s="1">
        <v>0.22499999999999998</v>
      </c>
      <c r="H404" s="1">
        <v>0.41666666666666669</v>
      </c>
    </row>
    <row r="405" spans="1:8" hidden="1" x14ac:dyDescent="0.25">
      <c r="A405" s="2" t="s">
        <v>21</v>
      </c>
      <c r="B405" s="1" t="s">
        <v>656</v>
      </c>
      <c r="C405" s="1" t="s">
        <v>22</v>
      </c>
      <c r="D405" s="1" t="s">
        <v>554</v>
      </c>
      <c r="E405" s="2">
        <v>2.5</v>
      </c>
      <c r="F405" s="1">
        <f t="shared" si="6"/>
        <v>0.875</v>
      </c>
      <c r="G405" s="1">
        <v>0.375</v>
      </c>
      <c r="H405" s="1">
        <v>0.5</v>
      </c>
    </row>
    <row r="406" spans="1:8" hidden="1" x14ac:dyDescent="0.25">
      <c r="A406" s="2" t="s">
        <v>939</v>
      </c>
      <c r="B406" s="1" t="s">
        <v>656</v>
      </c>
      <c r="C406" s="1" t="s">
        <v>940</v>
      </c>
      <c r="D406" s="1" t="s">
        <v>554</v>
      </c>
      <c r="E406" s="2">
        <v>1</v>
      </c>
      <c r="F406" s="1">
        <f t="shared" si="6"/>
        <v>0.64166666666666661</v>
      </c>
      <c r="G406" s="1">
        <v>0.22499999999999998</v>
      </c>
      <c r="H406" s="1">
        <v>0.41666666666666669</v>
      </c>
    </row>
    <row r="407" spans="1:8" hidden="1" x14ac:dyDescent="0.25">
      <c r="A407" s="2" t="s">
        <v>941</v>
      </c>
      <c r="B407" s="1" t="s">
        <v>656</v>
      </c>
      <c r="C407" s="1" t="s">
        <v>942</v>
      </c>
      <c r="D407" s="1" t="s">
        <v>554</v>
      </c>
      <c r="E407" s="2">
        <v>2.5</v>
      </c>
      <c r="F407" s="1">
        <f t="shared" si="6"/>
        <v>0.875</v>
      </c>
      <c r="G407" s="1">
        <v>0.375</v>
      </c>
      <c r="H407" s="1">
        <v>0.5</v>
      </c>
    </row>
    <row r="408" spans="1:8" hidden="1" x14ac:dyDescent="0.25">
      <c r="A408" s="2" t="s">
        <v>17</v>
      </c>
      <c r="B408" s="1" t="s">
        <v>656</v>
      </c>
      <c r="C408" s="1" t="s">
        <v>18</v>
      </c>
      <c r="D408" s="1" t="s">
        <v>554</v>
      </c>
      <c r="E408" s="2">
        <v>1</v>
      </c>
      <c r="F408" s="1">
        <f t="shared" si="6"/>
        <v>0.64166666666666661</v>
      </c>
      <c r="G408" s="1">
        <v>0.22499999999999998</v>
      </c>
      <c r="H408" s="1">
        <v>0.41666666666666669</v>
      </c>
    </row>
    <row r="409" spans="1:8" hidden="1" x14ac:dyDescent="0.25">
      <c r="A409" s="2" t="s">
        <v>517</v>
      </c>
      <c r="B409" s="1" t="s">
        <v>656</v>
      </c>
      <c r="C409" s="1" t="s">
        <v>518</v>
      </c>
      <c r="D409" s="1" t="s">
        <v>554</v>
      </c>
      <c r="E409" s="2">
        <v>2.5</v>
      </c>
      <c r="F409" s="1">
        <f t="shared" si="6"/>
        <v>0.875</v>
      </c>
      <c r="G409" s="1">
        <v>0.375</v>
      </c>
      <c r="H409" s="1">
        <v>0.5</v>
      </c>
    </row>
    <row r="410" spans="1:8" hidden="1" x14ac:dyDescent="0.25">
      <c r="A410" s="2" t="s">
        <v>15</v>
      </c>
      <c r="B410" s="1" t="s">
        <v>656</v>
      </c>
      <c r="C410" s="1" t="s">
        <v>16</v>
      </c>
      <c r="D410" s="1" t="s">
        <v>554</v>
      </c>
      <c r="E410" s="2">
        <v>1</v>
      </c>
      <c r="F410" s="1">
        <f t="shared" si="6"/>
        <v>0.64166666666666661</v>
      </c>
      <c r="G410" s="1">
        <v>0.22499999999999998</v>
      </c>
      <c r="H410" s="1">
        <v>0.41666666666666669</v>
      </c>
    </row>
    <row r="411" spans="1:8" hidden="1" x14ac:dyDescent="0.25">
      <c r="A411" s="2" t="s">
        <v>13</v>
      </c>
      <c r="B411" s="1" t="s">
        <v>656</v>
      </c>
      <c r="C411" s="1" t="s">
        <v>14</v>
      </c>
      <c r="D411" s="1" t="s">
        <v>554</v>
      </c>
      <c r="E411" s="2">
        <v>2.5</v>
      </c>
      <c r="F411" s="1">
        <f t="shared" si="6"/>
        <v>0.875</v>
      </c>
      <c r="G411" s="1">
        <v>0.375</v>
      </c>
      <c r="H411" s="1">
        <v>0.5</v>
      </c>
    </row>
    <row r="412" spans="1:8" hidden="1" x14ac:dyDescent="0.25">
      <c r="A412" s="2" t="s">
        <v>449</v>
      </c>
      <c r="B412" s="1" t="s">
        <v>656</v>
      </c>
      <c r="C412" s="1" t="s">
        <v>450</v>
      </c>
      <c r="D412" s="1" t="s">
        <v>554</v>
      </c>
      <c r="E412" s="2">
        <v>1</v>
      </c>
      <c r="F412" s="1">
        <f t="shared" si="6"/>
        <v>0.64166666666666661</v>
      </c>
      <c r="G412" s="1">
        <v>0.22499999999999998</v>
      </c>
      <c r="H412" s="1">
        <v>0.41666666666666669</v>
      </c>
    </row>
    <row r="413" spans="1:8" hidden="1" x14ac:dyDescent="0.25">
      <c r="A413" s="2" t="s">
        <v>943</v>
      </c>
      <c r="B413" s="1" t="s">
        <v>656</v>
      </c>
      <c r="C413" s="1" t="s">
        <v>944</v>
      </c>
      <c r="D413" s="1" t="s">
        <v>554</v>
      </c>
      <c r="E413" s="2">
        <v>2.5</v>
      </c>
      <c r="F413" s="1">
        <f t="shared" si="6"/>
        <v>0.875</v>
      </c>
      <c r="G413" s="1">
        <v>0.375</v>
      </c>
      <c r="H413" s="1">
        <v>0.5</v>
      </c>
    </row>
    <row r="414" spans="1:8" hidden="1" x14ac:dyDescent="0.25">
      <c r="A414" s="2" t="s">
        <v>447</v>
      </c>
      <c r="B414" s="1" t="s">
        <v>656</v>
      </c>
      <c r="C414" s="1" t="s">
        <v>448</v>
      </c>
      <c r="D414" s="1" t="s">
        <v>554</v>
      </c>
      <c r="E414" s="2">
        <v>1</v>
      </c>
      <c r="F414" s="1">
        <f t="shared" si="6"/>
        <v>0.64166666666666661</v>
      </c>
      <c r="G414" s="1">
        <v>0.22499999999999998</v>
      </c>
      <c r="H414" s="1">
        <v>0.41666666666666669</v>
      </c>
    </row>
    <row r="415" spans="1:8" hidden="1" x14ac:dyDescent="0.25">
      <c r="A415" s="2" t="s">
        <v>11</v>
      </c>
      <c r="B415" s="1" t="s">
        <v>656</v>
      </c>
      <c r="C415" s="1" t="s">
        <v>12</v>
      </c>
      <c r="D415" s="1" t="s">
        <v>554</v>
      </c>
      <c r="E415" s="2">
        <v>2.5</v>
      </c>
      <c r="F415" s="1">
        <f t="shared" si="6"/>
        <v>0.875</v>
      </c>
      <c r="G415" s="1">
        <v>0.375</v>
      </c>
      <c r="H415" s="1">
        <v>0.5</v>
      </c>
    </row>
    <row r="416" spans="1:8" hidden="1" x14ac:dyDescent="0.25">
      <c r="A416" s="2" t="s">
        <v>7</v>
      </c>
      <c r="B416" s="1" t="s">
        <v>656</v>
      </c>
      <c r="C416" s="1" t="s">
        <v>8</v>
      </c>
      <c r="D416" s="1" t="s">
        <v>554</v>
      </c>
      <c r="E416" s="2">
        <v>1</v>
      </c>
      <c r="F416" s="1">
        <f t="shared" si="6"/>
        <v>0.64166666666666661</v>
      </c>
      <c r="G416" s="1">
        <v>0.22499999999999998</v>
      </c>
      <c r="H416" s="1">
        <v>0.41666666666666669</v>
      </c>
    </row>
    <row r="417" spans="1:8" hidden="1" x14ac:dyDescent="0.25">
      <c r="A417" s="2" t="s">
        <v>945</v>
      </c>
      <c r="B417" s="1" t="s">
        <v>656</v>
      </c>
      <c r="C417" s="1" t="s">
        <v>946</v>
      </c>
      <c r="D417" s="1" t="s">
        <v>554</v>
      </c>
      <c r="E417" s="2">
        <v>2.5</v>
      </c>
      <c r="F417" s="1">
        <f t="shared" si="6"/>
        <v>0.875</v>
      </c>
      <c r="G417" s="1">
        <v>0.375</v>
      </c>
      <c r="H417" s="1">
        <v>0.5</v>
      </c>
    </row>
    <row r="418" spans="1:8" hidden="1" x14ac:dyDescent="0.25">
      <c r="A418" s="2" t="s">
        <v>947</v>
      </c>
      <c r="B418" s="1" t="s">
        <v>656</v>
      </c>
      <c r="C418" s="1" t="s">
        <v>948</v>
      </c>
      <c r="D418" s="1" t="s">
        <v>554</v>
      </c>
      <c r="E418" s="2">
        <v>1</v>
      </c>
      <c r="F418" s="1">
        <f t="shared" si="6"/>
        <v>0.64166666666666661</v>
      </c>
      <c r="G418" s="1">
        <v>0.22499999999999998</v>
      </c>
      <c r="H418" s="1">
        <v>0.41666666666666669</v>
      </c>
    </row>
    <row r="419" spans="1:8" hidden="1" x14ac:dyDescent="0.25">
      <c r="A419" s="2" t="s">
        <v>949</v>
      </c>
      <c r="B419" s="1" t="s">
        <v>656</v>
      </c>
      <c r="C419" s="1" t="s">
        <v>950</v>
      </c>
      <c r="D419" s="1" t="s">
        <v>554</v>
      </c>
      <c r="E419" s="2">
        <v>2.5</v>
      </c>
      <c r="F419" s="1">
        <f t="shared" si="6"/>
        <v>0.875</v>
      </c>
      <c r="G419" s="1">
        <v>0.375</v>
      </c>
      <c r="H419" s="1">
        <v>0.5</v>
      </c>
    </row>
    <row r="420" spans="1:8" hidden="1" x14ac:dyDescent="0.25">
      <c r="A420" s="2" t="s">
        <v>5</v>
      </c>
      <c r="B420" s="1" t="s">
        <v>656</v>
      </c>
      <c r="C420" s="1" t="s">
        <v>6</v>
      </c>
      <c r="D420" s="1" t="s">
        <v>554</v>
      </c>
      <c r="E420" s="2">
        <v>1</v>
      </c>
      <c r="F420" s="1">
        <f t="shared" si="6"/>
        <v>0.64166666666666661</v>
      </c>
      <c r="G420" s="1">
        <v>0.22499999999999998</v>
      </c>
      <c r="H420" s="1">
        <v>0.41666666666666669</v>
      </c>
    </row>
    <row r="421" spans="1:8" hidden="1" x14ac:dyDescent="0.25">
      <c r="A421" s="2" t="s">
        <v>951</v>
      </c>
      <c r="B421" s="1" t="s">
        <v>656</v>
      </c>
      <c r="C421" s="1" t="s">
        <v>952</v>
      </c>
      <c r="D421" s="1" t="s">
        <v>554</v>
      </c>
      <c r="E421" s="2">
        <v>2.5</v>
      </c>
      <c r="F421" s="1">
        <f t="shared" si="6"/>
        <v>0.875</v>
      </c>
      <c r="G421" s="1">
        <v>0.375</v>
      </c>
      <c r="H421" s="1">
        <v>0.5</v>
      </c>
    </row>
    <row r="422" spans="1:8" hidden="1" x14ac:dyDescent="0.25">
      <c r="A422" s="2" t="s">
        <v>200</v>
      </c>
      <c r="B422" s="1" t="s">
        <v>656</v>
      </c>
      <c r="C422" s="1" t="s">
        <v>953</v>
      </c>
      <c r="D422" s="1" t="s">
        <v>554</v>
      </c>
      <c r="E422" s="2">
        <v>2.5</v>
      </c>
      <c r="F422" s="1">
        <f t="shared" si="6"/>
        <v>0.875</v>
      </c>
      <c r="G422" s="1">
        <v>0.375</v>
      </c>
      <c r="H422" s="1">
        <v>0.5</v>
      </c>
    </row>
    <row r="423" spans="1:8" hidden="1" x14ac:dyDescent="0.25">
      <c r="A423" s="2" t="s">
        <v>954</v>
      </c>
      <c r="B423" s="1" t="s">
        <v>656</v>
      </c>
      <c r="C423" s="1" t="s">
        <v>955</v>
      </c>
      <c r="D423" s="1" t="s">
        <v>554</v>
      </c>
      <c r="E423" s="2">
        <v>2.5</v>
      </c>
      <c r="F423" s="1">
        <f t="shared" si="6"/>
        <v>0.875</v>
      </c>
      <c r="G423" s="1">
        <v>0.375</v>
      </c>
      <c r="H423" s="1">
        <v>0.5</v>
      </c>
    </row>
    <row r="424" spans="1:8" hidden="1" x14ac:dyDescent="0.25">
      <c r="A424" s="16" t="s">
        <v>23</v>
      </c>
      <c r="B424" s="1" t="s">
        <v>656</v>
      </c>
      <c r="C424" s="1" t="s">
        <v>24</v>
      </c>
      <c r="D424" s="1" t="s">
        <v>554</v>
      </c>
      <c r="E424" s="2">
        <v>2.5</v>
      </c>
      <c r="F424" s="1">
        <f t="shared" si="6"/>
        <v>0.875</v>
      </c>
      <c r="G424" s="1">
        <v>0.375</v>
      </c>
      <c r="H424" s="1">
        <v>0.5</v>
      </c>
    </row>
    <row r="425" spans="1:8" hidden="1" x14ac:dyDescent="0.25">
      <c r="A425" s="16" t="s">
        <v>9</v>
      </c>
      <c r="B425" s="1" t="s">
        <v>656</v>
      </c>
      <c r="C425" s="1" t="s">
        <v>10</v>
      </c>
      <c r="D425" s="1" t="s">
        <v>554</v>
      </c>
      <c r="E425" s="2">
        <v>1</v>
      </c>
      <c r="F425" s="1">
        <f t="shared" si="6"/>
        <v>0.64166666666666661</v>
      </c>
      <c r="G425" s="1">
        <v>0.22499999999999998</v>
      </c>
      <c r="H425" s="1">
        <v>0.41666666666666669</v>
      </c>
    </row>
    <row r="426" spans="1:8" hidden="1" x14ac:dyDescent="0.25">
      <c r="A426" s="16" t="s">
        <v>323</v>
      </c>
      <c r="B426" s="1" t="s">
        <v>656</v>
      </c>
      <c r="C426" s="1" t="s">
        <v>324</v>
      </c>
      <c r="D426" s="1" t="s">
        <v>554</v>
      </c>
      <c r="E426" s="2">
        <v>2.5</v>
      </c>
      <c r="F426" s="1">
        <f t="shared" si="6"/>
        <v>0.875</v>
      </c>
      <c r="G426" s="1">
        <v>0.375</v>
      </c>
      <c r="H426" s="1">
        <v>0.5</v>
      </c>
    </row>
    <row r="427" spans="1:8" hidden="1" x14ac:dyDescent="0.25">
      <c r="A427" s="16" t="s">
        <v>956</v>
      </c>
      <c r="B427" s="1" t="s">
        <v>656</v>
      </c>
      <c r="C427" s="1" t="s">
        <v>957</v>
      </c>
      <c r="D427" s="1" t="s">
        <v>554</v>
      </c>
      <c r="E427" s="2">
        <v>1</v>
      </c>
      <c r="F427" s="1">
        <f t="shared" si="6"/>
        <v>0.64166666666666661</v>
      </c>
      <c r="G427" s="1">
        <v>0.22499999999999998</v>
      </c>
      <c r="H427" s="1">
        <v>0.41666666666666669</v>
      </c>
    </row>
    <row r="428" spans="1:8" hidden="1" x14ac:dyDescent="0.25">
      <c r="A428" s="16" t="s">
        <v>958</v>
      </c>
      <c r="B428" s="1" t="s">
        <v>656</v>
      </c>
      <c r="C428" s="1" t="s">
        <v>959</v>
      </c>
      <c r="D428" s="1" t="s">
        <v>554</v>
      </c>
      <c r="E428" s="2">
        <v>2.5</v>
      </c>
      <c r="F428" s="1">
        <f t="shared" si="6"/>
        <v>0.875</v>
      </c>
      <c r="G428" s="1">
        <v>0.375</v>
      </c>
      <c r="H428" s="1">
        <v>0.5</v>
      </c>
    </row>
    <row r="429" spans="1:8" hidden="1" x14ac:dyDescent="0.25">
      <c r="A429" s="16" t="s">
        <v>421</v>
      </c>
      <c r="B429" s="1" t="s">
        <v>656</v>
      </c>
      <c r="C429" s="1" t="s">
        <v>422</v>
      </c>
      <c r="D429" s="1" t="s">
        <v>554</v>
      </c>
      <c r="E429" s="2">
        <v>1</v>
      </c>
      <c r="F429" s="1">
        <f t="shared" si="6"/>
        <v>0.64166666666666661</v>
      </c>
      <c r="G429" s="1">
        <v>0.22499999999999998</v>
      </c>
      <c r="H429" s="1">
        <v>0.41666666666666669</v>
      </c>
    </row>
    <row r="430" spans="1:8" hidden="1" x14ac:dyDescent="0.25">
      <c r="A430" s="16" t="s">
        <v>339</v>
      </c>
      <c r="B430" s="1" t="s">
        <v>656</v>
      </c>
      <c r="C430" s="1" t="s">
        <v>340</v>
      </c>
      <c r="D430" s="1" t="s">
        <v>554</v>
      </c>
      <c r="E430" s="2">
        <v>2.5</v>
      </c>
      <c r="F430" s="1">
        <f t="shared" si="6"/>
        <v>0.875</v>
      </c>
      <c r="G430" s="1">
        <v>0.375</v>
      </c>
      <c r="H430" s="1">
        <v>0.5</v>
      </c>
    </row>
    <row r="431" spans="1:8" hidden="1" x14ac:dyDescent="0.25">
      <c r="A431" s="16" t="s">
        <v>375</v>
      </c>
      <c r="B431" s="1" t="s">
        <v>656</v>
      </c>
      <c r="C431" s="1" t="s">
        <v>962</v>
      </c>
      <c r="D431" s="1" t="s">
        <v>554</v>
      </c>
      <c r="E431" s="2">
        <v>2.5</v>
      </c>
      <c r="F431" s="1">
        <f t="shared" si="6"/>
        <v>0.875</v>
      </c>
      <c r="G431" s="1">
        <v>0.375</v>
      </c>
      <c r="H431" s="1">
        <v>0.5</v>
      </c>
    </row>
    <row r="432" spans="1:8" hidden="1" x14ac:dyDescent="0.25">
      <c r="A432" s="16" t="s">
        <v>431</v>
      </c>
      <c r="B432" s="1" t="s">
        <v>656</v>
      </c>
      <c r="C432" s="1" t="s">
        <v>965</v>
      </c>
      <c r="D432" s="1" t="s">
        <v>554</v>
      </c>
      <c r="E432" s="2">
        <v>1</v>
      </c>
      <c r="F432" s="1">
        <f t="shared" si="6"/>
        <v>0.64166666666666661</v>
      </c>
      <c r="G432" s="1">
        <v>0.22499999999999998</v>
      </c>
      <c r="H432" s="1">
        <v>0.41666666666666669</v>
      </c>
    </row>
    <row r="433" spans="1:8" hidden="1" x14ac:dyDescent="0.25">
      <c r="A433" s="16" t="s">
        <v>966</v>
      </c>
      <c r="B433" s="1" t="s">
        <v>656</v>
      </c>
      <c r="C433" s="1" t="s">
        <v>967</v>
      </c>
      <c r="D433" s="1" t="s">
        <v>554</v>
      </c>
      <c r="E433" s="2">
        <v>2.5</v>
      </c>
      <c r="F433" s="1">
        <f t="shared" si="6"/>
        <v>0.875</v>
      </c>
      <c r="G433" s="1">
        <v>0.375</v>
      </c>
      <c r="H433" s="1">
        <v>0.5</v>
      </c>
    </row>
    <row r="434" spans="1:8" hidden="1" x14ac:dyDescent="0.25">
      <c r="A434" s="16" t="s">
        <v>968</v>
      </c>
      <c r="B434" s="1" t="s">
        <v>656</v>
      </c>
      <c r="C434" s="1" t="s">
        <v>969</v>
      </c>
      <c r="D434" s="1" t="s">
        <v>554</v>
      </c>
      <c r="E434" s="2">
        <v>1</v>
      </c>
      <c r="F434" s="1">
        <f t="shared" si="6"/>
        <v>0.64166666666666661</v>
      </c>
      <c r="G434" s="1">
        <v>0.22499999999999998</v>
      </c>
      <c r="H434" s="1">
        <v>0.41666666666666669</v>
      </c>
    </row>
    <row r="435" spans="1:8" hidden="1" x14ac:dyDescent="0.25">
      <c r="A435" s="16" t="s">
        <v>970</v>
      </c>
      <c r="B435" s="1" t="s">
        <v>656</v>
      </c>
      <c r="C435" s="1" t="s">
        <v>824</v>
      </c>
      <c r="D435" s="1" t="s">
        <v>554</v>
      </c>
      <c r="E435" s="2">
        <v>1</v>
      </c>
      <c r="F435" s="1">
        <f t="shared" si="6"/>
        <v>0.64166666666666661</v>
      </c>
      <c r="G435" s="1">
        <v>0.22499999999999998</v>
      </c>
      <c r="H435" s="1">
        <v>0.41666666666666669</v>
      </c>
    </row>
    <row r="436" spans="1:8" hidden="1" x14ac:dyDescent="0.25">
      <c r="A436" s="16" t="s">
        <v>971</v>
      </c>
      <c r="B436" s="1" t="s">
        <v>656</v>
      </c>
      <c r="C436" s="1" t="s">
        <v>972</v>
      </c>
      <c r="D436" s="1" t="s">
        <v>554</v>
      </c>
      <c r="E436" s="2">
        <v>0.25</v>
      </c>
      <c r="F436" s="1">
        <f t="shared" si="6"/>
        <v>0.47499999999999998</v>
      </c>
      <c r="G436" s="1">
        <v>0.22499999999999998</v>
      </c>
      <c r="H436" s="62">
        <v>0.25</v>
      </c>
    </row>
    <row r="437" spans="1:8" hidden="1" x14ac:dyDescent="0.25">
      <c r="A437" s="16" t="s">
        <v>973</v>
      </c>
      <c r="B437" s="1" t="s">
        <v>656</v>
      </c>
      <c r="C437" s="1" t="s">
        <v>974</v>
      </c>
      <c r="D437" s="1" t="s">
        <v>554</v>
      </c>
      <c r="E437" s="2">
        <v>0.25</v>
      </c>
      <c r="F437" s="1">
        <f t="shared" si="6"/>
        <v>0.47499999999999998</v>
      </c>
      <c r="G437" s="1">
        <v>0.22499999999999998</v>
      </c>
      <c r="H437" s="62">
        <v>0.25</v>
      </c>
    </row>
    <row r="438" spans="1:8" hidden="1" x14ac:dyDescent="0.25">
      <c r="A438" s="16" t="s">
        <v>347</v>
      </c>
      <c r="B438" s="1" t="s">
        <v>656</v>
      </c>
      <c r="C438" s="1" t="s">
        <v>348</v>
      </c>
      <c r="D438" s="1" t="s">
        <v>554</v>
      </c>
      <c r="E438" s="2">
        <v>0.25</v>
      </c>
      <c r="F438" s="1">
        <f t="shared" si="6"/>
        <v>0.47499999999999998</v>
      </c>
      <c r="G438" s="1">
        <v>0.22499999999999998</v>
      </c>
      <c r="H438" s="62">
        <v>0.25</v>
      </c>
    </row>
    <row r="439" spans="1:8" hidden="1" x14ac:dyDescent="0.25">
      <c r="A439" s="16" t="s">
        <v>377</v>
      </c>
      <c r="B439" s="1" t="s">
        <v>656</v>
      </c>
      <c r="C439" s="1" t="s">
        <v>378</v>
      </c>
      <c r="D439" s="1" t="s">
        <v>554</v>
      </c>
      <c r="E439" s="2">
        <v>2.5</v>
      </c>
      <c r="F439" s="1">
        <f t="shared" si="6"/>
        <v>0.875</v>
      </c>
      <c r="G439" s="1">
        <v>0.375</v>
      </c>
      <c r="H439" s="1">
        <v>0.5</v>
      </c>
    </row>
    <row r="440" spans="1:8" hidden="1" x14ac:dyDescent="0.25">
      <c r="A440" s="16" t="s">
        <v>379</v>
      </c>
      <c r="B440" s="1" t="s">
        <v>656</v>
      </c>
      <c r="C440" s="1" t="s">
        <v>380</v>
      </c>
      <c r="D440" s="1" t="s">
        <v>554</v>
      </c>
      <c r="E440" s="2">
        <v>1</v>
      </c>
      <c r="F440" s="1">
        <f t="shared" si="6"/>
        <v>0.64166666666666661</v>
      </c>
      <c r="G440" s="1">
        <v>0.22499999999999998</v>
      </c>
      <c r="H440" s="1">
        <v>0.41666666666666669</v>
      </c>
    </row>
    <row r="441" spans="1:8" hidden="1" x14ac:dyDescent="0.25">
      <c r="A441" s="16" t="s">
        <v>975</v>
      </c>
      <c r="B441" s="1" t="s">
        <v>656</v>
      </c>
      <c r="C441" s="1" t="s">
        <v>976</v>
      </c>
      <c r="D441" s="1" t="s">
        <v>554</v>
      </c>
      <c r="E441" s="2">
        <v>1</v>
      </c>
      <c r="F441" s="1">
        <f t="shared" si="6"/>
        <v>0.64166666666666661</v>
      </c>
      <c r="G441" s="1">
        <v>0.22499999999999998</v>
      </c>
      <c r="H441" s="1">
        <v>0.41666666666666669</v>
      </c>
    </row>
    <row r="442" spans="1:8" hidden="1" x14ac:dyDescent="0.25">
      <c r="A442" s="16" t="s">
        <v>977</v>
      </c>
      <c r="B442" s="1" t="s">
        <v>656</v>
      </c>
      <c r="C442" s="1" t="s">
        <v>978</v>
      </c>
      <c r="D442" s="1" t="s">
        <v>554</v>
      </c>
      <c r="E442" s="2">
        <v>1</v>
      </c>
      <c r="F442" s="1">
        <f t="shared" si="6"/>
        <v>0.64166666666666661</v>
      </c>
      <c r="G442" s="1">
        <v>0.22499999999999998</v>
      </c>
      <c r="H442" s="1">
        <v>0.41666666666666669</v>
      </c>
    </row>
    <row r="443" spans="1:8" hidden="1" x14ac:dyDescent="0.25">
      <c r="A443" s="16" t="s">
        <v>132</v>
      </c>
      <c r="B443" s="1" t="s">
        <v>656</v>
      </c>
      <c r="C443" s="1" t="s">
        <v>133</v>
      </c>
      <c r="D443" s="1" t="s">
        <v>554</v>
      </c>
      <c r="E443" s="2">
        <v>2.5</v>
      </c>
      <c r="F443" s="1">
        <f t="shared" si="6"/>
        <v>0.875</v>
      </c>
      <c r="G443" s="1">
        <v>0.375</v>
      </c>
      <c r="H443" s="1">
        <v>0.5</v>
      </c>
    </row>
    <row r="444" spans="1:8" hidden="1" x14ac:dyDescent="0.25">
      <c r="A444" s="16" t="s">
        <v>984</v>
      </c>
      <c r="B444" s="1" t="s">
        <v>656</v>
      </c>
      <c r="C444" s="1" t="s">
        <v>985</v>
      </c>
      <c r="D444" s="1" t="s">
        <v>554</v>
      </c>
      <c r="E444" s="2">
        <v>1</v>
      </c>
      <c r="F444" s="1">
        <f t="shared" si="6"/>
        <v>0.64166666666666661</v>
      </c>
      <c r="G444" s="1">
        <v>0.22499999999999998</v>
      </c>
      <c r="H444" s="1">
        <v>0.41666666666666669</v>
      </c>
    </row>
    <row r="445" spans="1:8" hidden="1" x14ac:dyDescent="0.25">
      <c r="A445" s="16" t="s">
        <v>267</v>
      </c>
      <c r="B445" s="1" t="s">
        <v>656</v>
      </c>
      <c r="C445" s="1" t="s">
        <v>986</v>
      </c>
      <c r="D445" s="1" t="s">
        <v>554</v>
      </c>
      <c r="E445" s="2">
        <v>0.25</v>
      </c>
      <c r="F445" s="1">
        <f t="shared" si="6"/>
        <v>0.47499999999999998</v>
      </c>
      <c r="G445" s="1">
        <v>0.22499999999999998</v>
      </c>
      <c r="H445" s="62">
        <v>0.25</v>
      </c>
    </row>
    <row r="446" spans="1:8" hidden="1" x14ac:dyDescent="0.25">
      <c r="A446" s="16" t="s">
        <v>268</v>
      </c>
      <c r="B446" s="1" t="s">
        <v>656</v>
      </c>
      <c r="C446" s="1" t="s">
        <v>987</v>
      </c>
      <c r="D446" s="1" t="s">
        <v>554</v>
      </c>
      <c r="E446" s="2">
        <v>2.5</v>
      </c>
      <c r="F446" s="1">
        <f t="shared" si="6"/>
        <v>0.875</v>
      </c>
      <c r="G446" s="1">
        <v>0.375</v>
      </c>
      <c r="H446" s="1">
        <v>0.5</v>
      </c>
    </row>
    <row r="447" spans="1:8" hidden="1" x14ac:dyDescent="0.25">
      <c r="A447" s="16" t="s">
        <v>373</v>
      </c>
      <c r="B447" s="1" t="s">
        <v>656</v>
      </c>
      <c r="C447" s="1" t="s">
        <v>374</v>
      </c>
      <c r="D447" s="1" t="s">
        <v>554</v>
      </c>
      <c r="E447" s="2">
        <v>2.5</v>
      </c>
      <c r="F447" s="1">
        <f t="shared" si="6"/>
        <v>0.875</v>
      </c>
      <c r="G447" s="1">
        <v>0.375</v>
      </c>
      <c r="H447" s="1">
        <v>0.5</v>
      </c>
    </row>
    <row r="448" spans="1:8" hidden="1" x14ac:dyDescent="0.25">
      <c r="A448" s="16" t="s">
        <v>269</v>
      </c>
      <c r="B448" s="1" t="s">
        <v>656</v>
      </c>
      <c r="C448" s="1" t="s">
        <v>988</v>
      </c>
      <c r="D448" s="1" t="s">
        <v>554</v>
      </c>
      <c r="E448" s="2">
        <v>1</v>
      </c>
      <c r="F448" s="1">
        <f t="shared" si="6"/>
        <v>0.64166666666666661</v>
      </c>
      <c r="G448" s="1">
        <v>0.22499999999999998</v>
      </c>
      <c r="H448" s="1">
        <v>0.41666666666666669</v>
      </c>
    </row>
    <row r="449" spans="1:8" hidden="1" x14ac:dyDescent="0.25">
      <c r="A449" s="16" t="s">
        <v>429</v>
      </c>
      <c r="B449" s="1" t="s">
        <v>656</v>
      </c>
      <c r="C449" s="1" t="s">
        <v>430</v>
      </c>
      <c r="D449" s="1" t="s">
        <v>554</v>
      </c>
      <c r="E449" s="2">
        <v>1</v>
      </c>
      <c r="F449" s="1">
        <f t="shared" si="6"/>
        <v>0.64166666666666661</v>
      </c>
      <c r="G449" s="1">
        <v>0.22499999999999998</v>
      </c>
      <c r="H449" s="1">
        <v>0.41666666666666669</v>
      </c>
    </row>
    <row r="450" spans="1:8" hidden="1" x14ac:dyDescent="0.25">
      <c r="A450" s="16" t="s">
        <v>1</v>
      </c>
      <c r="B450" s="1" t="s">
        <v>552</v>
      </c>
      <c r="C450" s="1" t="s">
        <v>2</v>
      </c>
      <c r="D450" s="1" t="s">
        <v>554</v>
      </c>
      <c r="E450" s="2">
        <v>2</v>
      </c>
      <c r="F450" s="1">
        <f t="shared" si="6"/>
        <v>0.8</v>
      </c>
      <c r="G450" s="1">
        <v>0.30000000000000004</v>
      </c>
      <c r="H450" s="1">
        <v>0.5</v>
      </c>
    </row>
    <row r="451" spans="1:8" hidden="1" x14ac:dyDescent="0.25">
      <c r="A451" s="16" t="s">
        <v>353</v>
      </c>
      <c r="B451" s="1" t="s">
        <v>552</v>
      </c>
      <c r="C451" s="1" t="s">
        <v>354</v>
      </c>
      <c r="D451" s="1" t="s">
        <v>554</v>
      </c>
      <c r="E451" s="2">
        <v>2.5</v>
      </c>
      <c r="F451" s="1">
        <f t="shared" ref="F451:F514" si="7">G451+H451</f>
        <v>0.875</v>
      </c>
      <c r="G451" s="1">
        <v>0.375</v>
      </c>
      <c r="H451" s="1">
        <v>0.5</v>
      </c>
    </row>
    <row r="452" spans="1:8" hidden="1" x14ac:dyDescent="0.25">
      <c r="A452" s="16" t="s">
        <v>365</v>
      </c>
      <c r="B452" s="1" t="s">
        <v>552</v>
      </c>
      <c r="C452" s="1" t="s">
        <v>366</v>
      </c>
      <c r="D452" s="1" t="s">
        <v>554</v>
      </c>
      <c r="E452" s="2">
        <v>5</v>
      </c>
      <c r="F452" s="1">
        <f t="shared" si="7"/>
        <v>1.1850000000000001</v>
      </c>
      <c r="G452" s="1">
        <v>0.52499999999999991</v>
      </c>
      <c r="H452" s="1">
        <v>0.66</v>
      </c>
    </row>
    <row r="453" spans="1:8" hidden="1" x14ac:dyDescent="0.25">
      <c r="A453" s="16" t="s">
        <v>385</v>
      </c>
      <c r="B453" s="1" t="s">
        <v>552</v>
      </c>
      <c r="C453" s="1" t="s">
        <v>386</v>
      </c>
      <c r="D453" s="1" t="s">
        <v>554</v>
      </c>
      <c r="E453" s="2">
        <v>3</v>
      </c>
      <c r="F453" s="1">
        <f t="shared" si="7"/>
        <v>0.8</v>
      </c>
      <c r="G453" s="1">
        <v>0.30000000000000004</v>
      </c>
      <c r="H453" s="1">
        <v>0.5</v>
      </c>
    </row>
    <row r="454" spans="1:8" hidden="1" x14ac:dyDescent="0.25">
      <c r="A454" s="61" t="s">
        <v>25</v>
      </c>
      <c r="B454" s="62" t="s">
        <v>552</v>
      </c>
      <c r="C454" s="62" t="s">
        <v>26</v>
      </c>
      <c r="D454" s="1" t="s">
        <v>554</v>
      </c>
      <c r="E454" s="2">
        <v>3</v>
      </c>
      <c r="F454" s="1">
        <f t="shared" si="7"/>
        <v>2.4</v>
      </c>
      <c r="G454" s="1">
        <v>0.89999999999999991</v>
      </c>
      <c r="H454" s="1">
        <v>1.5</v>
      </c>
    </row>
    <row r="455" spans="1:8" hidden="1" x14ac:dyDescent="0.25">
      <c r="A455" s="16" t="s">
        <v>38</v>
      </c>
      <c r="B455" s="1" t="s">
        <v>552</v>
      </c>
      <c r="C455" s="1" t="s">
        <v>39</v>
      </c>
      <c r="D455" s="1" t="s">
        <v>554</v>
      </c>
      <c r="E455" s="2">
        <v>2.5</v>
      </c>
      <c r="F455" s="1">
        <f t="shared" si="7"/>
        <v>0.875</v>
      </c>
      <c r="G455" s="1">
        <v>0.375</v>
      </c>
      <c r="H455" s="1">
        <v>0.5</v>
      </c>
    </row>
    <row r="456" spans="1:8" hidden="1" x14ac:dyDescent="0.25">
      <c r="A456" s="16" t="s">
        <v>960</v>
      </c>
      <c r="B456" s="1" t="s">
        <v>552</v>
      </c>
      <c r="C456" s="1" t="s">
        <v>961</v>
      </c>
      <c r="D456" s="1" t="s">
        <v>554</v>
      </c>
      <c r="E456" s="2">
        <v>2</v>
      </c>
      <c r="F456" s="1">
        <f t="shared" si="7"/>
        <v>0.8</v>
      </c>
      <c r="G456" s="1">
        <v>0.30000000000000004</v>
      </c>
      <c r="H456" s="1">
        <v>0.5</v>
      </c>
    </row>
    <row r="457" spans="1:8" hidden="1" x14ac:dyDescent="0.25">
      <c r="A457" s="16" t="s">
        <v>963</v>
      </c>
      <c r="B457" s="1" t="s">
        <v>552</v>
      </c>
      <c r="C457" s="1" t="s">
        <v>964</v>
      </c>
      <c r="D457" s="1" t="s">
        <v>554</v>
      </c>
      <c r="E457" s="2">
        <v>5</v>
      </c>
      <c r="F457" s="1">
        <f t="shared" si="7"/>
        <v>1.1850000000000001</v>
      </c>
      <c r="G457" s="1">
        <v>0.52499999999999991</v>
      </c>
      <c r="H457" s="1">
        <v>0.66</v>
      </c>
    </row>
    <row r="458" spans="1:8" hidden="1" x14ac:dyDescent="0.25">
      <c r="A458" s="16" t="s">
        <v>413</v>
      </c>
      <c r="B458" s="1" t="s">
        <v>552</v>
      </c>
      <c r="C458" s="1" t="s">
        <v>414</v>
      </c>
      <c r="D458" s="1" t="s">
        <v>554</v>
      </c>
      <c r="E458" s="2">
        <v>1</v>
      </c>
      <c r="F458" s="1">
        <f t="shared" si="7"/>
        <v>0.64500000000000002</v>
      </c>
      <c r="G458" s="1">
        <v>0.22499999999999998</v>
      </c>
      <c r="H458" s="1">
        <v>0.42</v>
      </c>
    </row>
    <row r="459" spans="1:8" hidden="1" x14ac:dyDescent="0.25">
      <c r="A459" s="16" t="s">
        <v>979</v>
      </c>
      <c r="B459" s="1" t="s">
        <v>552</v>
      </c>
      <c r="C459" s="1" t="s">
        <v>980</v>
      </c>
      <c r="D459" s="1" t="s">
        <v>554</v>
      </c>
      <c r="E459" s="2">
        <v>2.5</v>
      </c>
      <c r="F459" s="1">
        <f t="shared" si="7"/>
        <v>0.875</v>
      </c>
      <c r="G459" s="1">
        <v>0.375</v>
      </c>
      <c r="H459" s="1">
        <v>0.5</v>
      </c>
    </row>
    <row r="460" spans="1:8" hidden="1" x14ac:dyDescent="0.25">
      <c r="A460" s="16" t="s">
        <v>515</v>
      </c>
      <c r="B460" s="1" t="s">
        <v>552</v>
      </c>
      <c r="C460" s="1" t="s">
        <v>516</v>
      </c>
      <c r="D460" s="1" t="s">
        <v>981</v>
      </c>
      <c r="E460" s="2">
        <v>1</v>
      </c>
      <c r="F460" s="1">
        <f t="shared" si="7"/>
        <v>0.625</v>
      </c>
      <c r="G460" s="1">
        <v>0.22499999999999998</v>
      </c>
      <c r="H460" s="62">
        <v>0.4</v>
      </c>
    </row>
    <row r="461" spans="1:8" hidden="1" x14ac:dyDescent="0.25">
      <c r="A461" s="16" t="s">
        <v>982</v>
      </c>
      <c r="B461" s="1" t="s">
        <v>552</v>
      </c>
      <c r="C461" s="1" t="s">
        <v>983</v>
      </c>
      <c r="D461" s="1" t="s">
        <v>554</v>
      </c>
      <c r="E461" s="2">
        <v>15</v>
      </c>
      <c r="F461" s="1">
        <f t="shared" si="7"/>
        <v>1.35</v>
      </c>
      <c r="G461" s="1">
        <v>0.60000000000000009</v>
      </c>
      <c r="H461" s="1">
        <v>0.75</v>
      </c>
    </row>
    <row r="462" spans="1:8" hidden="1" x14ac:dyDescent="0.25">
      <c r="A462" s="16" t="s">
        <v>989</v>
      </c>
      <c r="B462" s="1" t="s">
        <v>656</v>
      </c>
      <c r="C462" s="1" t="s">
        <v>990</v>
      </c>
      <c r="D462" s="1" t="s">
        <v>554</v>
      </c>
      <c r="E462" s="2">
        <v>1</v>
      </c>
      <c r="F462" s="1">
        <f t="shared" si="7"/>
        <v>0.64166666666666661</v>
      </c>
      <c r="G462" s="1">
        <v>0.22499999999999998</v>
      </c>
      <c r="H462" s="1">
        <v>0.41666666666666669</v>
      </c>
    </row>
    <row r="463" spans="1:8" hidden="1" x14ac:dyDescent="0.25">
      <c r="A463" s="16" t="s">
        <v>991</v>
      </c>
      <c r="B463" s="1" t="s">
        <v>656</v>
      </c>
      <c r="C463" s="1" t="s">
        <v>992</v>
      </c>
      <c r="D463" s="1" t="s">
        <v>554</v>
      </c>
      <c r="E463" s="2">
        <v>2.5</v>
      </c>
      <c r="F463" s="1">
        <f t="shared" si="7"/>
        <v>0.875</v>
      </c>
      <c r="G463" s="1">
        <v>0.375</v>
      </c>
      <c r="H463" s="1">
        <v>0.5</v>
      </c>
    </row>
    <row r="464" spans="1:8" hidden="1" x14ac:dyDescent="0.25">
      <c r="A464" s="16" t="s">
        <v>993</v>
      </c>
      <c r="B464" s="1" t="s">
        <v>656</v>
      </c>
      <c r="C464" s="1" t="s">
        <v>994</v>
      </c>
      <c r="D464" s="1" t="s">
        <v>554</v>
      </c>
      <c r="E464" s="2">
        <v>1</v>
      </c>
      <c r="F464" s="1">
        <f t="shared" si="7"/>
        <v>0.64166666666666661</v>
      </c>
      <c r="G464" s="1">
        <v>0.22499999999999998</v>
      </c>
      <c r="H464" s="1">
        <v>0.41666666666666669</v>
      </c>
    </row>
    <row r="465" spans="1:8" hidden="1" x14ac:dyDescent="0.25">
      <c r="A465" s="16" t="s">
        <v>166</v>
      </c>
      <c r="B465" s="1" t="s">
        <v>656</v>
      </c>
      <c r="C465" s="1" t="s">
        <v>995</v>
      </c>
      <c r="D465" s="1" t="s">
        <v>554</v>
      </c>
      <c r="E465" s="2">
        <v>2.5</v>
      </c>
      <c r="F465" s="1">
        <f t="shared" si="7"/>
        <v>0.875</v>
      </c>
      <c r="G465" s="1">
        <v>0.375</v>
      </c>
      <c r="H465" s="1">
        <v>0.5</v>
      </c>
    </row>
    <row r="466" spans="1:8" hidden="1" x14ac:dyDescent="0.25">
      <c r="A466" s="16" t="s">
        <v>996</v>
      </c>
      <c r="B466" s="1" t="s">
        <v>552</v>
      </c>
      <c r="C466" s="1" t="s">
        <v>997</v>
      </c>
      <c r="D466" s="1" t="s">
        <v>554</v>
      </c>
      <c r="E466" s="2">
        <v>5</v>
      </c>
      <c r="F466" s="1">
        <f t="shared" si="7"/>
        <v>1.1850000000000001</v>
      </c>
      <c r="G466" s="1">
        <v>0.52499999999999991</v>
      </c>
      <c r="H466" s="1">
        <v>0.66</v>
      </c>
    </row>
    <row r="467" spans="1:8" hidden="1" x14ac:dyDescent="0.25">
      <c r="A467" s="16" t="s">
        <v>330</v>
      </c>
      <c r="B467" s="1" t="s">
        <v>656</v>
      </c>
      <c r="C467" s="1" t="s">
        <v>998</v>
      </c>
      <c r="D467" s="1" t="s">
        <v>554</v>
      </c>
      <c r="E467" s="2">
        <v>1</v>
      </c>
      <c r="F467" s="1">
        <f t="shared" si="7"/>
        <v>0.64166666666666661</v>
      </c>
      <c r="G467" s="1">
        <v>0.22499999999999998</v>
      </c>
      <c r="H467" s="1">
        <v>0.41666666666666669</v>
      </c>
    </row>
    <row r="468" spans="1:8" hidden="1" x14ac:dyDescent="0.25">
      <c r="A468" s="16" t="s">
        <v>999</v>
      </c>
      <c r="B468" s="1" t="s">
        <v>656</v>
      </c>
      <c r="C468" s="1" t="s">
        <v>1000</v>
      </c>
      <c r="D468" s="1" t="s">
        <v>554</v>
      </c>
      <c r="E468" s="2">
        <v>1</v>
      </c>
      <c r="F468" s="1">
        <f t="shared" si="7"/>
        <v>0.64166666666666661</v>
      </c>
      <c r="G468" s="1">
        <v>0.22499999999999998</v>
      </c>
      <c r="H468" s="1">
        <v>0.41666666666666669</v>
      </c>
    </row>
    <row r="469" spans="1:8" hidden="1" x14ac:dyDescent="0.25">
      <c r="A469" s="16" t="s">
        <v>66</v>
      </c>
      <c r="B469" s="1" t="s">
        <v>656</v>
      </c>
      <c r="C469" s="1" t="s">
        <v>67</v>
      </c>
      <c r="D469" s="1" t="s">
        <v>554</v>
      </c>
      <c r="E469" s="2">
        <v>2.5</v>
      </c>
      <c r="F469" s="1">
        <f t="shared" si="7"/>
        <v>0.875</v>
      </c>
      <c r="G469" s="1">
        <v>0.375</v>
      </c>
      <c r="H469" s="1">
        <v>0.5</v>
      </c>
    </row>
    <row r="470" spans="1:8" hidden="1" x14ac:dyDescent="0.25">
      <c r="A470" s="16" t="s">
        <v>1001</v>
      </c>
      <c r="B470" s="1" t="s">
        <v>656</v>
      </c>
      <c r="C470" s="1" t="s">
        <v>1002</v>
      </c>
      <c r="D470" s="1" t="s">
        <v>554</v>
      </c>
      <c r="E470" s="2">
        <v>1</v>
      </c>
      <c r="F470" s="1">
        <f t="shared" si="7"/>
        <v>0.64166666666666661</v>
      </c>
      <c r="G470" s="1">
        <v>0.22499999999999998</v>
      </c>
      <c r="H470" s="1">
        <v>0.41666666666666669</v>
      </c>
    </row>
    <row r="471" spans="1:8" hidden="1" x14ac:dyDescent="0.25">
      <c r="A471" s="16" t="s">
        <v>1003</v>
      </c>
      <c r="B471" s="1" t="s">
        <v>656</v>
      </c>
      <c r="C471" s="1" t="s">
        <v>1004</v>
      </c>
      <c r="D471" s="1" t="s">
        <v>554</v>
      </c>
      <c r="E471" s="2">
        <v>2.5</v>
      </c>
      <c r="F471" s="1">
        <f t="shared" si="7"/>
        <v>0.875</v>
      </c>
      <c r="G471" s="1">
        <v>0.375</v>
      </c>
      <c r="H471" s="1">
        <v>0.5</v>
      </c>
    </row>
    <row r="472" spans="1:8" hidden="1" x14ac:dyDescent="0.25">
      <c r="A472" s="16" t="s">
        <v>1005</v>
      </c>
      <c r="B472" s="1" t="s">
        <v>656</v>
      </c>
      <c r="C472" s="1" t="s">
        <v>1006</v>
      </c>
      <c r="D472" s="1" t="s">
        <v>554</v>
      </c>
      <c r="E472" s="2">
        <v>1</v>
      </c>
      <c r="F472" s="1">
        <f t="shared" si="7"/>
        <v>0.64166666666666661</v>
      </c>
      <c r="G472" s="1">
        <v>0.22499999999999998</v>
      </c>
      <c r="H472" s="1">
        <v>0.41666666666666669</v>
      </c>
    </row>
    <row r="473" spans="1:8" hidden="1" x14ac:dyDescent="0.25">
      <c r="A473" s="16" t="s">
        <v>176</v>
      </c>
      <c r="B473" s="1" t="s">
        <v>656</v>
      </c>
      <c r="C473" s="1" t="s">
        <v>1007</v>
      </c>
      <c r="D473" s="1" t="s">
        <v>554</v>
      </c>
      <c r="E473" s="2">
        <v>2.5</v>
      </c>
      <c r="F473" s="1">
        <f t="shared" si="7"/>
        <v>0.875</v>
      </c>
      <c r="G473" s="1">
        <v>0.375</v>
      </c>
      <c r="H473" s="1">
        <v>0.5</v>
      </c>
    </row>
    <row r="474" spans="1:8" hidden="1" x14ac:dyDescent="0.25">
      <c r="A474" s="16" t="s">
        <v>405</v>
      </c>
      <c r="B474" s="1" t="s">
        <v>656</v>
      </c>
      <c r="C474" s="1" t="s">
        <v>1008</v>
      </c>
      <c r="D474" s="1" t="s">
        <v>554</v>
      </c>
      <c r="E474" s="2">
        <v>1</v>
      </c>
      <c r="F474" s="1">
        <f t="shared" si="7"/>
        <v>0.64166666666666661</v>
      </c>
      <c r="G474" s="1">
        <v>0.22499999999999998</v>
      </c>
      <c r="H474" s="1">
        <v>0.41666666666666669</v>
      </c>
    </row>
    <row r="475" spans="1:8" hidden="1" x14ac:dyDescent="0.25">
      <c r="A475" s="16" t="s">
        <v>175</v>
      </c>
      <c r="B475" s="1" t="s">
        <v>656</v>
      </c>
      <c r="C475" s="1" t="s">
        <v>1009</v>
      </c>
      <c r="D475" s="1" t="s">
        <v>554</v>
      </c>
      <c r="E475" s="2">
        <v>2.5</v>
      </c>
      <c r="F475" s="1">
        <f t="shared" si="7"/>
        <v>0.875</v>
      </c>
      <c r="G475" s="1">
        <v>0.375</v>
      </c>
      <c r="H475" s="1">
        <v>0.5</v>
      </c>
    </row>
    <row r="476" spans="1:8" hidden="1" x14ac:dyDescent="0.25">
      <c r="A476" s="16" t="s">
        <v>383</v>
      </c>
      <c r="B476" s="1" t="s">
        <v>656</v>
      </c>
      <c r="C476" s="1" t="s">
        <v>384</v>
      </c>
      <c r="D476" s="1" t="s">
        <v>554</v>
      </c>
      <c r="E476" s="2">
        <v>2.5</v>
      </c>
      <c r="F476" s="1">
        <f t="shared" si="7"/>
        <v>0.875</v>
      </c>
      <c r="G476" s="1">
        <v>0.375</v>
      </c>
      <c r="H476" s="1">
        <v>0.5</v>
      </c>
    </row>
    <row r="477" spans="1:8" hidden="1" x14ac:dyDescent="0.25">
      <c r="A477" s="16" t="s">
        <v>372</v>
      </c>
      <c r="B477" s="1" t="s">
        <v>656</v>
      </c>
      <c r="C477" s="1" t="s">
        <v>1014</v>
      </c>
      <c r="D477" s="1" t="s">
        <v>554</v>
      </c>
      <c r="E477" s="2">
        <v>1</v>
      </c>
      <c r="F477" s="1">
        <f t="shared" si="7"/>
        <v>0.64166666666666661</v>
      </c>
      <c r="G477" s="1">
        <v>0.22499999999999998</v>
      </c>
      <c r="H477" s="1">
        <v>0.41666666666666669</v>
      </c>
    </row>
    <row r="478" spans="1:8" hidden="1" x14ac:dyDescent="0.25">
      <c r="A478" s="16" t="s">
        <v>532</v>
      </c>
      <c r="B478" s="1" t="s">
        <v>656</v>
      </c>
      <c r="C478" s="1" t="s">
        <v>1015</v>
      </c>
      <c r="D478" s="1" t="s">
        <v>554</v>
      </c>
      <c r="E478" s="2">
        <v>2.5</v>
      </c>
      <c r="F478" s="1">
        <f t="shared" si="7"/>
        <v>0.875</v>
      </c>
      <c r="G478" s="1">
        <v>0.375</v>
      </c>
      <c r="H478" s="1">
        <v>0.5</v>
      </c>
    </row>
    <row r="479" spans="1:8" hidden="1" x14ac:dyDescent="0.25">
      <c r="A479" s="16" t="s">
        <v>1016</v>
      </c>
      <c r="B479" s="1" t="s">
        <v>656</v>
      </c>
      <c r="C479" s="1" t="s">
        <v>1017</v>
      </c>
      <c r="D479" s="1" t="s">
        <v>554</v>
      </c>
      <c r="E479" s="2">
        <v>1</v>
      </c>
      <c r="F479" s="1">
        <f t="shared" si="7"/>
        <v>0.64166666666666661</v>
      </c>
      <c r="G479" s="1">
        <v>0.22499999999999998</v>
      </c>
      <c r="H479" s="1">
        <v>0.41666666666666669</v>
      </c>
    </row>
    <row r="480" spans="1:8" hidden="1" x14ac:dyDescent="0.25">
      <c r="A480" s="16" t="s">
        <v>331</v>
      </c>
      <c r="B480" s="1" t="s">
        <v>656</v>
      </c>
      <c r="C480" s="1" t="s">
        <v>332</v>
      </c>
      <c r="D480" s="1" t="s">
        <v>554</v>
      </c>
      <c r="E480" s="2">
        <v>2.5</v>
      </c>
      <c r="F480" s="1">
        <f t="shared" si="7"/>
        <v>0.875</v>
      </c>
      <c r="G480" s="1">
        <v>0.375</v>
      </c>
      <c r="H480" s="1">
        <v>0.5</v>
      </c>
    </row>
    <row r="481" spans="1:8" hidden="1" x14ac:dyDescent="0.25">
      <c r="A481" s="16" t="s">
        <v>329</v>
      </c>
      <c r="B481" s="1" t="s">
        <v>656</v>
      </c>
      <c r="C481" s="1" t="s">
        <v>1018</v>
      </c>
      <c r="D481" s="1" t="s">
        <v>554</v>
      </c>
      <c r="E481" s="2">
        <v>2.5</v>
      </c>
      <c r="F481" s="1">
        <f t="shared" si="7"/>
        <v>0.875</v>
      </c>
      <c r="G481" s="1">
        <v>0.375</v>
      </c>
      <c r="H481" s="1">
        <v>0.5</v>
      </c>
    </row>
    <row r="482" spans="1:8" hidden="1" x14ac:dyDescent="0.25">
      <c r="A482" s="16" t="s">
        <v>1019</v>
      </c>
      <c r="B482" s="1" t="s">
        <v>656</v>
      </c>
      <c r="C482" s="1" t="s">
        <v>1020</v>
      </c>
      <c r="D482" s="1" t="s">
        <v>554</v>
      </c>
      <c r="E482" s="2">
        <v>2.5</v>
      </c>
      <c r="F482" s="1">
        <f t="shared" si="7"/>
        <v>0.875</v>
      </c>
      <c r="G482" s="1">
        <v>0.375</v>
      </c>
      <c r="H482" s="1">
        <v>0.5</v>
      </c>
    </row>
    <row r="483" spans="1:8" hidden="1" x14ac:dyDescent="0.25">
      <c r="A483" s="16" t="s">
        <v>416</v>
      </c>
      <c r="B483" s="1" t="s">
        <v>656</v>
      </c>
      <c r="C483" s="1" t="s">
        <v>417</v>
      </c>
      <c r="D483" s="1" t="s">
        <v>554</v>
      </c>
      <c r="E483" s="2">
        <v>1</v>
      </c>
      <c r="F483" s="1">
        <f t="shared" si="7"/>
        <v>0.64166666666666661</v>
      </c>
      <c r="G483" s="1">
        <v>0.22499999999999998</v>
      </c>
      <c r="H483" s="1">
        <v>0.41666666666666669</v>
      </c>
    </row>
    <row r="484" spans="1:8" hidden="1" x14ac:dyDescent="0.25">
      <c r="A484" s="16" t="s">
        <v>307</v>
      </c>
      <c r="B484" s="1" t="s">
        <v>656</v>
      </c>
      <c r="C484" s="1" t="s">
        <v>308</v>
      </c>
      <c r="D484" s="1" t="s">
        <v>554</v>
      </c>
      <c r="E484" s="2">
        <v>2.5</v>
      </c>
      <c r="F484" s="1">
        <f t="shared" si="7"/>
        <v>0.875</v>
      </c>
      <c r="G484" s="1">
        <v>0.375</v>
      </c>
      <c r="H484" s="1">
        <v>0.5</v>
      </c>
    </row>
    <row r="485" spans="1:8" hidden="1" x14ac:dyDescent="0.25">
      <c r="A485" s="16" t="s">
        <v>1021</v>
      </c>
      <c r="B485" s="1" t="s">
        <v>656</v>
      </c>
      <c r="C485" s="1" t="s">
        <v>1022</v>
      </c>
      <c r="D485" s="1" t="s">
        <v>554</v>
      </c>
      <c r="E485" s="2">
        <v>1</v>
      </c>
      <c r="F485" s="1">
        <f t="shared" si="7"/>
        <v>0.64166666666666661</v>
      </c>
      <c r="G485" s="1">
        <v>0.22499999999999998</v>
      </c>
      <c r="H485" s="1">
        <v>0.41666666666666669</v>
      </c>
    </row>
    <row r="486" spans="1:8" hidden="1" x14ac:dyDescent="0.25">
      <c r="A486" s="16" t="s">
        <v>1023</v>
      </c>
      <c r="B486" s="1" t="s">
        <v>656</v>
      </c>
      <c r="C486" s="1" t="s">
        <v>1024</v>
      </c>
      <c r="D486" s="1" t="s">
        <v>554</v>
      </c>
      <c r="E486" s="2">
        <v>2.5</v>
      </c>
      <c r="F486" s="1">
        <f t="shared" si="7"/>
        <v>0.875</v>
      </c>
      <c r="G486" s="1">
        <v>0.375</v>
      </c>
      <c r="H486" s="1">
        <v>0.5</v>
      </c>
    </row>
    <row r="487" spans="1:8" hidden="1" x14ac:dyDescent="0.25">
      <c r="A487" s="16" t="s">
        <v>510</v>
      </c>
      <c r="B487" s="1" t="s">
        <v>656</v>
      </c>
      <c r="C487" s="1" t="s">
        <v>511</v>
      </c>
      <c r="D487" s="1" t="s">
        <v>554</v>
      </c>
      <c r="E487" s="2">
        <v>1</v>
      </c>
      <c r="F487" s="1">
        <f t="shared" si="7"/>
        <v>0.64166666666666661</v>
      </c>
      <c r="G487" s="1">
        <v>0.22499999999999998</v>
      </c>
      <c r="H487" s="1">
        <v>0.41666666666666669</v>
      </c>
    </row>
    <row r="488" spans="1:8" hidden="1" x14ac:dyDescent="0.25">
      <c r="A488" s="16" t="s">
        <v>1025</v>
      </c>
      <c r="B488" s="1" t="s">
        <v>656</v>
      </c>
      <c r="C488" s="1" t="s">
        <v>1026</v>
      </c>
      <c r="D488" s="1" t="s">
        <v>554</v>
      </c>
      <c r="E488" s="2">
        <v>2.5</v>
      </c>
      <c r="F488" s="1">
        <f t="shared" si="7"/>
        <v>0.875</v>
      </c>
      <c r="G488" s="1">
        <v>0.375</v>
      </c>
      <c r="H488" s="1">
        <v>0.5</v>
      </c>
    </row>
    <row r="489" spans="1:8" hidden="1" x14ac:dyDescent="0.25">
      <c r="A489" s="16" t="s">
        <v>272</v>
      </c>
      <c r="B489" s="1" t="s">
        <v>656</v>
      </c>
      <c r="C489" s="1" t="s">
        <v>273</v>
      </c>
      <c r="D489" s="1" t="s">
        <v>554</v>
      </c>
      <c r="E489" s="2">
        <v>1</v>
      </c>
      <c r="F489" s="1">
        <f t="shared" si="7"/>
        <v>0.64166666666666661</v>
      </c>
      <c r="G489" s="1">
        <v>0.22499999999999998</v>
      </c>
      <c r="H489" s="1">
        <v>0.41666666666666669</v>
      </c>
    </row>
    <row r="490" spans="1:8" hidden="1" x14ac:dyDescent="0.25">
      <c r="A490" s="16" t="s">
        <v>1027</v>
      </c>
      <c r="B490" s="1" t="s">
        <v>656</v>
      </c>
      <c r="C490" s="1" t="s">
        <v>1028</v>
      </c>
      <c r="D490" s="1" t="s">
        <v>554</v>
      </c>
      <c r="E490" s="2">
        <v>2.5</v>
      </c>
      <c r="F490" s="1">
        <f t="shared" si="7"/>
        <v>0.875</v>
      </c>
      <c r="G490" s="1">
        <v>0.375</v>
      </c>
      <c r="H490" s="1">
        <v>0.5</v>
      </c>
    </row>
    <row r="491" spans="1:8" hidden="1" x14ac:dyDescent="0.25">
      <c r="A491" s="16" t="s">
        <v>1029</v>
      </c>
      <c r="B491" s="1" t="s">
        <v>656</v>
      </c>
      <c r="C491" s="1" t="s">
        <v>1030</v>
      </c>
      <c r="D491" s="1" t="s">
        <v>554</v>
      </c>
      <c r="E491" s="2">
        <v>1</v>
      </c>
      <c r="F491" s="1">
        <f t="shared" si="7"/>
        <v>0.64166666666666661</v>
      </c>
      <c r="G491" s="1">
        <v>0.22499999999999998</v>
      </c>
      <c r="H491" s="1">
        <v>0.41666666666666669</v>
      </c>
    </row>
    <row r="492" spans="1:8" hidden="1" x14ac:dyDescent="0.25">
      <c r="A492" s="16" t="s">
        <v>1031</v>
      </c>
      <c r="B492" s="1" t="s">
        <v>656</v>
      </c>
      <c r="C492" s="1" t="s">
        <v>1032</v>
      </c>
      <c r="D492" s="1" t="s">
        <v>554</v>
      </c>
      <c r="E492" s="2">
        <v>2.5</v>
      </c>
      <c r="F492" s="1">
        <f t="shared" si="7"/>
        <v>0.875</v>
      </c>
      <c r="G492" s="1">
        <v>0.375</v>
      </c>
      <c r="H492" s="1">
        <v>0.5</v>
      </c>
    </row>
    <row r="493" spans="1:8" hidden="1" x14ac:dyDescent="0.25">
      <c r="A493" s="16" t="s">
        <v>1033</v>
      </c>
      <c r="B493" s="1" t="s">
        <v>656</v>
      </c>
      <c r="C493" s="1" t="s">
        <v>1034</v>
      </c>
      <c r="D493" s="1" t="s">
        <v>554</v>
      </c>
      <c r="E493" s="2">
        <v>1</v>
      </c>
      <c r="F493" s="1">
        <f t="shared" si="7"/>
        <v>0.64166666666666661</v>
      </c>
      <c r="G493" s="1">
        <v>0.22499999999999998</v>
      </c>
      <c r="H493" s="1">
        <v>0.41666666666666669</v>
      </c>
    </row>
    <row r="494" spans="1:8" hidden="1" x14ac:dyDescent="0.25">
      <c r="A494" s="16" t="s">
        <v>1035</v>
      </c>
      <c r="B494" s="1" t="s">
        <v>656</v>
      </c>
      <c r="C494" s="1" t="s">
        <v>1036</v>
      </c>
      <c r="D494" s="1" t="s">
        <v>554</v>
      </c>
      <c r="E494" s="2">
        <v>2.5</v>
      </c>
      <c r="F494" s="1">
        <f t="shared" si="7"/>
        <v>0.875</v>
      </c>
      <c r="G494" s="1">
        <v>0.375</v>
      </c>
      <c r="H494" s="1">
        <v>0.5</v>
      </c>
    </row>
    <row r="495" spans="1:8" hidden="1" x14ac:dyDescent="0.25">
      <c r="A495" s="16" t="s">
        <v>1037</v>
      </c>
      <c r="B495" s="1" t="s">
        <v>656</v>
      </c>
      <c r="C495" s="1" t="s">
        <v>1038</v>
      </c>
      <c r="D495" s="1" t="s">
        <v>554</v>
      </c>
      <c r="E495" s="2">
        <v>1</v>
      </c>
      <c r="F495" s="1">
        <f t="shared" si="7"/>
        <v>0.64166666666666661</v>
      </c>
      <c r="G495" s="1">
        <v>0.22499999999999998</v>
      </c>
      <c r="H495" s="1">
        <v>0.41666666666666669</v>
      </c>
    </row>
    <row r="496" spans="1:8" hidden="1" x14ac:dyDescent="0.25">
      <c r="A496" s="16" t="s">
        <v>1039</v>
      </c>
      <c r="B496" s="1" t="s">
        <v>656</v>
      </c>
      <c r="C496" s="1" t="s">
        <v>1040</v>
      </c>
      <c r="D496" s="1" t="s">
        <v>554</v>
      </c>
      <c r="E496" s="2">
        <v>2.5</v>
      </c>
      <c r="F496" s="1">
        <f t="shared" si="7"/>
        <v>0.875</v>
      </c>
      <c r="G496" s="1">
        <v>0.375</v>
      </c>
      <c r="H496" s="1">
        <v>0.5</v>
      </c>
    </row>
    <row r="497" spans="1:8" hidden="1" x14ac:dyDescent="0.25">
      <c r="A497" s="16" t="s">
        <v>1041</v>
      </c>
      <c r="B497" s="1" t="s">
        <v>656</v>
      </c>
      <c r="C497" s="1" t="s">
        <v>1042</v>
      </c>
      <c r="D497" s="1" t="s">
        <v>554</v>
      </c>
      <c r="E497" s="2">
        <v>1</v>
      </c>
      <c r="F497" s="1">
        <f t="shared" si="7"/>
        <v>0.64166666666666661</v>
      </c>
      <c r="G497" s="1">
        <v>0.22499999999999998</v>
      </c>
      <c r="H497" s="1">
        <v>0.41666666666666669</v>
      </c>
    </row>
    <row r="498" spans="1:8" hidden="1" x14ac:dyDescent="0.25">
      <c r="A498" s="16" t="s">
        <v>1043</v>
      </c>
      <c r="B498" s="1" t="s">
        <v>656</v>
      </c>
      <c r="C498" s="1" t="s">
        <v>1044</v>
      </c>
      <c r="D498" s="1" t="s">
        <v>554</v>
      </c>
      <c r="E498" s="2">
        <v>2.5</v>
      </c>
      <c r="F498" s="1">
        <f t="shared" si="7"/>
        <v>0.875</v>
      </c>
      <c r="G498" s="1">
        <v>0.375</v>
      </c>
      <c r="H498" s="1">
        <v>0.5</v>
      </c>
    </row>
    <row r="499" spans="1:8" hidden="1" x14ac:dyDescent="0.25">
      <c r="A499" s="16" t="s">
        <v>1045</v>
      </c>
      <c r="B499" s="1" t="s">
        <v>656</v>
      </c>
      <c r="C499" s="1" t="s">
        <v>1046</v>
      </c>
      <c r="D499" s="1" t="s">
        <v>554</v>
      </c>
      <c r="E499" s="2">
        <v>1</v>
      </c>
      <c r="F499" s="1">
        <f t="shared" si="7"/>
        <v>0.64166666666666661</v>
      </c>
      <c r="G499" s="1">
        <v>0.22499999999999998</v>
      </c>
      <c r="H499" s="1">
        <v>0.41666666666666669</v>
      </c>
    </row>
    <row r="500" spans="1:8" hidden="1" x14ac:dyDescent="0.25">
      <c r="A500" s="16" t="s">
        <v>1047</v>
      </c>
      <c r="B500" s="1" t="s">
        <v>656</v>
      </c>
      <c r="C500" s="1" t="s">
        <v>1048</v>
      </c>
      <c r="D500" s="1" t="s">
        <v>554</v>
      </c>
      <c r="E500" s="2">
        <v>2.5</v>
      </c>
      <c r="F500" s="1">
        <f t="shared" si="7"/>
        <v>0.875</v>
      </c>
      <c r="G500" s="1">
        <v>0.375</v>
      </c>
      <c r="H500" s="1">
        <v>0.5</v>
      </c>
    </row>
    <row r="501" spans="1:8" hidden="1" x14ac:dyDescent="0.25">
      <c r="A501" s="16" t="s">
        <v>1049</v>
      </c>
      <c r="B501" s="1" t="s">
        <v>656</v>
      </c>
      <c r="C501" s="1" t="s">
        <v>1050</v>
      </c>
      <c r="D501" s="1" t="s">
        <v>554</v>
      </c>
      <c r="E501" s="2">
        <v>1</v>
      </c>
      <c r="F501" s="1">
        <f t="shared" si="7"/>
        <v>0.64166666666666661</v>
      </c>
      <c r="G501" s="1">
        <v>0.22499999999999998</v>
      </c>
      <c r="H501" s="1">
        <v>0.41666666666666669</v>
      </c>
    </row>
    <row r="502" spans="1:8" hidden="1" x14ac:dyDescent="0.25">
      <c r="A502" s="16" t="s">
        <v>1051</v>
      </c>
      <c r="B502" s="1" t="s">
        <v>656</v>
      </c>
      <c r="C502" s="1" t="s">
        <v>1052</v>
      </c>
      <c r="D502" s="1" t="s">
        <v>554</v>
      </c>
      <c r="E502" s="2">
        <v>2.5</v>
      </c>
      <c r="F502" s="1">
        <f t="shared" si="7"/>
        <v>0.875</v>
      </c>
      <c r="G502" s="1">
        <v>0.375</v>
      </c>
      <c r="H502" s="1">
        <v>0.5</v>
      </c>
    </row>
    <row r="503" spans="1:8" hidden="1" x14ac:dyDescent="0.25">
      <c r="A503" s="16" t="s">
        <v>462</v>
      </c>
      <c r="B503" s="1" t="s">
        <v>656</v>
      </c>
      <c r="C503" s="1" t="s">
        <v>463</v>
      </c>
      <c r="D503" s="1" t="s">
        <v>554</v>
      </c>
      <c r="E503" s="2">
        <v>1</v>
      </c>
      <c r="F503" s="1">
        <f t="shared" si="7"/>
        <v>0.64166666666666661</v>
      </c>
      <c r="G503" s="1">
        <v>0.22499999999999998</v>
      </c>
      <c r="H503" s="1">
        <v>0.41666666666666669</v>
      </c>
    </row>
    <row r="504" spans="1:8" hidden="1" x14ac:dyDescent="0.25">
      <c r="A504" s="16" t="s">
        <v>1053</v>
      </c>
      <c r="B504" s="1" t="s">
        <v>656</v>
      </c>
      <c r="C504" s="1" t="s">
        <v>1054</v>
      </c>
      <c r="D504" s="1" t="s">
        <v>554</v>
      </c>
      <c r="E504" s="2">
        <v>2.5</v>
      </c>
      <c r="F504" s="1">
        <f t="shared" si="7"/>
        <v>0.875</v>
      </c>
      <c r="G504" s="1">
        <v>0.375</v>
      </c>
      <c r="H504" s="1">
        <v>0.5</v>
      </c>
    </row>
    <row r="505" spans="1:8" hidden="1" x14ac:dyDescent="0.25">
      <c r="A505" s="16" t="s">
        <v>1055</v>
      </c>
      <c r="B505" s="1" t="s">
        <v>656</v>
      </c>
      <c r="C505" s="1" t="s">
        <v>1056</v>
      </c>
      <c r="D505" s="1" t="s">
        <v>554</v>
      </c>
      <c r="E505" s="2">
        <v>1</v>
      </c>
      <c r="F505" s="1">
        <f t="shared" si="7"/>
        <v>0.64166666666666661</v>
      </c>
      <c r="G505" s="1">
        <v>0.22499999999999998</v>
      </c>
      <c r="H505" s="1">
        <v>0.41666666666666669</v>
      </c>
    </row>
    <row r="506" spans="1:8" hidden="1" x14ac:dyDescent="0.25">
      <c r="A506" s="16" t="s">
        <v>1057</v>
      </c>
      <c r="B506" s="1" t="s">
        <v>656</v>
      </c>
      <c r="C506" s="1" t="s">
        <v>1058</v>
      </c>
      <c r="D506" s="1" t="s">
        <v>554</v>
      </c>
      <c r="E506" s="2">
        <v>2.5</v>
      </c>
      <c r="F506" s="1">
        <f t="shared" si="7"/>
        <v>0.875</v>
      </c>
      <c r="G506" s="1">
        <v>0.375</v>
      </c>
      <c r="H506" s="1">
        <v>0.5</v>
      </c>
    </row>
    <row r="507" spans="1:8" hidden="1" x14ac:dyDescent="0.25">
      <c r="A507" s="16" t="s">
        <v>1059</v>
      </c>
      <c r="B507" s="1" t="s">
        <v>656</v>
      </c>
      <c r="C507" s="1" t="s">
        <v>1060</v>
      </c>
      <c r="D507" s="1" t="s">
        <v>554</v>
      </c>
      <c r="E507" s="2">
        <v>1</v>
      </c>
      <c r="F507" s="1">
        <f t="shared" si="7"/>
        <v>0.64166666666666661</v>
      </c>
      <c r="G507" s="1">
        <v>0.22499999999999998</v>
      </c>
      <c r="H507" s="1">
        <v>0.41666666666666669</v>
      </c>
    </row>
    <row r="508" spans="1:8" hidden="1" x14ac:dyDescent="0.25">
      <c r="A508" s="16" t="s">
        <v>1061</v>
      </c>
      <c r="B508" s="1" t="s">
        <v>656</v>
      </c>
      <c r="C508" s="1" t="s">
        <v>1062</v>
      </c>
      <c r="D508" s="1" t="s">
        <v>554</v>
      </c>
      <c r="E508" s="2">
        <v>2.5</v>
      </c>
      <c r="F508" s="1">
        <f t="shared" si="7"/>
        <v>0.875</v>
      </c>
      <c r="G508" s="1">
        <v>0.375</v>
      </c>
      <c r="H508" s="1">
        <v>0.5</v>
      </c>
    </row>
    <row r="509" spans="1:8" hidden="1" x14ac:dyDescent="0.25">
      <c r="A509" s="16" t="s">
        <v>1063</v>
      </c>
      <c r="B509" s="1" t="s">
        <v>656</v>
      </c>
      <c r="C509" s="1" t="s">
        <v>1064</v>
      </c>
      <c r="D509" s="1" t="s">
        <v>554</v>
      </c>
      <c r="E509" s="2">
        <v>2.5</v>
      </c>
      <c r="F509" s="1">
        <f t="shared" si="7"/>
        <v>0.875</v>
      </c>
      <c r="G509" s="1">
        <v>0.375</v>
      </c>
      <c r="H509" s="1">
        <v>0.5</v>
      </c>
    </row>
    <row r="510" spans="1:8" hidden="1" x14ac:dyDescent="0.25">
      <c r="A510" s="16" t="s">
        <v>456</v>
      </c>
      <c r="B510" s="1" t="s">
        <v>656</v>
      </c>
      <c r="C510" s="1" t="s">
        <v>457</v>
      </c>
      <c r="D510" s="1" t="s">
        <v>554</v>
      </c>
      <c r="E510" s="2">
        <v>1</v>
      </c>
      <c r="F510" s="1">
        <f t="shared" si="7"/>
        <v>0.64166666666666661</v>
      </c>
      <c r="G510" s="1">
        <v>0.22499999999999998</v>
      </c>
      <c r="H510" s="1">
        <v>0.41666666666666669</v>
      </c>
    </row>
    <row r="511" spans="1:8" hidden="1" x14ac:dyDescent="0.25">
      <c r="A511" s="16" t="s">
        <v>1065</v>
      </c>
      <c r="B511" s="1" t="s">
        <v>656</v>
      </c>
      <c r="C511" s="1" t="s">
        <v>1066</v>
      </c>
      <c r="D511" s="1" t="s">
        <v>554</v>
      </c>
      <c r="E511" s="2">
        <v>1</v>
      </c>
      <c r="F511" s="1">
        <f t="shared" si="7"/>
        <v>0.64166666666666661</v>
      </c>
      <c r="G511" s="1">
        <v>0.22499999999999998</v>
      </c>
      <c r="H511" s="1">
        <v>0.41666666666666669</v>
      </c>
    </row>
    <row r="512" spans="1:8" hidden="1" x14ac:dyDescent="0.25">
      <c r="A512" s="16" t="s">
        <v>1067</v>
      </c>
      <c r="B512" s="1" t="s">
        <v>656</v>
      </c>
      <c r="C512" s="1" t="s">
        <v>1068</v>
      </c>
      <c r="D512" s="1" t="s">
        <v>554</v>
      </c>
      <c r="E512" s="2">
        <v>2.5</v>
      </c>
      <c r="F512" s="1">
        <f t="shared" si="7"/>
        <v>0.875</v>
      </c>
      <c r="G512" s="1">
        <v>0.375</v>
      </c>
      <c r="H512" s="1">
        <v>0.5</v>
      </c>
    </row>
    <row r="513" spans="1:8" hidden="1" x14ac:dyDescent="0.25">
      <c r="A513" s="16" t="s">
        <v>30</v>
      </c>
      <c r="B513" s="1" t="s">
        <v>656</v>
      </c>
      <c r="C513" s="1" t="s">
        <v>1069</v>
      </c>
      <c r="D513" s="1" t="s">
        <v>554</v>
      </c>
      <c r="E513" s="2">
        <v>1</v>
      </c>
      <c r="F513" s="1">
        <f t="shared" si="7"/>
        <v>0.64166666666666661</v>
      </c>
      <c r="G513" s="1">
        <v>0.22499999999999998</v>
      </c>
      <c r="H513" s="1">
        <v>0.41666666666666669</v>
      </c>
    </row>
    <row r="514" spans="1:8" hidden="1" x14ac:dyDescent="0.25">
      <c r="A514" s="16" t="s">
        <v>519</v>
      </c>
      <c r="B514" s="1" t="s">
        <v>656</v>
      </c>
      <c r="C514" s="1" t="s">
        <v>1070</v>
      </c>
      <c r="D514" s="1" t="s">
        <v>554</v>
      </c>
      <c r="E514" s="2">
        <v>2.5</v>
      </c>
      <c r="F514" s="1">
        <f t="shared" si="7"/>
        <v>0.875</v>
      </c>
      <c r="G514" s="1">
        <v>0.375</v>
      </c>
      <c r="H514" s="1">
        <v>0.5</v>
      </c>
    </row>
    <row r="515" spans="1:8" hidden="1" x14ac:dyDescent="0.25">
      <c r="A515" s="16" t="s">
        <v>20</v>
      </c>
      <c r="B515" s="1" t="s">
        <v>656</v>
      </c>
      <c r="C515" s="1" t="s">
        <v>1071</v>
      </c>
      <c r="D515" s="1" t="s">
        <v>554</v>
      </c>
      <c r="E515" s="2">
        <v>1</v>
      </c>
      <c r="F515" s="1">
        <f t="shared" ref="F515:F570" si="8">G515+H515</f>
        <v>0.64166666666666661</v>
      </c>
      <c r="G515" s="1">
        <v>0.22499999999999998</v>
      </c>
      <c r="H515" s="1">
        <v>0.41666666666666669</v>
      </c>
    </row>
    <row r="516" spans="1:8" hidden="1" x14ac:dyDescent="0.25">
      <c r="A516" s="16" t="s">
        <v>19</v>
      </c>
      <c r="B516" s="1" t="s">
        <v>656</v>
      </c>
      <c r="C516" s="1" t="s">
        <v>1072</v>
      </c>
      <c r="D516" s="1" t="s">
        <v>554</v>
      </c>
      <c r="E516" s="2">
        <v>2.5</v>
      </c>
      <c r="F516" s="1">
        <f t="shared" si="8"/>
        <v>0.875</v>
      </c>
      <c r="G516" s="1">
        <v>0.375</v>
      </c>
      <c r="H516" s="1">
        <v>0.5</v>
      </c>
    </row>
    <row r="517" spans="1:8" hidden="1" x14ac:dyDescent="0.25">
      <c r="A517" s="16" t="s">
        <v>1073</v>
      </c>
      <c r="B517" s="1" t="s">
        <v>656</v>
      </c>
      <c r="C517" s="1" t="s">
        <v>1074</v>
      </c>
      <c r="D517" s="1" t="s">
        <v>554</v>
      </c>
      <c r="E517" s="2">
        <v>1</v>
      </c>
      <c r="F517" s="1">
        <f t="shared" si="8"/>
        <v>0.64166666666666661</v>
      </c>
      <c r="G517" s="1">
        <v>0.22499999999999998</v>
      </c>
      <c r="H517" s="1">
        <v>0.41666666666666669</v>
      </c>
    </row>
    <row r="518" spans="1:8" hidden="1" x14ac:dyDescent="0.25">
      <c r="A518" s="16" t="s">
        <v>1075</v>
      </c>
      <c r="B518" s="1" t="s">
        <v>656</v>
      </c>
      <c r="C518" s="1" t="s">
        <v>1076</v>
      </c>
      <c r="D518" s="1" t="s">
        <v>554</v>
      </c>
      <c r="E518" s="2">
        <v>2.5</v>
      </c>
      <c r="F518" s="1">
        <f t="shared" si="8"/>
        <v>0.875</v>
      </c>
      <c r="G518" s="1">
        <v>0.375</v>
      </c>
      <c r="H518" s="1">
        <v>0.5</v>
      </c>
    </row>
    <row r="519" spans="1:8" hidden="1" x14ac:dyDescent="0.25">
      <c r="A519" s="16" t="s">
        <v>497</v>
      </c>
      <c r="B519" s="1" t="s">
        <v>656</v>
      </c>
      <c r="C519" s="1" t="s">
        <v>498</v>
      </c>
      <c r="D519" s="1" t="s">
        <v>554</v>
      </c>
      <c r="E519" s="2">
        <v>1</v>
      </c>
      <c r="F519" s="1">
        <f t="shared" si="8"/>
        <v>0.64166666666666661</v>
      </c>
      <c r="G519" s="1">
        <v>0.22499999999999998</v>
      </c>
      <c r="H519" s="1">
        <v>0.41666666666666669</v>
      </c>
    </row>
    <row r="520" spans="1:8" hidden="1" x14ac:dyDescent="0.25">
      <c r="A520" s="16" t="s">
        <v>3</v>
      </c>
      <c r="B520" s="1" t="s">
        <v>656</v>
      </c>
      <c r="C520" s="1" t="s">
        <v>4</v>
      </c>
      <c r="D520" s="1" t="s">
        <v>554</v>
      </c>
      <c r="E520" s="2">
        <v>2.5</v>
      </c>
      <c r="F520" s="1">
        <f t="shared" si="8"/>
        <v>0.875</v>
      </c>
      <c r="G520" s="1">
        <v>0.375</v>
      </c>
      <c r="H520" s="1">
        <v>0.5</v>
      </c>
    </row>
    <row r="521" spans="1:8" hidden="1" x14ac:dyDescent="0.25">
      <c r="A521" s="16" t="s">
        <v>1077</v>
      </c>
      <c r="B521" s="1" t="s">
        <v>656</v>
      </c>
      <c r="C521" s="1" t="s">
        <v>1078</v>
      </c>
      <c r="D521" s="1" t="s">
        <v>554</v>
      </c>
      <c r="E521" s="2">
        <v>1</v>
      </c>
      <c r="F521" s="1">
        <f t="shared" si="8"/>
        <v>0.64166666666666661</v>
      </c>
      <c r="G521" s="1">
        <v>0.22499999999999998</v>
      </c>
      <c r="H521" s="1">
        <v>0.41666666666666669</v>
      </c>
    </row>
    <row r="522" spans="1:8" hidden="1" x14ac:dyDescent="0.25">
      <c r="A522" s="16" t="s">
        <v>1079</v>
      </c>
      <c r="B522" s="1" t="s">
        <v>656</v>
      </c>
      <c r="C522" s="1" t="s">
        <v>1080</v>
      </c>
      <c r="D522" s="1" t="s">
        <v>554</v>
      </c>
      <c r="E522" s="2">
        <v>2.5</v>
      </c>
      <c r="F522" s="1">
        <f t="shared" si="8"/>
        <v>0.875</v>
      </c>
      <c r="G522" s="1">
        <v>0.375</v>
      </c>
      <c r="H522" s="1">
        <v>0.5</v>
      </c>
    </row>
    <row r="523" spans="1:8" hidden="1" x14ac:dyDescent="0.25">
      <c r="A523" s="15" t="s">
        <v>1081</v>
      </c>
      <c r="B523" s="1" t="s">
        <v>552</v>
      </c>
      <c r="C523" s="1" t="s">
        <v>414</v>
      </c>
      <c r="D523" s="1" t="s">
        <v>554</v>
      </c>
      <c r="E523" s="2">
        <v>1</v>
      </c>
      <c r="F523" s="1">
        <f t="shared" si="8"/>
        <v>0.64500000000000002</v>
      </c>
      <c r="G523" s="1">
        <v>0.22499999999999998</v>
      </c>
      <c r="H523" s="1">
        <v>0.42</v>
      </c>
    </row>
    <row r="524" spans="1:8" hidden="1" x14ac:dyDescent="0.25">
      <c r="A524" s="15" t="s">
        <v>1082</v>
      </c>
      <c r="B524" s="1" t="s">
        <v>552</v>
      </c>
      <c r="C524" s="1" t="s">
        <v>1083</v>
      </c>
      <c r="D524" s="1" t="s">
        <v>554</v>
      </c>
      <c r="E524" s="2">
        <v>5</v>
      </c>
      <c r="F524" s="1">
        <f t="shared" si="8"/>
        <v>1.1850000000000001</v>
      </c>
      <c r="G524" s="1">
        <v>0.52499999999999991</v>
      </c>
      <c r="H524" s="1">
        <v>0.66</v>
      </c>
    </row>
    <row r="525" spans="1:8" hidden="1" x14ac:dyDescent="0.25">
      <c r="A525" s="16" t="s">
        <v>1084</v>
      </c>
      <c r="B525" s="1" t="s">
        <v>656</v>
      </c>
      <c r="C525" s="1" t="s">
        <v>1085</v>
      </c>
      <c r="D525" s="1" t="s">
        <v>554</v>
      </c>
      <c r="E525" s="2">
        <v>1</v>
      </c>
      <c r="F525" s="1">
        <f t="shared" si="8"/>
        <v>0.64166666666666661</v>
      </c>
      <c r="G525" s="1">
        <v>0.22499999999999998</v>
      </c>
      <c r="H525" s="1">
        <v>0.41666666666666669</v>
      </c>
    </row>
    <row r="526" spans="1:8" hidden="1" x14ac:dyDescent="0.25">
      <c r="A526" s="15" t="s">
        <v>92</v>
      </c>
      <c r="B526" s="1" t="s">
        <v>552</v>
      </c>
      <c r="C526" s="1" t="s">
        <v>93</v>
      </c>
      <c r="D526" s="1" t="s">
        <v>554</v>
      </c>
      <c r="E526" s="2">
        <v>5</v>
      </c>
      <c r="F526" s="1">
        <f t="shared" si="8"/>
        <v>1.1850000000000001</v>
      </c>
      <c r="G526" s="1">
        <v>0.52499999999999991</v>
      </c>
      <c r="H526" s="1">
        <v>0.66</v>
      </c>
    </row>
    <row r="527" spans="1:8" hidden="1" x14ac:dyDescent="0.25">
      <c r="A527" s="15" t="s">
        <v>512</v>
      </c>
      <c r="B527" s="1" t="s">
        <v>552</v>
      </c>
      <c r="C527" s="1" t="s">
        <v>513</v>
      </c>
      <c r="D527" s="1" t="s">
        <v>554</v>
      </c>
      <c r="E527" s="2">
        <v>5</v>
      </c>
      <c r="F527" s="1">
        <f t="shared" si="8"/>
        <v>1.1850000000000001</v>
      </c>
      <c r="G527" s="1">
        <v>0.52499999999999991</v>
      </c>
      <c r="H527" s="1">
        <v>0.66</v>
      </c>
    </row>
    <row r="528" spans="1:8" hidden="1" x14ac:dyDescent="0.25">
      <c r="A528" s="16" t="s">
        <v>1673</v>
      </c>
      <c r="B528" s="1" t="s">
        <v>552</v>
      </c>
      <c r="C528" s="1" t="s">
        <v>1087</v>
      </c>
      <c r="D528" s="1" t="s">
        <v>554</v>
      </c>
      <c r="E528" s="2">
        <v>5</v>
      </c>
      <c r="F528" s="1">
        <f t="shared" si="8"/>
        <v>1.1850000000000001</v>
      </c>
      <c r="G528" s="1">
        <v>0.52499999999999991</v>
      </c>
      <c r="H528" s="1">
        <v>0.66</v>
      </c>
    </row>
    <row r="529" spans="1:8" hidden="1" x14ac:dyDescent="0.25">
      <c r="A529" s="16" t="s">
        <v>57</v>
      </c>
      <c r="B529" s="1" t="s">
        <v>656</v>
      </c>
      <c r="C529" s="1" t="s">
        <v>58</v>
      </c>
      <c r="D529" s="1" t="s">
        <v>554</v>
      </c>
      <c r="E529" s="2">
        <v>2.5</v>
      </c>
      <c r="F529" s="1">
        <f t="shared" si="8"/>
        <v>0.875</v>
      </c>
      <c r="G529" s="1">
        <v>0.375</v>
      </c>
      <c r="H529" s="1">
        <v>0.5</v>
      </c>
    </row>
    <row r="530" spans="1:8" hidden="1" x14ac:dyDescent="0.25">
      <c r="A530" s="16" t="s">
        <v>106</v>
      </c>
      <c r="B530" s="1" t="s">
        <v>656</v>
      </c>
      <c r="C530" s="1" t="s">
        <v>107</v>
      </c>
      <c r="D530" s="1" t="s">
        <v>554</v>
      </c>
      <c r="E530" s="2">
        <v>2.5</v>
      </c>
      <c r="F530" s="1">
        <f t="shared" si="8"/>
        <v>0.875</v>
      </c>
      <c r="G530" s="1">
        <v>0.375</v>
      </c>
      <c r="H530" s="1">
        <v>0.5</v>
      </c>
    </row>
    <row r="531" spans="1:8" hidden="1" x14ac:dyDescent="0.25">
      <c r="A531" s="16" t="s">
        <v>108</v>
      </c>
      <c r="B531" s="1" t="s">
        <v>656</v>
      </c>
      <c r="C531" s="1" t="s">
        <v>109</v>
      </c>
      <c r="D531" s="1" t="s">
        <v>554</v>
      </c>
      <c r="E531" s="2">
        <v>1</v>
      </c>
      <c r="F531" s="1">
        <f t="shared" si="8"/>
        <v>0.64166666666666661</v>
      </c>
      <c r="G531" s="1">
        <v>0.22499999999999998</v>
      </c>
      <c r="H531" s="1">
        <v>0.41666666666666669</v>
      </c>
    </row>
    <row r="532" spans="1:8" hidden="1" x14ac:dyDescent="0.25">
      <c r="A532" s="16" t="s">
        <v>541</v>
      </c>
      <c r="B532" s="1" t="s">
        <v>656</v>
      </c>
      <c r="C532" s="1" t="s">
        <v>1088</v>
      </c>
      <c r="D532" s="1" t="s">
        <v>554</v>
      </c>
      <c r="E532" s="2">
        <v>2.5</v>
      </c>
      <c r="F532" s="1">
        <f t="shared" si="8"/>
        <v>0.875</v>
      </c>
      <c r="G532" s="1">
        <v>0.375</v>
      </c>
      <c r="H532" s="1">
        <v>0.5</v>
      </c>
    </row>
    <row r="533" spans="1:8" hidden="1" x14ac:dyDescent="0.25">
      <c r="A533" s="16" t="s">
        <v>59</v>
      </c>
      <c r="B533" s="1" t="s">
        <v>656</v>
      </c>
      <c r="C533" s="1" t="s">
        <v>1089</v>
      </c>
      <c r="D533" s="1" t="s">
        <v>554</v>
      </c>
      <c r="E533" s="2">
        <v>1</v>
      </c>
      <c r="F533" s="1">
        <f t="shared" si="8"/>
        <v>0.64166666666666661</v>
      </c>
      <c r="G533" s="1">
        <v>0.22499999999999998</v>
      </c>
      <c r="H533" s="1">
        <v>0.41666666666666669</v>
      </c>
    </row>
    <row r="534" spans="1:8" hidden="1" x14ac:dyDescent="0.25">
      <c r="A534" s="16" t="s">
        <v>1096</v>
      </c>
      <c r="B534" s="1" t="s">
        <v>552</v>
      </c>
      <c r="C534" s="1" t="s">
        <v>1097</v>
      </c>
      <c r="D534" s="1" t="s">
        <v>554</v>
      </c>
      <c r="E534" s="2">
        <v>0</v>
      </c>
      <c r="F534" s="1">
        <f t="shared" si="8"/>
        <v>0</v>
      </c>
      <c r="G534" s="1">
        <v>0</v>
      </c>
      <c r="H534" s="1">
        <v>0</v>
      </c>
    </row>
    <row r="535" spans="1:8" hidden="1" x14ac:dyDescent="0.25">
      <c r="A535" s="16" t="s">
        <v>1098</v>
      </c>
      <c r="B535" s="1" t="s">
        <v>552</v>
      </c>
      <c r="C535" s="1" t="s">
        <v>1099</v>
      </c>
      <c r="D535" s="1" t="s">
        <v>554</v>
      </c>
      <c r="E535" s="2">
        <v>2.5</v>
      </c>
      <c r="F535" s="1">
        <f t="shared" si="8"/>
        <v>0.875</v>
      </c>
      <c r="G535" s="1">
        <v>0.375</v>
      </c>
      <c r="H535" s="1">
        <v>0.5</v>
      </c>
    </row>
    <row r="536" spans="1:8" hidden="1" x14ac:dyDescent="0.25">
      <c r="A536" s="16" t="s">
        <v>40</v>
      </c>
      <c r="B536" s="1" t="s">
        <v>552</v>
      </c>
      <c r="C536" s="1" t="s">
        <v>41</v>
      </c>
      <c r="D536" s="1" t="s">
        <v>554</v>
      </c>
      <c r="E536" s="2">
        <v>2.5</v>
      </c>
      <c r="F536" s="1">
        <f t="shared" si="8"/>
        <v>0.875</v>
      </c>
      <c r="G536" s="1">
        <v>0.375</v>
      </c>
      <c r="H536" s="1">
        <v>0.5</v>
      </c>
    </row>
    <row r="537" spans="1:8" hidden="1" x14ac:dyDescent="0.25">
      <c r="A537" s="16" t="s">
        <v>1100</v>
      </c>
      <c r="B537" s="1" t="s">
        <v>552</v>
      </c>
      <c r="C537" s="1" t="s">
        <v>1101</v>
      </c>
      <c r="D537" s="1" t="s">
        <v>981</v>
      </c>
      <c r="E537" s="2">
        <v>1</v>
      </c>
      <c r="F537" s="1">
        <f t="shared" si="8"/>
        <v>0.625</v>
      </c>
      <c r="G537" s="1">
        <v>0.22499999999999998</v>
      </c>
      <c r="H537" s="62">
        <v>0.4</v>
      </c>
    </row>
    <row r="538" spans="1:8" hidden="1" x14ac:dyDescent="0.25">
      <c r="A538" s="16" t="s">
        <v>1102</v>
      </c>
      <c r="B538" s="1" t="s">
        <v>552</v>
      </c>
      <c r="C538" s="1" t="s">
        <v>1103</v>
      </c>
      <c r="D538" s="1" t="s">
        <v>554</v>
      </c>
      <c r="E538" s="2">
        <v>1</v>
      </c>
      <c r="F538" s="1">
        <f t="shared" si="8"/>
        <v>0.64500000000000002</v>
      </c>
      <c r="G538" s="1">
        <v>0.22499999999999998</v>
      </c>
      <c r="H538" s="1">
        <v>0.42</v>
      </c>
    </row>
    <row r="539" spans="1:8" hidden="1" x14ac:dyDescent="0.25">
      <c r="A539" s="16" t="s">
        <v>1104</v>
      </c>
      <c r="B539" s="1" t="s">
        <v>552</v>
      </c>
      <c r="C539" s="1" t="s">
        <v>1105</v>
      </c>
      <c r="D539" s="1" t="s">
        <v>554</v>
      </c>
      <c r="E539" s="2">
        <v>1</v>
      </c>
      <c r="F539" s="1">
        <f t="shared" si="8"/>
        <v>0.64500000000000002</v>
      </c>
      <c r="G539" s="1">
        <v>0.22499999999999998</v>
      </c>
      <c r="H539" s="1">
        <v>0.42</v>
      </c>
    </row>
    <row r="540" spans="1:8" hidden="1" x14ac:dyDescent="0.25">
      <c r="A540" s="16" t="s">
        <v>1106</v>
      </c>
      <c r="B540" s="1" t="s">
        <v>552</v>
      </c>
      <c r="C540" s="1" t="s">
        <v>1107</v>
      </c>
      <c r="D540" s="1" t="s">
        <v>554</v>
      </c>
      <c r="E540" s="2">
        <v>2.5</v>
      </c>
      <c r="F540" s="1">
        <f t="shared" si="8"/>
        <v>0.875</v>
      </c>
      <c r="G540" s="1">
        <v>0.375</v>
      </c>
      <c r="H540" s="1">
        <v>0.5</v>
      </c>
    </row>
    <row r="541" spans="1:8" hidden="1" x14ac:dyDescent="0.25">
      <c r="A541" s="16" t="s">
        <v>436</v>
      </c>
      <c r="B541" s="1" t="s">
        <v>552</v>
      </c>
      <c r="C541" s="1" t="s">
        <v>437</v>
      </c>
      <c r="D541" s="1" t="s">
        <v>554</v>
      </c>
      <c r="E541" s="2">
        <v>2.5</v>
      </c>
      <c r="F541" s="1">
        <f t="shared" si="8"/>
        <v>0.875</v>
      </c>
      <c r="G541" s="1">
        <v>0.375</v>
      </c>
      <c r="H541" s="1">
        <v>0.5</v>
      </c>
    </row>
    <row r="542" spans="1:8" hidden="1" x14ac:dyDescent="0.25">
      <c r="A542" s="16" t="s">
        <v>257</v>
      </c>
      <c r="B542" s="1" t="s">
        <v>656</v>
      </c>
      <c r="C542" s="1" t="s">
        <v>258</v>
      </c>
      <c r="D542" s="1" t="s">
        <v>554</v>
      </c>
      <c r="E542" s="2">
        <v>2.5</v>
      </c>
      <c r="F542" s="1">
        <f t="shared" si="8"/>
        <v>0.875</v>
      </c>
      <c r="G542" s="1">
        <v>0.375</v>
      </c>
      <c r="H542" s="1">
        <v>0.5</v>
      </c>
    </row>
    <row r="543" spans="1:8" hidden="1" x14ac:dyDescent="0.25">
      <c r="A543" s="16" t="s">
        <v>76</v>
      </c>
      <c r="B543" s="1" t="s">
        <v>656</v>
      </c>
      <c r="C543" s="1" t="s">
        <v>77</v>
      </c>
      <c r="D543" s="1" t="s">
        <v>1108</v>
      </c>
      <c r="E543" s="2">
        <v>20</v>
      </c>
      <c r="F543" s="1">
        <f t="shared" si="8"/>
        <v>0.8</v>
      </c>
      <c r="G543" s="1">
        <v>0.30000000000000004</v>
      </c>
      <c r="H543" s="1">
        <v>0.5</v>
      </c>
    </row>
    <row r="544" spans="1:8" hidden="1" x14ac:dyDescent="0.25">
      <c r="A544" s="16" t="s">
        <v>508</v>
      </c>
      <c r="B544" s="1" t="s">
        <v>656</v>
      </c>
      <c r="C544" s="1" t="s">
        <v>509</v>
      </c>
      <c r="D544" s="1" t="s">
        <v>554</v>
      </c>
      <c r="E544" s="2">
        <v>1</v>
      </c>
      <c r="F544" s="1">
        <f t="shared" si="8"/>
        <v>0.64166666666666661</v>
      </c>
      <c r="G544" s="1">
        <v>0.22499999999999998</v>
      </c>
      <c r="H544" s="1">
        <v>0.41666666666666669</v>
      </c>
    </row>
    <row r="545" spans="1:8" hidden="1" x14ac:dyDescent="0.25">
      <c r="A545" s="16" t="s">
        <v>539</v>
      </c>
      <c r="B545" s="1" t="s">
        <v>552</v>
      </c>
      <c r="C545" s="1" t="s">
        <v>540</v>
      </c>
      <c r="D545" s="1" t="s">
        <v>554</v>
      </c>
      <c r="E545" s="2">
        <v>2.6</v>
      </c>
      <c r="F545" s="1">
        <f t="shared" si="8"/>
        <v>1.75</v>
      </c>
      <c r="G545" s="1">
        <v>0.75</v>
      </c>
      <c r="H545" s="1">
        <v>1</v>
      </c>
    </row>
    <row r="546" spans="1:8" hidden="1" x14ac:dyDescent="0.25">
      <c r="A546" s="16" t="s">
        <v>1109</v>
      </c>
      <c r="B546" s="1" t="s">
        <v>552</v>
      </c>
      <c r="C546" s="1" t="s">
        <v>1110</v>
      </c>
      <c r="D546" s="1" t="s">
        <v>554</v>
      </c>
      <c r="E546" s="2">
        <v>2.5</v>
      </c>
      <c r="F546" s="1">
        <f t="shared" si="8"/>
        <v>0.875</v>
      </c>
      <c r="G546" s="1">
        <v>0.375</v>
      </c>
      <c r="H546" s="1">
        <v>0.5</v>
      </c>
    </row>
    <row r="547" spans="1:8" hidden="1" x14ac:dyDescent="0.25">
      <c r="A547" s="16" t="s">
        <v>1090</v>
      </c>
      <c r="B547" s="1" t="s">
        <v>656</v>
      </c>
      <c r="C547" s="1" t="s">
        <v>1091</v>
      </c>
      <c r="D547" s="1" t="s">
        <v>554</v>
      </c>
      <c r="E547" s="2">
        <v>2.5</v>
      </c>
      <c r="F547" s="1">
        <f t="shared" si="8"/>
        <v>0.875</v>
      </c>
      <c r="G547" s="1">
        <v>0.375</v>
      </c>
      <c r="H547" s="1">
        <v>0.5</v>
      </c>
    </row>
    <row r="548" spans="1:8" hidden="1" x14ac:dyDescent="0.25">
      <c r="A548" s="16" t="s">
        <v>1092</v>
      </c>
      <c r="B548" s="1" t="s">
        <v>656</v>
      </c>
      <c r="C548" s="1" t="s">
        <v>1093</v>
      </c>
      <c r="D548" s="1" t="s">
        <v>554</v>
      </c>
      <c r="E548" s="2">
        <v>1</v>
      </c>
      <c r="F548" s="1">
        <f t="shared" si="8"/>
        <v>0.64166666666666661</v>
      </c>
      <c r="G548" s="1">
        <v>0.22499999999999998</v>
      </c>
      <c r="H548" s="1">
        <v>0.41666666666666669</v>
      </c>
    </row>
    <row r="549" spans="1:8" hidden="1" x14ac:dyDescent="0.25">
      <c r="A549" s="16" t="s">
        <v>1094</v>
      </c>
      <c r="B549" s="1" t="s">
        <v>656</v>
      </c>
      <c r="C549" s="1" t="s">
        <v>41</v>
      </c>
      <c r="D549" s="1" t="s">
        <v>554</v>
      </c>
      <c r="E549" s="2">
        <v>2.5</v>
      </c>
      <c r="F549" s="1">
        <f t="shared" si="8"/>
        <v>0.875</v>
      </c>
      <c r="G549" s="1">
        <v>0.375</v>
      </c>
      <c r="H549" s="1">
        <v>0.5</v>
      </c>
    </row>
    <row r="550" spans="1:8" hidden="1" x14ac:dyDescent="0.25">
      <c r="A550" s="16" t="s">
        <v>1095</v>
      </c>
      <c r="B550" s="1" t="s">
        <v>656</v>
      </c>
      <c r="C550" s="1" t="s">
        <v>39</v>
      </c>
      <c r="D550" s="1" t="s">
        <v>554</v>
      </c>
      <c r="E550" s="2">
        <v>2.5</v>
      </c>
      <c r="F550" s="1">
        <f t="shared" si="8"/>
        <v>0.875</v>
      </c>
      <c r="G550" s="1">
        <v>0.375</v>
      </c>
      <c r="H550" s="1">
        <v>0.5</v>
      </c>
    </row>
    <row r="551" spans="1:8" hidden="1" x14ac:dyDescent="0.25">
      <c r="A551" s="16" t="s">
        <v>1010</v>
      </c>
      <c r="B551" s="1" t="s">
        <v>656</v>
      </c>
      <c r="C551" s="1" t="s">
        <v>1011</v>
      </c>
      <c r="D551" s="1" t="s">
        <v>554</v>
      </c>
      <c r="E551" s="2">
        <v>1</v>
      </c>
      <c r="F551" s="1">
        <f t="shared" si="8"/>
        <v>0.64166666666666661</v>
      </c>
      <c r="G551" s="1">
        <v>0.22499999999999998</v>
      </c>
      <c r="H551" s="1">
        <v>0.41666666666666669</v>
      </c>
    </row>
    <row r="552" spans="1:8" hidden="1" x14ac:dyDescent="0.25">
      <c r="A552" s="16" t="s">
        <v>1012</v>
      </c>
      <c r="B552" s="1" t="s">
        <v>656</v>
      </c>
      <c r="C552" s="1" t="s">
        <v>1013</v>
      </c>
      <c r="D552" s="1" t="s">
        <v>554</v>
      </c>
      <c r="E552" s="2">
        <v>2.5</v>
      </c>
      <c r="F552" s="1">
        <f t="shared" si="8"/>
        <v>0.875</v>
      </c>
      <c r="G552" s="1">
        <v>0.375</v>
      </c>
      <c r="H552" s="1">
        <v>0.5</v>
      </c>
    </row>
    <row r="553" spans="1:8" hidden="1" x14ac:dyDescent="0.25">
      <c r="A553" s="1" t="s">
        <v>1868</v>
      </c>
      <c r="B553" s="1" t="s">
        <v>552</v>
      </c>
      <c r="C553" s="1" t="s">
        <v>1767</v>
      </c>
      <c r="D553" s="1" t="s">
        <v>554</v>
      </c>
      <c r="E553" s="2">
        <v>5</v>
      </c>
      <c r="F553" s="1">
        <f t="shared" si="8"/>
        <v>1.1850000000000001</v>
      </c>
      <c r="G553" s="1">
        <v>0.52499999999999991</v>
      </c>
      <c r="H553" s="1">
        <v>0.66</v>
      </c>
    </row>
    <row r="554" spans="1:8" hidden="1" x14ac:dyDescent="0.25">
      <c r="A554" s="1" t="s">
        <v>1859</v>
      </c>
      <c r="B554" s="1" t="s">
        <v>552</v>
      </c>
      <c r="C554" s="1" t="s">
        <v>1891</v>
      </c>
      <c r="D554" s="1" t="s">
        <v>554</v>
      </c>
      <c r="E554" s="2">
        <v>2.5</v>
      </c>
      <c r="F554" s="1">
        <f t="shared" si="8"/>
        <v>0.875</v>
      </c>
      <c r="G554" s="1">
        <v>0.375</v>
      </c>
      <c r="H554" s="1">
        <v>0.5</v>
      </c>
    </row>
    <row r="555" spans="1:8" hidden="1" x14ac:dyDescent="0.25">
      <c r="A555" s="1" t="s">
        <v>1860</v>
      </c>
      <c r="B555" s="1" t="s">
        <v>552</v>
      </c>
      <c r="C555" s="1" t="s">
        <v>1892</v>
      </c>
      <c r="D555" s="1" t="s">
        <v>554</v>
      </c>
      <c r="E555" s="2">
        <v>2.5</v>
      </c>
      <c r="F555" s="1">
        <f t="shared" si="8"/>
        <v>0.875</v>
      </c>
      <c r="G555" s="1">
        <v>0.375</v>
      </c>
      <c r="H555" s="1">
        <v>0.5</v>
      </c>
    </row>
    <row r="556" spans="1:8" hidden="1" x14ac:dyDescent="0.25">
      <c r="A556" s="1" t="s">
        <v>1855</v>
      </c>
      <c r="B556" s="1" t="s">
        <v>552</v>
      </c>
      <c r="C556" s="1" t="s">
        <v>1893</v>
      </c>
      <c r="D556" s="1" t="s">
        <v>554</v>
      </c>
      <c r="E556" s="2">
        <v>2.5</v>
      </c>
      <c r="F556" s="1">
        <f t="shared" si="8"/>
        <v>0.875</v>
      </c>
      <c r="G556" s="1">
        <v>0.375</v>
      </c>
      <c r="H556" s="1">
        <v>0.5</v>
      </c>
    </row>
    <row r="557" spans="1:8" hidden="1" x14ac:dyDescent="0.25">
      <c r="A557" s="1" t="s">
        <v>1861</v>
      </c>
      <c r="B557" s="1" t="s">
        <v>552</v>
      </c>
      <c r="C557" s="1" t="s">
        <v>1762</v>
      </c>
      <c r="D557" s="1" t="s">
        <v>554</v>
      </c>
      <c r="E557" s="2">
        <v>2.5</v>
      </c>
      <c r="F557" s="1">
        <f t="shared" si="8"/>
        <v>0.875</v>
      </c>
      <c r="G557" s="1">
        <v>0.375</v>
      </c>
      <c r="H557" s="1">
        <v>0.5</v>
      </c>
    </row>
    <row r="558" spans="1:8" hidden="1" x14ac:dyDescent="0.25">
      <c r="A558" s="1" t="s">
        <v>1898</v>
      </c>
      <c r="B558" s="1" t="s">
        <v>552</v>
      </c>
      <c r="C558" s="1" t="s">
        <v>1899</v>
      </c>
      <c r="D558" s="1" t="s">
        <v>554</v>
      </c>
      <c r="E558" s="2">
        <v>1</v>
      </c>
      <c r="F558" s="1">
        <f t="shared" si="8"/>
        <v>0.64500000000000002</v>
      </c>
      <c r="G558" s="1">
        <v>0.22499999999999998</v>
      </c>
      <c r="H558" s="1">
        <v>0.42</v>
      </c>
    </row>
    <row r="559" spans="1:8" hidden="1" x14ac:dyDescent="0.25">
      <c r="A559" s="1" t="s">
        <v>1900</v>
      </c>
      <c r="B559" s="1" t="s">
        <v>552</v>
      </c>
      <c r="C559" s="1" t="s">
        <v>1901</v>
      </c>
      <c r="D559" s="1" t="s">
        <v>554</v>
      </c>
      <c r="E559" s="2">
        <v>5</v>
      </c>
      <c r="F559" s="1">
        <f t="shared" si="8"/>
        <v>1.1850000000000001</v>
      </c>
      <c r="G559" s="1">
        <v>0.52499999999999991</v>
      </c>
      <c r="H559" s="1">
        <v>0.66</v>
      </c>
    </row>
    <row r="560" spans="1:8" hidden="1" x14ac:dyDescent="0.25">
      <c r="A560" s="1" t="s">
        <v>4303</v>
      </c>
      <c r="B560" s="1" t="s">
        <v>656</v>
      </c>
      <c r="C560" s="1" t="s">
        <v>4304</v>
      </c>
      <c r="D560" s="1" t="s">
        <v>554</v>
      </c>
      <c r="E560" s="2">
        <v>2.5</v>
      </c>
      <c r="F560" s="1">
        <f t="shared" si="8"/>
        <v>0.875</v>
      </c>
      <c r="G560" s="1">
        <v>0.375</v>
      </c>
      <c r="H560" s="1">
        <v>0.5</v>
      </c>
    </row>
    <row r="561" spans="1:8" hidden="1" x14ac:dyDescent="0.25">
      <c r="A561" s="1" t="s">
        <v>4305</v>
      </c>
      <c r="B561" s="1" t="s">
        <v>656</v>
      </c>
      <c r="C561" s="1" t="s">
        <v>4306</v>
      </c>
      <c r="D561" s="1" t="s">
        <v>554</v>
      </c>
      <c r="E561" s="2">
        <v>1</v>
      </c>
      <c r="F561" s="1">
        <f t="shared" si="8"/>
        <v>0.64500000000000002</v>
      </c>
      <c r="G561" s="1">
        <v>0.22499999999999998</v>
      </c>
      <c r="H561" s="1">
        <v>0.42</v>
      </c>
    </row>
    <row r="562" spans="1:8" hidden="1" x14ac:dyDescent="0.25">
      <c r="A562" s="1" t="s">
        <v>4307</v>
      </c>
      <c r="B562" s="1" t="s">
        <v>656</v>
      </c>
      <c r="C562" s="1" t="s">
        <v>4308</v>
      </c>
      <c r="D562" s="1" t="s">
        <v>554</v>
      </c>
      <c r="E562" s="2">
        <v>2.5</v>
      </c>
      <c r="F562" s="1">
        <f t="shared" si="8"/>
        <v>0.875</v>
      </c>
      <c r="G562" s="1">
        <v>0.375</v>
      </c>
      <c r="H562" s="1">
        <v>0.5</v>
      </c>
    </row>
    <row r="563" spans="1:8" hidden="1" x14ac:dyDescent="0.25">
      <c r="A563" s="1" t="s">
        <v>4309</v>
      </c>
      <c r="B563" s="1" t="s">
        <v>656</v>
      </c>
      <c r="C563" s="1" t="s">
        <v>4310</v>
      </c>
      <c r="D563" s="1" t="s">
        <v>554</v>
      </c>
      <c r="E563" s="2">
        <v>1</v>
      </c>
      <c r="F563" s="1">
        <f t="shared" si="8"/>
        <v>0.64500000000000002</v>
      </c>
      <c r="G563" s="1">
        <v>0.22499999999999998</v>
      </c>
      <c r="H563" s="1">
        <v>0.42</v>
      </c>
    </row>
    <row r="564" spans="1:8" hidden="1" x14ac:dyDescent="0.25">
      <c r="A564" s="1" t="s">
        <v>1858</v>
      </c>
      <c r="B564" s="1" t="s">
        <v>552</v>
      </c>
      <c r="C564" s="1" t="s">
        <v>1761</v>
      </c>
      <c r="D564" s="1" t="s">
        <v>554</v>
      </c>
      <c r="E564" s="2">
        <v>2.5</v>
      </c>
      <c r="F564" s="1">
        <f t="shared" si="8"/>
        <v>0.875</v>
      </c>
      <c r="G564" s="1">
        <v>0.375</v>
      </c>
      <c r="H564" s="1">
        <v>0.5</v>
      </c>
    </row>
    <row r="565" spans="1:8" hidden="1" x14ac:dyDescent="0.25">
      <c r="A565" s="1" t="s">
        <v>4314</v>
      </c>
      <c r="B565" s="1" t="s">
        <v>656</v>
      </c>
      <c r="C565" s="1" t="s">
        <v>4315</v>
      </c>
      <c r="D565" s="1" t="s">
        <v>554</v>
      </c>
      <c r="E565" s="2">
        <v>1</v>
      </c>
      <c r="F565" s="1">
        <f t="shared" si="8"/>
        <v>0.64500000000000002</v>
      </c>
      <c r="G565" s="1">
        <v>0.22499999999999998</v>
      </c>
      <c r="H565" s="1">
        <v>0.42</v>
      </c>
    </row>
    <row r="566" spans="1:8" hidden="1" x14ac:dyDescent="0.25">
      <c r="A566" s="1" t="s">
        <v>4312</v>
      </c>
      <c r="B566" s="1" t="s">
        <v>656</v>
      </c>
      <c r="C566" s="1" t="s">
        <v>4313</v>
      </c>
      <c r="D566" s="1" t="s">
        <v>554</v>
      </c>
      <c r="E566" s="2">
        <v>1</v>
      </c>
      <c r="F566" s="1">
        <f t="shared" si="8"/>
        <v>0.64500000000000002</v>
      </c>
      <c r="G566" s="1">
        <v>0.22499999999999998</v>
      </c>
      <c r="H566" s="1">
        <v>0.42</v>
      </c>
    </row>
    <row r="567" spans="1:8" hidden="1" x14ac:dyDescent="0.25">
      <c r="A567" s="1" t="s">
        <v>4319</v>
      </c>
      <c r="B567" s="1" t="s">
        <v>656</v>
      </c>
      <c r="C567" s="1" t="s">
        <v>4322</v>
      </c>
      <c r="D567" s="1" t="s">
        <v>554</v>
      </c>
      <c r="E567" s="2">
        <v>2.5</v>
      </c>
      <c r="F567" s="1">
        <f t="shared" si="8"/>
        <v>0.875</v>
      </c>
      <c r="G567" s="1">
        <v>0.375</v>
      </c>
      <c r="H567" s="1">
        <v>0.5</v>
      </c>
    </row>
    <row r="568" spans="1:8" hidden="1" x14ac:dyDescent="0.25">
      <c r="A568" s="1" t="s">
        <v>4320</v>
      </c>
      <c r="B568" s="1" t="s">
        <v>656</v>
      </c>
      <c r="C568" s="1" t="s">
        <v>4323</v>
      </c>
      <c r="D568" s="1" t="s">
        <v>554</v>
      </c>
      <c r="E568" s="2">
        <v>1</v>
      </c>
      <c r="F568" s="1">
        <f t="shared" si="8"/>
        <v>0.64500000000000002</v>
      </c>
      <c r="G568" s="1">
        <v>0.22499999999999998</v>
      </c>
      <c r="H568" s="1">
        <v>0.42</v>
      </c>
    </row>
    <row r="569" spans="1:8" hidden="1" x14ac:dyDescent="0.25">
      <c r="A569" s="1" t="s">
        <v>4321</v>
      </c>
      <c r="B569" s="1" t="s">
        <v>656</v>
      </c>
      <c r="C569" s="1" t="s">
        <v>4324</v>
      </c>
      <c r="D569" s="1" t="s">
        <v>554</v>
      </c>
      <c r="E569" s="2">
        <v>2.5</v>
      </c>
      <c r="F569" s="1">
        <f t="shared" si="8"/>
        <v>0.875</v>
      </c>
      <c r="G569" s="1">
        <v>0.375</v>
      </c>
      <c r="H569" s="1">
        <v>0.5</v>
      </c>
    </row>
    <row r="570" spans="1:8" hidden="1" x14ac:dyDescent="0.25">
      <c r="A570" s="1" t="s">
        <v>4345</v>
      </c>
      <c r="B570" s="1" t="s">
        <v>552</v>
      </c>
      <c r="C570" s="1" t="s">
        <v>4346</v>
      </c>
      <c r="D570" s="1" t="s">
        <v>554</v>
      </c>
      <c r="E570" s="2">
        <v>2.6</v>
      </c>
      <c r="F570" s="1">
        <f t="shared" si="8"/>
        <v>1.75</v>
      </c>
      <c r="G570" s="1">
        <v>0.75</v>
      </c>
      <c r="H570" s="1">
        <v>1</v>
      </c>
    </row>
    <row r="571" spans="1:8" hidden="1" x14ac:dyDescent="0.25">
      <c r="A571" s="1" t="s">
        <v>4347</v>
      </c>
      <c r="B571" s="1" t="s">
        <v>656</v>
      </c>
      <c r="C571" s="1" t="s">
        <v>4348</v>
      </c>
      <c r="D571" s="1" t="s">
        <v>554</v>
      </c>
      <c r="E571" s="2">
        <v>2.5</v>
      </c>
      <c r="F571" s="1">
        <f>G571+H571</f>
        <v>0.875</v>
      </c>
      <c r="G571" s="1">
        <v>0.375</v>
      </c>
      <c r="H571" s="1">
        <v>0.5</v>
      </c>
    </row>
    <row r="572" spans="1:8" hidden="1" x14ac:dyDescent="0.25">
      <c r="A572" s="1" t="s">
        <v>4349</v>
      </c>
      <c r="B572" s="1" t="s">
        <v>656</v>
      </c>
      <c r="C572" s="1" t="s">
        <v>4351</v>
      </c>
      <c r="D572" s="1" t="s">
        <v>554</v>
      </c>
      <c r="E572" s="2">
        <v>2.5</v>
      </c>
      <c r="F572" s="1">
        <f>G572+H572</f>
        <v>0.875</v>
      </c>
      <c r="G572" s="1">
        <v>0.375</v>
      </c>
      <c r="H572" s="1">
        <v>0.5</v>
      </c>
    </row>
    <row r="573" spans="1:8" hidden="1" x14ac:dyDescent="0.25">
      <c r="A573" s="1" t="s">
        <v>4350</v>
      </c>
      <c r="B573" s="1" t="s">
        <v>656</v>
      </c>
      <c r="C573" s="1" t="s">
        <v>4352</v>
      </c>
      <c r="D573" s="1" t="s">
        <v>554</v>
      </c>
      <c r="E573" s="2">
        <v>1</v>
      </c>
      <c r="F573" s="1">
        <f>G573+H573</f>
        <v>0.64500000000000002</v>
      </c>
      <c r="G573" s="1">
        <v>0.22499999999999998</v>
      </c>
      <c r="H573" s="1">
        <v>0.42</v>
      </c>
    </row>
    <row r="574" spans="1:8" hidden="1" x14ac:dyDescent="0.25">
      <c r="A574" s="1" t="s">
        <v>4358</v>
      </c>
      <c r="B574" s="1" t="s">
        <v>656</v>
      </c>
      <c r="C574" s="1" t="s">
        <v>4366</v>
      </c>
      <c r="D574" s="1" t="s">
        <v>554</v>
      </c>
      <c r="E574" s="2">
        <v>2.5</v>
      </c>
      <c r="F574" s="1">
        <f t="shared" ref="F574:F581" si="9">G574+H574</f>
        <v>0.875</v>
      </c>
      <c r="G574" s="1">
        <v>0.375</v>
      </c>
      <c r="H574" s="1">
        <v>0.5</v>
      </c>
    </row>
    <row r="575" spans="1:8" hidden="1" x14ac:dyDescent="0.25">
      <c r="A575" s="1" t="s">
        <v>4359</v>
      </c>
      <c r="B575" s="1" t="s">
        <v>656</v>
      </c>
      <c r="C575" s="1" t="s">
        <v>4367</v>
      </c>
      <c r="D575" s="1" t="s">
        <v>554</v>
      </c>
      <c r="E575" s="2">
        <v>1</v>
      </c>
      <c r="F575" s="1">
        <f t="shared" si="9"/>
        <v>0.64500000000000002</v>
      </c>
      <c r="G575" s="1">
        <v>0.22499999999999998</v>
      </c>
      <c r="H575" s="1">
        <v>0.42</v>
      </c>
    </row>
    <row r="576" spans="1:8" hidden="1" x14ac:dyDescent="0.25">
      <c r="A576" s="1" t="s">
        <v>4360</v>
      </c>
      <c r="B576" s="1" t="s">
        <v>656</v>
      </c>
      <c r="C576" s="1" t="s">
        <v>4368</v>
      </c>
      <c r="D576" s="1" t="s">
        <v>554</v>
      </c>
      <c r="E576" s="2">
        <v>2.5</v>
      </c>
      <c r="F576" s="1">
        <f t="shared" si="9"/>
        <v>0.875</v>
      </c>
      <c r="G576" s="1">
        <v>0.375</v>
      </c>
      <c r="H576" s="1">
        <v>0.5</v>
      </c>
    </row>
    <row r="577" spans="1:8" hidden="1" x14ac:dyDescent="0.25">
      <c r="A577" s="1" t="s">
        <v>4361</v>
      </c>
      <c r="B577" s="1" t="s">
        <v>656</v>
      </c>
      <c r="C577" s="1" t="s">
        <v>4369</v>
      </c>
      <c r="D577" s="1" t="s">
        <v>554</v>
      </c>
      <c r="E577" s="2">
        <v>1</v>
      </c>
      <c r="F577" s="1">
        <f t="shared" si="9"/>
        <v>0.64500000000000002</v>
      </c>
      <c r="G577" s="1">
        <v>0.22499999999999998</v>
      </c>
      <c r="H577" s="1">
        <v>0.42</v>
      </c>
    </row>
    <row r="578" spans="1:8" hidden="1" x14ac:dyDescent="0.25">
      <c r="A578" s="1" t="s">
        <v>4362</v>
      </c>
      <c r="B578" s="1" t="s">
        <v>656</v>
      </c>
      <c r="C578" s="1" t="s">
        <v>4370</v>
      </c>
      <c r="D578" s="1" t="s">
        <v>554</v>
      </c>
      <c r="E578" s="2">
        <v>2.5</v>
      </c>
      <c r="F578" s="1">
        <f t="shared" si="9"/>
        <v>0.875</v>
      </c>
      <c r="G578" s="1">
        <v>0.375</v>
      </c>
      <c r="H578" s="1">
        <v>0.5</v>
      </c>
    </row>
    <row r="579" spans="1:8" hidden="1" x14ac:dyDescent="0.25">
      <c r="A579" s="1" t="s">
        <v>4363</v>
      </c>
      <c r="B579" s="1" t="s">
        <v>656</v>
      </c>
      <c r="C579" s="1" t="s">
        <v>4371</v>
      </c>
      <c r="D579" s="1" t="s">
        <v>554</v>
      </c>
      <c r="E579" s="2">
        <v>1</v>
      </c>
      <c r="F579" s="1">
        <f t="shared" si="9"/>
        <v>0.64500000000000002</v>
      </c>
      <c r="G579" s="1">
        <v>0.22499999999999998</v>
      </c>
      <c r="H579" s="1">
        <v>0.42</v>
      </c>
    </row>
    <row r="580" spans="1:8" hidden="1" x14ac:dyDescent="0.25">
      <c r="A580" s="1" t="s">
        <v>4364</v>
      </c>
      <c r="B580" s="1" t="s">
        <v>656</v>
      </c>
      <c r="C580" s="1" t="s">
        <v>4372</v>
      </c>
      <c r="D580" s="1" t="s">
        <v>554</v>
      </c>
      <c r="E580" s="2">
        <v>2.5</v>
      </c>
      <c r="F580" s="1">
        <f t="shared" si="9"/>
        <v>0.875</v>
      </c>
      <c r="G580" s="1">
        <v>0.375</v>
      </c>
      <c r="H580" s="1">
        <v>0.5</v>
      </c>
    </row>
    <row r="581" spans="1:8" hidden="1" x14ac:dyDescent="0.25">
      <c r="A581" s="1" t="s">
        <v>4365</v>
      </c>
      <c r="B581" s="1" t="s">
        <v>656</v>
      </c>
      <c r="C581" s="1" t="s">
        <v>4373</v>
      </c>
      <c r="D581" s="1" t="s">
        <v>554</v>
      </c>
      <c r="E581" s="2">
        <v>1</v>
      </c>
      <c r="F581" s="1">
        <f t="shared" si="9"/>
        <v>0.64500000000000002</v>
      </c>
      <c r="G581" s="1">
        <v>0.22499999999999998</v>
      </c>
      <c r="H581" s="1">
        <v>0.42</v>
      </c>
    </row>
    <row r="582" spans="1:8" hidden="1" x14ac:dyDescent="0.25">
      <c r="A582" s="1" t="s">
        <v>4374</v>
      </c>
      <c r="B582" s="1" t="s">
        <v>552</v>
      </c>
      <c r="C582" s="1" t="s">
        <v>185</v>
      </c>
      <c r="D582" s="1" t="s">
        <v>554</v>
      </c>
      <c r="E582" s="2">
        <v>2.5</v>
      </c>
      <c r="F582" s="1">
        <f>G582+H582</f>
        <v>0.875</v>
      </c>
      <c r="G582" s="1">
        <v>0.375</v>
      </c>
      <c r="H582" s="1">
        <v>0.5</v>
      </c>
    </row>
    <row r="583" spans="1:8" hidden="1" x14ac:dyDescent="0.25">
      <c r="A583" s="1" t="s">
        <v>4376</v>
      </c>
      <c r="B583" s="1" t="s">
        <v>4377</v>
      </c>
      <c r="C583" s="1" t="s">
        <v>4378</v>
      </c>
      <c r="D583" s="1" t="s">
        <v>554</v>
      </c>
      <c r="E583" s="2">
        <v>1</v>
      </c>
      <c r="F583" s="1">
        <f>G583+H583</f>
        <v>0.64500000000000002</v>
      </c>
      <c r="G583" s="1">
        <v>0.22499999999999998</v>
      </c>
      <c r="H583" s="1">
        <v>0.42</v>
      </c>
    </row>
    <row r="584" spans="1:8" hidden="1" x14ac:dyDescent="0.25">
      <c r="A584" s="1" t="s">
        <v>4379</v>
      </c>
      <c r="B584" s="1" t="s">
        <v>4377</v>
      </c>
      <c r="C584" s="1" t="s">
        <v>4430</v>
      </c>
      <c r="D584" s="1" t="s">
        <v>554</v>
      </c>
      <c r="E584" s="2">
        <v>1</v>
      </c>
      <c r="F584" s="1">
        <f>G584+H584</f>
        <v>0.64500000000000002</v>
      </c>
      <c r="G584" s="1">
        <v>0.22499999999999998</v>
      </c>
      <c r="H584" s="1">
        <v>0.42</v>
      </c>
    </row>
    <row r="585" spans="1:8" hidden="1" x14ac:dyDescent="0.25">
      <c r="A585" s="1" t="s">
        <v>4380</v>
      </c>
      <c r="B585" s="1" t="s">
        <v>4377</v>
      </c>
      <c r="C585" s="1" t="s">
        <v>4431</v>
      </c>
      <c r="D585" s="1" t="s">
        <v>554</v>
      </c>
      <c r="E585" s="2">
        <v>1</v>
      </c>
      <c r="F585" s="1">
        <f>G585+H585</f>
        <v>0.64500000000000002</v>
      </c>
      <c r="G585" s="1">
        <v>0.22499999999999998</v>
      </c>
      <c r="H585" s="1">
        <v>0.42</v>
      </c>
    </row>
    <row r="586" spans="1:8" hidden="1" x14ac:dyDescent="0.25">
      <c r="A586" s="1" t="s">
        <v>4381</v>
      </c>
      <c r="B586" s="1" t="s">
        <v>4377</v>
      </c>
      <c r="C586" s="1" t="s">
        <v>4432</v>
      </c>
      <c r="D586" s="1" t="s">
        <v>554</v>
      </c>
      <c r="E586" s="2">
        <v>0.4</v>
      </c>
      <c r="F586" s="1">
        <v>0.45</v>
      </c>
      <c r="G586" s="1"/>
      <c r="H586" s="1"/>
    </row>
    <row r="587" spans="1:8" hidden="1" x14ac:dyDescent="0.25">
      <c r="A587" s="1" t="s">
        <v>4382</v>
      </c>
      <c r="B587" s="1" t="s">
        <v>4377</v>
      </c>
      <c r="C587" s="1" t="s">
        <v>4433</v>
      </c>
      <c r="D587" s="1" t="s">
        <v>554</v>
      </c>
      <c r="E587" s="2">
        <v>1</v>
      </c>
      <c r="F587" s="1">
        <f>G587+H587</f>
        <v>0.64500000000000002</v>
      </c>
      <c r="G587" s="1">
        <v>0.22499999999999998</v>
      </c>
      <c r="H587" s="1">
        <v>0.42</v>
      </c>
    </row>
    <row r="588" spans="1:8" hidden="1" x14ac:dyDescent="0.25">
      <c r="A588" s="1" t="s">
        <v>4383</v>
      </c>
      <c r="B588" s="1" t="s">
        <v>4377</v>
      </c>
      <c r="C588" s="1" t="s">
        <v>4434</v>
      </c>
      <c r="D588" s="1" t="s">
        <v>554</v>
      </c>
      <c r="E588" s="2">
        <v>0.4</v>
      </c>
      <c r="F588" s="1">
        <v>0.45</v>
      </c>
      <c r="G588" s="1"/>
      <c r="H588" s="1"/>
    </row>
    <row r="589" spans="1:8" hidden="1" x14ac:dyDescent="0.25">
      <c r="A589" s="1" t="s">
        <v>4384</v>
      </c>
      <c r="B589" s="1" t="s">
        <v>4377</v>
      </c>
      <c r="C589" s="1" t="s">
        <v>4435</v>
      </c>
      <c r="D589" s="1" t="s">
        <v>554</v>
      </c>
      <c r="E589" s="2">
        <v>1</v>
      </c>
      <c r="F589" s="1">
        <f>G589+H589</f>
        <v>0.64500000000000002</v>
      </c>
      <c r="G589" s="1">
        <v>0.22499999999999998</v>
      </c>
      <c r="H589" s="1">
        <v>0.42</v>
      </c>
    </row>
    <row r="590" spans="1:8" hidden="1" x14ac:dyDescent="0.25">
      <c r="A590" s="1" t="s">
        <v>4385</v>
      </c>
      <c r="B590" s="1" t="s">
        <v>4377</v>
      </c>
      <c r="C590" s="1" t="s">
        <v>4436</v>
      </c>
      <c r="D590" s="1" t="s">
        <v>554</v>
      </c>
      <c r="E590" s="2">
        <v>1</v>
      </c>
      <c r="F590" s="1">
        <f>G590+H590</f>
        <v>0.64500000000000002</v>
      </c>
      <c r="G590" s="1">
        <v>0.22499999999999998</v>
      </c>
      <c r="H590" s="1">
        <v>0.42</v>
      </c>
    </row>
    <row r="591" spans="1:8" hidden="1" x14ac:dyDescent="0.25">
      <c r="A591" s="1" t="s">
        <v>4386</v>
      </c>
      <c r="B591" s="1" t="s">
        <v>4377</v>
      </c>
      <c r="C591" s="1" t="s">
        <v>4437</v>
      </c>
      <c r="D591" s="1" t="s">
        <v>554</v>
      </c>
      <c r="E591" s="2">
        <v>1</v>
      </c>
      <c r="F591" s="1">
        <f>G591+H591</f>
        <v>0.64500000000000002</v>
      </c>
      <c r="G591" s="1">
        <v>0.22499999999999998</v>
      </c>
      <c r="H591" s="1">
        <v>0.42</v>
      </c>
    </row>
    <row r="592" spans="1:8" hidden="1" x14ac:dyDescent="0.25">
      <c r="A592" s="1" t="s">
        <v>4387</v>
      </c>
      <c r="B592" s="1" t="s">
        <v>4377</v>
      </c>
      <c r="C592" s="1" t="s">
        <v>4438</v>
      </c>
      <c r="D592" s="1" t="s">
        <v>554</v>
      </c>
      <c r="E592" s="2">
        <v>1</v>
      </c>
      <c r="F592" s="1">
        <f>G592+H592</f>
        <v>0.64500000000000002</v>
      </c>
      <c r="G592" s="1">
        <v>0.22499999999999998</v>
      </c>
      <c r="H592" s="1">
        <v>0.42</v>
      </c>
    </row>
    <row r="593" spans="1:8" hidden="1" x14ac:dyDescent="0.25">
      <c r="A593" s="1" t="s">
        <v>4388</v>
      </c>
      <c r="B593" s="1" t="s">
        <v>4377</v>
      </c>
      <c r="C593" s="1" t="s">
        <v>4439</v>
      </c>
      <c r="D593" s="1" t="s">
        <v>554</v>
      </c>
      <c r="E593" s="2">
        <v>0.4</v>
      </c>
      <c r="F593" s="1">
        <v>0.45</v>
      </c>
      <c r="G593" s="1"/>
      <c r="H593" s="1"/>
    </row>
    <row r="594" spans="1:8" hidden="1" x14ac:dyDescent="0.25">
      <c r="A594" s="1" t="s">
        <v>4389</v>
      </c>
      <c r="B594" s="1" t="s">
        <v>4377</v>
      </c>
      <c r="C594" s="1" t="s">
        <v>4440</v>
      </c>
      <c r="D594" s="1" t="s">
        <v>554</v>
      </c>
      <c r="E594" s="2">
        <v>1</v>
      </c>
      <c r="F594" s="1">
        <f>G594+H594</f>
        <v>0.64500000000000002</v>
      </c>
      <c r="G594" s="1">
        <v>0.22499999999999998</v>
      </c>
      <c r="H594" s="1">
        <v>0.42</v>
      </c>
    </row>
    <row r="595" spans="1:8" hidden="1" x14ac:dyDescent="0.25">
      <c r="A595" s="1" t="s">
        <v>4390</v>
      </c>
      <c r="B595" s="1" t="s">
        <v>4377</v>
      </c>
      <c r="C595" s="1" t="s">
        <v>4441</v>
      </c>
      <c r="D595" s="1" t="s">
        <v>554</v>
      </c>
      <c r="E595" s="2">
        <v>1</v>
      </c>
      <c r="F595" s="1">
        <f>G595+H595</f>
        <v>0.64500000000000002</v>
      </c>
      <c r="G595" s="1">
        <v>0.22499999999999998</v>
      </c>
      <c r="H595" s="1">
        <v>0.42</v>
      </c>
    </row>
    <row r="596" spans="1:8" hidden="1" x14ac:dyDescent="0.25">
      <c r="A596" s="1" t="s">
        <v>4391</v>
      </c>
      <c r="B596" s="1" t="s">
        <v>4377</v>
      </c>
      <c r="C596" s="1" t="s">
        <v>4442</v>
      </c>
      <c r="D596" s="1" t="s">
        <v>554</v>
      </c>
      <c r="E596" s="2">
        <v>0.4</v>
      </c>
      <c r="F596" s="1">
        <v>0.45</v>
      </c>
      <c r="G596" s="1"/>
      <c r="H596" s="1"/>
    </row>
    <row r="597" spans="1:8" hidden="1" x14ac:dyDescent="0.25">
      <c r="A597" s="1" t="s">
        <v>4392</v>
      </c>
      <c r="B597" s="1" t="s">
        <v>4377</v>
      </c>
      <c r="C597" s="1" t="s">
        <v>4443</v>
      </c>
      <c r="D597" s="1" t="s">
        <v>554</v>
      </c>
      <c r="E597" s="2">
        <v>1</v>
      </c>
      <c r="F597" s="1">
        <f t="shared" ref="F597:F604" si="10">G597+H597</f>
        <v>0.64500000000000002</v>
      </c>
      <c r="G597" s="1">
        <v>0.22499999999999998</v>
      </c>
      <c r="H597" s="1">
        <v>0.42</v>
      </c>
    </row>
    <row r="598" spans="1:8" hidden="1" x14ac:dyDescent="0.25">
      <c r="A598" s="1" t="s">
        <v>4393</v>
      </c>
      <c r="B598" s="1" t="s">
        <v>4377</v>
      </c>
      <c r="C598" s="1" t="s">
        <v>731</v>
      </c>
      <c r="D598" s="1" t="s">
        <v>554</v>
      </c>
      <c r="E598" s="2">
        <v>1</v>
      </c>
      <c r="F598" s="1">
        <f t="shared" si="10"/>
        <v>0.64500000000000002</v>
      </c>
      <c r="G598" s="1">
        <v>0.22499999999999998</v>
      </c>
      <c r="H598" s="1">
        <v>0.42</v>
      </c>
    </row>
    <row r="599" spans="1:8" hidden="1" x14ac:dyDescent="0.25">
      <c r="A599" s="1" t="s">
        <v>4394</v>
      </c>
      <c r="B599" s="1" t="s">
        <v>4377</v>
      </c>
      <c r="C599" s="1" t="s">
        <v>4444</v>
      </c>
      <c r="D599" s="1" t="s">
        <v>554</v>
      </c>
      <c r="E599" s="2">
        <v>1</v>
      </c>
      <c r="F599" s="1">
        <f t="shared" si="10"/>
        <v>0.64500000000000002</v>
      </c>
      <c r="G599" s="1">
        <v>0.22499999999999998</v>
      </c>
      <c r="H599" s="1">
        <v>0.42</v>
      </c>
    </row>
    <row r="600" spans="1:8" hidden="1" x14ac:dyDescent="0.25">
      <c r="A600" s="1" t="s">
        <v>4395</v>
      </c>
      <c r="B600" s="1" t="s">
        <v>4377</v>
      </c>
      <c r="C600" s="1" t="s">
        <v>580</v>
      </c>
      <c r="D600" s="1" t="s">
        <v>554</v>
      </c>
      <c r="E600" s="2">
        <v>1</v>
      </c>
      <c r="F600" s="1">
        <f t="shared" si="10"/>
        <v>0.64500000000000002</v>
      </c>
      <c r="G600" s="1">
        <v>0.22499999999999998</v>
      </c>
      <c r="H600" s="1">
        <v>0.42</v>
      </c>
    </row>
    <row r="601" spans="1:8" hidden="1" x14ac:dyDescent="0.25">
      <c r="A601" s="1" t="s">
        <v>4396</v>
      </c>
      <c r="B601" s="1" t="s">
        <v>4377</v>
      </c>
      <c r="C601" s="1" t="s">
        <v>4445</v>
      </c>
      <c r="D601" s="1" t="s">
        <v>554</v>
      </c>
      <c r="E601" s="2">
        <v>1</v>
      </c>
      <c r="F601" s="1">
        <f t="shared" si="10"/>
        <v>0.64500000000000002</v>
      </c>
      <c r="G601" s="1">
        <v>0.22499999999999998</v>
      </c>
      <c r="H601" s="1">
        <v>0.42</v>
      </c>
    </row>
    <row r="602" spans="1:8" hidden="1" x14ac:dyDescent="0.25">
      <c r="A602" s="1" t="s">
        <v>4397</v>
      </c>
      <c r="B602" s="1" t="s">
        <v>4377</v>
      </c>
      <c r="C602" s="1" t="s">
        <v>4446</v>
      </c>
      <c r="D602" s="1" t="s">
        <v>554</v>
      </c>
      <c r="E602" s="2">
        <v>1</v>
      </c>
      <c r="F602" s="1">
        <f t="shared" si="10"/>
        <v>0.64500000000000002</v>
      </c>
      <c r="G602" s="1">
        <v>0.22499999999999998</v>
      </c>
      <c r="H602" s="1">
        <v>0.42</v>
      </c>
    </row>
    <row r="603" spans="1:8" hidden="1" x14ac:dyDescent="0.25">
      <c r="A603" s="1" t="s">
        <v>4398</v>
      </c>
      <c r="B603" s="1" t="s">
        <v>4377</v>
      </c>
      <c r="C603" s="1" t="s">
        <v>4447</v>
      </c>
      <c r="D603" s="1" t="s">
        <v>554</v>
      </c>
      <c r="E603" s="2">
        <v>1</v>
      </c>
      <c r="F603" s="1">
        <f t="shared" si="10"/>
        <v>0.64500000000000002</v>
      </c>
      <c r="G603" s="1">
        <v>0.22499999999999998</v>
      </c>
      <c r="H603" s="1">
        <v>0.42</v>
      </c>
    </row>
    <row r="604" spans="1:8" hidden="1" x14ac:dyDescent="0.25">
      <c r="A604" s="1" t="s">
        <v>4399</v>
      </c>
      <c r="B604" s="1" t="s">
        <v>4377</v>
      </c>
      <c r="C604" s="1" t="s">
        <v>4448</v>
      </c>
      <c r="D604" s="1" t="s">
        <v>554</v>
      </c>
      <c r="E604" s="2">
        <v>1</v>
      </c>
      <c r="F604" s="1">
        <f t="shared" si="10"/>
        <v>0.64500000000000002</v>
      </c>
      <c r="G604" s="1">
        <v>0.22499999999999998</v>
      </c>
      <c r="H604" s="1">
        <v>0.42</v>
      </c>
    </row>
    <row r="605" spans="1:8" hidden="1" x14ac:dyDescent="0.25">
      <c r="A605" s="1" t="s">
        <v>4400</v>
      </c>
      <c r="B605" s="1" t="s">
        <v>4377</v>
      </c>
      <c r="C605" s="1" t="s">
        <v>4449</v>
      </c>
      <c r="D605" s="1" t="s">
        <v>554</v>
      </c>
      <c r="E605" s="2">
        <v>0.4</v>
      </c>
      <c r="F605" s="1">
        <v>0.45</v>
      </c>
      <c r="G605" s="1"/>
      <c r="H605" s="1"/>
    </row>
    <row r="606" spans="1:8" hidden="1" x14ac:dyDescent="0.25">
      <c r="A606" s="1" t="s">
        <v>4401</v>
      </c>
      <c r="B606" s="1" t="s">
        <v>4377</v>
      </c>
      <c r="C606" s="1" t="s">
        <v>4450</v>
      </c>
      <c r="D606" s="1" t="s">
        <v>554</v>
      </c>
      <c r="E606" s="2">
        <v>1</v>
      </c>
      <c r="F606" s="1">
        <f>G606+H606</f>
        <v>0.64500000000000002</v>
      </c>
      <c r="G606" s="1">
        <v>0.22499999999999998</v>
      </c>
      <c r="H606" s="1">
        <v>0.42</v>
      </c>
    </row>
    <row r="607" spans="1:8" hidden="1" x14ac:dyDescent="0.25">
      <c r="A607" s="1" t="s">
        <v>4402</v>
      </c>
      <c r="B607" s="1" t="s">
        <v>4377</v>
      </c>
      <c r="C607" s="1" t="s">
        <v>4451</v>
      </c>
      <c r="D607" s="1" t="s">
        <v>554</v>
      </c>
      <c r="E607" s="2">
        <v>1</v>
      </c>
      <c r="F607" s="1">
        <f>G607+H607</f>
        <v>0.64500000000000002</v>
      </c>
      <c r="G607" s="1">
        <v>0.22499999999999998</v>
      </c>
      <c r="H607" s="1">
        <v>0.42</v>
      </c>
    </row>
    <row r="608" spans="1:8" hidden="1" x14ac:dyDescent="0.25">
      <c r="A608" s="1" t="s">
        <v>4403</v>
      </c>
      <c r="B608" s="1" t="s">
        <v>4377</v>
      </c>
      <c r="C608" s="1" t="s">
        <v>4452</v>
      </c>
      <c r="D608" s="1" t="s">
        <v>554</v>
      </c>
      <c r="E608" s="2">
        <v>1</v>
      </c>
      <c r="F608" s="1">
        <f>G608+H608</f>
        <v>0.64500000000000002</v>
      </c>
      <c r="G608" s="1">
        <v>0.22499999999999998</v>
      </c>
      <c r="H608" s="1">
        <v>0.42</v>
      </c>
    </row>
    <row r="609" spans="1:8" hidden="1" x14ac:dyDescent="0.25">
      <c r="A609" s="1" t="s">
        <v>4404</v>
      </c>
      <c r="B609" s="1" t="s">
        <v>4377</v>
      </c>
      <c r="C609" s="1" t="s">
        <v>4453</v>
      </c>
      <c r="D609" s="1" t="s">
        <v>554</v>
      </c>
      <c r="E609" s="2">
        <v>2.5</v>
      </c>
      <c r="F609" s="1">
        <v>0.875</v>
      </c>
      <c r="G609" s="1"/>
      <c r="H609" s="1"/>
    </row>
    <row r="610" spans="1:8" hidden="1" x14ac:dyDescent="0.25">
      <c r="A610" s="1" t="s">
        <v>4405</v>
      </c>
      <c r="B610" s="1" t="s">
        <v>4377</v>
      </c>
      <c r="C610" s="1" t="s">
        <v>581</v>
      </c>
      <c r="D610" s="1" t="s">
        <v>554</v>
      </c>
      <c r="E610" s="2">
        <v>2.5</v>
      </c>
      <c r="F610" s="1">
        <v>0.875</v>
      </c>
      <c r="G610" s="1"/>
      <c r="H610" s="1"/>
    </row>
    <row r="611" spans="1:8" hidden="1" x14ac:dyDescent="0.25">
      <c r="A611" s="1" t="s">
        <v>4406</v>
      </c>
      <c r="B611" s="1" t="s">
        <v>4377</v>
      </c>
      <c r="C611" s="1" t="s">
        <v>4454</v>
      </c>
      <c r="D611" s="1" t="s">
        <v>554</v>
      </c>
      <c r="E611" s="2">
        <v>1</v>
      </c>
      <c r="F611" s="1">
        <f>G611+H611</f>
        <v>0.64500000000000002</v>
      </c>
      <c r="G611" s="1">
        <v>0.22499999999999998</v>
      </c>
      <c r="H611" s="1">
        <v>0.42</v>
      </c>
    </row>
    <row r="612" spans="1:8" hidden="1" x14ac:dyDescent="0.25">
      <c r="A612" s="1" t="s">
        <v>4407</v>
      </c>
      <c r="B612" s="1" t="s">
        <v>4377</v>
      </c>
      <c r="C612" s="1" t="s">
        <v>574</v>
      </c>
      <c r="D612" s="1" t="s">
        <v>554</v>
      </c>
      <c r="E612" s="2">
        <v>2.5</v>
      </c>
      <c r="F612" s="1">
        <v>0.875</v>
      </c>
      <c r="G612" s="1"/>
      <c r="H612" s="1"/>
    </row>
    <row r="613" spans="1:8" hidden="1" x14ac:dyDescent="0.25">
      <c r="A613" s="1" t="s">
        <v>4408</v>
      </c>
      <c r="B613" s="1" t="s">
        <v>4377</v>
      </c>
      <c r="C613" s="1" t="s">
        <v>4455</v>
      </c>
      <c r="D613" s="1" t="s">
        <v>554</v>
      </c>
      <c r="E613" s="2">
        <v>1</v>
      </c>
      <c r="F613" s="1">
        <f>G613+H613</f>
        <v>0.64500000000000002</v>
      </c>
      <c r="G613" s="1">
        <v>0.22499999999999998</v>
      </c>
      <c r="H613" s="1">
        <v>0.42</v>
      </c>
    </row>
    <row r="614" spans="1:8" hidden="1" x14ac:dyDescent="0.25">
      <c r="A614" s="1" t="s">
        <v>4409</v>
      </c>
      <c r="B614" s="1" t="s">
        <v>4377</v>
      </c>
      <c r="C614" s="1" t="s">
        <v>4456</v>
      </c>
      <c r="D614" s="1" t="s">
        <v>554</v>
      </c>
      <c r="E614" s="2">
        <v>1</v>
      </c>
      <c r="F614" s="1">
        <f>G614+H614</f>
        <v>0.64500000000000002</v>
      </c>
      <c r="G614" s="1">
        <v>0.22499999999999998</v>
      </c>
      <c r="H614" s="1">
        <v>0.42</v>
      </c>
    </row>
    <row r="615" spans="1:8" hidden="1" x14ac:dyDescent="0.25">
      <c r="A615" s="1" t="s">
        <v>4410</v>
      </c>
      <c r="B615" s="1" t="s">
        <v>4377</v>
      </c>
      <c r="C615" s="1" t="s">
        <v>4457</v>
      </c>
      <c r="D615" s="1" t="s">
        <v>554</v>
      </c>
      <c r="E615" s="2">
        <v>0.4</v>
      </c>
      <c r="F615" s="1">
        <v>0.45</v>
      </c>
      <c r="G615" s="1"/>
      <c r="H615" s="1"/>
    </row>
    <row r="616" spans="1:8" hidden="1" x14ac:dyDescent="0.25">
      <c r="A616" s="1" t="s">
        <v>4411</v>
      </c>
      <c r="B616" s="1" t="s">
        <v>4377</v>
      </c>
      <c r="C616" s="1" t="s">
        <v>4458</v>
      </c>
      <c r="D616" s="1" t="s">
        <v>554</v>
      </c>
      <c r="E616" s="2">
        <v>1</v>
      </c>
      <c r="F616" s="1">
        <f>G616+H616</f>
        <v>0.64500000000000002</v>
      </c>
      <c r="G616" s="1">
        <v>0.22499999999999998</v>
      </c>
      <c r="H616" s="1">
        <v>0.42</v>
      </c>
    </row>
    <row r="617" spans="1:8" hidden="1" x14ac:dyDescent="0.25">
      <c r="A617" s="1" t="s">
        <v>4412</v>
      </c>
      <c r="B617" s="1" t="s">
        <v>4377</v>
      </c>
      <c r="C617" s="1" t="s">
        <v>4459</v>
      </c>
      <c r="D617" s="1" t="s">
        <v>554</v>
      </c>
      <c r="E617" s="2">
        <v>1</v>
      </c>
      <c r="F617" s="1">
        <f>G617+H617</f>
        <v>0.64500000000000002</v>
      </c>
      <c r="G617" s="1">
        <v>0.22499999999999998</v>
      </c>
      <c r="H617" s="1">
        <v>0.42</v>
      </c>
    </row>
    <row r="618" spans="1:8" hidden="1" x14ac:dyDescent="0.25">
      <c r="A618" s="1" t="s">
        <v>4413</v>
      </c>
      <c r="B618" s="1" t="s">
        <v>4377</v>
      </c>
      <c r="C618" s="1" t="s">
        <v>4460</v>
      </c>
      <c r="D618" s="1" t="s">
        <v>554</v>
      </c>
      <c r="E618" s="2">
        <v>1</v>
      </c>
      <c r="F618" s="1">
        <f>G618+H618</f>
        <v>0.64500000000000002</v>
      </c>
      <c r="G618" s="1">
        <v>0.22499999999999998</v>
      </c>
      <c r="H618" s="1">
        <v>0.42</v>
      </c>
    </row>
    <row r="619" spans="1:8" hidden="1" x14ac:dyDescent="0.25">
      <c r="A619" s="1" t="s">
        <v>4414</v>
      </c>
      <c r="B619" s="1" t="s">
        <v>4377</v>
      </c>
      <c r="C619" s="1" t="s">
        <v>4461</v>
      </c>
      <c r="D619" s="1" t="s">
        <v>554</v>
      </c>
      <c r="E619" s="2">
        <v>2.5</v>
      </c>
      <c r="F619" s="1">
        <v>0.875</v>
      </c>
      <c r="G619" s="1"/>
      <c r="H619" s="1"/>
    </row>
    <row r="620" spans="1:8" hidden="1" x14ac:dyDescent="0.25">
      <c r="A620" s="1" t="s">
        <v>4415</v>
      </c>
      <c r="B620" s="1" t="s">
        <v>4377</v>
      </c>
      <c r="C620" s="1" t="s">
        <v>96</v>
      </c>
      <c r="D620" s="1" t="s">
        <v>554</v>
      </c>
      <c r="E620" s="2">
        <v>2</v>
      </c>
      <c r="F620" s="1">
        <v>0.55000000000000004</v>
      </c>
      <c r="G620" s="1"/>
      <c r="H620" s="1"/>
    </row>
    <row r="621" spans="1:8" hidden="1" x14ac:dyDescent="0.25">
      <c r="A621" s="1" t="s">
        <v>4416</v>
      </c>
      <c r="B621" s="1" t="s">
        <v>4377</v>
      </c>
      <c r="C621" s="1" t="s">
        <v>621</v>
      </c>
      <c r="D621" s="1" t="s">
        <v>554</v>
      </c>
      <c r="E621" s="2">
        <v>1</v>
      </c>
      <c r="F621" s="1">
        <f t="shared" ref="F621:F634" si="11">G621+H621</f>
        <v>0.64500000000000002</v>
      </c>
      <c r="G621" s="1">
        <v>0.22499999999999998</v>
      </c>
      <c r="H621" s="1">
        <v>0.42</v>
      </c>
    </row>
    <row r="622" spans="1:8" hidden="1" x14ac:dyDescent="0.25">
      <c r="A622" s="1" t="s">
        <v>4417</v>
      </c>
      <c r="B622" s="1" t="s">
        <v>4377</v>
      </c>
      <c r="C622" s="1" t="s">
        <v>4462</v>
      </c>
      <c r="D622" s="1" t="s">
        <v>554</v>
      </c>
      <c r="E622" s="2">
        <v>1</v>
      </c>
      <c r="F622" s="1">
        <f t="shared" si="11"/>
        <v>0.64500000000000002</v>
      </c>
      <c r="G622" s="1">
        <v>0.22499999999999998</v>
      </c>
      <c r="H622" s="1">
        <v>0.42</v>
      </c>
    </row>
    <row r="623" spans="1:8" hidden="1" x14ac:dyDescent="0.25">
      <c r="A623" s="1" t="s">
        <v>4418</v>
      </c>
      <c r="B623" s="1" t="s">
        <v>4377</v>
      </c>
      <c r="C623" s="1" t="s">
        <v>4463</v>
      </c>
      <c r="D623" s="1" t="s">
        <v>554</v>
      </c>
      <c r="E623" s="2">
        <v>1</v>
      </c>
      <c r="F623" s="1">
        <f t="shared" si="11"/>
        <v>0.64500000000000002</v>
      </c>
      <c r="G623" s="1">
        <v>0.22499999999999998</v>
      </c>
      <c r="H623" s="1">
        <v>0.42</v>
      </c>
    </row>
    <row r="624" spans="1:8" hidden="1" x14ac:dyDescent="0.25">
      <c r="A624" s="1" t="s">
        <v>4419</v>
      </c>
      <c r="B624" s="1" t="s">
        <v>4377</v>
      </c>
      <c r="C624" s="1" t="s">
        <v>4464</v>
      </c>
      <c r="D624" s="1" t="s">
        <v>554</v>
      </c>
      <c r="E624" s="2">
        <v>1</v>
      </c>
      <c r="F624" s="1">
        <f t="shared" si="11"/>
        <v>0.64500000000000002</v>
      </c>
      <c r="G624" s="1">
        <v>0.22499999999999998</v>
      </c>
      <c r="H624" s="1">
        <v>0.42</v>
      </c>
    </row>
    <row r="625" spans="1:8" hidden="1" x14ac:dyDescent="0.25">
      <c r="A625" s="1" t="s">
        <v>4420</v>
      </c>
      <c r="B625" s="1" t="s">
        <v>4377</v>
      </c>
      <c r="C625" s="1" t="s">
        <v>4465</v>
      </c>
      <c r="D625" s="1" t="s">
        <v>554</v>
      </c>
      <c r="E625" s="2">
        <v>1</v>
      </c>
      <c r="F625" s="1">
        <f t="shared" si="11"/>
        <v>0.64500000000000002</v>
      </c>
      <c r="G625" s="1">
        <v>0.22499999999999998</v>
      </c>
      <c r="H625" s="1">
        <v>0.42</v>
      </c>
    </row>
    <row r="626" spans="1:8" hidden="1" x14ac:dyDescent="0.25">
      <c r="A626" s="1" t="s">
        <v>4421</v>
      </c>
      <c r="B626" s="1" t="s">
        <v>4377</v>
      </c>
      <c r="C626" s="1" t="s">
        <v>4466</v>
      </c>
      <c r="D626" s="1" t="s">
        <v>554</v>
      </c>
      <c r="E626" s="2">
        <v>1</v>
      </c>
      <c r="F626" s="1">
        <f t="shared" si="11"/>
        <v>0.64500000000000002</v>
      </c>
      <c r="G626" s="1">
        <v>0.22499999999999998</v>
      </c>
      <c r="H626" s="1">
        <v>0.42</v>
      </c>
    </row>
    <row r="627" spans="1:8" hidden="1" x14ac:dyDescent="0.25">
      <c r="A627" s="1" t="s">
        <v>4422</v>
      </c>
      <c r="B627" s="1" t="s">
        <v>4377</v>
      </c>
      <c r="C627" s="1" t="s">
        <v>3055</v>
      </c>
      <c r="D627" s="1" t="s">
        <v>554</v>
      </c>
      <c r="E627" s="2">
        <v>1</v>
      </c>
      <c r="F627" s="1">
        <f t="shared" si="11"/>
        <v>0.64500000000000002</v>
      </c>
      <c r="G627" s="1">
        <v>0.22499999999999998</v>
      </c>
      <c r="H627" s="1">
        <v>0.42</v>
      </c>
    </row>
    <row r="628" spans="1:8" hidden="1" x14ac:dyDescent="0.25">
      <c r="A628" s="1" t="s">
        <v>4423</v>
      </c>
      <c r="B628" s="1" t="s">
        <v>4377</v>
      </c>
      <c r="C628" s="1" t="s">
        <v>4467</v>
      </c>
      <c r="D628" s="1" t="s">
        <v>554</v>
      </c>
      <c r="E628" s="2">
        <v>1</v>
      </c>
      <c r="F628" s="1">
        <f t="shared" si="11"/>
        <v>0.64500000000000002</v>
      </c>
      <c r="G628" s="1">
        <v>0.22499999999999998</v>
      </c>
      <c r="H628" s="1">
        <v>0.42</v>
      </c>
    </row>
    <row r="629" spans="1:8" hidden="1" x14ac:dyDescent="0.25">
      <c r="A629" s="1" t="s">
        <v>4424</v>
      </c>
      <c r="B629" s="1" t="s">
        <v>4377</v>
      </c>
      <c r="C629" s="1" t="s">
        <v>4468</v>
      </c>
      <c r="D629" s="1" t="s">
        <v>554</v>
      </c>
      <c r="E629" s="2">
        <v>1</v>
      </c>
      <c r="F629" s="1">
        <f t="shared" si="11"/>
        <v>0.64500000000000002</v>
      </c>
      <c r="G629" s="1">
        <v>0.22499999999999998</v>
      </c>
      <c r="H629" s="1">
        <v>0.42</v>
      </c>
    </row>
    <row r="630" spans="1:8" hidden="1" x14ac:dyDescent="0.25">
      <c r="A630" s="1" t="s">
        <v>4425</v>
      </c>
      <c r="B630" s="1" t="s">
        <v>4377</v>
      </c>
      <c r="C630" s="1" t="s">
        <v>4469</v>
      </c>
      <c r="D630" s="1" t="s">
        <v>554</v>
      </c>
      <c r="E630" s="2">
        <v>1</v>
      </c>
      <c r="F630" s="1">
        <f t="shared" si="11"/>
        <v>0.64500000000000002</v>
      </c>
      <c r="G630" s="1">
        <v>0.22499999999999998</v>
      </c>
      <c r="H630" s="1">
        <v>0.42</v>
      </c>
    </row>
    <row r="631" spans="1:8" hidden="1" x14ac:dyDescent="0.25">
      <c r="A631" s="1" t="s">
        <v>4426</v>
      </c>
      <c r="B631" s="1" t="s">
        <v>4377</v>
      </c>
      <c r="C631" s="1" t="s">
        <v>4470</v>
      </c>
      <c r="D631" s="1" t="s">
        <v>554</v>
      </c>
      <c r="E631" s="2">
        <v>1</v>
      </c>
      <c r="F631" s="1">
        <f t="shared" si="11"/>
        <v>0.64500000000000002</v>
      </c>
      <c r="G631" s="1">
        <v>0.22499999999999998</v>
      </c>
      <c r="H631" s="1">
        <v>0.42</v>
      </c>
    </row>
    <row r="632" spans="1:8" hidden="1" x14ac:dyDescent="0.25">
      <c r="A632" s="1" t="s">
        <v>4427</v>
      </c>
      <c r="B632" s="1" t="s">
        <v>4377</v>
      </c>
      <c r="C632" s="1" t="s">
        <v>580</v>
      </c>
      <c r="D632" s="1" t="s">
        <v>554</v>
      </c>
      <c r="E632" s="2">
        <v>1</v>
      </c>
      <c r="F632" s="1">
        <f t="shared" si="11"/>
        <v>0.64500000000000002</v>
      </c>
      <c r="G632" s="1">
        <v>0.22499999999999998</v>
      </c>
      <c r="H632" s="1">
        <v>0.42</v>
      </c>
    </row>
    <row r="633" spans="1:8" hidden="1" x14ac:dyDescent="0.25">
      <c r="A633" s="1" t="s">
        <v>4428</v>
      </c>
      <c r="B633" s="1" t="s">
        <v>4377</v>
      </c>
      <c r="C633" s="1" t="s">
        <v>4471</v>
      </c>
      <c r="D633" s="1" t="s">
        <v>554</v>
      </c>
      <c r="E633" s="2">
        <v>1</v>
      </c>
      <c r="F633" s="1">
        <f t="shared" si="11"/>
        <v>0.64500000000000002</v>
      </c>
      <c r="G633" s="1">
        <v>0.22499999999999998</v>
      </c>
      <c r="H633" s="1">
        <v>0.42</v>
      </c>
    </row>
    <row r="634" spans="1:8" hidden="1" x14ac:dyDescent="0.25">
      <c r="A634" s="1" t="s">
        <v>4429</v>
      </c>
      <c r="B634" s="1" t="s">
        <v>4377</v>
      </c>
      <c r="C634" s="1" t="s">
        <v>4472</v>
      </c>
      <c r="D634" s="1" t="s">
        <v>554</v>
      </c>
      <c r="E634" s="2">
        <v>1</v>
      </c>
      <c r="F634" s="1">
        <f t="shared" si="11"/>
        <v>0.64500000000000002</v>
      </c>
      <c r="G634" s="1">
        <v>0.22499999999999998</v>
      </c>
      <c r="H634" s="1">
        <v>0.42</v>
      </c>
    </row>
    <row r="635" spans="1:8" hidden="1" x14ac:dyDescent="0.25">
      <c r="A635" s="1" t="s">
        <v>4490</v>
      </c>
      <c r="B635" s="1" t="s">
        <v>552</v>
      </c>
      <c r="C635" s="1" t="s">
        <v>4491</v>
      </c>
      <c r="D635" s="1" t="s">
        <v>554</v>
      </c>
      <c r="E635" s="2">
        <v>5</v>
      </c>
      <c r="F635" s="1">
        <f>G635+H635</f>
        <v>1.1850000000000001</v>
      </c>
      <c r="G635" s="1">
        <v>0.52499999999999991</v>
      </c>
      <c r="H635" s="1">
        <v>0.66</v>
      </c>
    </row>
    <row r="636" spans="1:8" hidden="1" x14ac:dyDescent="0.25">
      <c r="A636" s="1" t="s">
        <v>4492</v>
      </c>
      <c r="B636" s="2" t="s">
        <v>656</v>
      </c>
      <c r="C636" s="1" t="s">
        <v>4493</v>
      </c>
      <c r="D636" s="1" t="s">
        <v>554</v>
      </c>
      <c r="E636" s="2">
        <v>2.5</v>
      </c>
      <c r="F636" s="1">
        <v>0.875</v>
      </c>
      <c r="G636" s="1"/>
      <c r="H636" s="1"/>
    </row>
    <row r="637" spans="1:8" hidden="1" x14ac:dyDescent="0.25">
      <c r="A637" s="1" t="s">
        <v>4496</v>
      </c>
      <c r="B637" s="2" t="s">
        <v>656</v>
      </c>
      <c r="C637" s="1" t="s">
        <v>4497</v>
      </c>
      <c r="D637" s="1" t="s">
        <v>554</v>
      </c>
      <c r="E637" s="2">
        <v>1</v>
      </c>
      <c r="F637" s="1">
        <f>G637+H637</f>
        <v>0.64500000000000002</v>
      </c>
      <c r="G637" s="1">
        <v>0.22499999999999998</v>
      </c>
      <c r="H637" s="1">
        <v>0.42</v>
      </c>
    </row>
    <row r="638" spans="1:8" hidden="1" x14ac:dyDescent="0.25">
      <c r="A638" s="1" t="s">
        <v>4499</v>
      </c>
      <c r="B638" s="2" t="s">
        <v>656</v>
      </c>
      <c r="C638" s="1" t="s">
        <v>4500</v>
      </c>
      <c r="D638" s="1" t="s">
        <v>554</v>
      </c>
      <c r="E638" s="2">
        <v>2.5</v>
      </c>
      <c r="F638" s="1">
        <v>0.875</v>
      </c>
      <c r="G638" s="1"/>
      <c r="H638" s="1"/>
    </row>
    <row r="639" spans="1:8" x14ac:dyDescent="0.25">
      <c r="A639" s="1" t="s">
        <v>4501</v>
      </c>
      <c r="B639" s="2" t="s">
        <v>552</v>
      </c>
      <c r="C639" s="1" t="s">
        <v>4502</v>
      </c>
      <c r="D639" s="2" t="s">
        <v>554</v>
      </c>
      <c r="E639" s="2">
        <v>4</v>
      </c>
      <c r="F639" s="1">
        <f t="shared" ref="F639:F648" si="12">G639+H639</f>
        <v>2</v>
      </c>
      <c r="G639" s="1">
        <v>0.8</v>
      </c>
      <c r="H639" s="1">
        <v>1.2</v>
      </c>
    </row>
    <row r="640" spans="1:8" hidden="1" x14ac:dyDescent="0.25">
      <c r="A640" s="1" t="s">
        <v>4503</v>
      </c>
      <c r="B640" s="2" t="s">
        <v>4377</v>
      </c>
      <c r="C640" s="1" t="s">
        <v>4504</v>
      </c>
      <c r="D640" s="2" t="s">
        <v>554</v>
      </c>
      <c r="E640" s="2">
        <v>2.5</v>
      </c>
      <c r="F640" s="1">
        <f t="shared" si="12"/>
        <v>0.875</v>
      </c>
      <c r="G640" s="1">
        <v>0.375</v>
      </c>
      <c r="H640" s="1">
        <v>0.5</v>
      </c>
    </row>
    <row r="641" spans="1:8" hidden="1" x14ac:dyDescent="0.25">
      <c r="A641" s="104" t="s">
        <v>4506</v>
      </c>
      <c r="B641" s="2" t="s">
        <v>656</v>
      </c>
      <c r="C641" s="104" t="s">
        <v>4507</v>
      </c>
      <c r="D641" s="2" t="s">
        <v>554</v>
      </c>
      <c r="E641" s="2">
        <v>1</v>
      </c>
      <c r="F641" s="1">
        <f t="shared" si="12"/>
        <v>0.64500000000000002</v>
      </c>
      <c r="G641" s="1">
        <v>0.22499999999999998</v>
      </c>
      <c r="H641" s="1">
        <v>0.42</v>
      </c>
    </row>
    <row r="642" spans="1:8" hidden="1" x14ac:dyDescent="0.25">
      <c r="A642" s="104" t="s">
        <v>4508</v>
      </c>
      <c r="B642" s="2" t="s">
        <v>656</v>
      </c>
      <c r="C642" s="104" t="s">
        <v>4509</v>
      </c>
      <c r="D642" s="2" t="s">
        <v>554</v>
      </c>
      <c r="E642" s="2">
        <v>2.5</v>
      </c>
      <c r="F642" s="1">
        <f t="shared" si="12"/>
        <v>0.875</v>
      </c>
      <c r="G642" s="1">
        <v>0.375</v>
      </c>
      <c r="H642" s="1">
        <v>0.5</v>
      </c>
    </row>
    <row r="643" spans="1:8" hidden="1" x14ac:dyDescent="0.25">
      <c r="A643" s="1" t="s">
        <v>4511</v>
      </c>
      <c r="B643" s="2" t="s">
        <v>656</v>
      </c>
      <c r="C643" s="2" t="s">
        <v>4512</v>
      </c>
      <c r="D643" s="1" t="s">
        <v>1108</v>
      </c>
      <c r="E643" s="1">
        <v>50</v>
      </c>
      <c r="F643" s="1">
        <f t="shared" si="12"/>
        <v>0.875</v>
      </c>
      <c r="G643" s="1">
        <v>0.375</v>
      </c>
      <c r="H643" s="1">
        <v>0.5</v>
      </c>
    </row>
    <row r="644" spans="1:8" hidden="1" x14ac:dyDescent="0.25">
      <c r="A644" s="1" t="s">
        <v>4536</v>
      </c>
      <c r="B644" s="2" t="s">
        <v>656</v>
      </c>
      <c r="C644" s="2" t="s">
        <v>4535</v>
      </c>
      <c r="D644" s="1" t="s">
        <v>1108</v>
      </c>
      <c r="E644" s="2">
        <v>100</v>
      </c>
      <c r="F644" s="1">
        <f t="shared" si="12"/>
        <v>1.175</v>
      </c>
      <c r="G644" s="1">
        <v>0.375</v>
      </c>
      <c r="H644" s="1">
        <v>0.8</v>
      </c>
    </row>
    <row r="645" spans="1:8" hidden="1" x14ac:dyDescent="0.25">
      <c r="A645" s="1" t="s">
        <v>1863</v>
      </c>
      <c r="B645" s="2" t="s">
        <v>552</v>
      </c>
      <c r="C645" s="2" t="s">
        <v>4537</v>
      </c>
      <c r="D645" s="2" t="s">
        <v>554</v>
      </c>
      <c r="E645" s="2">
        <v>2.5</v>
      </c>
      <c r="F645" s="1">
        <f t="shared" si="12"/>
        <v>0.875</v>
      </c>
      <c r="G645" s="1">
        <v>0.375</v>
      </c>
      <c r="H645" s="1">
        <v>0.5</v>
      </c>
    </row>
    <row r="646" spans="1:8" hidden="1" x14ac:dyDescent="0.25">
      <c r="A646" s="1" t="s">
        <v>4514</v>
      </c>
      <c r="B646" s="2" t="s">
        <v>552</v>
      </c>
      <c r="C646" s="1" t="s">
        <v>4515</v>
      </c>
      <c r="D646" s="2" t="s">
        <v>554</v>
      </c>
      <c r="E646" s="2">
        <v>1</v>
      </c>
      <c r="F646" s="1">
        <f t="shared" si="12"/>
        <v>0.64500000000000002</v>
      </c>
      <c r="G646" s="1">
        <v>0.22499999999999998</v>
      </c>
      <c r="H646" s="1">
        <v>0.42</v>
      </c>
    </row>
    <row r="647" spans="1:8" hidden="1" x14ac:dyDescent="0.25">
      <c r="A647" s="1" t="s">
        <v>1778</v>
      </c>
      <c r="B647" s="2" t="s">
        <v>552</v>
      </c>
      <c r="C647" s="2" t="s">
        <v>1763</v>
      </c>
      <c r="D647" s="2" t="s">
        <v>554</v>
      </c>
      <c r="E647" s="2">
        <v>2.5</v>
      </c>
      <c r="F647" s="1">
        <f t="shared" si="12"/>
        <v>0.875</v>
      </c>
      <c r="G647" s="1">
        <v>0.375</v>
      </c>
      <c r="H647" s="1">
        <v>0.5</v>
      </c>
    </row>
    <row r="648" spans="1:8" hidden="1" x14ac:dyDescent="0.25">
      <c r="A648" s="1" t="s">
        <v>1854</v>
      </c>
      <c r="B648" s="2" t="s">
        <v>552</v>
      </c>
      <c r="C648" s="2" t="s">
        <v>1759</v>
      </c>
      <c r="D648" s="2" t="s">
        <v>554</v>
      </c>
      <c r="E648" s="2">
        <v>2.5</v>
      </c>
      <c r="F648" s="1">
        <f t="shared" si="12"/>
        <v>0.875</v>
      </c>
      <c r="G648" s="1">
        <v>0.375</v>
      </c>
      <c r="H648" s="1">
        <v>0.5</v>
      </c>
    </row>
    <row r="649" spans="1:8" hidden="1" x14ac:dyDescent="0.25">
      <c r="A649" s="1" t="s">
        <v>4542</v>
      </c>
      <c r="B649" s="2" t="s">
        <v>552</v>
      </c>
      <c r="C649" s="2" t="s">
        <v>4543</v>
      </c>
      <c r="D649" s="2" t="s">
        <v>554</v>
      </c>
      <c r="E649" s="2">
        <v>2.5</v>
      </c>
      <c r="F649" s="1">
        <f t="shared" ref="F649:F654" si="13">G649+H649</f>
        <v>0.875</v>
      </c>
      <c r="G649" s="1">
        <v>0.375</v>
      </c>
      <c r="H649" s="1">
        <v>0.5</v>
      </c>
    </row>
    <row r="650" spans="1:8" hidden="1" x14ac:dyDescent="0.25">
      <c r="A650" s="1" t="s">
        <v>4544</v>
      </c>
      <c r="B650" s="2" t="s">
        <v>552</v>
      </c>
      <c r="C650" s="1" t="s">
        <v>4548</v>
      </c>
      <c r="D650" s="2" t="s">
        <v>554</v>
      </c>
      <c r="E650" s="2">
        <v>2.5</v>
      </c>
      <c r="F650" s="1">
        <f t="shared" si="13"/>
        <v>0.875</v>
      </c>
      <c r="G650" s="1">
        <v>0.375</v>
      </c>
      <c r="H650" s="1">
        <v>0.5</v>
      </c>
    </row>
    <row r="651" spans="1:8" hidden="1" x14ac:dyDescent="0.25">
      <c r="A651" s="1" t="s">
        <v>4545</v>
      </c>
      <c r="B651" s="2" t="s">
        <v>552</v>
      </c>
      <c r="C651" s="1" t="s">
        <v>4549</v>
      </c>
      <c r="D651" s="2" t="s">
        <v>554</v>
      </c>
      <c r="E651" s="2">
        <v>2.5</v>
      </c>
      <c r="F651" s="1">
        <f t="shared" si="13"/>
        <v>0.875</v>
      </c>
      <c r="G651" s="1">
        <v>0.375</v>
      </c>
      <c r="H651" s="1">
        <v>0.5</v>
      </c>
    </row>
    <row r="652" spans="1:8" hidden="1" x14ac:dyDescent="0.25">
      <c r="A652" s="1" t="s">
        <v>4546</v>
      </c>
      <c r="B652" s="2" t="s">
        <v>552</v>
      </c>
      <c r="C652" s="1" t="s">
        <v>4550</v>
      </c>
      <c r="D652" s="2" t="s">
        <v>554</v>
      </c>
      <c r="E652" s="2">
        <v>2.5</v>
      </c>
      <c r="F652" s="1">
        <f t="shared" si="13"/>
        <v>0.875</v>
      </c>
      <c r="G652" s="1">
        <v>0.375</v>
      </c>
      <c r="H652" s="1">
        <v>0.5</v>
      </c>
    </row>
    <row r="653" spans="1:8" hidden="1" x14ac:dyDescent="0.25">
      <c r="A653" s="1" t="s">
        <v>4547</v>
      </c>
      <c r="B653" s="2" t="s">
        <v>552</v>
      </c>
      <c r="C653" s="1" t="s">
        <v>4551</v>
      </c>
      <c r="D653" s="2" t="s">
        <v>554</v>
      </c>
      <c r="E653" s="2">
        <v>2.5</v>
      </c>
      <c r="F653" s="1">
        <f t="shared" si="13"/>
        <v>0.875</v>
      </c>
      <c r="G653" s="1">
        <v>0.375</v>
      </c>
      <c r="H653" s="1">
        <v>0.5</v>
      </c>
    </row>
    <row r="654" spans="1:8" hidden="1" x14ac:dyDescent="0.25">
      <c r="A654" s="1" t="s">
        <v>4552</v>
      </c>
      <c r="B654" s="2" t="s">
        <v>552</v>
      </c>
      <c r="C654" s="1" t="s">
        <v>4562</v>
      </c>
      <c r="D654" s="2" t="s">
        <v>554</v>
      </c>
      <c r="E654" s="2">
        <v>1</v>
      </c>
      <c r="F654" s="1">
        <f t="shared" si="13"/>
        <v>0.64500000000000002</v>
      </c>
      <c r="G654" s="1">
        <v>0.22499999999999998</v>
      </c>
      <c r="H654" s="1">
        <v>0.42</v>
      </c>
    </row>
    <row r="655" spans="1:8" hidden="1" x14ac:dyDescent="0.25">
      <c r="A655" s="1" t="s">
        <v>4553</v>
      </c>
      <c r="B655" s="2" t="s">
        <v>552</v>
      </c>
      <c r="C655" s="1" t="s">
        <v>4563</v>
      </c>
      <c r="D655" s="2" t="s">
        <v>554</v>
      </c>
      <c r="E655" s="2">
        <v>2.5</v>
      </c>
      <c r="F655" s="1">
        <f t="shared" ref="F655:F669" si="14">G655+H655</f>
        <v>0.875</v>
      </c>
      <c r="G655" s="1">
        <v>0.375</v>
      </c>
      <c r="H655" s="1">
        <v>0.5</v>
      </c>
    </row>
    <row r="656" spans="1:8" hidden="1" x14ac:dyDescent="0.25">
      <c r="A656" s="1" t="s">
        <v>4554</v>
      </c>
      <c r="B656" s="2" t="s">
        <v>552</v>
      </c>
      <c r="C656" s="1" t="s">
        <v>4564</v>
      </c>
      <c r="D656" s="2" t="s">
        <v>554</v>
      </c>
      <c r="E656" s="2">
        <v>1</v>
      </c>
      <c r="F656" s="1">
        <f t="shared" si="14"/>
        <v>0.64500000000000002</v>
      </c>
      <c r="G656" s="1">
        <v>0.22499999999999998</v>
      </c>
      <c r="H656" s="1">
        <v>0.42</v>
      </c>
    </row>
    <row r="657" spans="1:8" hidden="1" x14ac:dyDescent="0.25">
      <c r="A657" s="1" t="s">
        <v>4555</v>
      </c>
      <c r="B657" s="2" t="s">
        <v>552</v>
      </c>
      <c r="C657" s="1" t="s">
        <v>4565</v>
      </c>
      <c r="D657" s="2" t="s">
        <v>554</v>
      </c>
      <c r="E657" s="2">
        <v>2.5</v>
      </c>
      <c r="F657" s="1">
        <f t="shared" si="14"/>
        <v>0.875</v>
      </c>
      <c r="G657" s="1">
        <v>0.375</v>
      </c>
      <c r="H657" s="1">
        <v>0.5</v>
      </c>
    </row>
    <row r="658" spans="1:8" hidden="1" x14ac:dyDescent="0.25">
      <c r="A658" s="1" t="s">
        <v>4556</v>
      </c>
      <c r="B658" s="2" t="s">
        <v>552</v>
      </c>
      <c r="C658" s="1" t="s">
        <v>4566</v>
      </c>
      <c r="D658" s="2" t="s">
        <v>554</v>
      </c>
      <c r="E658" s="2">
        <v>2.5</v>
      </c>
      <c r="F658" s="1">
        <f t="shared" si="14"/>
        <v>0.875</v>
      </c>
      <c r="G658" s="1">
        <v>0.375</v>
      </c>
      <c r="H658" s="1">
        <v>0.5</v>
      </c>
    </row>
    <row r="659" spans="1:8" hidden="1" x14ac:dyDescent="0.25">
      <c r="A659" s="1" t="s">
        <v>4557</v>
      </c>
      <c r="B659" s="2" t="s">
        <v>552</v>
      </c>
      <c r="C659" s="1" t="s">
        <v>4567</v>
      </c>
      <c r="D659" s="2" t="s">
        <v>554</v>
      </c>
      <c r="E659" s="2">
        <v>1</v>
      </c>
      <c r="F659" s="1">
        <f t="shared" si="14"/>
        <v>0.64500000000000002</v>
      </c>
      <c r="G659" s="1">
        <v>0.22499999999999998</v>
      </c>
      <c r="H659" s="1">
        <v>0.42</v>
      </c>
    </row>
    <row r="660" spans="1:8" hidden="1" x14ac:dyDescent="0.25">
      <c r="A660" s="1" t="s">
        <v>4558</v>
      </c>
      <c r="B660" s="2" t="s">
        <v>552</v>
      </c>
      <c r="C660" s="1" t="s">
        <v>4568</v>
      </c>
      <c r="D660" s="2" t="s">
        <v>554</v>
      </c>
      <c r="E660" s="2">
        <v>2.5</v>
      </c>
      <c r="F660" s="1">
        <f t="shared" si="14"/>
        <v>0.875</v>
      </c>
      <c r="G660" s="1">
        <v>0.375</v>
      </c>
      <c r="H660" s="1">
        <v>0.5</v>
      </c>
    </row>
    <row r="661" spans="1:8" hidden="1" x14ac:dyDescent="0.25">
      <c r="A661" s="1" t="s">
        <v>4559</v>
      </c>
      <c r="B661" s="2" t="s">
        <v>552</v>
      </c>
      <c r="C661" s="1" t="s">
        <v>4569</v>
      </c>
      <c r="D661" s="2" t="s">
        <v>554</v>
      </c>
      <c r="E661" s="2">
        <v>2.5</v>
      </c>
      <c r="F661" s="1">
        <f t="shared" si="14"/>
        <v>0.875</v>
      </c>
      <c r="G661" s="1">
        <v>0.375</v>
      </c>
      <c r="H661" s="1">
        <v>0.5</v>
      </c>
    </row>
    <row r="662" spans="1:8" hidden="1" x14ac:dyDescent="0.25">
      <c r="A662" s="1" t="s">
        <v>4560</v>
      </c>
      <c r="B662" s="2" t="s">
        <v>552</v>
      </c>
      <c r="C662" s="1" t="s">
        <v>4570</v>
      </c>
      <c r="D662" s="2" t="s">
        <v>554</v>
      </c>
      <c r="E662" s="2">
        <v>2.5</v>
      </c>
      <c r="F662" s="1">
        <f t="shared" si="14"/>
        <v>0.875</v>
      </c>
      <c r="G662" s="1">
        <v>0.375</v>
      </c>
      <c r="H662" s="1">
        <v>0.5</v>
      </c>
    </row>
    <row r="663" spans="1:8" hidden="1" x14ac:dyDescent="0.25">
      <c r="A663" s="1" t="s">
        <v>4561</v>
      </c>
      <c r="B663" s="2" t="s">
        <v>552</v>
      </c>
      <c r="C663" s="1" t="s">
        <v>4571</v>
      </c>
      <c r="D663" s="2" t="s">
        <v>554</v>
      </c>
      <c r="E663" s="2">
        <v>2.5</v>
      </c>
      <c r="F663" s="1">
        <f t="shared" si="14"/>
        <v>0.875</v>
      </c>
      <c r="G663" s="1">
        <v>0.375</v>
      </c>
      <c r="H663" s="1">
        <v>0.5</v>
      </c>
    </row>
    <row r="664" spans="1:8" hidden="1" x14ac:dyDescent="0.25">
      <c r="A664" s="1" t="s">
        <v>4573</v>
      </c>
      <c r="B664" s="1" t="s">
        <v>552</v>
      </c>
      <c r="C664" s="1" t="s">
        <v>4436</v>
      </c>
      <c r="D664" s="1" t="s">
        <v>554</v>
      </c>
      <c r="E664" s="2">
        <v>1</v>
      </c>
      <c r="F664" s="1">
        <f t="shared" si="14"/>
        <v>0.64500000000000002</v>
      </c>
      <c r="G664" s="1">
        <v>0.22499999999999998</v>
      </c>
      <c r="H664" s="1">
        <v>0.42</v>
      </c>
    </row>
    <row r="665" spans="1:8" hidden="1" x14ac:dyDescent="0.25">
      <c r="A665" s="1" t="s">
        <v>4576</v>
      </c>
      <c r="B665" s="2" t="s">
        <v>4377</v>
      </c>
      <c r="C665" s="1" t="s">
        <v>4577</v>
      </c>
      <c r="D665" s="2" t="s">
        <v>554</v>
      </c>
      <c r="E665" s="110">
        <v>2.5</v>
      </c>
      <c r="F665" s="1">
        <f t="shared" si="14"/>
        <v>0.875</v>
      </c>
      <c r="G665" s="1">
        <v>0.375</v>
      </c>
      <c r="H665" s="1">
        <v>0.5</v>
      </c>
    </row>
    <row r="666" spans="1:8" hidden="1" x14ac:dyDescent="0.25">
      <c r="A666" s="1" t="s">
        <v>4574</v>
      </c>
      <c r="B666" s="1" t="s">
        <v>4377</v>
      </c>
      <c r="C666" s="1" t="s">
        <v>4445</v>
      </c>
      <c r="D666" s="1" t="s">
        <v>554</v>
      </c>
      <c r="E666" s="2">
        <v>1</v>
      </c>
      <c r="F666" s="1">
        <f t="shared" si="14"/>
        <v>0.64500000000000002</v>
      </c>
      <c r="G666" s="1">
        <v>0.22499999999999998</v>
      </c>
      <c r="H666" s="1">
        <v>0.42</v>
      </c>
    </row>
    <row r="667" spans="1:8" hidden="1" x14ac:dyDescent="0.25">
      <c r="A667" s="1" t="s">
        <v>2308</v>
      </c>
      <c r="B667" s="2" t="s">
        <v>552</v>
      </c>
      <c r="C667" s="1" t="s">
        <v>2309</v>
      </c>
      <c r="D667" s="1" t="s">
        <v>554</v>
      </c>
      <c r="E667" s="2">
        <v>2.5</v>
      </c>
      <c r="F667" s="1">
        <f t="shared" si="14"/>
        <v>0.875</v>
      </c>
      <c r="G667" s="1">
        <v>0.375</v>
      </c>
      <c r="H667" s="1">
        <v>0.5</v>
      </c>
    </row>
    <row r="668" spans="1:8" hidden="1" x14ac:dyDescent="0.25">
      <c r="A668" s="2" t="s">
        <v>4578</v>
      </c>
      <c r="B668" s="2" t="s">
        <v>552</v>
      </c>
      <c r="C668" s="2" t="s">
        <v>4579</v>
      </c>
      <c r="D668" s="2" t="s">
        <v>554</v>
      </c>
      <c r="E668" s="2">
        <v>1</v>
      </c>
      <c r="F668" s="1">
        <f t="shared" si="14"/>
        <v>0.64500000000000002</v>
      </c>
      <c r="G668" s="1">
        <v>0.22499999999999998</v>
      </c>
      <c r="H668" s="1">
        <v>0.42</v>
      </c>
    </row>
    <row r="669" spans="1:8" hidden="1" x14ac:dyDescent="0.25">
      <c r="A669" s="1" t="s">
        <v>4580</v>
      </c>
      <c r="B669" s="1" t="s">
        <v>656</v>
      </c>
      <c r="C669" s="1" t="s">
        <v>4581</v>
      </c>
      <c r="D669" s="1" t="s">
        <v>554</v>
      </c>
      <c r="E669" s="1">
        <v>1</v>
      </c>
      <c r="F669" s="1">
        <f t="shared" si="14"/>
        <v>0.64500000000000002</v>
      </c>
      <c r="G669" s="1">
        <v>0.22499999999999998</v>
      </c>
      <c r="H669" s="1">
        <v>0.42</v>
      </c>
    </row>
    <row r="670" spans="1:8" hidden="1" x14ac:dyDescent="0.25">
      <c r="A670" s="1" t="s">
        <v>4582</v>
      </c>
      <c r="B670" s="2" t="s">
        <v>4377</v>
      </c>
      <c r="C670" s="1" t="s">
        <v>4583</v>
      </c>
      <c r="D670" s="2" t="s">
        <v>554</v>
      </c>
      <c r="E670" s="2">
        <v>5</v>
      </c>
      <c r="F670" s="1">
        <f t="shared" ref="F670:F697" si="15">G670+H670</f>
        <v>1.1850000000000001</v>
      </c>
      <c r="G670" s="1">
        <v>0.52499999999999991</v>
      </c>
      <c r="H670" s="1">
        <v>0.66</v>
      </c>
    </row>
    <row r="671" spans="1:8" hidden="1" x14ac:dyDescent="0.25">
      <c r="A671" s="1" t="s">
        <v>4584</v>
      </c>
      <c r="B671" s="2" t="s">
        <v>4377</v>
      </c>
      <c r="C671" s="1" t="s">
        <v>4585</v>
      </c>
      <c r="D671" s="2" t="s">
        <v>554</v>
      </c>
      <c r="E671" s="2">
        <v>5</v>
      </c>
      <c r="F671" s="1">
        <f t="shared" si="15"/>
        <v>1.1850000000000001</v>
      </c>
      <c r="G671" s="1">
        <v>0.52499999999999991</v>
      </c>
      <c r="H671" s="1">
        <v>0.66</v>
      </c>
    </row>
    <row r="672" spans="1:8" hidden="1" x14ac:dyDescent="0.25">
      <c r="A672" s="1" t="s">
        <v>4586</v>
      </c>
      <c r="B672" s="2" t="s">
        <v>4377</v>
      </c>
      <c r="C672" s="1" t="s">
        <v>4475</v>
      </c>
      <c r="D672" s="2" t="s">
        <v>554</v>
      </c>
      <c r="E672" s="2">
        <v>5</v>
      </c>
      <c r="F672" s="1">
        <f t="shared" si="15"/>
        <v>1.1850000000000001</v>
      </c>
      <c r="G672" s="1">
        <v>0.52499999999999991</v>
      </c>
      <c r="H672" s="1">
        <v>0.66</v>
      </c>
    </row>
    <row r="673" spans="1:8" hidden="1" x14ac:dyDescent="0.25">
      <c r="A673" s="1" t="s">
        <v>4587</v>
      </c>
      <c r="B673" s="2" t="s">
        <v>4377</v>
      </c>
      <c r="C673" s="1" t="s">
        <v>4476</v>
      </c>
      <c r="D673" s="2" t="s">
        <v>554</v>
      </c>
      <c r="E673" s="2">
        <v>5</v>
      </c>
      <c r="F673" s="1">
        <f t="shared" si="15"/>
        <v>1.1850000000000001</v>
      </c>
      <c r="G673" s="1">
        <v>0.52499999999999991</v>
      </c>
      <c r="H673" s="1">
        <v>0.66</v>
      </c>
    </row>
    <row r="674" spans="1:8" hidden="1" x14ac:dyDescent="0.25">
      <c r="A674" s="1" t="s">
        <v>4588</v>
      </c>
      <c r="B674" s="2" t="s">
        <v>4377</v>
      </c>
      <c r="C674" s="1" t="s">
        <v>4479</v>
      </c>
      <c r="D674" s="2" t="s">
        <v>554</v>
      </c>
      <c r="E674" s="2">
        <v>2.5</v>
      </c>
      <c r="F674" s="1">
        <f t="shared" si="15"/>
        <v>0.875</v>
      </c>
      <c r="G674" s="1">
        <v>0.375</v>
      </c>
      <c r="H674" s="1">
        <v>0.5</v>
      </c>
    </row>
    <row r="675" spans="1:8" hidden="1" x14ac:dyDescent="0.25">
      <c r="A675" s="1" t="s">
        <v>4589</v>
      </c>
      <c r="B675" s="2" t="s">
        <v>4377</v>
      </c>
      <c r="C675" s="1" t="s">
        <v>4590</v>
      </c>
      <c r="D675" s="2" t="s">
        <v>554</v>
      </c>
      <c r="E675" s="2">
        <v>2.5</v>
      </c>
      <c r="F675" s="1">
        <f t="shared" si="15"/>
        <v>0.875</v>
      </c>
      <c r="G675" s="1">
        <v>0.375</v>
      </c>
      <c r="H675" s="1">
        <v>0.5</v>
      </c>
    </row>
    <row r="676" spans="1:8" hidden="1" x14ac:dyDescent="0.25">
      <c r="A676" s="1" t="s">
        <v>4591</v>
      </c>
      <c r="B676" s="2" t="s">
        <v>4377</v>
      </c>
      <c r="C676" s="1" t="s">
        <v>4592</v>
      </c>
      <c r="D676" s="2" t="s">
        <v>554</v>
      </c>
      <c r="E676" s="2">
        <v>2.5</v>
      </c>
      <c r="F676" s="1">
        <f t="shared" si="15"/>
        <v>0.875</v>
      </c>
      <c r="G676" s="1">
        <v>0.375</v>
      </c>
      <c r="H676" s="1">
        <v>0.5</v>
      </c>
    </row>
    <row r="677" spans="1:8" hidden="1" x14ac:dyDescent="0.25">
      <c r="A677" s="1" t="s">
        <v>4593</v>
      </c>
      <c r="B677" s="2" t="s">
        <v>4377</v>
      </c>
      <c r="C677" s="1" t="s">
        <v>4478</v>
      </c>
      <c r="D677" s="2" t="s">
        <v>554</v>
      </c>
      <c r="E677" s="2">
        <v>5</v>
      </c>
      <c r="F677" s="1">
        <f t="shared" si="15"/>
        <v>1.1850000000000001</v>
      </c>
      <c r="G677" s="1">
        <v>0.52499999999999991</v>
      </c>
      <c r="H677" s="1">
        <v>0.66</v>
      </c>
    </row>
    <row r="678" spans="1:8" hidden="1" x14ac:dyDescent="0.25">
      <c r="A678" s="1" t="s">
        <v>4594</v>
      </c>
      <c r="B678" s="2" t="s">
        <v>4377</v>
      </c>
      <c r="C678" s="1" t="s">
        <v>4595</v>
      </c>
      <c r="D678" s="2" t="s">
        <v>554</v>
      </c>
      <c r="E678" s="2">
        <v>5</v>
      </c>
      <c r="F678" s="1">
        <f t="shared" si="15"/>
        <v>1.1850000000000001</v>
      </c>
      <c r="G678" s="1">
        <v>0.52499999999999991</v>
      </c>
      <c r="H678" s="1">
        <v>0.66</v>
      </c>
    </row>
    <row r="679" spans="1:8" hidden="1" x14ac:dyDescent="0.25">
      <c r="A679" s="1" t="s">
        <v>4574</v>
      </c>
      <c r="B679" s="2" t="s">
        <v>4377</v>
      </c>
      <c r="C679" s="1" t="s">
        <v>4596</v>
      </c>
      <c r="D679" s="2" t="s">
        <v>554</v>
      </c>
      <c r="E679" s="2">
        <v>2.5</v>
      </c>
      <c r="F679" s="1">
        <f t="shared" si="15"/>
        <v>0.875</v>
      </c>
      <c r="G679" s="1">
        <v>0.375</v>
      </c>
      <c r="H679" s="1">
        <v>0.5</v>
      </c>
    </row>
    <row r="680" spans="1:8" hidden="1" x14ac:dyDescent="0.25">
      <c r="A680" s="1" t="s">
        <v>4597</v>
      </c>
      <c r="B680" s="2" t="s">
        <v>4377</v>
      </c>
      <c r="C680" s="1" t="s">
        <v>4483</v>
      </c>
      <c r="D680" s="2" t="s">
        <v>554</v>
      </c>
      <c r="E680" s="2">
        <v>2.5</v>
      </c>
      <c r="F680" s="1">
        <f t="shared" si="15"/>
        <v>0.875</v>
      </c>
      <c r="G680" s="1">
        <v>0.375</v>
      </c>
      <c r="H680" s="1">
        <v>0.5</v>
      </c>
    </row>
    <row r="681" spans="1:8" hidden="1" x14ac:dyDescent="0.25">
      <c r="A681" s="1" t="s">
        <v>4598</v>
      </c>
      <c r="B681" s="2" t="s">
        <v>4377</v>
      </c>
      <c r="C681" s="1" t="s">
        <v>4599</v>
      </c>
      <c r="D681" s="2" t="s">
        <v>554</v>
      </c>
      <c r="E681" s="2">
        <v>2.5</v>
      </c>
      <c r="F681" s="1">
        <f t="shared" si="15"/>
        <v>0.875</v>
      </c>
      <c r="G681" s="1">
        <v>0.375</v>
      </c>
      <c r="H681" s="1">
        <v>0.5</v>
      </c>
    </row>
    <row r="682" spans="1:8" hidden="1" x14ac:dyDescent="0.25">
      <c r="A682" s="1" t="s">
        <v>4600</v>
      </c>
      <c r="B682" s="2" t="s">
        <v>4377</v>
      </c>
      <c r="C682" s="1" t="s">
        <v>4601</v>
      </c>
      <c r="D682" s="2" t="s">
        <v>554</v>
      </c>
      <c r="E682" s="2">
        <v>5</v>
      </c>
      <c r="F682" s="1">
        <f t="shared" si="15"/>
        <v>1.1850000000000001</v>
      </c>
      <c r="G682" s="1">
        <v>0.52499999999999991</v>
      </c>
      <c r="H682" s="1">
        <v>0.66</v>
      </c>
    </row>
    <row r="683" spans="1:8" hidden="1" x14ac:dyDescent="0.25">
      <c r="A683" s="1" t="s">
        <v>4602</v>
      </c>
      <c r="B683" s="2" t="s">
        <v>4377</v>
      </c>
      <c r="C683" s="1" t="s">
        <v>4603</v>
      </c>
      <c r="D683" s="2" t="s">
        <v>554</v>
      </c>
      <c r="E683" s="2">
        <v>5</v>
      </c>
      <c r="F683" s="1">
        <f t="shared" si="15"/>
        <v>1.1850000000000001</v>
      </c>
      <c r="G683" s="1">
        <v>0.52499999999999991</v>
      </c>
      <c r="H683" s="1">
        <v>0.66</v>
      </c>
    </row>
    <row r="684" spans="1:8" hidden="1" x14ac:dyDescent="0.25">
      <c r="A684" s="1" t="s">
        <v>4604</v>
      </c>
      <c r="B684" s="2" t="s">
        <v>4377</v>
      </c>
      <c r="C684" s="1" t="s">
        <v>4484</v>
      </c>
      <c r="D684" s="2" t="s">
        <v>554</v>
      </c>
      <c r="E684" s="2">
        <v>5</v>
      </c>
      <c r="F684" s="1">
        <f t="shared" si="15"/>
        <v>1.1850000000000001</v>
      </c>
      <c r="G684" s="1">
        <v>0.52499999999999991</v>
      </c>
      <c r="H684" s="1">
        <v>0.66</v>
      </c>
    </row>
    <row r="685" spans="1:8" hidden="1" x14ac:dyDescent="0.25">
      <c r="A685" s="1" t="s">
        <v>4605</v>
      </c>
      <c r="B685" s="2" t="s">
        <v>4377</v>
      </c>
      <c r="C685" s="1" t="s">
        <v>4606</v>
      </c>
      <c r="D685" s="2" t="s">
        <v>554</v>
      </c>
      <c r="E685" s="2">
        <v>5</v>
      </c>
      <c r="F685" s="1">
        <f t="shared" si="15"/>
        <v>1.1850000000000001</v>
      </c>
      <c r="G685" s="1">
        <v>0.52499999999999991</v>
      </c>
      <c r="H685" s="1">
        <v>0.66</v>
      </c>
    </row>
    <row r="686" spans="1:8" hidden="1" x14ac:dyDescent="0.25">
      <c r="A686" s="1" t="s">
        <v>4607</v>
      </c>
      <c r="B686" s="2" t="s">
        <v>4377</v>
      </c>
      <c r="C686" s="1" t="s">
        <v>4608</v>
      </c>
      <c r="D686" s="2" t="s">
        <v>554</v>
      </c>
      <c r="E686" s="2">
        <v>5</v>
      </c>
      <c r="F686" s="1">
        <f t="shared" si="15"/>
        <v>1.1850000000000001</v>
      </c>
      <c r="G686" s="1">
        <v>0.52499999999999991</v>
      </c>
      <c r="H686" s="1">
        <v>0.66</v>
      </c>
    </row>
    <row r="687" spans="1:8" hidden="1" x14ac:dyDescent="0.25">
      <c r="A687" s="1" t="s">
        <v>4609</v>
      </c>
      <c r="B687" s="2" t="s">
        <v>4377</v>
      </c>
      <c r="C687" s="1" t="s">
        <v>4610</v>
      </c>
      <c r="D687" s="2" t="s">
        <v>554</v>
      </c>
      <c r="E687" s="2">
        <v>2.5</v>
      </c>
      <c r="F687" s="1">
        <f t="shared" si="15"/>
        <v>0.875</v>
      </c>
      <c r="G687" s="1">
        <v>0.375</v>
      </c>
      <c r="H687" s="1">
        <v>0.5</v>
      </c>
    </row>
    <row r="688" spans="1:8" hidden="1" x14ac:dyDescent="0.25">
      <c r="A688" s="1" t="s">
        <v>4611</v>
      </c>
      <c r="B688" s="2" t="s">
        <v>4377</v>
      </c>
      <c r="C688" s="1" t="s">
        <v>4612</v>
      </c>
      <c r="D688" s="2" t="s">
        <v>554</v>
      </c>
      <c r="E688" s="2">
        <v>5</v>
      </c>
      <c r="F688" s="1">
        <f t="shared" si="15"/>
        <v>1.1850000000000001</v>
      </c>
      <c r="G688" s="1">
        <v>0.52499999999999991</v>
      </c>
      <c r="H688" s="1">
        <v>0.66</v>
      </c>
    </row>
    <row r="689" spans="1:8" hidden="1" x14ac:dyDescent="0.25">
      <c r="A689" s="1" t="s">
        <v>4613</v>
      </c>
      <c r="B689" s="2" t="s">
        <v>4377</v>
      </c>
      <c r="C689" s="1" t="s">
        <v>4614</v>
      </c>
      <c r="D689" s="2" t="s">
        <v>554</v>
      </c>
      <c r="E689" s="2">
        <v>2.5</v>
      </c>
      <c r="F689" s="1">
        <f t="shared" si="15"/>
        <v>0.875</v>
      </c>
      <c r="G689" s="1">
        <v>0.375</v>
      </c>
      <c r="H689" s="1">
        <v>0.5</v>
      </c>
    </row>
    <row r="690" spans="1:8" hidden="1" x14ac:dyDescent="0.25">
      <c r="A690" s="1" t="s">
        <v>4615</v>
      </c>
      <c r="B690" s="2" t="s">
        <v>4377</v>
      </c>
      <c r="C690" s="1" t="s">
        <v>4616</v>
      </c>
      <c r="D690" s="2" t="s">
        <v>554</v>
      </c>
      <c r="E690" s="2">
        <v>2.5</v>
      </c>
      <c r="F690" s="1">
        <f t="shared" si="15"/>
        <v>0.875</v>
      </c>
      <c r="G690" s="1">
        <v>0.375</v>
      </c>
      <c r="H690" s="1">
        <v>0.5</v>
      </c>
    </row>
    <row r="691" spans="1:8" hidden="1" x14ac:dyDescent="0.25">
      <c r="A691" s="1" t="s">
        <v>4617</v>
      </c>
      <c r="B691" s="2" t="s">
        <v>4377</v>
      </c>
      <c r="C691" s="1" t="s">
        <v>4618</v>
      </c>
      <c r="D691" s="2" t="s">
        <v>554</v>
      </c>
      <c r="E691" s="2">
        <v>2.5</v>
      </c>
      <c r="F691" s="1">
        <f t="shared" si="15"/>
        <v>0.875</v>
      </c>
      <c r="G691" s="1">
        <v>0.375</v>
      </c>
      <c r="H691" s="1">
        <v>0.5</v>
      </c>
    </row>
    <row r="692" spans="1:8" hidden="1" x14ac:dyDescent="0.25">
      <c r="A692" s="1" t="s">
        <v>4619</v>
      </c>
      <c r="B692" s="2" t="s">
        <v>4377</v>
      </c>
      <c r="C692" s="1" t="s">
        <v>4487</v>
      </c>
      <c r="D692" s="2" t="s">
        <v>554</v>
      </c>
      <c r="E692" s="2">
        <v>2.5</v>
      </c>
      <c r="F692" s="1">
        <f t="shared" si="15"/>
        <v>0.875</v>
      </c>
      <c r="G692" s="1">
        <v>0.375</v>
      </c>
      <c r="H692" s="1">
        <v>0.5</v>
      </c>
    </row>
    <row r="693" spans="1:8" hidden="1" x14ac:dyDescent="0.25">
      <c r="A693" s="1" t="s">
        <v>4620</v>
      </c>
      <c r="B693" s="2" t="s">
        <v>4377</v>
      </c>
      <c r="C693" s="1" t="s">
        <v>4488</v>
      </c>
      <c r="D693" s="2" t="s">
        <v>554</v>
      </c>
      <c r="E693" s="2">
        <v>2.5</v>
      </c>
      <c r="F693" s="1">
        <f t="shared" si="15"/>
        <v>0.875</v>
      </c>
      <c r="G693" s="1">
        <v>0.375</v>
      </c>
      <c r="H693" s="1">
        <v>0.5</v>
      </c>
    </row>
    <row r="694" spans="1:8" hidden="1" x14ac:dyDescent="0.25">
      <c r="A694" s="1" t="s">
        <v>4621</v>
      </c>
      <c r="B694" s="2" t="s">
        <v>4377</v>
      </c>
      <c r="C694" s="1" t="s">
        <v>4622</v>
      </c>
      <c r="D694" s="2" t="s">
        <v>554</v>
      </c>
      <c r="E694" s="2">
        <v>2.5</v>
      </c>
      <c r="F694" s="1">
        <f t="shared" si="15"/>
        <v>0.875</v>
      </c>
      <c r="G694" s="1">
        <v>0.375</v>
      </c>
      <c r="H694" s="1">
        <v>0.5</v>
      </c>
    </row>
    <row r="695" spans="1:8" hidden="1" x14ac:dyDescent="0.25">
      <c r="A695" s="1" t="s">
        <v>4623</v>
      </c>
      <c r="B695" s="2" t="s">
        <v>4377</v>
      </c>
      <c r="C695" s="1" t="s">
        <v>4624</v>
      </c>
      <c r="D695" s="2" t="s">
        <v>554</v>
      </c>
      <c r="E695" s="2">
        <v>2.5</v>
      </c>
      <c r="F695" s="1">
        <f t="shared" si="15"/>
        <v>0.875</v>
      </c>
      <c r="G695" s="1">
        <v>0.375</v>
      </c>
      <c r="H695" s="1">
        <v>0.5</v>
      </c>
    </row>
    <row r="696" spans="1:8" hidden="1" x14ac:dyDescent="0.25">
      <c r="A696" s="1" t="s">
        <v>4629</v>
      </c>
      <c r="B696" s="1" t="str">
        <f>B695</f>
        <v>NK</v>
      </c>
      <c r="C696" s="1" t="s">
        <v>4630</v>
      </c>
      <c r="D696" s="1" t="str">
        <f>D695</f>
        <v>KG</v>
      </c>
      <c r="E696" s="2">
        <f>E695</f>
        <v>2.5</v>
      </c>
      <c r="F696" s="1">
        <f t="shared" si="15"/>
        <v>0.875</v>
      </c>
      <c r="G696" s="1">
        <v>0.375</v>
      </c>
      <c r="H696" s="1">
        <v>0.5</v>
      </c>
    </row>
    <row r="697" spans="1:8" hidden="1" x14ac:dyDescent="0.25">
      <c r="A697" s="1" t="s">
        <v>4635</v>
      </c>
      <c r="B697" s="2" t="s">
        <v>656</v>
      </c>
      <c r="C697" s="1" t="s">
        <v>4632</v>
      </c>
      <c r="D697" s="1" t="str">
        <f t="shared" ref="D697:D712" si="16">D696</f>
        <v>KG</v>
      </c>
      <c r="E697" s="2">
        <v>1</v>
      </c>
      <c r="F697" s="1">
        <f t="shared" si="15"/>
        <v>0.64500000000000002</v>
      </c>
      <c r="G697" s="1">
        <v>0.22499999999999998</v>
      </c>
      <c r="H697" s="1">
        <v>0.42</v>
      </c>
    </row>
    <row r="698" spans="1:8" hidden="1" x14ac:dyDescent="0.25">
      <c r="A698" s="1" t="s">
        <v>4634</v>
      </c>
      <c r="B698" s="2" t="s">
        <v>656</v>
      </c>
      <c r="C698" s="1" t="s">
        <v>4633</v>
      </c>
      <c r="D698" s="1" t="str">
        <f t="shared" si="16"/>
        <v>KG</v>
      </c>
      <c r="E698" s="2">
        <v>2.5</v>
      </c>
      <c r="F698" s="1">
        <f t="shared" ref="F698:F712" si="17">G698+H698</f>
        <v>0.875</v>
      </c>
      <c r="G698" s="1">
        <v>0.375</v>
      </c>
      <c r="H698" s="1">
        <v>0.5</v>
      </c>
    </row>
    <row r="699" spans="1:8" hidden="1" x14ac:dyDescent="0.25">
      <c r="A699" s="1" t="s">
        <v>4637</v>
      </c>
      <c r="B699" s="2" t="s">
        <v>656</v>
      </c>
      <c r="C699" s="1" t="s">
        <v>4643</v>
      </c>
      <c r="D699" s="1" t="str">
        <f t="shared" si="16"/>
        <v>KG</v>
      </c>
      <c r="E699" s="2">
        <v>1</v>
      </c>
      <c r="F699" s="1">
        <f t="shared" si="17"/>
        <v>0.64500000000000002</v>
      </c>
      <c r="G699" s="1">
        <v>0.22499999999999998</v>
      </c>
      <c r="H699" s="1">
        <v>0.42</v>
      </c>
    </row>
    <row r="700" spans="1:8" hidden="1" x14ac:dyDescent="0.25">
      <c r="A700" s="1" t="s">
        <v>4638</v>
      </c>
      <c r="B700" s="2" t="s">
        <v>656</v>
      </c>
      <c r="C700" s="1" t="s">
        <v>4644</v>
      </c>
      <c r="D700" s="1" t="str">
        <f t="shared" si="16"/>
        <v>KG</v>
      </c>
      <c r="E700" s="2">
        <v>2.5</v>
      </c>
      <c r="F700" s="1">
        <f t="shared" si="17"/>
        <v>0.875</v>
      </c>
      <c r="G700" s="1">
        <v>0.375</v>
      </c>
      <c r="H700" s="1">
        <v>0.5</v>
      </c>
    </row>
    <row r="701" spans="1:8" hidden="1" x14ac:dyDescent="0.25">
      <c r="A701" s="1" t="s">
        <v>4639</v>
      </c>
      <c r="B701" s="2" t="s">
        <v>656</v>
      </c>
      <c r="C701" s="1" t="s">
        <v>723</v>
      </c>
      <c r="D701" s="1" t="str">
        <f t="shared" si="16"/>
        <v>KG</v>
      </c>
      <c r="E701" s="2">
        <v>1</v>
      </c>
      <c r="F701" s="1">
        <f t="shared" si="17"/>
        <v>0.64500000000000002</v>
      </c>
      <c r="G701" s="1">
        <v>0.22499999999999998</v>
      </c>
      <c r="H701" s="1">
        <v>0.42</v>
      </c>
    </row>
    <row r="702" spans="1:8" hidden="1" x14ac:dyDescent="0.25">
      <c r="A702" s="1" t="s">
        <v>4640</v>
      </c>
      <c r="B702" s="2" t="s">
        <v>656</v>
      </c>
      <c r="C702" s="1" t="s">
        <v>724</v>
      </c>
      <c r="D702" s="1" t="str">
        <f t="shared" si="16"/>
        <v>KG</v>
      </c>
      <c r="E702" s="2">
        <v>2.5</v>
      </c>
      <c r="F702" s="1">
        <f t="shared" si="17"/>
        <v>0.875</v>
      </c>
      <c r="G702" s="1">
        <v>0.375</v>
      </c>
      <c r="H702" s="1">
        <v>0.5</v>
      </c>
    </row>
    <row r="703" spans="1:8" hidden="1" x14ac:dyDescent="0.25">
      <c r="A703" s="1" t="s">
        <v>4641</v>
      </c>
      <c r="B703" s="2" t="s">
        <v>656</v>
      </c>
      <c r="C703" s="1" t="s">
        <v>4645</v>
      </c>
      <c r="D703" s="1" t="str">
        <f t="shared" si="16"/>
        <v>KG</v>
      </c>
      <c r="E703" s="2">
        <v>1</v>
      </c>
      <c r="F703" s="1">
        <f t="shared" si="17"/>
        <v>0.64500000000000002</v>
      </c>
      <c r="G703" s="1">
        <v>0.22499999999999998</v>
      </c>
      <c r="H703" s="1">
        <v>0.42</v>
      </c>
    </row>
    <row r="704" spans="1:8" hidden="1" x14ac:dyDescent="0.25">
      <c r="A704" s="1" t="s">
        <v>4642</v>
      </c>
      <c r="B704" s="2" t="s">
        <v>656</v>
      </c>
      <c r="C704" s="1" t="s">
        <v>4646</v>
      </c>
      <c r="D704" s="1" t="str">
        <f t="shared" si="16"/>
        <v>KG</v>
      </c>
      <c r="E704" s="2">
        <v>2.5</v>
      </c>
      <c r="F704" s="1">
        <f t="shared" si="17"/>
        <v>0.875</v>
      </c>
      <c r="G704" s="1">
        <v>0.375</v>
      </c>
      <c r="H704" s="1">
        <v>0.5</v>
      </c>
    </row>
    <row r="705" spans="1:8" hidden="1" x14ac:dyDescent="0.25">
      <c r="A705" s="1" t="s">
        <v>4660</v>
      </c>
      <c r="B705" s="2" t="s">
        <v>656</v>
      </c>
      <c r="C705" s="1" t="s">
        <v>4648</v>
      </c>
      <c r="D705" s="1" t="str">
        <f t="shared" si="16"/>
        <v>KG</v>
      </c>
      <c r="E705" s="2">
        <v>1</v>
      </c>
      <c r="F705" s="1">
        <f t="shared" si="17"/>
        <v>0.64500000000000002</v>
      </c>
      <c r="G705" s="1">
        <v>0.22499999999999998</v>
      </c>
      <c r="H705" s="1">
        <v>0.42</v>
      </c>
    </row>
    <row r="706" spans="1:8" hidden="1" x14ac:dyDescent="0.25">
      <c r="A706" s="1" t="s">
        <v>4660</v>
      </c>
      <c r="B706" s="2" t="s">
        <v>656</v>
      </c>
      <c r="C706" s="1" t="s">
        <v>4649</v>
      </c>
      <c r="D706" s="1" t="str">
        <f t="shared" si="16"/>
        <v>KG</v>
      </c>
      <c r="E706" s="2">
        <v>2.5</v>
      </c>
      <c r="F706" s="1">
        <f t="shared" si="17"/>
        <v>0.875</v>
      </c>
      <c r="G706" s="1">
        <v>0.375</v>
      </c>
      <c r="H706" s="1">
        <v>0.5</v>
      </c>
    </row>
    <row r="707" spans="1:8" hidden="1" x14ac:dyDescent="0.25">
      <c r="A707" s="1" t="s">
        <v>4660</v>
      </c>
      <c r="B707" s="2" t="s">
        <v>656</v>
      </c>
      <c r="C707" s="1" t="s">
        <v>4650</v>
      </c>
      <c r="D707" s="1" t="str">
        <f t="shared" si="16"/>
        <v>KG</v>
      </c>
      <c r="E707" s="2">
        <v>1</v>
      </c>
      <c r="F707" s="1">
        <f t="shared" si="17"/>
        <v>0.64500000000000002</v>
      </c>
      <c r="G707" s="1">
        <v>0.22499999999999998</v>
      </c>
      <c r="H707" s="1">
        <v>0.42</v>
      </c>
    </row>
    <row r="708" spans="1:8" hidden="1" x14ac:dyDescent="0.25">
      <c r="A708" s="1" t="s">
        <v>4660</v>
      </c>
      <c r="B708" s="2" t="s">
        <v>656</v>
      </c>
      <c r="C708" s="1" t="s">
        <v>4651</v>
      </c>
      <c r="D708" s="1" t="str">
        <f t="shared" si="16"/>
        <v>KG</v>
      </c>
      <c r="E708" s="2">
        <v>2.5</v>
      </c>
      <c r="F708" s="1">
        <f t="shared" si="17"/>
        <v>0.875</v>
      </c>
      <c r="G708" s="1">
        <v>0.375</v>
      </c>
      <c r="H708" s="1">
        <v>0.5</v>
      </c>
    </row>
    <row r="709" spans="1:8" hidden="1" x14ac:dyDescent="0.25">
      <c r="A709" s="1" t="s">
        <v>4660</v>
      </c>
      <c r="B709" s="2" t="s">
        <v>656</v>
      </c>
      <c r="C709" s="1" t="s">
        <v>4652</v>
      </c>
      <c r="D709" s="1" t="str">
        <f t="shared" si="16"/>
        <v>KG</v>
      </c>
      <c r="E709" s="2">
        <v>1</v>
      </c>
      <c r="F709" s="1">
        <f t="shared" si="17"/>
        <v>0.64500000000000002</v>
      </c>
      <c r="G709" s="1">
        <v>0.22499999999999998</v>
      </c>
      <c r="H709" s="1">
        <v>0.42</v>
      </c>
    </row>
    <row r="710" spans="1:8" hidden="1" x14ac:dyDescent="0.25">
      <c r="A710" s="1" t="s">
        <v>4660</v>
      </c>
      <c r="B710" s="2" t="s">
        <v>656</v>
      </c>
      <c r="C710" s="1" t="s">
        <v>4653</v>
      </c>
      <c r="D710" s="1" t="str">
        <f t="shared" si="16"/>
        <v>KG</v>
      </c>
      <c r="E710" s="2">
        <v>2.5</v>
      </c>
      <c r="F710" s="1">
        <f t="shared" si="17"/>
        <v>0.875</v>
      </c>
      <c r="G710" s="1">
        <v>0.375</v>
      </c>
      <c r="H710" s="1">
        <v>0.5</v>
      </c>
    </row>
    <row r="711" spans="1:8" hidden="1" x14ac:dyDescent="0.25">
      <c r="A711" s="1" t="s">
        <v>4660</v>
      </c>
      <c r="B711" s="2" t="s">
        <v>656</v>
      </c>
      <c r="C711" s="1" t="s">
        <v>4654</v>
      </c>
      <c r="D711" s="1" t="str">
        <f t="shared" si="16"/>
        <v>KG</v>
      </c>
      <c r="E711" s="2">
        <v>1</v>
      </c>
      <c r="F711" s="1">
        <f t="shared" si="17"/>
        <v>0.64500000000000002</v>
      </c>
      <c r="G711" s="1">
        <v>0.22499999999999998</v>
      </c>
      <c r="H711" s="1">
        <v>0.42</v>
      </c>
    </row>
    <row r="712" spans="1:8" hidden="1" x14ac:dyDescent="0.25">
      <c r="A712" s="1" t="s">
        <v>4660</v>
      </c>
      <c r="B712" s="2" t="s">
        <v>656</v>
      </c>
      <c r="C712" s="1" t="s">
        <v>4655</v>
      </c>
      <c r="D712" s="1" t="str">
        <f t="shared" si="16"/>
        <v>KG</v>
      </c>
      <c r="E712" s="2">
        <v>2.5</v>
      </c>
      <c r="F712" s="1">
        <f t="shared" si="17"/>
        <v>0.875</v>
      </c>
      <c r="G712" s="1">
        <v>0.375</v>
      </c>
      <c r="H712" s="1">
        <v>0.5</v>
      </c>
    </row>
    <row r="713" spans="1:8" hidden="1" x14ac:dyDescent="0.25">
      <c r="A713" s="1" t="s">
        <v>4694</v>
      </c>
      <c r="B713" s="1" t="s">
        <v>552</v>
      </c>
      <c r="C713" s="1" t="s">
        <v>4696</v>
      </c>
      <c r="D713" s="1" t="s">
        <v>554</v>
      </c>
      <c r="E713" s="2">
        <v>2.5</v>
      </c>
      <c r="F713" s="1">
        <f t="shared" ref="F713:F718" si="18">G713+H713</f>
        <v>0.875</v>
      </c>
      <c r="G713" s="1">
        <v>0.375</v>
      </c>
      <c r="H713" s="1">
        <v>0.5</v>
      </c>
    </row>
    <row r="714" spans="1:8" hidden="1" x14ac:dyDescent="0.25">
      <c r="A714" s="1" t="s">
        <v>4695</v>
      </c>
      <c r="B714" s="2" t="s">
        <v>552</v>
      </c>
      <c r="C714" s="1" t="s">
        <v>4697</v>
      </c>
      <c r="D714" s="1" t="str">
        <f>D713</f>
        <v>KG</v>
      </c>
      <c r="E714" s="2">
        <v>1</v>
      </c>
      <c r="F714" s="1">
        <f t="shared" si="18"/>
        <v>0.64500000000000002</v>
      </c>
      <c r="G714" s="1">
        <v>0.22499999999999998</v>
      </c>
      <c r="H714" s="1">
        <v>0.42</v>
      </c>
    </row>
    <row r="715" spans="1:8" hidden="1" x14ac:dyDescent="0.25">
      <c r="A715" s="1" t="s">
        <v>4700</v>
      </c>
      <c r="B715" s="1" t="s">
        <v>656</v>
      </c>
      <c r="C715" s="1" t="s">
        <v>546</v>
      </c>
      <c r="D715" s="1" t="s">
        <v>554</v>
      </c>
      <c r="E715" s="2">
        <v>2.5</v>
      </c>
      <c r="F715" s="1">
        <f t="shared" si="18"/>
        <v>0.875</v>
      </c>
      <c r="G715" s="1">
        <v>0.375</v>
      </c>
      <c r="H715" s="1">
        <v>0.5</v>
      </c>
    </row>
    <row r="716" spans="1:8" hidden="1" x14ac:dyDescent="0.25">
      <c r="A716" s="1" t="s">
        <v>4701</v>
      </c>
      <c r="B716" s="1" t="s">
        <v>656</v>
      </c>
      <c r="C716" s="1" t="s">
        <v>155</v>
      </c>
      <c r="D716" s="1" t="s">
        <v>554</v>
      </c>
      <c r="E716" s="2">
        <v>2.5</v>
      </c>
      <c r="F716" s="1">
        <f t="shared" si="18"/>
        <v>0.875</v>
      </c>
      <c r="G716" s="1">
        <v>0.375</v>
      </c>
      <c r="H716" s="1">
        <v>0.5</v>
      </c>
    </row>
    <row r="717" spans="1:8" hidden="1" x14ac:dyDescent="0.25">
      <c r="A717" s="1" t="s">
        <v>4702</v>
      </c>
      <c r="B717" s="1" t="s">
        <v>656</v>
      </c>
      <c r="C717" s="1" t="s">
        <v>143</v>
      </c>
      <c r="D717" s="1" t="s">
        <v>554</v>
      </c>
      <c r="E717" s="2">
        <v>2.5</v>
      </c>
      <c r="F717" s="1">
        <f t="shared" si="18"/>
        <v>0.875</v>
      </c>
      <c r="G717" s="1">
        <v>0.375</v>
      </c>
      <c r="H717" s="1">
        <v>0.5</v>
      </c>
    </row>
    <row r="718" spans="1:8" hidden="1" x14ac:dyDescent="0.25">
      <c r="A718" s="1" t="s">
        <v>4706</v>
      </c>
      <c r="B718" s="1" t="s">
        <v>552</v>
      </c>
      <c r="C718" s="1" t="s">
        <v>4709</v>
      </c>
      <c r="D718" s="1" t="s">
        <v>554</v>
      </c>
      <c r="E718" s="2">
        <v>2.5</v>
      </c>
      <c r="F718" s="1">
        <f t="shared" si="18"/>
        <v>0.875</v>
      </c>
      <c r="G718" s="1">
        <v>0.375</v>
      </c>
      <c r="H718" s="1">
        <v>0.5</v>
      </c>
    </row>
    <row r="719" spans="1:8" hidden="1" x14ac:dyDescent="0.25">
      <c r="A719" s="2" t="s">
        <v>4707</v>
      </c>
      <c r="B719" s="2" t="s">
        <v>552</v>
      </c>
      <c r="C719" s="2" t="s">
        <v>4708</v>
      </c>
      <c r="D719" s="2" t="s">
        <v>554</v>
      </c>
      <c r="E719" s="2">
        <v>2.5</v>
      </c>
      <c r="F719" s="1">
        <f t="shared" ref="F719:F727" si="19">G719+H719</f>
        <v>0.875</v>
      </c>
      <c r="G719" s="1">
        <v>0.375</v>
      </c>
      <c r="H719" s="1">
        <v>0.5</v>
      </c>
    </row>
    <row r="720" spans="1:8" hidden="1" x14ac:dyDescent="0.25">
      <c r="A720" s="2" t="s">
        <v>4728</v>
      </c>
      <c r="B720" s="2" t="s">
        <v>552</v>
      </c>
      <c r="C720" s="2" t="s">
        <v>4711</v>
      </c>
      <c r="D720" s="2" t="s">
        <v>554</v>
      </c>
      <c r="E720" s="2">
        <v>2</v>
      </c>
      <c r="F720" s="1">
        <f t="shared" si="19"/>
        <v>0.875</v>
      </c>
      <c r="G720" s="1">
        <v>0.375</v>
      </c>
      <c r="H720" s="1">
        <v>0.5</v>
      </c>
    </row>
    <row r="721" spans="1:8" hidden="1" x14ac:dyDescent="0.25">
      <c r="A721" s="2" t="s">
        <v>4712</v>
      </c>
      <c r="B721" s="1" t="s">
        <v>552</v>
      </c>
      <c r="C721" s="1" t="s">
        <v>4713</v>
      </c>
      <c r="D721" s="1" t="s">
        <v>554</v>
      </c>
      <c r="E721" s="2">
        <v>1</v>
      </c>
      <c r="F721" s="32">
        <f t="shared" si="19"/>
        <v>0.64166666666666661</v>
      </c>
      <c r="G721" s="32">
        <v>0.22499999999999998</v>
      </c>
      <c r="H721" s="32">
        <v>0.41666666666666669</v>
      </c>
    </row>
    <row r="722" spans="1:8" hidden="1" x14ac:dyDescent="0.25">
      <c r="A722" s="1" t="s">
        <v>4719</v>
      </c>
      <c r="B722" s="1" t="s">
        <v>552</v>
      </c>
      <c r="C722" s="1" t="s">
        <v>4718</v>
      </c>
      <c r="D722" s="1" t="s">
        <v>554</v>
      </c>
      <c r="E722" s="2">
        <v>1</v>
      </c>
      <c r="F722" s="32">
        <f t="shared" si="19"/>
        <v>0.64166666666666661</v>
      </c>
      <c r="G722" s="32">
        <v>0.22499999999999998</v>
      </c>
      <c r="H722" s="32">
        <v>0.41666666666666669</v>
      </c>
    </row>
    <row r="723" spans="1:8" hidden="1" x14ac:dyDescent="0.25">
      <c r="A723" s="1" t="s">
        <v>4723</v>
      </c>
      <c r="B723" s="1" t="s">
        <v>552</v>
      </c>
      <c r="C723" s="1" t="s">
        <v>4724</v>
      </c>
      <c r="D723" s="1" t="s">
        <v>554</v>
      </c>
      <c r="E723" s="2">
        <v>1</v>
      </c>
      <c r="F723" s="32">
        <f t="shared" si="19"/>
        <v>0.64166666666666661</v>
      </c>
      <c r="G723" s="32">
        <v>0.22499999999999998</v>
      </c>
      <c r="H723" s="32">
        <v>0.41666666666666669</v>
      </c>
    </row>
    <row r="724" spans="1:8" hidden="1" x14ac:dyDescent="0.25">
      <c r="A724" s="1" t="s">
        <v>4720</v>
      </c>
      <c r="B724" s="1" t="s">
        <v>552</v>
      </c>
      <c r="C724" s="1" t="s">
        <v>4721</v>
      </c>
      <c r="D724" s="1" t="s">
        <v>554</v>
      </c>
      <c r="E724" s="2">
        <v>1</v>
      </c>
      <c r="F724" s="32">
        <f t="shared" si="19"/>
        <v>0.64166666666666661</v>
      </c>
      <c r="G724" s="32">
        <v>0.22499999999999998</v>
      </c>
      <c r="H724" s="32">
        <v>0.41666666666666669</v>
      </c>
    </row>
    <row r="725" spans="1:8" hidden="1" x14ac:dyDescent="0.25">
      <c r="A725" s="1" t="s">
        <v>4726</v>
      </c>
      <c r="B725" s="2" t="s">
        <v>552</v>
      </c>
      <c r="C725" s="1" t="s">
        <v>4727</v>
      </c>
      <c r="D725" s="1" t="s">
        <v>554</v>
      </c>
      <c r="E725" s="2">
        <v>1</v>
      </c>
      <c r="F725" s="1">
        <f t="shared" si="19"/>
        <v>0.64500000000000002</v>
      </c>
      <c r="G725" s="1">
        <v>0.22499999999999998</v>
      </c>
      <c r="H725" s="1">
        <v>0.42</v>
      </c>
    </row>
    <row r="726" spans="1:8" hidden="1" x14ac:dyDescent="0.25">
      <c r="A726" s="1" t="s">
        <v>4729</v>
      </c>
      <c r="B726" s="1" t="s">
        <v>552</v>
      </c>
      <c r="C726" s="1" t="s">
        <v>105</v>
      </c>
      <c r="D726" s="1" t="s">
        <v>554</v>
      </c>
      <c r="E726" s="1">
        <v>2.7</v>
      </c>
      <c r="F726" s="1">
        <f t="shared" si="19"/>
        <v>0.8</v>
      </c>
      <c r="G726" s="1">
        <v>0.30000000000000004</v>
      </c>
      <c r="H726" s="1">
        <v>0.5</v>
      </c>
    </row>
    <row r="727" spans="1:8" hidden="1" x14ac:dyDescent="0.25">
      <c r="A727" s="2" t="s">
        <v>4730</v>
      </c>
      <c r="B727" s="2" t="s">
        <v>552</v>
      </c>
      <c r="C727" s="2" t="s">
        <v>570</v>
      </c>
      <c r="D727" s="2" t="s">
        <v>554</v>
      </c>
      <c r="E727" s="2">
        <v>2</v>
      </c>
      <c r="F727" s="1">
        <f t="shared" si="19"/>
        <v>0.8</v>
      </c>
      <c r="G727" s="1">
        <v>0.30000000000000004</v>
      </c>
      <c r="H727" s="1">
        <v>0.5</v>
      </c>
    </row>
    <row r="728" spans="1:8" hidden="1" x14ac:dyDescent="0.25">
      <c r="A728" s="1" t="s">
        <v>4743</v>
      </c>
      <c r="B728" s="1" t="s">
        <v>552</v>
      </c>
      <c r="C728" s="1" t="s">
        <v>4744</v>
      </c>
      <c r="D728" s="1" t="s">
        <v>554</v>
      </c>
      <c r="E728" s="1">
        <v>0.5</v>
      </c>
      <c r="F728" s="1">
        <v>0.45</v>
      </c>
      <c r="G728" s="1"/>
      <c r="H728" s="1"/>
    </row>
    <row r="729" spans="1:8" hidden="1" x14ac:dyDescent="0.25">
      <c r="A729" s="1" t="s">
        <v>4751</v>
      </c>
      <c r="B729" s="2" t="s">
        <v>552</v>
      </c>
      <c r="C729" s="2" t="s">
        <v>608</v>
      </c>
      <c r="D729" s="2" t="s">
        <v>554</v>
      </c>
      <c r="E729" s="2">
        <v>1</v>
      </c>
      <c r="F729" s="1">
        <f>G729+H729</f>
        <v>0.64500000000000002</v>
      </c>
      <c r="G729" s="1">
        <v>0.22499999999999998</v>
      </c>
      <c r="H729" s="1">
        <v>0.42</v>
      </c>
    </row>
    <row r="730" spans="1:8" hidden="1" x14ac:dyDescent="0.25">
      <c r="A730" s="1" t="s">
        <v>4752</v>
      </c>
      <c r="B730" s="2" t="s">
        <v>552</v>
      </c>
      <c r="C730" s="1" t="s">
        <v>4753</v>
      </c>
      <c r="D730" s="2" t="s">
        <v>554</v>
      </c>
      <c r="E730" s="1">
        <v>0.5</v>
      </c>
      <c r="F730" s="1">
        <v>0.45</v>
      </c>
      <c r="G730" s="1"/>
      <c r="H730" s="1"/>
    </row>
    <row r="731" spans="1:8" hidden="1" x14ac:dyDescent="0.25">
      <c r="A731" s="1" t="s">
        <v>4755</v>
      </c>
      <c r="B731" s="2" t="s">
        <v>552</v>
      </c>
      <c r="C731" s="1" t="s">
        <v>4756</v>
      </c>
      <c r="D731" s="2" t="s">
        <v>554</v>
      </c>
      <c r="E731" s="1">
        <v>0.65</v>
      </c>
      <c r="F731" s="1">
        <v>0.5</v>
      </c>
      <c r="G731" s="1"/>
      <c r="H731" s="1"/>
    </row>
    <row r="732" spans="1:8" hidden="1" x14ac:dyDescent="0.25">
      <c r="A732" s="1" t="s">
        <v>4762</v>
      </c>
      <c r="B732" s="2" t="s">
        <v>552</v>
      </c>
      <c r="C732" s="1" t="s">
        <v>4763</v>
      </c>
      <c r="D732" s="2" t="s">
        <v>554</v>
      </c>
      <c r="E732" s="1">
        <v>1</v>
      </c>
      <c r="F732" s="1">
        <v>2.25</v>
      </c>
      <c r="G732" s="1"/>
      <c r="H732" s="1"/>
    </row>
    <row r="733" spans="1:8" hidden="1" x14ac:dyDescent="0.25">
      <c r="A733" s="1" t="s">
        <v>4764</v>
      </c>
      <c r="B733" s="2" t="s">
        <v>552</v>
      </c>
      <c r="C733" s="1" t="s">
        <v>4765</v>
      </c>
      <c r="D733" s="2" t="s">
        <v>554</v>
      </c>
      <c r="E733" s="1">
        <v>2</v>
      </c>
      <c r="F733" s="1">
        <f>G733+H733</f>
        <v>0.8</v>
      </c>
      <c r="G733" s="1">
        <v>0.30000000000000004</v>
      </c>
      <c r="H733" s="1">
        <v>0.5</v>
      </c>
    </row>
    <row r="734" spans="1:8" hidden="1" x14ac:dyDescent="0.25">
      <c r="A734" s="1" t="s">
        <v>4766</v>
      </c>
      <c r="B734" s="2" t="s">
        <v>552</v>
      </c>
      <c r="C734" s="1" t="s">
        <v>4767</v>
      </c>
      <c r="D734" s="2" t="s">
        <v>554</v>
      </c>
      <c r="E734" s="1">
        <v>2</v>
      </c>
      <c r="F734" s="1">
        <f>G734+H734</f>
        <v>0.8</v>
      </c>
      <c r="G734" s="1">
        <v>0.30000000000000004</v>
      </c>
      <c r="H734" s="1">
        <v>0.5</v>
      </c>
    </row>
    <row r="735" spans="1:8" x14ac:dyDescent="0.25">
      <c r="A735" s="1" t="s">
        <v>4768</v>
      </c>
      <c r="B735" s="2" t="s">
        <v>552</v>
      </c>
      <c r="C735" s="1" t="s">
        <v>4769</v>
      </c>
      <c r="D735" s="2" t="s">
        <v>554</v>
      </c>
      <c r="E735" s="1">
        <v>4</v>
      </c>
      <c r="F735" s="36">
        <f>F732*4</f>
        <v>9</v>
      </c>
      <c r="G735" s="1"/>
      <c r="H735" s="1"/>
    </row>
    <row r="736" spans="1:8" hidden="1" x14ac:dyDescent="0.25">
      <c r="A736" s="1" t="s">
        <v>4760</v>
      </c>
      <c r="B736" s="1" t="s">
        <v>552</v>
      </c>
      <c r="C736" s="1" t="s">
        <v>4761</v>
      </c>
      <c r="D736" s="1" t="s">
        <v>554</v>
      </c>
      <c r="E736" s="1">
        <v>2.5</v>
      </c>
      <c r="F736" s="1">
        <f>G736+H736</f>
        <v>0.875</v>
      </c>
      <c r="G736" s="1">
        <v>0.375</v>
      </c>
      <c r="H736" s="1">
        <v>0.5</v>
      </c>
    </row>
    <row r="737" spans="1:8" hidden="1" x14ac:dyDescent="0.25">
      <c r="A737" s="1" t="s">
        <v>4782</v>
      </c>
      <c r="B737" s="2" t="s">
        <v>552</v>
      </c>
      <c r="C737" s="1" t="s">
        <v>4783</v>
      </c>
      <c r="D737" s="2" t="s">
        <v>554</v>
      </c>
      <c r="E737" s="1">
        <v>5</v>
      </c>
      <c r="F737" s="1">
        <v>0.8</v>
      </c>
      <c r="G737" s="1"/>
      <c r="H737" s="1"/>
    </row>
    <row r="738" spans="1:8" hidden="1" x14ac:dyDescent="0.25">
      <c r="A738" s="2" t="s">
        <v>4785</v>
      </c>
      <c r="B738" s="2" t="s">
        <v>552</v>
      </c>
      <c r="C738" s="2" t="s">
        <v>4786</v>
      </c>
      <c r="D738" s="2" t="s">
        <v>554</v>
      </c>
      <c r="E738" s="2">
        <v>2.5</v>
      </c>
      <c r="F738" s="1">
        <f t="shared" ref="F738:F744" si="20">G738+H738</f>
        <v>0.875</v>
      </c>
      <c r="G738" s="1">
        <v>0.375</v>
      </c>
      <c r="H738" s="1">
        <v>0.5</v>
      </c>
    </row>
    <row r="739" spans="1:8" hidden="1" x14ac:dyDescent="0.25">
      <c r="A739" s="1" t="s">
        <v>4787</v>
      </c>
      <c r="B739" s="2" t="s">
        <v>552</v>
      </c>
      <c r="C739" s="1" t="s">
        <v>1763</v>
      </c>
      <c r="D739" s="2" t="s">
        <v>554</v>
      </c>
      <c r="E739" s="1">
        <v>2.5</v>
      </c>
      <c r="F739" s="1">
        <f t="shared" si="20"/>
        <v>0.875</v>
      </c>
      <c r="G739" s="1">
        <v>0.375</v>
      </c>
      <c r="H739" s="1">
        <v>0.5</v>
      </c>
    </row>
    <row r="740" spans="1:8" hidden="1" x14ac:dyDescent="0.25">
      <c r="A740" s="1" t="s">
        <v>4788</v>
      </c>
      <c r="B740" s="1" t="s">
        <v>552</v>
      </c>
      <c r="C740" s="1" t="s">
        <v>1105</v>
      </c>
      <c r="D740" s="1" t="s">
        <v>554</v>
      </c>
      <c r="E740" s="2">
        <v>1</v>
      </c>
      <c r="F740" s="32">
        <f t="shared" si="20"/>
        <v>0.64166666666666661</v>
      </c>
      <c r="G740" s="32">
        <v>0.22499999999999998</v>
      </c>
      <c r="H740" s="32">
        <v>0.41666666666666669</v>
      </c>
    </row>
    <row r="741" spans="1:8" hidden="1" x14ac:dyDescent="0.25">
      <c r="A741" s="1" t="s">
        <v>4789</v>
      </c>
      <c r="B741" s="1" t="s">
        <v>552</v>
      </c>
      <c r="C741" s="1" t="s">
        <v>581</v>
      </c>
      <c r="D741" s="1" t="s">
        <v>554</v>
      </c>
      <c r="E741" s="1">
        <v>2.5</v>
      </c>
      <c r="F741" s="1">
        <f t="shared" si="20"/>
        <v>0.875</v>
      </c>
      <c r="G741" s="1">
        <v>0.375</v>
      </c>
      <c r="H741" s="1">
        <v>0.5</v>
      </c>
    </row>
    <row r="742" spans="1:8" hidden="1" x14ac:dyDescent="0.25">
      <c r="A742" s="1" t="s">
        <v>4790</v>
      </c>
      <c r="B742" s="1" t="s">
        <v>552</v>
      </c>
      <c r="C742" s="1" t="s">
        <v>565</v>
      </c>
      <c r="D742" s="1" t="s">
        <v>554</v>
      </c>
      <c r="E742" s="1">
        <v>2.5</v>
      </c>
      <c r="F742" s="1">
        <f t="shared" si="20"/>
        <v>0.875</v>
      </c>
      <c r="G742" s="1">
        <v>0.375</v>
      </c>
      <c r="H742" s="1">
        <v>0.5</v>
      </c>
    </row>
    <row r="743" spans="1:8" hidden="1" x14ac:dyDescent="0.25">
      <c r="A743" s="1" t="s">
        <v>4791</v>
      </c>
      <c r="B743" s="1" t="s">
        <v>552</v>
      </c>
      <c r="C743" s="1" t="s">
        <v>553</v>
      </c>
      <c r="D743" s="1" t="s">
        <v>554</v>
      </c>
      <c r="E743" s="1">
        <v>1</v>
      </c>
      <c r="F743" s="32">
        <f t="shared" si="20"/>
        <v>0.64166666666666661</v>
      </c>
      <c r="G743" s="32">
        <v>0.22499999999999998</v>
      </c>
      <c r="H743" s="32">
        <v>0.41666666666666669</v>
      </c>
    </row>
    <row r="744" spans="1:8" x14ac:dyDescent="0.25">
      <c r="A744" s="1" t="s">
        <v>4792</v>
      </c>
      <c r="B744" s="1" t="s">
        <v>552</v>
      </c>
      <c r="C744" s="1" t="s">
        <v>571</v>
      </c>
      <c r="D744" s="1" t="s">
        <v>554</v>
      </c>
      <c r="E744" s="1">
        <v>4</v>
      </c>
      <c r="F744" s="1">
        <f t="shared" si="20"/>
        <v>1.75</v>
      </c>
      <c r="G744" s="1">
        <v>0.75</v>
      </c>
      <c r="H744" s="1">
        <v>1</v>
      </c>
    </row>
    <row r="745" spans="1:8" hidden="1" x14ac:dyDescent="0.25">
      <c r="A745" s="1" t="s">
        <v>4795</v>
      </c>
      <c r="B745" s="2" t="s">
        <v>552</v>
      </c>
      <c r="C745" s="1" t="s">
        <v>4797</v>
      </c>
      <c r="D745" s="1" t="s">
        <v>554</v>
      </c>
      <c r="E745" s="1">
        <v>0.84</v>
      </c>
      <c r="F745" s="1">
        <v>2.4</v>
      </c>
      <c r="G745" s="1"/>
      <c r="H745" s="1"/>
    </row>
    <row r="746" spans="1:8" hidden="1" x14ac:dyDescent="0.25">
      <c r="A746" s="1" t="s">
        <v>4796</v>
      </c>
      <c r="B746" s="2" t="s">
        <v>552</v>
      </c>
      <c r="C746" s="1" t="s">
        <v>4798</v>
      </c>
      <c r="D746" s="1" t="s">
        <v>554</v>
      </c>
      <c r="E746" s="1">
        <v>1.02</v>
      </c>
      <c r="F746" s="1">
        <v>2.4</v>
      </c>
      <c r="G746" s="1"/>
      <c r="H746" s="1"/>
    </row>
    <row r="747" spans="1:8" hidden="1" x14ac:dyDescent="0.25">
      <c r="A747" s="1" t="s">
        <v>4805</v>
      </c>
      <c r="B747" s="2" t="s">
        <v>552</v>
      </c>
      <c r="C747" s="1" t="s">
        <v>4806</v>
      </c>
      <c r="D747" s="1" t="s">
        <v>554</v>
      </c>
      <c r="E747" s="1">
        <v>1</v>
      </c>
      <c r="F747" s="32">
        <f>G747+H747</f>
        <v>0.64166666666666661</v>
      </c>
      <c r="G747" s="32">
        <v>0.22499999999999998</v>
      </c>
      <c r="H747" s="32">
        <v>0.41666666666666669</v>
      </c>
    </row>
    <row r="748" spans="1:8" hidden="1" x14ac:dyDescent="0.25">
      <c r="A748" s="1" t="s">
        <v>4807</v>
      </c>
      <c r="B748" s="2" t="s">
        <v>552</v>
      </c>
      <c r="C748" s="1" t="s">
        <v>168</v>
      </c>
      <c r="D748" s="1" t="s">
        <v>554</v>
      </c>
      <c r="E748" s="1">
        <v>2.5</v>
      </c>
      <c r="F748" s="1">
        <f>G748+H748</f>
        <v>0.875</v>
      </c>
      <c r="G748" s="1">
        <v>0.375</v>
      </c>
      <c r="H748" s="1">
        <v>0.5</v>
      </c>
    </row>
    <row r="749" spans="1:8" hidden="1" x14ac:dyDescent="0.25">
      <c r="A749" s="1" t="s">
        <v>4810</v>
      </c>
      <c r="B749" s="1" t="s">
        <v>552</v>
      </c>
      <c r="C749" s="1" t="s">
        <v>394</v>
      </c>
      <c r="D749" s="1" t="s">
        <v>554</v>
      </c>
      <c r="E749" s="2">
        <v>1</v>
      </c>
      <c r="F749" s="1">
        <f>G749+H749</f>
        <v>0.64500000000000002</v>
      </c>
      <c r="G749" s="1">
        <v>0.22499999999999998</v>
      </c>
      <c r="H749" s="1">
        <v>0.42</v>
      </c>
    </row>
    <row r="750" spans="1:8" x14ac:dyDescent="0.25">
      <c r="A750" s="1" t="s">
        <v>4811</v>
      </c>
      <c r="B750" s="1" t="s">
        <v>552</v>
      </c>
      <c r="C750" s="1" t="s">
        <v>290</v>
      </c>
      <c r="D750" s="1" t="s">
        <v>554</v>
      </c>
      <c r="E750" s="2">
        <v>4</v>
      </c>
      <c r="F750" s="1">
        <f>G750+H750</f>
        <v>2.2999999999999998</v>
      </c>
      <c r="G750" s="1">
        <v>0.8</v>
      </c>
      <c r="H750" s="1">
        <v>1.5</v>
      </c>
    </row>
    <row r="751" spans="1:8" hidden="1" x14ac:dyDescent="0.25">
      <c r="A751" s="2" t="s">
        <v>4813</v>
      </c>
      <c r="B751" s="2" t="s">
        <v>552</v>
      </c>
      <c r="C751" s="2" t="s">
        <v>4812</v>
      </c>
      <c r="D751" s="2" t="s">
        <v>554</v>
      </c>
      <c r="E751" s="2">
        <v>10</v>
      </c>
      <c r="F751" s="1">
        <v>1.5</v>
      </c>
      <c r="G751" s="1"/>
      <c r="H751" s="1"/>
    </row>
    <row r="752" spans="1:8" hidden="1" x14ac:dyDescent="0.25">
      <c r="A752" s="2" t="s">
        <v>4816</v>
      </c>
      <c r="B752" s="2" t="s">
        <v>552</v>
      </c>
      <c r="C752" s="2" t="s">
        <v>4817</v>
      </c>
      <c r="D752" s="2" t="s">
        <v>554</v>
      </c>
      <c r="E752" s="2">
        <v>3</v>
      </c>
      <c r="F752" s="1">
        <f>G752+H752</f>
        <v>2.4</v>
      </c>
      <c r="G752" s="1">
        <v>0.89999999999999991</v>
      </c>
      <c r="H752" s="1">
        <v>1.5</v>
      </c>
    </row>
    <row r="753" spans="1:8" hidden="1" x14ac:dyDescent="0.25">
      <c r="A753" s="1" t="s">
        <v>4823</v>
      </c>
      <c r="B753" s="1" t="s">
        <v>552</v>
      </c>
      <c r="C753" s="1" t="s">
        <v>4825</v>
      </c>
      <c r="D753" s="1" t="s">
        <v>554</v>
      </c>
      <c r="E753" s="1">
        <v>2</v>
      </c>
      <c r="F753" s="1">
        <f>G753+H753</f>
        <v>0.8</v>
      </c>
      <c r="G753" s="1">
        <v>0.30000000000000004</v>
      </c>
      <c r="H753" s="1">
        <v>0.5</v>
      </c>
    </row>
    <row r="754" spans="1:8" hidden="1" x14ac:dyDescent="0.25">
      <c r="A754" s="1" t="s">
        <v>4824</v>
      </c>
      <c r="B754" s="1" t="s">
        <v>552</v>
      </c>
      <c r="C754" s="1" t="s">
        <v>4826</v>
      </c>
      <c r="D754" s="1" t="s">
        <v>554</v>
      </c>
      <c r="E754" s="1">
        <v>2</v>
      </c>
      <c r="F754" s="1">
        <f>G754+H754</f>
        <v>0.8</v>
      </c>
      <c r="G754" s="1">
        <v>0.30000000000000004</v>
      </c>
      <c r="H754" s="1">
        <v>0.5</v>
      </c>
    </row>
    <row r="755" spans="1:8" hidden="1" x14ac:dyDescent="0.25">
      <c r="A755" s="1" t="s">
        <v>4838</v>
      </c>
      <c r="B755" s="1" t="s">
        <v>4839</v>
      </c>
      <c r="C755" s="1" t="s">
        <v>4840</v>
      </c>
      <c r="D755" s="1" t="s">
        <v>554</v>
      </c>
      <c r="E755" s="110">
        <v>5</v>
      </c>
      <c r="F755" s="1">
        <v>1</v>
      </c>
      <c r="G755" s="1"/>
      <c r="H755" s="1"/>
    </row>
    <row r="756" spans="1:8" hidden="1" x14ac:dyDescent="0.25">
      <c r="A756" s="1" t="s">
        <v>4841</v>
      </c>
      <c r="B756" s="1" t="s">
        <v>656</v>
      </c>
      <c r="C756" s="1" t="s">
        <v>4842</v>
      </c>
      <c r="D756" s="2" t="s">
        <v>554</v>
      </c>
      <c r="E756" s="110">
        <v>1</v>
      </c>
      <c r="F756" s="11">
        <f>G756+H756</f>
        <v>0.64166666666666661</v>
      </c>
      <c r="G756" s="11">
        <v>0.22499999999999998</v>
      </c>
      <c r="H756" s="11">
        <v>0.41666666666666669</v>
      </c>
    </row>
    <row r="757" spans="1:8" hidden="1" x14ac:dyDescent="0.25">
      <c r="A757" s="1" t="s">
        <v>4843</v>
      </c>
      <c r="B757" s="1" t="s">
        <v>552</v>
      </c>
      <c r="C757" s="1" t="s">
        <v>4844</v>
      </c>
      <c r="D757" s="2" t="s">
        <v>554</v>
      </c>
      <c r="E757" s="1">
        <v>1</v>
      </c>
      <c r="F757" s="11">
        <f>G757+H757</f>
        <v>0.64166666666666661</v>
      </c>
      <c r="G757" s="11">
        <v>0.22499999999999998</v>
      </c>
      <c r="H757" s="11">
        <v>0.41666666666666669</v>
      </c>
    </row>
    <row r="758" spans="1:8" hidden="1" x14ac:dyDescent="0.25">
      <c r="A758" s="1" t="s">
        <v>4852</v>
      </c>
      <c r="B758" s="62" t="s">
        <v>552</v>
      </c>
      <c r="C758" s="62" t="s">
        <v>553</v>
      </c>
      <c r="D758" s="1" t="s">
        <v>554</v>
      </c>
      <c r="E758" s="2">
        <v>1</v>
      </c>
      <c r="F758" s="1">
        <f>G758+H758</f>
        <v>0.55000000000000004</v>
      </c>
      <c r="G758" s="1">
        <v>0.30000000000000004</v>
      </c>
      <c r="H758" s="1">
        <v>0.25</v>
      </c>
    </row>
    <row r="759" spans="1:8" hidden="1" x14ac:dyDescent="0.25">
      <c r="A759" s="1" t="s">
        <v>4853</v>
      </c>
      <c r="B759" s="62" t="s">
        <v>552</v>
      </c>
      <c r="C759" s="62" t="s">
        <v>557</v>
      </c>
      <c r="D759" s="1" t="s">
        <v>554</v>
      </c>
      <c r="E759" s="2">
        <v>1</v>
      </c>
      <c r="F759" s="1">
        <f t="shared" ref="F759:F771" si="21">G759+H759</f>
        <v>0.55000000000000004</v>
      </c>
      <c r="G759" s="1">
        <v>0.30000000000000004</v>
      </c>
      <c r="H759" s="1">
        <v>0.25</v>
      </c>
    </row>
    <row r="760" spans="1:8" x14ac:dyDescent="0.25">
      <c r="A760" s="1" t="s">
        <v>4854</v>
      </c>
      <c r="B760" s="62" t="s">
        <v>552</v>
      </c>
      <c r="C760" s="62" t="s">
        <v>571</v>
      </c>
      <c r="D760" s="1" t="s">
        <v>554</v>
      </c>
      <c r="E760" s="2">
        <v>4</v>
      </c>
      <c r="F760" s="1">
        <f t="shared" si="21"/>
        <v>1.75</v>
      </c>
      <c r="G760" s="1">
        <v>0.75</v>
      </c>
      <c r="H760" s="1">
        <v>1</v>
      </c>
    </row>
    <row r="761" spans="1:8" hidden="1" x14ac:dyDescent="0.25">
      <c r="A761" s="1" t="s">
        <v>4855</v>
      </c>
      <c r="B761" s="1" t="s">
        <v>552</v>
      </c>
      <c r="C761" s="1" t="s">
        <v>455</v>
      </c>
      <c r="D761" s="1" t="s">
        <v>554</v>
      </c>
      <c r="E761" s="2">
        <v>2.5</v>
      </c>
      <c r="F761" s="1">
        <f t="shared" si="21"/>
        <v>0.875</v>
      </c>
      <c r="G761" s="1">
        <v>0.375</v>
      </c>
      <c r="H761" s="1">
        <v>0.5</v>
      </c>
    </row>
    <row r="762" spans="1:8" hidden="1" x14ac:dyDescent="0.25">
      <c r="A762" s="1" t="s">
        <v>4856</v>
      </c>
      <c r="B762" s="1" t="s">
        <v>552</v>
      </c>
      <c r="C762" s="1" t="s">
        <v>558</v>
      </c>
      <c r="D762" s="1" t="s">
        <v>554</v>
      </c>
      <c r="E762" s="2">
        <v>2.5</v>
      </c>
      <c r="F762" s="1">
        <f t="shared" si="21"/>
        <v>0.875</v>
      </c>
      <c r="G762" s="1">
        <v>0.375</v>
      </c>
      <c r="H762" s="1">
        <v>0.5</v>
      </c>
    </row>
    <row r="763" spans="1:8" hidden="1" x14ac:dyDescent="0.25">
      <c r="A763" s="1" t="s">
        <v>4857</v>
      </c>
      <c r="B763" s="1" t="s">
        <v>552</v>
      </c>
      <c r="C763" s="1" t="s">
        <v>569</v>
      </c>
      <c r="D763" s="1" t="s">
        <v>554</v>
      </c>
      <c r="E763" s="2">
        <v>2.5</v>
      </c>
      <c r="F763" s="1">
        <f t="shared" si="21"/>
        <v>0.875</v>
      </c>
      <c r="G763" s="1">
        <v>0.375</v>
      </c>
      <c r="H763" s="1">
        <v>0.5</v>
      </c>
    </row>
    <row r="764" spans="1:8" hidden="1" x14ac:dyDescent="0.25">
      <c r="A764" s="1" t="s">
        <v>4858</v>
      </c>
      <c r="B764" s="1" t="s">
        <v>552</v>
      </c>
      <c r="C764" s="1" t="s">
        <v>573</v>
      </c>
      <c r="D764" s="1" t="s">
        <v>554</v>
      </c>
      <c r="E764" s="2">
        <v>2.5</v>
      </c>
      <c r="F764" s="1">
        <f t="shared" si="21"/>
        <v>0.875</v>
      </c>
      <c r="G764" s="1">
        <v>0.375</v>
      </c>
      <c r="H764" s="1">
        <v>0.5</v>
      </c>
    </row>
    <row r="765" spans="1:8" hidden="1" x14ac:dyDescent="0.25">
      <c r="A765" s="1" t="s">
        <v>4859</v>
      </c>
      <c r="B765" s="1" t="s">
        <v>552</v>
      </c>
      <c r="C765" s="1" t="s">
        <v>580</v>
      </c>
      <c r="D765" s="1" t="s">
        <v>554</v>
      </c>
      <c r="E765" s="2">
        <v>1</v>
      </c>
      <c r="F765" s="1">
        <f t="shared" si="21"/>
        <v>0.64500000000000002</v>
      </c>
      <c r="G765" s="1">
        <v>0.22499999999999998</v>
      </c>
      <c r="H765" s="1">
        <v>0.42</v>
      </c>
    </row>
    <row r="766" spans="1:8" hidden="1" x14ac:dyDescent="0.25">
      <c r="A766" s="1" t="s">
        <v>4860</v>
      </c>
      <c r="B766" s="1" t="s">
        <v>552</v>
      </c>
      <c r="C766" s="1" t="s">
        <v>581</v>
      </c>
      <c r="D766" s="1" t="s">
        <v>554</v>
      </c>
      <c r="E766" s="2">
        <v>2.5</v>
      </c>
      <c r="F766" s="1">
        <f t="shared" si="21"/>
        <v>0.875</v>
      </c>
      <c r="G766" s="1">
        <v>0.375</v>
      </c>
      <c r="H766" s="1">
        <v>0.5</v>
      </c>
    </row>
    <row r="767" spans="1:8" hidden="1" x14ac:dyDescent="0.25">
      <c r="A767" s="1" t="s">
        <v>4861</v>
      </c>
      <c r="B767" s="1" t="s">
        <v>552</v>
      </c>
      <c r="C767" s="1" t="s">
        <v>582</v>
      </c>
      <c r="D767" s="1" t="s">
        <v>554</v>
      </c>
      <c r="E767" s="2">
        <v>1</v>
      </c>
      <c r="F767" s="1">
        <f t="shared" si="21"/>
        <v>0.64500000000000002</v>
      </c>
      <c r="G767" s="1">
        <v>0.22499999999999998</v>
      </c>
      <c r="H767" s="1">
        <v>0.42</v>
      </c>
    </row>
    <row r="768" spans="1:8" hidden="1" x14ac:dyDescent="0.25">
      <c r="A768" s="1" t="s">
        <v>4862</v>
      </c>
      <c r="B768" s="1" t="s">
        <v>552</v>
      </c>
      <c r="C768" s="1" t="s">
        <v>584</v>
      </c>
      <c r="D768" s="1" t="s">
        <v>554</v>
      </c>
      <c r="E768" s="2">
        <v>2.5</v>
      </c>
      <c r="F768" s="1">
        <f t="shared" si="21"/>
        <v>0.875</v>
      </c>
      <c r="G768" s="1">
        <v>0.375</v>
      </c>
      <c r="H768" s="1">
        <v>0.5</v>
      </c>
    </row>
    <row r="769" spans="1:8" hidden="1" x14ac:dyDescent="0.25">
      <c r="A769" s="1" t="s">
        <v>4851</v>
      </c>
      <c r="B769" s="1" t="s">
        <v>552</v>
      </c>
      <c r="C769" s="1" t="s">
        <v>93</v>
      </c>
      <c r="D769" s="1" t="s">
        <v>554</v>
      </c>
      <c r="E769" s="2">
        <v>5</v>
      </c>
      <c r="F769" s="1">
        <f t="shared" si="21"/>
        <v>1.1850000000000001</v>
      </c>
      <c r="G769" s="1">
        <v>0.52499999999999991</v>
      </c>
      <c r="H769" s="1">
        <v>0.66</v>
      </c>
    </row>
    <row r="770" spans="1:8" hidden="1" x14ac:dyDescent="0.25">
      <c r="A770" s="1" t="s">
        <v>4863</v>
      </c>
      <c r="B770" s="1" t="s">
        <v>552</v>
      </c>
      <c r="C770" s="1" t="s">
        <v>1107</v>
      </c>
      <c r="D770" s="1" t="s">
        <v>554</v>
      </c>
      <c r="E770" s="2">
        <v>2.5</v>
      </c>
      <c r="F770" s="1">
        <f t="shared" si="21"/>
        <v>0.875</v>
      </c>
      <c r="G770" s="1">
        <v>0.375</v>
      </c>
      <c r="H770" s="1">
        <v>0.5</v>
      </c>
    </row>
    <row r="771" spans="1:8" hidden="1" x14ac:dyDescent="0.25">
      <c r="A771" s="1" t="s">
        <v>4864</v>
      </c>
      <c r="B771" s="2" t="s">
        <v>552</v>
      </c>
      <c r="C771" s="2" t="s">
        <v>1763</v>
      </c>
      <c r="D771" s="2" t="s">
        <v>554</v>
      </c>
      <c r="E771" s="2">
        <v>2.5</v>
      </c>
      <c r="F771" s="1">
        <f t="shared" si="21"/>
        <v>0.875</v>
      </c>
      <c r="G771" s="1">
        <v>0.375</v>
      </c>
      <c r="H771" s="1">
        <v>0.5</v>
      </c>
    </row>
    <row r="772" spans="1:8" hidden="1" x14ac:dyDescent="0.25">
      <c r="A772" s="1" t="s">
        <v>4865</v>
      </c>
      <c r="B772" s="2" t="s">
        <v>552</v>
      </c>
      <c r="C772" s="2" t="s">
        <v>4870</v>
      </c>
      <c r="D772" s="2" t="s">
        <v>554</v>
      </c>
      <c r="E772" s="2">
        <v>2.5</v>
      </c>
      <c r="F772" s="1">
        <f t="shared" ref="F772:F775" si="22">G772+H772</f>
        <v>0.875</v>
      </c>
      <c r="G772" s="1">
        <v>0.375</v>
      </c>
      <c r="H772" s="1">
        <v>0.5</v>
      </c>
    </row>
    <row r="773" spans="1:8" hidden="1" x14ac:dyDescent="0.25">
      <c r="A773" s="1" t="s">
        <v>4882</v>
      </c>
      <c r="B773" s="1" t="s">
        <v>552</v>
      </c>
      <c r="C773" s="1" t="s">
        <v>4884</v>
      </c>
      <c r="D773" s="2" t="s">
        <v>554</v>
      </c>
      <c r="E773" s="1">
        <v>2</v>
      </c>
      <c r="F773" s="1">
        <f t="shared" si="22"/>
        <v>2.375</v>
      </c>
      <c r="G773" s="1">
        <v>0.375</v>
      </c>
      <c r="H773" s="1">
        <v>2</v>
      </c>
    </row>
    <row r="774" spans="1:8" hidden="1" x14ac:dyDescent="0.25">
      <c r="A774" s="1" t="s">
        <v>4883</v>
      </c>
      <c r="B774" s="1" t="s">
        <v>552</v>
      </c>
      <c r="C774" s="1" t="s">
        <v>4885</v>
      </c>
      <c r="D774" s="2" t="s">
        <v>554</v>
      </c>
      <c r="E774" s="1">
        <v>2</v>
      </c>
      <c r="F774" s="1">
        <f t="shared" si="22"/>
        <v>0.8</v>
      </c>
      <c r="G774" s="1">
        <v>0.30000000000000004</v>
      </c>
      <c r="H774" s="1">
        <v>0.5</v>
      </c>
    </row>
    <row r="775" spans="1:8" hidden="1" x14ac:dyDescent="0.25">
      <c r="A775" s="2" t="s">
        <v>4888</v>
      </c>
      <c r="B775" s="2" t="s">
        <v>552</v>
      </c>
      <c r="C775" s="2" t="s">
        <v>2645</v>
      </c>
      <c r="D775" s="2" t="s">
        <v>554</v>
      </c>
      <c r="E775" s="2">
        <v>0.5</v>
      </c>
      <c r="F775" s="1">
        <f t="shared" si="22"/>
        <v>0.55499999999999994</v>
      </c>
      <c r="G775" s="1">
        <v>0.22499999999999998</v>
      </c>
      <c r="H775" s="1">
        <v>0.33</v>
      </c>
    </row>
    <row r="776" spans="1:8" hidden="1" x14ac:dyDescent="0.25">
      <c r="A776" s="1" t="s">
        <v>4890</v>
      </c>
      <c r="B776" s="1" t="s">
        <v>552</v>
      </c>
      <c r="C776" s="1" t="s">
        <v>2645</v>
      </c>
      <c r="D776" s="2" t="s">
        <v>554</v>
      </c>
      <c r="E776" s="1">
        <v>0.5</v>
      </c>
      <c r="F776" s="1">
        <f t="shared" ref="F776:F779" si="23">G776+H776</f>
        <v>0.55499999999999994</v>
      </c>
      <c r="G776" s="1">
        <v>0.22499999999999998</v>
      </c>
      <c r="H776" s="1">
        <v>0.33</v>
      </c>
    </row>
    <row r="777" spans="1:8" x14ac:dyDescent="0.25">
      <c r="A777" s="2" t="s">
        <v>4892</v>
      </c>
      <c r="B777" s="2" t="s">
        <v>552</v>
      </c>
      <c r="C777" s="2" t="s">
        <v>4893</v>
      </c>
      <c r="D777" s="2" t="s">
        <v>554</v>
      </c>
      <c r="E777" s="2">
        <v>4</v>
      </c>
      <c r="F777" s="1">
        <f t="shared" si="23"/>
        <v>1.75</v>
      </c>
      <c r="G777" s="1">
        <v>0.75</v>
      </c>
      <c r="H777" s="1">
        <v>1</v>
      </c>
    </row>
    <row r="778" spans="1:8" hidden="1" x14ac:dyDescent="0.25">
      <c r="A778" s="2" t="s">
        <v>4895</v>
      </c>
      <c r="B778" s="2" t="s">
        <v>552</v>
      </c>
      <c r="C778" s="2" t="s">
        <v>4896</v>
      </c>
      <c r="D778" s="2" t="s">
        <v>554</v>
      </c>
      <c r="E778" s="2">
        <v>1</v>
      </c>
      <c r="F778" s="1">
        <f t="shared" si="23"/>
        <v>0.64500000000000002</v>
      </c>
      <c r="G778" s="1">
        <v>0.22499999999999998</v>
      </c>
      <c r="H778" s="1">
        <v>0.42</v>
      </c>
    </row>
    <row r="779" spans="1:8" hidden="1" x14ac:dyDescent="0.25">
      <c r="A779" s="1" t="s">
        <v>4897</v>
      </c>
      <c r="B779" s="1" t="s">
        <v>552</v>
      </c>
      <c r="C779" s="1" t="s">
        <v>125</v>
      </c>
      <c r="D779" s="1" t="s">
        <v>554</v>
      </c>
      <c r="E779" s="1">
        <v>2.5</v>
      </c>
      <c r="F779" s="1">
        <f t="shared" si="23"/>
        <v>0.875</v>
      </c>
      <c r="G779" s="1">
        <v>0.375</v>
      </c>
      <c r="H779" s="1">
        <v>0.5</v>
      </c>
    </row>
    <row r="780" spans="1:8" hidden="1" x14ac:dyDescent="0.25">
      <c r="A780" s="1" t="s">
        <v>4898</v>
      </c>
      <c r="B780" s="1" t="s">
        <v>552</v>
      </c>
      <c r="C780" s="1" t="s">
        <v>4902</v>
      </c>
      <c r="D780" s="2" t="s">
        <v>554</v>
      </c>
      <c r="E780" s="1">
        <v>1</v>
      </c>
      <c r="F780" s="1">
        <f>G780+H780</f>
        <v>0.55000000000000004</v>
      </c>
      <c r="G780" s="1">
        <v>0.30000000000000004</v>
      </c>
      <c r="H780" s="1">
        <v>0.25</v>
      </c>
    </row>
    <row r="781" spans="1:8" hidden="1" x14ac:dyDescent="0.25">
      <c r="A781" s="1" t="s">
        <v>4899</v>
      </c>
      <c r="B781" s="1" t="s">
        <v>552</v>
      </c>
      <c r="C781" s="1" t="s">
        <v>4903</v>
      </c>
      <c r="D781" s="2" t="s">
        <v>554</v>
      </c>
      <c r="E781" s="2">
        <v>0.5</v>
      </c>
      <c r="F781" s="1">
        <f t="shared" ref="F781:F782" si="24">G781+H781</f>
        <v>0.55499999999999994</v>
      </c>
      <c r="G781" s="1">
        <v>0.22499999999999998</v>
      </c>
      <c r="H781" s="62">
        <v>0.33</v>
      </c>
    </row>
    <row r="782" spans="1:8" hidden="1" x14ac:dyDescent="0.25">
      <c r="A782" s="1" t="s">
        <v>4900</v>
      </c>
      <c r="B782" s="1" t="s">
        <v>552</v>
      </c>
      <c r="C782" s="1" t="s">
        <v>4904</v>
      </c>
      <c r="D782" s="2" t="s">
        <v>554</v>
      </c>
      <c r="E782" s="2">
        <v>2.5</v>
      </c>
      <c r="F782" s="1">
        <f t="shared" si="24"/>
        <v>0.875</v>
      </c>
      <c r="G782" s="1">
        <v>0.375</v>
      </c>
      <c r="H782" s="1">
        <v>0.5</v>
      </c>
    </row>
    <row r="783" spans="1:8" hidden="1" x14ac:dyDescent="0.25">
      <c r="A783" s="1" t="s">
        <v>4901</v>
      </c>
      <c r="B783" s="1" t="s">
        <v>552</v>
      </c>
      <c r="C783" s="1" t="s">
        <v>559</v>
      </c>
      <c r="D783" s="2" t="s">
        <v>554</v>
      </c>
      <c r="E783" s="2">
        <v>2.5</v>
      </c>
      <c r="F783" s="1">
        <f t="shared" ref="F783" si="25">G783+H783</f>
        <v>0.875</v>
      </c>
      <c r="G783" s="1">
        <v>0.375</v>
      </c>
      <c r="H783" s="1">
        <v>0.5</v>
      </c>
    </row>
    <row r="784" spans="1:8" x14ac:dyDescent="0.25">
      <c r="A784" s="101" t="s">
        <v>4906</v>
      </c>
      <c r="B784" s="1" t="s">
        <v>552</v>
      </c>
      <c r="C784" s="101" t="s">
        <v>4905</v>
      </c>
      <c r="D784" s="2" t="s">
        <v>554</v>
      </c>
      <c r="E784" s="101">
        <v>4</v>
      </c>
      <c r="F784" s="1">
        <f>G784+H784</f>
        <v>2.2999999999999998</v>
      </c>
      <c r="G784" s="1">
        <v>0.8</v>
      </c>
      <c r="H784" s="1">
        <v>1.5</v>
      </c>
    </row>
  </sheetData>
  <autoFilter ref="A1:I784" xr:uid="{043F48DA-7299-470C-A311-3E712E93F3C3}">
    <filterColumn colId="4">
      <filters>
        <filter val="4"/>
      </filters>
    </filterColumn>
  </autoFilter>
  <conditionalFormatting sqref="A699:A700">
    <cfRule type="duplicateValues" dxfId="41" priority="42"/>
  </conditionalFormatting>
  <conditionalFormatting sqref="A701:A702">
    <cfRule type="duplicateValues" dxfId="40" priority="41"/>
  </conditionalFormatting>
  <conditionalFormatting sqref="A703:A704">
    <cfRule type="duplicateValues" dxfId="39" priority="40"/>
  </conditionalFormatting>
  <conditionalFormatting sqref="A705:A712">
    <cfRule type="duplicateValues" dxfId="38" priority="39"/>
  </conditionalFormatting>
  <conditionalFormatting sqref="A714">
    <cfRule type="duplicateValues" dxfId="37" priority="38"/>
  </conditionalFormatting>
  <conditionalFormatting sqref="A719">
    <cfRule type="duplicateValues" dxfId="36" priority="37"/>
  </conditionalFormatting>
  <conditionalFormatting sqref="A725">
    <cfRule type="duplicateValues" dxfId="35" priority="36"/>
  </conditionalFormatting>
  <conditionalFormatting sqref="A728">
    <cfRule type="duplicateValues" dxfId="34" priority="35"/>
  </conditionalFormatting>
  <conditionalFormatting sqref="A729">
    <cfRule type="duplicateValues" dxfId="33" priority="34"/>
  </conditionalFormatting>
  <conditionalFormatting sqref="A730">
    <cfRule type="duplicateValues" dxfId="32" priority="33"/>
  </conditionalFormatting>
  <conditionalFormatting sqref="A731">
    <cfRule type="duplicateValues" dxfId="31" priority="32"/>
  </conditionalFormatting>
  <conditionalFormatting sqref="A732:A735">
    <cfRule type="duplicateValues" dxfId="30" priority="31"/>
  </conditionalFormatting>
  <conditionalFormatting sqref="A736">
    <cfRule type="duplicateValues" dxfId="29" priority="30"/>
  </conditionalFormatting>
  <conditionalFormatting sqref="A737">
    <cfRule type="duplicateValues" dxfId="28" priority="29"/>
  </conditionalFormatting>
  <conditionalFormatting sqref="A738">
    <cfRule type="duplicateValues" dxfId="27" priority="28"/>
  </conditionalFormatting>
  <conditionalFormatting sqref="A739:A741">
    <cfRule type="duplicateValues" dxfId="26" priority="27"/>
  </conditionalFormatting>
  <conditionalFormatting sqref="A742">
    <cfRule type="duplicateValues" dxfId="25" priority="24"/>
    <cfRule type="duplicateValues" dxfId="24" priority="26"/>
    <cfRule type="duplicateValues" dxfId="23" priority="25"/>
  </conditionalFormatting>
  <conditionalFormatting sqref="A743">
    <cfRule type="duplicateValues" dxfId="22" priority="23"/>
    <cfRule type="duplicateValues" dxfId="21" priority="21"/>
    <cfRule type="duplicateValues" dxfId="20" priority="22"/>
  </conditionalFormatting>
  <conditionalFormatting sqref="A744">
    <cfRule type="duplicateValues" dxfId="19" priority="20"/>
    <cfRule type="duplicateValues" dxfId="18" priority="19"/>
    <cfRule type="duplicateValues" dxfId="17" priority="18"/>
  </conditionalFormatting>
  <conditionalFormatting sqref="A745:A746">
    <cfRule type="duplicateValues" dxfId="16" priority="17"/>
  </conditionalFormatting>
  <conditionalFormatting sqref="A747">
    <cfRule type="duplicateValues" dxfId="15" priority="16"/>
  </conditionalFormatting>
  <conditionalFormatting sqref="A748">
    <cfRule type="duplicateValues" dxfId="14" priority="15"/>
  </conditionalFormatting>
  <conditionalFormatting sqref="A749">
    <cfRule type="duplicateValues" dxfId="13" priority="14"/>
  </conditionalFormatting>
  <conditionalFormatting sqref="A750">
    <cfRule type="duplicateValues" dxfId="12" priority="13"/>
  </conditionalFormatting>
  <conditionalFormatting sqref="A751">
    <cfRule type="duplicateValues" dxfId="11" priority="12"/>
  </conditionalFormatting>
  <conditionalFormatting sqref="A752">
    <cfRule type="duplicateValues" dxfId="10" priority="11"/>
  </conditionalFormatting>
  <conditionalFormatting sqref="A753:A754">
    <cfRule type="duplicateValues" dxfId="9" priority="10"/>
  </conditionalFormatting>
  <conditionalFormatting sqref="A755">
    <cfRule type="duplicateValues" dxfId="8" priority="9"/>
  </conditionalFormatting>
  <conditionalFormatting sqref="A756">
    <cfRule type="duplicateValues" dxfId="7" priority="8"/>
  </conditionalFormatting>
  <conditionalFormatting sqref="A757">
    <cfRule type="duplicateValues" dxfId="6" priority="7"/>
  </conditionalFormatting>
  <conditionalFormatting sqref="A773:A774">
    <cfRule type="duplicateValues" dxfId="5" priority="6"/>
  </conditionalFormatting>
  <conditionalFormatting sqref="A776">
    <cfRule type="duplicateValues" dxfId="4" priority="5"/>
  </conditionalFormatting>
  <conditionalFormatting sqref="A777">
    <cfRule type="duplicateValues" dxfId="3" priority="4"/>
  </conditionalFormatting>
  <conditionalFormatting sqref="A778">
    <cfRule type="duplicateValues" dxfId="2" priority="3"/>
  </conditionalFormatting>
  <conditionalFormatting sqref="A780:A783">
    <cfRule type="duplicateValues" dxfId="1" priority="2"/>
  </conditionalFormatting>
  <conditionalFormatting sqref="A78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Products</vt:lpstr>
      <vt:lpstr>BOM</vt:lpstr>
      <vt:lpstr>RM Cost</vt:lpstr>
      <vt:lpstr>RM W25</vt:lpstr>
      <vt:lpstr>Material Cost</vt:lpstr>
      <vt:lpstr>RM Used</vt:lpstr>
      <vt:lpstr>Yield &amp; Time</vt:lpstr>
      <vt:lpstr>Chemical Cost</vt:lpstr>
      <vt:lpstr>Packing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Davis</dc:creator>
  <cp:lastModifiedBy>Damian Morais-Camara</cp:lastModifiedBy>
  <dcterms:created xsi:type="dcterms:W3CDTF">2015-06-05T18:17:20Z</dcterms:created>
  <dcterms:modified xsi:type="dcterms:W3CDTF">2026-08-19T16:52:48Z</dcterms:modified>
</cp:coreProperties>
</file>